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externalLinks/externalLink228.xml" ContentType="application/vnd.openxmlformats-officedocument.spreadsheetml.externalLink+xml"/>
  <Override PartName="/xl/externalLinks/externalLink229.xml" ContentType="application/vnd.openxmlformats-officedocument.spreadsheetml.externalLink+xml"/>
  <Override PartName="/xl/externalLinks/externalLink230.xml" ContentType="application/vnd.openxmlformats-officedocument.spreadsheetml.externalLink+xml"/>
  <Override PartName="/xl/externalLinks/externalLink231.xml" ContentType="application/vnd.openxmlformats-officedocument.spreadsheetml.externalLink+xml"/>
  <Override PartName="/xl/externalLinks/externalLink232.xml" ContentType="application/vnd.openxmlformats-officedocument.spreadsheetml.externalLink+xml"/>
  <Override PartName="/xl/externalLinks/externalLink233.xml" ContentType="application/vnd.openxmlformats-officedocument.spreadsheetml.externalLink+xml"/>
  <Override PartName="/xl/externalLinks/externalLink234.xml" ContentType="application/vnd.openxmlformats-officedocument.spreadsheetml.externalLink+xml"/>
  <Override PartName="/xl/externalLinks/externalLink235.xml" ContentType="application/vnd.openxmlformats-officedocument.spreadsheetml.externalLink+xml"/>
  <Override PartName="/xl/externalLinks/externalLink236.xml" ContentType="application/vnd.openxmlformats-officedocument.spreadsheetml.externalLink+xml"/>
  <Override PartName="/xl/externalLinks/externalLink237.xml" ContentType="application/vnd.openxmlformats-officedocument.spreadsheetml.externalLink+xml"/>
  <Override PartName="/xl/externalLinks/externalLink238.xml" ContentType="application/vnd.openxmlformats-officedocument.spreadsheetml.externalLink+xml"/>
  <Override PartName="/xl/externalLinks/externalLink239.xml" ContentType="application/vnd.openxmlformats-officedocument.spreadsheetml.externalLink+xml"/>
  <Override PartName="/xl/externalLinks/externalLink24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D:\HELMER\HELMER\PROCESOS 2026\3.MEJORAMIENTO DE VIVIENDA 2026\VIVIENDA 2026\"/>
    </mc:Choice>
  </mc:AlternateContent>
  <xr:revisionPtr revIDLastSave="0" documentId="13_ncr:1_{40230F9E-F53D-4FEE-B398-35182FEF7945}" xr6:coauthVersionLast="47" xr6:coauthVersionMax="47" xr10:uidLastSave="{00000000-0000-0000-0000-000000000000}"/>
  <bookViews>
    <workbookView xWindow="-120" yWindow="-120" windowWidth="29040" windowHeight="15720" activeTab="5" xr2:uid="{9BB4E83E-3372-4D42-8CE5-CC00B7342FD4}"/>
  </bookViews>
  <sheets>
    <sheet name="MC 5" sheetId="11" r:id="rId1"/>
    <sheet name="MC 2-3-4" sheetId="10" r:id="rId2"/>
    <sheet name="MC 1" sheetId="9" r:id="rId3"/>
    <sheet name="Hoja3" sheetId="12" r:id="rId4"/>
    <sheet name="PRESUPUESTO OFICIAL " sheetId="5" r:id="rId5"/>
    <sheet name="CAP 8-9" sheetId="8" r:id="rId6"/>
    <sheet name="CAP 1,00" sheetId="1" r:id="rId7"/>
    <sheet name="CAP 5-6-7" sheetId="7" r:id="rId8"/>
    <sheet name="CAP 2-3-4" sheetId="6" r:id="rId9"/>
    <sheet name="Hoja1" sheetId="4" r:id="rId10"/>
    <sheet name="Hoja2" sheetId="2" r:id="rId11"/>
    <sheet name="PRESUPUESTO GENERAL" sheetId="3" r:id="rId12"/>
  </sheets>
  <externalReferences>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 r:id="rId244"/>
    <externalReference r:id="rId245"/>
    <externalReference r:id="rId246"/>
    <externalReference r:id="rId247"/>
    <externalReference r:id="rId248"/>
    <externalReference r:id="rId249"/>
    <externalReference r:id="rId250"/>
    <externalReference r:id="rId251"/>
    <externalReference r:id="rId252"/>
  </externalReferences>
  <definedNames>
    <definedName name="\0">#REF!</definedName>
    <definedName name="\00">#REF!</definedName>
    <definedName name="\a">#REF!</definedName>
    <definedName name="\AA">[1]LIQUIDACION!#REF!</definedName>
    <definedName name="\b">[2]STRSUMM0!#REF!</definedName>
    <definedName name="\bb">[2]STRSUMM0!#REF!</definedName>
    <definedName name="\E">#REF!</definedName>
    <definedName name="\EE">#REF!</definedName>
    <definedName name="\eliminar">[3]RESUM96!#REF!</definedName>
    <definedName name="\eliminar1">[3]RESUM96!#REF!</definedName>
    <definedName name="\G">#REF!</definedName>
    <definedName name="\k">'[4]7422CW00'!#REF!</definedName>
    <definedName name="\l">[5]STRSUMM0!#REF!</definedName>
    <definedName name="\M">#REF!</definedName>
    <definedName name="\ñ">'[6]7422CW00'!#REF!</definedName>
    <definedName name="\P">#REF!</definedName>
    <definedName name="\q">#REF!</definedName>
    <definedName name="\R">#REF!</definedName>
    <definedName name="\s">#REF!</definedName>
    <definedName name="\V">#REF!</definedName>
    <definedName name="\X" localSheetId="2">'MC 1'!ERR</definedName>
    <definedName name="\X" localSheetId="1">'MC 2-3-4'!ERR</definedName>
    <definedName name="\X" localSheetId="0">'MC 5'!ERR</definedName>
    <definedName name="\X">[0]!ERR</definedName>
    <definedName name="\Z" localSheetId="2">'MC 1'!ERR</definedName>
    <definedName name="\Z" localSheetId="1">'MC 2-3-4'!ERR</definedName>
    <definedName name="\Z" localSheetId="0">'MC 5'!ERR</definedName>
    <definedName name="\Z">[0]!ERR</definedName>
    <definedName name="_______________________________________f">#REF!</definedName>
    <definedName name="______________________________________f">#REF!</definedName>
    <definedName name="_____________________________________f">#REF!</definedName>
    <definedName name="____________________________________f">#REF!</definedName>
    <definedName name="____________________________________PJ50">#REF!</definedName>
    <definedName name="___________________________________f">#REF!</definedName>
    <definedName name="__________________________________f">#REF!</definedName>
    <definedName name="_________________________________f">#REF!</definedName>
    <definedName name="________________________________f">#REF!</definedName>
    <definedName name="_______________________________f">#REF!</definedName>
    <definedName name="______________________________f">#REF!</definedName>
    <definedName name="______________________________IPC2002">#REF!</definedName>
    <definedName name="_____________________________f">#REF!</definedName>
    <definedName name="____________________________f">#REF!</definedName>
    <definedName name="___________________________f">#REF!</definedName>
    <definedName name="__________________________f">#REF!</definedName>
    <definedName name="_________________________f">#REF!</definedName>
    <definedName name="________________________f">#REF!</definedName>
    <definedName name="_______________________f">#REF!</definedName>
    <definedName name="______________________f">#REF!</definedName>
    <definedName name="_____________________f">#REF!</definedName>
    <definedName name="____________________f">#REF!</definedName>
    <definedName name="___________________f">#REF!</definedName>
    <definedName name="__________________f">#REF!</definedName>
    <definedName name="__________________MAT38">#REF!</definedName>
    <definedName name="__________________MAT39">#REF!</definedName>
    <definedName name="__________________MAT40">#REF!</definedName>
    <definedName name="__________________MV4">#REF!</definedName>
    <definedName name="__________________POR1">#REF!</definedName>
    <definedName name="__________________POR2">#REF!</definedName>
    <definedName name="__________________POR3">#REF!</definedName>
    <definedName name="__________________POR4">#REF!</definedName>
    <definedName name="__________________POR5">#REF!</definedName>
    <definedName name="_________________f">#REF!</definedName>
    <definedName name="________________f">#REF!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f">#REF!</definedName>
    <definedName name="_______________V1">#REF!</definedName>
    <definedName name="______________f">#REF!</definedName>
    <definedName name="______________TC212">#REF!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f">#REF!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EXC6">#REF!</definedName>
    <definedName name="____________EXC7">#REF!</definedName>
    <definedName name="____________f">#REF!</definedName>
    <definedName name="___________f">#REF!</definedName>
    <definedName name="___________tab1">#REF!</definedName>
    <definedName name="___________tab2">#REF!</definedName>
    <definedName name="___________tab3">#REF!</definedName>
    <definedName name="___________TAB4">#REF!</definedName>
    <definedName name="__________f">#REF!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tab1">#REF!</definedName>
    <definedName name="__________tab2">#REF!</definedName>
    <definedName name="__________tab3">#REF!</definedName>
    <definedName name="__________TAB4">#REF!</definedName>
    <definedName name="__________xlnm.Print_Area">#REF!</definedName>
    <definedName name="__________xlnm.Print_Titles">#REF!</definedName>
    <definedName name="__________xlnm.Print_Titles_1">#REF!</definedName>
    <definedName name="__________xlnm.Print_Titles_2">#REF!</definedName>
    <definedName name="__________xlnm.Print_Titles_4">#REF!</definedName>
    <definedName name="__________xlnm.Print_Titles_4_2">#REF!</definedName>
    <definedName name="_________AFC1">[7]INV!$A$25:$D$28</definedName>
    <definedName name="_________AFC3">[7]INV!$F$25:$I$28</definedName>
    <definedName name="_________AFC5">[7]INV!$K$25:$N$28</definedName>
    <definedName name="_________BGC1">[7]INV!$A$5:$D$8</definedName>
    <definedName name="_________BGC3">[7]INV!$F$5:$I$8</definedName>
    <definedName name="_________BGC5">[7]INV!$K$5:$N$8</definedName>
    <definedName name="_________CAC1">[7]INV!$A$19:$D$22</definedName>
    <definedName name="_________CAC3">[7]INV!$F$19:$I$22</definedName>
    <definedName name="_________CAC5">[7]INV!$K$19:$N$22</definedName>
    <definedName name="_________CON123">'[8]Base Datos'!$B$8</definedName>
    <definedName name="_________EQP1">#REF!</definedName>
    <definedName name="_________EQP10">#REF!</definedName>
    <definedName name="_________EQP11">#REF!</definedName>
    <definedName name="_________EQP12">#REF!</definedName>
    <definedName name="_________EQP13">#REF!</definedName>
    <definedName name="_________EQP14">#REF!</definedName>
    <definedName name="_________EQP15">#REF!</definedName>
    <definedName name="_________EQP16">#REF!</definedName>
    <definedName name="_________EQP17">#REF!</definedName>
    <definedName name="_________EQP18">#REF!</definedName>
    <definedName name="_________EQP19">#REF!</definedName>
    <definedName name="_________EQP2">#REF!</definedName>
    <definedName name="_________EQP20">#REF!</definedName>
    <definedName name="_________EQP3">#REF!</definedName>
    <definedName name="_________EQP4">#REF!</definedName>
    <definedName name="_________EQP5">#REF!</definedName>
    <definedName name="_________EQP6">#REF!</definedName>
    <definedName name="_________EQP7">#REF!</definedName>
    <definedName name="_________EQP8">#REF!</definedName>
    <definedName name="_________EQP9">#REF!</definedName>
    <definedName name="_________f">#REF!</definedName>
    <definedName name="_________key2" hidden="1">[9]INST!#REF!</definedName>
    <definedName name="_________M14">'[8]Base Datos'!$B$9</definedName>
    <definedName name="_________MA2">#REF!</definedName>
    <definedName name="_________MAT1">#REF!</definedName>
    <definedName name="_________MAT10">#REF!</definedName>
    <definedName name="_________MAT11">#REF!</definedName>
    <definedName name="_________MAT1111">'[8]Base Datos'!$B$43</definedName>
    <definedName name="_________MAT12">#REF!</definedName>
    <definedName name="_________MAT13">#REF!</definedName>
    <definedName name="_________MAT14">#REF!</definedName>
    <definedName name="_________MAT15">#REF!</definedName>
    <definedName name="_________MAT16">#REF!</definedName>
    <definedName name="_________MAT17">#REF!</definedName>
    <definedName name="_________MAT170">'[10]Base Datos'!$B$212</definedName>
    <definedName name="_________MAT171">'[10]Base Datos'!$B$213</definedName>
    <definedName name="_________MAT18">#REF!</definedName>
    <definedName name="_________MAT19">#REF!</definedName>
    <definedName name="_________MAT2">#REF!</definedName>
    <definedName name="_________MAT20">#REF!</definedName>
    <definedName name="_________MAT21">#REF!</definedName>
    <definedName name="_________MAT22">#REF!</definedName>
    <definedName name="_________MAT23">#REF!</definedName>
    <definedName name="_________MAT24">#REF!</definedName>
    <definedName name="_________MAT25">#REF!</definedName>
    <definedName name="_________MAT26">#REF!</definedName>
    <definedName name="_________MAT27">#REF!</definedName>
    <definedName name="_________MAT28">#REF!</definedName>
    <definedName name="_________MAT29">#REF!</definedName>
    <definedName name="_________MAT3">#REF!</definedName>
    <definedName name="_________MAT30">#REF!</definedName>
    <definedName name="_________MAT31">#REF!</definedName>
    <definedName name="_________MAT32">#REF!</definedName>
    <definedName name="_________MAT33">#REF!</definedName>
    <definedName name="_________MAT34">#REF!</definedName>
    <definedName name="_________MAT35">#REF!</definedName>
    <definedName name="_________MAT36">#REF!</definedName>
    <definedName name="_________MAT37">#REF!</definedName>
    <definedName name="_________MAT38">#REF!</definedName>
    <definedName name="_________MAT39">#REF!</definedName>
    <definedName name="_________MAT4">#REF!</definedName>
    <definedName name="_________MAT40">#REF!</definedName>
    <definedName name="_________MAT47">#REF!</definedName>
    <definedName name="_________MAT5">#REF!</definedName>
    <definedName name="_________MAT6">#REF!</definedName>
    <definedName name="_________MAT7">#REF!</definedName>
    <definedName name="_________MAT70">#REF!</definedName>
    <definedName name="_________MAT8">#REF!</definedName>
    <definedName name="_________MAT832">'[11]Base Datos'!$B$125</definedName>
    <definedName name="_________MAT9">#REF!</definedName>
    <definedName name="_________MAY88">'[12]Base Datos'!$B$11</definedName>
    <definedName name="_________MO1">#REF!</definedName>
    <definedName name="_________MO10">#REF!</definedName>
    <definedName name="_________MO2">#REF!</definedName>
    <definedName name="_________MO3">#REF!</definedName>
    <definedName name="_________MO4">#REF!</definedName>
    <definedName name="_________MO5">#REF!</definedName>
    <definedName name="_________MO6">#REF!</definedName>
    <definedName name="_________MO7">#REF!</definedName>
    <definedName name="_________MO8">#REF!</definedName>
    <definedName name="_________MO9">#REF!</definedName>
    <definedName name="_________MV1">#REF!</definedName>
    <definedName name="_________MV10">#REF!</definedName>
    <definedName name="_________MV11">#REF!</definedName>
    <definedName name="_________MV12">#REF!</definedName>
    <definedName name="_________MV13">#REF!</definedName>
    <definedName name="_________MV14">#REF!</definedName>
    <definedName name="_________MV15">#REF!</definedName>
    <definedName name="_________MV16">#REF!</definedName>
    <definedName name="_________MV17">#REF!</definedName>
    <definedName name="_________MV18">#REF!</definedName>
    <definedName name="_________MV19">#REF!</definedName>
    <definedName name="_________MV2">#REF!</definedName>
    <definedName name="_________MV20">#REF!</definedName>
    <definedName name="_________MV3">#REF!</definedName>
    <definedName name="_________MV4">#REF!</definedName>
    <definedName name="_________MV5">#REF!</definedName>
    <definedName name="_________MV6">#REF!</definedName>
    <definedName name="_________MV7">#REF!</definedName>
    <definedName name="_________MV8">#REF!</definedName>
    <definedName name="_________MV9">#REF!</definedName>
    <definedName name="_________PJ50">#REF!</definedName>
    <definedName name="_________PMT5671">[13]MEMORIAS!#REF!</definedName>
    <definedName name="_________PMT5805">[13]MEMORIAS!#REF!</definedName>
    <definedName name="_________PMT5806">[13]MEMORIAS!#REF!</definedName>
    <definedName name="_________PMT5815">[13]MEMORIAS!#REF!</definedName>
    <definedName name="_________PMT5820">[13]MEMORIAS!#REF!</definedName>
    <definedName name="_________POR1">#REF!</definedName>
    <definedName name="_________POR2">#REF!</definedName>
    <definedName name="_________POR3">#REF!</definedName>
    <definedName name="_________POR4">#REF!</definedName>
    <definedName name="_________POR5">#REF!</definedName>
    <definedName name="_________SBC1">[7]INV!$A$12:$D$15</definedName>
    <definedName name="_________SBC3">[7]INV!$F$12:$I$15</definedName>
    <definedName name="_________SBC5">[7]INV!$K$12:$N$15</definedName>
    <definedName name="_________xlnm.Print_Area">#REF!</definedName>
    <definedName name="_________xlnm.Print_Titles">#REF!</definedName>
    <definedName name="_________xlnm.Print_Titles_1">#REF!</definedName>
    <definedName name="_________xlnm.Print_Titles_2">#REF!</definedName>
    <definedName name="_________xlnm.Print_Titles_4">#REF!</definedName>
    <definedName name="_________xlnm.Print_Titles_4_1">#REF!</definedName>
    <definedName name="_________xlnm.Print_Titles_4_2">#REF!</definedName>
    <definedName name="________AFC1">[7]INV!$A$25:$D$28</definedName>
    <definedName name="________AFC3">[7]INV!$F$25:$I$28</definedName>
    <definedName name="________AFC5">[7]INV!$K$25:$N$28</definedName>
    <definedName name="________aiu2">[14]AIU!$J$105</definedName>
    <definedName name="________BGC1">[7]INV!$A$5:$D$8</definedName>
    <definedName name="________BGC3">[7]INV!$F$5:$I$8</definedName>
    <definedName name="________BGC5">[7]INV!$K$5:$N$8</definedName>
    <definedName name="________CAC1">[7]INV!$A$19:$D$22</definedName>
    <definedName name="________CAC3">[7]INV!$F$19:$I$22</definedName>
    <definedName name="________CAC5">[7]INV!$K$19:$N$22</definedName>
    <definedName name="________CON123">'[8]Base Datos'!$B$8</definedName>
    <definedName name="________EQP1">#REF!</definedName>
    <definedName name="________EQP10">#REF!</definedName>
    <definedName name="________EQP11">#REF!</definedName>
    <definedName name="________EQP12">#REF!</definedName>
    <definedName name="________EQP13">#REF!</definedName>
    <definedName name="________EQP14">#REF!</definedName>
    <definedName name="________EQP15">#REF!</definedName>
    <definedName name="________EQP16">#REF!</definedName>
    <definedName name="________EQP17">#REF!</definedName>
    <definedName name="________EQP18">#REF!</definedName>
    <definedName name="________EQP19">#REF!</definedName>
    <definedName name="________EQP2">#REF!</definedName>
    <definedName name="________EQP20">#REF!</definedName>
    <definedName name="________EQP3">#REF!</definedName>
    <definedName name="________EQP4">#REF!</definedName>
    <definedName name="________EQP5">#REF!</definedName>
    <definedName name="________EQP6">#REF!</definedName>
    <definedName name="________EQP7">#REF!</definedName>
    <definedName name="________EQP8">#REF!</definedName>
    <definedName name="________EQP9">#REF!</definedName>
    <definedName name="________EST10">#REF!</definedName>
    <definedName name="________EST11">#REF!</definedName>
    <definedName name="________EST12">#REF!</definedName>
    <definedName name="________EST13">#REF!</definedName>
    <definedName name="________EST14">#REF!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8">#REF!</definedName>
    <definedName name="________EXC9">#REF!</definedName>
    <definedName name="________f">#REF!</definedName>
    <definedName name="________key2" hidden="1">[15]INST!#REF!</definedName>
    <definedName name="________key3" hidden="1">#REF!</definedName>
    <definedName name="________M14">'[8]Base Datos'!$B$9</definedName>
    <definedName name="________MA2">#REF!</definedName>
    <definedName name="________MAT1">#REF!</definedName>
    <definedName name="________MAT10">#REF!</definedName>
    <definedName name="________MAT11">#REF!</definedName>
    <definedName name="________MAT1111">'[8]Base Datos'!$B$43</definedName>
    <definedName name="________MAT12">#REF!</definedName>
    <definedName name="________MAT127">#REF!</definedName>
    <definedName name="________MAT128">#REF!</definedName>
    <definedName name="________MAT13">#REF!</definedName>
    <definedName name="________MAT14">#REF!</definedName>
    <definedName name="________MAT15">#REF!</definedName>
    <definedName name="________MAT16">#REF!</definedName>
    <definedName name="________MAT17">#REF!</definedName>
    <definedName name="________MAT170">'[10]Base Datos'!$B$212</definedName>
    <definedName name="________MAT171">'[10]Base Datos'!$B$213</definedName>
    <definedName name="________MAT18">#REF!</definedName>
    <definedName name="________MAT19">#REF!</definedName>
    <definedName name="________MAT2">#REF!</definedName>
    <definedName name="________MAT20">#REF!</definedName>
    <definedName name="________MAT21">#REF!</definedName>
    <definedName name="________MAT22">#REF!</definedName>
    <definedName name="________MAT23">#REF!</definedName>
    <definedName name="________MAT24">#REF!</definedName>
    <definedName name="________MAT25">#REF!</definedName>
    <definedName name="________MAT26">#REF!</definedName>
    <definedName name="________MAT27">#REF!</definedName>
    <definedName name="________MAT28">#REF!</definedName>
    <definedName name="________MAT29">#REF!</definedName>
    <definedName name="________MAT3">#REF!</definedName>
    <definedName name="________MAT30">#REF!</definedName>
    <definedName name="________MAT31">#REF!</definedName>
    <definedName name="________MAT32">#REF!</definedName>
    <definedName name="________MAT33">#REF!</definedName>
    <definedName name="________MAT34">#REF!</definedName>
    <definedName name="________MAT35">#REF!</definedName>
    <definedName name="________MAT36">#REF!</definedName>
    <definedName name="________MAT37">#REF!</definedName>
    <definedName name="________MAT38">#REF!</definedName>
    <definedName name="________MAT39">#REF!</definedName>
    <definedName name="________MAT4">#REF!</definedName>
    <definedName name="________MAT40">#REF!</definedName>
    <definedName name="________MAT5">#REF!</definedName>
    <definedName name="________MAT6">#REF!</definedName>
    <definedName name="________MAT7">#REF!</definedName>
    <definedName name="________MAT72">#REF!</definedName>
    <definedName name="________MAT74">#REF!</definedName>
    <definedName name="________MAT8">#REF!</definedName>
    <definedName name="________MAT832">'[11]Base Datos'!$B$125</definedName>
    <definedName name="________MAT9">#REF!</definedName>
    <definedName name="________MAY88">'[12]Base Datos'!$B$11</definedName>
    <definedName name="________MO1">#REF!</definedName>
    <definedName name="________MO10">#REF!</definedName>
    <definedName name="________MO2">#REF!</definedName>
    <definedName name="________MO3">#REF!</definedName>
    <definedName name="________MO4">#REF!</definedName>
    <definedName name="________MO5">#REF!</definedName>
    <definedName name="________MO6">#REF!</definedName>
    <definedName name="________MO7">#REF!</definedName>
    <definedName name="________MO8">#REF!</definedName>
    <definedName name="________MO9">#REF!</definedName>
    <definedName name="________MV1">#REF!</definedName>
    <definedName name="________MV10">#REF!</definedName>
    <definedName name="________MV11">#REF!</definedName>
    <definedName name="________MV12">#REF!</definedName>
    <definedName name="________MV13">#REF!</definedName>
    <definedName name="________MV14">#REF!</definedName>
    <definedName name="________MV15">#REF!</definedName>
    <definedName name="________MV16">#REF!</definedName>
    <definedName name="________MV17">#REF!</definedName>
    <definedName name="________MV18">#REF!</definedName>
    <definedName name="________MV19">#REF!</definedName>
    <definedName name="________MV2">#REF!</definedName>
    <definedName name="________MV20">#REF!</definedName>
    <definedName name="________MV3">#REF!</definedName>
    <definedName name="________MV4">#REF!</definedName>
    <definedName name="________MV5">#REF!</definedName>
    <definedName name="________MV6">#REF!</definedName>
    <definedName name="________MV7">#REF!</definedName>
    <definedName name="________MV8">#REF!</definedName>
    <definedName name="________MV9">#REF!</definedName>
    <definedName name="________PJ50">#REF!</definedName>
    <definedName name="________POR1">#REF!</definedName>
    <definedName name="________POR2">#REF!</definedName>
    <definedName name="________POR3">#REF!</definedName>
    <definedName name="________POR4">#REF!</definedName>
    <definedName name="________POR5">#REF!</definedName>
    <definedName name="________SBC1">[7]INV!$A$12:$D$15</definedName>
    <definedName name="________SBC3">[7]INV!$F$12:$I$15</definedName>
    <definedName name="________SBC5">[7]INV!$K$12:$N$15</definedName>
    <definedName name="________xlnm.Print_Area">#REF!</definedName>
    <definedName name="________xlnm.Print_Titles">#REF!</definedName>
    <definedName name="________xlnm.Print_Titles_1">#REF!</definedName>
    <definedName name="________xlnm.Print_Titles_2">#REF!</definedName>
    <definedName name="________xlnm.Print_Titles_4">#REF!</definedName>
    <definedName name="________xlnm.Print_Titles_4_1">#REF!</definedName>
    <definedName name="________xlnm.Print_Titles_4_2">#REF!</definedName>
    <definedName name="_______A1">'[16]Base Datos'!$B$22</definedName>
    <definedName name="_______AFC1">[7]INV!$A$25:$D$28</definedName>
    <definedName name="_______AFC3">[7]INV!$F$25:$I$28</definedName>
    <definedName name="_______AFC5">[7]INV!$K$25:$N$28</definedName>
    <definedName name="_______BGC1">[7]INV!$A$5:$D$8</definedName>
    <definedName name="_______BGC3">[7]INV!$F$5:$I$8</definedName>
    <definedName name="_______BGC5">[7]INV!$K$5:$N$8</definedName>
    <definedName name="_______CAC1">[7]INV!$A$19:$D$22</definedName>
    <definedName name="_______CAC3">[7]INV!$F$19:$I$22</definedName>
    <definedName name="_______CAC5">[7]INV!$K$19:$N$22</definedName>
    <definedName name="_______CON123">'[8]Base Datos'!$B$8</definedName>
    <definedName name="_______EQP1">#REF!</definedName>
    <definedName name="_______EQP10">#REF!</definedName>
    <definedName name="_______EQP11">#REF!</definedName>
    <definedName name="_______EQP12">#REF!</definedName>
    <definedName name="_______EQP13">#REF!</definedName>
    <definedName name="_______EQP14">#REF!</definedName>
    <definedName name="_______EQP15">#REF!</definedName>
    <definedName name="_______EQP16">#REF!</definedName>
    <definedName name="_______EQP17">#REF!</definedName>
    <definedName name="_______EQP18">#REF!</definedName>
    <definedName name="_______EQP19">#REF!</definedName>
    <definedName name="_______EQP2">#REF!</definedName>
    <definedName name="_______EQP20">#REF!</definedName>
    <definedName name="_______eqp27">#REF!</definedName>
    <definedName name="_______EQP3">#REF!</definedName>
    <definedName name="_______EQP4">#REF!</definedName>
    <definedName name="_______EQP5">#REF!</definedName>
    <definedName name="_______EQP6">#REF!</definedName>
    <definedName name="_______EQP7">#REF!</definedName>
    <definedName name="_______EQP8">#REF!</definedName>
    <definedName name="_______EQP9">#REF!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f">#REF!</definedName>
    <definedName name="_______M14">'[8]Base Datos'!$B$9</definedName>
    <definedName name="_______MA2">#REF!</definedName>
    <definedName name="_______MAT1">#REF!</definedName>
    <definedName name="_______MAT10">#REF!</definedName>
    <definedName name="_______MAT100">#REF!</definedName>
    <definedName name="_______MAT101">#REF!</definedName>
    <definedName name="_______MAT102">#REF!</definedName>
    <definedName name="_______MAT103">#REF!</definedName>
    <definedName name="_______MAT104">#REF!</definedName>
    <definedName name="_______MAT105">#REF!</definedName>
    <definedName name="_______MAT106">#REF!</definedName>
    <definedName name="_______MAT107">#REF!</definedName>
    <definedName name="_______MAT108">#REF!</definedName>
    <definedName name="_______MAT109">#REF!</definedName>
    <definedName name="_______MAT11">#REF!</definedName>
    <definedName name="_______MAT110">#REF!</definedName>
    <definedName name="_______MAT111">#REF!</definedName>
    <definedName name="_______MAT1111">'[8]Base Datos'!$B$43</definedName>
    <definedName name="_______MAT112">#REF!</definedName>
    <definedName name="_______MAT113">#REF!</definedName>
    <definedName name="_______MAT114">#REF!</definedName>
    <definedName name="_______MAT115">#REF!</definedName>
    <definedName name="_______MAT116">#REF!</definedName>
    <definedName name="_______MAT117">#REF!</definedName>
    <definedName name="_______MAT118">#REF!</definedName>
    <definedName name="_______MAT119">#REF!</definedName>
    <definedName name="_______MAT12">#REF!</definedName>
    <definedName name="_______MAT120">#REF!</definedName>
    <definedName name="_______MAT121">#REF!</definedName>
    <definedName name="_______MAT122">#REF!</definedName>
    <definedName name="_______MAT123">#REF!</definedName>
    <definedName name="_______MAT124">#REF!</definedName>
    <definedName name="_______MAT125">#REF!</definedName>
    <definedName name="_______MAT126">#REF!</definedName>
    <definedName name="_______MAT127">#REF!</definedName>
    <definedName name="_______MAT128">#REF!</definedName>
    <definedName name="_______MAT129">#REF!</definedName>
    <definedName name="_______MAT13">#REF!</definedName>
    <definedName name="_______MAT130">#REF!</definedName>
    <definedName name="_______MAT131">#REF!</definedName>
    <definedName name="_______MAT132">#REF!</definedName>
    <definedName name="_______MAT133">#REF!</definedName>
    <definedName name="_______MAT134">#REF!</definedName>
    <definedName name="_______MAT135">#REF!</definedName>
    <definedName name="_______MAT136">#REF!</definedName>
    <definedName name="_______MAT137">#REF!</definedName>
    <definedName name="_______MAT138">#REF!</definedName>
    <definedName name="_______MAT139">#REF!</definedName>
    <definedName name="_______MAT14">#REF!</definedName>
    <definedName name="_______MAT140">#REF!</definedName>
    <definedName name="_______MAT141">#REF!</definedName>
    <definedName name="_______MAT142">#REF!</definedName>
    <definedName name="_______MAT143">#REF!</definedName>
    <definedName name="_______MAT144">#REF!</definedName>
    <definedName name="_______MAT145">#REF!</definedName>
    <definedName name="_______MAT146">#REF!</definedName>
    <definedName name="_______MAT147">#REF!</definedName>
    <definedName name="_______MAT148">#REF!</definedName>
    <definedName name="_______MAT149">#REF!</definedName>
    <definedName name="_______MAT15">#REF!</definedName>
    <definedName name="_______MAT150">#REF!</definedName>
    <definedName name="_______MAT151">#REF!</definedName>
    <definedName name="_______MAT152">#REF!</definedName>
    <definedName name="_______MAT153">#REF!</definedName>
    <definedName name="_______MAT154">#REF!</definedName>
    <definedName name="_______MAT155">#REF!</definedName>
    <definedName name="_______MAT156">#REF!</definedName>
    <definedName name="_______MAT157">#REF!</definedName>
    <definedName name="_______MAT158">#REF!</definedName>
    <definedName name="_______MAT159">#REF!</definedName>
    <definedName name="_______MAT16">#REF!</definedName>
    <definedName name="_______MAT160">#REF!</definedName>
    <definedName name="_______MAT161">#REF!</definedName>
    <definedName name="_______MAT162">#REF!</definedName>
    <definedName name="_______MAT163">#REF!</definedName>
    <definedName name="_______MAT164">#REF!</definedName>
    <definedName name="_______MAT165">#REF!</definedName>
    <definedName name="_______MAT166">#REF!</definedName>
    <definedName name="_______MAT17">#REF!</definedName>
    <definedName name="_______MAT170">'[10]Base Datos'!$B$212</definedName>
    <definedName name="_______MAT171">'[10]Base Datos'!$B$213</definedName>
    <definedName name="_______MAT18">#REF!</definedName>
    <definedName name="_______MAT19">#REF!</definedName>
    <definedName name="_______MAT2">#REF!</definedName>
    <definedName name="_______MAT20">#REF!</definedName>
    <definedName name="_______MAT21">#REF!</definedName>
    <definedName name="_______MAT22">#REF!</definedName>
    <definedName name="_______MAT23">#REF!</definedName>
    <definedName name="_______MAT24">#REF!</definedName>
    <definedName name="_______MAT25">#REF!</definedName>
    <definedName name="_______MAT26">#REF!</definedName>
    <definedName name="_______MAT27">#REF!</definedName>
    <definedName name="_______MAT28">#REF!</definedName>
    <definedName name="_______MAT29">#REF!</definedName>
    <definedName name="_______MAT3">#REF!</definedName>
    <definedName name="_______MAT30">#REF!</definedName>
    <definedName name="_______MAT31">#REF!</definedName>
    <definedName name="_______MAT32">#REF!</definedName>
    <definedName name="_______MAT33">#REF!</definedName>
    <definedName name="_______MAT34">#REF!</definedName>
    <definedName name="_______MAT35">#REF!</definedName>
    <definedName name="_______MAT36">#REF!</definedName>
    <definedName name="_______MAT37">#REF!</definedName>
    <definedName name="_______MAT38">#REF!</definedName>
    <definedName name="_______MAT39">#REF!</definedName>
    <definedName name="_______MAT4">#REF!</definedName>
    <definedName name="_______MAT40">#REF!</definedName>
    <definedName name="_______MAT41">#REF!</definedName>
    <definedName name="_______MAT42">#REF!</definedName>
    <definedName name="_______MAT43">#REF!</definedName>
    <definedName name="_______MAT44">#REF!</definedName>
    <definedName name="_______MAT45">#REF!</definedName>
    <definedName name="_______MAT46">#REF!</definedName>
    <definedName name="_______MAT47">#REF!</definedName>
    <definedName name="_______MAT48">#REF!</definedName>
    <definedName name="_______MAT49">#REF!</definedName>
    <definedName name="_______MAT5">#REF!</definedName>
    <definedName name="_______MAT50">#REF!</definedName>
    <definedName name="_______MAT51">#REF!</definedName>
    <definedName name="_______MAT52">#REF!</definedName>
    <definedName name="_______MAT53">#REF!</definedName>
    <definedName name="_______MAT54">#REF!</definedName>
    <definedName name="_______MAT55">#REF!</definedName>
    <definedName name="_______MAT56">#REF!</definedName>
    <definedName name="_______MAT57">#REF!</definedName>
    <definedName name="_______MAT58">#REF!</definedName>
    <definedName name="_______MAT59">#REF!</definedName>
    <definedName name="_______MAT6">#REF!</definedName>
    <definedName name="_______MAT60">#REF!</definedName>
    <definedName name="_______MAT61">#REF!</definedName>
    <definedName name="_______MAT62">#REF!</definedName>
    <definedName name="_______MAT63">#REF!</definedName>
    <definedName name="_______MAT64">#REF!</definedName>
    <definedName name="_______MAT65">#REF!</definedName>
    <definedName name="_______MAT66">#REF!</definedName>
    <definedName name="_______MAT67">#REF!</definedName>
    <definedName name="_______MAT68">#REF!</definedName>
    <definedName name="_______MAT69">#REF!</definedName>
    <definedName name="_______MAT7">#REF!</definedName>
    <definedName name="_______MAT70">#REF!</definedName>
    <definedName name="_______MAT71">#REF!</definedName>
    <definedName name="_______MAT72">#REF!</definedName>
    <definedName name="_______MAT73">#REF!</definedName>
    <definedName name="_______MAT74">#REF!</definedName>
    <definedName name="_______MAT75">#REF!</definedName>
    <definedName name="_______MAT76">#REF!</definedName>
    <definedName name="_______MAT77">#REF!</definedName>
    <definedName name="_______MAT78">#REF!</definedName>
    <definedName name="_______MAT79">#REF!</definedName>
    <definedName name="_______MAT8">#REF!</definedName>
    <definedName name="_______MAT80">#REF!</definedName>
    <definedName name="_______MAT81">#REF!</definedName>
    <definedName name="_______MAT82">#REF!</definedName>
    <definedName name="_______MAT83">#REF!</definedName>
    <definedName name="_______MAT832">'[11]Base Datos'!$B$125</definedName>
    <definedName name="_______MAT84">#REF!</definedName>
    <definedName name="_______MAT85">#REF!</definedName>
    <definedName name="_______MAT86">#REF!</definedName>
    <definedName name="_______MAT87">#REF!</definedName>
    <definedName name="_______MAT88">#REF!</definedName>
    <definedName name="_______MAT89">#REF!</definedName>
    <definedName name="_______MAT9">#REF!</definedName>
    <definedName name="_______MAT90">#REF!</definedName>
    <definedName name="_______MAT91">#REF!</definedName>
    <definedName name="_______MAT92">#REF!</definedName>
    <definedName name="_______MAT93">#REF!</definedName>
    <definedName name="_______MAT94">#REF!</definedName>
    <definedName name="_______MAT95">#REF!</definedName>
    <definedName name="_______MAT96">#REF!</definedName>
    <definedName name="_______MAT97">#REF!</definedName>
    <definedName name="_______MAT98">#REF!</definedName>
    <definedName name="_______MAT99">#REF!</definedName>
    <definedName name="_______MAY88">'[12]Base Datos'!$B$11</definedName>
    <definedName name="_______MO1">#REF!</definedName>
    <definedName name="_______MO10">#REF!</definedName>
    <definedName name="_______MO2">#REF!</definedName>
    <definedName name="_______MO3">#REF!</definedName>
    <definedName name="_______MO4">#REF!</definedName>
    <definedName name="_______MO5">#REF!</definedName>
    <definedName name="_______MO6">#REF!</definedName>
    <definedName name="_______MO7">#REF!</definedName>
    <definedName name="_______MO8">#REF!</definedName>
    <definedName name="_______MO9">#REF!</definedName>
    <definedName name="_______MV1">#REF!</definedName>
    <definedName name="_______MV10">#REF!</definedName>
    <definedName name="_______MV11">#REF!</definedName>
    <definedName name="_______MV12">#REF!</definedName>
    <definedName name="_______MV13">#REF!</definedName>
    <definedName name="_______MV14">#REF!</definedName>
    <definedName name="_______MV15">#REF!</definedName>
    <definedName name="_______MV16">#REF!</definedName>
    <definedName name="_______MV17">#REF!</definedName>
    <definedName name="_______MV18">#REF!</definedName>
    <definedName name="_______MV19">#REF!</definedName>
    <definedName name="_______MV2">#REF!</definedName>
    <definedName name="_______MV20">#REF!</definedName>
    <definedName name="_______MV3">#REF!</definedName>
    <definedName name="_______MV4">#REF!</definedName>
    <definedName name="_______MV5">#REF!</definedName>
    <definedName name="_______MV6">#REF!</definedName>
    <definedName name="_______MV7">#REF!</definedName>
    <definedName name="_______MV8">#REF!</definedName>
    <definedName name="_______MV9">#REF!</definedName>
    <definedName name="_______PJ50">#REF!</definedName>
    <definedName name="_______POR1">#REF!</definedName>
    <definedName name="_______POR2">#REF!</definedName>
    <definedName name="_______POR3">#REF!</definedName>
    <definedName name="_______POR4">#REF!</definedName>
    <definedName name="_______POR5">#REF!</definedName>
    <definedName name="_______SBC1">[7]INV!$A$12:$D$15</definedName>
    <definedName name="_______SBC3">[7]INV!$F$12:$I$15</definedName>
    <definedName name="_______SBC5">[7]INV!$K$12:$N$15</definedName>
    <definedName name="_______xlnm.Print_Area">#REF!</definedName>
    <definedName name="_______xlnm.Print_Titles">#REF!</definedName>
    <definedName name="_______xlnm.Print_Titles_1">#REF!</definedName>
    <definedName name="_______xlnm.Print_Titles_2">#REF!</definedName>
    <definedName name="_______xlnm.Print_Titles_4">#REF!</definedName>
    <definedName name="_______xlnm.Print_Titles_4_1">#REF!</definedName>
    <definedName name="_______xlnm.Print_Titles_4_2">#REF!</definedName>
    <definedName name="______A1">'[16]Base Datos'!$B$22</definedName>
    <definedName name="______A251140">#REF!</definedName>
    <definedName name="______A251150">#REF!</definedName>
    <definedName name="______AFC1">[7]INV!$A$25:$D$28</definedName>
    <definedName name="______AFC3">[7]INV!$F$25:$I$28</definedName>
    <definedName name="______AFC5">[7]INV!$K$25:$N$28</definedName>
    <definedName name="______BGC1">[7]INV!$A$5:$D$8</definedName>
    <definedName name="______BGC3">[7]INV!$F$5:$I$8</definedName>
    <definedName name="______BGC5">[7]INV!$K$5:$N$8</definedName>
    <definedName name="______CAC1">[7]INV!$A$19:$D$22</definedName>
    <definedName name="______CAC3">[7]INV!$F$19:$I$22</definedName>
    <definedName name="______CAC5">[7]INV!$K$19:$N$22</definedName>
    <definedName name="______CON123">'[8]Base Datos'!$B$8</definedName>
    <definedName name="______EQP1">#REF!</definedName>
    <definedName name="______EQP10">#REF!</definedName>
    <definedName name="______EQP11">#REF!</definedName>
    <definedName name="______EQP12">#REF!</definedName>
    <definedName name="______EQP13">#REF!</definedName>
    <definedName name="______EQP14">#REF!</definedName>
    <definedName name="______EQP15">#REF!</definedName>
    <definedName name="______EQP16">#REF!</definedName>
    <definedName name="______EQP17">#REF!</definedName>
    <definedName name="______EQP18">#REF!</definedName>
    <definedName name="______EQP19">#REF!</definedName>
    <definedName name="______EQP2">#REF!</definedName>
    <definedName name="______EQP20">#REF!</definedName>
    <definedName name="______eqp27">#REF!</definedName>
    <definedName name="______EQP3">#REF!</definedName>
    <definedName name="______EQP4">#REF!</definedName>
    <definedName name="______EQP5">#REF!</definedName>
    <definedName name="______EQP6">#REF!</definedName>
    <definedName name="______EQP7">#REF!</definedName>
    <definedName name="______EQP8">#REF!</definedName>
    <definedName name="______EQP9">#REF!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f">#REF!</definedName>
    <definedName name="______INF1">#REF!</definedName>
    <definedName name="______M14">'[8]Base Datos'!$B$9</definedName>
    <definedName name="______MA2">#REF!</definedName>
    <definedName name="______MAT1">#REF!</definedName>
    <definedName name="______MAT10">#REF!</definedName>
    <definedName name="______MAT100">#REF!</definedName>
    <definedName name="______MAT101">#REF!</definedName>
    <definedName name="______MAT102">#REF!</definedName>
    <definedName name="______MAT103">#REF!</definedName>
    <definedName name="______MAT104">#REF!</definedName>
    <definedName name="______MAT105">#REF!</definedName>
    <definedName name="______MAT106">#REF!</definedName>
    <definedName name="______MAT107">#REF!</definedName>
    <definedName name="______MAT108">#REF!</definedName>
    <definedName name="______MAT109">#REF!</definedName>
    <definedName name="______MAT11">#REF!</definedName>
    <definedName name="______MAT110">#REF!</definedName>
    <definedName name="______MAT111">#REF!</definedName>
    <definedName name="______MAT1111">'[8]Base Datos'!$B$43</definedName>
    <definedName name="______MAT112">#REF!</definedName>
    <definedName name="______MAT113">#REF!</definedName>
    <definedName name="______MAT114">#REF!</definedName>
    <definedName name="______MAT115">#REF!</definedName>
    <definedName name="______MAT116">#REF!</definedName>
    <definedName name="______MAT117">#REF!</definedName>
    <definedName name="______MAT118">#REF!</definedName>
    <definedName name="______MAT119">#REF!</definedName>
    <definedName name="______MAT12">#REF!</definedName>
    <definedName name="______MAT120">#REF!</definedName>
    <definedName name="______MAT121">#REF!</definedName>
    <definedName name="______MAT122">#REF!</definedName>
    <definedName name="______MAT123">#REF!</definedName>
    <definedName name="______MAT124">#REF!</definedName>
    <definedName name="______MAT125">#REF!</definedName>
    <definedName name="______MAT126">#REF!</definedName>
    <definedName name="______MAT127">#REF!</definedName>
    <definedName name="______MAT128">#REF!</definedName>
    <definedName name="______MAT129">#REF!</definedName>
    <definedName name="______MAT13">#REF!</definedName>
    <definedName name="______MAT130">#REF!</definedName>
    <definedName name="______MAT131">#REF!</definedName>
    <definedName name="______MAT132">#REF!</definedName>
    <definedName name="______MAT133">#REF!</definedName>
    <definedName name="______MAT134">#REF!</definedName>
    <definedName name="______MAT135">#REF!</definedName>
    <definedName name="______MAT136">#REF!</definedName>
    <definedName name="______MAT137">#REF!</definedName>
    <definedName name="______MAT138">#REF!</definedName>
    <definedName name="______MAT139">#REF!</definedName>
    <definedName name="______MAT14">#REF!</definedName>
    <definedName name="______MAT140">#REF!</definedName>
    <definedName name="______MAT141">#REF!</definedName>
    <definedName name="______MAT142">#REF!</definedName>
    <definedName name="______MAT143">#REF!</definedName>
    <definedName name="______MAT144">#REF!</definedName>
    <definedName name="______MAT145">#REF!</definedName>
    <definedName name="______MAT146">#REF!</definedName>
    <definedName name="______MAT147">#REF!</definedName>
    <definedName name="______MAT148">#REF!</definedName>
    <definedName name="______MAT149">#REF!</definedName>
    <definedName name="______MAT15">#REF!</definedName>
    <definedName name="______MAT150">#REF!</definedName>
    <definedName name="______MAT151">#REF!</definedName>
    <definedName name="______MAT152">#REF!</definedName>
    <definedName name="______MAT153">#REF!</definedName>
    <definedName name="______MAT154">#REF!</definedName>
    <definedName name="______MAT155">#REF!</definedName>
    <definedName name="______MAT156">#REF!</definedName>
    <definedName name="______MAT157">#REF!</definedName>
    <definedName name="______MAT158">#REF!</definedName>
    <definedName name="______MAT159">#REF!</definedName>
    <definedName name="______MAT16">#REF!</definedName>
    <definedName name="______MAT160">#REF!</definedName>
    <definedName name="______MAT161">#REF!</definedName>
    <definedName name="______MAT162">#REF!</definedName>
    <definedName name="______MAT163">#REF!</definedName>
    <definedName name="______MAT164">#REF!</definedName>
    <definedName name="______MAT165">#REF!</definedName>
    <definedName name="______MAT166">#REF!</definedName>
    <definedName name="______MAT17">#REF!</definedName>
    <definedName name="______MAT170">'[10]Base Datos'!$B$212</definedName>
    <definedName name="______MAT171">'[10]Base Datos'!$B$213</definedName>
    <definedName name="______MAT18">#REF!</definedName>
    <definedName name="______MAT19">#REF!</definedName>
    <definedName name="______MAT2">#REF!</definedName>
    <definedName name="______MAT20">#REF!</definedName>
    <definedName name="______MAT21">#REF!</definedName>
    <definedName name="______MAT22">#REF!</definedName>
    <definedName name="______MAT23">#REF!</definedName>
    <definedName name="______MAT24">#REF!</definedName>
    <definedName name="______MAT25">#REF!</definedName>
    <definedName name="______MAT26">#REF!</definedName>
    <definedName name="______MAT27">#REF!</definedName>
    <definedName name="______MAT28">#REF!</definedName>
    <definedName name="______MAT29">#REF!</definedName>
    <definedName name="______MAT3">#REF!</definedName>
    <definedName name="______MAT30">#REF!</definedName>
    <definedName name="______MAT31">#REF!</definedName>
    <definedName name="______MAT32">#REF!</definedName>
    <definedName name="______MAT33">#REF!</definedName>
    <definedName name="______MAT34">#REF!</definedName>
    <definedName name="______MAT35">#REF!</definedName>
    <definedName name="______MAT36">#REF!</definedName>
    <definedName name="______MAT37">#REF!</definedName>
    <definedName name="______MAT38">#REF!</definedName>
    <definedName name="______MAT39">#REF!</definedName>
    <definedName name="______MAT4">#REF!</definedName>
    <definedName name="______MAT40">#REF!</definedName>
    <definedName name="______MAT41">#REF!</definedName>
    <definedName name="______MAT42">#REF!</definedName>
    <definedName name="______MAT43">#REF!</definedName>
    <definedName name="______MAT44">#REF!</definedName>
    <definedName name="______MAT45">#REF!</definedName>
    <definedName name="______MAT46">#REF!</definedName>
    <definedName name="______MAT47">#REF!</definedName>
    <definedName name="______MAT48">#REF!</definedName>
    <definedName name="______MAT49">#REF!</definedName>
    <definedName name="______MAT5">#REF!</definedName>
    <definedName name="______MAT50">#REF!</definedName>
    <definedName name="______MAT51">#REF!</definedName>
    <definedName name="______MAT52">#REF!</definedName>
    <definedName name="______MAT53">#REF!</definedName>
    <definedName name="______MAT54">#REF!</definedName>
    <definedName name="______MAT55">#REF!</definedName>
    <definedName name="______MAT56">#REF!</definedName>
    <definedName name="______MAT57">#REF!</definedName>
    <definedName name="______MAT58">#REF!</definedName>
    <definedName name="______MAT59">#REF!</definedName>
    <definedName name="______MAT6">#REF!</definedName>
    <definedName name="______MAT60">#REF!</definedName>
    <definedName name="______MAT61">#REF!</definedName>
    <definedName name="______MAT62">#REF!</definedName>
    <definedName name="______MAT63">#REF!</definedName>
    <definedName name="______MAT64">#REF!</definedName>
    <definedName name="______MAT65">#REF!</definedName>
    <definedName name="______MAT66">#REF!</definedName>
    <definedName name="______MAT67">#REF!</definedName>
    <definedName name="______MAT68">#REF!</definedName>
    <definedName name="______MAT69">#REF!</definedName>
    <definedName name="______MAT7">#REF!</definedName>
    <definedName name="______MAT70">#REF!</definedName>
    <definedName name="______MAT71">#REF!</definedName>
    <definedName name="______MAT72">#REF!</definedName>
    <definedName name="______MAT73">#REF!</definedName>
    <definedName name="______MAT74">#REF!</definedName>
    <definedName name="______MAT75">#REF!</definedName>
    <definedName name="______MAT76">#REF!</definedName>
    <definedName name="______MAT77">#REF!</definedName>
    <definedName name="______MAT78">#REF!</definedName>
    <definedName name="______MAT79">#REF!</definedName>
    <definedName name="______MAT8">#REF!</definedName>
    <definedName name="______MAT80">#REF!</definedName>
    <definedName name="______MAT81">#REF!</definedName>
    <definedName name="______MAT82">#REF!</definedName>
    <definedName name="______MAT83">#REF!</definedName>
    <definedName name="______MAT832">'[11]Base Datos'!$B$125</definedName>
    <definedName name="______MAT84">#REF!</definedName>
    <definedName name="______MAT85">#REF!</definedName>
    <definedName name="______MAT86">#REF!</definedName>
    <definedName name="______MAT87">#REF!</definedName>
    <definedName name="______MAT88">#REF!</definedName>
    <definedName name="______MAT89">#REF!</definedName>
    <definedName name="______MAT9">#REF!</definedName>
    <definedName name="______MAT90">#REF!</definedName>
    <definedName name="______MAT91">#REF!</definedName>
    <definedName name="______MAT92">#REF!</definedName>
    <definedName name="______MAT93">#REF!</definedName>
    <definedName name="______MAT94">#REF!</definedName>
    <definedName name="______MAT95">#REF!</definedName>
    <definedName name="______MAT96">#REF!</definedName>
    <definedName name="______MAT97">#REF!</definedName>
    <definedName name="______MAT98">#REF!</definedName>
    <definedName name="______MAT99">#REF!</definedName>
    <definedName name="______MAY88">'[12]Base Datos'!$B$11</definedName>
    <definedName name="______MO1">#REF!</definedName>
    <definedName name="______MO10">#REF!</definedName>
    <definedName name="______MO2">#REF!</definedName>
    <definedName name="______MO3">#REF!</definedName>
    <definedName name="______MO4">#REF!</definedName>
    <definedName name="______MO5">#REF!</definedName>
    <definedName name="______MO6">#REF!</definedName>
    <definedName name="______MO7">#REF!</definedName>
    <definedName name="______MO8">#REF!</definedName>
    <definedName name="______MO9">#REF!</definedName>
    <definedName name="______MV1">#REF!</definedName>
    <definedName name="______MV10">#REF!</definedName>
    <definedName name="______MV11">#REF!</definedName>
    <definedName name="______MV12">#REF!</definedName>
    <definedName name="______MV13">#REF!</definedName>
    <definedName name="______MV14">#REF!</definedName>
    <definedName name="______MV15">#REF!</definedName>
    <definedName name="______MV16">#REF!</definedName>
    <definedName name="______MV17">#REF!</definedName>
    <definedName name="______MV18">#REF!</definedName>
    <definedName name="______MV19">#REF!</definedName>
    <definedName name="______MV2">#REF!</definedName>
    <definedName name="______MV20">#REF!</definedName>
    <definedName name="______MV3">#REF!</definedName>
    <definedName name="______MV4">#REF!</definedName>
    <definedName name="______MV5">#REF!</definedName>
    <definedName name="______MV6">#REF!</definedName>
    <definedName name="______MV7">#REF!</definedName>
    <definedName name="______MV8">#REF!</definedName>
    <definedName name="______MV9">#REF!</definedName>
    <definedName name="______PJ50">#REF!</definedName>
    <definedName name="______POR1">#REF!</definedName>
    <definedName name="______POR2">#REF!</definedName>
    <definedName name="______POR3">#REF!</definedName>
    <definedName name="______POR4">#REF!</definedName>
    <definedName name="______POR5">#REF!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[7]INV!$A$12:$D$15</definedName>
    <definedName name="______SBC3">[7]INV!$F$12:$I$15</definedName>
    <definedName name="______SBC5">[7]INV!$K$12:$N$15</definedName>
    <definedName name="______xlnm.Print_Area">#REF!</definedName>
    <definedName name="______xlnm.Print_Titles">#REF!</definedName>
    <definedName name="______xlnm.Print_Titles_1">#REF!</definedName>
    <definedName name="______xlnm.Print_Titles_2">#REF!</definedName>
    <definedName name="______xlnm.Print_Titles_4">#REF!</definedName>
    <definedName name="______xlnm.Print_Titles_4_1">#REF!</definedName>
    <definedName name="______xlnm.Print_Titles_4_2">#REF!</definedName>
    <definedName name="_____A1">'[16]Base Datos'!$B$22</definedName>
    <definedName name="_____AFC1">[7]INV!$A$25:$D$28</definedName>
    <definedName name="_____AFC3">[7]INV!$F$25:$I$28</definedName>
    <definedName name="_____AFC5">[7]INV!$K$25:$N$28</definedName>
    <definedName name="_____aiu2">[14]AIU!$J$105</definedName>
    <definedName name="_____ane7" localSheetId="8">[17]!_xlbgnm.ane7</definedName>
    <definedName name="_____ane7" localSheetId="7">[17]!_xlbgnm.ane7</definedName>
    <definedName name="_____ane7" localSheetId="5">[17]!_xlbgnm.ane7</definedName>
    <definedName name="_____ane7" localSheetId="1">[17]!_xlbgnm.ane7</definedName>
    <definedName name="_____ane7" localSheetId="0">[17]!_xlbgnm.ane7</definedName>
    <definedName name="_____ane7" localSheetId="4">[17]!_xlbgnm.ane7</definedName>
    <definedName name="_____ane7">[17]!_xlbgnm.ane7</definedName>
    <definedName name="_____ane8" localSheetId="8">[17]!_xlbgnm.ane8</definedName>
    <definedName name="_____ane8" localSheetId="7">[17]!_xlbgnm.ane8</definedName>
    <definedName name="_____ane8" localSheetId="5">[17]!_xlbgnm.ane8</definedName>
    <definedName name="_____ane8" localSheetId="1">[17]!_xlbgnm.ane8</definedName>
    <definedName name="_____ane8" localSheetId="0">[17]!_xlbgnm.ane8</definedName>
    <definedName name="_____ane8" localSheetId="4">[17]!_xlbgnm.ane8</definedName>
    <definedName name="_____ane8">[17]!_xlbgnm.ane8</definedName>
    <definedName name="_____Atp2">[18]EMPRESA!$F$22</definedName>
    <definedName name="_____BGC1">[7]INV!$A$5:$D$8</definedName>
    <definedName name="_____BGC3">[7]INV!$F$5:$I$8</definedName>
    <definedName name="_____BGC5">[7]INV!$K$5:$N$8</definedName>
    <definedName name="_____CAC1">[7]INV!$A$19:$D$22</definedName>
    <definedName name="_____CAC3">[7]INV!$F$19:$I$22</definedName>
    <definedName name="_____CAC5">[7]INV!$K$19:$N$22</definedName>
    <definedName name="_____CON123">'[8]Base Datos'!$B$8</definedName>
    <definedName name="_____DCI1">[19]Tablas!#REF!</definedName>
    <definedName name="_____DDS1">[19]Tablas!#REF!</definedName>
    <definedName name="_____DGO1">[19]Tablas!#REF!</definedName>
    <definedName name="_____DGP1">[19]Tablas!#REF!</definedName>
    <definedName name="_____DIJ1">[19]Tablas!#REF!</definedName>
    <definedName name="_____DPI1">[19]Tablas!#REF!</definedName>
    <definedName name="_____DPY1">[19]Tablas!#REF!</definedName>
    <definedName name="_____DRI1">[19]Tablas!#REF!</definedName>
    <definedName name="_____DRL1">[19]Tablas!#REF!</definedName>
    <definedName name="_____DSP1">[19]Tablas!#REF!</definedName>
    <definedName name="_____ECP1">[19]Tablas!#REF!</definedName>
    <definedName name="_____EQP1">#REF!</definedName>
    <definedName name="_____EQP10">#REF!</definedName>
    <definedName name="_____EQP11">#REF!</definedName>
    <definedName name="_____EQP12">#REF!</definedName>
    <definedName name="_____EQP13">#REF!</definedName>
    <definedName name="_____EQP14">#REF!</definedName>
    <definedName name="_____EQP15">#REF!</definedName>
    <definedName name="_____EQP16">#REF!</definedName>
    <definedName name="_____EQP17">#REF!</definedName>
    <definedName name="_____EQP18">#REF!</definedName>
    <definedName name="_____EQP19">#REF!</definedName>
    <definedName name="_____EQP2">#REF!</definedName>
    <definedName name="_____EQP20">#REF!</definedName>
    <definedName name="_____eqp27">#REF!</definedName>
    <definedName name="_____EQP3">#REF!</definedName>
    <definedName name="_____EQP4">#REF!</definedName>
    <definedName name="_____EQP5">#REF!</definedName>
    <definedName name="_____EQP6">#REF!</definedName>
    <definedName name="_____EQP7">#REF!</definedName>
    <definedName name="_____EQP8">#REF!</definedName>
    <definedName name="_____EQP9">#REF!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f">#REF!</definedName>
    <definedName name="_____ICP1">[19]Tablas!#REF!</definedName>
    <definedName name="_____M14">'[8]Base Datos'!$B$9</definedName>
    <definedName name="_____MA2">#REF!</definedName>
    <definedName name="_____MAT1">#REF!</definedName>
    <definedName name="_____MAT10">#REF!</definedName>
    <definedName name="_____MAT100">#REF!</definedName>
    <definedName name="_____MAT101">#REF!</definedName>
    <definedName name="_____MAT102">#REF!</definedName>
    <definedName name="_____MAT103">#REF!</definedName>
    <definedName name="_____MAT104">#REF!</definedName>
    <definedName name="_____MAT105">#REF!</definedName>
    <definedName name="_____MAT106">#REF!</definedName>
    <definedName name="_____MAT107">#REF!</definedName>
    <definedName name="_____MAT108">#REF!</definedName>
    <definedName name="_____MAT109">#REF!</definedName>
    <definedName name="_____MAT11">#REF!</definedName>
    <definedName name="_____MAT110">#REF!</definedName>
    <definedName name="_____MAT111">#REF!</definedName>
    <definedName name="_____MAT1111">'[8]Base Datos'!$B$43</definedName>
    <definedName name="_____MAT112">#REF!</definedName>
    <definedName name="_____MAT113">#REF!</definedName>
    <definedName name="_____MAT114">#REF!</definedName>
    <definedName name="_____MAT115">#REF!</definedName>
    <definedName name="_____MAT116">#REF!</definedName>
    <definedName name="_____MAT117">#REF!</definedName>
    <definedName name="_____MAT118">#REF!</definedName>
    <definedName name="_____MAT119">#REF!</definedName>
    <definedName name="_____MAT12">#REF!</definedName>
    <definedName name="_____MAT120">#REF!</definedName>
    <definedName name="_____MAT121">#REF!</definedName>
    <definedName name="_____MAT122">#REF!</definedName>
    <definedName name="_____MAT123">#REF!</definedName>
    <definedName name="_____MAT124">#REF!</definedName>
    <definedName name="_____MAT125">#REF!</definedName>
    <definedName name="_____MAT126">#REF!</definedName>
    <definedName name="_____MAT127">#REF!</definedName>
    <definedName name="_____MAT128">#REF!</definedName>
    <definedName name="_____MAT129">#REF!</definedName>
    <definedName name="_____MAT13">#REF!</definedName>
    <definedName name="_____MAT130">#REF!</definedName>
    <definedName name="_____MAT131">#REF!</definedName>
    <definedName name="_____MAT132">#REF!</definedName>
    <definedName name="_____MAT133">#REF!</definedName>
    <definedName name="_____MAT134">#REF!</definedName>
    <definedName name="_____MAT135">#REF!</definedName>
    <definedName name="_____MAT136">#REF!</definedName>
    <definedName name="_____MAT137">#REF!</definedName>
    <definedName name="_____MAT138">#REF!</definedName>
    <definedName name="_____MAT139">#REF!</definedName>
    <definedName name="_____MAT14">#REF!</definedName>
    <definedName name="_____MAT140">#REF!</definedName>
    <definedName name="_____MAT141">#REF!</definedName>
    <definedName name="_____MAT142">#REF!</definedName>
    <definedName name="_____MAT143">#REF!</definedName>
    <definedName name="_____MAT144">#REF!</definedName>
    <definedName name="_____MAT145">#REF!</definedName>
    <definedName name="_____MAT146">#REF!</definedName>
    <definedName name="_____MAT147">#REF!</definedName>
    <definedName name="_____MAT148">#REF!</definedName>
    <definedName name="_____MAT149">#REF!</definedName>
    <definedName name="_____MAT15">#REF!</definedName>
    <definedName name="_____MAT150">#REF!</definedName>
    <definedName name="_____MAT151">#REF!</definedName>
    <definedName name="_____MAT152">#REF!</definedName>
    <definedName name="_____MAT153">#REF!</definedName>
    <definedName name="_____MAT154">#REF!</definedName>
    <definedName name="_____MAT155">#REF!</definedName>
    <definedName name="_____MAT156">#REF!</definedName>
    <definedName name="_____MAT157">#REF!</definedName>
    <definedName name="_____MAT158">#REF!</definedName>
    <definedName name="_____MAT159">#REF!</definedName>
    <definedName name="_____MAT16">#REF!</definedName>
    <definedName name="_____MAT160">#REF!</definedName>
    <definedName name="_____MAT161">#REF!</definedName>
    <definedName name="_____MAT162">#REF!</definedName>
    <definedName name="_____MAT163">#REF!</definedName>
    <definedName name="_____MAT164">#REF!</definedName>
    <definedName name="_____MAT165">#REF!</definedName>
    <definedName name="_____MAT166">#REF!</definedName>
    <definedName name="_____MAT17">#REF!</definedName>
    <definedName name="_____MAT170">'[10]Base Datos'!$B$212</definedName>
    <definedName name="_____MAT171">'[10]Base Datos'!$B$213</definedName>
    <definedName name="_____MAT18">#REF!</definedName>
    <definedName name="_____MAT19">#REF!</definedName>
    <definedName name="_____MAT2">#REF!</definedName>
    <definedName name="_____MAT20">#REF!</definedName>
    <definedName name="_____MAT21">#REF!</definedName>
    <definedName name="_____MAT22">#REF!</definedName>
    <definedName name="_____MAT23">#REF!</definedName>
    <definedName name="_____MAT24">#REF!</definedName>
    <definedName name="_____MAT25">#REF!</definedName>
    <definedName name="_____MAT26">#REF!</definedName>
    <definedName name="_____MAT27">#REF!</definedName>
    <definedName name="_____MAT28">#REF!</definedName>
    <definedName name="_____MAT29">#REF!</definedName>
    <definedName name="_____MAT3">#REF!</definedName>
    <definedName name="_____MAT30">#REF!</definedName>
    <definedName name="_____MAT31">#REF!</definedName>
    <definedName name="_____MAT32">#REF!</definedName>
    <definedName name="_____MAT33">#REF!</definedName>
    <definedName name="_____MAT34">#REF!</definedName>
    <definedName name="_____MAT35">#REF!</definedName>
    <definedName name="_____MAT36">#REF!</definedName>
    <definedName name="_____MAT37">#REF!</definedName>
    <definedName name="_____MAT38">#REF!</definedName>
    <definedName name="_____MAT39">#REF!</definedName>
    <definedName name="_____MAT4">#REF!</definedName>
    <definedName name="_____MAT40">#REF!</definedName>
    <definedName name="_____MAT41">#REF!</definedName>
    <definedName name="_____MAT42">#REF!</definedName>
    <definedName name="_____MAT43">#REF!</definedName>
    <definedName name="_____MAT44">#REF!</definedName>
    <definedName name="_____MAT45">#REF!</definedName>
    <definedName name="_____MAT46">#REF!</definedName>
    <definedName name="_____MAT47">#REF!</definedName>
    <definedName name="_____MAT48">#REF!</definedName>
    <definedName name="_____MAT49">#REF!</definedName>
    <definedName name="_____MAT5">#REF!</definedName>
    <definedName name="_____MAT50">#REF!</definedName>
    <definedName name="_____MAT51">#REF!</definedName>
    <definedName name="_____MAT52">#REF!</definedName>
    <definedName name="_____MAT53">#REF!</definedName>
    <definedName name="_____MAT54">#REF!</definedName>
    <definedName name="_____MAT55">#REF!</definedName>
    <definedName name="_____MAT56">#REF!</definedName>
    <definedName name="_____MAT57">#REF!</definedName>
    <definedName name="_____MAT58">#REF!</definedName>
    <definedName name="_____MAT59">#REF!</definedName>
    <definedName name="_____MAT6">#REF!</definedName>
    <definedName name="_____MAT60">#REF!</definedName>
    <definedName name="_____MAT61">#REF!</definedName>
    <definedName name="_____MAT62">#REF!</definedName>
    <definedName name="_____MAT63">#REF!</definedName>
    <definedName name="_____MAT64">#REF!</definedName>
    <definedName name="_____MAT65">#REF!</definedName>
    <definedName name="_____MAT66">#REF!</definedName>
    <definedName name="_____MAT67">#REF!</definedName>
    <definedName name="_____MAT68">#REF!</definedName>
    <definedName name="_____MAT69">#REF!</definedName>
    <definedName name="_____MAT7">#REF!</definedName>
    <definedName name="_____MAT70">#REF!</definedName>
    <definedName name="_____MAT71">#REF!</definedName>
    <definedName name="_____MAT72">#REF!</definedName>
    <definedName name="_____MAT73">#REF!</definedName>
    <definedName name="_____MAT74">#REF!</definedName>
    <definedName name="_____MAT75">#REF!</definedName>
    <definedName name="_____MAT76">#REF!</definedName>
    <definedName name="_____MAT77">#REF!</definedName>
    <definedName name="_____MAT78">#REF!</definedName>
    <definedName name="_____MAT79">#REF!</definedName>
    <definedName name="_____MAT8">#REF!</definedName>
    <definedName name="_____MAT80">#REF!</definedName>
    <definedName name="_____MAT81">#REF!</definedName>
    <definedName name="_____MAT82">#REF!</definedName>
    <definedName name="_____MAT83">#REF!</definedName>
    <definedName name="_____MAT832">'[11]Base Datos'!$B$125</definedName>
    <definedName name="_____MAT84">#REF!</definedName>
    <definedName name="_____MAT85">#REF!</definedName>
    <definedName name="_____MAT86">#REF!</definedName>
    <definedName name="_____MAT87">#REF!</definedName>
    <definedName name="_____MAT88">#REF!</definedName>
    <definedName name="_____MAT89">#REF!</definedName>
    <definedName name="_____MAT9">#REF!</definedName>
    <definedName name="_____MAT90">#REF!</definedName>
    <definedName name="_____MAT91">#REF!</definedName>
    <definedName name="_____MAT92">#REF!</definedName>
    <definedName name="_____MAT93">#REF!</definedName>
    <definedName name="_____MAT94">#REF!</definedName>
    <definedName name="_____MAT95">#REF!</definedName>
    <definedName name="_____MAT96">#REF!</definedName>
    <definedName name="_____MAT97">#REF!</definedName>
    <definedName name="_____MAT98">#REF!</definedName>
    <definedName name="_____MAT99">#REF!</definedName>
    <definedName name="_____MAY88">'[12]Base Datos'!$B$11</definedName>
    <definedName name="_____MO1">#REF!</definedName>
    <definedName name="_____MO10">#REF!</definedName>
    <definedName name="_____MO2">#REF!</definedName>
    <definedName name="_____MO3">#REF!</definedName>
    <definedName name="_____MO4">#REF!</definedName>
    <definedName name="_____MO5">#REF!</definedName>
    <definedName name="_____MO6">#REF!</definedName>
    <definedName name="_____MO7">#REF!</definedName>
    <definedName name="_____MO8">#REF!</definedName>
    <definedName name="_____MO9">#REF!</definedName>
    <definedName name="_____MV1">#REF!</definedName>
    <definedName name="_____MV10">#REF!</definedName>
    <definedName name="_____MV11">#REF!</definedName>
    <definedName name="_____MV12">#REF!</definedName>
    <definedName name="_____MV13">#REF!</definedName>
    <definedName name="_____MV14">#REF!</definedName>
    <definedName name="_____MV15">#REF!</definedName>
    <definedName name="_____MV16">#REF!</definedName>
    <definedName name="_____MV17">#REF!</definedName>
    <definedName name="_____MV18">#REF!</definedName>
    <definedName name="_____MV19">#REF!</definedName>
    <definedName name="_____MV2">#REF!</definedName>
    <definedName name="_____MV20">#REF!</definedName>
    <definedName name="_____MV3">#REF!</definedName>
    <definedName name="_____MV4">#REF!</definedName>
    <definedName name="_____MV5">#REF!</definedName>
    <definedName name="_____MV6">#REF!</definedName>
    <definedName name="_____MV7">#REF!</definedName>
    <definedName name="_____MV8">#REF!</definedName>
    <definedName name="_____MV9">#REF!</definedName>
    <definedName name="_____OCD1">[19]Tablas!#REF!</definedName>
    <definedName name="_____OCI1">[19]Tablas!#REF!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J50">#REF!</definedName>
    <definedName name="_____pj51">#REF!</definedName>
    <definedName name="_____PMT5671">[13]MEMORIAS!#REF!</definedName>
    <definedName name="_____PMT5805">[13]MEMORIAS!#REF!</definedName>
    <definedName name="_____PMT5806">[13]MEMORIAS!#REF!</definedName>
    <definedName name="_____PMT5815">[13]MEMORIAS!#REF!</definedName>
    <definedName name="_____PMT5820">[13]MEMORIAS!#REF!</definedName>
    <definedName name="_____POR1">#REF!</definedName>
    <definedName name="_____POR2">#REF!</definedName>
    <definedName name="_____POR3">#REF!</definedName>
    <definedName name="_____POR4">#REF!</definedName>
    <definedName name="_____POR5">#REF!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#REF!</definedName>
    <definedName name="_____SBC1">[7]INV!$A$12:$D$15</definedName>
    <definedName name="_____SBC3">[7]INV!$F$12:$I$15</definedName>
    <definedName name="_____SBC5">[7]INV!$K$12:$N$15</definedName>
    <definedName name="_____tab1">#REF!</definedName>
    <definedName name="_____tab2">#REF!</definedName>
    <definedName name="_____tab3">#REF!</definedName>
    <definedName name="_____TAB4">#REF!</definedName>
    <definedName name="_____VEX1">[19]Tablas!#REF!</definedName>
    <definedName name="_____VFA1">[19]Tablas!#REF!</definedName>
    <definedName name="_____VIT1">[19]Tablas!#REF!</definedName>
    <definedName name="_____Vol1">[20]Item!$A:$D</definedName>
    <definedName name="_____VPR1">[19]Tablas!#REF!</definedName>
    <definedName name="_____VPR2">[21]Tablas!#REF!</definedName>
    <definedName name="_____VRP1">[19]Tablas!#REF!</definedName>
    <definedName name="_____VSM1">[19]Tablas!#REF!</definedName>
    <definedName name="_____xlnm.Print_Area">#REF!</definedName>
    <definedName name="_____xlnm.Print_Titles">#REF!</definedName>
    <definedName name="_____xlnm.Print_Titles_1">#REF!</definedName>
    <definedName name="_____xlnm.Print_Titles_2">#REF!</definedName>
    <definedName name="_____xlnm.Print_Titles_4">#REF!</definedName>
    <definedName name="_____xlnm.Print_Titles_4_1">#REF!</definedName>
    <definedName name="_____xlnm.Print_Titles_4_2">#REF!</definedName>
    <definedName name="____A1">'[16]Base Datos'!$B$22</definedName>
    <definedName name="____A251140">#REF!</definedName>
    <definedName name="____A251150">#REF!</definedName>
    <definedName name="____AFC1">[7]INV!$A$25:$D$28</definedName>
    <definedName name="____AFC3">[7]INV!$F$25:$I$28</definedName>
    <definedName name="____AFC5">[7]INV!$K$25:$N$28</definedName>
    <definedName name="____aiu2">[14]AIU!$J$105</definedName>
    <definedName name="____ane7" localSheetId="8">[22]!_xlbgnm.ane7</definedName>
    <definedName name="____ane7" localSheetId="7">[22]!_xlbgnm.ane7</definedName>
    <definedName name="____ane7" localSheetId="5">[22]!_xlbgnm.ane7</definedName>
    <definedName name="____ane7" localSheetId="1">[22]!_xlbgnm.ane7</definedName>
    <definedName name="____ane7" localSheetId="0">[22]!_xlbgnm.ane7</definedName>
    <definedName name="____ane7" localSheetId="4">[22]!_xlbgnm.ane7</definedName>
    <definedName name="____ane7">[22]!_xlbgnm.ane7</definedName>
    <definedName name="____ane8" localSheetId="8">[22]!_xlbgnm.ane8</definedName>
    <definedName name="____ane8" localSheetId="7">[22]!_xlbgnm.ane8</definedName>
    <definedName name="____ane8" localSheetId="5">[22]!_xlbgnm.ane8</definedName>
    <definedName name="____ane8" localSheetId="1">[22]!_xlbgnm.ane8</definedName>
    <definedName name="____ane8" localSheetId="0">[22]!_xlbgnm.ane8</definedName>
    <definedName name="____ane8" localSheetId="4">[22]!_xlbgnm.ane8</definedName>
    <definedName name="____ane8">[22]!_xlbgnm.ane8</definedName>
    <definedName name="____Atp2">[23]EMPRESA!$F$22</definedName>
    <definedName name="____BGC1">[7]INV!$A$5:$D$8</definedName>
    <definedName name="____BGC3">[7]INV!$F$5:$I$8</definedName>
    <definedName name="____BGC5">[7]INV!$K$5:$N$8</definedName>
    <definedName name="____CAC1">[7]INV!$A$19:$D$22</definedName>
    <definedName name="____CAC3">[7]INV!$F$19:$I$22</definedName>
    <definedName name="____CAC5">[7]INV!$K$19:$N$22</definedName>
    <definedName name="____cal16">#REF!</definedName>
    <definedName name="____cal18">#REF!</definedName>
    <definedName name="____Cal20">#REF!</definedName>
    <definedName name="____cal22">#REF!</definedName>
    <definedName name="____cal24">#REF!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CON123">'[8]Base Datos'!$B$8</definedName>
    <definedName name="____DCI1">[19]Tablas!#REF!</definedName>
    <definedName name="____DDS1">[19]Tablas!#REF!</definedName>
    <definedName name="____DGO1">[19]Tablas!#REF!</definedName>
    <definedName name="____DGP1">[19]Tablas!#REF!</definedName>
    <definedName name="____DIJ1">[19]Tablas!#REF!</definedName>
    <definedName name="____DPI1">[19]Tablas!#REF!</definedName>
    <definedName name="____DPY1">[19]Tablas!#REF!</definedName>
    <definedName name="____DRI1">[19]Tablas!#REF!</definedName>
    <definedName name="____DRL1">[19]Tablas!#REF!</definedName>
    <definedName name="____DSP1">[19]Tablas!#REF!</definedName>
    <definedName name="____ECP1">[19]Tablas!#REF!</definedName>
    <definedName name="____EQP1">#REF!</definedName>
    <definedName name="____EQP10">#REF!</definedName>
    <definedName name="____EQP11">#REF!</definedName>
    <definedName name="____EQP12">#REF!</definedName>
    <definedName name="____EQP13">#REF!</definedName>
    <definedName name="____EQP14">#REF!</definedName>
    <definedName name="____EQP15">#REF!</definedName>
    <definedName name="____EQP16">#REF!</definedName>
    <definedName name="____EQP17">#REF!</definedName>
    <definedName name="____EQP18">#REF!</definedName>
    <definedName name="____EQP19">#REF!</definedName>
    <definedName name="____EQP2">#REF!</definedName>
    <definedName name="____EQP20">#REF!</definedName>
    <definedName name="____eqp27">#REF!</definedName>
    <definedName name="____EQP3">#REF!</definedName>
    <definedName name="____EQP4">#REF!</definedName>
    <definedName name="____EQP5">#REF!</definedName>
    <definedName name="____EQP6">#REF!</definedName>
    <definedName name="____EQP7">#REF!</definedName>
    <definedName name="____EQP8">#REF!</definedName>
    <definedName name="____EQP9">#REF!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f">#REF!</definedName>
    <definedName name="____ICP1">[19]Tablas!#REF!</definedName>
    <definedName name="____INF1">#REF!</definedName>
    <definedName name="____LEY80">#REF!</definedName>
    <definedName name="____M14">'[8]Base Datos'!$B$9</definedName>
    <definedName name="____MA2">#REF!</definedName>
    <definedName name="____MAT1">#REF!</definedName>
    <definedName name="____MAT10">#REF!</definedName>
    <definedName name="____MAT100">#REF!</definedName>
    <definedName name="____MAT101">#REF!</definedName>
    <definedName name="____MAT102">#REF!</definedName>
    <definedName name="____MAT103">#REF!</definedName>
    <definedName name="____MAT104">#REF!</definedName>
    <definedName name="____MAT105">#REF!</definedName>
    <definedName name="____MAT106">#REF!</definedName>
    <definedName name="____MAT107">#REF!</definedName>
    <definedName name="____MAT108">#REF!</definedName>
    <definedName name="____MAT109">#REF!</definedName>
    <definedName name="____MAT11">#REF!</definedName>
    <definedName name="____MAT110">#REF!</definedName>
    <definedName name="____MAT111">#REF!</definedName>
    <definedName name="____MAT1111">'[8]Base Datos'!$B$43</definedName>
    <definedName name="____MAT112">#REF!</definedName>
    <definedName name="____MAT113">#REF!</definedName>
    <definedName name="____MAT114">#REF!</definedName>
    <definedName name="____MAT115">#REF!</definedName>
    <definedName name="____MAT116">#REF!</definedName>
    <definedName name="____MAT117">#REF!</definedName>
    <definedName name="____MAT118">#REF!</definedName>
    <definedName name="____MAT119">#REF!</definedName>
    <definedName name="____MAT12">#REF!</definedName>
    <definedName name="____MAT120">#REF!</definedName>
    <definedName name="____MAT121">#REF!</definedName>
    <definedName name="____MAT122">#REF!</definedName>
    <definedName name="____MAT123">#REF!</definedName>
    <definedName name="____MAT124">#REF!</definedName>
    <definedName name="____MAT125">#REF!</definedName>
    <definedName name="____MAT126">#REF!</definedName>
    <definedName name="____MAT127">#REF!</definedName>
    <definedName name="____MAT128">#REF!</definedName>
    <definedName name="____MAT129">#REF!</definedName>
    <definedName name="____MAT13">#REF!</definedName>
    <definedName name="____MAT130">#REF!</definedName>
    <definedName name="____MAT131">#REF!</definedName>
    <definedName name="____MAT132">#REF!</definedName>
    <definedName name="____MAT133">#REF!</definedName>
    <definedName name="____MAT134">#REF!</definedName>
    <definedName name="____MAT135">#REF!</definedName>
    <definedName name="____MAT136">#REF!</definedName>
    <definedName name="____MAT137">#REF!</definedName>
    <definedName name="____MAT138">#REF!</definedName>
    <definedName name="____MAT139">#REF!</definedName>
    <definedName name="____MAT14">#REF!</definedName>
    <definedName name="____MAT140">#REF!</definedName>
    <definedName name="____MAT141">#REF!</definedName>
    <definedName name="____MAT142">#REF!</definedName>
    <definedName name="____MAT143">#REF!</definedName>
    <definedName name="____MAT144">#REF!</definedName>
    <definedName name="____MAT145">#REF!</definedName>
    <definedName name="____MAT146">#REF!</definedName>
    <definedName name="____MAT147">#REF!</definedName>
    <definedName name="____MAT148">#REF!</definedName>
    <definedName name="____MAT149">#REF!</definedName>
    <definedName name="____MAT15">#REF!</definedName>
    <definedName name="____MAT150">#REF!</definedName>
    <definedName name="____MAT151">#REF!</definedName>
    <definedName name="____MAT152">#REF!</definedName>
    <definedName name="____MAT153">#REF!</definedName>
    <definedName name="____MAT154">#REF!</definedName>
    <definedName name="____MAT155">#REF!</definedName>
    <definedName name="____MAT156">#REF!</definedName>
    <definedName name="____MAT157">#REF!</definedName>
    <definedName name="____MAT158">#REF!</definedName>
    <definedName name="____MAT159">#REF!</definedName>
    <definedName name="____MAT16">#REF!</definedName>
    <definedName name="____MAT160">#REF!</definedName>
    <definedName name="____MAT161">#REF!</definedName>
    <definedName name="____MAT162">#REF!</definedName>
    <definedName name="____MAT163">#REF!</definedName>
    <definedName name="____MAT164">#REF!</definedName>
    <definedName name="____MAT165">#REF!</definedName>
    <definedName name="____MAT166">#REF!</definedName>
    <definedName name="____MAT17">#REF!</definedName>
    <definedName name="____MAT170">'[10]Base Datos'!$B$212</definedName>
    <definedName name="____MAT171">'[10]Base Datos'!$B$213</definedName>
    <definedName name="____MAT18">#REF!</definedName>
    <definedName name="____MAT19">#REF!</definedName>
    <definedName name="____MAT2">#REF!</definedName>
    <definedName name="____MAT20">#REF!</definedName>
    <definedName name="____MAT21">#REF!</definedName>
    <definedName name="____MAT22">#REF!</definedName>
    <definedName name="____MAT23">#REF!</definedName>
    <definedName name="____MAT24">#REF!</definedName>
    <definedName name="____MAT25">#REF!</definedName>
    <definedName name="____MAT26">#REF!</definedName>
    <definedName name="____MAT27">#REF!</definedName>
    <definedName name="____MAT28">#REF!</definedName>
    <definedName name="____MAT29">#REF!</definedName>
    <definedName name="____MAT3">#REF!</definedName>
    <definedName name="____MAT30">#REF!</definedName>
    <definedName name="____MAT31">#REF!</definedName>
    <definedName name="____MAT32">#REF!</definedName>
    <definedName name="____MAT33">#REF!</definedName>
    <definedName name="____MAT34">#REF!</definedName>
    <definedName name="____MAT35">#REF!</definedName>
    <definedName name="____MAT36">#REF!</definedName>
    <definedName name="____MAT37">#REF!</definedName>
    <definedName name="____MAT38">#REF!</definedName>
    <definedName name="____MAT39">#REF!</definedName>
    <definedName name="____MAT4">#REF!</definedName>
    <definedName name="____MAT40">#REF!</definedName>
    <definedName name="____MAT41">#REF!</definedName>
    <definedName name="____MAT42">#REF!</definedName>
    <definedName name="____MAT43">#REF!</definedName>
    <definedName name="____MAT44">#REF!</definedName>
    <definedName name="____MAT45">#REF!</definedName>
    <definedName name="____MAT46">#REF!</definedName>
    <definedName name="____MAT47">#REF!</definedName>
    <definedName name="____MAT48">#REF!</definedName>
    <definedName name="____MAT49">#REF!</definedName>
    <definedName name="____MAT5">#REF!</definedName>
    <definedName name="____MAT50">#REF!</definedName>
    <definedName name="____MAT51">#REF!</definedName>
    <definedName name="____MAT52">#REF!</definedName>
    <definedName name="____MAT53">#REF!</definedName>
    <definedName name="____MAT54">#REF!</definedName>
    <definedName name="____MAT55">#REF!</definedName>
    <definedName name="____MAT56">#REF!</definedName>
    <definedName name="____MAT57">#REF!</definedName>
    <definedName name="____MAT58">#REF!</definedName>
    <definedName name="____MAT59">#REF!</definedName>
    <definedName name="____MAT6">#REF!</definedName>
    <definedName name="____MAT60">#REF!</definedName>
    <definedName name="____MAT61">#REF!</definedName>
    <definedName name="____MAT62">#REF!</definedName>
    <definedName name="____MAT63">#REF!</definedName>
    <definedName name="____MAT64">#REF!</definedName>
    <definedName name="____MAT65">#REF!</definedName>
    <definedName name="____MAT66">#REF!</definedName>
    <definedName name="____MAT67">#REF!</definedName>
    <definedName name="____MAT68">#REF!</definedName>
    <definedName name="____MAT69">#REF!</definedName>
    <definedName name="____MAT7">#REF!</definedName>
    <definedName name="____MAT70">#REF!</definedName>
    <definedName name="____MAT71">#REF!</definedName>
    <definedName name="____MAT72">#REF!</definedName>
    <definedName name="____MAT73">#REF!</definedName>
    <definedName name="____MAT74">#REF!</definedName>
    <definedName name="____MAT75">#REF!</definedName>
    <definedName name="____MAT76">#REF!</definedName>
    <definedName name="____MAT77">#REF!</definedName>
    <definedName name="____MAT78">#REF!</definedName>
    <definedName name="____MAT79">#REF!</definedName>
    <definedName name="____MAT8">#REF!</definedName>
    <definedName name="____MAT80">#REF!</definedName>
    <definedName name="____MAT81">#REF!</definedName>
    <definedName name="____MAT82">#REF!</definedName>
    <definedName name="____MAT83">#REF!</definedName>
    <definedName name="____MAT832">'[11]Base Datos'!$B$125</definedName>
    <definedName name="____MAT84">#REF!</definedName>
    <definedName name="____MAT85">#REF!</definedName>
    <definedName name="____MAT86">#REF!</definedName>
    <definedName name="____MAT87">#REF!</definedName>
    <definedName name="____MAT88">#REF!</definedName>
    <definedName name="____MAT89">#REF!</definedName>
    <definedName name="____MAT9">#REF!</definedName>
    <definedName name="____MAT90">#REF!</definedName>
    <definedName name="____MAT91">#REF!</definedName>
    <definedName name="____MAT92">#REF!</definedName>
    <definedName name="____MAT93">#REF!</definedName>
    <definedName name="____MAT94">#REF!</definedName>
    <definedName name="____MAT95">#REF!</definedName>
    <definedName name="____MAT96">#REF!</definedName>
    <definedName name="____MAT97">#REF!</definedName>
    <definedName name="____MAT98">#REF!</definedName>
    <definedName name="____MAT99">#REF!</definedName>
    <definedName name="____MAY88">'[12]Base Datos'!$B$11</definedName>
    <definedName name="____MO1">#REF!</definedName>
    <definedName name="____MO10">#REF!</definedName>
    <definedName name="____MO2">#REF!</definedName>
    <definedName name="____MO3">#REF!</definedName>
    <definedName name="____MO4">#REF!</definedName>
    <definedName name="____MO5">#REF!</definedName>
    <definedName name="____MO6">#REF!</definedName>
    <definedName name="____MO7">#REF!</definedName>
    <definedName name="____MO8">#REF!</definedName>
    <definedName name="____MO9">#REF!</definedName>
    <definedName name="____MV1">#REF!</definedName>
    <definedName name="____MV10">#REF!</definedName>
    <definedName name="____MV11">#REF!</definedName>
    <definedName name="____MV12">#REF!</definedName>
    <definedName name="____MV13">#REF!</definedName>
    <definedName name="____MV14">#REF!</definedName>
    <definedName name="____MV15">#REF!</definedName>
    <definedName name="____MV16">#REF!</definedName>
    <definedName name="____MV17">#REF!</definedName>
    <definedName name="____MV18">#REF!</definedName>
    <definedName name="____MV19">#REF!</definedName>
    <definedName name="____MV2">#REF!</definedName>
    <definedName name="____MV20">#REF!</definedName>
    <definedName name="____MV3">#REF!</definedName>
    <definedName name="____MV4">#REF!</definedName>
    <definedName name="____MV5">#REF!</definedName>
    <definedName name="____MV6">#REF!</definedName>
    <definedName name="____MV7">#REF!</definedName>
    <definedName name="____MV8">#REF!</definedName>
    <definedName name="____MV9">#REF!</definedName>
    <definedName name="____OCD1">[19]Tablas!#REF!</definedName>
    <definedName name="____OCI1">[19]Tablas!#REF!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J50">#REF!</definedName>
    <definedName name="____pj51">#REF!</definedName>
    <definedName name="____PMT5671">[13]MEMORIAS!#REF!</definedName>
    <definedName name="____PMT5805">[13]MEMORIAS!#REF!</definedName>
    <definedName name="____PMT5806">[13]MEMORIAS!#REF!</definedName>
    <definedName name="____PMT5815">[13]MEMORIAS!#REF!</definedName>
    <definedName name="____PMT5820">[13]MEMORIAS!#REF!</definedName>
    <definedName name="____POR1">#REF!</definedName>
    <definedName name="____POR2">#REF!</definedName>
    <definedName name="____POR3">#REF!</definedName>
    <definedName name="____POR4">#REF!</definedName>
    <definedName name="____POR5">#REF!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#REF!</definedName>
    <definedName name="____SAL1">#REF!</definedName>
    <definedName name="____SBC1">[7]INV!$A$12:$D$15</definedName>
    <definedName name="____SBC3">[7]INV!$F$12:$I$15</definedName>
    <definedName name="____SBC5">[7]INV!$K$12:$N$15</definedName>
    <definedName name="____tab1">#REF!</definedName>
    <definedName name="____tab2">#REF!</definedName>
    <definedName name="____tab3">#REF!</definedName>
    <definedName name="____TAB4">#REF!</definedName>
    <definedName name="____TC212">#REF!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1">#REF!</definedName>
    <definedName name="____VEX1">[19]Tablas!#REF!</definedName>
    <definedName name="____VFA1">[19]Tablas!#REF!</definedName>
    <definedName name="____VIT1">[19]Tablas!#REF!</definedName>
    <definedName name="____Vol1">[20]Item!$A:$D</definedName>
    <definedName name="____VPR1">[19]Tablas!#REF!</definedName>
    <definedName name="____VPR2">#REF!</definedName>
    <definedName name="____VRP1">[19]Tablas!#REF!</definedName>
    <definedName name="____VSM1">[19]Tablas!#REF!</definedName>
    <definedName name="____xlnm.Print_Area">#REF!</definedName>
    <definedName name="____xlnm.Print_Titles">#REF!</definedName>
    <definedName name="____xlnm.Print_Titles_1">#REF!</definedName>
    <definedName name="____xlnm.Print_Titles_2">#REF!</definedName>
    <definedName name="____xlnm.Print_Titles_4">#REF!</definedName>
    <definedName name="____xlnm.Print_Titles_4_1">#REF!</definedName>
    <definedName name="____xlnm.Print_Titles_4_2">#REF!</definedName>
    <definedName name="___A1">'[16]Base Datos'!$B$22</definedName>
    <definedName name="___A16400">#REF!</definedName>
    <definedName name="___A251140">#REF!</definedName>
    <definedName name="___A251150">#REF!</definedName>
    <definedName name="___ADN3">[24]APU!$G$277</definedName>
    <definedName name="___AFC1">[7]INV!$A$25:$D$28</definedName>
    <definedName name="___AFC3">[7]INV!$F$25:$I$28</definedName>
    <definedName name="___AFC5">[7]INV!$K$25:$N$28</definedName>
    <definedName name="___aiu2">[14]AIU!$J$105</definedName>
    <definedName name="___ane7" localSheetId="8">[25]!_xlbgnm.ane7</definedName>
    <definedName name="___ane7" localSheetId="7">[25]!_xlbgnm.ane7</definedName>
    <definedName name="___ane7" localSheetId="5">[25]!_xlbgnm.ane7</definedName>
    <definedName name="___ane7" localSheetId="1">[25]!_xlbgnm.ane7</definedName>
    <definedName name="___ane7" localSheetId="0">[25]!_xlbgnm.ane7</definedName>
    <definedName name="___ane7" localSheetId="4">[25]!_xlbgnm.ane7</definedName>
    <definedName name="___ane7">[25]!_xlbgnm.ane7</definedName>
    <definedName name="___ane8" localSheetId="8">[25]!_xlbgnm.ane8</definedName>
    <definedName name="___ane8" localSheetId="7">[25]!_xlbgnm.ane8</definedName>
    <definedName name="___ane8" localSheetId="5">[25]!_xlbgnm.ane8</definedName>
    <definedName name="___ane8" localSheetId="1">[25]!_xlbgnm.ane8</definedName>
    <definedName name="___ane8" localSheetId="0">[25]!_xlbgnm.ane8</definedName>
    <definedName name="___ane8" localSheetId="4">[25]!_xlbgnm.ane8</definedName>
    <definedName name="___ane8">[25]!_xlbgnm.ane8</definedName>
    <definedName name="___Atp2">[26]EMPRESA!$F$22</definedName>
    <definedName name="___BGC1">[7]INV!$A$5:$D$8</definedName>
    <definedName name="___BGC3">[7]INV!$F$5:$I$8</definedName>
    <definedName name="___BGC5">[7]INV!$K$5:$N$8</definedName>
    <definedName name="___CAC1">[7]INV!$A$19:$D$22</definedName>
    <definedName name="___CAC3">[7]INV!$F$19:$I$22</definedName>
    <definedName name="___CAC5">[7]INV!$K$19:$N$22</definedName>
    <definedName name="___CHD1045">#REF!</definedName>
    <definedName name="___CHD1090">#REF!</definedName>
    <definedName name="___CHD1245">#REF!</definedName>
    <definedName name="___CHD1290">#REF!</definedName>
    <definedName name="___CHD445">#REF!</definedName>
    <definedName name="___CHD490">#REF!</definedName>
    <definedName name="___CHD645">#REF!</definedName>
    <definedName name="___CHD690">#REF!</definedName>
    <definedName name="___CHD845">#REF!</definedName>
    <definedName name="___CHD890">#REF!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CON123">'[27]Base Datos'!$B$8</definedName>
    <definedName name="___DCI1">[19]Tablas!#REF!</definedName>
    <definedName name="___DDS1">[19]Tablas!#REF!</definedName>
    <definedName name="___DGO1">[19]Tablas!#REF!</definedName>
    <definedName name="___DGP1">[19]Tablas!#REF!</definedName>
    <definedName name="___DIJ1">[19]Tablas!#REF!</definedName>
    <definedName name="___DPI1">[19]Tablas!#REF!</definedName>
    <definedName name="___DPY1">[19]Tablas!#REF!</definedName>
    <definedName name="___DRI1">[19]Tablas!#REF!</definedName>
    <definedName name="___DRL1">[19]Tablas!#REF!</definedName>
    <definedName name="___DSP1">[19]Tablas!#REF!</definedName>
    <definedName name="___ECP1">[19]Tablas!#REF!</definedName>
    <definedName name="___EQP1">#REF!</definedName>
    <definedName name="___EQP10">#REF!</definedName>
    <definedName name="___EQP11">#REF!</definedName>
    <definedName name="___EQP12">#REF!</definedName>
    <definedName name="___EQP13">#REF!</definedName>
    <definedName name="___EQP14">#REF!</definedName>
    <definedName name="___EQP15">#REF!</definedName>
    <definedName name="___EQP16">#REF!</definedName>
    <definedName name="___EQP17">#REF!</definedName>
    <definedName name="___EQP18">#REF!</definedName>
    <definedName name="___EQP19">#REF!</definedName>
    <definedName name="___EQP2">#REF!</definedName>
    <definedName name="___EQP20">#REF!</definedName>
    <definedName name="___eqp27">#REF!</definedName>
    <definedName name="___EQP3">#REF!</definedName>
    <definedName name="___EQP4">#REF!</definedName>
    <definedName name="___EQP5">#REF!</definedName>
    <definedName name="___EQP6">#REF!</definedName>
    <definedName name="___EQP7">#REF!</definedName>
    <definedName name="___EQP8">#REF!</definedName>
    <definedName name="___EQP9">#REF!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f">#REF!</definedName>
    <definedName name="___ff2005">#REF!</definedName>
    <definedName name="___FS01">#REF!</definedName>
    <definedName name="___ICP1">[19]Tablas!#REF!</definedName>
    <definedName name="___INF1">#REF!</definedName>
    <definedName name="___IPC2002">#REF!</definedName>
    <definedName name="___key2" hidden="1">[15]INST!#REF!</definedName>
    <definedName name="___key3" hidden="1">#REF!</definedName>
    <definedName name="___key31" hidden="1">#REF!</definedName>
    <definedName name="___LEY80">#REF!</definedName>
    <definedName name="___M14">'[27]Base Datos'!$B$9</definedName>
    <definedName name="___MA2">#REF!</definedName>
    <definedName name="___MAT1">#REF!</definedName>
    <definedName name="___MAT10">#REF!</definedName>
    <definedName name="___MAT100">#REF!</definedName>
    <definedName name="___MAT101">#REF!</definedName>
    <definedName name="___MAT102">#REF!</definedName>
    <definedName name="___MAT103">#REF!</definedName>
    <definedName name="___MAT104">#REF!</definedName>
    <definedName name="___MAT105">#REF!</definedName>
    <definedName name="___MAT106">#REF!</definedName>
    <definedName name="___MAT107">#REF!</definedName>
    <definedName name="___MAT108">#REF!</definedName>
    <definedName name="___MAT109">#REF!</definedName>
    <definedName name="___MAT11">#REF!</definedName>
    <definedName name="___MAT110">#REF!</definedName>
    <definedName name="___MAT111">#REF!</definedName>
    <definedName name="___MAT1111">'[27]Base Datos'!$B$43</definedName>
    <definedName name="___MAT112">#REF!</definedName>
    <definedName name="___MAT113">#REF!</definedName>
    <definedName name="___MAT114">#REF!</definedName>
    <definedName name="___MAT115">#REF!</definedName>
    <definedName name="___MAT116">#REF!</definedName>
    <definedName name="___MAT117">#REF!</definedName>
    <definedName name="___MAT118">#REF!</definedName>
    <definedName name="___MAT119">#REF!</definedName>
    <definedName name="___MAT12">#REF!</definedName>
    <definedName name="___MAT120">#REF!</definedName>
    <definedName name="___MAT121">#REF!</definedName>
    <definedName name="___MAT122">#REF!</definedName>
    <definedName name="___MAT123">#REF!</definedName>
    <definedName name="___MAT124">#REF!</definedName>
    <definedName name="___MAT125">#REF!</definedName>
    <definedName name="___MAT126">#REF!</definedName>
    <definedName name="___MAT127">#REF!</definedName>
    <definedName name="___MAT128">#REF!</definedName>
    <definedName name="___MAT129">#REF!</definedName>
    <definedName name="___MAT13">#REF!</definedName>
    <definedName name="___MAT130">#REF!</definedName>
    <definedName name="___MAT131">#REF!</definedName>
    <definedName name="___MAT132">#REF!</definedName>
    <definedName name="___MAT133">#REF!</definedName>
    <definedName name="___MAT134">#REF!</definedName>
    <definedName name="___MAT135">#REF!</definedName>
    <definedName name="___MAT136">#REF!</definedName>
    <definedName name="___MAT137">#REF!</definedName>
    <definedName name="___MAT138">#REF!</definedName>
    <definedName name="___MAT139">#REF!</definedName>
    <definedName name="___MAT14">#REF!</definedName>
    <definedName name="___MAT140">#REF!</definedName>
    <definedName name="___MAT141">#REF!</definedName>
    <definedName name="___MAT142">#REF!</definedName>
    <definedName name="___MAT143">#REF!</definedName>
    <definedName name="___MAT144">#REF!</definedName>
    <definedName name="___MAT145">#REF!</definedName>
    <definedName name="___MAT146">#REF!</definedName>
    <definedName name="___MAT147">#REF!</definedName>
    <definedName name="___MAT148">#REF!</definedName>
    <definedName name="___MAT149">#REF!</definedName>
    <definedName name="___MAT15">#REF!</definedName>
    <definedName name="___MAT150">#REF!</definedName>
    <definedName name="___MAT151">#REF!</definedName>
    <definedName name="___MAT152">#REF!</definedName>
    <definedName name="___MAT153">#REF!</definedName>
    <definedName name="___MAT154">#REF!</definedName>
    <definedName name="___MAT155">#REF!</definedName>
    <definedName name="___MAT156">#REF!</definedName>
    <definedName name="___MAT157">#REF!</definedName>
    <definedName name="___MAT158">#REF!</definedName>
    <definedName name="___MAT159">#REF!</definedName>
    <definedName name="___MAT16">#REF!</definedName>
    <definedName name="___MAT160">#REF!</definedName>
    <definedName name="___MAT161">#REF!</definedName>
    <definedName name="___MAT162">#REF!</definedName>
    <definedName name="___MAT163">#REF!</definedName>
    <definedName name="___MAT164">#REF!</definedName>
    <definedName name="___MAT165">#REF!</definedName>
    <definedName name="___MAT166">#REF!</definedName>
    <definedName name="___MAT17">#REF!</definedName>
    <definedName name="___MAT170">'[28]Base Datos'!$B$212</definedName>
    <definedName name="___MAT171">'[28]Base Datos'!$B$213</definedName>
    <definedName name="___MAT18">#REF!</definedName>
    <definedName name="___MAT19">#REF!</definedName>
    <definedName name="___MAT2">#REF!</definedName>
    <definedName name="___MAT20">#REF!</definedName>
    <definedName name="___MAT21">#REF!</definedName>
    <definedName name="___MAT22">#REF!</definedName>
    <definedName name="___MAT23">#REF!</definedName>
    <definedName name="___MAT24">#REF!</definedName>
    <definedName name="___MAT25">#REF!</definedName>
    <definedName name="___MAT26">#REF!</definedName>
    <definedName name="___MAT27">#REF!</definedName>
    <definedName name="___MAT28">#REF!</definedName>
    <definedName name="___MAT29">#REF!</definedName>
    <definedName name="___MAT3">#REF!</definedName>
    <definedName name="___MAT30">#REF!</definedName>
    <definedName name="___MAT31">#REF!</definedName>
    <definedName name="___MAT32">#REF!</definedName>
    <definedName name="___MAT33">#REF!</definedName>
    <definedName name="___MAT34">#REF!</definedName>
    <definedName name="___MAT35">#REF!</definedName>
    <definedName name="___MAT36">#REF!</definedName>
    <definedName name="___MAT37">#REF!</definedName>
    <definedName name="___MAT38">#REF!</definedName>
    <definedName name="___MAT39">#REF!</definedName>
    <definedName name="___MAT4">#REF!</definedName>
    <definedName name="___MAT40">#REF!</definedName>
    <definedName name="___MAT41">#REF!</definedName>
    <definedName name="___MAT42">#REF!</definedName>
    <definedName name="___MAT43">#REF!</definedName>
    <definedName name="___MAT44">#REF!</definedName>
    <definedName name="___MAT45">#REF!</definedName>
    <definedName name="___MAT46">#REF!</definedName>
    <definedName name="___MAT47">#REF!</definedName>
    <definedName name="___MAT48">#REF!</definedName>
    <definedName name="___MAT49">#REF!</definedName>
    <definedName name="___MAT5">#REF!</definedName>
    <definedName name="___MAT50">#REF!</definedName>
    <definedName name="___MAT51">#REF!</definedName>
    <definedName name="___MAT52">#REF!</definedName>
    <definedName name="___MAT53">#REF!</definedName>
    <definedName name="___MAT54">#REF!</definedName>
    <definedName name="___MAT55">#REF!</definedName>
    <definedName name="___MAT56">#REF!</definedName>
    <definedName name="___MAT57">#REF!</definedName>
    <definedName name="___MAT58">#REF!</definedName>
    <definedName name="___MAT59">#REF!</definedName>
    <definedName name="___MAT6">#REF!</definedName>
    <definedName name="___MAT60">#REF!</definedName>
    <definedName name="___MAT61">#REF!</definedName>
    <definedName name="___MAT62">#REF!</definedName>
    <definedName name="___MAT63">#REF!</definedName>
    <definedName name="___MAT64">#REF!</definedName>
    <definedName name="___MAT65">#REF!</definedName>
    <definedName name="___MAT66">#REF!</definedName>
    <definedName name="___MAT67">#REF!</definedName>
    <definedName name="___MAT68">#REF!</definedName>
    <definedName name="___MAT69">#REF!</definedName>
    <definedName name="___MAT7">#REF!</definedName>
    <definedName name="___MAT70">#REF!</definedName>
    <definedName name="___MAT71">#REF!</definedName>
    <definedName name="___MAT72">#REF!</definedName>
    <definedName name="___MAT73">#REF!</definedName>
    <definedName name="___MAT74">#REF!</definedName>
    <definedName name="___MAT75">#REF!</definedName>
    <definedName name="___MAT76">#REF!</definedName>
    <definedName name="___MAT77">#REF!</definedName>
    <definedName name="___MAT78">#REF!</definedName>
    <definedName name="___MAT79">#REF!</definedName>
    <definedName name="___MAT8">#REF!</definedName>
    <definedName name="___MAT80">#REF!</definedName>
    <definedName name="___MAT81">#REF!</definedName>
    <definedName name="___MAT82">#REF!</definedName>
    <definedName name="___MAT83">#REF!</definedName>
    <definedName name="___MAT832">'[29]Base Datos'!$B$125</definedName>
    <definedName name="___MAT84">#REF!</definedName>
    <definedName name="___MAT85">#REF!</definedName>
    <definedName name="___MAT86">#REF!</definedName>
    <definedName name="___MAT87">#REF!</definedName>
    <definedName name="___MAT88">#REF!</definedName>
    <definedName name="___MAT89">#REF!</definedName>
    <definedName name="___MAT9">#REF!</definedName>
    <definedName name="___MAT90">#REF!</definedName>
    <definedName name="___MAT91">#REF!</definedName>
    <definedName name="___MAT92">#REF!</definedName>
    <definedName name="___MAT93">#REF!</definedName>
    <definedName name="___MAT94">#REF!</definedName>
    <definedName name="___MAT95">#REF!</definedName>
    <definedName name="___MAT96">#REF!</definedName>
    <definedName name="___MAT97">#REF!</definedName>
    <definedName name="___MAT98">#REF!</definedName>
    <definedName name="___MAT99">#REF!</definedName>
    <definedName name="___MAY88">'[30]Base Datos'!$B$11</definedName>
    <definedName name="___MO1">#REF!</definedName>
    <definedName name="___MO10">#REF!</definedName>
    <definedName name="___MO2">#REF!</definedName>
    <definedName name="___MO3">#REF!</definedName>
    <definedName name="___MO4">#REF!</definedName>
    <definedName name="___MO5">#REF!</definedName>
    <definedName name="___MO6">#REF!</definedName>
    <definedName name="___MO7">#REF!</definedName>
    <definedName name="___MO8">#REF!</definedName>
    <definedName name="___MO9">#REF!</definedName>
    <definedName name="___MOR12">#REF!</definedName>
    <definedName name="___MOR13">#REF!</definedName>
    <definedName name="___MOR14">#REF!</definedName>
    <definedName name="___MOR15">#REF!</definedName>
    <definedName name="___MOR16">#REF!</definedName>
    <definedName name="___MOR17">#REF!</definedName>
    <definedName name="___mun2">#REF!</definedName>
    <definedName name="___MV1">#REF!</definedName>
    <definedName name="___MV10">#REF!</definedName>
    <definedName name="___MV11">#REF!</definedName>
    <definedName name="___MV12">#REF!</definedName>
    <definedName name="___MV13">#REF!</definedName>
    <definedName name="___MV14">#REF!</definedName>
    <definedName name="___MV15">#REF!</definedName>
    <definedName name="___MV16">#REF!</definedName>
    <definedName name="___MV17">#REF!</definedName>
    <definedName name="___MV18">#REF!</definedName>
    <definedName name="___MV19">#REF!</definedName>
    <definedName name="___MV2">#REF!</definedName>
    <definedName name="___MV20">#REF!</definedName>
    <definedName name="___MV3">#REF!</definedName>
    <definedName name="___MV4">#REF!</definedName>
    <definedName name="___MV5">#REF!</definedName>
    <definedName name="___MV6">#REF!</definedName>
    <definedName name="___MV7">#REF!</definedName>
    <definedName name="___MV8">#REF!</definedName>
    <definedName name="___MV9">#REF!</definedName>
    <definedName name="___OCD1">[19]Tablas!#REF!</definedName>
    <definedName name="___OCI1">[19]Tablas!#REF!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ER5">#REF!</definedName>
    <definedName name="___PJ50">#REF!</definedName>
    <definedName name="___pj51">#REF!</definedName>
    <definedName name="___PMT5671">[13]MEMORIAS!#REF!</definedName>
    <definedName name="___PMT5805">[13]MEMORIAS!#REF!</definedName>
    <definedName name="___PMT5806">[13]MEMORIAS!#REF!</definedName>
    <definedName name="___PMT5815">[13]MEMORIAS!#REF!</definedName>
    <definedName name="___PMT5820">[13]MEMORIAS!#REF!</definedName>
    <definedName name="___POR1">#REF!</definedName>
    <definedName name="___POR2">#REF!</definedName>
    <definedName name="___POR3">#REF!</definedName>
    <definedName name="___POR4">#REF!</definedName>
    <definedName name="___POR5">#REF!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PZ15">#REF!</definedName>
    <definedName name="___r">#REF!</definedName>
    <definedName name="___RD43">#REF!</definedName>
    <definedName name="___RD63">#REF!</definedName>
    <definedName name="___RD64">#REF!</definedName>
    <definedName name="___RD83">#REF!</definedName>
    <definedName name="___RD84">#REF!</definedName>
    <definedName name="___RD86">#REF!</definedName>
    <definedName name="___SBC1">[7]INV!$A$12:$D$15</definedName>
    <definedName name="___SBC3">[7]INV!$F$12:$I$15</definedName>
    <definedName name="___SBC5">[7]INV!$K$12:$N$15</definedName>
    <definedName name="___TA3">#REF!</definedName>
    <definedName name="___TA4">#REF!</definedName>
    <definedName name="___tab1">#REF!</definedName>
    <definedName name="___tab2">#REF!</definedName>
    <definedName name="___tab3">#REF!</definedName>
    <definedName name="___TAB4">#REF!</definedName>
    <definedName name="___TD02">#REF!</definedName>
    <definedName name="___TE10">#REF!</definedName>
    <definedName name="___TE103">#REF!</definedName>
    <definedName name="___TE104">#REF!</definedName>
    <definedName name="___TE106">#REF!</definedName>
    <definedName name="___TE108">#REF!</definedName>
    <definedName name="___TE12">#REF!</definedName>
    <definedName name="___TE1210">#REF!</definedName>
    <definedName name="___TE123">#REF!</definedName>
    <definedName name="___TE124">#REF!</definedName>
    <definedName name="___TE126">#REF!</definedName>
    <definedName name="___TE128">#REF!</definedName>
    <definedName name="___TE3">#REF!</definedName>
    <definedName name="___TE4">#REF!</definedName>
    <definedName name="___TE43">#REF!</definedName>
    <definedName name="___TE6">#REF!</definedName>
    <definedName name="___TE63">#REF!</definedName>
    <definedName name="___TE64">#REF!</definedName>
    <definedName name="___TE8">#REF!</definedName>
    <definedName name="___TE83">#REF!</definedName>
    <definedName name="___TE84">#REF!</definedName>
    <definedName name="___TE86">#REF!</definedName>
    <definedName name="___TEE3">[24]APU!$G$331</definedName>
    <definedName name="___TEE4">#REF!</definedName>
    <definedName name="___TEE6">#REF!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TP10">#REF!</definedName>
    <definedName name="___TP12">#REF!</definedName>
    <definedName name="___TP3">#REF!</definedName>
    <definedName name="___TP4">#REF!</definedName>
    <definedName name="___TP6">#REF!</definedName>
    <definedName name="___TP8">#REF!</definedName>
    <definedName name="___TUB3">[24]APU!$G$222</definedName>
    <definedName name="___UG3">#REF!</definedName>
    <definedName name="___UG4">#REF!</definedName>
    <definedName name="___UG6">#REF!</definedName>
    <definedName name="___UG8">#REF!</definedName>
    <definedName name="___URA10">#REF!</definedName>
    <definedName name="___URA12">#REF!</definedName>
    <definedName name="___URA3">#REF!</definedName>
    <definedName name="___URA4">#REF!</definedName>
    <definedName name="___URA6">#REF!</definedName>
    <definedName name="___URA8">#REF!</definedName>
    <definedName name="___URE10">#REF!</definedName>
    <definedName name="___URE12">#REF!</definedName>
    <definedName name="___URE3">#REF!</definedName>
    <definedName name="___URE4">#REF!</definedName>
    <definedName name="___URE6">#REF!</definedName>
    <definedName name="___URE8">#REF!</definedName>
    <definedName name="___VAL3">[24]APU!$G$655</definedName>
    <definedName name="___VCE10">#REF!</definedName>
    <definedName name="___VCE3">#REF!</definedName>
    <definedName name="___VCE4">#REF!</definedName>
    <definedName name="___VCE6">#REF!</definedName>
    <definedName name="___VCE8">#REF!</definedName>
    <definedName name="___VEX1">[19]Tablas!#REF!</definedName>
    <definedName name="___VFA1">[19]Tablas!#REF!</definedName>
    <definedName name="___VIT1">[19]Tablas!#REF!</definedName>
    <definedName name="___Vol1">[20]Item!$A:$D</definedName>
    <definedName name="___VPR1">[19]Tablas!#REF!</definedName>
    <definedName name="___VPR2">#REF!</definedName>
    <definedName name="___VRP1">[19]Tablas!#REF!</definedName>
    <definedName name="___VSM1">[19]Tablas!#REF!</definedName>
    <definedName name="___xlnm.Print_Area">#REF!</definedName>
    <definedName name="___xlnm.Print_Titles">#REF!</definedName>
    <definedName name="___xlnm.Print_Titles_1">#REF!</definedName>
    <definedName name="___xlnm.Print_Titles_2">#REF!</definedName>
    <definedName name="___xlnm.Print_Titles_4">#REF!</definedName>
    <definedName name="___xlnm.Print_Titles_4_1">#REF!</definedName>
    <definedName name="___xlnm.Print_Titles_4_2">#REF!</definedName>
    <definedName name="__123Graph_A" hidden="1">#REF!</definedName>
    <definedName name="__123Graph_AMAIN" hidden="1">'[31]ETAPA 50 SMMLV'!#REF!</definedName>
    <definedName name="__123Graph_B" hidden="1">#REF!</definedName>
    <definedName name="__123Graph_BMAIN" hidden="1">'[31]ETAPA 50 SMMLV'!#REF!</definedName>
    <definedName name="__123Graph_XMAIN" hidden="1">'[31]ETAPA 50 SMMLV'!#REF!</definedName>
    <definedName name="__1Excel_BuiltIn_Print_Area_1_1_1">#REF!</definedName>
    <definedName name="__1Sin_nombre">#REF!</definedName>
    <definedName name="__2Excel_BuiltIn_Print_Titles_1_1_1_1">#REF!</definedName>
    <definedName name="__A1">'[16]Base Datos'!$B$22</definedName>
    <definedName name="__A16400">#REF!</definedName>
    <definedName name="__A251140">#REF!</definedName>
    <definedName name="__A251150">#REF!</definedName>
    <definedName name="__a3">#REF!</definedName>
    <definedName name="__a4">#REF!</definedName>
    <definedName name="__a5">#REF!</definedName>
    <definedName name="__a6">#REF!</definedName>
    <definedName name="__ADN3">[24]APU!$G$277</definedName>
    <definedName name="__AFC1">[7]INV!$A$25:$D$28</definedName>
    <definedName name="__AFC3">[7]INV!$F$25:$I$28</definedName>
    <definedName name="__AFC5">[7]INV!$K$25:$N$28</definedName>
    <definedName name="__aiu2">[14]AIU!$J$105</definedName>
    <definedName name="__ALL4">#REF!</definedName>
    <definedName name="__ane7" localSheetId="8">[22]!_xlbgnm.ane7</definedName>
    <definedName name="__ane7" localSheetId="7">[22]!_xlbgnm.ane7</definedName>
    <definedName name="__ane7" localSheetId="5">[22]!_xlbgnm.ane7</definedName>
    <definedName name="__ane7" localSheetId="1">[22]!_xlbgnm.ane7</definedName>
    <definedName name="__ane7" localSheetId="0">[22]!_xlbgnm.ane7</definedName>
    <definedName name="__ane7" localSheetId="4">[22]!_xlbgnm.ane7</definedName>
    <definedName name="__ane7">[22]!_xlbgnm.ane7</definedName>
    <definedName name="__ane8" localSheetId="8">[22]!_xlbgnm.ane8</definedName>
    <definedName name="__ane8" localSheetId="7">[22]!_xlbgnm.ane8</definedName>
    <definedName name="__ane8" localSheetId="5">[22]!_xlbgnm.ane8</definedName>
    <definedName name="__ane8" localSheetId="1">[22]!_xlbgnm.ane8</definedName>
    <definedName name="__ane8" localSheetId="0">[22]!_xlbgnm.ane8</definedName>
    <definedName name="__ane8" localSheetId="4">[22]!_xlbgnm.ane8</definedName>
    <definedName name="__ane8">[22]!_xlbgnm.ane8</definedName>
    <definedName name="__APU221">#REF!</definedName>
    <definedName name="__Atp2">[32]EMPRESA!$F$22</definedName>
    <definedName name="__b2">#REF!</definedName>
    <definedName name="__b3">#REF!</definedName>
    <definedName name="__b4">#REF!</definedName>
    <definedName name="__b5">#REF!</definedName>
    <definedName name="__b6">#REF!</definedName>
    <definedName name="__b7">#REF!</definedName>
    <definedName name="__b8">#REF!</definedName>
    <definedName name="__bb9">#REF!</definedName>
    <definedName name="__bgb5">#REF!</definedName>
    <definedName name="__BGC1">[7]INV!$A$5:$D$8</definedName>
    <definedName name="__BGC3">[7]INV!$F$5:$I$8</definedName>
    <definedName name="__BGC5">[7]INV!$K$5:$N$8</definedName>
    <definedName name="__CAC1">[7]INV!$A$19:$D$22</definedName>
    <definedName name="__CAC3">[7]INV!$F$19:$I$22</definedName>
    <definedName name="__CAC5">[7]INV!$K$19:$N$22</definedName>
    <definedName name="__CAN4">#REF!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CON123">'[33]Base Datos'!$B$8</definedName>
    <definedName name="__CON2200">#REF!</definedName>
    <definedName name="__CON2500">#REF!</definedName>
    <definedName name="__con3000">#REF!</definedName>
    <definedName name="__DCI1">[19]Tablas!#REF!</definedName>
    <definedName name="__DDS1">[19]Tablas!#REF!</definedName>
    <definedName name="__DGO1">[19]Tablas!#REF!</definedName>
    <definedName name="__DGP1">[19]Tablas!#REF!</definedName>
    <definedName name="__DIJ1">[19]Tablas!#REF!</definedName>
    <definedName name="__DPI1">[19]Tablas!#REF!</definedName>
    <definedName name="__DPY1">[19]Tablas!#REF!</definedName>
    <definedName name="__DRI1">[19]Tablas!#REF!</definedName>
    <definedName name="__DRL1">[19]Tablas!#REF!</definedName>
    <definedName name="__DSP1">[19]Tablas!#REF!</definedName>
    <definedName name="__ECP1">[19]Tablas!#REF!</definedName>
    <definedName name="__EMC2">#REF!</definedName>
    <definedName name="__EMC4">#REF!</definedName>
    <definedName name="__EQP1">#REF!</definedName>
    <definedName name="__EQP10">#REF!</definedName>
    <definedName name="__EQP11">#REF!</definedName>
    <definedName name="__EQP12">#REF!</definedName>
    <definedName name="__EQP13">#REF!</definedName>
    <definedName name="__EQP14">#REF!</definedName>
    <definedName name="__EQP15">#REF!</definedName>
    <definedName name="__EQP16">#REF!</definedName>
    <definedName name="__EQP17">#REF!</definedName>
    <definedName name="__EQP18">#REF!</definedName>
    <definedName name="__EQP19">#REF!</definedName>
    <definedName name="__EQP2">#REF!</definedName>
    <definedName name="__EQP20">#REF!</definedName>
    <definedName name="__eqp27">#REF!</definedName>
    <definedName name="__EQP3">#REF!</definedName>
    <definedName name="__EQP4">#REF!</definedName>
    <definedName name="__EQP5">#REF!</definedName>
    <definedName name="__EQP6">#REF!</definedName>
    <definedName name="__EQP7">#REF!</definedName>
    <definedName name="__EQP8">#REF!</definedName>
    <definedName name="__EQP9">#REF!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 localSheetId="2">'MC 1'!ERR</definedName>
    <definedName name="__F" localSheetId="1">'MC 2-3-4'!ERR</definedName>
    <definedName name="__F" localSheetId="0">'MC 5'!ERR</definedName>
    <definedName name="__F">[0]!ERR</definedName>
    <definedName name="__FS01" localSheetId="2">'MC 1'!ERR</definedName>
    <definedName name="__FS01" localSheetId="1">'MC 2-3-4'!ERR</definedName>
    <definedName name="__FS01" localSheetId="0">'MC 5'!ERR</definedName>
    <definedName name="__FS01">[0]!ERR</definedName>
    <definedName name="__g2">#REF!</definedName>
    <definedName name="__g3">#REF!</definedName>
    <definedName name="__g4">#REF!</definedName>
    <definedName name="__g5">#REF!</definedName>
    <definedName name="__g6">#REF!</definedName>
    <definedName name="__g7">#REF!</definedName>
    <definedName name="__GR1">#REF!</definedName>
    <definedName name="__gtr4">#REF!</definedName>
    <definedName name="__h2">#REF!</definedName>
    <definedName name="__h3">#REF!</definedName>
    <definedName name="__h4">#REF!</definedName>
    <definedName name="__h5">#REF!</definedName>
    <definedName name="__h6">#REF!</definedName>
    <definedName name="__h7">#REF!</definedName>
    <definedName name="__h8">#REF!</definedName>
    <definedName name="__hfh7">#REF!</definedName>
    <definedName name="__i4">#REF!</definedName>
    <definedName name="__i5">#REF!</definedName>
    <definedName name="__i6">#REF!</definedName>
    <definedName name="__i7">#REF!</definedName>
    <definedName name="__i77">#REF!</definedName>
    <definedName name="__i8">#REF!</definedName>
    <definedName name="__i9">#REF!</definedName>
    <definedName name="__ICP1">[19]Tablas!#REF!</definedName>
    <definedName name="__INF1">#REF!</definedName>
    <definedName name="__IPC2002">#REF!</definedName>
    <definedName name="__k3">#REF!</definedName>
    <definedName name="__k4">#REF!</definedName>
    <definedName name="__k5">#REF!</definedName>
    <definedName name="__k6">#REF!</definedName>
    <definedName name="__k7">#REF!</definedName>
    <definedName name="__k8">#REF!</definedName>
    <definedName name="__k9">#REF!</definedName>
    <definedName name="__key2" hidden="1">[34]INST!#REF!</definedName>
    <definedName name="__key21" hidden="1">[15]INST!#REF!</definedName>
    <definedName name="__key3" hidden="1">#REF!</definedName>
    <definedName name="__key31" hidden="1">#REF!</definedName>
    <definedName name="__kjk6">#REF!</definedName>
    <definedName name="__LEY80">#REF!</definedName>
    <definedName name="__M14">'[33]Base Datos'!$B$9</definedName>
    <definedName name="__m3">#REF!</definedName>
    <definedName name="__m4">#REF!</definedName>
    <definedName name="__m5">#REF!</definedName>
    <definedName name="__m6">#REF!</definedName>
    <definedName name="__m7">#REF!</definedName>
    <definedName name="__m8">#REF!</definedName>
    <definedName name="__m9">#REF!</definedName>
    <definedName name="__MA2">#REF!</definedName>
    <definedName name="__MAT1">#REF!</definedName>
    <definedName name="__MAT10">#REF!</definedName>
    <definedName name="__MAT100">#REF!</definedName>
    <definedName name="__MAT101">#REF!</definedName>
    <definedName name="__MAT102">#REF!</definedName>
    <definedName name="__MAT103">#REF!</definedName>
    <definedName name="__MAT104">#REF!</definedName>
    <definedName name="__MAT105">#REF!</definedName>
    <definedName name="__MAT106">#REF!</definedName>
    <definedName name="__MAT107">#REF!</definedName>
    <definedName name="__MAT108">#REF!</definedName>
    <definedName name="__MAT109">#REF!</definedName>
    <definedName name="__MAT11">#REF!</definedName>
    <definedName name="__MAT110">#REF!</definedName>
    <definedName name="__MAT111">#REF!</definedName>
    <definedName name="__MAT1111">'[33]Base Datos'!$B$43</definedName>
    <definedName name="__MAT112">#REF!</definedName>
    <definedName name="__MAT113">#REF!</definedName>
    <definedName name="__MAT114">#REF!</definedName>
    <definedName name="__MAT115">#REF!</definedName>
    <definedName name="__MAT116">#REF!</definedName>
    <definedName name="__MAT117">#REF!</definedName>
    <definedName name="__MAT118">#REF!</definedName>
    <definedName name="__MAT119">#REF!</definedName>
    <definedName name="__MAT12">#REF!</definedName>
    <definedName name="__MAT120">#REF!</definedName>
    <definedName name="__MAT121">#REF!</definedName>
    <definedName name="__MAT122">#REF!</definedName>
    <definedName name="__MAT123">#REF!</definedName>
    <definedName name="__MAT124">#REF!</definedName>
    <definedName name="__MAT125">#REF!</definedName>
    <definedName name="__MAT126">#REF!</definedName>
    <definedName name="__MAT127">'[35]Base Datos'!$B$169</definedName>
    <definedName name="__MAT128">'[35]Base Datos'!$B$170</definedName>
    <definedName name="__MAT129">#REF!</definedName>
    <definedName name="__MAT13">#REF!</definedName>
    <definedName name="__MAT130">#REF!</definedName>
    <definedName name="__MAT131">#REF!</definedName>
    <definedName name="__MAT132">#REF!</definedName>
    <definedName name="__MAT133">#REF!</definedName>
    <definedName name="__MAT134">#REF!</definedName>
    <definedName name="__MAT135">#REF!</definedName>
    <definedName name="__MAT136">#REF!</definedName>
    <definedName name="__MAT137">#REF!</definedName>
    <definedName name="__MAT138">#REF!</definedName>
    <definedName name="__MAT139">#REF!</definedName>
    <definedName name="__MAT14">#REF!</definedName>
    <definedName name="__MAT140">#REF!</definedName>
    <definedName name="__MAT141">#REF!</definedName>
    <definedName name="__MAT142">#REF!</definedName>
    <definedName name="__MAT143">#REF!</definedName>
    <definedName name="__MAT144">#REF!</definedName>
    <definedName name="__MAT145">#REF!</definedName>
    <definedName name="__MAT146">#REF!</definedName>
    <definedName name="__MAT147">#REF!</definedName>
    <definedName name="__MAT148">#REF!</definedName>
    <definedName name="__MAT149">#REF!</definedName>
    <definedName name="__MAT15">#REF!</definedName>
    <definedName name="__MAT150">#REF!</definedName>
    <definedName name="__MAT151">#REF!</definedName>
    <definedName name="__MAT152">#REF!</definedName>
    <definedName name="__MAT153">#REF!</definedName>
    <definedName name="__MAT154">#REF!</definedName>
    <definedName name="__MAT155">#REF!</definedName>
    <definedName name="__MAT156">#REF!</definedName>
    <definedName name="__MAT157">#REF!</definedName>
    <definedName name="__MAT158">#REF!</definedName>
    <definedName name="__MAT159">#REF!</definedName>
    <definedName name="__MAT16">#REF!</definedName>
    <definedName name="__MAT160">#REF!</definedName>
    <definedName name="__MAT161">#REF!</definedName>
    <definedName name="__MAT162">#REF!</definedName>
    <definedName name="__MAT163">#REF!</definedName>
    <definedName name="__MAT164">#REF!</definedName>
    <definedName name="__MAT165">#REF!</definedName>
    <definedName name="__MAT166">#REF!</definedName>
    <definedName name="__MAT17">#REF!</definedName>
    <definedName name="__MAT170">'[36]Base Datos'!$B$212</definedName>
    <definedName name="__MAT171">'[36]Base Datos'!$B$213</definedName>
    <definedName name="__MAT18">#REF!</definedName>
    <definedName name="__MAT19">#REF!</definedName>
    <definedName name="__MAT2">#REF!</definedName>
    <definedName name="__MAT20">#REF!</definedName>
    <definedName name="__MAT21">#REF!</definedName>
    <definedName name="__MAT22">#REF!</definedName>
    <definedName name="__MAT23">#REF!</definedName>
    <definedName name="__MAT24">#REF!</definedName>
    <definedName name="__MAT25">#REF!</definedName>
    <definedName name="__MAT26">#REF!</definedName>
    <definedName name="__MAT27">#REF!</definedName>
    <definedName name="__MAT28">#REF!</definedName>
    <definedName name="__MAT29">#REF!</definedName>
    <definedName name="__MAT3">#REF!</definedName>
    <definedName name="__MAT30">#REF!</definedName>
    <definedName name="__MAT31">#REF!</definedName>
    <definedName name="__MAT32">#REF!</definedName>
    <definedName name="__MAT33">#REF!</definedName>
    <definedName name="__MAT34">#REF!</definedName>
    <definedName name="__MAT35">#REF!</definedName>
    <definedName name="__MAT36">#REF!</definedName>
    <definedName name="__MAT37">#REF!</definedName>
    <definedName name="__MAT38">#REF!</definedName>
    <definedName name="__MAT39">#REF!</definedName>
    <definedName name="__MAT4">#REF!</definedName>
    <definedName name="__MAT40">#REF!</definedName>
    <definedName name="__MAT41">#REF!</definedName>
    <definedName name="__MAT42">#REF!</definedName>
    <definedName name="__MAT43">#REF!</definedName>
    <definedName name="__MAT44">#REF!</definedName>
    <definedName name="__MAT45">#REF!</definedName>
    <definedName name="__MAT46">#REF!</definedName>
    <definedName name="__MAT47">#REF!</definedName>
    <definedName name="__MAT48">#REF!</definedName>
    <definedName name="__MAT49">#REF!</definedName>
    <definedName name="__MAT5">#REF!</definedName>
    <definedName name="__MAT50">#REF!</definedName>
    <definedName name="__MAT51">#REF!</definedName>
    <definedName name="__MAT52">#REF!</definedName>
    <definedName name="__MAT53">#REF!</definedName>
    <definedName name="__MAT54">#REF!</definedName>
    <definedName name="__MAT55">#REF!</definedName>
    <definedName name="__MAT56">#REF!</definedName>
    <definedName name="__MAT57">#REF!</definedName>
    <definedName name="__MAT58">#REF!</definedName>
    <definedName name="__MAT59">#REF!</definedName>
    <definedName name="__MAT6">#REF!</definedName>
    <definedName name="__MAT60">#REF!</definedName>
    <definedName name="__MAT61">#REF!</definedName>
    <definedName name="__MAT62">#REF!</definedName>
    <definedName name="__MAT63">#REF!</definedName>
    <definedName name="__MAT64">#REF!</definedName>
    <definedName name="__MAT65">#REF!</definedName>
    <definedName name="__MAT66">#REF!</definedName>
    <definedName name="__MAT67">#REF!</definedName>
    <definedName name="__MAT68">#REF!</definedName>
    <definedName name="__MAT69">#REF!</definedName>
    <definedName name="__MAT7">#REF!</definedName>
    <definedName name="__MAT70">#REF!</definedName>
    <definedName name="__MAT71">#REF!</definedName>
    <definedName name="__MAT72">'[35]Base Datos'!$B$114</definedName>
    <definedName name="__MAT73">#REF!</definedName>
    <definedName name="__MAT74">'[35]Base Datos'!$B$116</definedName>
    <definedName name="__MAT75">#REF!</definedName>
    <definedName name="__MAT76">#REF!</definedName>
    <definedName name="__MAT77">#REF!</definedName>
    <definedName name="__MAT78">#REF!</definedName>
    <definedName name="__MAT79">#REF!</definedName>
    <definedName name="__MAT8">#REF!</definedName>
    <definedName name="__MAT80">#REF!</definedName>
    <definedName name="__MAT81">#REF!</definedName>
    <definedName name="__MAT82">#REF!</definedName>
    <definedName name="__MAT83">#REF!</definedName>
    <definedName name="__MAT832">'[37]Base Datos'!$B$125</definedName>
    <definedName name="__MAT84">#REF!</definedName>
    <definedName name="__MAT85">#REF!</definedName>
    <definedName name="__MAT86">#REF!</definedName>
    <definedName name="__MAT87">#REF!</definedName>
    <definedName name="__MAT88">#REF!</definedName>
    <definedName name="__MAT89">#REF!</definedName>
    <definedName name="__MAT9">#REF!</definedName>
    <definedName name="__MAT90">#REF!</definedName>
    <definedName name="__MAT91">#REF!</definedName>
    <definedName name="__MAT92">#REF!</definedName>
    <definedName name="__MAT93">#REF!</definedName>
    <definedName name="__MAT94">#REF!</definedName>
    <definedName name="__MAT95">#REF!</definedName>
    <definedName name="__MAT96">#REF!</definedName>
    <definedName name="__MAT97">#REF!</definedName>
    <definedName name="__MAT98">#REF!</definedName>
    <definedName name="__MAT99">#REF!</definedName>
    <definedName name="__MAY88">'[38]Base Datos'!$B$11</definedName>
    <definedName name="__MO1">#REF!</definedName>
    <definedName name="__MO10">#REF!</definedName>
    <definedName name="__MO2">#REF!</definedName>
    <definedName name="__MO3">#REF!</definedName>
    <definedName name="__MO4">#REF!</definedName>
    <definedName name="__MO5">#REF!</definedName>
    <definedName name="__MO6">#REF!</definedName>
    <definedName name="__MO7">#REF!</definedName>
    <definedName name="__MO8">#REF!</definedName>
    <definedName name="__MO9">#REF!</definedName>
    <definedName name="__MOR12">#REF!</definedName>
    <definedName name="__MOR13">#REF!</definedName>
    <definedName name="__MOR14">#REF!</definedName>
    <definedName name="__MOR15">#REF!</definedName>
    <definedName name="__MOR16">#REF!</definedName>
    <definedName name="__MOR17">#REF!</definedName>
    <definedName name="__mun2">[39]PESOS!#REF!</definedName>
    <definedName name="__MV1">#REF!</definedName>
    <definedName name="__MV10">#REF!</definedName>
    <definedName name="__MV11">#REF!</definedName>
    <definedName name="__MV12">#REF!</definedName>
    <definedName name="__MV13">#REF!</definedName>
    <definedName name="__MV14">#REF!</definedName>
    <definedName name="__MV15">#REF!</definedName>
    <definedName name="__MV16">#REF!</definedName>
    <definedName name="__MV17">#REF!</definedName>
    <definedName name="__MV18">#REF!</definedName>
    <definedName name="__MV19">#REF!</definedName>
    <definedName name="__MV2">#REF!</definedName>
    <definedName name="__MV20">#REF!</definedName>
    <definedName name="__MV3">#REF!</definedName>
    <definedName name="__MV4">#REF!</definedName>
    <definedName name="__MV5">#REF!</definedName>
    <definedName name="__MV6">#REF!</definedName>
    <definedName name="__MV7">#REF!</definedName>
    <definedName name="__MV8">#REF!</definedName>
    <definedName name="__MV9">#REF!</definedName>
    <definedName name="__n3">#REF!</definedName>
    <definedName name="__n4">#REF!</definedName>
    <definedName name="__n5">#REF!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#REF!</definedName>
    <definedName name="__o4">#REF!</definedName>
    <definedName name="__o5">#REF!</definedName>
    <definedName name="__o6">#REF!</definedName>
    <definedName name="__o7">#REF!</definedName>
    <definedName name="__o8">#REF!</definedName>
    <definedName name="__o9">#REF!</definedName>
    <definedName name="__OCD1">[19]Tablas!#REF!</definedName>
    <definedName name="__OCI1">[19]Tablas!#REF!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6">#REF!</definedName>
    <definedName name="__p7">#REF!</definedName>
    <definedName name="__p8">#REF!</definedName>
    <definedName name="__Pa1">'[16]Paral. 1'!$E$1:$E$65536</definedName>
    <definedName name="__Pa2">'[16]Paral. 2'!$E$1:$E$65536</definedName>
    <definedName name="__Pa3">'[16]Paral. 3'!$E$1:$E$65536</definedName>
    <definedName name="__Pa4">[16]Paral.4!$E$1:$E$65536</definedName>
    <definedName name="__PER3">#REF!</definedName>
    <definedName name="__PER4">#REF!</definedName>
    <definedName name="__PER5">#REF!</definedName>
    <definedName name="__PER6">#REF!</definedName>
    <definedName name="__PER8">#REF!</definedName>
    <definedName name="__PJ50">#REF!</definedName>
    <definedName name="__pj51">#REF!</definedName>
    <definedName name="__PMT5671">[13]MEMORIAS!#REF!</definedName>
    <definedName name="__PMT5805">[13]MEMORIAS!#REF!</definedName>
    <definedName name="__PMT5806">[13]MEMORIAS!#REF!</definedName>
    <definedName name="__PMT5815">[13]MEMORIAS!#REF!</definedName>
    <definedName name="__PMT5820">[13]MEMORIAS!#REF!</definedName>
    <definedName name="__POR1">#REF!</definedName>
    <definedName name="__POR2">#REF!</definedName>
    <definedName name="__POR3">#REF!</definedName>
    <definedName name="__POR4">#REF!</definedName>
    <definedName name="__POR5">#REF!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PRE1">#REF!</definedName>
    <definedName name="__PRE12">#REF!</definedName>
    <definedName name="__PZ20">#REF!</definedName>
    <definedName name="__PZ30">#REF!</definedName>
    <definedName name="__PZ40">#REF!</definedName>
    <definedName name="__PZ50">#REF!</definedName>
    <definedName name="__r">#REF!</definedName>
    <definedName name="__r4r">#REF!</definedName>
    <definedName name="__Rc">#REF!</definedName>
    <definedName name="__ref4">#REF!</definedName>
    <definedName name="__rtu6">#REF!</definedName>
    <definedName name="__s1">#REF!</definedName>
    <definedName name="__s2">#REF!</definedName>
    <definedName name="__s3">#REF!</definedName>
    <definedName name="__s4">#REF!</definedName>
    <definedName name="__s5">#REF!</definedName>
    <definedName name="__s6">#REF!</definedName>
    <definedName name="__s7">#REF!</definedName>
    <definedName name="__SBC1">[7]INV!$A$12:$D$15</definedName>
    <definedName name="__SBC3">[7]INV!$F$12:$I$15</definedName>
    <definedName name="__SBC5">[7]INV!$K$12:$N$15</definedName>
    <definedName name="__SY106">#REF!</definedName>
    <definedName name="__SY126">#REF!</definedName>
    <definedName name="__SY166">#REF!</definedName>
    <definedName name="__SY186">#REF!</definedName>
    <definedName name="__SY206">#REF!</definedName>
    <definedName name="__SY86">#REF!</definedName>
    <definedName name="__t3">#REF!</definedName>
    <definedName name="__t4">#REF!</definedName>
    <definedName name="__t5">#REF!</definedName>
    <definedName name="__t6">#REF!</definedName>
    <definedName name="__t66">#REF!</definedName>
    <definedName name="__t7">#REF!</definedName>
    <definedName name="__t77">#REF!</definedName>
    <definedName name="__t8">#REF!</definedName>
    <definedName name="__t88">#REF!</definedName>
    <definedName name="__t9">#REF!</definedName>
    <definedName name="__t99">#REF!</definedName>
    <definedName name="__tab1">#REF!</definedName>
    <definedName name="__tab2">#REF!</definedName>
    <definedName name="__tab3">#REF!</definedName>
    <definedName name="__TAB4">#REF!</definedName>
    <definedName name="__TC212">#REF!</definedName>
    <definedName name="__TEE3">[24]APU!$G$331</definedName>
    <definedName name="__TEE4">#REF!</definedName>
    <definedName name="__TEE6">#REF!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TS10">#REF!</definedName>
    <definedName name="__TS12">#REF!</definedName>
    <definedName name="__TS16">#REF!</definedName>
    <definedName name="__TS18">#REF!</definedName>
    <definedName name="__TS20">#REF!</definedName>
    <definedName name="__TS24">#REF!</definedName>
    <definedName name="__TS27">#REF!</definedName>
    <definedName name="__TS30">#REF!</definedName>
    <definedName name="__TS33">#REF!</definedName>
    <definedName name="__TS36">#REF!</definedName>
    <definedName name="__TS39">#REF!</definedName>
    <definedName name="__TS42">#REF!</definedName>
    <definedName name="__TS45">#REF!</definedName>
    <definedName name="__TS6">#REF!</definedName>
    <definedName name="__TS8">#REF!</definedName>
    <definedName name="__TUB3">[24]APU!$G$222</definedName>
    <definedName name="__u4">#REF!</definedName>
    <definedName name="__u5">#REF!</definedName>
    <definedName name="__u6">#REF!</definedName>
    <definedName name="__u7">#REF!</definedName>
    <definedName name="__u8">#REF!</definedName>
    <definedName name="__u9">#REF!</definedName>
    <definedName name="__UG3">#REF!</definedName>
    <definedName name="__UG4">#REF!</definedName>
    <definedName name="__UG6">#REF!</definedName>
    <definedName name="__UG8">#REF!</definedName>
    <definedName name="__ur7">#REF!</definedName>
    <definedName name="__us24">#REF!</definedName>
    <definedName name="__US27">#REF!</definedName>
    <definedName name="__US30">#REF!</definedName>
    <definedName name="__US33">#REF!</definedName>
    <definedName name="__US36">#REF!</definedName>
    <definedName name="__US39">#REF!</definedName>
    <definedName name="__US42">#REF!</definedName>
    <definedName name="__US45">#REF!</definedName>
    <definedName name="__V1">#REF!</definedName>
    <definedName name="__v2">#REF!</definedName>
    <definedName name="__v3">#REF!</definedName>
    <definedName name="__v4">#REF!</definedName>
    <definedName name="__v5">#REF!</definedName>
    <definedName name="__v6">#REF!</definedName>
    <definedName name="__v7">#REF!</definedName>
    <definedName name="__v8">#REF!</definedName>
    <definedName name="__v9">#REF!</definedName>
    <definedName name="__VAL3">[24]APU!$G$655</definedName>
    <definedName name="__VEX1">[19]Tablas!#REF!</definedName>
    <definedName name="__VFA1">[19]Tablas!#REF!</definedName>
    <definedName name="__vfv4">#REF!</definedName>
    <definedName name="__VIT1">[19]Tablas!#REF!</definedName>
    <definedName name="__Vol1">[20]Item!$A:$D</definedName>
    <definedName name="__VPR1">[19]Tablas!#REF!</definedName>
    <definedName name="__VPR2">[21]Tablas!#REF!</definedName>
    <definedName name="__VRP1">[19]Tablas!#REF!</definedName>
    <definedName name="__VSM1">[19]Tablas!#REF!</definedName>
    <definedName name="__x1">#REF!</definedName>
    <definedName name="__x2">#REF!</definedName>
    <definedName name="__x3">#REF!</definedName>
    <definedName name="__x4">#REF!</definedName>
    <definedName name="__x5">#REF!</definedName>
    <definedName name="__x6">#REF!</definedName>
    <definedName name="__x7">#REF!</definedName>
    <definedName name="__x8">#REF!</definedName>
    <definedName name="__x9">#REF!</definedName>
    <definedName name="__xlnm.Print_Area">#REF!</definedName>
    <definedName name="__xlnm.Print_Area_1">#REF!</definedName>
    <definedName name="__xlnm.Print_Area_2">#REF!</definedName>
    <definedName name="__xlnm.Print_Area_3">#REF!</definedName>
    <definedName name="__xlnm.Print_Area_4">#REF!</definedName>
    <definedName name="__xlnm.Print_Area_5">#REF!</definedName>
    <definedName name="__xlnm.Print_Area_6">#REF!</definedName>
    <definedName name="__xlnm.Print_Titles">#REF!</definedName>
    <definedName name="__xlnm.Print_Titles_1">#REF!</definedName>
    <definedName name="__xlnm.Print_Titles_2">#REF!</definedName>
    <definedName name="__xlnm.Print_Titles_3">#REF!</definedName>
    <definedName name="__xlnm.Print_Titles_4">#REF!</definedName>
    <definedName name="__xlnm.Print_Titles_4_1">#REF!</definedName>
    <definedName name="__xlnm.Print_Titles_4_2">#REF!</definedName>
    <definedName name="__y2">#REF!</definedName>
    <definedName name="__y3">#REF!</definedName>
    <definedName name="__y4">#REF!</definedName>
    <definedName name="__y5">#REF!</definedName>
    <definedName name="__y6">#REF!</definedName>
    <definedName name="__y7">#REF!</definedName>
    <definedName name="__y8">#REF!</definedName>
    <definedName name="__y9">#REF!</definedName>
    <definedName name="__z1">#REF!</definedName>
    <definedName name="__z2">#REF!</definedName>
    <definedName name="__z3">#REF!</definedName>
    <definedName name="__z4">#REF!</definedName>
    <definedName name="__z5">#REF!</definedName>
    <definedName name="__z6">#REF!</definedName>
    <definedName name="_1">#REF!</definedName>
    <definedName name="_1__Sin_nombre">#REF!</definedName>
    <definedName name="_1_25">[21]Tablas!#REF!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_CERRAMIENTO_PERIMETRAL">#REF!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9Excel_BuiltIn_Print_Area_1_1_1">#REF!</definedName>
    <definedName name="_1ane_o10">#REF!</definedName>
    <definedName name="_1Excel_BuiltIn_Print_Area_1_1">#REF!</definedName>
    <definedName name="_1Excel_BuiltIn_Print_Area_1_1_1">#REF!</definedName>
    <definedName name="_1Excel_BuiltIn_Print_Area_3">#REF!</definedName>
    <definedName name="_1Excel_BuiltIn_Print_Titles_1_1">#REF!</definedName>
    <definedName name="_1Sin_nombre">#REF!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5Excel_BuiltIn_Print_Titles_1_1_1_1">#REF!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2Excel_BuiltIn_Print_Titles_1_1_1_1">#REF!</definedName>
    <definedName name="_2Sin_nombre">#REF!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9Sin_nombre">#REF!</definedName>
    <definedName name="_a1" localSheetId="2" hidden="1">{"TAB1",#N/A,TRUE,"GENERAL";"TAB2",#N/A,TRUE,"GENERAL";"TAB3",#N/A,TRUE,"GENERAL";"TAB4",#N/A,TRUE,"GENERAL";"TAB5",#N/A,TRUE,"GENERAL"}</definedName>
    <definedName name="_a1" localSheetId="1"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16400">#REF!</definedName>
    <definedName name="_A17000">#REF!</definedName>
    <definedName name="_A20000">#REF!</definedName>
    <definedName name="_A251140">#REF!</definedName>
    <definedName name="_A251150">#REF!</definedName>
    <definedName name="_a3" localSheetId="2" hidden="1">{"TAB1",#N/A,TRUE,"GENERAL";"TAB2",#N/A,TRUE,"GENERAL";"TAB3",#N/A,TRUE,"GENERAL";"TAB4",#N/A,TRUE,"GENERAL";"TAB5",#N/A,TRUE,"GENERAL"}</definedName>
    <definedName name="_a3" localSheetId="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2" hidden="1">{"via1",#N/A,TRUE,"general";"via2",#N/A,TRUE,"general";"via3",#N/A,TRUE,"general"}</definedName>
    <definedName name="_a4" localSheetId="1"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localSheetId="1"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localSheetId="1"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AS1" localSheetId="2" hidden="1">{#N/A,#N/A,TRUE,"INGENIERIA";#N/A,#N/A,TRUE,"COMPRAS";#N/A,#N/A,TRUE,"DIRECCION";#N/A,#N/A,TRUE,"RESUMEN"}</definedName>
    <definedName name="_AAS1" localSheetId="1" hidden="1">{#N/A,#N/A,TRUE,"INGENIERIA";#N/A,#N/A,TRUE,"COMPRAS";#N/A,#N/A,TRUE,"DIRECCION";#N/A,#N/A,TRUE,"RESUMEN"}</definedName>
    <definedName name="_AAS1" localSheetId="0" hidden="1">{#N/A,#N/A,TRUE,"INGENIERIA";#N/A,#N/A,TRUE,"COMPRAS";#N/A,#N/A,TRUE,"DIRECCION";#N/A,#N/A,TRUE,"RESUMEN"}</definedName>
    <definedName name="_AAS1" hidden="1">{#N/A,#N/A,TRUE,"INGENIERIA";#N/A,#N/A,TRUE,"COMPRAS";#N/A,#N/A,TRUE,"DIRECCION";#N/A,#N/A,TRUE,"RESUMEN"}</definedName>
    <definedName name="_ABC1" localSheetId="2" hidden="1">{#N/A,#N/A,TRUE,"1842CWN0"}</definedName>
    <definedName name="_ABC1" localSheetId="1" hidden="1">{#N/A,#N/A,TRUE,"1842CWN0"}</definedName>
    <definedName name="_ABC1" localSheetId="0" hidden="1">{#N/A,#N/A,TRUE,"1842CWN0"}</definedName>
    <definedName name="_ABC1" hidden="1">{#N/A,#N/A,TRUE,"1842CWN0"}</definedName>
    <definedName name="_abc2" localSheetId="2" hidden="1">{#N/A,#N/A,TRUE,"1842CWN0"}</definedName>
    <definedName name="_abc2" localSheetId="1" hidden="1">{#N/A,#N/A,TRUE,"1842CWN0"}</definedName>
    <definedName name="_abc2" localSheetId="0" hidden="1">{#N/A,#N/A,TRUE,"1842CWN0"}</definedName>
    <definedName name="_abc2" hidden="1">{#N/A,#N/A,TRUE,"1842CWN0"}</definedName>
    <definedName name="_ADN3">[40]APU!$G$277</definedName>
    <definedName name="_AFC1">[7]INV!$A$25:$D$28</definedName>
    <definedName name="_AFC3">[7]INV!$F$25:$I$28</definedName>
    <definedName name="_AFC5">[7]INV!$K$25:$N$28</definedName>
    <definedName name="_aiu2">[14]AIU!$J$105</definedName>
    <definedName name="_ALL4">#REF!</definedName>
    <definedName name="_ALM1">#REF!</definedName>
    <definedName name="_AND1">#REF!</definedName>
    <definedName name="_ane7" localSheetId="8">[22]!_xlbgnm.ane7</definedName>
    <definedName name="_ane7" localSheetId="7">[22]!_xlbgnm.ane7</definedName>
    <definedName name="_ane7" localSheetId="5">[22]!_xlbgnm.ane7</definedName>
    <definedName name="_ane7" localSheetId="1">[22]!_xlbgnm.ane7</definedName>
    <definedName name="_ane7" localSheetId="0">[22]!_xlbgnm.ane7</definedName>
    <definedName name="_ane7" localSheetId="4">[22]!_xlbgnm.ane7</definedName>
    <definedName name="_ane7">[22]!_xlbgnm.ane7</definedName>
    <definedName name="_ane8" localSheetId="8">[22]!_xlbgnm.ane8</definedName>
    <definedName name="_ane8" localSheetId="7">[22]!_xlbgnm.ane8</definedName>
    <definedName name="_ane8" localSheetId="5">[22]!_xlbgnm.ane8</definedName>
    <definedName name="_ane8" localSheetId="1">[22]!_xlbgnm.ane8</definedName>
    <definedName name="_ane8" localSheetId="0">[22]!_xlbgnm.ane8</definedName>
    <definedName name="_ane8" localSheetId="4">[22]!_xlbgnm.ane8</definedName>
    <definedName name="_ane8">[22]!_xlbgnm.ane8</definedName>
    <definedName name="_APU221">#REF!</definedName>
    <definedName name="_APU465" localSheetId="8">[41]!absc</definedName>
    <definedName name="_APU465" localSheetId="7">[41]!absc</definedName>
    <definedName name="_APU465" localSheetId="5">[41]!absc</definedName>
    <definedName name="_APU465" localSheetId="1">[41]!absc</definedName>
    <definedName name="_APU465" localSheetId="0">[41]!absc</definedName>
    <definedName name="_APU465" localSheetId="4">[41]!absc</definedName>
    <definedName name="_APU465">[41]!absc</definedName>
    <definedName name="_Atp2">[32]EMPRESA!$F$22</definedName>
    <definedName name="_b2" localSheetId="2" hidden="1">{"TAB1",#N/A,TRUE,"GENERAL";"TAB2",#N/A,TRUE,"GENERAL";"TAB3",#N/A,TRUE,"GENERAL";"TAB4",#N/A,TRUE,"GENERAL";"TAB5",#N/A,TRUE,"GENERAL"}</definedName>
    <definedName name="_b2" localSheetId="1"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localSheetId="1"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localSheetId="1"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localSheetId="1"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localSheetId="1"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localSheetId="1"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localSheetId="1"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localSheetId="1"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localSheetId="1"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BGC1">[7]INV!$A$5:$D$8</definedName>
    <definedName name="_BGC3">[7]INV!$F$5:$I$8</definedName>
    <definedName name="_BGC5">[7]INV!$K$5:$N$8</definedName>
    <definedName name="_CAC1">[7]INV!$A$19:$D$22</definedName>
    <definedName name="_CAC3">[7]INV!$F$19:$I$22</definedName>
    <definedName name="_CAC5">[7]INV!$K$19:$N$22</definedName>
    <definedName name="_CAN4">#REF!</definedName>
    <definedName name="_CHD1045">#REF!</definedName>
    <definedName name="_CHD1090">#REF!</definedName>
    <definedName name="_CHD1245">#REF!</definedName>
    <definedName name="_CHD1290">#REF!</definedName>
    <definedName name="_CHD445">#REF!</definedName>
    <definedName name="_CHD490">#REF!</definedName>
    <definedName name="_CHD645">#REF!</definedName>
    <definedName name="_CHD690">#REF!</definedName>
    <definedName name="_CHD845">#REF!</definedName>
    <definedName name="_CHD890">#REF!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ON123">'[33]Base Datos'!$B$8</definedName>
    <definedName name="_CON2200">#REF!</definedName>
    <definedName name="_CON2500">#REF!</definedName>
    <definedName name="_con3000">#REF!</definedName>
    <definedName name="_DCI1">[19]Tablas!#REF!</definedName>
    <definedName name="_DDS1">[19]Tablas!#REF!</definedName>
    <definedName name="_DGO1">[19]Tablas!#REF!</definedName>
    <definedName name="_DGP1">[19]Tablas!#REF!</definedName>
    <definedName name="_DIJ1">[19]Tablas!#REF!</definedName>
    <definedName name="_DPI1">[19]Tablas!#REF!</definedName>
    <definedName name="_DPY1">[19]Tablas!#REF!</definedName>
    <definedName name="_DRI1">[19]Tablas!#REF!</definedName>
    <definedName name="_DRL1">[19]Tablas!#REF!</definedName>
    <definedName name="_DSP1">[19]Tablas!#REF!</definedName>
    <definedName name="_duz">#REF!</definedName>
    <definedName name="_ECP1">[19]Tablas!#REF!</definedName>
    <definedName name="_EMC2">#REF!</definedName>
    <definedName name="_EMC4">#REF!</definedName>
    <definedName name="_EQP1">#REF!</definedName>
    <definedName name="_EQP10">#REF!</definedName>
    <definedName name="_EQP11">#REF!</definedName>
    <definedName name="_EQP12">#REF!</definedName>
    <definedName name="_EQP13">#REF!</definedName>
    <definedName name="_EQP14">#REF!</definedName>
    <definedName name="_EQP15">#REF!</definedName>
    <definedName name="_EQP16">#REF!</definedName>
    <definedName name="_EQP17">#REF!</definedName>
    <definedName name="_EQP18">#REF!</definedName>
    <definedName name="_EQP19">#REF!</definedName>
    <definedName name="_EQP2">#REF!</definedName>
    <definedName name="_EQP20">#REF!</definedName>
    <definedName name="_eqp27">#REF!</definedName>
    <definedName name="_EQP3">#REF!</definedName>
    <definedName name="_EQP4">#REF!</definedName>
    <definedName name="_EQP5">#REF!</definedName>
    <definedName name="_EQP6">#REF!</definedName>
    <definedName name="_EQP7">#REF!</definedName>
    <definedName name="_EQP8">#REF!</definedName>
    <definedName name="_EQP9">#REF!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localSheetId="2">'MC 1'!ERR</definedName>
    <definedName name="_F" localSheetId="1">'MC 2-3-4'!ERR</definedName>
    <definedName name="_F" localSheetId="0">'MC 5'!ERR</definedName>
    <definedName name="_F">[0]!ERR</definedName>
    <definedName name="_F10">#REF!</definedName>
    <definedName name="_F4" localSheetId="2" hidden="1">{"SUMINISTRO E INSTALACIÓN CANALETAS L=7.50"}</definedName>
    <definedName name="_F4" localSheetId="1" hidden="1">{"SUMINISTRO E INSTALACIÓN CANALETAS L=7.50"}</definedName>
    <definedName name="_F4" localSheetId="0" hidden="1">{"SUMINISTRO E INSTALACIÓN CANALETAS L=7.50"}</definedName>
    <definedName name="_F4" hidden="1">{"SUMINISTRO E INSTALACIÓN CANALETAS L=7.50"}</definedName>
    <definedName name="_FC">#REF!</definedName>
    <definedName name="_Fi" hidden="1">#REF!</definedName>
    <definedName name="_Fill" hidden="1">#REF!</definedName>
    <definedName name="_xlnm._FilterDatabase" localSheetId="4" hidden="1">'PRESUPUESTO OFICIAL '!$F$8:$F$103</definedName>
    <definedName name="_xlnm._FilterDatabase" hidden="1">#REF!</definedName>
    <definedName name="_FS01" localSheetId="2">'MC 1'!ERR</definedName>
    <definedName name="_FS01" localSheetId="1">'MC 2-3-4'!ERR</definedName>
    <definedName name="_FS01" localSheetId="0">'MC 5'!ERR</definedName>
    <definedName name="_FS01">[0]!ERR</definedName>
    <definedName name="_g2" localSheetId="2" hidden="1">{"TAB1",#N/A,TRUE,"GENERAL";"TAB2",#N/A,TRUE,"GENERAL";"TAB3",#N/A,TRUE,"GENERAL";"TAB4",#N/A,TRUE,"GENERAL";"TAB5",#N/A,TRUE,"GENERAL"}</definedName>
    <definedName name="_g2" localSheetId="1"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localSheetId="1"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localSheetId="1"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localSheetId="1"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localSheetId="1"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localSheetId="1"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oBack" localSheetId="2">'[42]INDICAR CÓDIGO DEL ITEM DE PAGO'!#REF!</definedName>
    <definedName name="_GoBack" localSheetId="1">'[42]INDICAR CÓDIGO DEL ITEM DE PAGO'!#REF!</definedName>
    <definedName name="_GoBack" localSheetId="0">'[42]INDICAR CÓDIGO DEL ITEM DE PAGO'!#REF!</definedName>
    <definedName name="_GoBack">'[43]INDICAR CÓDIGO DEL ITEM DE PAGO'!#REF!</definedName>
    <definedName name="_GR1" localSheetId="2" hidden="1">{"TAB1",#N/A,TRUE,"GENERAL";"TAB2",#N/A,TRUE,"GENERAL";"TAB3",#N/A,TRUE,"GENERAL";"TAB4",#N/A,TRUE,"GENERAL";"TAB5",#N/A,TRUE,"GENERAL"}</definedName>
    <definedName name="_GR1" localSheetId="1"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localSheetId="1"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localSheetId="1"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localSheetId="1"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localSheetId="1"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localSheetId="1"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localSheetId="1"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localSheetId="1"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localSheetId="1"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localSheetId="1"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hhg1" localSheetId="2" hidden="1">{#N/A,#N/A,TRUE,"1842CWN0"}</definedName>
    <definedName name="_hhg1" localSheetId="1" hidden="1">{#N/A,#N/A,TRUE,"1842CWN0"}</definedName>
    <definedName name="_hhg1" localSheetId="0" hidden="1">{#N/A,#N/A,TRUE,"1842CWN0"}</definedName>
    <definedName name="_hhg1" hidden="1">{#N/A,#N/A,TRUE,"1842CWN0"}</definedName>
    <definedName name="_i4" localSheetId="2" hidden="1">{"via1",#N/A,TRUE,"general";"via2",#N/A,TRUE,"general";"via3",#N/A,TRUE,"general"}</definedName>
    <definedName name="_i4" localSheetId="1"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localSheetId="1"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localSheetId="1"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localSheetId="1"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localSheetId="1"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localSheetId="1"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localSheetId="1"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ICP1">[19]Tablas!#REF!</definedName>
    <definedName name="_IMP1">#REF!</definedName>
    <definedName name="_INF1">#REF!</definedName>
    <definedName name="_INF2">#REF!</definedName>
    <definedName name="_IPC2002">#REF!</definedName>
    <definedName name="_IVA1">#REF!</definedName>
    <definedName name="_JOSE12">#REF!</definedName>
    <definedName name="_k3" localSheetId="2" hidden="1">{"TAB1",#N/A,TRUE,"GENERAL";"TAB2",#N/A,TRUE,"GENERAL";"TAB3",#N/A,TRUE,"GENERAL";"TAB4",#N/A,TRUE,"GENERAL";"TAB5",#N/A,TRUE,"GENERAL"}</definedName>
    <definedName name="_k3" localSheetId="1"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localSheetId="1"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localSheetId="1"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localSheetId="1"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localSheetId="1"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localSheetId="1"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localSheetId="1"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ay1" hidden="1">#REF!</definedName>
    <definedName name="_Key1" hidden="1">#REF!</definedName>
    <definedName name="_Key11" hidden="1">[44]INST!#REF!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localSheetId="1"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lar03">#REF!</definedName>
    <definedName name="_LEY80">#REF!</definedName>
    <definedName name="_lll">#REF!</definedName>
    <definedName name="_M14">'[33]Base Datos'!$B$9</definedName>
    <definedName name="_m3" localSheetId="2" hidden="1">{"via1",#N/A,TRUE,"general";"via2",#N/A,TRUE,"general";"via3",#N/A,TRUE,"general"}</definedName>
    <definedName name="_m3" localSheetId="1"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localSheetId="1"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localSheetId="1"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localSheetId="1"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localSheetId="1"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localSheetId="1"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localSheetId="1"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MA2">#REF!</definedName>
    <definedName name="_MAT1">#REF!</definedName>
    <definedName name="_MAT10">#REF!</definedName>
    <definedName name="_MAT100">#REF!</definedName>
    <definedName name="_MAT101">#REF!</definedName>
    <definedName name="_MAT102">#REF!</definedName>
    <definedName name="_MAT103">#REF!</definedName>
    <definedName name="_MAT104">#REF!</definedName>
    <definedName name="_MAT105">#REF!</definedName>
    <definedName name="_MAT106">#REF!</definedName>
    <definedName name="_MAT107">#REF!</definedName>
    <definedName name="_MAT108">#REF!</definedName>
    <definedName name="_MAT109">#REF!</definedName>
    <definedName name="_MAT11">#REF!</definedName>
    <definedName name="_MAT110">#REF!</definedName>
    <definedName name="_MAT111">#REF!</definedName>
    <definedName name="_MAT1111">'[33]Base Datos'!$B$43</definedName>
    <definedName name="_MAT112">#REF!</definedName>
    <definedName name="_MAT113">#REF!</definedName>
    <definedName name="_MAT114">#REF!</definedName>
    <definedName name="_MAT115">#REF!</definedName>
    <definedName name="_MAT116">#REF!</definedName>
    <definedName name="_MAT117">#REF!</definedName>
    <definedName name="_MAT118">#REF!</definedName>
    <definedName name="_MAT119">#REF!</definedName>
    <definedName name="_MAT12">#REF!</definedName>
    <definedName name="_MAT120">#REF!</definedName>
    <definedName name="_MAT121">#REF!</definedName>
    <definedName name="_MAT122">#REF!</definedName>
    <definedName name="_MAT123">#REF!</definedName>
    <definedName name="_MAT124">#REF!</definedName>
    <definedName name="_MAT125">#REF!</definedName>
    <definedName name="_MAT126">#REF!</definedName>
    <definedName name="_MAT127">'[45]Base Datos'!$B$169</definedName>
    <definedName name="_MAT128">'[45]Base Datos'!$B$170</definedName>
    <definedName name="_MAT129">#REF!</definedName>
    <definedName name="_MAT13">#REF!</definedName>
    <definedName name="_MAT130">#REF!</definedName>
    <definedName name="_MAT131">#REF!</definedName>
    <definedName name="_MAT132">#REF!</definedName>
    <definedName name="_MAT133">#REF!</definedName>
    <definedName name="_MAT134">#REF!</definedName>
    <definedName name="_MAT135">#REF!</definedName>
    <definedName name="_MAT136">#REF!</definedName>
    <definedName name="_MAT137">#REF!</definedName>
    <definedName name="_MAT138">#REF!</definedName>
    <definedName name="_MAT139">#REF!</definedName>
    <definedName name="_MAT14">#REF!</definedName>
    <definedName name="_MAT140">#REF!</definedName>
    <definedName name="_MAT141">#REF!</definedName>
    <definedName name="_MAT142">#REF!</definedName>
    <definedName name="_MAT143">#REF!</definedName>
    <definedName name="_MAT144">#REF!</definedName>
    <definedName name="_MAT145">#REF!</definedName>
    <definedName name="_MAT146">#REF!</definedName>
    <definedName name="_MAT147">#REF!</definedName>
    <definedName name="_MAT148">#REF!</definedName>
    <definedName name="_MAT149">#REF!</definedName>
    <definedName name="_MAT15">#REF!</definedName>
    <definedName name="_MAT150">#REF!</definedName>
    <definedName name="_MAT151">#REF!</definedName>
    <definedName name="_MAT152">#REF!</definedName>
    <definedName name="_MAT153">#REF!</definedName>
    <definedName name="_MAT154">#REF!</definedName>
    <definedName name="_MAT155">#REF!</definedName>
    <definedName name="_MAT156">#REF!</definedName>
    <definedName name="_MAT157">#REF!</definedName>
    <definedName name="_MAT158">#REF!</definedName>
    <definedName name="_MAT159">#REF!</definedName>
    <definedName name="_MAT16">#REF!</definedName>
    <definedName name="_MAT160">#REF!</definedName>
    <definedName name="_MAT161">#REF!</definedName>
    <definedName name="_MAT162">#REF!</definedName>
    <definedName name="_MAT163">#REF!</definedName>
    <definedName name="_MAT164">#REF!</definedName>
    <definedName name="_MAT165">#REF!</definedName>
    <definedName name="_MAT166">#REF!</definedName>
    <definedName name="_MAT17">#REF!</definedName>
    <definedName name="_MAT170">'[36]Base Datos'!$B$212</definedName>
    <definedName name="_MAT171">'[36]Base Datos'!$B$213</definedName>
    <definedName name="_MAT18">#REF!</definedName>
    <definedName name="_MAT19">#REF!</definedName>
    <definedName name="_MAT2">#REF!</definedName>
    <definedName name="_MAT20">#REF!</definedName>
    <definedName name="_MAT21">#REF!</definedName>
    <definedName name="_MAT22">#REF!</definedName>
    <definedName name="_MAT23">#REF!</definedName>
    <definedName name="_MAT24">#REF!</definedName>
    <definedName name="_MAT25">#REF!</definedName>
    <definedName name="_MAT26">#REF!</definedName>
    <definedName name="_MAT27">#REF!</definedName>
    <definedName name="_MAT28">#REF!</definedName>
    <definedName name="_MAT29">#REF!</definedName>
    <definedName name="_MAT3">#REF!</definedName>
    <definedName name="_MAT30">#REF!</definedName>
    <definedName name="_MAT31">#REF!</definedName>
    <definedName name="_MAT32">#REF!</definedName>
    <definedName name="_MAT33">#REF!</definedName>
    <definedName name="_MAT34">#REF!</definedName>
    <definedName name="_MAT35">#REF!</definedName>
    <definedName name="_MAT36">#REF!</definedName>
    <definedName name="_MAT37">#REF!</definedName>
    <definedName name="_MAT38">#REF!</definedName>
    <definedName name="_MAT39">#REF!</definedName>
    <definedName name="_MAT4">#REF!</definedName>
    <definedName name="_MAT40">#REF!</definedName>
    <definedName name="_MAT41">#REF!</definedName>
    <definedName name="_MAT42">#REF!</definedName>
    <definedName name="_MAT43">#REF!</definedName>
    <definedName name="_MAT44">#REF!</definedName>
    <definedName name="_MAT45">#REF!</definedName>
    <definedName name="_MAT46">#REF!</definedName>
    <definedName name="_MAT47">#REF!</definedName>
    <definedName name="_MAT48">#REF!</definedName>
    <definedName name="_MAT49">#REF!</definedName>
    <definedName name="_MAT5">#REF!</definedName>
    <definedName name="_MAT50">#REF!</definedName>
    <definedName name="_MAT51">#REF!</definedName>
    <definedName name="_MAT52">#REF!</definedName>
    <definedName name="_MAT53">#REF!</definedName>
    <definedName name="_MAT54">#REF!</definedName>
    <definedName name="_MAT55">#REF!</definedName>
    <definedName name="_MAT56">#REF!</definedName>
    <definedName name="_MAT57">#REF!</definedName>
    <definedName name="_MAT58">#REF!</definedName>
    <definedName name="_MAT59">#REF!</definedName>
    <definedName name="_MAT6">#REF!</definedName>
    <definedName name="_MAT60">#REF!</definedName>
    <definedName name="_MAT61">#REF!</definedName>
    <definedName name="_MAT62">#REF!</definedName>
    <definedName name="_MAT63">#REF!</definedName>
    <definedName name="_MAT64">#REF!</definedName>
    <definedName name="_MAT65">#REF!</definedName>
    <definedName name="_MAT66">#REF!</definedName>
    <definedName name="_MAT67">#REF!</definedName>
    <definedName name="_MAT68">#REF!</definedName>
    <definedName name="_MAT69">#REF!</definedName>
    <definedName name="_MAT7">#REF!</definedName>
    <definedName name="_MAT70">#REF!</definedName>
    <definedName name="_MAT71">#REF!</definedName>
    <definedName name="_MAT72">'[45]Base Datos'!$B$114</definedName>
    <definedName name="_MAT73">#REF!</definedName>
    <definedName name="_MAT74">'[45]Base Datos'!$B$116</definedName>
    <definedName name="_MAT75">#REF!</definedName>
    <definedName name="_MAT76">#REF!</definedName>
    <definedName name="_MAT77">#REF!</definedName>
    <definedName name="_MAT78">#REF!</definedName>
    <definedName name="_MAT79">#REF!</definedName>
    <definedName name="_MAT8">#REF!</definedName>
    <definedName name="_MAT80">#REF!</definedName>
    <definedName name="_MAT81">#REF!</definedName>
    <definedName name="_MAT82">#REF!</definedName>
    <definedName name="_MAT83">#REF!</definedName>
    <definedName name="_MAT832">'[37]Base Datos'!$B$125</definedName>
    <definedName name="_MAT84">#REF!</definedName>
    <definedName name="_MAT85">#REF!</definedName>
    <definedName name="_MAT86">#REF!</definedName>
    <definedName name="_MAT87">#REF!</definedName>
    <definedName name="_MAT88">#REF!</definedName>
    <definedName name="_MAT89">#REF!</definedName>
    <definedName name="_MAT9">#REF!</definedName>
    <definedName name="_MAT90">#REF!</definedName>
    <definedName name="_MAT91">#REF!</definedName>
    <definedName name="_MAT92">#REF!</definedName>
    <definedName name="_MAT93">#REF!</definedName>
    <definedName name="_MAT94">#REF!</definedName>
    <definedName name="_MAT95">#REF!</definedName>
    <definedName name="_MAT96">#REF!</definedName>
    <definedName name="_MAT97">#REF!</definedName>
    <definedName name="_MAT98">#REF!</definedName>
    <definedName name="_MAT99">#REF!</definedName>
    <definedName name="_MAY88">'[38]Base Datos'!$B$11</definedName>
    <definedName name="_MM1">#REF!</definedName>
    <definedName name="_MM2">#REF!</definedName>
    <definedName name="_MM3">#REF!</definedName>
    <definedName name="_MM4">#REF!</definedName>
    <definedName name="_MO1">#REF!</definedName>
    <definedName name="_MO10">#REF!</definedName>
    <definedName name="_MO2">#REF!</definedName>
    <definedName name="_MO3">#REF!</definedName>
    <definedName name="_MO4">#REF!</definedName>
    <definedName name="_MO5">#REF!</definedName>
    <definedName name="_MO6">#REF!</definedName>
    <definedName name="_MO7">#REF!</definedName>
    <definedName name="_MO8">#REF!</definedName>
    <definedName name="_MO9">#REF!</definedName>
    <definedName name="_MOD1">#REF!</definedName>
    <definedName name="_MOR12">#REF!</definedName>
    <definedName name="_MOR13">#REF!</definedName>
    <definedName name="_MOR14">#REF!</definedName>
    <definedName name="_MOR15">#REF!</definedName>
    <definedName name="_MOR16">#REF!</definedName>
    <definedName name="_MOR17">#REF!</definedName>
    <definedName name="_mun2">[39]PESOS!#REF!</definedName>
    <definedName name="_MV1">#REF!</definedName>
    <definedName name="_MV10">#REF!</definedName>
    <definedName name="_MV11">#REF!</definedName>
    <definedName name="_MV12">#REF!</definedName>
    <definedName name="_MV13">#REF!</definedName>
    <definedName name="_MV14">#REF!</definedName>
    <definedName name="_MV15">#REF!</definedName>
    <definedName name="_MV16">#REF!</definedName>
    <definedName name="_MV17">#REF!</definedName>
    <definedName name="_MV18">#REF!</definedName>
    <definedName name="_MV19">#REF!</definedName>
    <definedName name="_MV2">#REF!</definedName>
    <definedName name="_MV20">#REF!</definedName>
    <definedName name="_MV3">#REF!</definedName>
    <definedName name="_MV4">#REF!</definedName>
    <definedName name="_MV5">#REF!</definedName>
    <definedName name="_MV6">#REF!</definedName>
    <definedName name="_MV7">#REF!</definedName>
    <definedName name="_MV8">#REF!</definedName>
    <definedName name="_MV9">#REF!</definedName>
    <definedName name="_n3" localSheetId="2" hidden="1">{"TAB1",#N/A,TRUE,"GENERAL";"TAB2",#N/A,TRUE,"GENERAL";"TAB3",#N/A,TRUE,"GENERAL";"TAB4",#N/A,TRUE,"GENERAL";"TAB5",#N/A,TRUE,"GENERAL"}</definedName>
    <definedName name="_n3" localSheetId="1"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localSheetId="1"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localSheetId="1"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2" hidden="1">{"via1",#N/A,TRUE,"general";"via2",#N/A,TRUE,"general";"via3",#N/A,TRUE,"general"}</definedName>
    <definedName name="_nyn7" localSheetId="1"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localSheetId="1"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localSheetId="1"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localSheetId="1"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localSheetId="1"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localSheetId="1"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localSheetId="1"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CD1">[19]Tablas!#REF!</definedName>
    <definedName name="_OCI1">[19]Tablas!#REF!</definedName>
    <definedName name="_Order1" hidden="1">0</definedName>
    <definedName name="_Order2" hidden="1">255</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localSheetId="2" hidden="1">{"via1",#N/A,TRUE,"general";"via2",#N/A,TRUE,"general";"via3",#N/A,TRUE,"general"}</definedName>
    <definedName name="_p6" localSheetId="1"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localSheetId="1"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localSheetId="1"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1">'[16]Paral. 1'!$E$1:$E$65536</definedName>
    <definedName name="_Pa2">'[16]Paral. 2'!$E$1:$E$65536</definedName>
    <definedName name="_Pa3">'[16]Paral. 3'!$E$1:$E$65536</definedName>
    <definedName name="_Pa4">[16]Paral.4!$E$1:$E$65536</definedName>
    <definedName name="_Parse_Out" hidden="1">'[4]7422CW00'!#REF!</definedName>
    <definedName name="_PER3">#REF!</definedName>
    <definedName name="_PER4">#REF!</definedName>
    <definedName name="_PER5">#REF!</definedName>
    <definedName name="_PER6">#REF!</definedName>
    <definedName name="_PER8">#REF!</definedName>
    <definedName name="_PJ50">#REF!</definedName>
    <definedName name="_pj51">#REF!</definedName>
    <definedName name="_PMT5671">[13]MEMORIAS!#REF!</definedName>
    <definedName name="_PMT5805">[13]MEMORIAS!#REF!</definedName>
    <definedName name="_PMT5806">[13]MEMORIAS!#REF!</definedName>
    <definedName name="_PMT5815">[13]MEMORIAS!#REF!</definedName>
    <definedName name="_PMT5820">[13]MEMORIAS!#REF!</definedName>
    <definedName name="_POR1">#REF!</definedName>
    <definedName name="_POR2">#REF!</definedName>
    <definedName name="_POR3">#REF!</definedName>
    <definedName name="_POR4">#REF!</definedName>
    <definedName name="_POR5">#REF!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RE12">#REF!</definedName>
    <definedName name="_PTO97">#REF!</definedName>
    <definedName name="_puertametalica22x245">#REF!</definedName>
    <definedName name="_PW2">#REF!</definedName>
    <definedName name="_PZ15">#REF!</definedName>
    <definedName name="_PZ20">#REF!</definedName>
    <definedName name="_PZ30">#REF!</definedName>
    <definedName name="_PZ40">#REF!</definedName>
    <definedName name="_PZ50">#REF!</definedName>
    <definedName name="_QTY1">#REF!</definedName>
    <definedName name="_r" localSheetId="2" hidden="1">{"TAB1",#N/A,TRUE,"GENERAL";"TAB2",#N/A,TRUE,"GENERAL";"TAB3",#N/A,TRUE,"GENERAL";"TAB4",#N/A,TRUE,"GENERAL";"TAB5",#N/A,TRUE,"GENERAL"}</definedName>
    <definedName name="_r" localSheetId="1" hidden="1">{"TAB1",#N/A,TRUE,"GENERAL";"TAB2",#N/A,TRUE,"GENERAL";"TAB3",#N/A,TRUE,"GENERAL";"TAB4",#N/A,TRUE,"GENERAL";"TAB5",#N/A,TRUE,"GENERAL"}</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localSheetId="1"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c">#REF!</definedName>
    <definedName name="_RD43">#REF!</definedName>
    <definedName name="_RD63">#REF!</definedName>
    <definedName name="_RD64">#REF!</definedName>
    <definedName name="_RD83">#REF!</definedName>
    <definedName name="_RD84">#REF!</definedName>
    <definedName name="_RD86">#REF!</definedName>
    <definedName name="_REC1">"Rectángulo 31"</definedName>
    <definedName name="_ref4">#REF!</definedName>
    <definedName name="_Regression_Out" hidden="1">#REF!</definedName>
    <definedName name="_Regression_X" hidden="1">#REF!</definedName>
    <definedName name="_Regression_Y" hidden="1">#REF!</definedName>
    <definedName name="_RET1">'[4]7422CW00'!#REF!</definedName>
    <definedName name="_RET2">'[4]7422CW00'!#REF!</definedName>
    <definedName name="_RET3">'[4]7422CW00'!#REF!</definedName>
    <definedName name="_RET4">'[4]7422CW00'!#REF!</definedName>
    <definedName name="_RET5">'[4]7422CW00'!#REF!</definedName>
    <definedName name="_RET6">'[4]7422CW00'!#REF!</definedName>
    <definedName name="_rtu6" localSheetId="2" hidden="1">{"via1",#N/A,TRUE,"general";"via2",#N/A,TRUE,"general";"via3",#N/A,TRUE,"general"}</definedName>
    <definedName name="_rtu6" localSheetId="1"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localSheetId="1"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localSheetId="1"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localSheetId="1"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localSheetId="1"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localSheetId="1"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localSheetId="1"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localSheetId="1"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AL1">#REF!</definedName>
    <definedName name="_SBC1">[7]INV!$A$12:$D$15</definedName>
    <definedName name="_SBC3">[7]INV!$F$12:$I$15</definedName>
    <definedName name="_SBC5">[7]INV!$K$12:$N$15</definedName>
    <definedName name="_scenchg1" hidden="1">[46]inpermeabOTRO!#REF!</definedName>
    <definedName name="_Sort" hidden="1">#REF!</definedName>
    <definedName name="_srn001">#REF!</definedName>
    <definedName name="_SUM1">#REF!</definedName>
    <definedName name="_SUM2">#REF!</definedName>
    <definedName name="_SY106">#REF!</definedName>
    <definedName name="_SY126">#REF!</definedName>
    <definedName name="_SY166">#REF!</definedName>
    <definedName name="_SY186">#REF!</definedName>
    <definedName name="_SY206">#REF!</definedName>
    <definedName name="_SY86">#REF!</definedName>
    <definedName name="_t3" localSheetId="2" hidden="1">{"TAB1",#N/A,TRUE,"GENERAL";"TAB2",#N/A,TRUE,"GENERAL";"TAB3",#N/A,TRUE,"GENERAL";"TAB4",#N/A,TRUE,"GENERAL";"TAB5",#N/A,TRUE,"GENERAL"}</definedName>
    <definedName name="_t3" localSheetId="1"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localSheetId="1"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localSheetId="1"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localSheetId="1"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localSheetId="1"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localSheetId="1"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localSheetId="1"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localSheetId="1"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localSheetId="1"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localSheetId="1"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localSheetId="1"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TA3">#REF!</definedName>
    <definedName name="_TA4">#REF!</definedName>
    <definedName name="_tab1">#REF!</definedName>
    <definedName name="_tab2">#REF!</definedName>
    <definedName name="_tab3">#REF!</definedName>
    <definedName name="_TAB4">#REF!</definedName>
    <definedName name="_tax1">#REF!</definedName>
    <definedName name="_tax2">#REF!</definedName>
    <definedName name="_tax3">#REF!</definedName>
    <definedName name="_tax4">#REF!</definedName>
    <definedName name="_tc1">#REF!</definedName>
    <definedName name="_tc2">#REF!</definedName>
    <definedName name="_tc3">#REF!</definedName>
    <definedName name="_TE10">#REF!</definedName>
    <definedName name="_TE103">#REF!</definedName>
    <definedName name="_TE104">#REF!</definedName>
    <definedName name="_TE106">#REF!</definedName>
    <definedName name="_TE108">#REF!</definedName>
    <definedName name="_TE12">#REF!</definedName>
    <definedName name="_TE1210">#REF!</definedName>
    <definedName name="_TE123">#REF!</definedName>
    <definedName name="_TE124">#REF!</definedName>
    <definedName name="_TE126">#REF!</definedName>
    <definedName name="_TE128">#REF!</definedName>
    <definedName name="_TE3">#REF!</definedName>
    <definedName name="_TE4">#REF!</definedName>
    <definedName name="_TE43">#REF!</definedName>
    <definedName name="_TE6">#REF!</definedName>
    <definedName name="_TE63">#REF!</definedName>
    <definedName name="_TE64">#REF!</definedName>
    <definedName name="_TE8">#REF!</definedName>
    <definedName name="_TE83">#REF!</definedName>
    <definedName name="_TE84">#REF!</definedName>
    <definedName name="_TE86">#REF!</definedName>
    <definedName name="_TEE3">[40]APU!$G$331</definedName>
    <definedName name="_TEE4">#REF!</definedName>
    <definedName name="_TEE6">#REF!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TP10">#REF!</definedName>
    <definedName name="_TP12">#REF!</definedName>
    <definedName name="_TP3">#REF!</definedName>
    <definedName name="_TP4">#REF!</definedName>
    <definedName name="_TP6">#REF!</definedName>
    <definedName name="_TP8">#REF!</definedName>
    <definedName name="_TS10">#REF!</definedName>
    <definedName name="_TS12">#REF!</definedName>
    <definedName name="_TS16">#REF!</definedName>
    <definedName name="_TS18">#REF!</definedName>
    <definedName name="_TS20">#REF!</definedName>
    <definedName name="_TS24">#REF!</definedName>
    <definedName name="_TS27">#REF!</definedName>
    <definedName name="_TS30">#REF!</definedName>
    <definedName name="_TS33">#REF!</definedName>
    <definedName name="_TS36">#REF!</definedName>
    <definedName name="_TS39">#REF!</definedName>
    <definedName name="_TS42">#REF!</definedName>
    <definedName name="_TS45">#REF!</definedName>
    <definedName name="_TS6">#REF!</definedName>
    <definedName name="_TS8">#REF!</definedName>
    <definedName name="_TUB3">[40]APU!$G$222</definedName>
    <definedName name="_tuberia_250_mm">#REF!</definedName>
    <definedName name="_u4" localSheetId="2" hidden="1">{"TAB1",#N/A,TRUE,"GENERAL";"TAB2",#N/A,TRUE,"GENERAL";"TAB3",#N/A,TRUE,"GENERAL";"TAB4",#N/A,TRUE,"GENERAL";"TAB5",#N/A,TRUE,"GENERAL"}</definedName>
    <definedName name="_u4" localSheetId="1"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localSheetId="1"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localSheetId="1"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localSheetId="1"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localSheetId="1"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localSheetId="1"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G3">#REF!</definedName>
    <definedName name="_UG4">#REF!</definedName>
    <definedName name="_UG6">#REF!</definedName>
    <definedName name="_UG8">#REF!</definedName>
    <definedName name="_unj1" hidden="1">[15]INST!#REF!</definedName>
    <definedName name="_ur7" localSheetId="2" hidden="1">{"TAB1",#N/A,TRUE,"GENERAL";"TAB2",#N/A,TRUE,"GENERAL";"TAB3",#N/A,TRUE,"GENERAL";"TAB4",#N/A,TRUE,"GENERAL";"TAB5",#N/A,TRUE,"GENERAL"}</definedName>
    <definedName name="_ur7" localSheetId="1"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URA10">#REF!</definedName>
    <definedName name="_URA12">#REF!</definedName>
    <definedName name="_URA3">#REF!</definedName>
    <definedName name="_URA4">#REF!</definedName>
    <definedName name="_URA6">#REF!</definedName>
    <definedName name="_URA8">#REF!</definedName>
    <definedName name="_URE10">#REF!</definedName>
    <definedName name="_URE12">#REF!</definedName>
    <definedName name="_URE3">#REF!</definedName>
    <definedName name="_URE4">#REF!</definedName>
    <definedName name="_URE6">#REF!</definedName>
    <definedName name="_URE8">#REF!</definedName>
    <definedName name="_us24">#REF!</definedName>
    <definedName name="_US27">#REF!</definedName>
    <definedName name="_US30">#REF!</definedName>
    <definedName name="_US33">#REF!</definedName>
    <definedName name="_US36">#REF!</definedName>
    <definedName name="_US39">#REF!</definedName>
    <definedName name="_US42">#REF!</definedName>
    <definedName name="_US45">#REF!</definedName>
    <definedName name="_v2" localSheetId="2" hidden="1">{"via1",#N/A,TRUE,"general";"via2",#N/A,TRUE,"general";"via3",#N/A,TRUE,"general"}</definedName>
    <definedName name="_v2" localSheetId="1"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localSheetId="1"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localSheetId="1"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localSheetId="1"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localSheetId="1"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localSheetId="1"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localSheetId="1"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localSheetId="1"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AL3">[40]APU!$G$655</definedName>
    <definedName name="_VCE10">#REF!</definedName>
    <definedName name="_VCE3">#REF!</definedName>
    <definedName name="_VCE4">#REF!</definedName>
    <definedName name="_VCE6">#REF!</definedName>
    <definedName name="_VCE8">#REF!</definedName>
    <definedName name="_VEX1">[19]Tablas!#REF!</definedName>
    <definedName name="_VFA1">[19]Tablas!#REF!</definedName>
    <definedName name="_vfv4" localSheetId="2" hidden="1">{"via1",#N/A,TRUE,"general";"via2",#N/A,TRUE,"general";"via3",#N/A,TRUE,"general"}</definedName>
    <definedName name="_vfv4" localSheetId="1"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VIT1">[19]Tablas!#REF!</definedName>
    <definedName name="_Vol1">[20]Item!$A:$D</definedName>
    <definedName name="_VPR1">[19]Tablas!#REF!</definedName>
    <definedName name="_VPR2">[21]Tablas!#REF!</definedName>
    <definedName name="_VRP1">[19]Tablas!#REF!</definedName>
    <definedName name="_VSM1">[19]Tablas!#REF!</definedName>
    <definedName name="_X">"[0]!err"</definedName>
    <definedName name="_X_1">"[0]!err"</definedName>
    <definedName name="_X_10">#REF!</definedName>
    <definedName name="_X_3">#REF!</definedName>
    <definedName name="_X_9">#REF!</definedName>
    <definedName name="_x1" localSheetId="2" hidden="1">{"TAB1",#N/A,TRUE,"GENERAL";"TAB2",#N/A,TRUE,"GENERAL";"TAB3",#N/A,TRUE,"GENERAL";"TAB4",#N/A,TRUE,"GENERAL";"TAB5",#N/A,TRUE,"GENERAL"}</definedName>
    <definedName name="_x1" localSheetId="1"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localSheetId="1"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localSheetId="1"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localSheetId="1"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localSheetId="1"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localSheetId="1"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localSheetId="1"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localSheetId="1"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localSheetId="1"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localSheetId="1"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localSheetId="1"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localSheetId="1"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localSheetId="1"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localSheetId="1"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localSheetId="1"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localSheetId="1"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localSheetId="1"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"[0]!err"</definedName>
    <definedName name="_Z_1">"[0]!err"</definedName>
    <definedName name="_Z_10">#REF!</definedName>
    <definedName name="_Z_3">#REF!</definedName>
    <definedName name="_Z_9">#REF!</definedName>
    <definedName name="_z1" localSheetId="2" hidden="1">{"TAB1",#N/A,TRUE,"GENERAL";"TAB2",#N/A,TRUE,"GENERAL";"TAB3",#N/A,TRUE,"GENERAL";"TAB4",#N/A,TRUE,"GENERAL";"TAB5",#N/A,TRUE,"GENERAL"}</definedName>
    <definedName name="_z1" localSheetId="1"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localSheetId="1"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localSheetId="1"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localSheetId="1"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localSheetId="1"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localSheetId="1"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'[47]DUB-823'!#REF!</definedName>
    <definedName name="A.1">'[33]Base Datos'!$B$7</definedName>
    <definedName name="A_1">#REF!</definedName>
    <definedName name="a_BASICOS">#REF!</definedName>
    <definedName name="a_CIMENTACION">#REF!</definedName>
    <definedName name="A_impresión_IM">#REF!</definedName>
    <definedName name="A_impresión_IM_2">#REF!</definedName>
    <definedName name="a_PREELIMINAR">#REF!</definedName>
    <definedName name="A18A200">[48]ESPEC!#REF!</definedName>
    <definedName name="a2a" localSheetId="2" hidden="1">{"TAB1",#N/A,TRUE,"GENERAL";"TAB2",#N/A,TRUE,"GENERAL";"TAB3",#N/A,TRUE,"GENERAL";"TAB4",#N/A,TRUE,"GENERAL";"TAB5",#N/A,TRUE,"GENERAL"}</definedName>
    <definedName name="a2a" localSheetId="1"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 localSheetId="2">'MC 1'!ERR</definedName>
    <definedName name="aa" localSheetId="1">'MC 2-3-4'!ERR</definedName>
    <definedName name="aa" localSheetId="0">'MC 5'!ERR</definedName>
    <definedName name="aa">[0]!ERR</definedName>
    <definedName name="aa_1">"[0]!err"</definedName>
    <definedName name="AAA" localSheetId="2">'MC 1'!ERR</definedName>
    <definedName name="AAA" localSheetId="1">'MC 2-3-4'!ERR</definedName>
    <definedName name="AAA" localSheetId="0">'MC 5'!ERR</definedName>
    <definedName name="AAA">[0]!ERR</definedName>
    <definedName name="AAA_10">#REF!</definedName>
    <definedName name="AAA_3">#REF!</definedName>
    <definedName name="AAA_9">#REF!</definedName>
    <definedName name="AAAA">'[49]PU (2)'!$F$10</definedName>
    <definedName name="AAAAA">'[50]Base Datos'!$B$8</definedName>
    <definedName name="aaaaaa">[51]otros!$C$5</definedName>
    <definedName name="AAAAAAAAAA">#REF!</definedName>
    <definedName name="AAAAAAAAAAAAAAAAAAAA">#REF!</definedName>
    <definedName name="aaaaas" localSheetId="2"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C">[7]AASHTO!$A$14:$F$17</definedName>
    <definedName name="AADOQUINVEH">#REF!</definedName>
    <definedName name="AANDENES">#REF!</definedName>
    <definedName name="aas" localSheetId="2" hidden="1">{"TAB1",#N/A,TRUE,"GENERAL";"TAB2",#N/A,TRUE,"GENERAL";"TAB3",#N/A,TRUE,"GENERAL";"TAB4",#N/A,TRUE,"GENERAL";"TAB5",#N/A,TRUE,"GENERAL"}</definedName>
    <definedName name="aas" localSheetId="1"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[7]AASHTO!$A$2:$F$5</definedName>
    <definedName name="ABR">#REF!</definedName>
    <definedName name="ABRAZADERA_DOBLE_ALA_1_5">#REF!</definedName>
    <definedName name="absc">#N/A</definedName>
    <definedName name="absc1" localSheetId="8">[52]!absc</definedName>
    <definedName name="absc1" localSheetId="7">[52]!absc</definedName>
    <definedName name="absc1" localSheetId="5">[52]!absc</definedName>
    <definedName name="absc1" localSheetId="1">[52]!absc</definedName>
    <definedName name="absc1" localSheetId="0">[52]!absc</definedName>
    <definedName name="absc1" localSheetId="4">[52]!absc</definedName>
    <definedName name="absc1">[52]!absc</definedName>
    <definedName name="ac">#REF!</definedName>
    <definedName name="ACALZADA">#REF!</definedName>
    <definedName name="acc">2500</definedName>
    <definedName name="ACCE2">#REF!</definedName>
    <definedName name="ACCE4">#REF!</definedName>
    <definedName name="ACCE6">#REF!</definedName>
    <definedName name="ACCEPRE12">#REF!</definedName>
    <definedName name="ACCESAN2">#REF!</definedName>
    <definedName name="ACCESAN3">#REF!</definedName>
    <definedName name="ACCESAN4">#REF!</definedName>
    <definedName name="ACCESORIO_CODO">[53]Materiales!#REF!</definedName>
    <definedName name="ACCESORIO_CODO_10">#REF!</definedName>
    <definedName name="ACCESORIOPVC2">'[54]PRECIO. MAT'!#REF!</definedName>
    <definedName name="ACCESORIOPVC3">'[54]PRECIO. MAT'!#REF!</definedName>
    <definedName name="ACCESORIOPVC4">'[54]PRECIO. MAT'!#REF!</definedName>
    <definedName name="ACCESORIOS_CONDUIT_1">#REF!</definedName>
    <definedName name="ACCESORIOS_CONDUIT_1_2">#REF!</definedName>
    <definedName name="ACCESORIOS_CONDUIT_3_4">#REF!</definedName>
    <definedName name="Accesorios_de_fijacion">#REF!</definedName>
    <definedName name="ACCESORIOS_INSTALACION_SANITARIO___LAVAMANOS">#REF!</definedName>
    <definedName name="ACCESORIOS_PARA_TANQUE_ALMACENAMIENTO_2000_LTS">#REF!</definedName>
    <definedName name="ACCESORIOS_PRESION_PVC_PUNTO_1_2">#REF!</definedName>
    <definedName name="ACCESORIOS_PVC_AGUAS_LLUVIAS_3">#REF!</definedName>
    <definedName name="ACCESORIOS_PVC_SANITARIOS_2">#REF!</definedName>
    <definedName name="ACCESORIOS_PVC_SANITARIOS_4">#REF!</definedName>
    <definedName name="ACCESORIOS_PVC_TUBERIA_1">#REF!</definedName>
    <definedName name="ACCESORIOS_PVC_TUBERIA_1_2">#REF!</definedName>
    <definedName name="ACCESORIOS_PVC_TUBERIA_3_4">#REF!</definedName>
    <definedName name="ACCESORIOS_TANQUE_ALMACENAMIENTO">#REF!</definedName>
    <definedName name="ACCESORIOS_TUBERIA_PVC_SANITARIA__2">#REF!</definedName>
    <definedName name="ACCESORIOS15">[55]PRECIO.MAT!#REF!</definedName>
    <definedName name="ACCESORIOSMEDIA">[55]PRECIO.MAT!#REF!</definedName>
    <definedName name="AccessButton">"INSUMOS"</definedName>
    <definedName name="AccessDatabase" hidden="1">"C:\C-314\VOLUMENES\volfin4.mdb"</definedName>
    <definedName name="ace">3100</definedName>
    <definedName name="ACELERANTE_PARA_CONCRETO_3_DIAS">#REF!</definedName>
    <definedName name="acero">#REF!</definedName>
    <definedName name="ACERO_1_2">[53]Materiales!#REF!</definedName>
    <definedName name="ACERO_1_4">[53]Materiales!#REF!</definedName>
    <definedName name="acero_3">[53]Materiales!#REF!</definedName>
    <definedName name="ACERO_3_8">[53]Materiales!#REF!</definedName>
    <definedName name="acero_4">[53]Materiales!#REF!</definedName>
    <definedName name="ACERO_5_8">[53]Materiales!#REF!</definedName>
    <definedName name="Acero_A37">#REF!</definedName>
    <definedName name="ACERO_DE_REFUERZO_60000">'[56]Acero de 60.000psi'!$I$53</definedName>
    <definedName name="Acero_PDR_60">#REF!</definedName>
    <definedName name="acero28">#REF!</definedName>
    <definedName name="ACERO34">#REF!</definedName>
    <definedName name="acero37">2460</definedName>
    <definedName name="ACERO38">#REF!</definedName>
    <definedName name="acero58">#REF!</definedName>
    <definedName name="acero60">2530</definedName>
    <definedName name="ACEROBASICO">#REF!</definedName>
    <definedName name="ACEROREFUERZO">#REF!</definedName>
    <definedName name="ACEROS">#REF!</definedName>
    <definedName name="ACIDOCILICO">#REF!</definedName>
    <definedName name="ACOMETIDA12">#REF!</definedName>
    <definedName name="ACOMETIDA3">#REF!</definedName>
    <definedName name="ACOMETIDA4">#REF!</definedName>
    <definedName name="ACOMETIDAAEREA">#REF!</definedName>
    <definedName name="ACONDICIONADOR_PARA_SILLA_Y">[53]Materiales!#REF!</definedName>
    <definedName name="acondicionamientopozo">#REF!</definedName>
    <definedName name="ACOPLE_CANAL_AMAZONA_BAJANTE">#REF!</definedName>
    <definedName name="ACOPLE_LAVAMANOS">#REF!</definedName>
    <definedName name="ACOPLE_SANITARIO">#REF!</definedName>
    <definedName name="acpm">5000</definedName>
    <definedName name="ACT">#REF!</definedName>
    <definedName name="ACT_COMP">#REF!</definedName>
    <definedName name="ACT_COMP2">#REF!</definedName>
    <definedName name="ACT_CONT">#REF!</definedName>
    <definedName name="ACT_CONT2">#REF!</definedName>
    <definedName name="ACTA1">#REF!</definedName>
    <definedName name="ACTA10">#REF!</definedName>
    <definedName name="ACTA11">#REF!</definedName>
    <definedName name="ACTA2">#REF!</definedName>
    <definedName name="ACTA3">#REF!</definedName>
    <definedName name="ACTF">#REF!</definedName>
    <definedName name="ACTIVIDAD">#REF!</definedName>
    <definedName name="Actividades">#REF!</definedName>
    <definedName name="ACTV">#REF!</definedName>
    <definedName name="acumulado">'[57]Reservas de Petróleo'!$A$2,'[57]Reservas de Petróleo'!$A$1,'[57]Reservas de Petróleo'!$D$4,'[57]Reservas de Petróleo'!$E$1:$E$65536</definedName>
    <definedName name="ACwvu.TAB1." hidden="1">#REF!</definedName>
    <definedName name="ACwvu.TAB10." hidden="1">#REF!</definedName>
    <definedName name="ACwvu.TAB2." hidden="1">#REF!</definedName>
    <definedName name="ACwvu.TAB3." hidden="1">#REF!</definedName>
    <definedName name="ACwvu.TAB4." hidden="1">#REF!</definedName>
    <definedName name="ACwvu.TAB5." hidden="1">#REF!</definedName>
    <definedName name="ad">#REF!</definedName>
    <definedName name="ADAPTADOR">#REF!</definedName>
    <definedName name="ADAPTADOR_HEMBRA_P.V.C_1_2">#REF!</definedName>
    <definedName name="ADAPTADOR_HEMBRA_PVC_1_2">#REF!</definedName>
    <definedName name="Adaptador_macho_1_2__pvc">#REF!</definedName>
    <definedName name="Adaptador_macho_3_4__pvc">#REF!</definedName>
    <definedName name="ADAPTADOR_MACHO_P.V.C_1_2">#REF!</definedName>
    <definedName name="ADAPTADOR_MACHO_PVC_1_2">#REF!</definedName>
    <definedName name="ADAPTADOR_PVC_3">#REF!</definedName>
    <definedName name="ADAPTADOR_PVC_3_4">#REF!</definedName>
    <definedName name="ADAPTADORHEMBRA">#REF!</definedName>
    <definedName name="ADAPTADORMACHO">#REF!</definedName>
    <definedName name="adasd">#REF!</definedName>
    <definedName name="ADECC" hidden="1">#REF!</definedName>
    <definedName name="ADECREJILLA">#REF!</definedName>
    <definedName name="ADF">#REF!</definedName>
    <definedName name="ADFBRYNTNR">#REF!</definedName>
    <definedName name="ADFBRYTMT">#REF!</definedName>
    <definedName name="ADFE">"[0]!err"</definedName>
    <definedName name="ADFE_1">"[0]!err"</definedName>
    <definedName name="ADFGSDB" localSheetId="2" hidden="1">{"via1",#N/A,TRUE,"general";"via2",#N/A,TRUE,"general";"via3",#N/A,TRUE,"general"}</definedName>
    <definedName name="ADFGSDB" localSheetId="1"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HERENTE_MORTERO_CONCRETO_SIKALATEX">#REF!</definedName>
    <definedName name="Adhesivo_310ml">#REF!</definedName>
    <definedName name="ADHESIVO_PARA_SILLA_Y">[53]Materiales!#REF!</definedName>
    <definedName name="ADIC" hidden="1">#REF!</definedName>
    <definedName name="ADICONALG" hidden="1">#REF!</definedName>
    <definedName name="ADIFLEX">[53]Materiales!#REF!</definedName>
    <definedName name="ADITIVO_CONTRA_FISURAS">#REF!</definedName>
    <definedName name="ADM">[51]otros!$C$2</definedName>
    <definedName name="AdminDetail">#REF!</definedName>
    <definedName name="AdminHeading">#REF!</definedName>
    <definedName name="Administración">#REF!</definedName>
    <definedName name="administrador">[58]Informacion!$B$15</definedName>
    <definedName name="ADMINISTRADOR_VIAL__ARMANDO_SANCHEZ_SANCHEZ">[59]INDICMICROEMP!$A$20</definedName>
    <definedName name="Adminitración">#REF!</definedName>
    <definedName name="AdminSumDetail">#REF!</definedName>
    <definedName name="AdminSumHeading">#REF!</definedName>
    <definedName name="AdminTotalDetail">#REF!</definedName>
    <definedName name="AdminTotalHeading">#REF!</definedName>
    <definedName name="ADMON">#REF!</definedName>
    <definedName name="ADMON1">#REF!</definedName>
    <definedName name="adoc1" localSheetId="8">[52]!absc</definedName>
    <definedName name="adoc1" localSheetId="7">[52]!absc</definedName>
    <definedName name="adoc1" localSheetId="5">[52]!absc</definedName>
    <definedName name="adoc1" localSheetId="1">[52]!absc</definedName>
    <definedName name="adoc1" localSheetId="0">[52]!absc</definedName>
    <definedName name="adoc1" localSheetId="4">[52]!absc</definedName>
    <definedName name="adoc1">[52]!absc</definedName>
    <definedName name="ADOC125" localSheetId="8">[60]!absc</definedName>
    <definedName name="ADOC125" localSheetId="7">[60]!absc</definedName>
    <definedName name="ADOC125" localSheetId="5">[60]!absc</definedName>
    <definedName name="ADOC125" localSheetId="1">[60]!absc</definedName>
    <definedName name="ADOC125" localSheetId="0">[60]!absc</definedName>
    <definedName name="ADOC125" localSheetId="4">[60]!absc</definedName>
    <definedName name="ADOC125">[60]!absc</definedName>
    <definedName name="adoq" localSheetId="8">[61]!absc</definedName>
    <definedName name="adoq" localSheetId="7">[61]!absc</definedName>
    <definedName name="adoq" localSheetId="5">[61]!absc</definedName>
    <definedName name="adoq" localSheetId="1">[61]!absc</definedName>
    <definedName name="adoq" localSheetId="0">[61]!absc</definedName>
    <definedName name="adoq" localSheetId="4">[61]!absc</definedName>
    <definedName name="adoq">[61]!absc</definedName>
    <definedName name="ADOQUIN">'[54]PRECIO. MAT'!$C$26</definedName>
    <definedName name="ADOQUIN_DE_CONCRETO">[53]Materiales!#REF!</definedName>
    <definedName name="ADOQUIN_PEATONAL_VEHICULAR_LIVIANO_TIPO_I">#REF!</definedName>
    <definedName name="ADSAD" localSheetId="2" hidden="1">{"TAB1",#N/A,TRUE,"GENERAL";"TAB2",#N/A,TRUE,"GENERAL";"TAB3",#N/A,TRUE,"GENERAL";"TAB4",#N/A,TRUE,"GENERAL";"TAB5",#N/A,TRUE,"GENERAL"}</definedName>
    <definedName name="ADSAD" localSheetId="1"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 localSheetId="2" hidden="1">{#N/A,#N/A,TRUE,"INGENIERIA";#N/A,#N/A,TRUE,"COMPRAS";#N/A,#N/A,TRUE,"DIRECCION";#N/A,#N/A,TRUE,"RESUMEN"}</definedName>
    <definedName name="AE" localSheetId="1" hidden="1">{#N/A,#N/A,TRUE,"INGENIERIA";#N/A,#N/A,TRUE,"COMPRAS";#N/A,#N/A,TRUE,"DIRECCION";#N/A,#N/A,TRUE,"RESUMEN"}</definedName>
    <definedName name="AE" localSheetId="0" hidden="1">{#N/A,#N/A,TRUE,"INGENIERIA";#N/A,#N/A,TRUE,"COMPRAS";#N/A,#N/A,TRUE,"DIRECCION";#N/A,#N/A,TRUE,"RESUMEN"}</definedName>
    <definedName name="AE" hidden="1">{#N/A,#N/A,TRUE,"INGENIERIA";#N/A,#N/A,TRUE,"COMPRAS";#N/A,#N/A,TRUE,"DIRECCION";#N/A,#N/A,TRUE,"RESUMEN"}</definedName>
    <definedName name="AE_1">"#REF!"</definedName>
    <definedName name="aefa" localSheetId="2" hidden="1">{"via1",#N/A,TRUE,"general";"via2",#N/A,TRUE,"general";"via3",#N/A,TRUE,"general"}</definedName>
    <definedName name="aefa" localSheetId="1"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ER">"[0]!err"</definedName>
    <definedName name="AER_1">"[0]!err"</definedName>
    <definedName name="AF" localSheetId="2" hidden="1">{#N/A,#N/A,TRUE,"INGENIERIA";#N/A,#N/A,TRUE,"COMPRAS";#N/A,#N/A,TRUE,"DIRECCION";#N/A,#N/A,TRUE,"RESUMEN"}</definedName>
    <definedName name="AF" localSheetId="1" hidden="1">{#N/A,#N/A,TRUE,"INGENIERIA";#N/A,#N/A,TRUE,"COMPRAS";#N/A,#N/A,TRUE,"DIRECCION";#N/A,#N/A,TRUE,"RESUMEN"}</definedName>
    <definedName name="AF" localSheetId="0" hidden="1">{#N/A,#N/A,TRUE,"INGENIERIA";#N/A,#N/A,TRUE,"COMPRAS";#N/A,#N/A,TRUE,"DIRECCION";#N/A,#N/A,TRUE,"RESUMEN"}</definedName>
    <definedName name="AF" hidden="1">{#N/A,#N/A,TRUE,"INGENIERIA";#N/A,#N/A,TRUE,"COMPRAS";#N/A,#N/A,TRUE,"DIRECCION";#N/A,#N/A,TRUE,"RESUMEN"}</definedName>
    <definedName name="afdsw" localSheetId="2" hidden="1">{"TAB1",#N/A,TRUE,"GENERAL";"TAB2",#N/A,TRUE,"GENERAL";"TAB3",#N/A,TRUE,"GENERAL";"TAB4",#N/A,TRUE,"GENERAL";"TAB5",#N/A,TRUE,"GENERAL"}</definedName>
    <definedName name="afdsw" localSheetId="1"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a">#REF!</definedName>
    <definedName name="agdsgg" localSheetId="2" hidden="1">{"via1",#N/A,TRUE,"general";"via2",#N/A,TRUE,"general";"via3",#N/A,TRUE,"general"}</definedName>
    <definedName name="agdsgg" localSheetId="1"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GETHYT">#REF!</definedName>
    <definedName name="AGG">#REF!</definedName>
    <definedName name="AGO">#REF!</definedName>
    <definedName name="AGUA">[62]Materiales!$F$7</definedName>
    <definedName name="Agua_Lt">#REF!</definedName>
    <definedName name="AH" localSheetId="2" hidden="1">{#N/A,#N/A,TRUE,"INGENIERIA";#N/A,#N/A,TRUE,"COMPRAS";#N/A,#N/A,TRUE,"DIRECCION";#N/A,#N/A,TRUE,"RESUMEN"}</definedName>
    <definedName name="AH" localSheetId="1" hidden="1">{#N/A,#N/A,TRUE,"INGENIERIA";#N/A,#N/A,TRUE,"COMPRAS";#N/A,#N/A,TRUE,"DIRECCION";#N/A,#N/A,TRUE,"RESUMEN"}</definedName>
    <definedName name="AH" localSheetId="0" hidden="1">{#N/A,#N/A,TRUE,"INGENIERIA";#N/A,#N/A,TRUE,"COMPRAS";#N/A,#N/A,TRUE,"DIRECCION";#N/A,#N/A,TRUE,"RESUMEN"}</definedName>
    <definedName name="AH" hidden="1">{#N/A,#N/A,TRUE,"INGENIERIA";#N/A,#N/A,TRUE,"COMPRAS";#N/A,#N/A,TRUE,"DIRECCION";#N/A,#N/A,TRUE,"RESUMEN"}</definedName>
    <definedName name="ahe">#REF!</definedName>
    <definedName name="Ai">#REF!</definedName>
    <definedName name="aida">#REF!</definedName>
    <definedName name="aida1">#REF!</definedName>
    <definedName name="AimcorFundsFlow">#REF!</definedName>
    <definedName name="AimcorFundsFlowHeading">#REF!</definedName>
    <definedName name="AimcorFundsFlowPA">#REF!</definedName>
    <definedName name="AimcorFundsFlowPAHeading">#REF!</definedName>
    <definedName name="AimcorPostDetail">#REF!</definedName>
    <definedName name="AimcorPostHeading">#REF!</definedName>
    <definedName name="AimcorTotalDetail">#REF!</definedName>
    <definedName name="AimcorTotalHeading">#REF!</definedName>
    <definedName name="AimSumDetail">#REF!</definedName>
    <definedName name="AimSumHeading">#REF!</definedName>
    <definedName name="AIU">#REF!</definedName>
    <definedName name="AIU_01">#REF!</definedName>
    <definedName name="AIU_1">#REF!</definedName>
    <definedName name="AIU_2">#REF!</definedName>
    <definedName name="AIU_ADMON">[63]DATOS!$D$8</definedName>
    <definedName name="AIU_IMP">[63]DATOS!$D$9</definedName>
    <definedName name="AIU_UTIL">[63]DATOS!$D$10</definedName>
    <definedName name="aj">#REF!</definedName>
    <definedName name="AjustDelAIU">#REF!</definedName>
    <definedName name="AjustDelAIU2">#REF!</definedName>
    <definedName name="Ajuste">[64]Datos!$B$11</definedName>
    <definedName name="Ak">#REF!</definedName>
    <definedName name="alam">#REF!</definedName>
    <definedName name="ALAMBRE">'[54]PRECIO. MAT'!$C$21</definedName>
    <definedName name="ALAMBRE_">#REF!</definedName>
    <definedName name="ALAMBRE_DE_ALUMINIO__8">#REF!</definedName>
    <definedName name="ALAMBRE_DE_ALUMINIO_AISLADO_THHW_NO_6">#REF!</definedName>
    <definedName name="ALAMBRE_DE_ALUMINIO_No_8">#REF!</definedName>
    <definedName name="ALAMBRE_DE_COBRE_N_10_AWG_THHN">#REF!</definedName>
    <definedName name="Alambre_de_Pua">#REF!</definedName>
    <definedName name="ALAMBRE_GALVANIZADO">[53]Materiales!#REF!</definedName>
    <definedName name="ALAMBRE_GALVANIZADO_CALIBRE_12">#REF!</definedName>
    <definedName name="ALAMBRE_GALVANIZADO_CALIBRE_14">#REF!</definedName>
    <definedName name="ALAMBRE_GALVANIZADO_No._12">#REF!</definedName>
    <definedName name="Alambre_negro_Cal._18">#REF!</definedName>
    <definedName name="ALAMBRE10">'[54]PRECIO. MAT'!#REF!</definedName>
    <definedName name="ALAMBRE12">'[54]PRECIO. MAT'!#REF!</definedName>
    <definedName name="ALAMBRE14D">'[54]PRECIO. MAT'!#REF!</definedName>
    <definedName name="ALAMBRE15">'[54]PRECIO. MAT'!#REF!</definedName>
    <definedName name="ALAMBRE8">'[54]PRECIO. MAT'!#REF!</definedName>
    <definedName name="ALAMBRETW10">#REF!</definedName>
    <definedName name="alampuas">#REF!</definedName>
    <definedName name="ALAMRE12">'[54]PRECIO. MAT'!#REF!</definedName>
    <definedName name="alc" localSheetId="8">[65]!absc</definedName>
    <definedName name="alc" localSheetId="7">[65]!absc</definedName>
    <definedName name="alc" localSheetId="5">[65]!absc</definedName>
    <definedName name="alc" localSheetId="1">[65]!absc</definedName>
    <definedName name="alc" localSheetId="0">[65]!absc</definedName>
    <definedName name="alc" localSheetId="4">[65]!absc</definedName>
    <definedName name="alc">[65]!absc</definedName>
    <definedName name="AlcanceProyecto">#REF!</definedName>
    <definedName name="ale">#REF!</definedName>
    <definedName name="ALICIA">#REF!</definedName>
    <definedName name="ALM">#REF!</definedName>
    <definedName name="Alternativas">[66]Hoja1!$C$4:$C$7</definedName>
    <definedName name="ALTO">[67]Tabla!$A$1:$A$5</definedName>
    <definedName name="altura">#REF!</definedName>
    <definedName name="ALUMOL">#REF!</definedName>
    <definedName name="ALUMTE">#REF!</definedName>
    <definedName name="Am">#REF!</definedName>
    <definedName name="AMARRA">#REF!</definedName>
    <definedName name="AMARRE">'[54]PRECIO. MAT'!#REF!</definedName>
    <definedName name="AMARRES">#REF!</definedName>
    <definedName name="AMARRES_X_100_UND">#REF!</definedName>
    <definedName name="Ambi">'[68]FF-01'!#REF!</definedName>
    <definedName name="AMBIENTAL">#REF!</definedName>
    <definedName name="AME">#REF!</definedName>
    <definedName name="Amount">#REF!</definedName>
    <definedName name="An">#REF!</definedName>
    <definedName name="ANA">#REF!</definedName>
    <definedName name="ANCLAJE">'[69]MC SF GAVIONES'!#REF!</definedName>
    <definedName name="AND">#REF!</definedName>
    <definedName name="ANDAMIO">#REF!</definedName>
    <definedName name="ANDENES">#REF!</definedName>
    <definedName name="ANE">'[70]ANEXO 7'!#REF!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[71]COMPARATIVO!#REF!</definedName>
    <definedName name="anexo8">#REF!</definedName>
    <definedName name="anexo9">#REF!</definedName>
    <definedName name="anexů7">#REF!</definedName>
    <definedName name="ANGULO">#REF!</definedName>
    <definedName name="ANGULO_1_8_X_2">#REF!</definedName>
    <definedName name="ANGULO_11_2_X_11_2_X_1_4">#REF!</definedName>
    <definedName name="ANGULO_2_1_2_X_2_1_2_X_1_4">#REF!</definedName>
    <definedName name="ANGULO_2_X_2_X_1_4">#REF!</definedName>
    <definedName name="ANGULO1">'[54]PRECIO. MAT'!$C$20</definedName>
    <definedName name="ANGULO1.5">[55]PRECIO.MAT!#REF!</definedName>
    <definedName name="ANGULO114">#REF!</definedName>
    <definedName name="ANGULO15">[55]PRECIO.MAT!#REF!</definedName>
    <definedName name="ANGULO2">[55]PRECIO.MAT!#REF!</definedName>
    <definedName name="ANGULO2316">[55]PRECIO.MAT!$C$19</definedName>
    <definedName name="ANGULOMEDIA316">[55]PRECIO.MAT!#REF!</definedName>
    <definedName name="ANGULOMETALICO">#REF!</definedName>
    <definedName name="ANIL">#REF!</definedName>
    <definedName name="anillo">#REF!</definedName>
    <definedName name="ANJEO">'[54]PRECIO. MAT'!#REF!</definedName>
    <definedName name="ANTECHO_EN_VARILLA_CUADRADA_3_8">#REF!</definedName>
    <definedName name="ANTEPISO">#REF!</definedName>
    <definedName name="ANTI">#REF!</definedName>
    <definedName name="Antic">[72]BASES!$B$33</definedName>
    <definedName name="ANTICIPO">[73]BASES!$B$33</definedName>
    <definedName name="ANTICIPO_1">"[0]!err"</definedName>
    <definedName name="anticorrosiva">#REF!</definedName>
    <definedName name="ANTICORROSIVO">#REF!</definedName>
    <definedName name="antisol">6000</definedName>
    <definedName name="Antisol_blanco">#REF!</definedName>
    <definedName name="ANTONIA">#N/A</definedName>
    <definedName name="Añ">#REF!</definedName>
    <definedName name="AÑO">[51]PRESUPUESTO!$D$13</definedName>
    <definedName name="año1">'[74]ESTADO RED'!#REF!</definedName>
    <definedName name="AÑOWUIE">'[75]Res-Accide-10'!$R$2:$R$7</definedName>
    <definedName name="ao">#REF!</definedName>
    <definedName name="apaiy">#REF!</definedName>
    <definedName name="APELLIDOS">#REF!</definedName>
    <definedName name="API">#REF!</definedName>
    <definedName name="APLIQUE_T4_26_WATS_CON_BASE_SOPORTE_PARA_PARED">#REF!</definedName>
    <definedName name="APU" localSheetId="8">[76]!absc</definedName>
    <definedName name="APU" localSheetId="7">[76]!absc</definedName>
    <definedName name="APU" localSheetId="5">[76]!absc</definedName>
    <definedName name="APU" localSheetId="1">[76]!absc</definedName>
    <definedName name="APU" localSheetId="0">[76]!absc</definedName>
    <definedName name="APU" localSheetId="4">[76]!absc</definedName>
    <definedName name="APU">[76]!absc</definedName>
    <definedName name="APU_directos">#REF!</definedName>
    <definedName name="APU221.1">#REF!</definedName>
    <definedName name="APU221.2">#REF!</definedName>
    <definedName name="APUs">#REF!</definedName>
    <definedName name="aq" localSheetId="2">'MC 1'!ERR</definedName>
    <definedName name="aq" localSheetId="1">'MC 2-3-4'!ERR</definedName>
    <definedName name="aq" localSheetId="0">'MC 5'!ERR</definedName>
    <definedName name="aq">[0]!ERR</definedName>
    <definedName name="aq_1">"[0]!err"</definedName>
    <definedName name="aqaq" localSheetId="2" hidden="1">{"TAB1",#N/A,TRUE,"GENERAL";"TAB2",#N/A,TRUE,"GENERAL";"TAB3",#N/A,TRUE,"GENERAL";"TAB4",#N/A,TRUE,"GENERAL";"TAB5",#N/A,TRUE,"GENERAL"}</definedName>
    <definedName name="aqaq" localSheetId="1"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#REF!</definedName>
    <definedName name="ARA">#REF!</definedName>
    <definedName name="ARANCEL">#REF!</definedName>
    <definedName name="ARBOL">[55]PRECIO.MAT!#REF!</definedName>
    <definedName name="Arbol_para_sanitario">#REF!</definedName>
    <definedName name="ARBUSTO">'[54]PRECIO. MAT'!$C$22</definedName>
    <definedName name="AREA">#REF!</definedName>
    <definedName name="AREA__M2">#REF!</definedName>
    <definedName name="Área_de_Cantidades">#REF!</definedName>
    <definedName name="_xlnm.Extract">#REF!</definedName>
    <definedName name="_xlnm.Print_Area" localSheetId="6">'CAP 1,00'!$C$1:$Q$1297</definedName>
    <definedName name="_xlnm.Print_Area" localSheetId="8">'CAP 2-3-4'!$C$1:$Q$1815</definedName>
    <definedName name="_xlnm.Print_Area" localSheetId="7">'CAP 5-6-7'!$C$1:$Q$1553</definedName>
    <definedName name="_xlnm.Print_Area" localSheetId="5">'CAP 8-9'!$C$1:$Q$691</definedName>
    <definedName name="_xlnm.Print_Area" localSheetId="2">'MC 1'!$C$2:$U$1112</definedName>
    <definedName name="_xlnm.Print_Area" localSheetId="1">'MC 2-3-4'!$C$1:$U$1559</definedName>
    <definedName name="_xlnm.Print_Area" localSheetId="0">'MC 5'!$B$1:$T$1929</definedName>
    <definedName name="_xlnm.Print_Area" localSheetId="4">'PRESUPUESTO OFICIAL '!$A$1:$J$122</definedName>
    <definedName name="_xlnm.Print_Area">#REF!</definedName>
    <definedName name="Area_de_impresion1">#REF!,#REF!</definedName>
    <definedName name="AreaLimpiar">'[77]Info-Portaf'!$N$4,'[77]Info-Portaf'!$C$10:$AE$24,'[77]Info-Portaf'!$C$26:$AE$28,'[77]Info-Portaf'!$C$31:$AE$40,'[77]Info-Portaf'!$C$41:$H$41,'[77]Info-Portaf'!$C$42:$AE$51,'[77]Info-Portaf'!$C$53:$AE$54,'[77]Info-Portaf'!$C$57:$AE$57,'[77]Info-Portaf'!$C$59:$AE$59,'[77]Info-Portaf'!$B$10:$B$61</definedName>
    <definedName name="AREAN">#REF!</definedName>
    <definedName name="Areatotal">#REF!</definedName>
    <definedName name="Aref">#REF!</definedName>
    <definedName name="ARENA">'[54]PRECIO. MAT'!$C$15</definedName>
    <definedName name="ARENA_BLANCA">[62]Materiales!$F$19</definedName>
    <definedName name="Arena_de_Peña">#REF!</definedName>
    <definedName name="Arena_de_Rio">#REF!</definedName>
    <definedName name="Arena_lavada_de_Peña">#REF!</definedName>
    <definedName name="ARENA_NEGRA">#REF!</definedName>
    <definedName name="ARENAARCILLA">#REF!</definedName>
    <definedName name="ARENAARCILLOSA">[55]PRECIO.MAT!#REF!</definedName>
    <definedName name="ARENABLANCA">#REF!</definedName>
    <definedName name="ARENANEGRA">#REF!</definedName>
    <definedName name="ARENILLA">[40]APU!$G$1141</definedName>
    <definedName name="ARGWERTHT">#REF!</definedName>
    <definedName name="ARMANDO">'[54]PRECIO. MAT'!#REF!</definedName>
    <definedName name="armuve" localSheetId="2">'MC 1'!ERR</definedName>
    <definedName name="armuve" localSheetId="1">'MC 2-3-4'!ERR</definedName>
    <definedName name="armuve" localSheetId="0">'MC 5'!ERR</definedName>
    <definedName name="armuve">[0]!ERR</definedName>
    <definedName name="ARP">#REF!</definedName>
    <definedName name="ARS">#REF!</definedName>
    <definedName name="as" localSheetId="2">'MC 1'!ERR</definedName>
    <definedName name="as" localSheetId="1">'MC 2-3-4'!ERR</definedName>
    <definedName name="as" localSheetId="0">'MC 5'!ERR</definedName>
    <definedName name="as">[0]!ERR</definedName>
    <definedName name="ASB">[7]AASHTO!$A$8:$F$11</definedName>
    <definedName name="ASD" localSheetId="2" hidden="1">{"via1",#N/A,TRUE,"general";"via2",#N/A,TRUE,"general";"via3",#N/A,TRUE,"general"}</definedName>
    <definedName name="ASD" localSheetId="1" hidden="1">{"via1",#N/A,TRUE,"general";"via2",#N/A,TRUE,"general";"via3",#N/A,TRUE,"general"}</definedName>
    <definedName name="ASD" localSheetId="0"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localSheetId="1"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localSheetId="1"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DA">#REF!,#REF!</definedName>
    <definedName name="ASDDSF">#REF!</definedName>
    <definedName name="asdf" localSheetId="2" hidden="1">{"via1",#N/A,TRUE,"general";"via2",#N/A,TRUE,"general";"via3",#N/A,TRUE,"general"}</definedName>
    <definedName name="asdf" localSheetId="1" hidden="1">{"via1",#N/A,TRUE,"general";"via2",#N/A,TRUE,"general";"via3",#N/A,TRUE,"general"}</definedName>
    <definedName name="asdf" localSheetId="0"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localSheetId="1"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DFGHJKLÑ" localSheetId="2">'MC 1'!ERR</definedName>
    <definedName name="ASDFGHJKLÑ" localSheetId="1">'MC 2-3-4'!ERR</definedName>
    <definedName name="ASDFGHJKLÑ" localSheetId="0">'MC 5'!ERR</definedName>
    <definedName name="ASDFGHJKLÑ">[0]!ERR</definedName>
    <definedName name="asdfñk" localSheetId="8">[78]!absc</definedName>
    <definedName name="asdfñk" localSheetId="7">[78]!absc</definedName>
    <definedName name="asdfñk" localSheetId="5">[78]!absc</definedName>
    <definedName name="asdfñk" localSheetId="1">[78]!absc</definedName>
    <definedName name="asdfñk" localSheetId="0">[78]!absc</definedName>
    <definedName name="asdfñk" localSheetId="4">[78]!absc</definedName>
    <definedName name="asdfñk">[78]!absc</definedName>
    <definedName name="ASDVEBRY">#REF!</definedName>
    <definedName name="ASDVRWGNYT">#REF!</definedName>
    <definedName name="ASF">#REF!</definedName>
    <definedName name="asfaltica">150000</definedName>
    <definedName name="ASFALTO">[55]PRECIO.MAT!#REF!</definedName>
    <definedName name="ASFALTOSOLIDO">[55]PRECIO.MAT!$C$18</definedName>
    <definedName name="asfasd" localSheetId="2" hidden="1">{"via1",#N/A,TRUE,"general";"via2",#N/A,TRUE,"general";"via3",#N/A,TRUE,"general"}</definedName>
    <definedName name="asfasd" localSheetId="1"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localSheetId="1"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dfe" localSheetId="2" hidden="1">{#N/A,#N/A,TRUE,"INGENIERIA";#N/A,#N/A,TRUE,"COMPRAS";#N/A,#N/A,TRUE,"DIRECCION";#N/A,#N/A,TRUE,"RESUMEN"}</definedName>
    <definedName name="asfdfe" localSheetId="1" hidden="1">{#N/A,#N/A,TRUE,"INGENIERIA";#N/A,#N/A,TRUE,"COMPRAS";#N/A,#N/A,TRUE,"DIRECCION";#N/A,#N/A,TRUE,"RESUMEN"}</definedName>
    <definedName name="asfdfe" localSheetId="0" hidden="1">{#N/A,#N/A,TRUE,"INGENIERIA";#N/A,#N/A,TRUE,"COMPRAS";#N/A,#N/A,TRUE,"DIRECCION";#N/A,#N/A,TRUE,"RESUMEN"}</definedName>
    <definedName name="asfdfe" hidden="1">{#N/A,#N/A,TRUE,"INGENIERIA";#N/A,#N/A,TRUE,"COMPRAS";#N/A,#N/A,TRUE,"DIRECCION";#N/A,#N/A,TRUE,"RESUMEN"}</definedName>
    <definedName name="asff" localSheetId="2" hidden="1">{"TAB1",#N/A,TRUE,"GENERAL";"TAB2",#N/A,TRUE,"GENERAL";"TAB3",#N/A,TRUE,"GENERAL";"TAB4",#N/A,TRUE,"GENERAL";"TAB5",#N/A,TRUE,"GENERAL"}</definedName>
    <definedName name="asff" localSheetId="1"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localSheetId="1"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FVBYNU">#REF!</definedName>
    <definedName name="ASFVTRNYTNRVBEBYT">#REF!</definedName>
    <definedName name="asojkdr" localSheetId="2" hidden="1">{"TAB1",#N/A,TRUE,"GENERAL";"TAB2",#N/A,TRUE,"GENERAL";"TAB3",#N/A,TRUE,"GENERAL";"TAB4",#N/A,TRUE,"GENERAL";"TAB5",#N/A,TRUE,"GENERAL"}</definedName>
    <definedName name="asojkdr" localSheetId="1"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t">#REF!</definedName>
    <definedName name="ATenerEnCuenta">#REF!</definedName>
    <definedName name="Atp">[18]EMPRESA!$F$20</definedName>
    <definedName name="ATRAQUE">[40]APU!$G$1033</definedName>
    <definedName name="au">#REF!</definedName>
    <definedName name="aur">#REF!</definedName>
    <definedName name="_xlnm.Auto_Open" localSheetId="8">MODULO10.auto_abrir</definedName>
    <definedName name="_xlnm.Auto_Open" localSheetId="7">MODULO10.auto_abrir</definedName>
    <definedName name="_xlnm.Auto_Open" localSheetId="5">MODULO10.auto_abrir</definedName>
    <definedName name="_xlnm.Auto_Open" localSheetId="2">MODULO10.auto_abrir</definedName>
    <definedName name="_xlnm.Auto_Open" localSheetId="1">MODULO10.auto_abrir</definedName>
    <definedName name="_xlnm.Auto_Open" localSheetId="0">MODULO10.auto_abrir</definedName>
    <definedName name="_xlnm.Auto_Open" localSheetId="4">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TOPISTA">'[79]CIRCUITOS CODENSA'!#REF!</definedName>
    <definedName name="AuxAlim">'[18]DATOS CONTRATO'!$E$18</definedName>
    <definedName name="auxalimentacion">[80]CONTRATO!$E$18</definedName>
    <definedName name="AuxCom">'[18]DATOS CONTRATO'!$I$16</definedName>
    <definedName name="auxcomisariato">[80]CONTRATO!$I$16</definedName>
    <definedName name="AuxDot">'[18]DATOS CONTRATO'!$I$17</definedName>
    <definedName name="auxdotacion">[80]CONTRATO!$I$17</definedName>
    <definedName name="AuxHab">'[18]DATOS CONTRATO'!$E$17</definedName>
    <definedName name="auxhabi">[81]CONTRATO!$E$17</definedName>
    <definedName name="auxhabitacion">[80]CONTRATO!$E$17</definedName>
    <definedName name="auxtransporte">[80]CONTRATO!$E$16</definedName>
    <definedName name="av">#REF!</definedName>
    <definedName name="Avance_por_item">#REF!,#REF!,#REF!,#REF!,#REF!,#REF!,#REF!,#REF!,#REF!,#REF!,#REF!,#REF!,#REF!,#REF!,#REF!,#REF!,#REF!,#REF!</definedName>
    <definedName name="Avances_Totales">#REF!,#REF!,#REF!,#REF!,#REF!,#REF!,#REF!,#REF!,#REF!,#REF!,#REF!,#REF!,#REF!,#REF!,#REF!,#REF!,#REF!,#REF!</definedName>
    <definedName name="AW">#REF!</definedName>
    <definedName name="ax">#REF!</definedName>
    <definedName name="Ay">#REF!</definedName>
    <definedName name="AYUDANTE">[54]PRTSOCIALES!$B$46</definedName>
    <definedName name="AYUDATE">#REF!</definedName>
    <definedName name="azaz" localSheetId="2" hidden="1">{"TAB1",#N/A,TRUE,"GENERAL";"TAB2",#N/A,TRUE,"GENERAL";"TAB3",#N/A,TRUE,"GENERAL";"TAB4",#N/A,TRUE,"GENERAL";"TAB5",#N/A,TRUE,"GENERAL"}</definedName>
    <definedName name="azaz" localSheetId="1"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Azulejo_Corona_11X11">#REF!</definedName>
    <definedName name="B" localSheetId="2" hidden="1">{"via1",#N/A,TRUE,"general";"via2",#N/A,TRUE,"general";"via3",#N/A,TRUE,"general"}</definedName>
    <definedName name="B" localSheetId="1" hidden="1">{"via1",#N/A,TRUE,"general";"via2",#N/A,TRUE,"general";"via3",#N/A,TRUE,"general"}</definedName>
    <definedName name="B" localSheetId="0" hidden="1">{"via1",#N/A,TRUE,"general";"via2",#N/A,TRUE,"general";"via3",#N/A,TRUE,"general"}</definedName>
    <definedName name="B" hidden="1">{"via1",#N/A,TRUE,"general";"via2",#N/A,TRUE,"general";"via3",#N/A,TRUE,"general"}</definedName>
    <definedName name="b_IMPRESION_IM">#REF!</definedName>
    <definedName name="B_impresión_IM">#REF!</definedName>
    <definedName name="b_MAMPOSTERIA">#REF!</definedName>
    <definedName name="Ba">#REF!</definedName>
    <definedName name="Bacinete_con_tapa_HF">#REF!</definedName>
    <definedName name="Bajo_L">[67]Tabla!$A$1:$A$5</definedName>
    <definedName name="BALASTO">#REF!</definedName>
    <definedName name="BALDOCINGRESS">#REF!</definedName>
    <definedName name="baldosa">#REF!</definedName>
    <definedName name="BALDOSIN">#REF!</definedName>
    <definedName name="Baldosin_Cemento">#REF!</definedName>
    <definedName name="Baldosin_corrugado_Corona">#REF!</definedName>
    <definedName name="BANCA_EN_CONCRETO">#REF!</definedName>
    <definedName name="BANCASCONCRETO">#REF!</definedName>
    <definedName name="BANCO">#REF!</definedName>
    <definedName name="BARANDA_EN_LAMINA_Y_PLATINA_INCLUYE_PERNOS_ANCLAJE">#REF!</definedName>
    <definedName name="BARANDA_METALICA_SEGÚN_DISEÑO">#REF!</definedName>
    <definedName name="Barras_de_transferencia_de_carga_1_1_4">#REF!</definedName>
    <definedName name="Barras_de_union_de_5_8">#REF!</definedName>
    <definedName name="BASAITEMS1">'[82]ITEMS Nuevos'!$A$1:$C$137</definedName>
    <definedName name="Base">#REF!</definedName>
    <definedName name="BASE.MATERIALES2">[82]MAT!$A$1:$C$2962</definedName>
    <definedName name="BASE_CON_RECEBO_COMPACTADO">#REF!</definedName>
    <definedName name="Base_datos_IM">#REF!</definedName>
    <definedName name="BASE_RECEBOCOMPACTADO">#REF!</definedName>
    <definedName name="base1">#REF!</definedName>
    <definedName name="base2">#REF!</definedName>
    <definedName name="BASE22">#REF!</definedName>
    <definedName name="basedatos">[83]Hoja1!$A$4:$BZ$55</definedName>
    <definedName name="_xlnm.Database">#REF!</definedName>
    <definedName name="BaseDeDatos1">#REF!</definedName>
    <definedName name="Basededatos2">#REF!</definedName>
    <definedName name="BASEEQUIP">[82]MAT!$E$1:$G$1000</definedName>
    <definedName name="BASEGRANULAR">#REF!</definedName>
    <definedName name="BASEM.OBRA">[82]MAT!$I$1:$K$1000</definedName>
    <definedName name="BASEMAT">[82]MAT!$A$1:$C$1000</definedName>
    <definedName name="basep">[84]PRESUPUESTAL!$A$4:$P$190</definedName>
    <definedName name="Basica_Centro_costo_2001">#REF!</definedName>
    <definedName name="Basica_Facturacion_2001">#REF!</definedName>
    <definedName name="Basica_Reserva_2001">#REF!</definedName>
    <definedName name="BASICO">#REF!</definedName>
    <definedName name="Básico">#REF!</definedName>
    <definedName name="BASICOS">#REF!</definedName>
    <definedName name="BASURERO_METALICO">#REF!</definedName>
    <definedName name="BASUREROS">#REF!</definedName>
    <definedName name="BB" localSheetId="2">'MC 1'!ERR</definedName>
    <definedName name="BB" localSheetId="1">'MC 2-3-4'!ERR</definedName>
    <definedName name="BB" localSheetId="0">'MC 5'!ERR</definedName>
    <definedName name="BB">[0]!ERR</definedName>
    <definedName name="BBA">'[37]Base Datos'!$B:$F</definedName>
    <definedName name="bbbbbb" localSheetId="2" hidden="1">{"via1",#N/A,TRUE,"general";"via2",#N/A,TRUE,"general";"via3",#N/A,TRUE,"general"}</definedName>
    <definedName name="bbbbbb" localSheetId="1"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localSheetId="1"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localSheetId="1"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#REF!</definedName>
    <definedName name="BDD">#REF!</definedName>
    <definedName name="BDFB" localSheetId="2" hidden="1">{"via1",#N/A,TRUE,"general";"via2",#N/A,TRUE,"general";"via3",#N/A,TRUE,"general"}</definedName>
    <definedName name="BDFB" localSheetId="1"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localSheetId="1"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dfgdgd" hidden="1">#REF!</definedName>
    <definedName name="be" localSheetId="2" hidden="1">{"TAB1",#N/A,TRUE,"GENERAL";"TAB2",#N/A,TRUE,"GENERAL";"TAB3",#N/A,TRUE,"GENERAL";"TAB4",#N/A,TRUE,"GENERAL";"TAB5",#N/A,TRUE,"GENERAL"}</definedName>
    <definedName name="be" localSheetId="1"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ENTONITA">#REF!</definedName>
    <definedName name="Bf">#REF!</definedName>
    <definedName name="bfnfv" localSheetId="2" hidden="1">{"TAB1",#N/A,TRUE,"GENERAL";"TAB2",#N/A,TRUE,"GENERAL";"TAB3",#N/A,TRUE,"GENERAL";"TAB4",#N/A,TRUE,"GENERAL";"TAB5",#N/A,TRUE,"GENERAL"}</definedName>
    <definedName name="bfnfv" localSheetId="1"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#REF!</definedName>
    <definedName name="bgb" localSheetId="2" hidden="1">{"TAB1",#N/A,TRUE,"GENERAL";"TAB2",#N/A,TRUE,"GENERAL";"TAB3",#N/A,TRUE,"GENERAL";"TAB4",#N/A,TRUE,"GENERAL";"TAB5",#N/A,TRUE,"GENERAL"}</definedName>
    <definedName name="bgb" localSheetId="1"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localSheetId="1"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localSheetId="1"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h">#REF!</definedName>
    <definedName name="BGT">#REF!</definedName>
    <definedName name="bgvfcdx" localSheetId="2" hidden="1">{"via1",#N/A,TRUE,"general";"via2",#N/A,TRUE,"general";"via3",#N/A,TRUE,"general"}</definedName>
    <definedName name="bgvfcdx" localSheetId="1"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h">#REF!</definedName>
    <definedName name="BHT">#REF!</definedName>
    <definedName name="BHT_F">#REF!</definedName>
    <definedName name="bi">#REF!</definedName>
    <definedName name="bimestre">'[85]ESTADO RED'!$E$8</definedName>
    <definedName name="BISAGRA_3">#REF!</definedName>
    <definedName name="BISAGRAS_PARA_REJILLA_DESAGUE_ANDENES">#REF!</definedName>
    <definedName name="BJHVVHGH">#N/A</definedName>
    <definedName name="Bk">#REF!</definedName>
    <definedName name="bl">#REF!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'[86]Ejecutado%'!#REF!</definedName>
    <definedName name="blEjecutadoPorcen">'[86]Ejecutado$'!$D$1:$CE$45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OQUE">#REF!</definedName>
    <definedName name="BLOQUE_DE_ARCILLA_H5">#REF!</definedName>
    <definedName name="Bloque_No._4">#REF!</definedName>
    <definedName name="Bloque_No._5">#REF!</definedName>
    <definedName name="BLOQUECEMENTO">'[54]PRECIO. MAT'!#REF!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'[86]Programado$'!$I$1:$CK$45</definedName>
    <definedName name="blReferenciaInforme">#REF!</definedName>
    <definedName name="Bm">#REF!</definedName>
    <definedName name="bn">#REF!</definedName>
    <definedName name="BNB">#REF!</definedName>
    <definedName name="bnm">#REF!</definedName>
    <definedName name="BO">'[79]CIRCUITOS CODENSA'!#REF!</definedName>
    <definedName name="Bombas">#REF!</definedName>
    <definedName name="BOMBILLO_AHORRADOR_DE_ENEGIA_110_V_100W">#REF!</definedName>
    <definedName name="BONO">#REF!</definedName>
    <definedName name="BOQUILLA12">'[54]PRECIO. MAT'!#REF!</definedName>
    <definedName name="BOQUILLA34">'[54]PRECIO. MAT'!#REF!</definedName>
    <definedName name="BORDE_O_FILO_PARA_GRADAS_ANTIDEZLIZANTE">#REF!</definedName>
    <definedName name="BORDE1">#REF!</definedName>
    <definedName name="BORDER1">[87]steel!#REF!</definedName>
    <definedName name="BORDET">#REF!</definedName>
    <definedName name="bordillo">#REF!</definedName>
    <definedName name="BORNERA_PARA_CONEXIONES_CABLE_No_6_X_9_SECCIONES">#REF!</definedName>
    <definedName name="BORSHE">'[4]7422CW00'!#REF!</definedName>
    <definedName name="BORSUM">'[4]7422CW00'!#REF!</definedName>
    <definedName name="boxes">#REF!</definedName>
    <definedName name="BQ">#REF!</definedName>
    <definedName name="br" localSheetId="2" hidden="1">{"TAB1",#N/A,TRUE,"GENERAL";"TAB2",#N/A,TRUE,"GENERAL";"TAB3",#N/A,TRUE,"GENERAL";"TAB4",#N/A,TRUE,"GENERAL";"TAB5",#N/A,TRUE,"GENERAL"}</definedName>
    <definedName name="br" localSheetId="1"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_ENCHUFABLE_MONOPOLAR_DE_1X15">#REF!</definedName>
    <definedName name="BREAKER_ENCHUFABLE_MONOPOLAR_DE_1X20">#REF!</definedName>
    <definedName name="BREAKER_ENCHUFABLE_MONOPOLAR_DE_1X40">#REF!</definedName>
    <definedName name="BREAKER150">#REF!</definedName>
    <definedName name="BREAKER20">'[54]PRECIO. MAT'!#REF!</definedName>
    <definedName name="BREAKERS">#REF!</definedName>
    <definedName name="Breakers_Switches">#REF!</definedName>
    <definedName name="Breakers_y_Switches">#REF!</definedName>
    <definedName name="BROCHAS">#REF!</definedName>
    <definedName name="bsb" localSheetId="2" hidden="1">{"via1",#N/A,TRUE,"general";"via2",#N/A,TRUE,"general";"via3",#N/A,TRUE,"general"}</definedName>
    <definedName name="bsb" localSheetId="1"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localSheetId="1"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SW">[88]medelo!$D$37</definedName>
    <definedName name="bt" localSheetId="2" hidden="1">{"via1",#N/A,TRUE,"general";"via2",#N/A,TRUE,"general";"via3",#N/A,TRUE,"general"}</definedName>
    <definedName name="bt" localSheetId="1"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localSheetId="1"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#REF!</definedName>
    <definedName name="BuiltIn_Print_Area">'[89]Form5 _Pág_ 1'!#REF!</definedName>
    <definedName name="BuiltIn_Print_Area___0">'[89]Form5 _Pág_ 2'!#REF!</definedName>
    <definedName name="BuiltIn_Print_Area___0___0">#REF!</definedName>
    <definedName name="BuiltIn_Print_Area___0___0___0">#REF!</definedName>
    <definedName name="BuiltIn_Print_Titles">#REF!</definedName>
    <definedName name="Buje_1__1_2">#REF!</definedName>
    <definedName name="Buje_1__3_4">#REF!</definedName>
    <definedName name="bul">100000</definedName>
    <definedName name="BULLDOZER">#REF!</definedName>
    <definedName name="BURRO">#REF!</definedName>
    <definedName name="Buscar">#REF!</definedName>
    <definedName name="Buscar___0">#REF!</definedName>
    <definedName name="Buscar___1">#REF!</definedName>
    <definedName name="Buscar___2">#REF!</definedName>
    <definedName name="Buscar___25">#REF!</definedName>
    <definedName name="Buscar___26">#REF!</definedName>
    <definedName name="Buscar___3">#REF!</definedName>
    <definedName name="Buscar___37">#REF!</definedName>
    <definedName name="Buscar___38">#REF!</definedName>
    <definedName name="Buscar___39">#REF!</definedName>
    <definedName name="Buscar___40">#REF!</definedName>
    <definedName name="Buscar___41">#REF!</definedName>
    <definedName name="Buscar___42">#REF!</definedName>
    <definedName name="Buscar___43">#REF!</definedName>
    <definedName name="Buscar___44">#REF!</definedName>
    <definedName name="Buscar___90">#REF!</definedName>
    <definedName name="BuscHSeguim">#REF!</definedName>
    <definedName name="BuscHSeguim2">#REF!</definedName>
    <definedName name="bvbc" localSheetId="2" hidden="1">{"TAB1",#N/A,TRUE,"GENERAL";"TAB2",#N/A,TRUE,"GENERAL";"TAB3",#N/A,TRUE,"GENERAL";"TAB4",#N/A,TRUE,"GENERAL";"TAB5",#N/A,TRUE,"GENERAL"}</definedName>
    <definedName name="bvbc" localSheetId="1"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localSheetId="1"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localSheetId="1"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w">#REF!</definedName>
    <definedName name="by" localSheetId="2" hidden="1">{"via1",#N/A,TRUE,"general";"via2",#N/A,TRUE,"general";"via3",#N/A,TRUE,"general"}</definedName>
    <definedName name="by" localSheetId="1"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_C.">#REF!</definedName>
    <definedName name="C.1">#REF!</definedName>
    <definedName name="C.10">#REF!</definedName>
    <definedName name="C.1045">#REF!</definedName>
    <definedName name="C.1090">#REF!</definedName>
    <definedName name="C.11">#REF!</definedName>
    <definedName name="C.1245">#REF!</definedName>
    <definedName name="C.1290">#REF!</definedName>
    <definedName name="C.2">#REF!</definedName>
    <definedName name="C.2500">#REF!</definedName>
    <definedName name="C.3">#REF!</definedName>
    <definedName name="C.3000">#REF!</definedName>
    <definedName name="C.345">#REF!</definedName>
    <definedName name="C.390">#REF!</definedName>
    <definedName name="C.391">#REF!</definedName>
    <definedName name="C.4">#REF!</definedName>
    <definedName name="C.445">#REF!</definedName>
    <definedName name="C.490">#REF!</definedName>
    <definedName name="C.5">#REF!</definedName>
    <definedName name="C.6">#REF!</definedName>
    <definedName name="C.645">#REF!</definedName>
    <definedName name="C.690">#REF!</definedName>
    <definedName name="C.7">#REF!</definedName>
    <definedName name="C.8">#REF!</definedName>
    <definedName name="C.845">#REF!</definedName>
    <definedName name="C.890">#REF!</definedName>
    <definedName name="C.9">#REF!</definedName>
    <definedName name="C.A">#REF!</definedName>
    <definedName name="C_">#REF!</definedName>
    <definedName name="C_Apus" comment="Codigo Apus">'[90]1_Preliminares'!$A$26</definedName>
    <definedName name="c_ESTRUCTURA">#REF!</definedName>
    <definedName name="c1.1.1.4">#REF!</definedName>
    <definedName name="C2.3">#REF!</definedName>
    <definedName name="C2.4">#REF!</definedName>
    <definedName name="C2.5">#REF!</definedName>
    <definedName name="C2.500">#REF!</definedName>
    <definedName name="C2.6">#REF!</definedName>
    <definedName name="C3.000">#REF!</definedName>
    <definedName name="C3.2">#REF!</definedName>
    <definedName name="C3.3">#REF!</definedName>
    <definedName name="C3.5">#REF!</definedName>
    <definedName name="C4.000">#REF!</definedName>
    <definedName name="CA">#REF!</definedName>
    <definedName name="CABALLETE">#REF!</definedName>
    <definedName name="CABALLETE_PARA_TEJA_TERMOACUSTICA">#REF!</definedName>
    <definedName name="CABALLETEETERNIT">#REF!</definedName>
    <definedName name="CABLE_COBRE_DESNUDO_AWG_NO._2">#REF!</definedName>
    <definedName name="CABLE_COBRE_DESNUDO_NO_4">#REF!</definedName>
    <definedName name="CABLE_COBRE_DESNUDO_NO_6">#REF!</definedName>
    <definedName name="CABLE_DE_ALUMINIO_NO_4">#REF!</definedName>
    <definedName name="CABLE_DE_ALUMINIO_NO_6">#REF!</definedName>
    <definedName name="CABLE_DE_COBRE_AISLADO_NO_8">#REF!</definedName>
    <definedName name="CABLE_DE_COBRE_AISLASDO_2_AWG">#REF!</definedName>
    <definedName name="CABLE_DE_COBRE_DESNUDO_SEMIDURO_No._4">#REF!</definedName>
    <definedName name="CABLE_DE_COBRE_FLEXIBLE">#REF!</definedName>
    <definedName name="CABLE_DE_CONTROL_VHICULAR">#REF!</definedName>
    <definedName name="CABLE_DESNUDO_1_0_AWG">#REF!</definedName>
    <definedName name="CABLE_ENCAUCHETADO">#REF!</definedName>
    <definedName name="CABLE_RETENIDA_1_4">#REF!</definedName>
    <definedName name="CABLE_RETENIDA_3_8">#REF!</definedName>
    <definedName name="CABLE_THW__No_1_0">#REF!</definedName>
    <definedName name="Cableado">#REF!</definedName>
    <definedName name="CABLECU4">#REF!</definedName>
    <definedName name="CABLETHW10">#REF!</definedName>
    <definedName name="CABLETHW20">#REF!</definedName>
    <definedName name="cade1">20000</definedName>
    <definedName name="cade2">17000</definedName>
    <definedName name="CADENERO">#REF!</definedName>
    <definedName name="cadenero1">[55]JORNALES!$C$26</definedName>
    <definedName name="cadenero2">[55]JORNALES!$C$27</definedName>
    <definedName name="CAJA">#REF!</definedName>
    <definedName name="CAJA_CONDUIT_PVC_DE_2__X_4">#REF!</definedName>
    <definedName name="CAJA_DE__CONCRETO_30_30_INSPECCION">#REF!</definedName>
    <definedName name="CAJA_GALVANIZADA_DE_2__X_4">#REF!</definedName>
    <definedName name="CAJA_OCTOGONAL_GALVANIZADA">#REF!</definedName>
    <definedName name="CAJA4CIR">'[54]PRECIO. MAT'!#REF!</definedName>
    <definedName name="CAJA5400">'[54]PRECIO. MAT'!#REF!</definedName>
    <definedName name="CAJACONTADOR">'[54]PRECIO. MAT'!#REF!</definedName>
    <definedName name="CAJAI1">[91]APU!#REF!</definedName>
    <definedName name="CAJAINP6060">#REF!</definedName>
    <definedName name="cajainspeccion">#REF!</definedName>
    <definedName name="cajainspeccion6060">#REF!</definedName>
    <definedName name="cajainspeccion8080">#REF!</definedName>
    <definedName name="CAJAMET">#REF!</definedName>
    <definedName name="CAJAMET5400">#REF!</definedName>
    <definedName name="CAJAPURGA">#REF!</definedName>
    <definedName name="CAJAVAL">[40]APU!$G$709</definedName>
    <definedName name="cajaventosa">#REF!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JILLA_SOPORTE_GALVANIZADA_INCRUSTAR">#REF!</definedName>
    <definedName name="CAJPU">#REF!</definedName>
    <definedName name="CAJVEN">#REF!</definedName>
    <definedName name="Cal">#REF!</definedName>
    <definedName name="Calidad">#REF!</definedName>
    <definedName name="CalMexTlDetail">#REF!</definedName>
    <definedName name="CalMexTlHeading">#REF!</definedName>
    <definedName name="CalSumDetail">#REF!</definedName>
    <definedName name="CalSumHeading">#REF!</definedName>
    <definedName name="CalTotalDetail">#REF!</definedName>
    <definedName name="CalTotalHeading">#REF!</definedName>
    <definedName name="CAMAARENA">[40]APU!$G$168</definedName>
    <definedName name="CAMABAJA">#REF!</definedName>
    <definedName name="Camioneta_D_300">#REF!</definedName>
    <definedName name="Campamento">#REF!</definedName>
    <definedName name="CAMPO">#REF!</definedName>
    <definedName name="CANAL_PVC_AMAZONAS">#REF!</definedName>
    <definedName name="CANALCONCRETO">#REF!</definedName>
    <definedName name="CANALIZACIONSUBTERRANEA">#REF!</definedName>
    <definedName name="CANCHAS_MULTIPLES_POLIDEPORTIVOS">#REF!</definedName>
    <definedName name="CANDADO">#REF!</definedName>
    <definedName name="CANT">#REF!</definedName>
    <definedName name="CANT.MA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'[92]TRAMO 03'!$F:$F,'[92]TRAMO 03'!$I:$I,'[92]TRAMO 03'!$K:$K,'[92]TRAMO 03'!#REF!,'[92]TRAMO 03'!#REF!,'[92]TRAMO 03'!#REF!,'[92]TRAMO 03'!#REF!,'[92]TRAMO 03'!#REF!,'[92]TRAMO 03'!#REF!,'[92]TRAMO 03'!#REF!,'[92]TRAMO 03'!#REF!,'[92]TRAMO 03'!#REF!,'[92]TRAMO 03'!#REF!,'[92]TRAMO 03'!#REF!,'[92]TRAMO 03'!#REF!,'[92]TRAMO 03'!#REF!</definedName>
    <definedName name="CantObraDefinitiva" localSheetId="2" hidden="1">{"SUMINISTRO E INSTALACIÓN CANALETAS L=7.50"}</definedName>
    <definedName name="CantObraDefinitiva" localSheetId="1" hidden="1">{"SUMINISTRO E INSTALACIÓN CANALETAS L=7.50"}</definedName>
    <definedName name="CantObraDefinitiva" localSheetId="0" hidden="1">{"SUMINISTRO E INSTALACIÓN CANALETAS L=7.50"}</definedName>
    <definedName name="CantObraDefinitiva" hidden="1">{"SUMINISTRO E INSTALACIÓN CANALETAS L=7.50"}</definedName>
    <definedName name="CAOLIN">#REF!</definedName>
    <definedName name="CAP">#REF!</definedName>
    <definedName name="CAPAC._HSE">#REF!</definedName>
    <definedName name="CAPATAFARO">#REF!</definedName>
    <definedName name="CAPATAZ">#REF!</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ptafaro">#REF!</definedName>
    <definedName name="CAPVI">#REF!</definedName>
    <definedName name="CarbonDetail">#REF!</definedName>
    <definedName name="CarbonFundsFlow">#REF!</definedName>
    <definedName name="CarbonFundsFlowHeading">#REF!</definedName>
    <definedName name="CarbonFundsFlowPA">#REF!</definedName>
    <definedName name="CarbonFundsFlowPAHeading">#REF!</definedName>
    <definedName name="CarbonHeading">#REF!</definedName>
    <definedName name="CarbonPostDetail">#REF!</definedName>
    <definedName name="CarbonPostHeading">#REF!</definedName>
    <definedName name="CarElimDetail">#REF!</definedName>
    <definedName name="CarElimHeading">#REF!</definedName>
    <definedName name="carg">60000</definedName>
    <definedName name="CARGA">#REF!</definedName>
    <definedName name="CARGADOR">#REF!</definedName>
    <definedName name="Cargador_930">#REF!</definedName>
    <definedName name="Cargador_930k">#REF!</definedName>
    <definedName name="CARGOS">#REF!</definedName>
    <definedName name="carlos" localSheetId="8">MODULO10.auto_abrir</definedName>
    <definedName name="carlos" localSheetId="7">MODULO10.auto_abrir</definedName>
    <definedName name="carlos" localSheetId="5">MODULO10.auto_abrir</definedName>
    <definedName name="carlos" localSheetId="2">MODULO10.auto_abrir</definedName>
    <definedName name="carlos" localSheetId="1">MODULO10.auto_abrir</definedName>
    <definedName name="carlos" localSheetId="0">MODULO10.auto_abrir</definedName>
    <definedName name="carlos" localSheetId="4">MODULO10.auto_abrir</definedName>
    <definedName name="carlos">MODULO10.auto_abrir</definedName>
    <definedName name="carol1">'[93]precios-básicos2002'!$C$12:$C$56</definedName>
    <definedName name="CARPINTERO">#REF!</definedName>
    <definedName name="CARROTANQUE">[55]ATHE!$G$224</definedName>
    <definedName name="Carrotanque_de_agua__1000_Galones">#REF!</definedName>
    <definedName name="carrotanque_irrigador">#REF!</definedName>
    <definedName name="CarSumDetail">#REF!</definedName>
    <definedName name="CarSumHeading">#REF!</definedName>
    <definedName name="CAUCHO_PARA_SILLA_Y_160x110">[53]Materiales!#REF!</definedName>
    <definedName name="CAUCHO_PARA_SILLA_Y_200x110">[53]Materiales!#REF!</definedName>
    <definedName name="CAUCHO_PARA_SILLA_Y_250x110">[53]Materiales!#REF!</definedName>
    <definedName name="CAUCHO_PARA_SILLA_Y_250x160">[53]Materiales!#REF!</definedName>
    <definedName name="CAUCHO_PARA_SILLA_Y_315x110">[53]Materiales!#REF!</definedName>
    <definedName name="causa">#REF!</definedName>
    <definedName name="CB">#REF!</definedName>
    <definedName name="CBLES">#REF!</definedName>
    <definedName name="CBLES1">#REF!</definedName>
    <definedName name="CBRDISEÑO">[94]SECTORIZACIÓN!$A$12:$G$20</definedName>
    <definedName name="CBWorkbookPriority" hidden="1">-1602700874</definedName>
    <definedName name="CC">[95]Personalizar!$G$22:$G$25</definedName>
    <definedName name="CCC">#REF!</definedName>
    <definedName name="cccc">#REF!</definedName>
    <definedName name="ccccc" localSheetId="2" hidden="1">{"TAB1",#N/A,TRUE,"GENERAL";"TAB2",#N/A,TRUE,"GENERAL";"TAB3",#N/A,TRUE,"GENERAL";"TAB4",#N/A,TRUE,"GENERAL";"TAB5",#N/A,TRUE,"GENERAL"}</definedName>
    <definedName name="ccccc" localSheetId="1"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CCCCC">'[96]A. P. U.'!#REF!</definedName>
    <definedName name="CCT">#REF!</definedName>
    <definedName name="CCTO122">#REF!</definedName>
    <definedName name="CCTO1225">#REF!</definedName>
    <definedName name="ccto123">#REF!</definedName>
    <definedName name="CCTO1235">#REF!</definedName>
    <definedName name="CCTO124">#REF!</definedName>
    <definedName name="CCTO1254">#REF!</definedName>
    <definedName name="CCTO12545">#REF!</definedName>
    <definedName name="CCTO133">#REF!</definedName>
    <definedName name="CCTO134">#REF!</definedName>
    <definedName name="CCTO135">#REF!</definedName>
    <definedName name="CCTO136">#REF!</definedName>
    <definedName name="CCTO147">#REF!</definedName>
    <definedName name="CCTO148">#REF!</definedName>
    <definedName name="ccto210">#REF!</definedName>
    <definedName name="CCTOP">#REF!</definedName>
    <definedName name="cctotapa">#REF!</definedName>
    <definedName name="ccuuaa">[97]PRESU!$A$13:$A$552</definedName>
    <definedName name="ccxcccc">#REF!</definedName>
    <definedName name="cd">[98]Hoja1!$C$81</definedName>
    <definedName name="CdadCalidad">#REF!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cdc" localSheetId="2" hidden="1">{"via1",#N/A,TRUE,"general";"via2",#N/A,TRUE,"general";"via3",#N/A,TRUE,"general"}</definedName>
    <definedName name="cdcdc" localSheetId="1"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DCT">#REF!</definedName>
    <definedName name="CDctrl">[72]CDItem!$G$8</definedName>
    <definedName name="CDE">#REF!</definedName>
    <definedName name="cdfgrtfd" hidden="1">#REF!</definedName>
    <definedName name="CDIRECTO">'[99]I1,1'!$H$43</definedName>
    <definedName name="CDS_V_INDICES_CIRCUITO_CAUSA">#REF!</definedName>
    <definedName name="Ce">#REF!</definedName>
    <definedName name="CEBLANCO">#REF!</definedName>
    <definedName name="ceerf" localSheetId="2" hidden="1">{"TAB1",#N/A,TRUE,"GENERAL";"TAB2",#N/A,TRUE,"GENERAL";"TAB3",#N/A,TRUE,"GENERAL";"TAB4",#N/A,TRUE,"GENERAL";"TAB5",#N/A,TRUE,"GENERAL"}</definedName>
    <definedName name="ceerf" localSheetId="1"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EGUETA">'[54]PRECIO. MAT'!$C$64</definedName>
    <definedName name="CeldCanti">#REF!</definedName>
    <definedName name="CELDVRUNIT1">#REF!</definedName>
    <definedName name="CEMENTO">[100]Insum!$A$3:$H$63</definedName>
    <definedName name="CEMENTO_BLANCO">#REF!</definedName>
    <definedName name="CEMENTO_GRIS">#REF!</definedName>
    <definedName name="CEMENTO_GRIS_POR_KG">#REF!</definedName>
    <definedName name="CEMENTO_KG_M3">#REF!</definedName>
    <definedName name="Cemento_x_kg">#REF!</definedName>
    <definedName name="CEMENTO99">'[54]PRECIO. MAT'!#REF!</definedName>
    <definedName name="CEMENTOBLANCO">#REF!</definedName>
    <definedName name="CEMENTOBLANCO99">'[54]PRECIO. MAT'!#REF!</definedName>
    <definedName name="CEMENTOGRIS">#REF!</definedName>
    <definedName name="centros">[66]Hoja1!$J$4:$J$6</definedName>
    <definedName name="CERA">#REF!</definedName>
    <definedName name="CERAMICA">#REF!</definedName>
    <definedName name="CERAMICA_PARA_BAÑOS_Y_MESONES">#REF!</definedName>
    <definedName name="CERAMICA_PARA_PISOS_TRAFICO_5_ANTIDESLIZANTE">#REF!</definedName>
    <definedName name="CERCHA">[91]APU!#REF!</definedName>
    <definedName name="CERCHA_METALICA_EN_ANGULO">#REF!</definedName>
    <definedName name="CERCHA_METALICA_SEGÚN_DISEÑOS_INCLUYE_PLATINAS">#REF!</definedName>
    <definedName name="cerchametalica">#REF!</definedName>
    <definedName name="CERCHANUEVA">#REF!</definedName>
    <definedName name="ceroletra">#REF!</definedName>
    <definedName name="cerounid">#REF!</definedName>
    <definedName name="cerovr">#REF!</definedName>
    <definedName name="CERRADURA">#REF!</definedName>
    <definedName name="CERRADURA_DE_SOBREPONER">#REF!</definedName>
    <definedName name="CERRAJERO">#REF!</definedName>
    <definedName name="CESPEDON">#REF!</definedName>
    <definedName name="Cf">#REF!</definedName>
    <definedName name="Cg">#REF!</definedName>
    <definedName name="CGDI01">[19]Tablas!#REF!</definedName>
    <definedName name="CGDI02">[19]Tablas!#REF!</definedName>
    <definedName name="CGDI03">[19]Tablas!#REF!</definedName>
    <definedName name="CGDI04">[19]Tablas!#REF!</definedName>
    <definedName name="CGDI05">[19]Tablas!#REF!</definedName>
    <definedName name="CGDI06">[19]Tablas!#REF!</definedName>
    <definedName name="CGDI07">[19]Tablas!#REF!</definedName>
    <definedName name="CGDI08">[19]Tablas!#REF!</definedName>
    <definedName name="CGEX01">[19]Tablas!#REF!</definedName>
    <definedName name="CGEX02">[19]Tablas!#REF!</definedName>
    <definedName name="CGEX031">[19]Tablas!#REF!</definedName>
    <definedName name="CGEX04">[19]Tablas!#REF!</definedName>
    <definedName name="CGFI011">[19]Tablas!#REF!</definedName>
    <definedName name="CGFI012">[19]Tablas!#REF!</definedName>
    <definedName name="CGFI021">[19]Tablas!#REF!</definedName>
    <definedName name="CGFI022">[19]Tablas!#REF!</definedName>
    <definedName name="CGFI023">[19]Tablas!#REF!</definedName>
    <definedName name="CGFI024">[19]Tablas!#REF!</definedName>
    <definedName name="CGFI031">[19]Tablas!#REF!</definedName>
    <definedName name="CGFI032">[19]Tablas!#REF!</definedName>
    <definedName name="CGFI0331">[19]Tablas!#REF!</definedName>
    <definedName name="CGFI0332">[19]Tablas!#REF!</definedName>
    <definedName name="CGFI0333">[19]Tablas!#REF!</definedName>
    <definedName name="CGFI0334">[19]Tablas!#REF!</definedName>
    <definedName name="CGFI0335">[19]Tablas!#REF!</definedName>
    <definedName name="CGFI0341">[19]Tablas!#REF!</definedName>
    <definedName name="CGFI0343">[19]Tablas!#REF!</definedName>
    <definedName name="CGFI0344">[19]Tablas!#REF!</definedName>
    <definedName name="CGPR01">[19]Tablas!#REF!</definedName>
    <definedName name="CGPR021">[19]Tablas!#REF!</definedName>
    <definedName name="CGPR022">[19]Tablas!#REF!</definedName>
    <definedName name="CGPR023">[19]Tablas!#REF!</definedName>
    <definedName name="CGPR024">[19]Tablas!#REF!</definedName>
    <definedName name="CGPR031">[19]Tablas!#REF!</definedName>
    <definedName name="CGPR032">[19]Tablas!#REF!</definedName>
    <definedName name="CGPR0331">[19]Tablas!#REF!</definedName>
    <definedName name="CGPR0332">[19]Tablas!#REF!</definedName>
    <definedName name="CGPR0333">[19]Tablas!#REF!</definedName>
    <definedName name="CGPR041">[19]Tablas!#REF!</definedName>
    <definedName name="CGPR042">[19]Tablas!#REF!</definedName>
    <definedName name="CGPR043">[19]Tablas!#REF!</definedName>
    <definedName name="CGPR051">[19]Tablas!#REF!</definedName>
    <definedName name="CGPR052">[19]Tablas!#REF!</definedName>
    <definedName name="CGPR0531">[19]Tablas!#REF!</definedName>
    <definedName name="CGPR0532">[19]Tablas!#REF!</definedName>
    <definedName name="CGPR0533">[19]Tablas!#REF!</definedName>
    <definedName name="CGPR0534">[19]Tablas!#REF!</definedName>
    <definedName name="CGPR0541">[19]Tablas!#REF!</definedName>
    <definedName name="CGPR0542">[19]Tablas!#REF!</definedName>
    <definedName name="CGPR0543">[19]Tablas!#REF!</definedName>
    <definedName name="CGPR061">[19]Tablas!#REF!</definedName>
    <definedName name="CGPR062">[19]Tablas!#REF!</definedName>
    <definedName name="CGPR0621">[19]Tablas!#REF!</definedName>
    <definedName name="CGPR0622">[19]Tablas!#REF!</definedName>
    <definedName name="CGPR0631">[19]Tablas!#REF!</definedName>
    <definedName name="CGPR0632">[19]Tablas!#REF!</definedName>
    <definedName name="CGPR0633">[19]Tablas!#REF!</definedName>
    <definedName name="CGPR0641">[19]Tablas!#REF!</definedName>
    <definedName name="CGPR0642">[19]Tablas!#REF!</definedName>
    <definedName name="CGPR0643">[19]Tablas!#REF!</definedName>
    <definedName name="CGRF01">[19]Tablas!#REF!</definedName>
    <definedName name="CGRF02">[19]Tablas!#REF!</definedName>
    <definedName name="CGRF031">[19]Tablas!#REF!</definedName>
    <definedName name="CGRF032">[19]Tablas!#REF!</definedName>
    <definedName name="CGRF0331">[19]Tablas!#REF!</definedName>
    <definedName name="CGRF0332">[19]Tablas!#REF!</definedName>
    <definedName name="CGRF0333">[19]Tablas!#REF!</definedName>
    <definedName name="CGRF0334">[19]Tablas!#REF!</definedName>
    <definedName name="CGRF0335">[19]Tablas!#REF!</definedName>
    <definedName name="CGRF0336">[19]Tablas!#REF!</definedName>
    <definedName name="CGRF0337">[19]Tablas!#REF!</definedName>
    <definedName name="CGRF0338">[19]Tablas!#REF!</definedName>
    <definedName name="CGRF0341">[19]Tablas!#REF!</definedName>
    <definedName name="CGRF0342">[19]Tablas!#REF!</definedName>
    <definedName name="CGRF0343">[19]Tablas!#REF!</definedName>
    <definedName name="CGRF041">[19]Tablas!#REF!</definedName>
    <definedName name="CGRF042">[19]Tablas!#REF!</definedName>
    <definedName name="CGRF0431">[19]Tablas!#REF!</definedName>
    <definedName name="CGRF0432">[19]Tablas!#REF!</definedName>
    <definedName name="CGRF0433">[19]Tablas!#REF!</definedName>
    <definedName name="CGRF0441">[19]Tablas!#REF!</definedName>
    <definedName name="CGRF0442">[19]Tablas!#REF!</definedName>
    <definedName name="CGRF0443">[19]Tablas!#REF!</definedName>
    <definedName name="CGSM01">[19]Tablas!#REF!</definedName>
    <definedName name="CGSM02">[19]Tablas!#REF!</definedName>
    <definedName name="CGSM03">[19]Tablas!#REF!</definedName>
    <definedName name="CGSM04">[19]Tablas!#REF!</definedName>
    <definedName name="CGSM05">[19]Tablas!#REF!</definedName>
    <definedName name="CGSO011">[19]Tablas!#REF!</definedName>
    <definedName name="CGSO012">[19]Tablas!#REF!</definedName>
    <definedName name="CGSO013">[19]Tablas!#REF!</definedName>
    <definedName name="CGSO014">[19]Tablas!#REF!</definedName>
    <definedName name="CGSO02">[19]Tablas!#REF!</definedName>
    <definedName name="CGSO031">[19]Tablas!#REF!</definedName>
    <definedName name="CGSO032">[19]Tablas!#REF!</definedName>
    <definedName name="CGSO033">[19]Tablas!#REF!</definedName>
    <definedName name="CGSO034">[19]Tablas!#REF!</definedName>
    <definedName name="CGSO041">[19]Tablas!#REF!</definedName>
    <definedName name="CGSO042">[19]Tablas!#REF!</definedName>
    <definedName name="CGSO043">[19]Tablas!#REF!</definedName>
    <definedName name="CGSO044">[19]Tablas!#REF!</definedName>
    <definedName name="CGSO051">[19]Tablas!#REF!</definedName>
    <definedName name="CGSO052">[19]Tablas!#REF!</definedName>
    <definedName name="CGSO053">[19]Tablas!#REF!</definedName>
    <definedName name="CGSO054">[19]Tablas!#REF!</definedName>
    <definedName name="CGSO055">[19]Tablas!#REF!</definedName>
    <definedName name="CGSO061">[19]Tablas!#REF!</definedName>
    <definedName name="CGSO062">[19]Tablas!#REF!</definedName>
    <definedName name="CGSO063">[19]Tablas!#REF!</definedName>
    <definedName name="CGSO064">[19]Tablas!#REF!</definedName>
    <definedName name="CGTR011">[19]Tablas!#REF!</definedName>
    <definedName name="CGTR012">[19]Tablas!#REF!</definedName>
    <definedName name="CGTR021">[19]Tablas!#REF!</definedName>
    <definedName name="CGTR022">[19]Tablas!#REF!</definedName>
    <definedName name="CGTR023">[19]Tablas!#REF!</definedName>
    <definedName name="CGTR031">[19]Tablas!#REF!</definedName>
    <definedName name="CGTR032">[19]Tablas!#REF!</definedName>
    <definedName name="CGTR033">[19]Tablas!#REF!</definedName>
    <definedName name="CGTR034">[19]Tablas!#REF!</definedName>
    <definedName name="CGTR035">[19]Tablas!#REF!</definedName>
    <definedName name="CGTR036">[19]Tablas!#REF!</definedName>
    <definedName name="CGTR037">[19]Tablas!#REF!</definedName>
    <definedName name="CGTR038">[19]Tablas!#REF!</definedName>
    <definedName name="CGTR039">[19]Tablas!#REF!</definedName>
    <definedName name="CGTR041">[19]Tablas!#REF!</definedName>
    <definedName name="CGTR042">[19]Tablas!#REF!</definedName>
    <definedName name="CGTR043">[19]Tablas!#REF!</definedName>
    <definedName name="CGTR044">[19]Tablas!#REF!</definedName>
    <definedName name="CGTR051">[19]Tablas!#REF!</definedName>
    <definedName name="Ch">#REF!</definedName>
    <definedName name="CHAPA">#REF!</definedName>
    <definedName name="CHAPAMET">'[54]PRECIO. MAT'!#REF!</definedName>
    <definedName name="CHAZO_METALICO_3_8">#REF!</definedName>
    <definedName name="CHAZOS_EXPANSIVO_5_8_X_2_1_2">#REF!</definedName>
    <definedName name="CHECK">IF(AND('[101]Ppto completo'!$D1='[101]Ppto completo'!$D1,'[101]Ppto completo'!$E1='[101]Ppto completo'!$E1,'[101]Ppto completo'!$F1='[101]Ppto completo'!$F1),"ok","ojo")</definedName>
    <definedName name="CHEQU">#REF!</definedName>
    <definedName name="CHEQUE_CORTINA_1">#REF!</definedName>
    <definedName name="CHEQUE12">'[54]PRECIO. MAT'!#REF!</definedName>
    <definedName name="CHEQUE34">#REF!</definedName>
    <definedName name="CHINA">#REF!</definedName>
    <definedName name="CHK_PU">'[4]7422CW00'!#REF!</definedName>
    <definedName name="CHP">#REF!</definedName>
    <definedName name="Ci">#REF!</definedName>
    <definedName name="CICLOPEO">#REF!</definedName>
    <definedName name="CIELO">[55]PRECIO.MAT!#REF!</definedName>
    <definedName name="CILINDROS">#REF!</definedName>
    <definedName name="cinco">#REF!</definedName>
    <definedName name="CIndPresup">#REF!</definedName>
    <definedName name="CINTA">#REF!</definedName>
    <definedName name="CINTA_AISLANTE">#REF!</definedName>
    <definedName name="CINTA_BAND_IT_3_4__x_70_cm._Y_HEBILLA_BAND_IT_3_4">#REF!</definedName>
    <definedName name="CINTA_BAND_IT_5_8__ROLLO">#REF!</definedName>
    <definedName name="CINTA_TEFLON">#REF!</definedName>
    <definedName name="CINTA_V_15">#REF!</definedName>
    <definedName name="CINTAAISLANTE">'[54]PRECIO. MAT'!#REF!</definedName>
    <definedName name="CINTAPVC">#REF!</definedName>
    <definedName name="CINTAR">'[54]PRECIO. MAT'!$C$67</definedName>
    <definedName name="CINTAREFLECTIVA">#REF!</definedName>
    <definedName name="CINTATEFLON">'[54]PRECIO. MAT'!#REF!</definedName>
    <definedName name="Cintilla_de_Poliuretano">#REF!</definedName>
    <definedName name="CIR" localSheetId="8">IF([0]!LG=9,IF(ISERROR([0]!PVT),"",[0]!PVT),"")</definedName>
    <definedName name="CIR" localSheetId="7">IF([0]!LG=9,IF(ISERROR([0]!PVT),"",[0]!PVT),"")</definedName>
    <definedName name="CIR" localSheetId="5">IF([0]!LG=9,IF(ISERROR([0]!PVT),"",[0]!PVT),"")</definedName>
    <definedName name="CIR" localSheetId="2">IF([0]!LG=9,IF(ISERROR([0]!PVT),"",[0]!PVT),"")</definedName>
    <definedName name="CIR" localSheetId="1">IF([0]!LG=9,IF(ISERROR([0]!PVT),"",[0]!PVT),"")</definedName>
    <definedName name="CIR" localSheetId="0">IF([0]!LG=9,IF(ISERROR([0]!PVT),"",[0]!PVT),"")</definedName>
    <definedName name="CIR" localSheetId="4">IF([0]!LG=9,IF(ISERROR([0]!PVT),"",[0]!PVT),"")</definedName>
    <definedName name="CIR">IF([0]!LG=9,IF(ISERROR([0]!PVT),"",[0]!PVT),"")</definedName>
    <definedName name="CIRCUITOS">[102]Circuitos!$C$2:$C$891</definedName>
    <definedName name="CIRCUNVALAR">#REF!</definedName>
    <definedName name="CISNEROS">#REF!</definedName>
    <definedName name="Ciudades">[103]Insumos!$B$1813:$B$1912</definedName>
    <definedName name="CIZALLA">#REF!</definedName>
    <definedName name="Cj">#REF!</definedName>
    <definedName name="CJPZ">#REF!</definedName>
    <definedName name="cjsa" hidden="1">#REF!</definedName>
    <definedName name="Ck">#REF!</definedName>
    <definedName name="CL">#REF!</definedName>
    <definedName name="clase">#REF!</definedName>
    <definedName name="clavo">#REF!</definedName>
    <definedName name="Cll">#REF!</definedName>
    <definedName name="Cm">#REF!</definedName>
    <definedName name="cmf">[104]Hoja1!$C$27</definedName>
    <definedName name="CMIBLE">#REF!</definedName>
    <definedName name="CMIBLE1">#REF!</definedName>
    <definedName name="Cn">#REF!</definedName>
    <definedName name="Cñ">#REF!</definedName>
    <definedName name="co">#REF!</definedName>
    <definedName name="Cod">#REF!</definedName>
    <definedName name="CodActEco">[18]EMPRESA!$F$10</definedName>
    <definedName name="CODAPU">#REF!</definedName>
    <definedName name="codigo">#REF!,#REF!</definedName>
    <definedName name="codigo_actividad">IF(LEN([105]APU!#REF!)=7,[105]APU!#REF!,IF(LEN([105]APU!B1)=7,"",[105]APU!#REF!))</definedName>
    <definedName name="Codigo_M.Obra" comment="Mano de obra ">[90]M.Obra!$A$35:$A$43</definedName>
    <definedName name="CodigoInversion">#REF!</definedName>
    <definedName name="CodigoProyecto">#REF!</definedName>
    <definedName name="Codigos">#REF!</definedName>
    <definedName name="CODO__PRESION_PVC_1">#REF!</definedName>
    <definedName name="CODO_45___3__GRAN_RADIO_C_x_E">#REF!</definedName>
    <definedName name="CODO_45___3__P.V.C">#REF!</definedName>
    <definedName name="CODO_45__2__P.V.C">#REF!</definedName>
    <definedName name="CODO_45_PVC_1">#REF!</definedName>
    <definedName name="CODO_45_PVC_1_2">#REF!</definedName>
    <definedName name="CODO_90___3__GRAN_RADIO_C_x_E">#REF!</definedName>
    <definedName name="CODO_90___3__P.V.C">#REF!</definedName>
    <definedName name="CODO_90_x_3__B_x_B">#REF!</definedName>
    <definedName name="CODO_90_x_3__B_x_EL">#REF!</definedName>
    <definedName name="CODO_P.V.C_90___1_2">#REF!</definedName>
    <definedName name="CODO_PRESION_PVC_1_2">#REF!</definedName>
    <definedName name="CODO_PRESION_PVC_11_2">#REF!</definedName>
    <definedName name="CODO_PRESION_PVC_3">#REF!</definedName>
    <definedName name="CODO_PRESION_PVC_3_4">#REF!</definedName>
    <definedName name="CODO_PVC_4">[53]Materiales!#REF!</definedName>
    <definedName name="CODO_PVC_6">[53]Materiales!#REF!</definedName>
    <definedName name="CODO_PVC_AGUAS_LLUVIAS_3">#REF!</definedName>
    <definedName name="CODO_PVC_AGUAS_LLUVIAS_4">#REF!</definedName>
    <definedName name="CODO_PVC_SANITARIO_2">#REF!</definedName>
    <definedName name="CODO_PVC_SANITARIO_3">#REF!</definedName>
    <definedName name="CODO_PVC_SANITARIO_4">#REF!</definedName>
    <definedName name="CODO_PVC_SANITARIO_6">#REF!</definedName>
    <definedName name="Codo_sanitario_pvc_10">#REF!</definedName>
    <definedName name="CODO_SANITARIO_PVC_45x110">[53]Materiales!#REF!</definedName>
    <definedName name="CODO_SANITARIO_PVC_45x160">[53]Materiales!#REF!</definedName>
    <definedName name="CODO10">#REF!</definedName>
    <definedName name="codo160x90">#REF!</definedName>
    <definedName name="CODO16X11">#REF!</definedName>
    <definedName name="CODO16X45">#REF!</definedName>
    <definedName name="CODO16X90">#REF!</definedName>
    <definedName name="CODO3">#REF!</definedName>
    <definedName name="CODO3_2">#REF!</definedName>
    <definedName name="CODO3X11">#REF!</definedName>
    <definedName name="CODO3X32">[40]APU!$G$385</definedName>
    <definedName name="CODO3X45">[40]APU!$G$439</definedName>
    <definedName name="CODO3X90">#REF!</definedName>
    <definedName name="CODO4X45">[40]APU!$G$493</definedName>
    <definedName name="CODO4X90">#REF!</definedName>
    <definedName name="CODO6X22">#REF!</definedName>
    <definedName name="codo6x45nova">#REF!</definedName>
    <definedName name="CODO8X22">#REF!</definedName>
    <definedName name="CODO8X45">#REF!</definedName>
    <definedName name="CODO8X90">#REF!</definedName>
    <definedName name="CODOPVC12">'[54]PRECIO. MAT'!#REF!</definedName>
    <definedName name="CODOS">#REF!</definedName>
    <definedName name="cogvsiruj">[71]COMPARATIVO!#REF!</definedName>
    <definedName name="COL_A_APU">IF([101]apu!$B1="","",IF(LEN([101]apu!$B1)=9,[101]apu!$B1,[101]apu!$A1048576))</definedName>
    <definedName name="COL_A_AUX">IF([101]Auxiliares!$B1="","",IF([101]Auxiliares!$B1048576="",[101]Auxiliares!$B1,[101]Auxiliares!$A1048576))</definedName>
    <definedName name="COL_B">IF(LEFT('[101]Ppto completo'!$D1,5)='[101]Ppto completo'!$D1,"",(LEFT('[101]Ppto completo'!$D1,5)))</definedName>
    <definedName name="COL_C">LEFT('[101]Ppto completo'!$D1,2)</definedName>
    <definedName name="COL_G">IFERROR(VLOOKUP('[101]Ppto completo'!$D1,'[101]CO Teatro'!$A$1:$AB$65536,7,0),0)</definedName>
    <definedName name="COL_H">IF(LEN('[101]Ppto completo'!$D1)=9,ROUNDUP(SUM('[101]Ppto completo'!$G1:$G1),0),"")</definedName>
    <definedName name="COL_J">IF(LEN('[101]Ppto completo'!$D1)=9,'[101]Ppto completo'!$G1*'[101]Ppto completo'!$I1,"")</definedName>
    <definedName name="COL_J_APU">IF([101]apu!$B1="","",IF(VLOOKUP([101]apu!$B1,[101]Insumos!$D$1:$J$65536,7,FALSE)="",LEFT([101]apu!$B1,2),VLOOKUP([101]apu!$B1,[101]Insumos!$D$1:$J$65536,7,FALSE)))</definedName>
    <definedName name="COL_J_AUX">IF([101]Auxiliares!$B1="","",IF(VLOOKUP([101]Auxiliares!XEW1,[101]Insumos!XEY$1:A$65536,7,FALSE)="",LEFT([101]Auxiliares!$B1,2),VLOOKUP([101]Auxiliares!XEW1,[101]Insumos!XEY$1:A$65536,7,FALSE)))</definedName>
    <definedName name="COL_K_PPTO">IF(LEN('[101]Ppto completo'!XEX1)=5,SUMIF('[101]Ppto completo'!$B$1:$B$65536,'[101]Ppto completo'!$D1,'[101]Ppto completo'!$J$1:$J$65536),"")</definedName>
    <definedName name="COL_L">IF('[101]Ppto completo'!$K1="",SUMIF('[101]Ppto completo'!$C$1:$C$65536,'[101]Ppto completo'!$D1,'[101]Ppto completo'!$K$1:$K$65536),"")</definedName>
    <definedName name="COL_M">IF(LEN('[101]Ppto completo'!$D1)=2,'[101]Ppto completo'!$L1/SUMIF('[101]Ppto completo'!$C$1:$C$65536,"&gt;&lt;""",'[101]Ppto completo'!$L$1:$L$65536),"")</definedName>
    <definedName name="COL_M_APU">IF([101]apu!$B1="","",IF(VLOOKUP([101]apu!$B1,[101]Insumos!$D$1:$J$65536,7,FALSE)="",LEFT([101]apu!$B1,2),VLOOKUP([101]apu!$B1,[101]Insumos!$D$1:$J$65536,7,FALSE)))</definedName>
    <definedName name="COLLAR_DE_DERIVACION_2____1_2">#REF!</definedName>
    <definedName name="COLLAR_DE_DERIVACION_2__X_1">#REF!</definedName>
    <definedName name="COLLAR_DE_DERIVACION_3____1_2">#REF!</definedName>
    <definedName name="Collar_de_derivación_4_x1_2__PVC">#REF!</definedName>
    <definedName name="Collar_de_derivación_4_x3_4__PVC">#REF!</definedName>
    <definedName name="Collar_de_derivación_8_x1_PVC">#REF!</definedName>
    <definedName name="COLLAR_DE_DERIVACION_DE_HF_DE_3____1_2__PARA_INSTALACION_DE_VENTOSA_EN_TUBERIA_DE_P.V.C">#REF!</definedName>
    <definedName name="COLLARIN">[55]PRECIO.MAT!#REF!</definedName>
    <definedName name="COLON">#REF!</definedName>
    <definedName name="ColTap">'[16]Coloc. e Interc. Tapones'!$E$1:$E$65536</definedName>
    <definedName name="columna">#REF!</definedName>
    <definedName name="COLUMNA_METALICA_d_10_E_5MM">#REF!</definedName>
    <definedName name="COLUMNA2020">#REF!</definedName>
    <definedName name="COLUMNA3030">#REF!</definedName>
    <definedName name="COLUMNA4030">#REF!</definedName>
    <definedName name="COLUMNETA">#REF!</definedName>
    <definedName name="Com">'[80]LIQUIDA-NOMINA'!$AL$4</definedName>
    <definedName name="COMIDA">#REF!</definedName>
    <definedName name="comp">25000</definedName>
    <definedName name="compactacion">#REF!</definedName>
    <definedName name="Compactador_Manual_Saltarín">#REF!</definedName>
    <definedName name="Compilado">#REF!</definedName>
    <definedName name="componentes">#REF!</definedName>
    <definedName name="COMPRESOR">#REF!</definedName>
    <definedName name="Compresor__Barrido_y_soplado">#REF!</definedName>
    <definedName name="Compresor_120_HP__con_martillo.">#REF!</definedName>
    <definedName name="Compresores">#REF!</definedName>
    <definedName name="compuerta">#REF!</definedName>
    <definedName name="comun">10000</definedName>
    <definedName name="CON_3000">#REF!</definedName>
    <definedName name="CON_HTA">SUMIFS([101]Auxiliares!$G$1:$G$65536,[101]Auxiliares!$A$1:$A$65536,[101]Auxiliares!$A1,[101]Auxiliares!$J$1:$J$65536,"mo")</definedName>
    <definedName name="CON_HTA_APU">SUMIFS([101]apu!$G$1:$G$65536,[101]apu!$A$1:$A$65536,[101]apu!$A1048576,[101]apu!$M$1:$M$65536,"mo")</definedName>
    <definedName name="Concepto">'[106] AdoVh'!#REF!</definedName>
    <definedName name="CONCRE124">#REF!</definedName>
    <definedName name="concre15">#REF!</definedName>
    <definedName name="CONCRE25">#REF!</definedName>
    <definedName name="concre3000">#REF!</definedName>
    <definedName name="concre35">#REF!</definedName>
    <definedName name="CONCRETO_2000">'[56]Concreto de 2000 psi'!$I$53</definedName>
    <definedName name="CONCRETO_2000_PSI">#REF!</definedName>
    <definedName name="CONCRETO_3000_PSI">#REF!</definedName>
    <definedName name="CONCRETO_3500_PSI">#REF!</definedName>
    <definedName name="CONCRETO_CICLOPEO_2500_PSI">#REF!</definedName>
    <definedName name="CONCRETO_CICLOPEO_3000_PSI">#REF!</definedName>
    <definedName name="CONCRETO_MR___3_8">#REF!</definedName>
    <definedName name="Concreto_Premezclado_MR_42_Mpa">#REF!</definedName>
    <definedName name="CONCRETO123">'[33]Base Datos'!$B$29</definedName>
    <definedName name="concreto14">#REF!</definedName>
    <definedName name="CONCRETO20">#REF!</definedName>
    <definedName name="CONCRETO2000">#REF!</definedName>
    <definedName name="concreto25">#REF!</definedName>
    <definedName name="CONCRETO2500">#REF!</definedName>
    <definedName name="CONCRETO30">#REF!</definedName>
    <definedName name="CONCRETO3000">#REF!</definedName>
    <definedName name="concreto35">#REF!</definedName>
    <definedName name="CONCRETOATRAQUE">#REF!</definedName>
    <definedName name="CONCRETOATRAQUE_2">#REF!</definedName>
    <definedName name="CONCRETOF">#REF!</definedName>
    <definedName name="concretoplaca">#REF!</definedName>
    <definedName name="CONDI1">#REF!</definedName>
    <definedName name="CONDUIT12">#REF!</definedName>
    <definedName name="CONDUIT2">#REF!</definedName>
    <definedName name="CONDUIT34">#REF!</definedName>
    <definedName name="CONECTOR38">#REF!</definedName>
    <definedName name="CONECTORES_BIMETALICOSno4">#REF!</definedName>
    <definedName name="CONECTORES_DE_CORTANTE">#REF!</definedName>
    <definedName name="conexiondomiciliaria">#REF!</definedName>
    <definedName name="ConseqCat">0</definedName>
    <definedName name="ConseqForMitRisk">3</definedName>
    <definedName name="Consultor">[107]Datos!$B$3</definedName>
    <definedName name="CONT">'[108]DATOS CONTRATO'!$G$13</definedName>
    <definedName name="CONTACTOR_TRIPOLAR_30_AMP_ABB">#REF!</definedName>
    <definedName name="CONTENEDOR_DE_RAICES">#REF!</definedName>
    <definedName name="Contratante">'[18]DATOS CONTRATO'!$E$6</definedName>
    <definedName name="CONTRATO">[80]CONTRATO!$E$8</definedName>
    <definedName name="Coordinador">[107]Datos!$B$6</definedName>
    <definedName name="COPIA" localSheetId="2">'MC 1'!ERR</definedName>
    <definedName name="COPIA" localSheetId="1">'MC 2-3-4'!ERR</definedName>
    <definedName name="COPIA" localSheetId="0">'MC 5'!ERR</definedName>
    <definedName name="COPIA">[0]!ERR</definedName>
    <definedName name="COPIA1">#REF!</definedName>
    <definedName name="COPIA2">#REF!</definedName>
    <definedName name="copiao4" localSheetId="2">'MC 1'!ERR</definedName>
    <definedName name="copiao4" localSheetId="1">'MC 2-3-4'!ERR</definedName>
    <definedName name="copiao4" localSheetId="0">'MC 5'!ERR</definedName>
    <definedName name="copiao4">[0]!ERR</definedName>
    <definedName name="CORRALES_PORCINOS">#REF!</definedName>
    <definedName name="CORRALES_VACUNOS">#REF!</definedName>
    <definedName name="CORREA">#REF!</definedName>
    <definedName name="CORREA31.5">[91]APU!#REF!</definedName>
    <definedName name="CORREAMET">#REF!</definedName>
    <definedName name="correametalica">#REF!</definedName>
    <definedName name="corri" localSheetId="2">'MC 1'!ERR</definedName>
    <definedName name="corri" localSheetId="1">'MC 2-3-4'!ERR</definedName>
    <definedName name="corri" localSheetId="0">'MC 5'!ERR</definedName>
    <definedName name="corri">[0]!ERR</definedName>
    <definedName name="cort">30000</definedName>
    <definedName name="CORTACIRCUITOS_MONOPOLARES">#REF!</definedName>
    <definedName name="CORTADORA_DE_PAVIMENTO">#REF!</definedName>
    <definedName name="CORTASOL_METALICO_SEGÚN_PLANOS">#REF!</definedName>
    <definedName name="CORTE">#REF!</definedName>
    <definedName name="CORTE_Y_SELLO_DE_JUNTAS">[53]Materiales!#REF!</definedName>
    <definedName name="corterocoso">#REF!</definedName>
    <definedName name="CORTINA_METALICA_ENROLLABLE">#REF!</definedName>
    <definedName name="CosteoConsultoria">#REF!</definedName>
    <definedName name="COSTIND">#REF!</definedName>
    <definedName name="COSTO_EQUIPO">[109]Equipo!$B$9:$H$517</definedName>
    <definedName name="COSTO_FRENTE">[110]BITACORA!$E$1:$E$65536</definedName>
    <definedName name="COSTO_MATERIAL">[109]materiales!$A$8:$C$1305</definedName>
    <definedName name="COSTO_PERSONAL">[109]ManoObra!$A$45:$H$206</definedName>
    <definedName name="COSTO_TRANSPORTE">[109]Distanc!$A$5:$D$20</definedName>
    <definedName name="costo2" hidden="1">#REF!</definedName>
    <definedName name="COSTODIRECTO">#REF!</definedName>
    <definedName name="COSTODIRECTO_1">"#REF!"</definedName>
    <definedName name="CostoDirectoObra">'[111]COSTEO TOTAL OBRA'!$D$7</definedName>
    <definedName name="Costopérdidas">[112]Modelo!#REF!</definedName>
    <definedName name="COSTOS">[113]TARIFAS!$A$1:$F$52</definedName>
    <definedName name="COSTOS_DIRECTOS">#REF!</definedName>
    <definedName name="COTAS">[114]Hoja3!$A$5:$B$154</definedName>
    <definedName name="COTIZACION">#REF!</definedName>
    <definedName name="CotizacionARP">#REF!</definedName>
    <definedName name="cp">#REF!</definedName>
    <definedName name="CPDO8X11">#REF!</definedName>
    <definedName name="CPF">#REF!</definedName>
    <definedName name="CPR">#REF!</definedName>
    <definedName name="Cq">#REF!</definedName>
    <definedName name="Cr">#REF!</definedName>
    <definedName name="credito_completa">#REF!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[115]civ_roma!$C$803:$G$804</definedName>
    <definedName name="Criterios_IM">'[4]7422CW00'!#REF!</definedName>
    <definedName name="Criticidad">[116]Tabla!$A$1:$A$5</definedName>
    <definedName name="Criticos">#REF!</definedName>
    <definedName name="CRP">[117]variables_formulación!$D$22</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CETA_ANGULO_HIERRO_GALVANIZADO_DE_2mts">#REF!</definedName>
    <definedName name="CRUDO">[55]PRECIO.MAT!#REF!</definedName>
    <definedName name="CRUZ3">#REF!</definedName>
    <definedName name="CRUZ4">#REF!</definedName>
    <definedName name="CRUZ4X3">#REF!</definedName>
    <definedName name="cs">#REF!</definedName>
    <definedName name="CS_AVG_SIZE">#REF!</definedName>
    <definedName name="CS_WELDING">#REF!</definedName>
    <definedName name="CSDFFD">#REF!</definedName>
    <definedName name="CT">'[79]CIRCUITOS CODENSA'!#REF!</definedName>
    <definedName name="CTA">#REF!</definedName>
    <definedName name="CTE">#REF!</definedName>
    <definedName name="CTR">'[4]7422CW00'!#REF!</definedName>
    <definedName name="CTRPAG">'[4]7422CW00'!#REF!</definedName>
    <definedName name="CU">'[79]CIRCUITOS CODENSA'!#REF!</definedName>
    <definedName name="CUAD_011">#REF!</definedName>
    <definedName name="CUAD_014">#REF!</definedName>
    <definedName name="CUAD_102">#REF!</definedName>
    <definedName name="CUAD_104">#REF!</definedName>
    <definedName name="CUAD_112">#REF!</definedName>
    <definedName name="CUAD_114">#REF!</definedName>
    <definedName name="cuad1">#REF!</definedName>
    <definedName name="cuad2">#REF!</definedName>
    <definedName name="cuad3">#REF!</definedName>
    <definedName name="cuad4">#REF!</definedName>
    <definedName name="CUAD5">#REF!</definedName>
    <definedName name="cuado">#REF!</definedName>
    <definedName name="CUADRILLA">#REF!</definedName>
    <definedName name="CUADRILLA_____1E__1E_1E_0">#REF!</definedName>
    <definedName name="CUADRILLA_____A____1_1_8">#REF!</definedName>
    <definedName name="CUADRILLA_____B____1_1_2">#REF!</definedName>
    <definedName name="CUADRILLA_____C___0_1_2">#REF!</definedName>
    <definedName name="CUADRILLA_____D__0_1_1">#REF!</definedName>
    <definedName name="CUADRILLA_____E___1_0_2">#REF!</definedName>
    <definedName name="CUADRILLA_____F__0_0_2">#REF!</definedName>
    <definedName name="CUADRILLA_011">[62]Cuadrillas!$H$12</definedName>
    <definedName name="CUADRILLA_014">[62]Cuadrillas!$H$21</definedName>
    <definedName name="CUADRILLA_102">[62]Cuadrillas!$H$30</definedName>
    <definedName name="CUADRILLA_104">[62]Cuadrillas!$H$39</definedName>
    <definedName name="CUADRILLA_112">[62]Cuadrillas!$H$57</definedName>
    <definedName name="CUADRILLA_114">[62]Cuadrillas!$H$66</definedName>
    <definedName name="CUADRILLA_1212">[62]Cuadrillas!$H$48</definedName>
    <definedName name="CUADRILLA_A__1_2_8__CONCRETOS">#REF!</definedName>
    <definedName name="CUADRILLA_B__0_1_8__EXCAVACIONES_Y_RELLENOS">#REF!</definedName>
    <definedName name="CUADRILLA_C__1_1_2__INSTALACIÓN_DE_TUBERIA_Y_ACCESORIOS">#REF!</definedName>
    <definedName name="CUADRILLA_D__1_1_2__FIGURACIÓN_DE_HIERRO">#REF!</definedName>
    <definedName name="CUADRILLA_E__1_1_2__MAMPOSTERIA">#REF!</definedName>
    <definedName name="CUADRILLA_F__1_2_1__FORMALETAS">#REF!</definedName>
    <definedName name="CUADRILLA_G__0_0_4">#REF!</definedName>
    <definedName name="CUADRILLA_G__1_2_1__ACABADOS">#REF!</definedName>
    <definedName name="CUADRILLA_H__0_1_2__CERRAMIENTO">#REF!</definedName>
    <definedName name="CUADRILLA_I__1_2_0__TOPOGRAFICA">#REF!</definedName>
    <definedName name="CUADRILLA_J__1_0_8">#REF!</definedName>
    <definedName name="CUADRILLA_J__1E_2E_0__INSTALACIONES_ELECTRICAS">#REF!</definedName>
    <definedName name="CUADRILLA_K__1_2_2__CAMPAMENTO">#REF!</definedName>
    <definedName name="CUADRILLA_L__0_1_5__DESCAPOTE_Y_LIMPIEZA">#REF!</definedName>
    <definedName name="CUADRILLA_M__1_1_2__MATERIALES_METALICOS">#REF!</definedName>
    <definedName name="CUADRILLA_M__1_4_9__CONCRETOS_2">#REF!</definedName>
    <definedName name="CUADRILLA_T__1T_2C">#REF!</definedName>
    <definedName name="cuadrilla1">#REF!</definedName>
    <definedName name="cuadrillaa4">#REF!</definedName>
    <definedName name="Cuadrillas">[118]Cuadrillas!$A$11:$I$77</definedName>
    <definedName name="cuadrillas2">#REF!</definedName>
    <definedName name="CUADRITO">#REF!</definedName>
    <definedName name="CUADRO">#REF!</definedName>
    <definedName name="CUAL" localSheetId="2">'MC 1'!ERR</definedName>
    <definedName name="CUAL" localSheetId="1">'MC 2-3-4'!ERR</definedName>
    <definedName name="CUAL" localSheetId="0">'MC 5'!ERR</definedName>
    <definedName name="CUAL">[0]!ERR</definedName>
    <definedName name="CUAL_1">"[0]!err"</definedName>
    <definedName name="CUAL_10">#REF!</definedName>
    <definedName name="CUAL_3">#REF!</definedName>
    <definedName name="CUAL_9">#REF!</definedName>
    <definedName name="CUAPLO">#REF!</definedName>
    <definedName name="CUATOP">#REF!</definedName>
    <definedName name="CUBIERTAAC">[91]APU!#REF!</definedName>
    <definedName name="cubiertaeternit">#REF!</definedName>
    <definedName name="CUBIERTAZ">#REF!</definedName>
    <definedName name="CUBS">#REF!</definedName>
    <definedName name="CUCON">#REF!</definedName>
    <definedName name="CUEXC">#REF!</definedName>
    <definedName name="CUEZCO">'[54]PRECIO. MAT'!#REF!</definedName>
    <definedName name="CUNET" localSheetId="2" hidden="1">{"via1",#N/A,TRUE,"general";"via2",#N/A,TRUE,"general";"via3",#N/A,TRUE,"general"}</definedName>
    <definedName name="CUNET" localSheetId="1"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uneta">#REF!</definedName>
    <definedName name="CUNETA1">#REF!</definedName>
    <definedName name="CUNETA2">#REF!</definedName>
    <definedName name="CUNETAV">#REF!</definedName>
    <definedName name="CUPLOM">#REF!</definedName>
    <definedName name="CURVAPVC12">'[54]PRECIO. MAT'!#REF!</definedName>
    <definedName name="CURVAS_CONDUIT_PVC_1">#REF!</definedName>
    <definedName name="CURVAS_CONDUIT_PVC_1_1_2">#REF!</definedName>
    <definedName name="Curvas_conduit_pvc_3_4">#REF!</definedName>
    <definedName name="CURVAS12">#REF!</definedName>
    <definedName name="CURVAS34">#REF!</definedName>
    <definedName name="CURVASPVC34">'[54]PRECIO. MAT'!#REF!</definedName>
    <definedName name="Customize" localSheetId="8">[95]!Customize</definedName>
    <definedName name="Customize" localSheetId="7">[95]!Customize</definedName>
    <definedName name="Customize" localSheetId="5">[95]!Customize</definedName>
    <definedName name="Customize" localSheetId="1">[95]!Customize</definedName>
    <definedName name="Customize" localSheetId="0">[95]!Customize</definedName>
    <definedName name="Customize" localSheetId="4">[95]!Customize</definedName>
    <definedName name="Customize">[95]!Customize</definedName>
    <definedName name="CUTOP">#REF!</definedName>
    <definedName name="cv">#REF!</definedName>
    <definedName name="CVa">'[16]Cambio de Valv.'!$E$1:$E$65536</definedName>
    <definedName name="cvb">#REF!</definedName>
    <definedName name="cvbcvbf" localSheetId="2" hidden="1">{#N/A,#N/A,TRUE,"INGENIERIA";#N/A,#N/A,TRUE,"COMPRAS";#N/A,#N/A,TRUE,"DIRECCION";#N/A,#N/A,TRUE,"RESUMEN"}</definedName>
    <definedName name="cvbcvbf" localSheetId="1" hidden="1">{#N/A,#N/A,TRUE,"INGENIERIA";#N/A,#N/A,TRUE,"COMPRAS";#N/A,#N/A,TRUE,"DIRECCION";#N/A,#N/A,TRUE,"RESUMEN"}</definedName>
    <definedName name="cvbcvbf" localSheetId="0" hidden="1">{#N/A,#N/A,TRUE,"INGENIERIA";#N/A,#N/A,TRUE,"COMPRAS";#N/A,#N/A,TRUE,"DIRECCION";#N/A,#N/A,TRUE,"RESUMEN"}</definedName>
    <definedName name="cvbcvbf" hidden="1">{#N/A,#N/A,TRUE,"INGENIERIA";#N/A,#N/A,TRUE,"COMPRAS";#N/A,#N/A,TRUE,"DIRECCION";#N/A,#N/A,TRUE,"RESUMEN"}</definedName>
    <definedName name="cvfvd" localSheetId="2" hidden="1">{"via1",#N/A,TRUE,"general";"via2",#N/A,TRUE,"general";"via3",#N/A,TRUE,"general"}</definedName>
    <definedName name="cvfvd" localSheetId="1"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localSheetId="1"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localSheetId="1"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Cw">#REF!</definedName>
    <definedName name="cx">#REF!</definedName>
    <definedName name="Cy">#REF!</definedName>
    <definedName name="czz" hidden="1">'[31]ETAPA 50 SMMLV'!#REF!</definedName>
    <definedName name="d" localSheetId="2" hidden="1">{"TAB1",#N/A,TRUE,"GENERAL";"TAB2",#N/A,TRUE,"GENERAL";"TAB3",#N/A,TRUE,"GENERAL";"TAB4",#N/A,TRUE,"GENERAL";"TAB5",#N/A,TRUE,"GENERAL"}</definedName>
    <definedName name="d" localSheetId="1" hidden="1">{"TAB1",#N/A,TRUE,"GENERAL";"TAB2",#N/A,TRUE,"GENERAL";"TAB3",#N/A,TRUE,"GENERAL";"TAB4",#N/A,TRUE,"GENERAL";"TAB5",#N/A,TRUE,"GENERAL"}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31">#REF!</definedName>
    <definedName name="D.32">#REF!</definedName>
    <definedName name="D.41">#REF!</definedName>
    <definedName name="D.42">#REF!</definedName>
    <definedName name="D.61">#REF!</definedName>
    <definedName name="D.62">#REF!</definedName>
    <definedName name="D_1">#REF!</definedName>
    <definedName name="d_CUBIERTA">#REF!</definedName>
    <definedName name="d_percápita">#REF!</definedName>
    <definedName name="DADADAD" localSheetId="2" hidden="1">{#N/A,#N/A,TRUE,"CODIGO DEPENDENCIA"}</definedName>
    <definedName name="DADADAD" localSheetId="1" hidden="1">{#N/A,#N/A,TRUE,"CODIGO DEPENDENCIA"}</definedName>
    <definedName name="DADADAD" localSheetId="0" hidden="1">{#N/A,#N/A,TRUE,"CODIGO DEPENDENCIA"}</definedName>
    <definedName name="DADADAD" hidden="1">{#N/A,#N/A,TRUE,"CODIGO DEPENDENCIA"}</definedName>
    <definedName name="DAFBYNM">#REF!</definedName>
    <definedName name="DAFT">#REF!</definedName>
    <definedName name="DANODO">#REF!</definedName>
    <definedName name="DANODOF">#REF!</definedName>
    <definedName name="DANODOFT">#REF!</definedName>
    <definedName name="dario">'[47]GPI 526'!#REF!</definedName>
    <definedName name="DASD" localSheetId="2" hidden="1">{"TAB1",#N/A,TRUE,"GENERAL";"TAB2",#N/A,TRUE,"GENERAL";"TAB3",#N/A,TRUE,"GENERAL";"TAB4",#N/A,TRUE,"GENERAL";"TAB5",#N/A,TRUE,"GENERAL"}</definedName>
    <definedName name="DASD" localSheetId="1"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[115]civ_roma!$C$9:$G$799</definedName>
    <definedName name="DATO1">'[119]46'!$D$3:$CK$429</definedName>
    <definedName name="datos">#REF!</definedName>
    <definedName name="DATOS_1">#REF!</definedName>
    <definedName name="DATOS_CONTRATO">#REF!</definedName>
    <definedName name="Datos_SW_G1">#REF!</definedName>
    <definedName name="Datos_SW_G2">#REF!</definedName>
    <definedName name="datosx">#REF!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BFRGJTU">#REF!</definedName>
    <definedName name="DBGBSD">#REF!</definedName>
    <definedName name="Dbgcm">#REF!</definedName>
    <definedName name="dc">#REF!</definedName>
    <definedName name="Dcacm">#REF!</definedName>
    <definedName name="DCF">#REF!</definedName>
    <definedName name="DCI">[21]Tablas!#REF!</definedName>
    <definedName name="DCI1_1">[21]Tablas!#REF!</definedName>
    <definedName name="DCI1_1_1">[21]Tablas!#REF!</definedName>
    <definedName name="DCI1_1_2">[21]Tablas!#REF!</definedName>
    <definedName name="DCI1_1_3">[21]Tablas!#REF!</definedName>
    <definedName name="DCI1_1_4">[21]Tablas!#REF!</definedName>
    <definedName name="DCI1_2">[21]Tablas!#REF!</definedName>
    <definedName name="DCI1_3">[21]Tablas!#REF!</definedName>
    <definedName name="DCI1_4">[21]Tablas!#REF!</definedName>
    <definedName name="DCorriente">#REF!</definedName>
    <definedName name="Dcorriente1">'[120]Pta a tierra'!#REF!</definedName>
    <definedName name="DCSDCTV" localSheetId="2" hidden="1">{"via1",#N/A,TRUE,"general";"via2",#N/A,TRUE,"general";"via3",#N/A,TRUE,"general"}</definedName>
    <definedName name="DCSDCTV" localSheetId="1"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#REF!</definedName>
    <definedName name="dd_1">"[0]!err"</definedName>
    <definedName name="dd_10">#REF!</definedName>
    <definedName name="dd_3">#REF!</definedName>
    <definedName name="dd_9">#REF!</definedName>
    <definedName name="ddd" localSheetId="2" hidden="1">{"via1",#N/A,TRUE,"general";"via2",#N/A,TRUE,"general";"via3",#N/A,TRUE,"general"}</definedName>
    <definedName name="ddd" localSheetId="1"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 localSheetId="2" hidden="1">{#N/A,#N/A,FALSE,"Estatico";#N/A,#N/A,FALSE,"Tuberia";#N/A,#N/A,FALSE,"Instrumentación";#N/A,#N/A,FALSE,"Mecanica";#N/A,#N/A,FALSE,"Electrico";#N/A,#N/A,FALSE,"Ofic.Civiles"}</definedName>
    <definedName name="DDDD" localSheetId="1" hidden="1">{#N/A,#N/A,FALSE,"Estatico";#N/A,#N/A,FALSE,"Tuberia";#N/A,#N/A,FALSE,"Instrumentación";#N/A,#N/A,FALSE,"Mecanica";#N/A,#N/A,FALSE,"Electrico";#N/A,#N/A,FALSE,"Ofic.Civiles"}</definedName>
    <definedName name="DDDD" localSheetId="0"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#REF!</definedName>
    <definedName name="DDDDDDD" localSheetId="2" hidden="1">{#N/A,#N/A,FALSE,"orthoflow";#N/A,#N/A,FALSE,"Miscelaneos";#N/A,#N/A,FALSE,"Instrumentacio";#N/A,#N/A,FALSE,"Electrico";#N/A,#N/A,FALSE,"Valv. Seguridad"}</definedName>
    <definedName name="DDDDDDD" localSheetId="1" hidden="1">{#N/A,#N/A,FALSE,"orthoflow";#N/A,#N/A,FALSE,"Miscelaneos";#N/A,#N/A,FALSE,"Instrumentacio";#N/A,#N/A,FALSE,"Electrico";#N/A,#N/A,FALSE,"Valv. Seguridad"}</definedName>
    <definedName name="DDDDDDD" localSheetId="0"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localSheetId="1"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localSheetId="1"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#REF!</definedName>
    <definedName name="ddfdh" localSheetId="2" hidden="1">{"TAB1",#N/A,TRUE,"GENERAL";"TAB2",#N/A,TRUE,"GENERAL";"TAB3",#N/A,TRUE,"GENERAL";"TAB4",#N/A,TRUE,"GENERAL";"TAB5",#N/A,TRUE,"GENERAL"}</definedName>
    <definedName name="ddfdh" localSheetId="1"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DS">[21]Tablas!#REF!</definedName>
    <definedName name="DDS1_1">[21]Tablas!#REF!</definedName>
    <definedName name="DDS1_1_1">[21]Tablas!#REF!</definedName>
    <definedName name="de">#REF!</definedName>
    <definedName name="Decision">#REF!</definedName>
    <definedName name="DECORPISOB">#REF!</definedName>
    <definedName name="deded" localSheetId="2" hidden="1">{"TAB1",#N/A,TRUE,"GENERAL";"TAB2",#N/A,TRUE,"GENERAL";"TAB3",#N/A,TRUE,"GENERAL";"TAB4",#N/A,TRUE,"GENERAL";"TAB5",#N/A,TRUE,"GENERAL"}</definedName>
    <definedName name="deded" localSheetId="1"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DRR">#REF!</definedName>
    <definedName name="DEF">#REF!</definedName>
    <definedName name="defd" localSheetId="2" hidden="1">{"via1",#N/A,TRUE,"general";"via2",#N/A,TRUE,"general";"via3",#N/A,TRUE,"general"}</definedName>
    <definedName name="defd" localSheetId="1"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ek">#REF!</definedName>
    <definedName name="demanto">#REF!</definedName>
    <definedName name="DEMO">#REF!</definedName>
    <definedName name="DEMOLICION">[121]UNITARIOS!#REF!</definedName>
    <definedName name="DEMOLICIÓN">'[122]BASE-LISTAS'!$B$24:$B$29</definedName>
    <definedName name="DEMOLICION_2">#REF!</definedName>
    <definedName name="DEMOLICIONASFALTO">#REF!</definedName>
    <definedName name="DEMOLICIONCOLUMNA">#REF!</definedName>
    <definedName name="DEMOLICIONCONCRETO">#REF!</definedName>
    <definedName name="demolicioncuneta">#REF!</definedName>
    <definedName name="DEMOLICIONPLACA">#REF!</definedName>
    <definedName name="DEMOLICIONVIGA">#REF!</definedName>
    <definedName name="DEMOLICIONVIGAAEREA">#REF!</definedName>
    <definedName name="DEMOLICIONVIGACANAL">#REF!</definedName>
    <definedName name="DEMOLICIONVIGACIMIENTO">#REF!</definedName>
    <definedName name="DEMOLICIONZAPATA">#REF!</definedName>
    <definedName name="DEP_VPR_GRM">#REF!</definedName>
    <definedName name="DEP_VPR_GRN">#REF!</definedName>
    <definedName name="DEP_VPR_GRS">#REF!</definedName>
    <definedName name="DEP_VPR_GTP">#REF!</definedName>
    <definedName name="DEP_VPR_NA">#REF!</definedName>
    <definedName name="Departamento">#REF!</definedName>
    <definedName name="DEPEND">[116]Tabla!$B$1:$B$397</definedName>
    <definedName name="DEPENDENCIA">[116]Tabla!$B$1:$B$397</definedName>
    <definedName name="DEPENDENCIAS">[116]Tabla!$B$1:$B$397</definedName>
    <definedName name="DERF" localSheetId="2" hidden="1">{#N/A,#N/A,FALSE,"310.1";#N/A,#N/A,FALSE,"321.1";#N/A,#N/A,FALSE,"320.3";#N/A,#N/A,FALSE,"330.1"}</definedName>
    <definedName name="DERF" localSheetId="1" hidden="1">{#N/A,#N/A,FALSE,"310.1";#N/A,#N/A,FALSE,"321.1";#N/A,#N/A,FALSE,"320.3";#N/A,#N/A,FALSE,"330.1"}</definedName>
    <definedName name="DERF" localSheetId="0" hidden="1">{#N/A,#N/A,FALSE,"310.1";#N/A,#N/A,FALSE,"321.1";#N/A,#N/A,FALSE,"320.3";#N/A,#N/A,FALSE,"330.1"}</definedName>
    <definedName name="DERF" hidden="1">{#N/A,#N/A,FALSE,"310.1";#N/A,#N/A,FALSE,"321.1";#N/A,#N/A,FALSE,"320.3";#N/A,#N/A,FALSE,"330.1"}</definedName>
    <definedName name="DERFE">#REF!</definedName>
    <definedName name="DESALOJO__KM_M3">#REF!</definedName>
    <definedName name="desarrolladas">'[57]Reservas de Petróleo'!$A$2,'[57]Reservas de Petróleo'!$A$1,'[57]Reservas de Petróleo'!$D$4,'[57]Reservas de Petróleo'!$F$1:$F$65536</definedName>
    <definedName name="DESC_APU">#N/A</definedName>
    <definedName name="DESC_AUX">IF([101]Auxiliares!$A1="",IF([101]Auxiliares!$A1048576="","","DIRECTO:  "&amp;TEXT(ROUNDUP(SUMIF([101]Auxiliares!$A$1:$A$65536,[101]Auxiliares!$A1048576,[101]Auxiliares!$G$1:$G$65536)/2,0),"#,##0")&amp;" / "&amp;VLOOKUP([101]Auxiliares!$A1048576,[101]Insumos!$D$1:$F$65536,3,FALSE)),IF([101]Auxiliares!$A1="","",VLOOKUP([101]Auxiliares!$B1,[101]Insumos!$D$1:$E$65536,2,FALSE)))</definedName>
    <definedName name="DESC1">[123]ITEMS!$B$2</definedName>
    <definedName name="DESC521">[124]ITEMS!$B$522</definedName>
    <definedName name="descriminado" localSheetId="2">IF([0]!Loan_Amount*[0]!Interest_Rate*[0]!Loan_Years*[0]!Loan_Start&gt;0,1,0)</definedName>
    <definedName name="descriminado" localSheetId="1">IF([0]!Loan_Amount*[0]!Interest_Rate*[0]!Loan_Years*[0]!Loan_Start&gt;0,1,0)</definedName>
    <definedName name="descriminado" localSheetId="0">IF([0]!Loan_Amount*[0]!Interest_Rate*[0]!Loan_Years*[0]!Loan_Start&gt;0,1,0)</definedName>
    <definedName name="descriminado">IF([0]!Loan_Amount*[0]!Interest_Rate*[0]!Loan_Years*[0]!Loan_Start&gt;0,1,0)</definedName>
    <definedName name="Descrip_cuadrillas">[118]Cuadrillas!$A$15:$A$77</definedName>
    <definedName name="Descrip_equipos">[118]Equ!$A$15:$A$102</definedName>
    <definedName name="Descrip_transporte">[118]Trans!$A$18:$A$65</definedName>
    <definedName name="DESCRIPC">[125]Hoja1!$B$13:$E$36</definedName>
    <definedName name="Descripcion">#REF!</definedName>
    <definedName name="Descripción">[126]Mat!$A$11:$A$1039</definedName>
    <definedName name="DESCRIPCION_APU">#N/A</definedName>
    <definedName name="DescripPpto">#REF!</definedName>
    <definedName name="DESCRP1">[63]DATOS!$D$2</definedName>
    <definedName name="DESCRP2">[63]DATOS!$D$3</definedName>
    <definedName name="DESCUENTOS">'[99]I1,1'!$H$54</definedName>
    <definedName name="DESCUNMI">#REF!</definedName>
    <definedName name="dESMONTE" localSheetId="2">'MC 1'!ERR</definedName>
    <definedName name="dESMONTE" localSheetId="1">'MC 2-3-4'!ERR</definedName>
    <definedName name="dESMONTE" localSheetId="0">'MC 5'!ERR</definedName>
    <definedName name="dESMONTE">[0]!ERR</definedName>
    <definedName name="DESMONTE_DE_ESTRUCTURA_TIPO_ICEL_561__INCLUYE_RETIRO_MÁX._5_KM">#REF!</definedName>
    <definedName name="DESMONTECIELORAZO">#REF!</definedName>
    <definedName name="DESMONTEPARARRAYO">#REF!</definedName>
    <definedName name="DESMONTEPUERTASV">#REF!</definedName>
    <definedName name="DESMONTESANITARIOS">#REF!</definedName>
    <definedName name="DESMONTETANQUE">#REF!</definedName>
    <definedName name="DESPERDICIO">[91]APU!#REF!</definedName>
    <definedName name="DESPOSTE">#REF!</definedName>
    <definedName name="DEST_ART">[87]steel!#REF!</definedName>
    <definedName name="DESTCOD">'[4]7422CW00'!#REF!</definedName>
    <definedName name="DESTFG">'[4]7422CW00'!#REF!</definedName>
    <definedName name="DestinoConsultoria">#REF!</definedName>
    <definedName name="DestinoObra">#REF!</definedName>
    <definedName name="DESTQTY">'[4]7422CW00'!#REF!</definedName>
    <definedName name="DETAIL">#REF!</definedName>
    <definedName name="Detalle_Reserva">#REF!</definedName>
    <definedName name="DEX">#REF!</definedName>
    <definedName name="DF">[127]Cronograma!#REF!</definedName>
    <definedName name="dfa" localSheetId="2" hidden="1">{"TAB1",#N/A,TRUE,"GENERAL";"TAB2",#N/A,TRUE,"GENERAL";"TAB3",#N/A,TRUE,"GENERAL";"TAB4",#N/A,TRUE,"GENERAL";"TAB5",#N/A,TRUE,"GENERAL"}</definedName>
    <definedName name="dfa" localSheetId="1"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localSheetId="1"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GBTRG">#REF!</definedName>
    <definedName name="DFBNJ" localSheetId="2" hidden="1">{"via1",#N/A,TRUE,"general";"via2",#N/A,TRUE,"general";"via3",#N/A,TRUE,"general"}</definedName>
    <definedName name="DFBNJ" localSheetId="1"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localSheetId="1"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localSheetId="1"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localSheetId="1"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localSheetId="1" hidden="1">{"via1",#N/A,TRUE,"general";"via2",#N/A,TRUE,"general";"via3",#N/A,TRUE,"general"}</definedName>
    <definedName name="DFG" localSheetId="0"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localSheetId="1"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localSheetId="1"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localSheetId="1"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localSheetId="1"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localSheetId="1"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FZSDERGTERGTRETERTERTE">#REF!</definedName>
    <definedName name="DFGG">#REF!</definedName>
    <definedName name="DFGV" localSheetId="2" hidden="1">{"TAB1",#N/A,TRUE,"GENERAL";"TAB2",#N/A,TRUE,"GENERAL";"TAB3",#N/A,TRUE,"GENERAL";"TAB4",#N/A,TRUE,"GENERAL";"TAB5",#N/A,TRUE,"GENERAL"}</definedName>
    <definedName name="DFGV" localSheetId="1"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VB" hidden="1">#REF!</definedName>
    <definedName name="dfgypuj" localSheetId="2"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localSheetId="1"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localSheetId="1"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localSheetId="1"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localSheetId="1"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lt1">[95]Personalizar!$E$22</definedName>
    <definedName name="dflt2">[95]Personalizar!$E$23</definedName>
    <definedName name="dflt3">[95]Personalizar!$D$24</definedName>
    <definedName name="dflt4">[95]Personalizar!$E$26</definedName>
    <definedName name="dflt5">[95]Personalizar!$E$27</definedName>
    <definedName name="dflt6">[95]Personalizar!$D$28</definedName>
    <definedName name="dflt7">[95]Personalizar!$G$27</definedName>
    <definedName name="DFRFRF" localSheetId="2" hidden="1">{"via1",#N/A,TRUE,"general";"via2",#N/A,TRUE,"general";"via3",#N/A,TRUE,"general"}</definedName>
    <definedName name="DFRFRF" localSheetId="1"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SF">#REF!</definedName>
    <definedName name="DFVB">#REF!</definedName>
    <definedName name="DFVBNFGN">#REF!</definedName>
    <definedName name="DFVUI" localSheetId="2" hidden="1">{"via1",#N/A,TRUE,"general";"via2",#N/A,TRUE,"general";"via3",#N/A,TRUE,"general"}</definedName>
    <definedName name="DFVUI" localSheetId="1"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FWEREG">#REF!</definedName>
    <definedName name="dg" localSheetId="2" hidden="1">{"via1",#N/A,TRUE,"general";"via2",#N/A,TRUE,"general";"via3",#N/A,TRUE,"general"}</definedName>
    <definedName name="dg" localSheetId="1"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localSheetId="1"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localSheetId="1"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#REF!</definedName>
    <definedName name="DGFDFVSDF" localSheetId="2" hidden="1">{"via1",#N/A,TRUE,"general";"via2",#N/A,TRUE,"general";"via3",#N/A,TRUE,"general"}</definedName>
    <definedName name="DGFDFVSDF" localSheetId="1"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localSheetId="1"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localSheetId="1"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localSheetId="1"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O">[21]Tablas!#REF!</definedName>
    <definedName name="DGO1_1">[21]Tablas!#REF!</definedName>
    <definedName name="DGO1_1_1">[21]Tablas!#REF!</definedName>
    <definedName name="DGP">[21]Tablas!#REF!</definedName>
    <definedName name="DGP1_1">[21]Tablas!#REF!</definedName>
    <definedName name="DGP1_1_1">[21]Tablas!#REF!</definedName>
    <definedName name="dgrdeb" localSheetId="2"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localSheetId="1"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localSheetId="1"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localSheetId="1"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localSheetId="1"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i">#REF!</definedName>
    <definedName name="DIA">[51]PRESUPUESTO!$B$13</definedName>
    <definedName name="DIAGONALES">#REF!</definedName>
    <definedName name="Diámetro">#REF!</definedName>
    <definedName name="diámetroft">#REF!</definedName>
    <definedName name="diametros">#REF!</definedName>
    <definedName name="DIAS">#REF!</definedName>
    <definedName name="DIC">#REF!</definedName>
    <definedName name="diego">#REF!</definedName>
    <definedName name="diego1">#REF!</definedName>
    <definedName name="DifConsultoriaFM">#REF!</definedName>
    <definedName name="diferencia">'[128]MEDIA GEOMETRICA'!$J$8,'[128]MEDIA GEOMETRICA'!$N$8,'[128]MEDIA GEOMETRICA'!$R$8,'[128]MEDIA GEOMETRICA'!$V$8,'[128]MEDIA GEOMETRICA'!$Z$8,'[128]MEDIA GEOMETRICA'!$AD$8,'[128]MEDIA GEOMETRICA'!$AH$8,'[128]MEDIA GEOMETRICA'!$AL$8,'[128]MEDIA GEOMETRICA'!#REF!,'[128]MEDIA GEOMETRICA'!#REF!</definedName>
    <definedName name="DIFERENCIAL">#REF!</definedName>
    <definedName name="DIJ">[21]Tablas!#REF!</definedName>
    <definedName name="DIJ1_1">[21]Tablas!#REF!</definedName>
    <definedName name="DIJ1_1_1">[21]Tablas!#REF!</definedName>
    <definedName name="DIJ1_1_2">[21]Tablas!#REF!</definedName>
    <definedName name="DIJ1_1_3">[21]Tablas!#REF!</definedName>
    <definedName name="DIJ1_1_4">[21]Tablas!#REF!</definedName>
    <definedName name="DIJ1_1_5">[21]Tablas!#REF!</definedName>
    <definedName name="DIJ1_2">[21]Tablas!#REF!</definedName>
    <definedName name="DIJ1_3">[21]Tablas!#REF!</definedName>
    <definedName name="DIJ1_4">[21]Tablas!#REF!</definedName>
    <definedName name="DIJ1_5">[21]Tablas!#REF!</definedName>
    <definedName name="DILATACION">#REF!</definedName>
    <definedName name="DILATACIONES">#REF!</definedName>
    <definedName name="DINAMITERO">#REF!</definedName>
    <definedName name="DINTEL">#REF!</definedName>
    <definedName name="DINTELES">'[129]Base Datos'!$B$228</definedName>
    <definedName name="DIOGE">'[38]Base Datos'!$B:$F</definedName>
    <definedName name="Direccion">[80]EMPRESA!$F$14</definedName>
    <definedName name="DIRECTO">"DIRECTO:  "&amp;TEXT(ROUNDUP(SUMIF([101]apu!$A$1:$A$65536,[101]apu!$A1048576,[101]apu!$G$1:$G$65536)/2,0),"#,##0")&amp;" / "&amp;VLOOKUP([101]apu!$A1048576,'[101]Ppto completo'!$D$1:$F$65536,3,FALSE)</definedName>
    <definedName name="DIRECTO1">[130]APU!$U$132</definedName>
    <definedName name="DIRECTO10">[130]APU!$U$681</definedName>
    <definedName name="DIRECTO100">[130]APU!$U$6171</definedName>
    <definedName name="DIRECTO101">[130]APU!$U$6232</definedName>
    <definedName name="DIRECTO102">[130]APU!$U$6293</definedName>
    <definedName name="DIRECTO103">[130]APU!$U$6354</definedName>
    <definedName name="DIRECTO104">[130]APU!$U$6415</definedName>
    <definedName name="DIRECTO105">[130]APU!$U$6476</definedName>
    <definedName name="DIRECTO11">[130]APU!$U$742</definedName>
    <definedName name="DIRECTO12">[130]APU!$U$803</definedName>
    <definedName name="DIRECTO124">[130]APU!$U$7635</definedName>
    <definedName name="DIRECTO125">[130]APU!$U$7696</definedName>
    <definedName name="DIRECTO126">[130]APU!$U$7757</definedName>
    <definedName name="DIRECTO127">[130]APU!$U$7818</definedName>
    <definedName name="DIRECTO128">[130]APU!$U$7879</definedName>
    <definedName name="DIRECTO129">[130]APU!$U$7940</definedName>
    <definedName name="DIRECTO13">[130]APU!$U$864</definedName>
    <definedName name="DIRECTO130">[130]APU!$U$8001</definedName>
    <definedName name="DIRECTO131">[130]APU!$U$8062</definedName>
    <definedName name="DIRECTO132">[130]APU!$U$8123</definedName>
    <definedName name="DIRECTO133">[130]APU!$U$8184</definedName>
    <definedName name="DIRECTO134">[130]APU!$U$8245</definedName>
    <definedName name="DIRECTO14">[130]APU!$U$925</definedName>
    <definedName name="DIRECTO15">[130]APU!$U$986</definedName>
    <definedName name="DIRECTO16">[130]APU!$U$1047</definedName>
    <definedName name="DIRECTO17">[130]APU!$U$1108</definedName>
    <definedName name="DIRECTO18">[130]APU!$U$1169</definedName>
    <definedName name="DIRECTO2">[130]APU!$U$193</definedName>
    <definedName name="DIRECTO2.10">[130]APU!$U$14889</definedName>
    <definedName name="DIRECTO2.11">[130]APU!$U$14950</definedName>
    <definedName name="DIRECTO2.12">[130]APU!$U$15011</definedName>
    <definedName name="DIRECTO2.9">[130]APU!$U$11839</definedName>
    <definedName name="DIRECTO21">[130]APU!$U$1352</definedName>
    <definedName name="DIRECTO22">[130]APU!$U$1413</definedName>
    <definedName name="DIRECTO23">[130]APU!$U$1474</definedName>
    <definedName name="DIRECTO24">[130]APU!$U$1535</definedName>
    <definedName name="DIRECTO25">[130]APU!$U$1596</definedName>
    <definedName name="DIRECTO26">[130]APU!$U$1657</definedName>
    <definedName name="DIRECTO27">[130]APU!$U$1718</definedName>
    <definedName name="DIRECTO28">[130]APU!$U$1779</definedName>
    <definedName name="DIRECTO29">[130]APU!$U$1840</definedName>
    <definedName name="DIRECTO3">[130]APU!$U$254</definedName>
    <definedName name="DIRECTO3.15">[130]APU!$U$8667</definedName>
    <definedName name="DIRECTO3.16">[130]APU!$U$8728</definedName>
    <definedName name="DIRECTO3.17">[130]APU!$U$8789</definedName>
    <definedName name="DIRECTO3.18">[130]APU!$U$8850</definedName>
    <definedName name="DIRECTO3.19">[130]APU!$U$8911</definedName>
    <definedName name="DIRECTO3.20">[130]APU!$U$8972</definedName>
    <definedName name="DIRECTO3.21">[130]APU!$U$11961</definedName>
    <definedName name="DIRECTO3.22">[130]APU!$U$14523</definedName>
    <definedName name="DIRECTO3.23">[130]APU!$U$15133</definedName>
    <definedName name="DIRECTO3.24">[130]APU!$U$16292</definedName>
    <definedName name="DIRECTO3.25">[130]APU!$U$16353</definedName>
    <definedName name="DIRECTO3.26">[130]APU!$U$16414</definedName>
    <definedName name="DIRECTO3.27">[130]APU!$U$16475</definedName>
    <definedName name="DIRECTO3.28">[130]APU!$U$16536</definedName>
    <definedName name="DIRECTO30">[130]APU!$U$1901</definedName>
    <definedName name="DIRECTO31">[130]APU!$U$1962</definedName>
    <definedName name="DIRECTO32">[130]APU!$U$2023</definedName>
    <definedName name="DIRECTO33">[130]APU!$U$2084</definedName>
    <definedName name="DIRECTO34">[130]APU!$U$2145</definedName>
    <definedName name="DIRECTO35">[130]APU!$U$2206</definedName>
    <definedName name="DIRECTO36">[130]APU!$U$2267</definedName>
    <definedName name="DIRECTO37">[130]APU!$U$2328</definedName>
    <definedName name="DIRECTO38">[130]APU!$U$2389</definedName>
    <definedName name="DIRECTO39">[130]APU!$U$2450</definedName>
    <definedName name="DIRECTO4">[130]APU!$U$315</definedName>
    <definedName name="DIRECTO4.20">[130]APU!$U$9216</definedName>
    <definedName name="DIRECTO4.21">[130]APU!$U$9277</definedName>
    <definedName name="DIRECTO4.22">[130]APU!$U$9338</definedName>
    <definedName name="DIRECTO4.23">[130]APU!$U$9399</definedName>
    <definedName name="DIRECTO4.24">[130]APU!$U$9460</definedName>
    <definedName name="DIRECTO4.25">[130]APU!$U$9521</definedName>
    <definedName name="DIRECTO4.26">[130]APU!$U$9582</definedName>
    <definedName name="DIRECTO4.27">[130]APU!$U$9643</definedName>
    <definedName name="DIRECTO4.28">[130]APU!$U$9704</definedName>
    <definedName name="DIRECTO4.29">[130]APU!$U$9765</definedName>
    <definedName name="DIRECTO4.30">[130]APU!$U$9826</definedName>
    <definedName name="DIRECTO4.31">[130]APU!$U$9887</definedName>
    <definedName name="DIRECTO4.32">[130]APU!$U$9948</definedName>
    <definedName name="DIRECTO4.33">[130]APU!$U$10009</definedName>
    <definedName name="DIRECTO4.34">[130]APU!$U$10070</definedName>
    <definedName name="DIRECTO4.35">[130]APU!$U$11595</definedName>
    <definedName name="DIRECTO4.36">[130]APU!$U$11656</definedName>
    <definedName name="DIRECTO4.37">[130]APU!$U$15987</definedName>
    <definedName name="DIRECTO4.38">[130]APU!$U$15194</definedName>
    <definedName name="DIRECTO4.39">[130]APU!$U$14279</definedName>
    <definedName name="DIRECTO4.40">[130]APU!$U$14340</definedName>
    <definedName name="DIRECTO4.41">[130]APU!$U$14401</definedName>
    <definedName name="DIRECTO4.42">[130]APU!$U$14462</definedName>
    <definedName name="DIRECTO4.43">[130]APU!$U$14584</definedName>
    <definedName name="DIRECTO4.44">[130]APU!$U$16048</definedName>
    <definedName name="DIRECTO4.45">[130]APU!$U$16109</definedName>
    <definedName name="DIRECTO4.46">[130]APU!$U$14706</definedName>
    <definedName name="DIRECTO4.47">[130]APU!$U$15926</definedName>
    <definedName name="DIRECTO4.48">[130]APU!$U$16170</definedName>
    <definedName name="DIRECTO4.49">[130]APU!$U$16231</definedName>
    <definedName name="DIRECTO4.50">[130]APU!$U$16902</definedName>
    <definedName name="DIRECTO4.51">[130]APU!$U$17634</definedName>
    <definedName name="DIRECTO4.52">[130]APU!$U$17695</definedName>
    <definedName name="DIRECTO40">[130]APU!$U$2511</definedName>
    <definedName name="DIRECTO41">[130]APU!$U$2572</definedName>
    <definedName name="DIRECTO42">[130]APU!$U$2633</definedName>
    <definedName name="DIRECTO43">[130]APU!$U$2694</definedName>
    <definedName name="DIRECTO44">[130]APU!$U$2755</definedName>
    <definedName name="DIRECTO45">[130]APU!$U$2816</definedName>
    <definedName name="DIRECTO46">[130]APU!$U$2877</definedName>
    <definedName name="DIRECTO47">[130]APU!$U$2938</definedName>
    <definedName name="DIRECTO48">[130]APU!$U$2999</definedName>
    <definedName name="DIRECTO49">[130]APU!$U$3060</definedName>
    <definedName name="DIRECTO5">[130]APU!$U$376</definedName>
    <definedName name="DIRECTO5.100">[130]APU!$U$12449</definedName>
    <definedName name="DIRECTO5.101">[130]APU!$U$12510</definedName>
    <definedName name="DIRECTO5.104">[130]APU!$U$12571</definedName>
    <definedName name="DIRECTO5.105">[130]APU!$U$12632</definedName>
    <definedName name="DIRECTO5.106">[130]APU!$U$12693</definedName>
    <definedName name="DIRECTO5.107">[130]APU!$U$12754</definedName>
    <definedName name="DIRECTO5.108">[130]APU!$U$12815</definedName>
    <definedName name="DIRECTO5.109">[130]APU!$U$12876</definedName>
    <definedName name="DIRECTO5.111">[130]APU!$U$12937</definedName>
    <definedName name="DIRECTO5.112">[130]APU!$U$12998</definedName>
    <definedName name="DIRECTO5.113">[130]APU!$U$14767</definedName>
    <definedName name="DIRECTO5.114">[130]APU!$U$14828</definedName>
    <definedName name="DIRECTO5.115">[130]APU!$U$15072</definedName>
    <definedName name="DIRECTO5.53">[130]APU!$U$10131</definedName>
    <definedName name="DIRECTO5.54">[130]APU!$U$10192</definedName>
    <definedName name="DIRECTO5.55">[130]APU!$U$10253</definedName>
    <definedName name="DIRECTO5.56">[130]APU!$U$10314</definedName>
    <definedName name="DIRECTO5.57">[130]APU!$U$10375</definedName>
    <definedName name="DIRECTO5.58">[130]APU!$U$10436</definedName>
    <definedName name="DIRECTO5.59">[130]APU!$U$10497</definedName>
    <definedName name="DIRECTO5.60">[130]APU!$U$10558</definedName>
    <definedName name="DIRECTO5.61">[130]APU!$U$10619</definedName>
    <definedName name="DIRECTO5.62">[130]APU!$U$10680</definedName>
    <definedName name="DIRECTO5.63">[130]APU!$U$10741</definedName>
    <definedName name="DIRECTO5.64">[130]APU!$U$10802</definedName>
    <definedName name="DIRECTO5.65">[130]APU!$U$10863</definedName>
    <definedName name="DIRECTO5.66">[130]APU!$U$10924</definedName>
    <definedName name="DIRECTO5.67">[130]APU!$U$10985</definedName>
    <definedName name="DIRECTO5.68">[130]APU!$U$11046</definedName>
    <definedName name="DIRECTO5.69">[130]APU!$U$11107</definedName>
    <definedName name="DIRECTO5.70">[130]APU!$U$11168</definedName>
    <definedName name="DIRECTO5.71">[130]APU!$U$11229</definedName>
    <definedName name="DIRECTO5.72">[130]APU!$U$12022</definedName>
    <definedName name="DIRECTO5.73">[130]APU!$U$12083</definedName>
    <definedName name="DIRECTO5.74">[130]APU!$U$12144</definedName>
    <definedName name="DIRECTO5.77">[130]APU!$U$12205</definedName>
    <definedName name="DIRECTO5.78">[130]APU!$U$12327</definedName>
    <definedName name="DIRECTO5.79">[130]APU!$U$12388</definedName>
    <definedName name="DIRECTO5.80">[130]APU!$U$12266</definedName>
    <definedName name="DIRECTO5.82">[130]APU!$U$14035</definedName>
    <definedName name="DIRECTO5.83">[130]APU!$U$14096</definedName>
    <definedName name="DIRECTO5.84">[130]APU!$U$13364</definedName>
    <definedName name="DIRECTO5.85">[130]APU!$U$13425</definedName>
    <definedName name="DIRECTO5.86">[130]APU!$U$13486</definedName>
    <definedName name="DIRECTO5.87">[130]APU!$U$13547</definedName>
    <definedName name="DIRECTO5.88">[130]APU!$U$13608</definedName>
    <definedName name="DIRECTO5.89">[130]APU!$U$13669</definedName>
    <definedName name="DIRECTO5.90">[130]APU!$U$13730</definedName>
    <definedName name="DIRECTO5.91">[130]APU!$U$13791</definedName>
    <definedName name="DIRECTO5.92">[130]APU!$U$13852</definedName>
    <definedName name="DIRECTO5.93">[130]APU!$U$13913</definedName>
    <definedName name="DIRECTO5.94">[130]APU!$U$13974</definedName>
    <definedName name="DIRECTO5.95">[130]APU!$U$13059</definedName>
    <definedName name="DIRECTO5.96">[130]APU!$U$13120</definedName>
    <definedName name="DIRECTO5.97">[130]APU!$U$13181</definedName>
    <definedName name="DIRECTO5.98">[130]APU!$U$13242</definedName>
    <definedName name="DIRECTO5.99">[130]APU!$U$13303</definedName>
    <definedName name="DIRECTO50">[130]APU!$U$3121</definedName>
    <definedName name="DIRECTO51">[130]APU!$U$3182</definedName>
    <definedName name="DIRECTO52">[130]APU!$U$3243</definedName>
    <definedName name="DIRECTO53">[130]APU!$U$3304</definedName>
    <definedName name="DIRECTO54">[130]APU!$U$3365</definedName>
    <definedName name="DIRECTO55">[130]APU!$U$3426</definedName>
    <definedName name="DIRECTO56">[130]APU!$U$3487</definedName>
    <definedName name="DIRECTO57">[130]APU!$U$3548</definedName>
    <definedName name="DIRECTO58">[130]APU!$U$3609</definedName>
    <definedName name="DIRECTO59">[130]APU!$U$3670</definedName>
    <definedName name="DIRECTO6">[130]APU!$U$437</definedName>
    <definedName name="DIRECTO60">[130]APU!$U$3731</definedName>
    <definedName name="DIRECTO61">[130]APU!$U$3792</definedName>
    <definedName name="DIRECTO62">[130]APU!$U$3853</definedName>
    <definedName name="DIRECTO63">[130]APU!$U$3914</definedName>
    <definedName name="DIRECTO64">[130]APU!$U$3975</definedName>
    <definedName name="DIRECTO65">[130]APU!$U$4036</definedName>
    <definedName name="DIRECTO66">[130]APU!$U$4097</definedName>
    <definedName name="DIRECTO67">[130]APU!$U$4158</definedName>
    <definedName name="DIRECTO68">[130]APU!$U$4219</definedName>
    <definedName name="DIRECTO69">[130]APU!$U$4280</definedName>
    <definedName name="DIRECTO7">[130]APU!$U$498</definedName>
    <definedName name="DIRECTO7.12">[130]APU!$U$8305</definedName>
    <definedName name="DIRECTO7.13">[130]APU!$U$8366</definedName>
    <definedName name="DIRECTO7.14">[130]APU!$U$8427</definedName>
    <definedName name="DIRECTO7.15">[130]APU!$U$8488</definedName>
    <definedName name="DIRECTO7.16">[130]APU!$U$8606</definedName>
    <definedName name="DIRECTO7.17">[130]APU!$U$11290</definedName>
    <definedName name="DIRECTO7.18">[130]APU!$U$11351</definedName>
    <definedName name="DIRECTO7.19">[130]APU!$U$11412</definedName>
    <definedName name="DIRECTO7.20">[130]APU!$U$11473</definedName>
    <definedName name="DIRECTO7.21">[130]APU!$U$11534</definedName>
    <definedName name="DIRECTO7.22">[130]APU!$U$11717</definedName>
    <definedName name="DIRECTO7.23">[130]APU!$U$11778</definedName>
    <definedName name="DIRECTO7.24">[130]APU!$U$14645</definedName>
    <definedName name="DIRECTO7.25">[130]APU!$U$15255</definedName>
    <definedName name="DIRECTO7.26">[130]APU!$U$15316</definedName>
    <definedName name="DIRECTO7.27">[130]APU!$U$15377</definedName>
    <definedName name="DIRECTO7.28">[130]APU!$U$15438</definedName>
    <definedName name="DIRECTO7.29">[130]APU!$U$15499</definedName>
    <definedName name="DIRECTO7.30">[130]APU!$U$15560</definedName>
    <definedName name="DIRECTO7.31">[130]APU!$U$15621</definedName>
    <definedName name="DIRECTO7.32">[130]APU!$U$15682</definedName>
    <definedName name="DIRECTO7.33">[130]APU!$U$15743</definedName>
    <definedName name="DIRECTO7.34">[130]APU!$U$15804</definedName>
    <definedName name="DIRECTO7.35">[130]APU!$U$15865</definedName>
    <definedName name="DIRECTO7.36">[130]APU!$U$17085</definedName>
    <definedName name="DIRECTO7.37">[130]APU!$U$17268</definedName>
    <definedName name="DIRECTO7.38">[130]APU!$U$17207</definedName>
    <definedName name="DIRECTO7.39">[130]APU!$U$17390</definedName>
    <definedName name="DIRECTO7.40">[130]APU!$U$17451</definedName>
    <definedName name="DIRECTO7.41">[130]APU!$U$17512</definedName>
    <definedName name="DIRECTO7.42">[130]APU!$U$17146</definedName>
    <definedName name="DIRECTO7.43">[130]APU!$U$17573</definedName>
    <definedName name="DIRECTO7.44">[130]APU!$U$17329</definedName>
    <definedName name="DIRECTO70">[130]APU!$U$4341</definedName>
    <definedName name="DIRECTO71">[130]APU!$U$4402</definedName>
    <definedName name="DIRECTO72">[130]APU!$U$4463</definedName>
    <definedName name="DIRECTO73">[130]APU!$U$4524</definedName>
    <definedName name="DIRECTO74">[130]APU!$U$4585</definedName>
    <definedName name="DIRECTO75">[130]APU!$U$4646</definedName>
    <definedName name="DIRECTO76">[130]APU!$U$4707</definedName>
    <definedName name="DIRECTO77">[130]APU!$U$4768</definedName>
    <definedName name="DIRECTO78">[130]APU!$U$4829</definedName>
    <definedName name="DIRECTO79">[130]APU!$U$4890</definedName>
    <definedName name="DIRECTO8">[130]APU!$U$559</definedName>
    <definedName name="DIRECTO80">[130]APU!$U$4951</definedName>
    <definedName name="DIRECTO81">[130]APU!$U$5012</definedName>
    <definedName name="DIRECTO82">[130]APU!$U$5073</definedName>
    <definedName name="DIRECTO83">[130]APU!$U$5134</definedName>
    <definedName name="DIRECTO84">[130]APU!$U$5195</definedName>
    <definedName name="DIRECTO85">[130]APU!$U$5256</definedName>
    <definedName name="DIRECTO86">[130]APU!$U$5317</definedName>
    <definedName name="DIRECTO87">[130]APU!$U$5378</definedName>
    <definedName name="DIRECTO88">[130]APU!$U$5439</definedName>
    <definedName name="DIRECTO89">[130]APU!$U$5500</definedName>
    <definedName name="DIRECTO9">[130]APU!$U$620</definedName>
    <definedName name="DIRECTO9.1">[130]APU!$U$16597</definedName>
    <definedName name="DIRECTO9.2">[130]APU!$U$16658</definedName>
    <definedName name="DIRECTO9.3">[130]APU!$U$16719</definedName>
    <definedName name="DIRECTO9.4">[130]APU!$U$16780</definedName>
    <definedName name="DIRECTO9.5">[130]APU!$U$16841</definedName>
    <definedName name="DIRECTO90">[130]APU!$U$5561</definedName>
    <definedName name="DIRECTO91">[130]APU!$U$5622</definedName>
    <definedName name="DIRECTO92">[130]APU!$U$5683</definedName>
    <definedName name="DIRECTO93">[130]APU!$U$5744</definedName>
    <definedName name="DIRECTO94">[130]APU!$U$5805</definedName>
    <definedName name="DIRECTO95">[130]APU!$U$5866</definedName>
    <definedName name="DIRECTO96">[130]APU!$U$5927</definedName>
    <definedName name="DIRECTO97">[130]APU!$U$5988</definedName>
    <definedName name="DIRECTO98">[130]APU!$U$6049</definedName>
    <definedName name="DIRECTO99">[130]APU!$U$6110</definedName>
    <definedName name="DIRECTOS">'[131]PPTO REDUCIDO'!$N$206</definedName>
    <definedName name="DISEÑOS">[132]UNIT.!#REF!</definedName>
    <definedName name="Disolvente_para_pintura_Trafico__acrílico">#REF!</definedName>
    <definedName name="display_area_2">#REF!</definedName>
    <definedName name="DISTANCIA_ARENA">'[62]Concretos y morteros'!$J$12</definedName>
    <definedName name="DISTANCIA_CEMENTO">'[62]Concretos y morteros'!$L$12</definedName>
    <definedName name="DISTANCIA_TRITURADO">'[62]Concretos y morteros'!$K$12</definedName>
    <definedName name="dj">#REF!</definedName>
    <definedName name="djdytj" localSheetId="2" hidden="1">{"TAB1",#N/A,TRUE,"GENERAL";"TAB2",#N/A,TRUE,"GENERAL";"TAB3",#N/A,TRUE,"GENERAL";"TAB4",#N/A,TRUE,"GENERAL";"TAB5",#N/A,TRUE,"GENERAL"}</definedName>
    <definedName name="djdytj" localSheetId="1"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l">#REF!</definedName>
    <definedName name="dm">#REF!</definedName>
    <definedName name="DMxUS">#REF!</definedName>
    <definedName name="do">#REF!</definedName>
    <definedName name="dolar">#REF!</definedName>
    <definedName name="DOLLAR">[133]CÁLCULOS!$H$34</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R">#REF!</definedName>
    <definedName name="DOTACIÓN">#REF!</definedName>
    <definedName name="Dp">#REF!</definedName>
    <definedName name="DPF">#REF!</definedName>
    <definedName name="DPI">[21]Tablas!#REF!</definedName>
    <definedName name="DPI1_1">[21]Tablas!#REF!</definedName>
    <definedName name="DPI1_1_1">[21]Tablas!#REF!</definedName>
    <definedName name="DPM">'[134]Base Datos'!$B:$F</definedName>
    <definedName name="DPR">#REF!</definedName>
    <definedName name="DPY">[21]Tablas!#REF!</definedName>
    <definedName name="DPY1_1">[21]Tablas!#REF!</definedName>
    <definedName name="DPY1_1_1">[21]Tablas!#REF!</definedName>
    <definedName name="drf">#REF!</definedName>
    <definedName name="DRH">#REF!</definedName>
    <definedName name="DRI">[21]Tablas!#REF!</definedName>
    <definedName name="DRI1_1">[21]Tablas!#REF!</definedName>
    <definedName name="DRI1_1_1">[21]Tablas!#REF!</definedName>
    <definedName name="DRI1_1_2">[21]Tablas!#REF!</definedName>
    <definedName name="DRI1_1_3">[21]Tablas!#REF!</definedName>
    <definedName name="DRI1_1_4">[21]Tablas!#REF!</definedName>
    <definedName name="DRI1_2">[21]Tablas!#REF!</definedName>
    <definedName name="DRI1_3">[21]Tablas!#REF!</definedName>
    <definedName name="DRI1_4">[21]Tablas!#REF!</definedName>
    <definedName name="DRL">[21]Tablas!#REF!</definedName>
    <definedName name="DRL1_1">[21]Tablas!#REF!</definedName>
    <definedName name="DRL1_1_1">[21]Tablas!#REF!</definedName>
    <definedName name="DRL1_1_2">[21]Tablas!#REF!</definedName>
    <definedName name="DRL1_1_3">[21]Tablas!#REF!</definedName>
    <definedName name="DRL1_1_4">[21]Tablas!#REF!</definedName>
    <definedName name="DRL1_2">[21]Tablas!#REF!</definedName>
    <definedName name="DRL1_3">[21]Tablas!#REF!</definedName>
    <definedName name="DRL1_4">[21]Tablas!#REF!</definedName>
    <definedName name="dry" localSheetId="2" hidden="1">{"via1",#N/A,TRUE,"general";"via2",#N/A,TRUE,"general";"via3",#N/A,TRUE,"general"}</definedName>
    <definedName name="dry" localSheetId="1"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S">[127]Cronograma!#REF!</definedName>
    <definedName name="DSA">#REF!</definedName>
    <definedName name="DSAD" localSheetId="2" hidden="1">{"via1",#N/A,TRUE,"general";"via2",#N/A,TRUE,"general";"via3",#N/A,TRUE,"general"}</definedName>
    <definedName name="DSAD" localSheetId="1"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localSheetId="1"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AFZDCXZCAWDAW">#REF!</definedName>
    <definedName name="DSAWE">#REF!</definedName>
    <definedName name="Dsbcm">#REF!</definedName>
    <definedName name="DSBYTEMU">#REF!</definedName>
    <definedName name="DsctoFondo">[135]EMPRESA!$I$25</definedName>
    <definedName name="DsctoPension">[135]EMPRESA!$I$23</definedName>
    <definedName name="DsctoSalud">[135]EMPRESA!$I$24</definedName>
    <definedName name="DSD" localSheetId="2" hidden="1">{"via1",#N/A,TRUE,"general";"via2",#N/A,TRUE,"general";"via3",#N/A,TRUE,"general"}</definedName>
    <definedName name="DSD" localSheetId="1"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localSheetId="1"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DG">#REF!</definedName>
    <definedName name="dsds">#REF!</definedName>
    <definedName name="dsdsd">#REF!</definedName>
    <definedName name="DSF" localSheetId="2" hidden="1">{"via1",#N/A,TRUE,"general";"via2",#N/A,TRUE,"general";"via3",#N/A,TRUE,"general"}</definedName>
    <definedName name="DSF" localSheetId="1"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localSheetId="1"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localSheetId="1"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localSheetId="1"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localSheetId="1"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localSheetId="1"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localSheetId="1"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SFW">#REF!</definedName>
    <definedName name="DSP">[21]Tablas!#REF!</definedName>
    <definedName name="DSP1_1">[21]Tablas!#REF!</definedName>
    <definedName name="DSP1_1_1">[21]Tablas!#REF!</definedName>
    <definedName name="dt">#REF!</definedName>
    <definedName name="DTOLUM">#REF!</definedName>
    <definedName name="dtrhj" localSheetId="2" hidden="1">{"via1",#N/A,TRUE,"general";"via2",#N/A,TRUE,"general";"via3",#N/A,TRUE,"general"}</definedName>
    <definedName name="dtrhj" localSheetId="1"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TS">#REF!</definedName>
    <definedName name="DUCHA">'[54]PRECIO. MAT'!#REF!</definedName>
    <definedName name="DUCTO_CONDUIT_PVC_3_4">#REF!</definedName>
    <definedName name="DUCTO_METALICO_GALVANIZADO_1">#REF!</definedName>
    <definedName name="Duitama">#REF!</definedName>
    <definedName name="DuracionMeses">#REF!</definedName>
    <definedName name="DuracionSemanas">#REF!</definedName>
    <definedName name="DURMIENTE">[55]PRECIO.MAT!#REF!</definedName>
    <definedName name="DURMIENTE510">[55]PRECIO.MAT!#REF!</definedName>
    <definedName name="dutr">#REF!</definedName>
    <definedName name="Dv">#REF!</definedName>
    <definedName name="dxfgg" localSheetId="2" hidden="1">{"via1",#N/A,TRUE,"general";"via2",#N/A,TRUE,"general";"via3",#N/A,TRUE,"general"}</definedName>
    <definedName name="dxfgg" localSheetId="1"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#REF!</definedName>
    <definedName name="e_INSTALACIONES_HIDRAULICAS">#REF!</definedName>
    <definedName name="e3e33" localSheetId="2" hidden="1">{"via1",#N/A,TRUE,"general";"via2",#N/A,TRUE,"general";"via3",#N/A,TRUE,"general"}</definedName>
    <definedName name="e3e33" localSheetId="1"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CP">[21]Tablas!#REF!</definedName>
    <definedName name="ECP1_1">[21]Tablas!#REF!</definedName>
    <definedName name="ECP1_1_1">[21]Tablas!#REF!</definedName>
    <definedName name="ED_INDUSTRIAL">#REF!</definedName>
    <definedName name="ED_SUBPRODUCTOS">#REF!</definedName>
    <definedName name="EDC">#REF!</definedName>
    <definedName name="EDEDWSWQA" localSheetId="2" hidden="1">{"TAB1",#N/A,TRUE,"GENERAL";"TAB2",#N/A,TRUE,"GENERAL";"TAB3",#N/A,TRUE,"GENERAL";"TAB4",#N/A,TRUE,"GENERAL";"TAB5",#N/A,TRUE,"GENERAL"}</definedName>
    <definedName name="EDEDWSWQA" localSheetId="1"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FERFW">#REF!</definedName>
    <definedName name="edgfhmn" localSheetId="2" hidden="1">{"via1",#N/A,TRUE,"general";"via2",#N/A,TRUE,"general";"via3",#N/A,TRUE,"general"}</definedName>
    <definedName name="edgfhmn" localSheetId="1"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DIER">#REF!</definedName>
    <definedName name="EDIFICIO_PIELES">#REF!</definedName>
    <definedName name="edil">#REF!</definedName>
    <definedName name="EE" localSheetId="2">'MC 1'!ERR</definedName>
    <definedName name="EE" localSheetId="1">'MC 2-3-4'!ERR</definedName>
    <definedName name="EE" localSheetId="0">'MC 5'!ERR</definedName>
    <definedName name="EE">[0]!ERR</definedName>
    <definedName name="EE_1">"[0]!err"</definedName>
    <definedName name="EE4E" localSheetId="2" hidden="1">{#N/A,#N/A,TRUE,"INGENIERIA";#N/A,#N/A,TRUE,"COMPRAS";#N/A,#N/A,TRUE,"DIRECCION";#N/A,#N/A,TRUE,"RESUMEN"}</definedName>
    <definedName name="EE4E" localSheetId="1" hidden="1">{#N/A,#N/A,TRUE,"INGENIERIA";#N/A,#N/A,TRUE,"COMPRAS";#N/A,#N/A,TRUE,"DIRECCION";#N/A,#N/A,TRUE,"RESUMEN"}</definedName>
    <definedName name="EE4E" localSheetId="0" hidden="1">{#N/A,#N/A,TRUE,"INGENIERIA";#N/A,#N/A,TRUE,"COMPRAS";#N/A,#N/A,TRUE,"DIRECCION";#N/A,#N/A,TRUE,"RESUMEN"}</definedName>
    <definedName name="EE4E" hidden="1">{#N/A,#N/A,TRUE,"INGENIERIA";#N/A,#N/A,TRUE,"COMPRAS";#N/A,#N/A,TRUE,"DIRECCION";#N/A,#N/A,TRUE,"RESUMEN"}</definedName>
    <definedName name="EEE">#REF!</definedName>
    <definedName name="eeedfr" localSheetId="2" hidden="1">{"TAB1",#N/A,TRUE,"GENERAL";"TAB2",#N/A,TRUE,"GENERAL";"TAB3",#N/A,TRUE,"GENERAL";"TAB4",#N/A,TRUE,"GENERAL";"TAB5",#N/A,TRUE,"GENERAL"}</definedName>
    <definedName name="eeedfr" localSheetId="1"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E">#REF!</definedName>
    <definedName name="eeeeer" localSheetId="2"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localSheetId="1"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F">#REF!</definedName>
    <definedName name="EFA">#REF!</definedName>
    <definedName name="EFEC">'[136]FLEXION EN X-X'!#REF!</definedName>
    <definedName name="efef" localSheetId="2" hidden="1">{"TAB1",#N/A,TRUE,"GENERAL";"TAB2",#N/A,TRUE,"GENERAL";"TAB3",#N/A,TRUE,"GENERAL";"TAB4",#N/A,TRUE,"GENERAL";"TAB5",#N/A,TRUE,"GENERAL"}</definedName>
    <definedName name="efef" localSheetId="1"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localSheetId="1"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fwef">#REF!</definedName>
    <definedName name="egeg" localSheetId="2" hidden="1">{"TAB1",#N/A,TRUE,"GENERAL";"TAB2",#N/A,TRUE,"GENERAL";"TAB3",#N/A,TRUE,"GENERAL";"TAB4",#N/A,TRUE,"GENERAL";"TAB5",#N/A,TRUE,"GENERAL"}</definedName>
    <definedName name="egeg" localSheetId="1"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h">#REF!</definedName>
    <definedName name="egtrgthrt" localSheetId="2"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JEC">[51]PRESUPUESTO!$E$7</definedName>
    <definedName name="Ejecutivo">'[137]Info Ejec'!$A$1:$AV$153</definedName>
    <definedName name="el">#REF!</definedName>
    <definedName name="elec">50000</definedName>
    <definedName name="ELECTRICISTA">#REF!</definedName>
    <definedName name="electrico" localSheetId="8">[138]!ERR</definedName>
    <definedName name="electrico" localSheetId="7">[138]!ERR</definedName>
    <definedName name="electrico" localSheetId="5">[138]!ERR</definedName>
    <definedName name="electrico" localSheetId="1">[138]!ERR</definedName>
    <definedName name="electrico" localSheetId="0">[138]!ERR</definedName>
    <definedName name="electrico" localSheetId="4">[138]!ERR</definedName>
    <definedName name="electrico">[138]!ERR</definedName>
    <definedName name="electrico2">#REF!</definedName>
    <definedName name="ELIMINACIONPROYC">#REF!</definedName>
    <definedName name="EM.2">#REF!</definedName>
    <definedName name="EM.4">#REF!</definedName>
    <definedName name="EM.5">#REF!</definedName>
    <definedName name="emanto">#REF!</definedName>
    <definedName name="eme" localSheetId="2">'MC 1'!ERR</definedName>
    <definedName name="eme" localSheetId="1">'MC 2-3-4'!ERR</definedName>
    <definedName name="eme" localSheetId="0">'MC 5'!ERR</definedName>
    <definedName name="eme">[0]!ERR</definedName>
    <definedName name="EMPAQUE">#REF!</definedName>
    <definedName name="EMPLEADO">#REF!</definedName>
    <definedName name="Empresa">[80]EMPRESA!$F$6</definedName>
    <definedName name="EMR">#REF!</definedName>
    <definedName name="EMRC">#REF!</definedName>
    <definedName name="EMULSION">#REF!</definedName>
    <definedName name="ENBOQUILLADOR_PARA_CERAMICAS">#REF!</definedName>
    <definedName name="ENCHAPE">#REF!</definedName>
    <definedName name="ENCHAPECERAMICA">#REF!</definedName>
    <definedName name="ENCHAPELADRILLO">#REF!</definedName>
    <definedName name="encof">#REF!</definedName>
    <definedName name="End_Bal">#REF!</definedName>
    <definedName name="ene">#REF!</definedName>
    <definedName name="ENSAYO">#REF!</definedName>
    <definedName name="ensayo2" localSheetId="2">'MC 1'!ERR</definedName>
    <definedName name="ensayo2" localSheetId="1">'MC 2-3-4'!ERR</definedName>
    <definedName name="ensayo2" localSheetId="0">'MC 5'!ERR</definedName>
    <definedName name="ensayo2">[0]!ERR</definedName>
    <definedName name="Ensayos">#REF!</definedName>
    <definedName name="ENT">#REF!</definedName>
    <definedName name="entibado">#REF!</definedName>
    <definedName name="ENTRADA">#REF!</definedName>
    <definedName name="ENTRADASP">#REF!</definedName>
    <definedName name="ENTREPISO">[91]APU!#REF!</definedName>
    <definedName name="EOPJKNCKNCX">#REF!</definedName>
    <definedName name="EPECIALIDAD_SIDOE">[21]Tablas!#REF!</definedName>
    <definedName name="EQ">[139]EQUIPOS!$C$13:$C$290</definedName>
    <definedName name="EQP">#REF!</definedName>
    <definedName name="EQTOP">#REF!</definedName>
    <definedName name="EQUI">[140]EQUIPO!$B$2:$B$36</definedName>
    <definedName name="equipo">[141]Equipo!$A$7:$A$65536</definedName>
    <definedName name="EQUIPO_1">[140]EQUIPO!$B$2:$D$36</definedName>
    <definedName name="Equipo_de_computo_con_software_o_licencia">#REF!</definedName>
    <definedName name="EQUIPO_DE_SOLDADURA">#REF!</definedName>
    <definedName name="EQUIPO_DE_TOPOGRAFIA">#REF!</definedName>
    <definedName name="EQUIPO_DE_TOPOGRAFÍA">#REF!</definedName>
    <definedName name="EQUIPO_PARA_PINTURA_DE_TRAFICO">#REF!</definedName>
    <definedName name="EQUIPO1">#REF!</definedName>
    <definedName name="Equipos">#REF!</definedName>
    <definedName name="EQUIPOS1">#REF!</definedName>
    <definedName name="EQUIPOSOLDADURA">[54]ATHE!$G$162</definedName>
    <definedName name="EQUISOLDADURA">#REF!</definedName>
    <definedName name="eqw" localSheetId="2" hidden="1">{"via1",#N/A,TRUE,"general";"via2",#N/A,TRUE,"general";"via3",#N/A,TRUE,"general"}</definedName>
    <definedName name="eqw" localSheetId="1"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r">#REF!</definedName>
    <definedName name="ERE_ART">[87]steel!$B$8:$B$47</definedName>
    <definedName name="EREE">#REF!</definedName>
    <definedName name="erfg" localSheetId="2" hidden="1">{#N/A,#N/A,FALSE,"Hoja1";#N/A,#N/A,FALSE,"Hoja2"}</definedName>
    <definedName name="erfg" localSheetId="1" hidden="1">{#N/A,#N/A,FALSE,"Hoja1";#N/A,#N/A,FALSE,"Hoja2"}</definedName>
    <definedName name="erfg" localSheetId="0" hidden="1">{#N/A,#N/A,FALSE,"Hoja1";#N/A,#N/A,FALSE,"Hoja2"}</definedName>
    <definedName name="erfg" hidden="1">{#N/A,#N/A,FALSE,"Hoja1";#N/A,#N/A,FALSE,"Hoja2"}</definedName>
    <definedName name="erg" localSheetId="2" hidden="1">{"TAB1",#N/A,TRUE,"GENERAL";"TAB2",#N/A,TRUE,"GENERAL";"TAB3",#N/A,TRUE,"GENERAL";"TAB4",#N/A,TRUE,"GENERAL";"TAB5",#N/A,TRUE,"GENERAL"}</definedName>
    <definedName name="erg" localSheetId="1"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localSheetId="1"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localSheetId="1"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localSheetId="1"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localSheetId="1"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localSheetId="1"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localSheetId="1"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localSheetId="1"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localSheetId="1"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localSheetId="1"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localSheetId="1"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iriutriuthd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 localSheetId="1">{"TAB1",#N/A,TRUE,"GENERAL";"TAB2",#N/A,TRUE,"GENERAL";"TAB3",#N/A,TRUE,"GENERAL";"TAB4",#N/A,TRUE,"GENERAL";"TAB5",#N/A,TRUE,"GENERAL"}</definedName>
    <definedName name="ERR" localSheetId="0">{"TAB1",#N/A,TRUE,"GENERAL";"TAB2",#N/A,TRUE,"GENERAL";"TAB3",#N/A,TRUE,"GENERAL";"TAB4",#N/A,TRUE,"GENERAL";"TAB5",#N/A,TRUE,"GENERAL"}</definedName>
    <definedName name="ERR">{"TAB1",#N/A,TRUE,"GENERAL";"TAB2",#N/A,TRUE,"GENERAL";"TAB3",#N/A,TRUE,"GENERAL";"TAB4",#N/A,TRUE,"GENERAL";"TAB5",#N/A,TRUE,"GENERAL"}</definedName>
    <definedName name="ERROR">#REF!</definedName>
    <definedName name="ERRORE">#REF!</definedName>
    <definedName name="ert" localSheetId="2" hidden="1">{"via1",#N/A,TRUE,"general";"via2",#N/A,TRUE,"general";"via3",#N/A,TRUE,"general"}</definedName>
    <definedName name="ert" localSheetId="1"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localSheetId="1"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localSheetId="1"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localSheetId="1"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localSheetId="1"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localSheetId="1"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localSheetId="1"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localSheetId="1"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localSheetId="1"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localSheetId="1"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localSheetId="1"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localSheetId="1"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localSheetId="1"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localSheetId="1"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localSheetId="1"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localSheetId="1"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localSheetId="1"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localSheetId="1"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localSheetId="1"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localSheetId="1"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localSheetId="1"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localSheetId="1"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localSheetId="1"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localSheetId="1"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localSheetId="1"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 localSheetId="2">'MC 1'!ERR</definedName>
    <definedName name="ES" localSheetId="1">'MC 2-3-4'!ERR</definedName>
    <definedName name="ES" localSheetId="0">'MC 5'!ERR</definedName>
    <definedName name="ES">[0]!ERR</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A">#REF!</definedName>
    <definedName name="ESC" localSheetId="8">IF([0]!LG=9,[0]!FES,"")</definedName>
    <definedName name="ESC" localSheetId="7">IF([0]!LG=9,[0]!FES,"")</definedName>
    <definedName name="ESC" localSheetId="5">IF([0]!LG=9,[0]!FES,"")</definedName>
    <definedName name="ESC" localSheetId="2">IF([0]!LG=9,[0]!FES,"")</definedName>
    <definedName name="ESC" localSheetId="1">IF([0]!LG=9,[0]!FES,"")</definedName>
    <definedName name="ESC" localSheetId="0">IF([0]!LG=9,[0]!FES,"")</definedName>
    <definedName name="ESC" localSheetId="4">IF([0]!LG=9,[0]!FES,"")</definedName>
    <definedName name="ESC">IF([0]!LG=9,[0]!FES,"")</definedName>
    <definedName name="escalones">#REF!</definedName>
    <definedName name="Escalones_3_4__con_anticorrosivo">#REF!</definedName>
    <definedName name="ESCOMBRERA">#REF!</definedName>
    <definedName name="ESCOMBROS">[40]APU!$G$979</definedName>
    <definedName name="ESE">#REF!</definedName>
    <definedName name="Esferas_reflectivas">#REF!</definedName>
    <definedName name="esmaltadoi">#REF!</definedName>
    <definedName name="ESMALTE">'[54]PRECIO. MAT'!#REF!</definedName>
    <definedName name="Esmalte_Pintuco">#REF!</definedName>
    <definedName name="ESPE">#REF!</definedName>
    <definedName name="ESPECIFICACION">#REF!</definedName>
    <definedName name="Especificación">#REF!</definedName>
    <definedName name="ESPEJO">#REF!</definedName>
    <definedName name="ESPEJO_4_MM">#REF!</definedName>
    <definedName name="ESPEJO3MM">#REF!</definedName>
    <definedName name="ESRFDG">#REF!</definedName>
    <definedName name="EST10A">#REF!</definedName>
    <definedName name="EST10V1">#REF!</definedName>
    <definedName name="EST11A">#REF!</definedName>
    <definedName name="ESTA">#REF!</definedName>
    <definedName name="ESTACA">#REF!</definedName>
    <definedName name="Estaca_2_x2_x0.50m">#REF!</definedName>
    <definedName name="ESTACAS">#REF!</definedName>
    <definedName name="ESTACAS_80_cm">#REF!</definedName>
    <definedName name="Estados">#REF!</definedName>
    <definedName name="ESTERCOLERO">#REF!</definedName>
    <definedName name="Estimate_Factor">1</definedName>
    <definedName name="ESTOPA">#REF!</definedName>
    <definedName name="ESTRAE">'[4]7422CW00'!#REF!</definedName>
    <definedName name="ESTRU">[142]Estructura!$C$7:$E$2570</definedName>
    <definedName name="ESTRUCTURA" localSheetId="2" hidden="1">{#N/A,#N/A,TRUE,"INGENIERIA";#N/A,#N/A,TRUE,"COMPRAS";#N/A,#N/A,TRUE,"DIRECCION";#N/A,#N/A,TRUE,"RESUMEN"}</definedName>
    <definedName name="ESTRUCTURA" localSheetId="1" hidden="1">{#N/A,#N/A,TRUE,"INGENIERIA";#N/A,#N/A,TRUE,"COMPRAS";#N/A,#N/A,TRUE,"DIRECCION";#N/A,#N/A,TRUE,"RESUMEN"}</definedName>
    <definedName name="ESTRUCTURA" localSheetId="0" hidden="1">{#N/A,#N/A,TRUE,"INGENIERIA";#N/A,#N/A,TRUE,"COMPRAS";#N/A,#N/A,TRUE,"DIRECCION";#N/A,#N/A,TRUE,"RESUMEN"}</definedName>
    <definedName name="ESTRUCTURA" hidden="1">{#N/A,#N/A,TRUE,"INGENIERIA";#N/A,#N/A,TRUE,"COMPRAS";#N/A,#N/A,TRUE,"DIRECCION";#N/A,#N/A,TRUE,"RESUMEN"}</definedName>
    <definedName name="ESTRUCTURA_DE_SOPORTE">#REF!</definedName>
    <definedName name="ESTRUCTURAS">[143]Hoja3!$B$7:$B$15</definedName>
    <definedName name="ETAP">#REF!</definedName>
    <definedName name="ETAPA_PACC">#REF!</definedName>
    <definedName name="ETERNIT6">#REF!</definedName>
    <definedName name="etertgg" localSheetId="2" hidden="1">{"via1",#N/A,TRUE,"general";"via2",#N/A,TRUE,"general";"via3",#N/A,TRUE,"general"}</definedName>
    <definedName name="etertgg" localSheetId="1"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rtt" localSheetId="2" hidden="1">{#N/A,#N/A,TRUE,"1842CWN0"}</definedName>
    <definedName name="etertt" localSheetId="1" hidden="1">{#N/A,#N/A,TRUE,"1842CWN0"}</definedName>
    <definedName name="etertt" localSheetId="0" hidden="1">{#N/A,#N/A,TRUE,"1842CWN0"}</definedName>
    <definedName name="etertt" hidden="1">{#N/A,#N/A,TRUE,"1842CWN0"}</definedName>
    <definedName name="etewt" localSheetId="2" hidden="1">{"TAB1",#N/A,TRUE,"GENERAL";"TAB2",#N/A,TRUE,"GENERAL";"TAB3",#N/A,TRUE,"GENERAL";"TAB4",#N/A,TRUE,"GENERAL";"TAB5",#N/A,TRUE,"GENERAL"}</definedName>
    <definedName name="etewt" localSheetId="1"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ffg">'[144]Ba Da'!$B$218</definedName>
    <definedName name="etu" localSheetId="2" hidden="1">{"via1",#N/A,TRUE,"general";"via2",#N/A,TRUE,"general";"via3",#N/A,TRUE,"general"}</definedName>
    <definedName name="etu" localSheetId="1"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localSheetId="1"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localSheetId="1"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localSheetId="1"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localSheetId="1"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localSheetId="1"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localSheetId="1"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localSheetId="1"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localSheetId="1"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localSheetId="1"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localSheetId="1"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WW" localSheetId="2" hidden="1">{#N/A,#N/A,TRUE,"INGENIERIA";#N/A,#N/A,TRUE,"COMPRAS";#N/A,#N/A,TRUE,"DIRECCION";#N/A,#N/A,TRUE,"RESUMEN"}</definedName>
    <definedName name="EWW" localSheetId="1" hidden="1">{#N/A,#N/A,TRUE,"INGENIERIA";#N/A,#N/A,TRUE,"COMPRAS";#N/A,#N/A,TRUE,"DIRECCION";#N/A,#N/A,TRUE,"RESUMEN"}</definedName>
    <definedName name="EWW" localSheetId="0" hidden="1">{#N/A,#N/A,TRUE,"INGENIERIA";#N/A,#N/A,TRUE,"COMPRAS";#N/A,#N/A,TRUE,"DIRECCION";#N/A,#N/A,TRUE,"RESUMEN"}</definedName>
    <definedName name="EWW" hidden="1">{#N/A,#N/A,TRUE,"INGENIERIA";#N/A,#N/A,TRUE,"COMPRAS";#N/A,#N/A,TRUE,"DIRECCION";#N/A,#N/A,TRUE,"RESUMEN"}</definedName>
    <definedName name="EX" hidden="1">#REF!</definedName>
    <definedName name="EX_1" hidden="1">#REF!</definedName>
    <definedName name="EXC">#REF!</definedName>
    <definedName name="EXCAV_1">#REF!</definedName>
    <definedName name="EXCAV_2">#REF!</definedName>
    <definedName name="EXCAVACION">[40]APU!$G$114</definedName>
    <definedName name="EXCAVACIONMANUAL">#REF!</definedName>
    <definedName name="excavacionmaquina">#REF!</definedName>
    <definedName name="EXCAVACIONPARQUEOS">#REF!</definedName>
    <definedName name="exCEL">#REF!</definedName>
    <definedName name="Excel_BuiltIn__FilterDatabase_2">'[145]Presup Av 1o de mayo con 73a '!$A$17:$N$110</definedName>
    <definedName name="Excel_BuiltIn_Print_Area">#REF!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3">#REF!</definedName>
    <definedName name="Excel_BuiltIn_Print_Area_3_X">#REF!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[47]SKJ452!#REF!</definedName>
    <definedName name="Excel_BuiltIn_Print_Titles_11">[47]ITA878!#REF!</definedName>
    <definedName name="Excel_BuiltIn_Print_Titles_12">'[47]AEA-944'!#REF!</definedName>
    <definedName name="Excel_BuiltIn_Print_Titles_13">'[47]DUB-823'!#REF!</definedName>
    <definedName name="Excel_BuiltIn_Print_Titles_14">'[47]GPI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[47]XXJ617!#REF!</definedName>
    <definedName name="Excel_BuiltIn_Print_Titles_20">#REF!</definedName>
    <definedName name="Excel_BuiltIn_Print_Titles_21">[47]SNG_855!#REF!</definedName>
    <definedName name="Excel_BuiltIn_Print_Titles_23">#REF!</definedName>
    <definedName name="Excel_BuiltIn_Print_Titles_3">#REF!</definedName>
    <definedName name="Excel_BuiltIn_Print_Titles_4">'[146]COSTOS CAMPAMENTO'!#REF!</definedName>
    <definedName name="Excel_BuiltIn_Print_Titles_5">'[47]VEA 374'!#REF!</definedName>
    <definedName name="Excel_BuiltIn_Print_Titles_5_XX">'[47]VEA 374'!#REF!</definedName>
    <definedName name="Excel_BuiltIn_Print_Titles_6">#REF!</definedName>
    <definedName name="Excel_BuiltIn_Print_Titles_7">[47]HFB024!#REF!</definedName>
    <definedName name="Excel_BuiltIn_Print_Titles_8">#REF!</definedName>
    <definedName name="Excel_BuiltIn_Print_Titles_9">[47]PAJ825!#REF!</definedName>
    <definedName name="EXCROC">'[147]Análisis de precios'!$H$52</definedName>
    <definedName name="ExtensionCoordinador">#REF!</definedName>
    <definedName name="Extra_Pay">#REF!</definedName>
    <definedName name="Extracción_IM">#REF!</definedName>
    <definedName name="Extras">'[80]LIQUIDA-NOMINA'!$AH$4</definedName>
    <definedName name="F._INGRESO">#REF!</definedName>
    <definedName name="F._RETIRO">#REF!</definedName>
    <definedName name="F.L">#REF!</definedName>
    <definedName name="f_INSTAC_AIRE_ACONDICIONADO">#REF!</definedName>
    <definedName name="f_INSTAC_ELECTRICAS_TELEF">#REF!</definedName>
    <definedName name="f_INSTALA_GAS">#REF!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a">#REF!</definedName>
    <definedName name="FABI" localSheetId="8">Scheduled_Payment+Extra_Payment</definedName>
    <definedName name="FABI" localSheetId="7">Scheduled_Payment+Extra_Payment</definedName>
    <definedName name="FABI" localSheetId="5">Scheduled_Payment+Extra_Payment</definedName>
    <definedName name="FABI" localSheetId="2">Scheduled_Payment+Extra_Payment</definedName>
    <definedName name="FABI" localSheetId="1">Scheduled_Payment+Extra_Payment</definedName>
    <definedName name="FABI" localSheetId="0">Scheduled_Payment+Extra_Payment</definedName>
    <definedName name="FABI" localSheetId="4">Scheduled_Payment+Extra_Payment</definedName>
    <definedName name="FABI">Scheduled_Payment+Extra_Payment</definedName>
    <definedName name="FABIAN">#N/A</definedName>
    <definedName name="FAC" hidden="1">#REF!</definedName>
    <definedName name="FacConv">[148]CálculoTarifasMR!$M$1</definedName>
    <definedName name="Facilidades">#REF!</definedName>
    <definedName name="factor">#REF!</definedName>
    <definedName name="FACTOR1">[149]factor!$D$4</definedName>
    <definedName name="FACTOR2">#REF!</definedName>
    <definedName name="FACTOR3">[149]factor!$D$6</definedName>
    <definedName name="FactorCostoPotencia">[112]Modelo!#REF!</definedName>
    <definedName name="FACTORE">'[131]PPTO REDUCIDO'!$H$2</definedName>
    <definedName name="FACTORH">'[131]PPTO REDUCIDO'!$G$2</definedName>
    <definedName name="FactorMultFinal">#REF!</definedName>
    <definedName name="FactorMultiplicaCalculado">#REF!</definedName>
    <definedName name="FACTURADO">'[150]Itemes Renovación'!#REF!</definedName>
    <definedName name="FAFZCZ">#REF!</definedName>
    <definedName name="FareWellStmnt" localSheetId="8">[95]!FareWellStmnt</definedName>
    <definedName name="FareWellStmnt" localSheetId="7">[95]!FareWellStmnt</definedName>
    <definedName name="FareWellStmnt" localSheetId="5">[95]!FareWellStmnt</definedName>
    <definedName name="FareWellStmnt" localSheetId="1">[95]!FareWellStmnt</definedName>
    <definedName name="FareWellStmnt" localSheetId="0">[95]!FareWellStmnt</definedName>
    <definedName name="FareWellStmnt" localSheetId="4">[95]!FareWellStmnt</definedName>
    <definedName name="FareWellStmnt">[95]!FareWellStmnt</definedName>
    <definedName name="FaseProyecto">#REF!</definedName>
    <definedName name="FAVIGEL_25_KG">#REF!</definedName>
    <definedName name="fb">#REF!</definedName>
    <definedName name="FD" localSheetId="2">'MC 1'!ERR</definedName>
    <definedName name="FD" localSheetId="1">'MC 2-3-4'!ERR</definedName>
    <definedName name="FD" localSheetId="0">'MC 5'!ERR</definedName>
    <definedName name="FD">[0]!ERR</definedName>
    <definedName name="fda" localSheetId="2" hidden="1">{"TAB1",#N/A,TRUE,"GENERAL";"TAB2",#N/A,TRUE,"GENERAL";"TAB3",#N/A,TRUE,"GENERAL";"TAB4",#N/A,TRUE,"GENERAL";"TAB5",#N/A,TRUE,"GENERAL"}</definedName>
    <definedName name="fda" localSheetId="1" hidden="1">{"TAB1",#N/A,TRUE,"GENERAL";"TAB2",#N/A,TRUE,"GENERAL";"TAB3",#N/A,TRUE,"GENERAL";"TAB4",#N/A,TRUE,"GENERAL";"TAB5",#N/A,TRUE,"GENERAL"}</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adsfa" localSheetId="2" hidden="1">{"PRES REHAB ARM-PER POR ITEMS  KM A KM",#N/A,TRUE,"Rehabilitacion Arm-Per"}</definedName>
    <definedName name="fdadsfa" localSheetId="1" hidden="1">{"PRES REHAB ARM-PER POR ITEMS  KM A KM",#N/A,TRUE,"Rehabilitacion Arm-Per"}</definedName>
    <definedName name="fdadsfa" localSheetId="0" hidden="1">{"PRES REHAB ARM-PER POR ITEMS  KM A KM",#N/A,TRUE,"Rehabilitacion Arm-Per"}</definedName>
    <definedName name="fdadsfa" hidden="1">{"PRES REHAB ARM-PER POR ITEMS  KM A KM",#N/A,TRUE,"Rehabilitacion Arm-Per"}</definedName>
    <definedName name="fdadsfa_1" localSheetId="2" hidden="1">{"PRES REHAB ARM-PER POR ITEMS  KM A KM",#N/A,TRUE,"Rehabilitacion Arm-Per"}</definedName>
    <definedName name="fdadsfa_1" localSheetId="1" hidden="1">{"PRES REHAB ARM-PER POR ITEMS  KM A KM",#N/A,TRUE,"Rehabilitacion Arm-Per"}</definedName>
    <definedName name="fdadsfa_1" localSheetId="0" hidden="1">{"PRES REHAB ARM-PER POR ITEMS  KM A KM",#N/A,TRUE,"Rehabilitacion Arm-Per"}</definedName>
    <definedName name="fdadsfa_1" hidden="1">{"PRES REHAB ARM-PER POR ITEMS  KM A KM",#N/A,TRUE,"Rehabilitacion Arm-Per"}</definedName>
    <definedName name="fdadsfa_1_1" localSheetId="2" hidden="1">{"PRES REHAB ARM-PER POR ITEMS  KM A KM",#N/A,TRUE,"Rehabilitacion Arm-Per"}</definedName>
    <definedName name="fdadsfa_1_1" localSheetId="1" hidden="1">{"PRES REHAB ARM-PER POR ITEMS  KM A KM",#N/A,TRUE,"Rehabilitacion Arm-Per"}</definedName>
    <definedName name="fdadsfa_1_1" localSheetId="0" hidden="1">{"PRES REHAB ARM-PER POR ITEMS  KM A KM",#N/A,TRUE,"Rehabilitacion Arm-Per"}</definedName>
    <definedName name="fdadsfa_1_1" hidden="1">{"PRES REHAB ARM-PER POR ITEMS  KM A KM",#N/A,TRUE,"Rehabilitacion Arm-Per"}</definedName>
    <definedName name="fdbjp" localSheetId="2" hidden="1">{"TAB1",#N/A,TRUE,"GENERAL";"TAB2",#N/A,TRUE,"GENERAL";"TAB3",#N/A,TRUE,"GENERAL";"TAB4",#N/A,TRUE,"GENERAL";"TAB5",#N/A,TRUE,"GENERAL"}</definedName>
    <definedName name="fdbjp" localSheetId="1"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D">#REF!</definedName>
    <definedName name="fdf" localSheetId="2" hidden="1">{"TAB1",#N/A,TRUE,"GENERAL";"TAB2",#N/A,TRUE,"GENERAL";"TAB3",#N/A,TRUE,"GENERAL";"TAB4",#N/A,TRUE,"GENERAL";"TAB5",#N/A,TRUE,"GENERAL"}</definedName>
    <definedName name="fdf" localSheetId="1"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localSheetId="1"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ASDFASD">#REF!</definedName>
    <definedName name="FDGD" localSheetId="2" hidden="1">{"TAB1",#N/A,TRUE,"GENERAL";"TAB2",#N/A,TRUE,"GENERAL";"TAB3",#N/A,TRUE,"GENERAL";"TAB4",#N/A,TRUE,"GENERAL";"TAB5",#N/A,TRUE,"GENERAL"}</definedName>
    <definedName name="FDGD" localSheetId="1"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localSheetId="1"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localSheetId="1"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localSheetId="1"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localSheetId="1"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localSheetId="1"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localSheetId="1"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B">#REF!</definedName>
    <definedName name="FECH">[63]DATOS!$D$6</definedName>
    <definedName name="Fecha">[151]Tablas!$B$1:$B$65536</definedName>
    <definedName name="FECHA_2">#REF!</definedName>
    <definedName name="FechaInicio">[80]CONTRATO!$E$10</definedName>
    <definedName name="FechaTermina">[80]CONTRATO!$E$11</definedName>
    <definedName name="FechaTerminacion">#REF!</definedName>
    <definedName name="fer">'[75]Res-Accide-10'!#REF!</definedName>
    <definedName name="ferfer" localSheetId="2" hidden="1">{"via1",#N/A,TRUE,"general";"via2",#N/A,TRUE,"general";"via3",#N/A,TRUE,"general"}</definedName>
    <definedName name="ferfer" localSheetId="1"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estivos">'[152]días habiles 2015'!$D$2:$D$21</definedName>
    <definedName name="FEWF">#REF!</definedName>
    <definedName name="ff" localSheetId="2">'MC 1'!ERR</definedName>
    <definedName name="ff" localSheetId="1">'MC 2-3-4'!ERR</definedName>
    <definedName name="ff" localSheetId="0">'MC 5'!ERR</definedName>
    <definedName name="ff">[0]!ERR</definedName>
    <definedName name="ff_1">"[0]!err"</definedName>
    <definedName name="FFEW">#REF!</definedName>
    <definedName name="fff" localSheetId="2" hidden="1">{"via1",#N/A,TRUE,"general";"via2",#N/A,TRUE,"general";"via3",#N/A,TRUE,"general"}</definedName>
    <definedName name="fff" localSheetId="1"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localSheetId="1"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'[153]Base Datos'!$B$29</definedName>
    <definedName name="fffffft" localSheetId="2" hidden="1">{"TAB1",#N/A,TRUE,"GENERAL";"TAB2",#N/A,TRUE,"GENERAL";"TAB3",#N/A,TRUE,"GENERAL";"TAB4",#N/A,TRUE,"GENERAL";"TAB5",#N/A,TRUE,"GENERAL"}</definedName>
    <definedName name="fffffft" localSheetId="1"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localSheetId="1"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localSheetId="1"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localSheetId="1"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FG">#REF!</definedName>
    <definedName name="fg" localSheetId="2">'MC 1'!ERR</definedName>
    <definedName name="fg" localSheetId="1">'MC 2-3-4'!ERR</definedName>
    <definedName name="fg" localSheetId="0">'MC 5'!ERR</definedName>
    <definedName name="fg">[0]!ERR</definedName>
    <definedName name="fg_1">"[0]!err"</definedName>
    <definedName name="fgdfg" localSheetId="2" hidden="1">{"TAB1",#N/A,TRUE,"GENERAL";"TAB2",#N/A,TRUE,"GENERAL";"TAB3",#N/A,TRUE,"GENERAL";"TAB4",#N/A,TRUE,"GENERAL";"TAB5",#N/A,TRUE,"GENERAL"}</definedName>
    <definedName name="fgdfg" localSheetId="1"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localSheetId="1"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G">#REF!</definedName>
    <definedName name="fgdsfg" localSheetId="2" hidden="1">{"TAB1",#N/A,TRUE,"GENERAL";"TAB2",#N/A,TRUE,"GENERAL";"TAB3",#N/A,TRUE,"GENERAL";"TAB4",#N/A,TRUE,"GENERAL";"TAB5",#N/A,TRUE,"GENERAL"}</definedName>
    <definedName name="fgdsfg" localSheetId="1"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ERTG" hidden="1">#REF!</definedName>
    <definedName name="FGF">#REF!</definedName>
    <definedName name="FGFDG">#REF!</definedName>
    <definedName name="FGFDH" localSheetId="2" hidden="1">{"via1",#N/A,TRUE,"general";"via2",#N/A,TRUE,"general";"via3",#N/A,TRUE,"general"}</definedName>
    <definedName name="FGFDH" localSheetId="1"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localSheetId="1"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'[154]7422CW00'!#REF!</definedName>
    <definedName name="FGHFBC" localSheetId="2" hidden="1">{"via1",#N/A,TRUE,"general";"via2",#N/A,TRUE,"general";"via3",#N/A,TRUE,"general"}</definedName>
    <definedName name="FGHFBC" localSheetId="1"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localSheetId="1"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localSheetId="1"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localSheetId="1"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localSheetId="1"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J">#REF!</definedName>
    <definedName name="fghsfgh" localSheetId="2" hidden="1">{"via1",#N/A,TRUE,"general";"via2",#N/A,TRUE,"general";"via3",#N/A,TRUE,"general"}</definedName>
    <definedName name="fghsfgh" localSheetId="1"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localSheetId="1"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#REF!</definedName>
    <definedName name="fgjgryi" localSheetId="2"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localSheetId="2" hidden="1">{"TAB1",#N/A,TRUE,"GENERAL";"TAB2",#N/A,TRUE,"GENERAL";"TAB3",#N/A,TRUE,"GENERAL";"TAB4",#N/A,TRUE,"GENERAL";"TAB5",#N/A,TRUE,"GENERAL"}</definedName>
    <definedName name="fhfg" localSheetId="1"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localSheetId="1"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 localSheetId="2" hidden="1">{#N/A,#N/A,TRUE,"1842CWN0"}</definedName>
    <definedName name="fhg" localSheetId="1" hidden="1">{#N/A,#N/A,TRUE,"1842CWN0"}</definedName>
    <definedName name="fhg" localSheetId="0" hidden="1">{#N/A,#N/A,TRUE,"1842CWN0"}</definedName>
    <definedName name="fhg" hidden="1">{#N/A,#N/A,TRUE,"1842CWN0"}</definedName>
    <definedName name="fhgh" localSheetId="2" hidden="1">{"via1",#N/A,TRUE,"general";"via2",#N/A,TRUE,"general";"via3",#N/A,TRUE,"general"}</definedName>
    <definedName name="fhgh" localSheetId="1"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localSheetId="1"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i">#REF!</definedName>
    <definedName name="FIBER">#REF!</definedName>
    <definedName name="FIC">#REF!</definedName>
    <definedName name="Fil_Fechas">#REF!</definedName>
    <definedName name="fill1" hidden="1">#REF!</definedName>
    <definedName name="FILOS">[91]APU!#REF!</definedName>
    <definedName name="filtro">35000</definedName>
    <definedName name="FILTROS">#REF!</definedName>
    <definedName name="Fin_de_semana">'[152]días habiles 2015'!$M$1:$M$2</definedName>
    <definedName name="FINANCIACION" localSheetId="2">'MC 1'!ERR</definedName>
    <definedName name="FINANCIACION" localSheetId="1">'MC 2-3-4'!ERR</definedName>
    <definedName name="FINANCIACION" localSheetId="0">'MC 5'!ERR</definedName>
    <definedName name="FINANCIACION">[0]!ERR</definedName>
    <definedName name="FINANCIACION_1">"[0]!err"</definedName>
    <definedName name="FinePrint" localSheetId="8">[95]!FinePrint</definedName>
    <definedName name="FinePrint" localSheetId="7">[95]!FinePrint</definedName>
    <definedName name="FinePrint" localSheetId="5">[95]!FinePrint</definedName>
    <definedName name="FinePrint" localSheetId="1">[95]!FinePrint</definedName>
    <definedName name="FinePrint" localSheetId="0">[95]!FinePrint</definedName>
    <definedName name="FinePrint" localSheetId="4">[95]!FinePrint</definedName>
    <definedName name="FinePrint">[95]!FinePrint</definedName>
    <definedName name="FinPpto">#REF!</definedName>
    <definedName name="FinPpto2">#REF!</definedName>
    <definedName name="fitro">40000</definedName>
    <definedName name="fk">#REF!</definedName>
    <definedName name="flq">#REF!</definedName>
    <definedName name="FlsSumDetail">#REF!</definedName>
    <definedName name="FlsSumHeading">#REF!</definedName>
    <definedName name="FlsTotDetail">#REF!</definedName>
    <definedName name="FlsTotHeading">#REF!</definedName>
    <definedName name="Fluid">'[155]Actual Data (MAP)'!$E$1:$F$8</definedName>
    <definedName name="FLUJ">#REF!</definedName>
    <definedName name="FLUJO">#REF!</definedName>
    <definedName name="FM">1.18</definedName>
    <definedName name="fnic">[104]Hoja1!$C$13</definedName>
    <definedName name="FO">1.32</definedName>
    <definedName name="FOR">#REF!</definedName>
    <definedName name="FORDESCR">'[4]7422CW00'!#REF!</definedName>
    <definedName name="FORM_C3">[156]Hoja1!$A$33:$N$51</definedName>
    <definedName name="forma">2000</definedName>
    <definedName name="FORMALETA">[62]Materiales!$F$37</definedName>
    <definedName name="Formaleta_en_madera">#REF!</definedName>
    <definedName name="FORMALETA_METALICA_CERCHAS_Y_TACOS">#REF!</definedName>
    <definedName name="Formaleta_metalica_para_bordillo">#REF!</definedName>
    <definedName name="FORMALETAM2">#REF!</definedName>
    <definedName name="Format">#REF!</definedName>
    <definedName name="FormLinPresup">#REF!</definedName>
    <definedName name="FORMOLT">'[4]7422CW00'!#REF!</definedName>
    <definedName name="FORMUL">#REF!</definedName>
    <definedName name="FORMULARIO" hidden="1">#REF!</definedName>
    <definedName name="formularioCantidades">#REF!</definedName>
    <definedName name="FORSHE">'[4]7422CW00'!#REF!</definedName>
    <definedName name="FORUNMIS">'[4]7422CW00'!#REF!</definedName>
    <definedName name="FOTOCELDA">#REF!</definedName>
    <definedName name="FOTOCONTROL__BREAK_BASE_FOTOCELDA_CAJA_CONT.">#REF!</definedName>
    <definedName name="FP">[99]FP!$H$38</definedName>
    <definedName name="FPMAS2">#REF!</definedName>
    <definedName name="FPMENOS2">#REF!</definedName>
    <definedName name="FR">1.15</definedName>
    <definedName name="frbgsd" localSheetId="2" hidden="1">{"TAB1",#N/A,TRUE,"GENERAL";"TAB2",#N/A,TRUE,"GENERAL";"TAB3",#N/A,TRUE,"GENERAL";"TAB4",#N/A,TRUE,"GENERAL";"TAB5",#N/A,TRUE,"GENERAL"}</definedName>
    <definedName name="frbgsd" localSheetId="1"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D">#REF!</definedName>
    <definedName name="FREDD">#REF!</definedName>
    <definedName name="FREDDD">#REF!</definedName>
    <definedName name="frefr" localSheetId="2" hidden="1">{"via1",#N/A,TRUE,"general";"via2",#N/A,TRUE,"general";"via3",#N/A,TRUE,"general"}</definedName>
    <definedName name="frefr" localSheetId="1"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localSheetId="1"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localSheetId="1"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tb">#REF!</definedName>
    <definedName name="fu" localSheetId="2">'MC 1'!ERR</definedName>
    <definedName name="fu" localSheetId="1">'MC 2-3-4'!ERR</definedName>
    <definedName name="fu" localSheetId="0">'MC 5'!ERR</definedName>
    <definedName name="fu">[0]!ERR</definedName>
    <definedName name="fu_1">"[0]!err"</definedName>
    <definedName name="fuente">#REF!</definedName>
    <definedName name="Full_Print">#REF!</definedName>
    <definedName name="FUMIGADORA">#REF!</definedName>
    <definedName name="FUSILERA_5_AMPERIOS_X_3_SECCIONES">#REF!</definedName>
    <definedName name="fv">#REF!</definedName>
    <definedName name="fwff" localSheetId="2" hidden="1">{"via1",#N/A,TRUE,"general";"via2",#N/A,TRUE,"general";"via3",#N/A,TRUE,"general"}</definedName>
    <definedName name="fwff" localSheetId="1"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localSheetId="1"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FXDF">#REF!</definedName>
    <definedName name="fy">#REF!</definedName>
    <definedName name="G">#REF!</definedName>
    <definedName name="G.Eg">#REF!</definedName>
    <definedName name="G.Em">#REF!</definedName>
    <definedName name="G.Eo">#REF!</definedName>
    <definedName name="G.Ew">#REF!</definedName>
    <definedName name="G_C1">[21]Tablas!#REF!</definedName>
    <definedName name="G_C10">[21]Tablas!#REF!</definedName>
    <definedName name="G_C11">[21]Tablas!#REF!</definedName>
    <definedName name="G_C12">[21]Tablas!#REF!</definedName>
    <definedName name="G_C13">[21]Tablas!#REF!</definedName>
    <definedName name="G_C14">[21]Tablas!#REF!</definedName>
    <definedName name="G_C15">[21]Tablas!#REF!</definedName>
    <definedName name="G_C16">[21]Tablas!#REF!</definedName>
    <definedName name="G_C17">[21]Tablas!#REF!</definedName>
    <definedName name="G_C18">[21]Tablas!#REF!</definedName>
    <definedName name="G_C19">[21]Tablas!#REF!</definedName>
    <definedName name="G_C2">[21]Tablas!#REF!</definedName>
    <definedName name="G_C20">[21]Tablas!#REF!</definedName>
    <definedName name="G_C21">[21]Tablas!#REF!</definedName>
    <definedName name="G_C22">[21]Tablas!#REF!</definedName>
    <definedName name="G_C3">[21]Tablas!#REF!</definedName>
    <definedName name="G_C4">[21]Tablas!#REF!</definedName>
    <definedName name="G_C5">[21]Tablas!#REF!</definedName>
    <definedName name="G_C6">[21]Tablas!#REF!</definedName>
    <definedName name="G_C7">[21]Tablas!#REF!</definedName>
    <definedName name="G_C8">[21]Tablas!#REF!</definedName>
    <definedName name="G_C9">[21]Tablas!#REF!</definedName>
    <definedName name="g_CARPINT_METALICA_MADERA">#REF!</definedName>
    <definedName name="G1_">#REF!</definedName>
    <definedName name="ga">#REF!</definedName>
    <definedName name="GABINETE">#REF!</definedName>
    <definedName name="GAJ">#REF!</definedName>
    <definedName name="GANCHO">#REF!</definedName>
    <definedName name="GANCHO_PARA_PLACA_ONDULADA">#REF!</definedName>
    <definedName name="GANCHO_PARA_SOPORTE_CANAL_AMAZONA">#REF!</definedName>
    <definedName name="GANCHOS">#REF!</definedName>
    <definedName name="GANCHOS_SOPORTE_CANAL_AMAZONA">#REF!</definedName>
    <definedName name="GanSumDetail">#REF!</definedName>
    <definedName name="GanSumHeading">#REF!</definedName>
    <definedName name="GanTotalDetail">#REF!</definedName>
    <definedName name="GanTotalHeading">#REF!</definedName>
    <definedName name="GAS">[21]Tablas!#REF!</definedName>
    <definedName name="GastosViajes">#REF!</definedName>
    <definedName name="gb">#REF!</definedName>
    <definedName name="gba" localSheetId="2" hidden="1">{#N/A,#N/A,FALSE,"orthoflow";#N/A,#N/A,FALSE,"Miscelaneos";#N/A,#N/A,FALSE,"Instrumentacio";#N/A,#N/A,FALSE,"Electrico";#N/A,#N/A,FALSE,"Valv. Seguridad"}</definedName>
    <definedName name="gba" localSheetId="1" hidden="1">{#N/A,#N/A,FALSE,"orthoflow";#N/A,#N/A,FALSE,"Miscelaneos";#N/A,#N/A,FALSE,"Instrumentacio";#N/A,#N/A,FALSE,"Electrico";#N/A,#N/A,FALSE,"Valv. Seguridad"}</definedName>
    <definedName name="gba" localSheetId="0"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2" hidden="1">{#N/A,#N/A,FALSE,"Estatico";#N/A,#N/A,FALSE,"Tuberia";#N/A,#N/A,FALSE,"Instrumentación";#N/A,#N/A,FALSE,"Mecanica";#N/A,#N/A,FALSE,"Electrico";#N/A,#N/A,FALSE,"Ofic.Civiles"}</definedName>
    <definedName name="gbac" localSheetId="1" hidden="1">{#N/A,#N/A,FALSE,"Estatico";#N/A,#N/A,FALSE,"Tuberia";#N/A,#N/A,FALSE,"Instrumentación";#N/A,#N/A,FALSE,"Mecanica";#N/A,#N/A,FALSE,"Electrico";#N/A,#N/A,FALSE,"Ofic.Civiles"}</definedName>
    <definedName name="gbac" localSheetId="0"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localSheetId="1"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c">#REF!</definedName>
    <definedName name="GCB">[19]Tablas!#REF!</definedName>
    <definedName name="GCI">[21]Tablas!#REF!</definedName>
    <definedName name="GCN">[21]Tablas!#REF!</definedName>
    <definedName name="GCP">[21]Tablas!#REF!</definedName>
    <definedName name="gd">#REF!</definedName>
    <definedName name="GDBVBF" hidden="1">#REF!</definedName>
    <definedName name="gdj">#REF!</definedName>
    <definedName name="GDN">[21]Tablas!#REF!</definedName>
    <definedName name="GDR">[21]Tablas!#REF!</definedName>
    <definedName name="gdt" localSheetId="2" hidden="1">{"TAB1",#N/A,TRUE,"GENERAL";"TAB2",#N/A,TRUE,"GENERAL";"TAB3",#N/A,TRUE,"GENERAL";"TAB4",#N/A,TRUE,"GENERAL";"TAB5",#N/A,TRUE,"GENERAL"}</definedName>
    <definedName name="gdt" localSheetId="1"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#REF!</definedName>
    <definedName name="GEA">[21]Tablas!#REF!</definedName>
    <definedName name="GEA1_1">[21]Tablas!#REF!</definedName>
    <definedName name="GEA1_1_1">[21]Tablas!#REF!</definedName>
    <definedName name="GEA1_1_10">[21]Tablas!#REF!</definedName>
    <definedName name="GEA1_1_2">[21]Tablas!#REF!</definedName>
    <definedName name="GEA1_1_3">[21]Tablas!#REF!</definedName>
    <definedName name="GEA1_1_4">[21]Tablas!#REF!</definedName>
    <definedName name="GEA1_1_5">[21]Tablas!#REF!</definedName>
    <definedName name="GEA1_1_6">[21]Tablas!#REF!</definedName>
    <definedName name="GEA1_1_7">[21]Tablas!#REF!</definedName>
    <definedName name="GEA1_1_8">[21]Tablas!#REF!</definedName>
    <definedName name="GEA1_1_9">[21]Tablas!#REF!</definedName>
    <definedName name="GEA1_2">[21]Tablas!#REF!</definedName>
    <definedName name="GEA1_3">[21]Tablas!#REF!</definedName>
    <definedName name="GEA1_4">[21]Tablas!#REF!</definedName>
    <definedName name="GEC">[21]Tablas!#REF!</definedName>
    <definedName name="GEC_ON_DAPIAY">#REF!</definedName>
    <definedName name="GEC_ON_GER">#REF!</definedName>
    <definedName name="geg" localSheetId="2" hidden="1">{"via1",#N/A,TRUE,"general";"via2",#N/A,TRUE,"general";"via3",#N/A,TRUE,"general"}</definedName>
    <definedName name="geg" localSheetId="1"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NERAL">#REF!</definedName>
    <definedName name="GENERAL1">#REF!</definedName>
    <definedName name="GEODREN_CIRCULAR_100mm">#REF!</definedName>
    <definedName name="GEODREN_CIRCULAR_160mm">#REF!</definedName>
    <definedName name="GEODREN_CIRCULAR_200mm">#REF!</definedName>
    <definedName name="GEODREN_PLANAR">#REF!</definedName>
    <definedName name="GEOMALLA_LBO_202">#REF!</definedName>
    <definedName name="Geotex">#REF!</definedName>
    <definedName name="geotextil">2400</definedName>
    <definedName name="Geotextil_NT_2000">#REF!</definedName>
    <definedName name="GEOTEXTIL_PARA_ESTABILIZACION">#REF!</definedName>
    <definedName name="Geotextil_T_2400">#REF!</definedName>
    <definedName name="GERENCIA">#REF!</definedName>
    <definedName name="GERENCIA1">#REF!</definedName>
    <definedName name="GERENCIA2">#REF!</definedName>
    <definedName name="Gerente">[80]EMPRESA!$F$12</definedName>
    <definedName name="gerg" localSheetId="2" hidden="1">{"TAB1",#N/A,TRUE,"GENERAL";"TAB2",#N/A,TRUE,"GENERAL";"TAB3",#N/A,TRUE,"GENERAL";"TAB4",#N/A,TRUE,"GENERAL";"TAB5",#N/A,TRUE,"GENERAL"}</definedName>
    <definedName name="gerg" localSheetId="1"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localSheetId="1"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localSheetId="1"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localSheetId="1"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localSheetId="2" hidden="1">{"TAB1",#N/A,TRUE,"GENERAL";"TAB2",#N/A,TRUE,"GENERAL";"TAB3",#N/A,TRUE,"GENERAL";"TAB4",#N/A,TRUE,"GENERAL";"TAB5",#N/A,TRUE,"GENERAL"}</definedName>
    <definedName name="gfd" localSheetId="1"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localSheetId="1"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fgfhhf" localSheetId="2" hidden="1">{#N/A,#N/A,TRUE,"INGENIERIA";#N/A,#N/A,TRUE,"COMPRAS";#N/A,#N/A,TRUE,"DIRECCION";#N/A,#N/A,TRUE,"RESUMEN"}</definedName>
    <definedName name="gffgfhhf" localSheetId="1" hidden="1">{#N/A,#N/A,TRUE,"INGENIERIA";#N/A,#N/A,TRUE,"COMPRAS";#N/A,#N/A,TRUE,"DIRECCION";#N/A,#N/A,TRUE,"RESUMEN"}</definedName>
    <definedName name="gffgfhhf" localSheetId="0" hidden="1">{#N/A,#N/A,TRUE,"INGENIERIA";#N/A,#N/A,TRUE,"COMPRAS";#N/A,#N/A,TRUE,"DIRECCION";#N/A,#N/A,TRUE,"RESUMEN"}</definedName>
    <definedName name="gffgfhhf" hidden="1">{#N/A,#N/A,TRUE,"INGENIERIA";#N/A,#N/A,TRUE,"COMPRAS";#N/A,#N/A,TRUE,"DIRECCION";#N/A,#N/A,TRUE,"RESUMEN"}</definedName>
    <definedName name="GFG">#REF!</definedName>
    <definedName name="gfgfgr" localSheetId="2" hidden="1">{"via1",#N/A,TRUE,"general";"via2",#N/A,TRUE,"general";"via3",#N/A,TRUE,"general"}</definedName>
    <definedName name="gfgfgr" localSheetId="1"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localSheetId="1"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localSheetId="1"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localSheetId="1"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N">[21]Tablas!#REF!</definedName>
    <definedName name="gft">#REF!</definedName>
    <definedName name="gfutyj6" localSheetId="2" hidden="1">{"via1",#N/A,TRUE,"general";"via2",#N/A,TRUE,"general";"via3",#N/A,TRUE,"general"}</definedName>
    <definedName name="gfutyj6" localSheetId="1"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localSheetId="1" hidden="1">{"TAB1",#N/A,TRUE,"GENERAL";"TAB2",#N/A,TRUE,"GENERAL";"TAB3",#N/A,TRUE,"GENERAL";"TAB4",#N/A,TRUE,"GENERAL";"TAB5",#N/A,TRUE,"GENERAL"}</definedName>
    <definedName name="gg" localSheetId="0"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localSheetId="1"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localSheetId="1"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fdsgfd">#REF!</definedName>
    <definedName name="GGG" localSheetId="2">'MC 1'!ERR</definedName>
    <definedName name="GGG" localSheetId="1">'MC 2-3-4'!ERR</definedName>
    <definedName name="GGG" localSheetId="0">'MC 5'!ERR</definedName>
    <definedName name="GGG">[0]!ERR</definedName>
    <definedName name="GGG_1">"[0]!err"</definedName>
    <definedName name="gggb" localSheetId="2" hidden="1">{"TAB1",#N/A,TRUE,"GENERAL";"TAB2",#N/A,TRUE,"GENERAL";"TAB3",#N/A,TRUE,"GENERAL";"TAB4",#N/A,TRUE,"GENERAL";"TAB5",#N/A,TRUE,"GENERAL"}</definedName>
    <definedName name="gggb" localSheetId="1"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localSheetId="1"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localSheetId="1"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localSheetId="1"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localSheetId="1"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localSheetId="1"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localSheetId="1"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localSheetId="1"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jgjkg" localSheetId="2" hidden="1">{#N/A,#N/A,TRUE,"1842CWN0"}</definedName>
    <definedName name="ggjgjkg" localSheetId="1" hidden="1">{#N/A,#N/A,TRUE,"1842CWN0"}</definedName>
    <definedName name="ggjgjkg" localSheetId="0" hidden="1">{#N/A,#N/A,TRUE,"1842CWN0"}</definedName>
    <definedName name="ggjgjkg" hidden="1">{#N/A,#N/A,TRUE,"1842CWN0"}</definedName>
    <definedName name="ggtgt" localSheetId="2" hidden="1">{"via1",#N/A,TRUE,"general";"via2",#N/A,TRUE,"general";"via3",#N/A,TRUE,"general"}</definedName>
    <definedName name="ggtgt" localSheetId="1"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gy">#REF!,#REF!</definedName>
    <definedName name="gh">#REF!</definedName>
    <definedName name="ghdghuy" localSheetId="2" hidden="1">{"via1",#N/A,TRUE,"general";"via2",#N/A,TRUE,"general";"via3",#N/A,TRUE,"general"}</definedName>
    <definedName name="ghdghuy" localSheetId="1"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localSheetId="1"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DRR" hidden="1">#REF!</definedName>
    <definedName name="ghf">'[154]7422CW00'!#REF!</definedName>
    <definedName name="ghfg" localSheetId="2" hidden="1">{"via1",#N/A,TRUE,"general";"via2",#N/A,TRUE,"general";"via3",#N/A,TRUE,"general"}</definedName>
    <definedName name="ghfg" localSheetId="1"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gh">#REF!</definedName>
    <definedName name="GHGHJG">#REF!</definedName>
    <definedName name="ghghy">#REF!</definedName>
    <definedName name="ghhjhj">#REF!</definedName>
    <definedName name="ghjghj" localSheetId="2" hidden="1">{"TAB1",#N/A,TRUE,"GENERAL";"TAB2",#N/A,TRUE,"GENERAL";"TAB3",#N/A,TRUE,"GENERAL";"TAB4",#N/A,TRUE,"GENERAL";"TAB5",#N/A,TRUE,"GENERAL"}</definedName>
    <definedName name="ghjghj" localSheetId="1"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HLJK">#REF!</definedName>
    <definedName name="ghnbbfr" localSheetId="2" hidden="1">{#N/A,#N/A,TRUE,"1842CWN0"}</definedName>
    <definedName name="ghnbbfr" localSheetId="1" hidden="1">{#N/A,#N/A,TRUE,"1842CWN0"}</definedName>
    <definedName name="ghnbbfr" localSheetId="0" hidden="1">{#N/A,#N/A,TRUE,"1842CWN0"}</definedName>
    <definedName name="ghnbbfr" hidden="1">{#N/A,#N/A,TRUE,"1842CWN0"}</definedName>
    <definedName name="ghu">#REF!</definedName>
    <definedName name="Gi">#REF!</definedName>
    <definedName name="gj">#REF!</definedName>
    <definedName name="GJHVCB" localSheetId="2"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localSheetId="1" hidden="1">{"via1",#N/A,TRUE,"general";"via2",#N/A,TRUE,"general";"via3",#N/A,TRUE,"general"}</definedName>
    <definedName name="gk" localSheetId="0" hidden="1">{"via1",#N/A,TRUE,"general";"via2",#N/A,TRUE,"general";"via3",#N/A,TRUE,"general"}</definedName>
    <definedName name="gk" hidden="1">{"via1",#N/A,TRUE,"general";"via2",#N/A,TRUE,"general";"via3",#N/A,TRUE,"general"}</definedName>
    <definedName name="GKJDGDIJZ">"Imagen 3"</definedName>
    <definedName name="gl">#REF!</definedName>
    <definedName name="glgl" localSheetId="8">[138]!ERR</definedName>
    <definedName name="glgl" localSheetId="7">[138]!ERR</definedName>
    <definedName name="glgl" localSheetId="5">[138]!ERR</definedName>
    <definedName name="glgl" localSheetId="1">[138]!ERR</definedName>
    <definedName name="glgl" localSheetId="0">[138]!ERR</definedName>
    <definedName name="glgl" localSheetId="4">[138]!ERR</definedName>
    <definedName name="glgl">[138]!ERR</definedName>
    <definedName name="Global">#REF!</definedName>
    <definedName name="GMM_ON_ASO">[21]Tablas!#REF!</definedName>
    <definedName name="GMM_ON_DMARES">#REF!</definedName>
    <definedName name="GMM_ON_DRIO">#REF!</definedName>
    <definedName name="gmt">#REF!</definedName>
    <definedName name="gn">#REF!</definedName>
    <definedName name="gnm">#REF!</definedName>
    <definedName name="gñ">#REF!</definedName>
    <definedName name="GOR">#REF!</definedName>
    <definedName name="GOT">[21]Tablas!#REF!</definedName>
    <definedName name="gp">#REF!</definedName>
    <definedName name="GPO">[21]Tablas!#REF!</definedName>
    <definedName name="GPR">[21]Tablas!#REF!</definedName>
    <definedName name="_xlnm.Recorder">#REF!</definedName>
    <definedName name="GRAC">#REF!</definedName>
    <definedName name="GRAF1ANO" localSheetId="2" hidden="1">{"via1",#N/A,TRUE,"general";"via2",#N/A,TRUE,"general";"via3",#N/A,TRUE,"general"}</definedName>
    <definedName name="GRAF1ANO" localSheetId="1"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localSheetId="1"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ANITO">#REF!</definedName>
    <definedName name="GRANITO___2">#REF!</definedName>
    <definedName name="GRANITOVERDE">#REF!</definedName>
    <definedName name="GRANO">#REF!</definedName>
    <definedName name="GRANSON">[55]PRECIO.MAT!#REF!</definedName>
    <definedName name="granular">28000</definedName>
    <definedName name="Gravas">#REF!</definedName>
    <definedName name="Gravilla">#REF!</definedName>
    <definedName name="GRAVILLA_M3">#REF!</definedName>
    <definedName name="GRC">[21]Tablas!#REF!</definedName>
    <definedName name="GRC_ON_ASO">[21]Tablas!#REF!</definedName>
    <definedName name="GRC_ON_DAPIAY">#REF!</definedName>
    <definedName name="GRC_ON_GER">#REF!</definedName>
    <definedName name="gregds" localSheetId="2"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EY">#REF!</definedName>
    <definedName name="GRFEDS" hidden="1">#REF!</definedName>
    <definedName name="grggwero" localSheetId="2" hidden="1">{"via1",#N/A,TRUE,"general";"via2",#N/A,TRUE,"general";"via3",#N/A,TRUE,"general"}</definedName>
    <definedName name="grggwero" localSheetId="1"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iferia_lavamanos">#REF!</definedName>
    <definedName name="gris">#REF!</definedName>
    <definedName name="grl">#REF!</definedName>
    <definedName name="GRM">[21]Tablas!#REF!</definedName>
    <definedName name="GRM_ON_DMARES">#REF!</definedName>
    <definedName name="GRM_ON_DRIO">#REF!</definedName>
    <definedName name="GRN">[21]Tablas!#REF!</definedName>
    <definedName name="GRN_ON_ASO">[21]Tablas!#REF!</definedName>
    <definedName name="GRN_ON_DIREC">#REF!</definedName>
    <definedName name="GRS">[21]Tablas!#REF!</definedName>
    <definedName name="GRS_ON_ASO">[21]Tablas!#REF!</definedName>
    <definedName name="GRS_ON_DIREC">#REF!</definedName>
    <definedName name="GRS_ON_HUIL">#REF!</definedName>
    <definedName name="grtyerh" localSheetId="2" hidden="1">{"TAB1",#N/A,TRUE,"GENERAL";"TAB2",#N/A,TRUE,"GENERAL";"TAB3",#N/A,TRUE,"GENERAL";"TAB4",#N/A,TRUE,"GENERAL";"TAB5",#N/A,TRUE,"GENERAL"}</definedName>
    <definedName name="grtyerh" localSheetId="1"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[104]Hoja1!$F$6</definedName>
    <definedName name="grupo4">[104]Hoja1!$F$7</definedName>
    <definedName name="grupo5">[104]Hoja1!$F$10</definedName>
    <definedName name="grupo6">[104]Hoja1!$F$11</definedName>
    <definedName name="grupo7">[104]Hoja1!$F$12</definedName>
    <definedName name="grupo8">[104]Hoja1!$F$13</definedName>
    <definedName name="grupo9">[104]Hoja1!$F$14</definedName>
    <definedName name="GSDG" localSheetId="2" hidden="1">{"TAB1",#N/A,TRUE,"GENERAL";"TAB2",#N/A,TRUE,"GENERAL";"TAB3",#N/A,TRUE,"GENERAL";"TAB4",#N/A,TRUE,"GENERAL";"TAB5",#N/A,TRUE,"GENERAL"}</definedName>
    <definedName name="GSDG" localSheetId="1"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localSheetId="1"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[157]BASE!$C$4:$H$255</definedName>
    <definedName name="GTC">[21]Tablas!#REF!</definedName>
    <definedName name="GTE">[21]Tablas!#REF!</definedName>
    <definedName name="gtgt" localSheetId="2" hidden="1">{"via1",#N/A,TRUE,"general";"via2",#N/A,TRUE,"general";"via3",#N/A,TRUE,"general"}</definedName>
    <definedName name="gtgt" localSheetId="1"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localSheetId="1"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localSheetId="1"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localSheetId="1"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localSheetId="1"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O_ADMON">#REF!</definedName>
    <definedName name="GTO_INVEST">#REF!</definedName>
    <definedName name="GTO_OPERA">#REF!</definedName>
    <definedName name="GTP">[21]Tablas!#REF!</definedName>
    <definedName name="GTRE">#REF!</definedName>
    <definedName name="Guadaña">#REF!</definedName>
    <definedName name="GUADUA_2.5_m">#REF!</definedName>
    <definedName name="Guadua_L___3_mts_Dmin_12_cm">#REF!</definedName>
    <definedName name="guaimar">#REF!</definedName>
    <definedName name="guardaescoba">#REF!</definedName>
    <definedName name="Guardaescoba_cemento">#REF!</definedName>
    <definedName name="Gv">#REF!</definedName>
    <definedName name="Gw">#REF!</definedName>
    <definedName name="gy">#REF!</definedName>
    <definedName name="h">#REF!</definedName>
    <definedName name="h_PISOS_Y_PAVIMENTO">#REF!</definedName>
    <definedName name="H_pump">#REF!</definedName>
    <definedName name="h9h" localSheetId="2" hidden="1">{"via1",#N/A,TRUE,"general";"via2",#N/A,TRUE,"general";"via3",#N/A,TRUE,"general"}</definedName>
    <definedName name="h9h" localSheetId="1"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a">#REF!</definedName>
    <definedName name="hab___viv">#REF!</definedName>
    <definedName name="hayud">#REF!</definedName>
    <definedName name="Hazards">#REF!</definedName>
    <definedName name="Hb">#REF!</definedName>
    <definedName name="hbfdhrw" localSheetId="2" hidden="1">{"TAB1",#N/A,TRUE,"GENERAL";"TAB2",#N/A,TRUE,"GENERAL";"TAB3",#N/A,TRUE,"GENERAL";"TAB4",#N/A,TRUE,"GENERAL";"TAB5",#N/A,TRUE,"GENERAL"}</definedName>
    <definedName name="hbfdhrw" localSheetId="1"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camion">#REF!</definedName>
    <definedName name="HD.3">#REF!</definedName>
    <definedName name="HD.4">#REF!</definedName>
    <definedName name="hdfh" localSheetId="2" hidden="1">{"via1",#N/A,TRUE,"general";"via2",#N/A,TRUE,"general";"via3",#N/A,TRUE,"general"}</definedName>
    <definedName name="hdfh" localSheetId="1"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localSheetId="1"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localSheetId="1"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localSheetId="1"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BILLA_PARA_CINTA_BAND_IT_5_8">#REF!</definedName>
    <definedName name="HEBILLA_Y_CINTA_BAND_IT_3_4">#REF!</definedName>
    <definedName name="hed">[104]Datos!$D$8</definedName>
    <definedName name="hen">[104]Datos!$D$9</definedName>
    <definedName name="HERR">#REF!</definedName>
    <definedName name="HERRAMIENTA">#REF!</definedName>
    <definedName name="HERRAMIENTA_ELECTRICA">#REF!</definedName>
    <definedName name="HERRERO">#REF!</definedName>
    <definedName name="hfgh" localSheetId="2" hidden="1">{"via1",#N/A,TRUE,"general";"via2",#N/A,TRUE,"general";"via3",#N/A,TRUE,"general"}</definedName>
    <definedName name="hfgh" localSheetId="1"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localSheetId="1"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localSheetId="1"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localSheetId="1"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localSheetId="1"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localSheetId="1"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localSheetId="1"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localSheetId="1"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localSheetId="1"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localSheetId="1"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localSheetId="1"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localSheetId="1"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grua">#REF!</definedName>
    <definedName name="hgt">#REF!</definedName>
    <definedName name="hgu">#REF!</definedName>
    <definedName name="hh" localSheetId="2">'MC 1'!ERR</definedName>
    <definedName name="hh" localSheetId="1">'MC 2-3-4'!ERR</definedName>
    <definedName name="hh" localSheetId="0">'MC 5'!ERR</definedName>
    <definedName name="hh">[0]!ERR</definedName>
    <definedName name="hh_1">"[0]!err"</definedName>
    <definedName name="hhg" localSheetId="2" hidden="1">{#N/A,#N/A,TRUE,"1842CWN0"}</definedName>
    <definedName name="hhg" localSheetId="1" hidden="1">{#N/A,#N/A,TRUE,"1842CWN0"}</definedName>
    <definedName name="hhg" localSheetId="0" hidden="1">{#N/A,#N/A,TRUE,"1842CWN0"}</definedName>
    <definedName name="hhg" hidden="1">{#N/A,#N/A,TRUE,"1842CWN0"}</definedName>
    <definedName name="hhh" localSheetId="2" hidden="1">{"TAB1",#N/A,TRUE,"GENERAL";"TAB2",#N/A,TRUE,"GENERAL";"TAB3",#N/A,TRUE,"GENERAL";"TAB4",#N/A,TRUE,"GENERAL";"TAB5",#N/A,TRUE,"GENERAL"}</definedName>
    <definedName name="hhh" localSheetId="1"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localSheetId="1"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localSheetId="1"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localSheetId="1"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localSheetId="1"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localSheetId="1"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id">'[16]Interc de Hidr.'!$E$1:$E$65536</definedName>
    <definedName name="HIDE1">[87]steel!$F$7:$J$7</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DROSELLO_DE_CAUCHO_10_S8">[53]Materiales!#REF!</definedName>
    <definedName name="HIDROSELLO_DE_CAUCHO_12_S8">[53]Materiales!#REF!</definedName>
    <definedName name="HIDROSELLO_DE_CAUCHO_14_S8">[53]Materiales!#REF!</definedName>
    <definedName name="HIDROSELLO_DE_CAUCHO_16_S8">[53]Materiales!#REF!</definedName>
    <definedName name="HIDROSELLO_DE_CAUCHO_18_S8">[53]Materiales!#REF!</definedName>
    <definedName name="HIDROSELLO_DE_CAUCHO_20_S8">[53]Materiales!#REF!</definedName>
    <definedName name="HIDROSELLO_DE_CAUCHO_24_S4">[53]Materiales!#REF!</definedName>
    <definedName name="HIDROSELLO_DE_CAUCHO_27_S4">[53]Materiales!#REF!</definedName>
    <definedName name="HIDROSELLO_DE_CAUCHO_30_S4">[53]Materiales!#REF!</definedName>
    <definedName name="HIDROSELLO_DE_CAUCHO_6_S8">[53]Materiales!#REF!</definedName>
    <definedName name="HIDROSELLO_DE_CAUCHO_8_S8">[53]Materiales!#REF!</definedName>
    <definedName name="HIDROSELLO_S8">[53]Materiales!#REF!</definedName>
    <definedName name="HIERRO">'[54]PRECIO. MAT'!$C$18</definedName>
    <definedName name="hierro1">#REF!</definedName>
    <definedName name="hijo">'[50]Base Datos'!$B$228</definedName>
    <definedName name="HILO">'[54]PRECIO. MAT'!$C$12</definedName>
    <definedName name="HILOC">#REF!</definedName>
    <definedName name="hing">#REF!</definedName>
    <definedName name="hj">#REF!</definedName>
    <definedName name="hjfg" localSheetId="2" hidden="1">{"via1",#N/A,TRUE,"general";"via2",#N/A,TRUE,"general";"via3",#N/A,TRUE,"general"}</definedName>
    <definedName name="hjfg" localSheetId="1"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localSheetId="1"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localSheetId="1"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localSheetId="2" hidden="1">{"via1",#N/A,TRUE,"general";"via2",#N/A,TRUE,"general";"via3",#N/A,TRUE,"general"}</definedName>
    <definedName name="HJKH" localSheetId="1"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localSheetId="1"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K" localSheetId="2">'MC 1'!ERR</definedName>
    <definedName name="HK" localSheetId="1">'MC 2-3-4'!ERR</definedName>
    <definedName name="HK" localSheetId="0">'MC 5'!ERR</definedName>
    <definedName name="HK">[0]!ERR</definedName>
    <definedName name="hl">#REF!</definedName>
    <definedName name="HM">#REF!</definedName>
    <definedName name="hmont">#REF!</definedName>
    <definedName name="hn" localSheetId="2" hidden="1">{"TAB1",#N/A,TRUE,"GENERAL";"TAB2",#N/A,TRUE,"GENERAL";"TAB3",#N/A,TRUE,"GENERAL";"TAB4",#N/A,TRUE,"GENERAL";"TAB5",#N/A,TRUE,"GENERAL"}</definedName>
    <definedName name="hn" localSheetId="1"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nt">#REF!</definedName>
    <definedName name="HOJA" localSheetId="8">DATE(YEAR([158]!Loan_Start),MONTH([158]!Loan_Start)+Payment_Number,DAY([158]!Loan_Start))</definedName>
    <definedName name="HOJA" localSheetId="7">DATE(YEAR([158]!Loan_Start),MONTH([158]!Loan_Start)+Payment_Number,DAY([158]!Loan_Start))</definedName>
    <definedName name="HOJA" localSheetId="5">DATE(YEAR([158]!Loan_Start),MONTH([158]!Loan_Start)+Payment_Number,DAY([158]!Loan_Start))</definedName>
    <definedName name="HOJA" localSheetId="2">DATE(YEAR([158]!Loan_Start),MONTH([158]!Loan_Start)+Payment_Number,DAY([158]!Loan_Start))</definedName>
    <definedName name="HOJA" localSheetId="1">DATE(YEAR([158]!Loan_Start),MONTH([158]!Loan_Start)+Payment_Number,DAY([158]!Loan_Start))</definedName>
    <definedName name="HOJA" localSheetId="0">DATE(YEAR([158]!Loan_Start),MONTH([158]!Loan_Start)+Payment_Number,DAY([158]!Loan_Start))</definedName>
    <definedName name="HOJA" localSheetId="4">DATE(YEAR([158]!Loan_Start),MONTH([158]!Loan_Start)+Payment_Number,DAY([158]!Loan_Start))</definedName>
    <definedName name="HOJA">DATE(YEAR([158]!Loan_Start),MONTH([158]!Loan_Start)+Payment_Number,DAY([158]!Loan_Start))</definedName>
    <definedName name="Hoja__1__de__3">#REF!</definedName>
    <definedName name="HOJA1">#REF!</definedName>
    <definedName name="HOJA444" localSheetId="8">DATE(YEAR([158]!Loan_Start),MONTH([158]!Loan_Start)+Payment_Number,DAY([158]!Loan_Start))</definedName>
    <definedName name="HOJA444" localSheetId="7">DATE(YEAR([158]!Loan_Start),MONTH([158]!Loan_Start)+Payment_Number,DAY([158]!Loan_Start))</definedName>
    <definedName name="HOJA444" localSheetId="5">DATE(YEAR([158]!Loan_Start),MONTH([158]!Loan_Start)+Payment_Number,DAY([158]!Loan_Start))</definedName>
    <definedName name="HOJA444" localSheetId="2">DATE(YEAR([158]!Loan_Start),MONTH([158]!Loan_Start)+Payment_Number,DAY([158]!Loan_Start))</definedName>
    <definedName name="HOJA444" localSheetId="1">DATE(YEAR([158]!Loan_Start),MONTH([158]!Loan_Start)+Payment_Number,DAY([158]!Loan_Start))</definedName>
    <definedName name="HOJA444" localSheetId="0">DATE(YEAR([158]!Loan_Start),MONTH([158]!Loan_Start)+Payment_Number,DAY([158]!Loan_Start))</definedName>
    <definedName name="HOJA444" localSheetId="4">DATE(YEAR([158]!Loan_Start),MONTH([158]!Loan_Start)+Payment_Number,DAY([158]!Loan_Start))</definedName>
    <definedName name="HOJA444">DATE(YEAR([158]!Loan_Start),MONTH([158]!Loan_Start)+Payment_Number,DAY([158]!Loan_Start))</definedName>
    <definedName name="HOJA56">#REF!</definedName>
    <definedName name="HOJACEGUETA">'[54]PRECIO. MAT'!#REF!</definedName>
    <definedName name="HonoraProfesionales">#REF!</definedName>
    <definedName name="HonoraTecnicos">#REF!</definedName>
    <definedName name="HOR.EQ">#REF!</definedName>
    <definedName name="HORAS">#REF!</definedName>
    <definedName name="horat">'[16]Itemes Renovación'!#REF!</definedName>
    <definedName name="HOREQ">#REF!</definedName>
    <definedName name="Hornos">#REF!</definedName>
    <definedName name="hoy" hidden="1">#REF!</definedName>
    <definedName name="HOYO">#REF!</definedName>
    <definedName name="HOYOO">#REF!</definedName>
    <definedName name="HOYOOO">#REF!</definedName>
    <definedName name="hp">#REF!</definedName>
    <definedName name="HP_stg_Hz">#REF!</definedName>
    <definedName name="hqi">#REF!</definedName>
    <definedName name="hreer" localSheetId="2" hidden="1">{"TAB1",#N/A,TRUE,"GENERAL";"TAB2",#N/A,TRUE,"GENERAL";"TAB3",#N/A,TRUE,"GENERAL";"TAB4",#N/A,TRUE,"GENERAL";"TAB5",#N/A,TRUE,"GENERAL"}</definedName>
    <definedName name="hreer" localSheetId="1"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localSheetId="1"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n">[104]Datos!$D$7</definedName>
    <definedName name="hrthtrh" localSheetId="2"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localSheetId="1"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sup">#REF!</definedName>
    <definedName name="ht">#REF!</definedName>
    <definedName name="HTAS">#REF!</definedName>
    <definedName name="HTAS1">#REF!</definedName>
    <definedName name="htecn">#REF!</definedName>
    <definedName name="hthdrf" localSheetId="2" hidden="1">{"TAB1",#N/A,TRUE,"GENERAL";"TAB2",#N/A,TRUE,"GENERAL";"TAB3",#N/A,TRUE,"GENERAL";"TAB4",#N/A,TRUE,"GENERAL";"TAB5",#N/A,TRUE,"GENERAL"}</definedName>
    <definedName name="hthdrf" localSheetId="1"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ML_CodePage" hidden="1">1252</definedName>
    <definedName name="HTML_Control" localSheetId="2" hidden="1">{"'A'!$A$1:$L$120"}</definedName>
    <definedName name="HTML_Control" localSheetId="1" hidden="1">{"'A'!$A$1:$L$120"}</definedName>
    <definedName name="HTML_Control" localSheetId="0" hidden="1">{"'A'!$A$1:$L$120"}</definedName>
    <definedName name="HTML_Control" hidden="1">{"'A'!$A$1:$L$120"}</definedName>
    <definedName name="HTML_Control_1" localSheetId="2" hidden="1">{"'Sheet1'!$A$1:$G$85"}</definedName>
    <definedName name="HTML_Control_1" localSheetId="1" hidden="1">{"'Sheet1'!$A$1:$G$85"}</definedName>
    <definedName name="HTML_Control_1" localSheetId="0" hidden="1">{"'Sheet1'!$A$1:$G$85"}</definedName>
    <definedName name="HTML_Control_1" hidden="1">{"'Sheet1'!$A$1:$G$85"}</definedName>
    <definedName name="HTML_Control_1_1" localSheetId="2" hidden="1">{"'Sheet1'!$A$1:$G$85"}</definedName>
    <definedName name="HTML_Control_1_1" localSheetId="1" hidden="1">{"'Sheet1'!$A$1:$G$85"}</definedName>
    <definedName name="HTML_Control_1_1" localSheetId="0" hidden="1">{"'Sheet1'!$A$1:$G$85"}</definedName>
    <definedName name="HTML_Control_1_1" hidden="1">{"'Sheet1'!$A$1:$G$85"}</definedName>
    <definedName name="HTML_Description" hidden="1">""</definedName>
    <definedName name="HTML_Email" hidden="1">""</definedName>
    <definedName name="HTML_Header" hidden="1">"A"</definedName>
    <definedName name="HTML_LastUpdate" hidden="1">"4/01/80"</definedName>
    <definedName name="HTML_LineAfter" hidden="1">FALSE</definedName>
    <definedName name="HTML_LineBefore" hidden="1">FALSE</definedName>
    <definedName name="HTML_Name" hidden="1">"Gabriel Jaime Martz Solis"</definedName>
    <definedName name="HTML_OBDlg2" hidden="1">TRUE</definedName>
    <definedName name="HTML_OBDlg4" hidden="1">TRUE</definedName>
    <definedName name="HTML_OS" hidden="1">0</definedName>
    <definedName name="HTML_PathFile" hidden="1">"C:\A Mis documentos\GABRIEL JAIME\Web Personal\Ejemplos\Existente\HTML.htm"</definedName>
    <definedName name="HTML_PathFileMac" hidden="1">"Macintosh HD:HomePageStuff:New_Home_Page:datafile:histret.html"</definedName>
    <definedName name="HTML_Title" hidden="1">"Diseño Estructural"</definedName>
    <definedName name="HTML1_1" hidden="1">"[ReturnsHistorical]Sheet1!$A$1:$D$77"</definedName>
    <definedName name="HTML1_10" hidden="1">""</definedName>
    <definedName name="HTML1_11" hidden="1">1</definedName>
    <definedName name="HTML1_12" hidden="1">"Zip 100:New_Home_Page:datafile:histret.html"</definedName>
    <definedName name="HTML1_2" hidden="1">1</definedName>
    <definedName name="HTML1_3" hidden="1">"ReturnsHistorical"</definedName>
    <definedName name="HTML1_4" hidden="1">"Historical Returns on Stocks, Bonds and Bills"</definedName>
    <definedName name="HTML1_5" hidden="1">"Ibbotson Data"</definedName>
    <definedName name="HTML1_6" hidden="1">-4146</definedName>
    <definedName name="HTML1_7" hidden="1">-4146</definedName>
    <definedName name="HTML1_8" hidden="1">"3/17/97"</definedName>
    <definedName name="HTML1_9" hidden="1">"Aswath Damodaran"</definedName>
    <definedName name="HTML2_1" hidden="1">"[histret.xls]Sheet1!$A$1:$G$85"</definedName>
    <definedName name="HTML2_10" hidden="1">""</definedName>
    <definedName name="HTML2_11" hidden="1">1</definedName>
    <definedName name="HTML2_12" hidden="1">"Macintosh HD:New_Home_Page:datafile:histret.html"</definedName>
    <definedName name="HTML2_2" hidden="1">1</definedName>
    <definedName name="HTML2_3" hidden="1">"Historical Returns"</definedName>
    <definedName name="HTML2_4" hidden="1">"Historical Returns on Stocks, Bonds and Bills"</definedName>
    <definedName name="HTML2_5" hidden="1">""</definedName>
    <definedName name="HTML2_6" hidden="1">1</definedName>
    <definedName name="HTML2_7" hidden="1">1</definedName>
    <definedName name="HTML2_8" hidden="1">"2/3/98"</definedName>
    <definedName name="HTML2_9" hidden="1">"Aswath Damodaran"</definedName>
    <definedName name="HTMLCount" hidden="1">2</definedName>
    <definedName name="htryrt7" localSheetId="2" hidden="1">{"via1",#N/A,TRUE,"general";"via2",#N/A,TRUE,"general";"via3",#N/A,TRUE,"general"}</definedName>
    <definedName name="htryrt7" localSheetId="1"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UECO4">#REF!</definedName>
    <definedName name="HUECO5">#REF!</definedName>
    <definedName name="HUECO6">#REF!</definedName>
    <definedName name="hut">#REF!</definedName>
    <definedName name="hvehiculo">#REF!</definedName>
    <definedName name="hxdfk">#REF!</definedName>
    <definedName name="HY">#REF!</definedName>
    <definedName name="hyhjop" localSheetId="2" hidden="1">{"TAB1",#N/A,TRUE,"GENERAL";"TAB2",#N/A,TRUE,"GENERAL";"TAB3",#N/A,TRUE,"GENERAL";"TAB4",#N/A,TRUE,"GENERAL";"TAB5",#N/A,TRUE,"GENERAL"}</definedName>
    <definedName name="hyhjop" localSheetId="1"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localSheetId="1"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localSheetId="2" hidden="1">{"via1",#N/A,TRUE,"general";"via2",#N/A,TRUE,"general";"via3",#N/A,TRUE,"general"}</definedName>
    <definedName name="hytirs" localSheetId="1"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#REF!</definedName>
    <definedName name="i_ZONA_VERDE">#REF!</definedName>
    <definedName name="i0">#REF!</definedName>
    <definedName name="I1318A1">#REF!</definedName>
    <definedName name="i8i" localSheetId="2" hidden="1">{"TAB1",#N/A,TRUE,"GENERAL";"TAB2",#N/A,TRUE,"GENERAL";"TAB3",#N/A,TRUE,"GENERAL";"TAB4",#N/A,TRUE,"GENERAL";"TAB5",#N/A,TRUE,"GENERAL"}</definedName>
    <definedName name="i8i" localSheetId="1"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c">[104]Hoja1!$C$17</definedName>
    <definedName name="ICABALLETEAC">#REF!</definedName>
    <definedName name="ICABALLETEZ">#REF!</definedName>
    <definedName name="icbf">[104]Hoja1!$C$15</definedName>
    <definedName name="Icct">#REF!</definedName>
    <definedName name="ICOPOR">#REF!</definedName>
    <definedName name="ICP">[21]Tablas!#REF!</definedName>
    <definedName name="ICP1_1">[21]Tablas!#REF!</definedName>
    <definedName name="ICP1_1_1">[21]Tablas!#REF!</definedName>
    <definedName name="ICP1_1_2">[21]Tablas!#REF!</definedName>
    <definedName name="ICP1_1_3">[21]Tablas!#REF!</definedName>
    <definedName name="ICP1_1_4">[21]Tablas!#REF!</definedName>
    <definedName name="ICP1_2">[21]Tablas!#REF!</definedName>
    <definedName name="ICP1_3">[21]Tablas!#REF!</definedName>
    <definedName name="ICP1_4">[21]Tablas!#REF!</definedName>
    <definedName name="ID" localSheetId="2">'MC 1'!ERR</definedName>
    <definedName name="ID" localSheetId="1">'MC 2-3-4'!ERR</definedName>
    <definedName name="ID" localSheetId="0">'MC 5'!ERR</definedName>
    <definedName name="ID">[0]!ERR</definedName>
    <definedName name="IF">'[96]A. P. U.'!#REF!</definedName>
    <definedName name="Ig">#REF!</definedName>
    <definedName name="ii" localSheetId="2" hidden="1">{"TAB1",#N/A,TRUE,"GENERAL";"TAB2",#N/A,TRUE,"GENERAL";"TAB3",#N/A,TRUE,"GENERAL";"TAB4",#N/A,TRUE,"GENERAL";"TAB5",#N/A,TRUE,"GENERAL"}</definedName>
    <definedName name="ii" localSheetId="1" hidden="1">{"TAB1",#N/A,TRUE,"GENERAL";"TAB2",#N/A,TRUE,"GENERAL";"TAB3",#N/A,TRUE,"GENERAL";"TAB4",#N/A,TRUE,"GENERAL";"TAB5",#N/A,TRUE,"GENERAL"}</definedName>
    <definedName name="ii" localSheetId="0"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localSheetId="1"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localSheetId="1"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localSheetId="1"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K">#REF!</definedName>
    <definedName name="iiiiuh" localSheetId="2" hidden="1">{"TAB1",#N/A,TRUE,"GENERAL";"TAB2",#N/A,TRUE,"GENERAL";"TAB3",#N/A,TRUE,"GENERAL";"TAB4",#N/A,TRUE,"GENERAL";"TAB5",#N/A,TRUE,"GENERAL"}</definedName>
    <definedName name="iiiiuh" localSheetId="1"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#REF!</definedName>
    <definedName name="ikj">#REF!</definedName>
    <definedName name="iktgvfmu" localSheetId="2"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'[159]1'!$N$41</definedName>
    <definedName name="IMP">[51]otros!$C$3</definedName>
    <definedName name="Impacto">#REF!</definedName>
    <definedName name="IMPERMEABILIZACION">#REF!</definedName>
    <definedName name="impermeabilizante">#REF!</definedName>
    <definedName name="IMPERMEABILIZANTE_PARA_MORTERO">#REF!</definedName>
    <definedName name="IMPERMMORTERO">#REF!</definedName>
    <definedName name="ImpPolizasConsultoria">#REF!</definedName>
    <definedName name="ImpPolizasObra">#REF!</definedName>
    <definedName name="IMPRE">[160]MATERIALES!$D$76</definedName>
    <definedName name="IMPRESSION">#REF!</definedName>
    <definedName name="Imprev">#REF!</definedName>
    <definedName name="Imprevistos">#REF!</definedName>
    <definedName name="impri">1400</definedName>
    <definedName name="Imprima">#REF!</definedName>
    <definedName name="imprimir">#REF!</definedName>
    <definedName name="Imprimir_área_IM">#REF!</definedName>
    <definedName name="Imprimir_área_IM_1">#REF!</definedName>
    <definedName name="Imprimir_títulos_IM">#REF!</definedName>
    <definedName name="IMPTOS">#REF!</definedName>
    <definedName name="IMPTOS1">#REF!</definedName>
    <definedName name="INC">#REF!</definedName>
    <definedName name="INCR._PRODC.">#REF!</definedName>
    <definedName name="INCRUSTACION">#REF!</definedName>
    <definedName name="incrustaciones">#REF!</definedName>
    <definedName name="IND">#REF!</definedName>
    <definedName name="INDICE">#REF!</definedName>
    <definedName name="INDIRECTOS">#REF!</definedName>
    <definedName name="induccion">#REF!</definedName>
    <definedName name="inf">#REF!</definedName>
    <definedName name="INFG">#REF!</definedName>
    <definedName name="INFORME">[161]TABLAS!$A$1:$A$65536</definedName>
    <definedName name="Informe_semanal">#REF!</definedName>
    <definedName name="INGENIERIA1" hidden="1">#REF!</definedName>
    <definedName name="INGENIERIA11" hidden="1">#REF!</definedName>
    <definedName name="INGENIERO_ELECTRICISTA">#REF!</definedName>
    <definedName name="INGENIERO_RESIDENTE">#REF!</definedName>
    <definedName name="INIANA">#REF!</definedName>
    <definedName name="iniciales">'[57]Reservas de Petróleo'!$A$2,'[57]Reservas de Petróleo'!$A$1,'[57]Reservas de Petróleo'!$D$4,'[57]Reservas de Petróleo'!$D$1:$D$65536</definedName>
    <definedName name="Inicio">[72]BASES!$E$26</definedName>
    <definedName name="INICIOPPTO">#REF!</definedName>
    <definedName name="inn">#REF!</definedName>
    <definedName name="INPU">#REF!</definedName>
    <definedName name="INPUT">'[4]7422CW00'!#REF!</definedName>
    <definedName name="Ins">#REF!</definedName>
    <definedName name="INSPECCION">#REF!</definedName>
    <definedName name="INSPECCION2">#REF!</definedName>
    <definedName name="INSPECTOR">#REF!</definedName>
    <definedName name="Instalacion">#REF!</definedName>
    <definedName name="INSTALACIONCUBIERTA">#REF!</definedName>
    <definedName name="INSTALACIONPARARRAYO">#REF!</definedName>
    <definedName name="instalaciontuberia3">#REF!</definedName>
    <definedName name="INSU">[162]INSUMOS!$A$1:$E$65536</definedName>
    <definedName name="INSUMO">VLOOKUP([101]apu!$B1,[101]Insumos!$D$1:$E$65536,2,FALSE)</definedName>
    <definedName name="INSUMOS">[163]INSUMOS!$B$17:$B$608</definedName>
    <definedName name="Insumos_auxiliares">[164]Insumos!#REF!</definedName>
    <definedName name="Insumos_basicos">#REF!</definedName>
    <definedName name="Int">#REF!</definedName>
    <definedName name="InTap">[16]Interc.tapones!$E$1:$E$65536</definedName>
    <definedName name="INTER">[143]Hoja3!$F$7:$F$9</definedName>
    <definedName name="Intercambiadores">#REF!</definedName>
    <definedName name="Interest_Rate">#REF!</definedName>
    <definedName name="INTERMEDIA_I">#REF!</definedName>
    <definedName name="INTERRUPTOR_CONMUTABLE">#REF!</definedName>
    <definedName name="INTERRUPTOR_DETECTOR_DE_PRESENCIA">#REF!</definedName>
    <definedName name="INTERRUPTOR_DOBLE">#REF!</definedName>
    <definedName name="INTERRUPTOR_SENCILLO">#REF!</definedName>
    <definedName name="INTERRUPTORAUTOMATICO">#REF!</definedName>
    <definedName name="Interventor">[80]CONTRATO!$E$12</definedName>
    <definedName name="INTERVENTORIA">#REF!</definedName>
    <definedName name="IntVal">[16]Interc.válv.!$E$1:$E$65536</definedName>
    <definedName name="INV_11">'[165]PR 1'!$A$2:$N$655</definedName>
    <definedName name="INV_Payments" localSheetId="8">[95]!INV_Payments</definedName>
    <definedName name="INV_Payments" localSheetId="7">[95]!INV_Payments</definedName>
    <definedName name="INV_Payments" localSheetId="5">[95]!INV_Payments</definedName>
    <definedName name="INV_Payments" localSheetId="1">[95]!INV_Payments</definedName>
    <definedName name="INV_Payments" localSheetId="0">[95]!INV_Payments</definedName>
    <definedName name="INV_Payments" localSheetId="4">[95]!INV_Payments</definedName>
    <definedName name="INV_Payments">[95]!INV_Payments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#REF!</definedName>
    <definedName name="IOU">#REF!</definedName>
    <definedName name="IOUHH" localSheetId="2">'MC 1'!ERR</definedName>
    <definedName name="IOUHH" localSheetId="1">'MC 2-3-4'!ERR</definedName>
    <definedName name="IOUHH" localSheetId="0">'MC 5'!ERR</definedName>
    <definedName name="IOUHH">[0]!ERR</definedName>
    <definedName name="IP">#REF!</definedName>
    <definedName name="ir">#REF!</definedName>
    <definedName name="irng" hidden="1">#REF!</definedName>
    <definedName name="Iss">'[80]LIQUIDA-NOMINA'!$AT$4</definedName>
    <definedName name="issafp">[104]Hoja1!$C$19</definedName>
    <definedName name="isscs">[104]Hoja1!$C$21</definedName>
    <definedName name="isseps">[104]Hoja1!$C$20</definedName>
    <definedName name="IT">#REF!</definedName>
    <definedName name="it.">#REF!</definedName>
    <definedName name="ITEM">[157]BASE!$C$4:$H$255</definedName>
    <definedName name="ITEM___1.0">#REF!</definedName>
    <definedName name="ITEM_1.1">#REF!</definedName>
    <definedName name="ITEM_1.1.1">#REF!</definedName>
    <definedName name="ITEM_1.1.2">#REF!</definedName>
    <definedName name="ITEM_1.2.1">#REF!</definedName>
    <definedName name="ITEM_1.3.1">#REF!</definedName>
    <definedName name="ITEM_1.3.2">#REF!</definedName>
    <definedName name="ITEM_1.3.3">#REF!</definedName>
    <definedName name="ITEM_1.3.4">#REF!</definedName>
    <definedName name="ITEM_1.4">#REF!</definedName>
    <definedName name="ITEM_1.4.1">#REF!</definedName>
    <definedName name="ITEM_1.4.2">#REF!</definedName>
    <definedName name="ITEM_1.4.3">#REF!</definedName>
    <definedName name="ITEM_1.4.4">#REF!</definedName>
    <definedName name="ITEM_1.5">#REF!</definedName>
    <definedName name="ITEM_1.6.1">#REF!</definedName>
    <definedName name="ITEM_1.6.2">#REF!</definedName>
    <definedName name="ITEM_1.7.1">#REF!</definedName>
    <definedName name="ITEM_1.7.2">#REF!</definedName>
    <definedName name="ITEM_1.8">#REF!</definedName>
    <definedName name="ITEM_1_FILTRO">#REF!</definedName>
    <definedName name="ITEM_2">#REF!</definedName>
    <definedName name="ITEM_2.11">#REF!</definedName>
    <definedName name="ITEM_2.7">#REF!</definedName>
    <definedName name="ITEM_3.1">#REF!</definedName>
    <definedName name="ITEM_3.11">#REF!</definedName>
    <definedName name="ITEM_3.12">#REF!</definedName>
    <definedName name="ITEM_3.13">#REF!</definedName>
    <definedName name="ITEM_3.14">#REF!</definedName>
    <definedName name="ITEM_3.15">#REF!</definedName>
    <definedName name="ITEM_3_FILTRO">#REF!</definedName>
    <definedName name="ITEM_4">#REF!</definedName>
    <definedName name="ITEM_4_FILTRO">#REF!</definedName>
    <definedName name="ITEM_5">#REF!</definedName>
    <definedName name="ITEM_5_FILTRO">#REF!</definedName>
    <definedName name="ITEM_6.2">#REF!</definedName>
    <definedName name="ITEM_6.3">#REF!</definedName>
    <definedName name="ITEM_6.4">#REF!</definedName>
    <definedName name="ITEM_6.5">#REF!</definedName>
    <definedName name="ITEM_6.6">#REF!</definedName>
    <definedName name="ITEM_6.7">#REF!</definedName>
    <definedName name="ITEM_6.8">#REF!</definedName>
    <definedName name="ITEM_6.9">#REF!</definedName>
    <definedName name="ITEM_6_FILTRO">#REF!</definedName>
    <definedName name="ITEM_7">#REF!</definedName>
    <definedName name="ITEM_8">#REF!</definedName>
    <definedName name="ITEM_9">#REF!</definedName>
    <definedName name="ITEM_COD45">#REF!</definedName>
    <definedName name="item_exccon">#REF!</definedName>
    <definedName name="ITEM_INST_2">#REF!</definedName>
    <definedName name="ITEM_INST_3">#REF!</definedName>
    <definedName name="ITEM_MEDID">#REF!</definedName>
    <definedName name="ITEM_REDU">#REF!</definedName>
    <definedName name="ITEM_SIFON">#REF!</definedName>
    <definedName name="ITEM_TEE_3_2">#REF!</definedName>
    <definedName name="ITEM_TEE_4X4">#REF!</definedName>
    <definedName name="ITEM_TEFLON">#REF!</definedName>
    <definedName name="ITEM_VENTO">#REF!</definedName>
    <definedName name="ITEM1">#REF!</definedName>
    <definedName name="ITEM15">#REF!</definedName>
    <definedName name="ITEM2">#REF!</definedName>
    <definedName name="ITEM2.10">[130]APU!$E$14843</definedName>
    <definedName name="ITEM2.11">[130]APU!$E$14904</definedName>
    <definedName name="ITEM2.12">[130]APU!$E$14965</definedName>
    <definedName name="ITEM201.1">#REF!</definedName>
    <definedName name="ITEM201.2">#REF!</definedName>
    <definedName name="ITEM201.3">#REF!</definedName>
    <definedName name="ITEM210.2">#REF!</definedName>
    <definedName name="item210.3">#REF!</definedName>
    <definedName name="ITEM211.1">#REF!</definedName>
    <definedName name="ITEM220.1">#REF!</definedName>
    <definedName name="ITEM222">'[166]1'!#REF!</definedName>
    <definedName name="ITEM230">#REF!</definedName>
    <definedName name="item230.1">#REF!</definedName>
    <definedName name="ITEM3">#REF!</definedName>
    <definedName name="ITEM3.15">[130]APU!$E$8621</definedName>
    <definedName name="ITEM3.16">[130]APU!$E$8682</definedName>
    <definedName name="ITEM3.17">[130]APU!$E$8743</definedName>
    <definedName name="ITEM3.18">[130]APU!$E$8804</definedName>
    <definedName name="ITEM3.19">[130]APU!$E$8865</definedName>
    <definedName name="ITEM3.20">[130]APU!$E$8926</definedName>
    <definedName name="ITEM3.21">[130]APU!$E$11915</definedName>
    <definedName name="ITEM3.22">[130]APU!$E$14477</definedName>
    <definedName name="ITEM3.23">[130]APU!$E$15087</definedName>
    <definedName name="item310">#REF!</definedName>
    <definedName name="item320">#REF!</definedName>
    <definedName name="item320.2">#REF!</definedName>
    <definedName name="ITEM330">#REF!</definedName>
    <definedName name="item330.1">#REF!</definedName>
    <definedName name="ITEM4.20">[130]APU!$E$9170</definedName>
    <definedName name="ITEM4.21">[130]APU!$E$9231</definedName>
    <definedName name="ITEM4.22">[130]APU!$E$9292</definedName>
    <definedName name="ITEM4.23">[130]APU!$E$9353</definedName>
    <definedName name="ITEM4.24">[130]APU!$E$9414</definedName>
    <definedName name="ITEM4.25">[130]APU!$E$9475</definedName>
    <definedName name="ITEM4.26">[130]APU!$E$9536</definedName>
    <definedName name="ITEM4.27">[130]APU!$E$9597</definedName>
    <definedName name="ITEM4.28">[130]APU!$E$9658</definedName>
    <definedName name="ITEM4.29">[130]APU!$E$9719</definedName>
    <definedName name="ITEM4.30">[130]APU!$E$9780</definedName>
    <definedName name="ITEM4.31">[130]APU!$E$9841</definedName>
    <definedName name="ITEM4.32">[130]APU!$E$9902</definedName>
    <definedName name="ITEM4.33">[130]APU!$E$9963</definedName>
    <definedName name="ITEM4.34">[130]APU!$E$10024</definedName>
    <definedName name="ITEM4.35">[130]APU!$E$11549</definedName>
    <definedName name="ITEM4.36">[130]APU!$E$11610</definedName>
    <definedName name="ITEM4.37">[130]APU!$E$15941</definedName>
    <definedName name="ITEM4.38">[130]APU!$E$15148</definedName>
    <definedName name="ITEM4.39">[130]APU!$E$14233</definedName>
    <definedName name="ITEM4.40">[130]APU!$E$14294</definedName>
    <definedName name="ITEM4.41">[130]APU!$E$14355</definedName>
    <definedName name="ITEM4.42">[130]APU!$E$14416</definedName>
    <definedName name="ITEM4.43">[130]APU!$E$14538</definedName>
    <definedName name="ITEM4.44">[130]APU!$E$16002</definedName>
    <definedName name="ITEM4.45">[130]APU!$E$16063</definedName>
    <definedName name="ITEM4.46">[130]APU!$E$14660</definedName>
    <definedName name="ITEM4.5">#REF!</definedName>
    <definedName name="ITEM410">#REF!</definedName>
    <definedName name="item420">#REF!</definedName>
    <definedName name="ITEM450">#REF!</definedName>
    <definedName name="item450.2P">#REF!</definedName>
    <definedName name="ITEM5.100">[130]APU!$E$12403</definedName>
    <definedName name="ITEM5.101">[130]APU!$E$12464</definedName>
    <definedName name="ITEM5.104">[130]APU!$E$12525</definedName>
    <definedName name="ITEM5.105">[130]APU!$E$12586</definedName>
    <definedName name="ITEM5.106">[130]APU!$E$12647</definedName>
    <definedName name="ITEM5.107">[130]APU!$E$12708</definedName>
    <definedName name="ITEM5.108">[130]APU!$E$12769</definedName>
    <definedName name="ITEM5.109">[130]APU!$E$12830</definedName>
    <definedName name="ITEM5.111">[130]APU!$E$12891</definedName>
    <definedName name="ITEM5.112">[130]APU!$E$12952</definedName>
    <definedName name="ITEM5.113">[130]APU!$E$14721</definedName>
    <definedName name="ITEM5.114">[130]APU!$E$14782</definedName>
    <definedName name="ITEM5.115">[130]APU!$E$15026</definedName>
    <definedName name="ITEM5.53">[130]APU!$E$10085</definedName>
    <definedName name="ITEM5.54">[130]APU!$E$10146</definedName>
    <definedName name="ITEM5.55">[130]APU!$E$10207</definedName>
    <definedName name="ITEM5.56">[130]APU!$E$10268</definedName>
    <definedName name="ITEM5.57">[130]APU!$E$10329</definedName>
    <definedName name="ITEM5.58">[130]APU!$E$10390</definedName>
    <definedName name="ITEM5.59">[130]APU!$E$10451</definedName>
    <definedName name="ITEM5.60">[130]APU!$E$10512</definedName>
    <definedName name="ITEM5.61">[130]APU!$E$10573</definedName>
    <definedName name="ITEM5.62">[130]APU!$E$10634</definedName>
    <definedName name="ITEM5.63">[130]APU!$E$10695</definedName>
    <definedName name="ITEM5.64">[130]APU!$E$10756</definedName>
    <definedName name="ITEM5.65">[130]APU!$E$10817</definedName>
    <definedName name="ITEM5.66">[130]APU!$E$10878</definedName>
    <definedName name="ITEM5.67">[130]APU!$E$10939</definedName>
    <definedName name="ITEM5.68">[130]APU!$E$11000</definedName>
    <definedName name="ITEM5.69">[130]APU!$E$11061</definedName>
    <definedName name="ITEM5.70">[130]APU!$E$11122</definedName>
    <definedName name="ITEM5.71">[130]APU!$E$11183</definedName>
    <definedName name="ITEM5.72">[130]APU!$E$11976</definedName>
    <definedName name="ITEM5.73">[130]APU!$E$12037</definedName>
    <definedName name="ITEM5.74">[130]APU!$E$12098</definedName>
    <definedName name="ITEM5.77">[130]APU!$E$12159</definedName>
    <definedName name="ITEM5.78">[130]APU!$E$12281</definedName>
    <definedName name="ITEM5.79">[130]APU!$E$12342</definedName>
    <definedName name="ITEM5.80">[130]APU!$E$12220</definedName>
    <definedName name="ITEM5.82">[130]APU!$E$13989</definedName>
    <definedName name="ITEM5.83">[130]APU!$E$14050</definedName>
    <definedName name="ITEM5.84">[130]APU!$E$13318</definedName>
    <definedName name="ITEM5.85">[130]APU!$E$13379</definedName>
    <definedName name="ITEM5.86">[130]APU!$E$13440</definedName>
    <definedName name="ITEM5.87">[130]APU!$E$13501</definedName>
    <definedName name="ITEM5.88">[130]APU!$E$13562</definedName>
    <definedName name="ITEM5.89">[130]APU!$E$13623</definedName>
    <definedName name="ITEM5.90">[130]APU!$E$13684</definedName>
    <definedName name="ITEM5.91">[130]APU!$E$13745</definedName>
    <definedName name="ITEM5.92">[130]APU!$E$13806</definedName>
    <definedName name="ITEM5.93">[130]APU!$E$13867</definedName>
    <definedName name="ITEM5.94">[130]APU!$E$13928</definedName>
    <definedName name="ITEM5.95">[130]APU!$E$13013</definedName>
    <definedName name="ITEM5.96">[130]APU!$E$13074</definedName>
    <definedName name="ITEM5.97">[130]APU!$E$13135</definedName>
    <definedName name="ITEM5.98">[130]APU!$E$13196</definedName>
    <definedName name="ITEM5.99">[130]APU!$E$13257</definedName>
    <definedName name="ITEM521">[124]ITEMS!$A$522</definedName>
    <definedName name="ITEM6.1">#REF!</definedName>
    <definedName name="item600.1">#REF!</definedName>
    <definedName name="ITEM610">#REF!</definedName>
    <definedName name="item610.1">#REF!</definedName>
    <definedName name="item610.2">#REF!</definedName>
    <definedName name="item630.4">#REF!</definedName>
    <definedName name="ITEM630.5">#REF!</definedName>
    <definedName name="item630.6">#REF!</definedName>
    <definedName name="item630.7">#REF!</definedName>
    <definedName name="ITEM630.8">#REF!</definedName>
    <definedName name="ITEM632">#REF!</definedName>
    <definedName name="ITEM640">#REF!</definedName>
    <definedName name="item640.3">#REF!</definedName>
    <definedName name="item661">#REF!</definedName>
    <definedName name="item671">#REF!</definedName>
    <definedName name="item673.1">#REF!</definedName>
    <definedName name="item673.3">#REF!</definedName>
    <definedName name="item681">#REF!</definedName>
    <definedName name="ITEM7.1">#REF!</definedName>
    <definedName name="ITEM7.10">[130]APU!$E$8138</definedName>
    <definedName name="ITEM7.11">[130]APU!$E$8199</definedName>
    <definedName name="ITEM7.12">[130]APU!$E$8259</definedName>
    <definedName name="ITEM7.13">[130]APU!$E$8320</definedName>
    <definedName name="ITEM7.14">[130]APU!$E$8381</definedName>
    <definedName name="ITEM7.15">[130]APU!$E$8442</definedName>
    <definedName name="ITEM7.16">[130]APU!$E$8560</definedName>
    <definedName name="ITEM7.17">[130]APU!$E$11244</definedName>
    <definedName name="ITEM7.18">[130]APU!$E$11305</definedName>
    <definedName name="ITEM7.19">[130]APU!$E$11366</definedName>
    <definedName name="ITEM7.2">#REF!</definedName>
    <definedName name="ITEM7.20">[130]APU!$E$11427</definedName>
    <definedName name="ITEM7.21">[130]APU!$E$11488</definedName>
    <definedName name="ITEM7.22">[130]APU!$E$11671</definedName>
    <definedName name="ITEM7.23">[130]APU!$E$11732</definedName>
    <definedName name="ITEM7.24">[130]APU!$E$14599</definedName>
    <definedName name="ITEM7.25">[130]APU!$E$15209</definedName>
    <definedName name="ITEM7.26">[130]APU!$E$15270</definedName>
    <definedName name="ITEM7.27">[130]APU!$E$15331</definedName>
    <definedName name="ITEM7.28">[130]APU!$E$15392</definedName>
    <definedName name="ITEM7.29">[130]APU!$E$15453</definedName>
    <definedName name="ITEM7.3">#REF!</definedName>
    <definedName name="ITEM7.30">[130]APU!$E$15514</definedName>
    <definedName name="ITEM7.31">[130]APU!$E$15575</definedName>
    <definedName name="ITEM7.32">[130]APU!$E$15636</definedName>
    <definedName name="ITEM7.33">[130]APU!$E$15697</definedName>
    <definedName name="ITEM7.34">[130]APU!$E$15758</definedName>
    <definedName name="ITEM7.35">[130]APU!$E$15819</definedName>
    <definedName name="ITEM7.4">[130]APU!$E$7772</definedName>
    <definedName name="ITEM7.5">#REF!</definedName>
    <definedName name="ITEM7.6">[130]APU!$E$7894</definedName>
    <definedName name="ITEM7.7">[130]APU!$E$7955</definedName>
    <definedName name="ITEM7.8">[130]APU!$E$8016</definedName>
    <definedName name="ITEM7.9">[130]APU!$E$8077</definedName>
    <definedName name="item700.1">#REF!</definedName>
    <definedName name="ITEM704">#REF!</definedName>
    <definedName name="item710.1">#REF!</definedName>
    <definedName name="item710.2">#REF!</definedName>
    <definedName name="ITEM720">#REF!</definedName>
    <definedName name="item730.1">#REF!</definedName>
    <definedName name="item730.2">#REF!</definedName>
    <definedName name="item730.2.4">#REF!</definedName>
    <definedName name="ITEM900">#REF!</definedName>
    <definedName name="item900.2">#REF!</definedName>
    <definedName name="ITEMCOD90">#REF!</definedName>
    <definedName name="ItemCodos">#REF!</definedName>
    <definedName name="ITEN_2_FILTRO">#REF!</definedName>
    <definedName name="ITEN320">#REF!</definedName>
    <definedName name="ITENM_DOMIC">#REF!</definedName>
    <definedName name="Iterar">#REF!</definedName>
    <definedName name="iua">#REF!</definedName>
    <definedName name="IUI" localSheetId="2" hidden="1">{"TAB1",#N/A,TRUE,"GENERAL";"TAB2",#N/A,TRUE,"GENERAL";"TAB3",#N/A,TRUE,"GENERAL";"TAB4",#N/A,TRUE,"GENERAL";"TAB5",#N/A,TRUE,"GENERAL"}</definedName>
    <definedName name="IUI" localSheetId="1"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localSheetId="1"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localSheetId="1"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localSheetId="1"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localSheetId="1"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VA">#REF!</definedName>
    <definedName name="IVA_UTIL">[63]DATOS!$D$11</definedName>
    <definedName name="IVAConsultoria">#REF!</definedName>
    <definedName name="IVASobreUtilidad">#REF!</definedName>
    <definedName name="IvaSUtl">[167]PRESUPUESTO!#REF!</definedName>
    <definedName name="iwjer">#REF!</definedName>
    <definedName name="iyuiuyi" localSheetId="2" hidden="1">{"via1",#N/A,TRUE,"general";"via2",#N/A,TRUE,"general";"via3",#N/A,TRUE,"general"}</definedName>
    <definedName name="iyuiuyi" localSheetId="1"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IZQ_AUX">LEFT([101]Auxiliares!$B1,2)</definedName>
    <definedName name="j" localSheetId="2" hidden="1">{"TAB1",#N/A,TRUE,"GENERAL";"TAB2",#N/A,TRUE,"GENERAL";"TAB3",#N/A,TRUE,"GENERAL";"TAB4",#N/A,TRUE,"GENERAL";"TAB5",#N/A,TRUE,"GENERAL"}</definedName>
    <definedName name="j" localSheetId="1" hidden="1">{"TAB1",#N/A,TRUE,"GENERAL";"TAB2",#N/A,TRUE,"GENERAL";"TAB3",#N/A,TRUE,"GENERAL";"TAB4",#N/A,TRUE,"GENERAL";"TAB5",#N/A,TRUE,"GENERAL"}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a">#REF!</definedName>
    <definedName name="JAIME">#REF!</definedName>
    <definedName name="Jb">#REF!</definedName>
    <definedName name="Jc">#REF!</definedName>
    <definedName name="jd" localSheetId="2" hidden="1">{"via1",#N/A,TRUE,"general";"via2",#N/A,TRUE,"general";"via3",#N/A,TRUE,"general"}</definedName>
    <definedName name="jd" localSheetId="1"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FKLASJ">#REF!</definedName>
    <definedName name="jdh" localSheetId="2" hidden="1">{"TAB1",#N/A,TRUE,"GENERAL";"TAB2",#N/A,TRUE,"GENERAL";"TAB3",#N/A,TRUE,"GENERAL";"TAB4",#N/A,TRUE,"GENERAL";"TAB5",#N/A,TRUE,"GENERAL"}</definedName>
    <definedName name="jdh" localSheetId="1"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#REF!</definedName>
    <definedName name="jeytj" localSheetId="2" hidden="1">{"TAB1",#N/A,TRUE,"GENERAL";"TAB2",#N/A,TRUE,"GENERAL";"TAB3",#N/A,TRUE,"GENERAL";"TAB4",#N/A,TRUE,"GENERAL";"TAB5",#N/A,TRUE,"GENERAL"}</definedName>
    <definedName name="jeytj" localSheetId="1"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#REF!</definedName>
    <definedName name="jfç" hidden="1">#REF!</definedName>
    <definedName name="jfhjfrt" localSheetId="2"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localSheetId="1"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localSheetId="1"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localSheetId="1"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localSheetId="2" hidden="1">{"TAB1",#N/A,TRUE,"GENERAL";"TAB2",#N/A,TRUE,"GENERAL";"TAB3",#N/A,TRUE,"GENERAL";"TAB4",#N/A,TRUE,"GENERAL";"TAB5",#N/A,TRUE,"GENERAL"}</definedName>
    <definedName name="jhg" localSheetId="1"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gjhgjhg">#REF!</definedName>
    <definedName name="jhjyj" localSheetId="2" hidden="1">{"via1",#N/A,TRUE,"general";"via2",#N/A,TRUE,"general";"via3",#N/A,TRUE,"general"}</definedName>
    <definedName name="jhjyj" localSheetId="1"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localSheetId="1"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I">#REF!</definedName>
    <definedName name="jj" localSheetId="2">'MC 1'!ERR</definedName>
    <definedName name="jj" localSheetId="1">'MC 2-3-4'!ERR</definedName>
    <definedName name="jj" localSheetId="0">'MC 5'!ERR</definedName>
    <definedName name="jj">[0]!ERR</definedName>
    <definedName name="jj_1">"[0]!err"</definedName>
    <definedName name="jjfq" localSheetId="2" hidden="1">{"via1",#N/A,TRUE,"general";"via2",#N/A,TRUE,"general";"via3",#N/A,TRUE,"general"}</definedName>
    <definedName name="jjfq" localSheetId="1"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 localSheetId="2" hidden="1">{#N/A,#N/A,FALSE,"Hoja1";#N/A,#N/A,FALSE,"Hoja2"}</definedName>
    <definedName name="JJJ" localSheetId="1" hidden="1">{#N/A,#N/A,FALSE,"Hoja1";#N/A,#N/A,FALSE,"Hoja2"}</definedName>
    <definedName name="JJJ" localSheetId="0" hidden="1">{#N/A,#N/A,FALSE,"Hoja1";#N/A,#N/A,FALSE,"Hoja2"}</definedName>
    <definedName name="JJJ" hidden="1">{#N/A,#N/A,FALSE,"Hoja1";#N/A,#N/A,FALSE,"Hoja2"}</definedName>
    <definedName name="jjjhjddfg" localSheetId="2" hidden="1">{"via1",#N/A,TRUE,"general";"via2",#N/A,TRUE,"general";"via3",#N/A,TRUE,"general"}</definedName>
    <definedName name="jjjhjddfg" localSheetId="1"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#REF!</definedName>
    <definedName name="JJJJJ" localSheetId="2" hidden="1">{"SUMINISTRO E INSTALACIÓN CANALETAS L=7.50"}</definedName>
    <definedName name="JJJJJ" localSheetId="1" hidden="1">{"SUMINISTRO E INSTALACIÓN CANALETAS L=7.50"}</definedName>
    <definedName name="JJJJJ" localSheetId="0" hidden="1">{"SUMINISTRO E INSTALACIÓN CANALETAS L=7.50"}</definedName>
    <definedName name="JJJJJ" hidden="1">{"SUMINISTRO E INSTALACIÓN CANALETAS L=7.50"}</definedName>
    <definedName name="jjjjju" localSheetId="2" hidden="1">{"via1",#N/A,TRUE,"general";"via2",#N/A,TRUE,"general";"via3",#N/A,TRUE,"general"}</definedName>
    <definedName name="jjjjju" localSheetId="1"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localSheetId="1"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localSheetId="1"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#REF!</definedName>
    <definedName name="jkk" localSheetId="2" hidden="1">{"TAB1",#N/A,TRUE,"GENERAL";"TAB2",#N/A,TRUE,"GENERAL";"TAB3",#N/A,TRUE,"GENERAL";"TAB4",#N/A,TRUE,"GENERAL";"TAB5",#N/A,TRUE,"GENERAL"}</definedName>
    <definedName name="jkk" localSheetId="1"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KKJK">#REF!</definedName>
    <definedName name="jkl">#REF!</definedName>
    <definedName name="JKSDBJSLSDKHFSDHFLDSKJKHFJSDHFKJDBVJKDBVDSDVDVFVVFFVFVFVFV">#REF!</definedName>
    <definedName name="jn">#REF!</definedName>
    <definedName name="jñ">#REF!</definedName>
    <definedName name="jo">#REF!</definedName>
    <definedName name="JOHN">#REF!</definedName>
    <definedName name="JOHNNY" localSheetId="2">'MC 1'!ERR</definedName>
    <definedName name="JOHNNY" localSheetId="1">'MC 2-3-4'!ERR</definedName>
    <definedName name="JOHNNY" localSheetId="0">'MC 5'!ERR</definedName>
    <definedName name="JOHNNY">[0]!ERR</definedName>
    <definedName name="JOHNNY_1">"[0]!err"</definedName>
    <definedName name="JOJOJOJ">#REF!</definedName>
    <definedName name="Jornal">[64]Jornal!$A$12:$I$31</definedName>
    <definedName name="JOSE">#REF!</definedName>
    <definedName name="JOTA">#N/A</definedName>
    <definedName name="JRYJ" localSheetId="2" hidden="1">{"via1",#N/A,TRUE,"general";"via2",#N/A,TRUE,"general";"via3",#N/A,TRUE,"general"}</definedName>
    <definedName name="JRYJ" localSheetId="1"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#REF!</definedName>
    <definedName name="jtyj" localSheetId="2" hidden="1">{"TAB1",#N/A,TRUE,"GENERAL";"TAB2",#N/A,TRUE,"GENERAL";"TAB3",#N/A,TRUE,"GENERAL";"TAB4",#N/A,TRUE,"GENERAL";"TAB5",#N/A,TRUE,"GENERAL"}</definedName>
    <definedName name="jtyj" localSheetId="1"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localSheetId="1"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#REF!</definedName>
    <definedName name="Juego_de_incrustaciones">#REF!</definedName>
    <definedName name="JUEGO_INFANTIL_METALICO">#REF!</definedName>
    <definedName name="JUEGOS_BIOSALUDABLES">#REF!</definedName>
    <definedName name="JUEGOSANITARIO">#REF!</definedName>
    <definedName name="jui">#REF!</definedName>
    <definedName name="juj" localSheetId="2" hidden="1">{"via1",#N/A,TRUE,"general";"via2",#N/A,TRUE,"general";"via3",#N/A,TRUE,"general"}</definedName>
    <definedName name="juj" localSheetId="1"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localSheetId="1"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localSheetId="1"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localSheetId="1"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L">#REF!</definedName>
    <definedName name="jun">#REF!</definedName>
    <definedName name="Junta_PVC__2_bulbos__9__ancho">#REF!</definedName>
    <definedName name="juuuhb" localSheetId="2"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vv">#REF!</definedName>
    <definedName name="jyjt7" localSheetId="2" hidden="1">{"via1",#N/A,TRUE,"general";"via2",#N/A,TRUE,"general";"via3",#N/A,TRUE,"general"}</definedName>
    <definedName name="jyjt7" localSheetId="1"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localSheetId="1"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localSheetId="1"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localSheetId="1"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localSheetId="1"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localSheetId="1"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localSheetId="1"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localSheetId="1"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io">#REF!</definedName>
    <definedName name="kip">#REF!</definedName>
    <definedName name="kj">#REF!</definedName>
    <definedName name="KJH">#REF!</definedName>
    <definedName name="KJHJ">#REF!</definedName>
    <definedName name="kjhkd" localSheetId="2" hidden="1">{"via1",#N/A,TRUE,"general";"via2",#N/A,TRUE,"general";"via3",#N/A,TRUE,"general"}</definedName>
    <definedName name="kjhkd" localSheetId="1"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localSheetId="1"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localSheetId="1"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localSheetId="1"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localSheetId="1"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l" localSheetId="2">'MC 1'!ERR</definedName>
    <definedName name="kl" localSheetId="1">'MC 2-3-4'!ERR</definedName>
    <definedName name="kl" localSheetId="0">'MC 5'!ERR</definedName>
    <definedName name="kl">[0]!ERR</definedName>
    <definedName name="kl_1">"[0]!err"</definedName>
    <definedName name="klklk">#REF!</definedName>
    <definedName name="km">#REF!</definedName>
    <definedName name="kñy">#REF!</definedName>
    <definedName name="ko">[168]items!$C$4:$J$247</definedName>
    <definedName name="krtrk" localSheetId="2" hidden="1">{"via1",#N/A,TRUE,"general";"via2",#N/A,TRUE,"general";"via3",#N/A,TRUE,"general"}</definedName>
    <definedName name="krtrk" localSheetId="1"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s">#REF!</definedName>
    <definedName name="ksogtk">#REF!</definedName>
    <definedName name="kuh">#REF!</definedName>
    <definedName name="kuy">#REF!</definedName>
    <definedName name="kuyhgbe">#REF!</definedName>
    <definedName name="kyr" localSheetId="2" hidden="1">{"TAB1",#N/A,TRUE,"GENERAL";"TAB2",#N/A,TRUE,"GENERAL";"TAB3",#N/A,TRUE,"GENERAL";"TAB4",#N/A,TRUE,"GENERAL";"TAB5",#N/A,TRUE,"GENERAL"}</definedName>
    <definedName name="kyr" localSheetId="1"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#REF!</definedName>
    <definedName name="L_L">#N/A</definedName>
    <definedName name="la">#REF!</definedName>
    <definedName name="lad">350</definedName>
    <definedName name="ladrillo">250</definedName>
    <definedName name="LADRILLO_COMUN">[53]Materiales!#REF!</definedName>
    <definedName name="LADRILLO_COMUN_A_LA_VISTA">#REF!</definedName>
    <definedName name="Ladrillo_tolete">#REF!</definedName>
    <definedName name="LAF">#REF!</definedName>
    <definedName name="LAGUNAS_OXIDACION">#REF!</definedName>
    <definedName name="lame" hidden="1">#REF!</definedName>
    <definedName name="LAMINA_CAL_18">#REF!</definedName>
    <definedName name="LAMINA_METALDECK_CAL_22">#REF!</definedName>
    <definedName name="LAMINAFIBRA">#REF!</definedName>
    <definedName name="LAMINAFIBRAV">'[54]PRECIO. MAT'!#REF!</definedName>
    <definedName name="Laminas_y_perfiles">#REF!</definedName>
    <definedName name="LAMPARA_DECORATIVA">#REF!</definedName>
    <definedName name="LAMPARA_FLUORESCENTE_2X39">#REF!</definedName>
    <definedName name="LAMPARA_METAL_HIDE_400_WTS_LUZ_BLANCA_CON_ARRANCADORES_Y_BALASTO_A_220VAC">#REF!</definedName>
    <definedName name="LAMPARAFLUOR">#REF!</definedName>
    <definedName name="LANODO">#REF!</definedName>
    <definedName name="LANODOFT">#REF!</definedName>
    <definedName name="largovr">#REF!</definedName>
    <definedName name="Largueros_0_1_0_2_3">#REF!</definedName>
    <definedName name="Last_Row">#N/A</definedName>
    <definedName name="LAVADERO">'[54]PRECIO. MAT'!#REF!</definedName>
    <definedName name="LAVAMANOS">'[54]PRECIO. MAT'!#REF!</definedName>
    <definedName name="LAVAPLATOS">'[54]PRECIO. MAT'!#REF!</definedName>
    <definedName name="LAVAPLATOS_ACERO_INOXIDABLE">#REF!</definedName>
    <definedName name="lb">#REF!</definedName>
    <definedName name="ld">#REF!</definedName>
    <definedName name="Le">#REF!</definedName>
    <definedName name="LENCY">#REF!</definedName>
    <definedName name="letra">#REF!</definedName>
    <definedName name="lev0.1">#REF!</definedName>
    <definedName name="Lf">#REF!</definedName>
    <definedName name="Lh">#REF!</definedName>
    <definedName name="Li">#REF!</definedName>
    <definedName name="Libro1_Hoja1_Lista">[169]LISTADO!#REF!</definedName>
    <definedName name="LICITACION">#REF!</definedName>
    <definedName name="LIDA">'[38]Base Datos'!$B$130</definedName>
    <definedName name="LIHA">#REF!</definedName>
    <definedName name="LIJA">#REF!</definedName>
    <definedName name="LIMATESA">#REF!</definedName>
    <definedName name="LIMONSITO">#REF!</definedName>
    <definedName name="LIMP">#REF!</definedName>
    <definedName name="LIMPIA">#REF!</definedName>
    <definedName name="LIMPIADOR">[55]PRECIO.MAT!#REF!</definedName>
    <definedName name="Limpiador_1_4">#REF!</definedName>
    <definedName name="LIMPIADORPVC">[55]PRECIO.MAT!#REF!</definedName>
    <definedName name="LIMPIO">#REF!</definedName>
    <definedName name="LINEA">[170]CONT_ADI!#REF!</definedName>
    <definedName name="LineaPresup">#REF!</definedName>
    <definedName name="LINIERO">#REF!</definedName>
    <definedName name="liquido">9500</definedName>
    <definedName name="LISBASE1">'[171]Lista Base'!$A$4:$C$2691</definedName>
    <definedName name="LISBASE2">'[172]Lista Base'!$A$4:$D$1999</definedName>
    <definedName name="List_cuadrillas">[118]Salarios!$D$8:$P$8</definedName>
    <definedName name="lista">'[173]HISTORICOS FUEL OIL EXP'!$B$2:$F$89</definedName>
    <definedName name="LISTA.EQUIP">[82]MAT!$E$3:$E$1000</definedName>
    <definedName name="LISTA.M.OBRA">[82]MAT!$I$3:$I$1000</definedName>
    <definedName name="LISTA.MATERIALES2">[82]MAT!$A$1:$A$2962</definedName>
    <definedName name="LISTA1">'[16]INSUMOS  DEL PROYECTO'!$A$15:$A$4437</definedName>
    <definedName name="LISTA2">#REF!</definedName>
    <definedName name="LISTA22">#REF!</definedName>
    <definedName name="LISTAACT">[174]aactividad!$A$3:$A$15</definedName>
    <definedName name="ListaCantidad">#REF!</definedName>
    <definedName name="Listado">#REF!</definedName>
    <definedName name="LISTADO_ACTIVIDADES">#REF!</definedName>
    <definedName name="Listado_de_materiales">[175]INSUMOS!$AS$2:$AS$351</definedName>
    <definedName name="Listado1">#REF!</definedName>
    <definedName name="LISTADOEQUIPOS">[56]Equipo!$A$16:$A$80</definedName>
    <definedName name="LISTADOMATERIALES">[56]Material!$A$11:$A$1009</definedName>
    <definedName name="LISTADOMO">[56]M.Obra!$A$21:$A$50</definedName>
    <definedName name="LISTADOTRANSPORTES">[56]Transp.!$A$16:$A$50</definedName>
    <definedName name="ListaItem">#REF!</definedName>
    <definedName name="LISTAITEMS1">'[82]ITEMS Nuevos'!$A$1:$A$137</definedName>
    <definedName name="ListaUni">[176]TOTALES!$D$7:$D$654</definedName>
    <definedName name="LISTEQUIPOS">#REF!</definedName>
    <definedName name="LISTMATERIALES">#REF!</definedName>
    <definedName name="LISTOM">#REF!</definedName>
    <definedName name="LISTON">[55]PRECIO.MAT!#REF!</definedName>
    <definedName name="Liston_4_cm_x_2_cm_L__2_5">#REF!</definedName>
    <definedName name="LISTON_DE_2X4X15">#REF!</definedName>
    <definedName name="Liston_machihembrado">#REF!</definedName>
    <definedName name="LISTON_ORDINARO__L__2_2">#REF!</definedName>
    <definedName name="LISTON103">[55]PRECIO.MAT!#REF!</definedName>
    <definedName name="LISTON1033">'[54]PRECIO. MAT'!#REF!</definedName>
    <definedName name="LISTON55">[55]PRECIO.MAT!#REF!</definedName>
    <definedName name="LISTTRANSP">#REF!</definedName>
    <definedName name="liuoo" localSheetId="2" hidden="1">{"TAB1",#N/A,TRUE,"GENERAL";"TAB2",#N/A,TRUE,"GENERAL";"TAB3",#N/A,TRUE,"GENERAL";"TAB4",#N/A,TRUE,"GENERAL";"TAB5",#N/A,TRUE,"GENERAL"}</definedName>
    <definedName name="liuoo" localSheetId="1"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j">#REF!</definedName>
    <definedName name="Lk">#REF!</definedName>
    <definedName name="lkj" localSheetId="2" hidden="1">{"via1",#N/A,TRUE,"general";"via2",#N/A,TRUE,"general";"via3",#N/A,TRUE,"general"}</definedName>
    <definedName name="lkj" localSheetId="1"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localSheetId="1"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 localSheetId="2" hidden="1">{#N/A,#N/A,FALSE,"orthoflow";#N/A,#N/A,FALSE,"Miscelaneos";#N/A,#N/A,FALSE,"Instrumentacio";#N/A,#N/A,FALSE,"Electrico";#N/A,#N/A,FALSE,"Valv. Seguridad"}</definedName>
    <definedName name="LL" localSheetId="1" hidden="1">{#N/A,#N/A,FALSE,"orthoflow";#N/A,#N/A,FALSE,"Miscelaneos";#N/A,#N/A,FALSE,"Instrumentacio";#N/A,#N/A,FALSE,"Electrico";#N/A,#N/A,FALSE,"Valv. Seguridad"}</definedName>
    <definedName name="LL" localSheetId="0"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_1">"[0]!err"</definedName>
    <definedName name="llam">#REF!</definedName>
    <definedName name="LLAVE">#REF!</definedName>
    <definedName name="LLAVE_DE_CHORRO_1_2">#REF!</definedName>
    <definedName name="LLAVE_DE_INCORPORACION">#REF!</definedName>
    <definedName name="LLAVE_DE_PASO_1_2">#REF!</definedName>
    <definedName name="LLAVE_DE_PASO_DE_BOLA_DE_1_2">#REF!</definedName>
    <definedName name="LLAVE_DE_PASO_DE_BOLA_DE_3_4">#REF!</definedName>
    <definedName name="LLAVE_GALVANIZADA_1_2">#REF!</definedName>
    <definedName name="LLAVEDEPASO34">#REF!</definedName>
    <definedName name="LLL">[177]tub!$C$1:$J$39</definedName>
    <definedName name="lllllh" localSheetId="2" hidden="1">{"via1",#N/A,TRUE,"general";"via2",#N/A,TRUE,"general";"via3",#N/A,TRUE,"general"}</definedName>
    <definedName name="lllllh" localSheetId="1"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localSheetId="1"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m">#REF!</definedName>
    <definedName name="Ln">#REF!</definedName>
    <definedName name="Lñ">#REF!</definedName>
    <definedName name="LÑP">#REF!</definedName>
    <definedName name="lñrklññklñklfñkrl" localSheetId="8">[138]!ERR</definedName>
    <definedName name="lñrklññklñklfñkrl" localSheetId="7">[138]!ERR</definedName>
    <definedName name="lñrklññklñklfñkrl" localSheetId="5">[138]!ERR</definedName>
    <definedName name="lñrklññklñklfñkrl" localSheetId="1">[138]!ERR</definedName>
    <definedName name="lñrklññklñklfñkrl" localSheetId="0">[138]!ERR</definedName>
    <definedName name="lñrklññklñklfñkrl" localSheetId="4">[138]!ERR</definedName>
    <definedName name="lñrklññklñklfñkrl">[138]!ERR</definedName>
    <definedName name="LO">#REF!,#REF!,#REF!,#REF!,#REF!,#REF!,#REF!</definedName>
    <definedName name="Loan_Amount">#REF!</definedName>
    <definedName name="Loan_Start">#REF!</definedName>
    <definedName name="Loan_Years">#REF!</definedName>
    <definedName name="LOCA" localSheetId="8">[52]!absc</definedName>
    <definedName name="LOCA" localSheetId="7">[52]!absc</definedName>
    <definedName name="LOCA" localSheetId="5">[52]!absc</definedName>
    <definedName name="LOCA" localSheetId="1">[52]!absc</definedName>
    <definedName name="LOCA" localSheetId="0">[52]!absc</definedName>
    <definedName name="LOCA" localSheetId="4">[52]!absc</definedName>
    <definedName name="LOCA">[52]!absc</definedName>
    <definedName name="LOCA.">#REF!</definedName>
    <definedName name="LOCA1" localSheetId="8">[76]!absc</definedName>
    <definedName name="LOCA1" localSheetId="7">[76]!absc</definedName>
    <definedName name="LOCA1" localSheetId="5">[76]!absc</definedName>
    <definedName name="LOCA1" localSheetId="1">[76]!absc</definedName>
    <definedName name="LOCA1" localSheetId="0">[76]!absc</definedName>
    <definedName name="LOCA1" localSheetId="4">[76]!absc</definedName>
    <definedName name="LOCA1">[76]!absc</definedName>
    <definedName name="LOCALIZACION">#REF!</definedName>
    <definedName name="LOCALIZACION_Y_REPLANTEO">#REF!</definedName>
    <definedName name="LOCALIZACIÓN_Y_REPLANTEO._ESTRUCTURAS">#REF!</definedName>
    <definedName name="LOCAT1999" localSheetId="2" hidden="1">{"SUMINISTRO E INSTALACIÓN CANALETAS L=7.50"}</definedName>
    <definedName name="LOCAT1999" localSheetId="1" hidden="1">{"SUMINISTRO E INSTALACIÓN CANALETAS L=7.50"}</definedName>
    <definedName name="LOCAT1999" localSheetId="0" hidden="1">{"SUMINISTRO E INSTALACIÓN CANALETAS L=7.50"}</definedName>
    <definedName name="LOCAT1999" hidden="1">{"SUMINISTRO E INSTALACIÓN CANALETAS L=7.50"}</definedName>
    <definedName name="LOGO" localSheetId="2">'MC 1'!ERR</definedName>
    <definedName name="LOGO" localSheetId="1">'MC 2-3-4'!ERR</definedName>
    <definedName name="LOGO" localSheetId="0">'MC 5'!ERR</definedName>
    <definedName name="LOGO">[0]!ERR</definedName>
    <definedName name="LOGO_1">"[0]!err"</definedName>
    <definedName name="LOI">#REF!</definedName>
    <definedName name="lolol" localSheetId="2" hidden="1">{"TAB1",#N/A,TRUE,"GENERAL";"TAB2",#N/A,TRUE,"GENERAL";"TAB3",#N/A,TRUE,"GENERAL";"TAB4",#N/A,TRUE,"GENERAL";"TAB5",#N/A,TRUE,"GENERAL"}</definedName>
    <definedName name="lolol" localSheetId="1"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ongitud1">#REF!</definedName>
    <definedName name="Longitud2">#REF!</definedName>
    <definedName name="LOPE">#REF!</definedName>
    <definedName name="LOZAENCONCRETO">#REF!</definedName>
    <definedName name="lp">#REF!</definedName>
    <definedName name="lplpl" localSheetId="2" hidden="1">{"via1",#N/A,TRUE,"general";"via2",#N/A,TRUE,"general";"via3",#N/A,TRUE,"general"}</definedName>
    <definedName name="lplpl" localSheetId="1"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LPZ">#REF!</definedName>
    <definedName name="Lq">#REF!</definedName>
    <definedName name="Lr">#REF!</definedName>
    <definedName name="Ls">#REF!</definedName>
    <definedName name="lt">#REF!</definedName>
    <definedName name="Lu">#REF!</definedName>
    <definedName name="LUBRICANTE">[53]Materiales!#REF!</definedName>
    <definedName name="LUCY" localSheetId="8">OFFSET([0]!Full_Print,0,0,'CAP 2-3-4'!LOCA)</definedName>
    <definedName name="LUCY" localSheetId="7">OFFSET([0]!Full_Print,0,0,'CAP 5-6-7'!LOCA)</definedName>
    <definedName name="LUCY" localSheetId="5">OFFSET([0]!Full_Print,0,0,'CAP 8-9'!LOCA)</definedName>
    <definedName name="LUCY" localSheetId="2">OFFSET([0]!Full_Print,0,0,[0]!LOCA)</definedName>
    <definedName name="LUCY" localSheetId="1">OFFSET([0]!Full_Print,0,0,'MC 2-3-4'!LOCA)</definedName>
    <definedName name="LUCY" localSheetId="0">OFFSET([0]!Full_Print,0,0,'MC 5'!LOCA)</definedName>
    <definedName name="LUCY" localSheetId="4">OFFSET([0]!Full_Print,0,0,'PRESUPUESTO OFICIAL '!LOCA)</definedName>
    <definedName name="LUCY">OFFSET([0]!Full_Print,0,0,[0]!LOCA)</definedName>
    <definedName name="LUIS">#REF!</definedName>
    <definedName name="LUMINARIA_AHORRADORA_32_WATS">#REF!</definedName>
    <definedName name="LUMINARIA_FLUORESCENTE_CC_AC_2X32_T8">#REF!</definedName>
    <definedName name="LUMINARIA_NA_150_W__INCLUYE_FOTOCONTROL_Y_BOMBILLA">#REF!</definedName>
    <definedName name="LUMINARIA_NA_150_W_CALIMA_I_CON_FOTOCELDA_Y_BRAZO">#REF!</definedName>
    <definedName name="LUMINARIA_NA_150_W_CALIMA_II_ROY_ALPHA">#REF!</definedName>
    <definedName name="LUMINARIA_NA_400_W_CALIMA_II_ROY_ALPHA">#REF!</definedName>
    <definedName name="LUMINARIA_NA_70W_INCLUYE_FOTOCONTROL_Y_BOMBILLA">#REF!</definedName>
    <definedName name="LUMINARIA_SCHREDER_OPALO_1_70_W">#REF!</definedName>
    <definedName name="LUMINARIA_TIPO_CALIMA_I_I_150_W_NA">#REF!</definedName>
    <definedName name="LUMINARIA_TIPO_CALIMA_I_I_250_W_NA">#REF!</definedName>
    <definedName name="LUMINARIA_TIPO_ONIX1_CON_BOMBILLA">#REF!</definedName>
    <definedName name="LUMINARIA_TIPO_ONYX1_250_W_NA_INCLUYE_BOMBILLA">#REF!</definedName>
    <definedName name="lun">'[75]Res-Accide-10'!#REF!</definedName>
    <definedName name="LUNINARIA_DE_SODIO_TIPO_PEDESTAL_CON_FOTOCELDA">#REF!</definedName>
    <definedName name="lv">#REF!</definedName>
    <definedName name="Lz">#REF!</definedName>
    <definedName name="m">#REF!</definedName>
    <definedName name="M.DEO.">[139]MO!$D$5:$D$200</definedName>
    <definedName name="M.O" comment="Mano de obra">[90]M.Obra!$B$35:$B$42</definedName>
    <definedName name="M.O_D18C">#REF!</definedName>
    <definedName name="M2_">#REF!</definedName>
    <definedName name="M62_">#REF!</definedName>
    <definedName name="MA">'[75]Res-Accide-10'!#REF!</definedName>
    <definedName name="mac">#REF!</definedName>
    <definedName name="MACR">#REF!</definedName>
    <definedName name="MACRDEL">'[4]7422CW00'!#REF!</definedName>
    <definedName name="Macroactividad">#REF!</definedName>
    <definedName name="MACROMEDIDOR__3__B_x_B">#REF!</definedName>
    <definedName name="MACROMEDIDOR_4__B_x_B">#REF!</definedName>
    <definedName name="MAES">#REF!</definedName>
    <definedName name="maestro">#REF!</definedName>
    <definedName name="MAESTRO_DE_OBRA">#REF!</definedName>
    <definedName name="mafdsf" localSheetId="2" hidden="1">{"via1",#N/A,TRUE,"general";"via2",#N/A,TRUE,"general";"via3",#N/A,TRUE,"general"}</definedName>
    <definedName name="mafdsf" localSheetId="1"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L">'[178]Estado Resumen'!#REF!&lt;2.5</definedName>
    <definedName name="MALLA">#REF!</definedName>
    <definedName name="MALLA_DE_CERRAMIENTO">#REF!</definedName>
    <definedName name="MALLA_ELECTROSOLDADA_5MM_0_15_X_0_15">#REF!</definedName>
    <definedName name="MALLA_ELECTROSOLDADA_5MM_0_25_X_0_25">#REF!</definedName>
    <definedName name="Malla_Electrosoldada_600_15x15cm">#REF!</definedName>
    <definedName name="MALLA_GALVANIZADA__10_CON_MARCO_EN_ÁNGULO_DE_1_1_2__1_8__Y_TUBERÍA_GALVANIZADA_TIPO_CERRAMIENTO_DE_2___H_1_80_MTS">#REF!</definedName>
    <definedName name="Malla_Gavion_2X1X1">#REF!</definedName>
    <definedName name="MALLA_VOLEIBOL">#REF!</definedName>
    <definedName name="MALO">'[179]ESTADO VÍA-CRIT.TECNICO'!#REF!&lt;2.5</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ma">#REF!</definedName>
    <definedName name="MAMPOSTERIA">#REF!</definedName>
    <definedName name="MAMPOSTERO">#REF!</definedName>
    <definedName name="MANGLE">#REF!</definedName>
    <definedName name="MANGUERA">#REF!</definedName>
    <definedName name="MANO">[180]M.DE.O!$E$10:$G$28</definedName>
    <definedName name="MANO_OBRA">#REF!</definedName>
    <definedName name="MANOCALIFICADA">#REF!</definedName>
    <definedName name="MANODEOBRA">[56]M.Obra!$A$21:$I$50</definedName>
    <definedName name="MANOO">#REF!</definedName>
    <definedName name="mantenimiento">'[181]COSTOS OFICINA'!#REF!</definedName>
    <definedName name="MANUAL">#REF!</definedName>
    <definedName name="mao" localSheetId="2" hidden="1">{"TAB1",#N/A,TRUE,"GENERAL";"TAB2",#N/A,TRUE,"GENERAL";"TAB3",#N/A,TRUE,"GENERAL";"TAB4",#N/A,TRUE,"GENERAL";"TAB5",#N/A,TRUE,"GENERAL"}</definedName>
    <definedName name="mao" localSheetId="1"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localSheetId="1"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P">'[182]PU (2)'!#REF!</definedName>
    <definedName name="MAQ">[183]INSUMOS!$L$16:$L$35</definedName>
    <definedName name="MAQUINA">#REF!</definedName>
    <definedName name="MAQUINA2">#REF!</definedName>
    <definedName name="MAQUINAR">[100]Insum!$A$68:$H$98</definedName>
    <definedName name="mar">'[75]Res-Accide-10'!#REF!</definedName>
    <definedName name="MARCO_H">#REF!</definedName>
    <definedName name="MARCOANJEO">'[54]PRECIO. MAT'!#REF!</definedName>
    <definedName name="MARCOLITA">#REF!</definedName>
    <definedName name="MARCOPUERTA">#REF!</definedName>
    <definedName name="MARCOS_EN_ALUMINIO">#REF!</definedName>
    <definedName name="marina">'[184]Informe Semanal 1'!#REF!</definedName>
    <definedName name="MARTA" localSheetId="2">IF([0]!Loan_Amount*[0]!Interest_Rate*[0]!Loan_Years*[0]!Loan_Start&gt;0,1,0)</definedName>
    <definedName name="MARTA" localSheetId="1">IF([0]!Loan_Amount*[0]!Interest_Rate*[0]!Loan_Years*[0]!Loan_Start&gt;0,1,0)</definedName>
    <definedName name="MARTA" localSheetId="0">IF([0]!Loan_Amount*[0]!Interest_Rate*[0]!Loan_Years*[0]!Loan_Start&gt;0,1,0)</definedName>
    <definedName name="MARTA">IF([0]!Loan_Amount*[0]!Interest_Rate*[0]!Loan_Years*[0]!Loan_Start&gt;0,1,0)</definedName>
    <definedName name="MASILLA">#REF!</definedName>
    <definedName name="masor" localSheetId="2" hidden="1">{"via1",#N/A,TRUE,"general";"via2",#N/A,TRUE,"general";"via3",#N/A,TRUE,"general"}</definedName>
    <definedName name="masor" localSheetId="1"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astDetail">#REF!</definedName>
    <definedName name="MastHeading">#REF!</definedName>
    <definedName name="MASTIL_EN_CONCRETO_REFORZADO_14mts">#REF!</definedName>
    <definedName name="MAT">#REF!</definedName>
    <definedName name="MATADEROSANITARIO">#REF!</definedName>
    <definedName name="MATER">[140]MATERIAL!$B$3:$B$580</definedName>
    <definedName name="MATERIAL">'[185]TABLA MATERIALES'!$A$3:$D$654</definedName>
    <definedName name="Material__de_afirmado">#REF!</definedName>
    <definedName name="Material__granular_para_filtro_Tam_Max_1_1_2">#REF!</definedName>
    <definedName name="MATERIAL_AMARILLO_SELECCIONADO">[53]Materiales!#REF!</definedName>
    <definedName name="Material_Base_Granular">#REF!</definedName>
    <definedName name="MATERIAL_FILTRANTE">#REF!</definedName>
    <definedName name="Material_Granular">#REF!</definedName>
    <definedName name="materiales">[141]materiales!$A$7:$A$1317</definedName>
    <definedName name="MATERIALES__KM_M3">#REF!</definedName>
    <definedName name="materiales1">#REF!</definedName>
    <definedName name="MATERIALES2">'[186]LISTA DE MATERIALES'!$A$2:$E$394</definedName>
    <definedName name="MATERIALS">'[54]PRECIO. MAT'!$C$13</definedName>
    <definedName name="MATERIALSELECCIONADO">'[54]PRECIO. MAT'!#REF!</definedName>
    <definedName name="MaterialTub">#REF!</definedName>
    <definedName name="matgranular">#REF!</definedName>
    <definedName name="MATR">#REF!</definedName>
    <definedName name="MATRIZ">#REF!</definedName>
    <definedName name="MATRIZ.D">#REF!</definedName>
    <definedName name="MATRIZ.E">'[187]EXTRACCIÓN (PARAFINADA)'!#REF!</definedName>
    <definedName name="MATRIZ_DE_DATOS">#REF!</definedName>
    <definedName name="MAY">#REF!</definedName>
    <definedName name="Mb">#REF!</definedName>
    <definedName name="MCCs">#REF!</definedName>
    <definedName name="MDC">#REF!</definedName>
    <definedName name="mdd" localSheetId="2" hidden="1">{"via1",#N/A,TRUE,"general";"via2",#N/A,TRUE,"general";"via3",#N/A,TRUE,"general"}</definedName>
    <definedName name="mdd" localSheetId="1"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DEO">[180]M.DE.O!$E$10:$E$28</definedName>
    <definedName name="MDO">[97]MH!$A$5:$A$19</definedName>
    <definedName name="ME">#REF!</definedName>
    <definedName name="mediah_reposo_comida">'[188]CCP,LEYES, Y DEC.'!#REF!</definedName>
    <definedName name="MEDIDA">#REF!</definedName>
    <definedName name="MEDIDOR_MONOFASICO_TRIFILAR">#REF!</definedName>
    <definedName name="meg" localSheetId="2" hidden="1">{"TAB1",#N/A,TRUE,"GENERAL";"TAB2",#N/A,TRUE,"GENERAL";"TAB3",#N/A,TRUE,"GENERAL";"TAB4",#N/A,TRUE,"GENERAL";"TAB5",#N/A,TRUE,"GENERAL"}</definedName>
    <definedName name="meg" localSheetId="1"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joramientosubrasante">#REF!</definedName>
    <definedName name="MEMORIAS_DE_CALCULO">#REF!</definedName>
    <definedName name="MENU1">'[4]7422CW00'!#REF!</definedName>
    <definedName name="MENU2">'[4]7422CW00'!#REF!</definedName>
    <definedName name="MENU3">'[4]7422CW00'!#REF!</definedName>
    <definedName name="MENU4">'[4]7422CW00'!#REF!</definedName>
    <definedName name="MENU5">'[4]7422CW00'!#REF!</definedName>
    <definedName name="MENU6">'[4]7422CW00'!#REF!</definedName>
    <definedName name="MES">[51]PRESUPUESTO!$C$13</definedName>
    <definedName name="MesCotiz">'[18]LIQ-NOM'!$H$3</definedName>
    <definedName name="MesCotizacion">'[80]LIQUIDA-NOMINA'!$H$3</definedName>
    <definedName name="MESES">#REF!</definedName>
    <definedName name="MesesMora">'[18]LIQ-NOM'!$I$3</definedName>
    <definedName name="MESON">#REF!</definedName>
    <definedName name="Meta1">#REF!</definedName>
    <definedName name="Meta2">#REF!</definedName>
    <definedName name="Meta3">#REF!</definedName>
    <definedName name="MetalsDetail">#REF!</definedName>
    <definedName name="MetalsFundsFlow">#REF!</definedName>
    <definedName name="MetalsFundsFlowHeading">#REF!</definedName>
    <definedName name="MetalsFundsFlowPA">#REF!</definedName>
    <definedName name="MetalsFundsFlowPAHeading">#REF!</definedName>
    <definedName name="MetalsHeading">#REF!</definedName>
    <definedName name="MetalsPostDetail">#REF!</definedName>
    <definedName name="MetalsPostHeading">#REF!</definedName>
    <definedName name="MetDetail">#REF!</definedName>
    <definedName name="MetElimDetail">#REF!</definedName>
    <definedName name="MetElimHeading">#REF!</definedName>
    <definedName name="MetHeading">#REF!</definedName>
    <definedName name="MetSumDetail">#REF!</definedName>
    <definedName name="MetSumHeading">#REF!</definedName>
    <definedName name="mezcla">25000</definedName>
    <definedName name="MEZCLADORA">[54]ATHE!$G$69</definedName>
    <definedName name="Mezcladora_Concreto">#REF!</definedName>
    <definedName name="MEZCLADORA_DE_CONCRETO">[62]Equipo!$F$10</definedName>
    <definedName name="mf">#REF!</definedName>
    <definedName name="mfgjrdt" localSheetId="2"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localSheetId="1"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hg">#REF!</definedName>
    <definedName name="mht">#REF!</definedName>
    <definedName name="MHU7GT" hidden="1">#REF!</definedName>
    <definedName name="mhy">#REF!</definedName>
    <definedName name="MI">#REF!,#REF!,#REF!,#REF!,#REF!,#REF!,#REF!</definedName>
    <definedName name="Mi_Salida">#REF!</definedName>
    <definedName name="Mi_Salida1">#REF!</definedName>
    <definedName name="MICR">#REF!</definedName>
    <definedName name="MIN_MAX_sma">#REF!</definedName>
    <definedName name="Mínimo">#REF!</definedName>
    <definedName name="mjmj" localSheetId="2" hidden="1">{"via1",#N/A,TRUE,"general";"via2",#N/A,TRUE,"general";"via3",#N/A,TRUE,"general"}</definedName>
    <definedName name="mjmj" localSheetId="1"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localSheetId="1"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localSheetId="1"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JU">#REF!</definedName>
    <definedName name="mkj">#REF!</definedName>
    <definedName name="mku">#REF!</definedName>
    <definedName name="ML">#REF!,#REF!,#REF!,#REF!,#REF!,#REF!,#REF!</definedName>
    <definedName name="MM">#REF!</definedName>
    <definedName name="mmjmjh" localSheetId="2" hidden="1">{"TAB1",#N/A,TRUE,"GENERAL";"TAB2",#N/A,TRUE,"GENERAL";"TAB3",#N/A,TRUE,"GENERAL";"TAB4",#N/A,TRUE,"GENERAL";"TAB5",#N/A,TRUE,"GENERAL"}</definedName>
    <definedName name="mmjmjh" localSheetId="1"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localSheetId="1"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localSheetId="1"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localSheetId="1"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localSheetId="1"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localSheetId="1" hidden="1">{"via1",#N/A,TRUE,"general";"via2",#N/A,TRUE,"general";"via3",#N/A,TRUE,"general"}</definedName>
    <definedName name="MN" localSheetId="0" hidden="1">{"via1",#N/A,TRUE,"general";"via2",#N/A,TRUE,"general";"via3",#N/A,TRUE,"general"}</definedName>
    <definedName name="MN" hidden="1">{"via1",#N/A,TRUE,"general";"via2",#N/A,TRUE,"general";"via3",#N/A,TRUE,"general"}</definedName>
    <definedName name="MO">[189]MO!$A$4:$E$585</definedName>
    <definedName name="MOA" localSheetId="2" hidden="1">{#N/A,#N/A,FALSE,"Hoja1";#N/A,#N/A,FALSE,"Hoja2"}</definedName>
    <definedName name="MOA" localSheetId="1" hidden="1">{#N/A,#N/A,FALSE,"Hoja1";#N/A,#N/A,FALSE,"Hoja2"}</definedName>
    <definedName name="MOA" localSheetId="0" hidden="1">{#N/A,#N/A,FALSE,"Hoja1";#N/A,#N/A,FALSE,"Hoja2"}</definedName>
    <definedName name="MOA" hidden="1">{#N/A,#N/A,FALSE,"Hoja1";#N/A,#N/A,FALSE,"Hoja2"}</definedName>
    <definedName name="MOBRA">[190]INSUMOS!$L$1:$O$108</definedName>
    <definedName name="MOD">#REF!</definedName>
    <definedName name="MODIF" hidden="1">#REF!</definedName>
    <definedName name="MODIF2" hidden="1">#REF!</definedName>
    <definedName name="MODIG" hidden="1">#REF!</definedName>
    <definedName name="MODIVejec" localSheetId="2" hidden="1">{#N/A,#N/A,FALSE,"Hoja1";#N/A,#N/A,FALSE,"Hoja2"}</definedName>
    <definedName name="MODIVejec" localSheetId="1" hidden="1">{#N/A,#N/A,FALSE,"Hoja1";#N/A,#N/A,FALSE,"Hoja2"}</definedName>
    <definedName name="MODIVejec" localSheetId="0" hidden="1">{#N/A,#N/A,FALSE,"Hoja1";#N/A,#N/A,FALSE,"Hoja2"}</definedName>
    <definedName name="MODIVejec" hidden="1">{#N/A,#N/A,FALSE,"Hoja1";#N/A,#N/A,FALSE,"Hoja2"}</definedName>
    <definedName name="Módulo3.anexo1" localSheetId="8">[17]!Módulo3.anexo1</definedName>
    <definedName name="Módulo3.anexo1" localSheetId="7">[17]!Módulo3.anexo1</definedName>
    <definedName name="Módulo3.anexo1" localSheetId="5">[17]!Módulo3.anexo1</definedName>
    <definedName name="Módulo3.anexo1" localSheetId="1">[17]!Módulo3.anexo1</definedName>
    <definedName name="Módulo3.anexo1" localSheetId="0">[17]!Módulo3.anexo1</definedName>
    <definedName name="Módulo3.anexo1" localSheetId="4">[17]!Módulo3.anexo1</definedName>
    <definedName name="Módulo3.anexo1">[17]!Módulo3.anexo1</definedName>
    <definedName name="Módulo3.anexo10" localSheetId="8">[17]!Módulo3.anexo10</definedName>
    <definedName name="Módulo3.anexo10" localSheetId="7">[17]!Módulo3.anexo10</definedName>
    <definedName name="Módulo3.anexo10" localSheetId="5">[17]!Módulo3.anexo10</definedName>
    <definedName name="Módulo3.anexo10" localSheetId="1">[17]!Módulo3.anexo10</definedName>
    <definedName name="Módulo3.anexo10" localSheetId="0">[17]!Módulo3.anexo10</definedName>
    <definedName name="Módulo3.anexo10" localSheetId="4">[17]!Módulo3.anexo10</definedName>
    <definedName name="Módulo3.anexo10">[17]!Módulo3.anexo10</definedName>
    <definedName name="Módulo3.anexo11" localSheetId="8">[17]!Módulo3.anexo11</definedName>
    <definedName name="Módulo3.anexo11" localSheetId="7">[17]!Módulo3.anexo11</definedName>
    <definedName name="Módulo3.anexo11" localSheetId="5">[17]!Módulo3.anexo11</definedName>
    <definedName name="Módulo3.anexo11" localSheetId="1">[17]!Módulo3.anexo11</definedName>
    <definedName name="Módulo3.anexo11" localSheetId="0">[17]!Módulo3.anexo11</definedName>
    <definedName name="Módulo3.anexo11" localSheetId="4">[17]!Módulo3.anexo11</definedName>
    <definedName name="Módulo3.anexo11">[17]!Módulo3.anexo11</definedName>
    <definedName name="Módulo3.anexo12" localSheetId="8">[17]!Módulo3.anexo12</definedName>
    <definedName name="Módulo3.anexo12" localSheetId="7">[17]!Módulo3.anexo12</definedName>
    <definedName name="Módulo3.anexo12" localSheetId="5">[17]!Módulo3.anexo12</definedName>
    <definedName name="Módulo3.anexo12" localSheetId="1">[17]!Módulo3.anexo12</definedName>
    <definedName name="Módulo3.anexo12" localSheetId="0">[17]!Módulo3.anexo12</definedName>
    <definedName name="Módulo3.anexo12" localSheetId="4">[17]!Módulo3.anexo12</definedName>
    <definedName name="Módulo3.anexo12">[17]!Módulo3.anexo12</definedName>
    <definedName name="Módulo3.anexo3" localSheetId="8">[17]!Módulo3.anexo3</definedName>
    <definedName name="Módulo3.anexo3" localSheetId="7">[17]!Módulo3.anexo3</definedName>
    <definedName name="Módulo3.anexo3" localSheetId="5">[17]!Módulo3.anexo3</definedName>
    <definedName name="Módulo3.anexo3" localSheetId="1">[17]!Módulo3.anexo3</definedName>
    <definedName name="Módulo3.anexo3" localSheetId="0">[17]!Módulo3.anexo3</definedName>
    <definedName name="Módulo3.anexo3" localSheetId="4">[17]!Módulo3.anexo3</definedName>
    <definedName name="Módulo3.anexo3">[17]!Módulo3.anexo3</definedName>
    <definedName name="Módulo3.anexo4" localSheetId="8">[17]!Módulo3.anexo4</definedName>
    <definedName name="Módulo3.anexo4" localSheetId="7">[17]!Módulo3.anexo4</definedName>
    <definedName name="Módulo3.anexo4" localSheetId="5">[17]!Módulo3.anexo4</definedName>
    <definedName name="Módulo3.anexo4" localSheetId="1">[17]!Módulo3.anexo4</definedName>
    <definedName name="Módulo3.anexo4" localSheetId="0">[17]!Módulo3.anexo4</definedName>
    <definedName name="Módulo3.anexo4" localSheetId="4">[17]!Módulo3.anexo4</definedName>
    <definedName name="Módulo3.anexo4">[17]!Módulo3.anexo4</definedName>
    <definedName name="Módulo3.anexo5" localSheetId="8">[17]!Módulo3.anexo5</definedName>
    <definedName name="Módulo3.anexo5" localSheetId="7">[17]!Módulo3.anexo5</definedName>
    <definedName name="Módulo3.anexo5" localSheetId="5">[17]!Módulo3.anexo5</definedName>
    <definedName name="Módulo3.anexo5" localSheetId="1">[17]!Módulo3.anexo5</definedName>
    <definedName name="Módulo3.anexo5" localSheetId="0">[17]!Módulo3.anexo5</definedName>
    <definedName name="Módulo3.anexo5" localSheetId="4">[17]!Módulo3.anexo5</definedName>
    <definedName name="Módulo3.anexo5">[17]!Módulo3.anexo5</definedName>
    <definedName name="Módulo3.anexo6" localSheetId="8">[17]!Módulo3.anexo6</definedName>
    <definedName name="Módulo3.anexo6" localSheetId="7">[17]!Módulo3.anexo6</definedName>
    <definedName name="Módulo3.anexo6" localSheetId="5">[17]!Módulo3.anexo6</definedName>
    <definedName name="Módulo3.anexo6" localSheetId="1">[17]!Módulo3.anexo6</definedName>
    <definedName name="Módulo3.anexo6" localSheetId="0">[17]!Módulo3.anexo6</definedName>
    <definedName name="Módulo3.anexo6" localSheetId="4">[17]!Módulo3.anexo6</definedName>
    <definedName name="Módulo3.anexo6">[17]!Módulo3.anexo6</definedName>
    <definedName name="Módulo8.anexo16" localSheetId="8">[17]!Módulo8.anexo16</definedName>
    <definedName name="Módulo8.anexo16" localSheetId="7">[17]!Módulo8.anexo16</definedName>
    <definedName name="Módulo8.anexo16" localSheetId="5">[17]!Módulo8.anexo16</definedName>
    <definedName name="Módulo8.anexo16" localSheetId="1">[17]!Módulo8.anexo16</definedName>
    <definedName name="Módulo8.anexo16" localSheetId="0">[17]!Módulo8.anexo16</definedName>
    <definedName name="Módulo8.anexo16" localSheetId="4">[17]!Módulo8.anexo16</definedName>
    <definedName name="Módulo8.anexo16">[17]!Módulo8.anexo16</definedName>
    <definedName name="MODULOSEÑALIZACION">#REF!</definedName>
    <definedName name="MOE" localSheetId="2" hidden="1">{#N/A,#N/A,FALSE,"Hoja1";#N/A,#N/A,FALSE,"Hoja2"}</definedName>
    <definedName name="MOE" localSheetId="1" hidden="1">{#N/A,#N/A,FALSE,"Hoja1";#N/A,#N/A,FALSE,"Hoja2"}</definedName>
    <definedName name="MOE" localSheetId="0" hidden="1">{#N/A,#N/A,FALSE,"Hoja1";#N/A,#N/A,FALSE,"Hoja2"}</definedName>
    <definedName name="MOE" hidden="1">{#N/A,#N/A,FALSE,"Hoja1";#N/A,#N/A,FALSE,"Hoja2"}</definedName>
    <definedName name="mog" hidden="1">#REF!</definedName>
    <definedName name="MONEDA">[191]Tablas!$AO$6:$AO$7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'[144]Ba Da'!$B$46</definedName>
    <definedName name="MOR1_4">#REF!</definedName>
    <definedName name="Mora">[18]EMPRESA!$I$29</definedName>
    <definedName name="MORON">#REF!</definedName>
    <definedName name="MORT">#REF!</definedName>
    <definedName name="MORTE12">#REF!</definedName>
    <definedName name="MORTE14">#REF!</definedName>
    <definedName name="morte15">#REF!</definedName>
    <definedName name="MORTE16">#REF!</definedName>
    <definedName name="MORTER_IMPERMEABILIZANTE1_3">#REF!</definedName>
    <definedName name="MORTER_JUNTAS_BORDILLO_PREFABRICADO">#REF!</definedName>
    <definedName name="MORTER1_1">#REF!</definedName>
    <definedName name="MORTER1_2">#REF!</definedName>
    <definedName name="MORTERO">'[192]Base Datos'!$B$218</definedName>
    <definedName name="MORTERO_DE_PEGA_JUNTAS_BORDILLO_PREFABRICADO">#REF!</definedName>
    <definedName name="MORTERO12">#REF!</definedName>
    <definedName name="mortero12i">#REF!</definedName>
    <definedName name="MORTERO13">#REF!</definedName>
    <definedName name="MORTERO14">#REF!</definedName>
    <definedName name="MOTO">'[155]Actual Data (STX)'!$A$1:$B$8</definedName>
    <definedName name="MOTO3">'[155]Actual Data (STX)'!$A$10:$B$17</definedName>
    <definedName name="MOTOBOMBA">#REF!</definedName>
    <definedName name="MOTOBOMBAITEM">#REF!</definedName>
    <definedName name="MOTONIVELADORA">[55]ATHE!$G$162</definedName>
    <definedName name="Motoniveladora__potencia_215_HP__ancho_de_cuchilla_4_27_m__peso_18_ton.">#REF!</definedName>
    <definedName name="Motor">'[155]Actual Data (MAP)'!$B$1:$C$8</definedName>
    <definedName name="mpio">#REF!</definedName>
    <definedName name="MPMDetail">#REF!</definedName>
    <definedName name="MPMHeading">#REF!</definedName>
    <definedName name="MPP">[117]variables_formulación!$D$23</definedName>
    <definedName name="mr">#REF!</definedName>
    <definedName name="MRLART">[2]STRSUMM0!#REF!</definedName>
    <definedName name="MRSUPDET">[87]steel!#REF!</definedName>
    <definedName name="Mtz_Avance">#REF!</definedName>
    <definedName name="MU">'[79]CIRCUITOS CODENSA'!#REF!</definedName>
    <definedName name="municipio">#REF!</definedName>
    <definedName name="municipios">[66]Hoja1!$G$4:$G$9</definedName>
    <definedName name="MURO">#REF!</definedName>
    <definedName name="MUROALAVISTA">[91]APU!#REF!</definedName>
    <definedName name="MUROBC">#REF!</definedName>
    <definedName name="MUROBLOQUE">#REF!</definedName>
    <definedName name="murocontencion">#REF!</definedName>
    <definedName name="MUROLADRILLOVISTA">#REF!</definedName>
    <definedName name="MUROSOGA">#REF!</definedName>
    <definedName name="MUROTIZON">#REF!</definedName>
    <definedName name="MUROTOLETE">#REF!</definedName>
    <definedName name="Mv">#REF!</definedName>
    <definedName name="MZ">'[79]CIRCUITOS CODENSA'!#REF!</definedName>
    <definedName name="n" localSheetId="2" hidden="1">{"via1",#N/A,TRUE,"general";"via2",#N/A,TRUE,"general";"via3",#N/A,TRUE,"general"}</definedName>
    <definedName name="n" localSheetId="1" hidden="1">{"via1",#N/A,TRUE,"general";"via2",#N/A,TRUE,"general";"via3",#N/A,TRUE,"general"}</definedName>
    <definedName name="n" localSheetId="0" hidden="1">{"via1",#N/A,TRUE,"general";"via2",#N/A,TRUE,"general";"via3",#N/A,TRUE,"general"}</definedName>
    <definedName name="n" hidden="1">{"via1",#N/A,TRUE,"general";"via2",#N/A,TRUE,"general";"via3",#N/A,TRUE,"general"}</definedName>
    <definedName name="N.BAT">#REF!</definedName>
    <definedName name="N11.4">#REF!</definedName>
    <definedName name="N115KV">#REF!</definedName>
    <definedName name="N220V">#REF!</definedName>
    <definedName name="N34.5">#REF!</definedName>
    <definedName name="NA">#REF!</definedName>
    <definedName name="Nada" localSheetId="8">[95]!Nada</definedName>
    <definedName name="Nada" localSheetId="7">[95]!Nada</definedName>
    <definedName name="Nada" localSheetId="5">[95]!Nada</definedName>
    <definedName name="Nada" localSheetId="1">[95]!Nada</definedName>
    <definedName name="Nada" localSheetId="0">[95]!Nada</definedName>
    <definedName name="Nada" localSheetId="4">[95]!Nada</definedName>
    <definedName name="Nada">[95]!Nada</definedName>
    <definedName name="Nafta_2">'[193] ASR+Nafta'!$K$19:$AS$19</definedName>
    <definedName name="Nafta2">'[193] ASR+Nafta'!$K$19:$AS$19</definedName>
    <definedName name="Nafta3">'[193]Todos+Nafta'!$K$19:$AS$19</definedName>
    <definedName name="nb">#REF!</definedName>
    <definedName name="nbv">#REF!</definedName>
    <definedName name="nbvnv" localSheetId="2" hidden="1">{"via1",#N/A,TRUE,"general";"via2",#N/A,TRUE,"general";"via3",#N/A,TRUE,"general"}</definedName>
    <definedName name="nbvnv" localSheetId="1"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c">#REF!</definedName>
    <definedName name="Nd">#REF!</definedName>
    <definedName name="ndbdbd">#REF!</definedName>
    <definedName name="NDHS" localSheetId="2" hidden="1">{"TAB1",#N/A,TRUE,"GENERAL";"TAB2",#N/A,TRUE,"GENERAL";"TAB3",#N/A,TRUE,"GENERAL";"TAB4",#N/A,TRUE,"GENERAL";"TAB5",#N/A,TRUE,"GENERAL"}</definedName>
    <definedName name="NDHS" localSheetId="1"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e">#REF!</definedName>
    <definedName name="nece.cab">#REF!</definedName>
    <definedName name="NEOLAI">#REF!</definedName>
    <definedName name="NES">#REF!</definedName>
    <definedName name="nf" localSheetId="2" hidden="1">{"TAB1",#N/A,TRUE,"GENERAL";"TAB2",#N/A,TRUE,"GENERAL";"TAB3",#N/A,TRUE,"GENERAL";"TAB4",#N/A,TRUE,"GENERAL";"TAB5",#N/A,TRUE,"GENERAL"}</definedName>
    <definedName name="nf" localSheetId="1"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localSheetId="1"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HRTY" hidden="1">#REF!</definedName>
    <definedName name="nfgn" localSheetId="2" hidden="1">{"via1",#N/A,TRUE,"general";"via2",#N/A,TRUE,"general";"via3",#N/A,TRUE,"general"}</definedName>
    <definedName name="nfgn" localSheetId="1"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localSheetId="1"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localSheetId="1"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#REF!</definedName>
    <definedName name="NHG">#REF!</definedName>
    <definedName name="nhn" localSheetId="2" hidden="1">{"via1",#N/A,TRUE,"general";"via2",#N/A,TRUE,"general";"via3",#N/A,TRUE,"general"}</definedName>
    <definedName name="nhn" localSheetId="1"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localSheetId="1"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localSheetId="1"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inguno">#REF!</definedName>
    <definedName name="NIPLE_DE_1_2__ROSCADO_DE_HG_x_L__3_PULGADAS">#REF!</definedName>
    <definedName name="NIPLE_DE_3__B_x_EL_L__0.25_MTS">#REF!</definedName>
    <definedName name="NIPLE_DE_4__B_x_EL_L__0.25_MTS">#REF!</definedName>
    <definedName name="NIPLE_L__0.25">#REF!</definedName>
    <definedName name="Nit">[80]EMPRESA!$F$8</definedName>
    <definedName name="Nivel1">#REF!</definedName>
    <definedName name="Nivel2">#REF!</definedName>
    <definedName name="Nivel3">#REF!</definedName>
    <definedName name="Nivel4">#REF!</definedName>
    <definedName name="NJH">#REF!</definedName>
    <definedName name="NM">#REF!</definedName>
    <definedName name="Nmax">#REF!</definedName>
    <definedName name="nmdlf">#REF!</definedName>
    <definedName name="nmmmm" localSheetId="2" hidden="1">{"via1",#N/A,TRUE,"general";"via2",#N/A,TRUE,"general";"via3",#N/A,TRUE,"general"}</definedName>
    <definedName name="nmmmm" localSheetId="1"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localSheetId="1"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localSheetId="1"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localSheetId="1" hidden="1">{"TAB1",#N/A,TRUE,"GENERAL";"TAB2",#N/A,TRUE,"GENERAL";"TAB3",#N/A,TRUE,"GENERAL";"TAB4",#N/A,TRUE,"GENERAL";"TAB5",#N/A,TRUE,"GENERAL"}</definedName>
    <definedName name="nnn" localSheetId="0"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localSheetId="1"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localSheetId="1"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localSheetId="1"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localSheetId="1"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NO" localSheetId="2">'MC 1'!ERR</definedName>
    <definedName name="NO" localSheetId="1">'MC 2-3-4'!ERR</definedName>
    <definedName name="NO" localSheetId="0">'MC 5'!ERR</definedName>
    <definedName name="NO">[0]!ERR</definedName>
    <definedName name="NO_1">"[0]!err"</definedName>
    <definedName name="No_desarrolladas">'[57]Reservas de Petróleo'!$A$2,'[57]Reservas de Petróleo'!$A$1,'[57]Reservas de Petróleo'!$D$4,'[57]Reservas de Petróleo'!$G$1:$G$65536</definedName>
    <definedName name="NoFacturable">#REF!</definedName>
    <definedName name="NOM">'[194]ID-01'!$A$1</definedName>
    <definedName name="NOMBRE">#REF!</definedName>
    <definedName name="NOMBRE_2">#REF!</definedName>
    <definedName name="NOMBRE1">[54]ATHE!#REF!</definedName>
    <definedName name="NOMBRE2">[54]ATHE!#REF!</definedName>
    <definedName name="NOMBRE3">[54]ATHE!#REF!</definedName>
    <definedName name="NombreCoordinador">#REF!</definedName>
    <definedName name="NombreDependencia">#REF!</definedName>
    <definedName name="NOMBREOBRA">#REF!</definedName>
    <definedName name="NombreProyecto">#REF!</definedName>
    <definedName name="NombreVicepresidencia">#REF!</definedName>
    <definedName name="Norte">#REF!</definedName>
    <definedName name="NORTERO">#REF!</definedName>
    <definedName name="NOV">#REF!</definedName>
    <definedName name="novafort160">#REF!</definedName>
    <definedName name="novafort200">#REF!</definedName>
    <definedName name="NPAGE">[2]STRSUMM0!#REF!</definedName>
    <definedName name="nr">#REF!</definedName>
    <definedName name="nt">#REF!</definedName>
    <definedName name="NUEVO">#REF!</definedName>
    <definedName name="Num">#REF!</definedName>
    <definedName name="Num_Pmt_Per_Year">#REF!</definedName>
    <definedName name="Number_of_Payments" localSheetId="2">MATCH(0.01,End_Bal,-1)+1</definedName>
    <definedName name="Number_of_Payments" localSheetId="1">MATCH(0.01,[0]!End_Bal,-1)+1</definedName>
    <definedName name="Number_of_Payments" localSheetId="0">MATCH(0.01,[0]!End_Bal,-1)+1</definedName>
    <definedName name="Number_of_Payments">MATCH(0.01,End_Bal,-1)+1</definedName>
    <definedName name="Numeral">#REF!</definedName>
    <definedName name="Numero">#REF!</definedName>
    <definedName name="NUNI">#REF!</definedName>
    <definedName name="nxn" localSheetId="2" hidden="1">{"via1",#N/A,TRUE,"general";"via2",#N/A,TRUE,"general";"via3",#N/A,TRUE,"general"}</definedName>
    <definedName name="nxn" localSheetId="1"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#REF!</definedName>
    <definedName name="ñl">#REF!</definedName>
    <definedName name="ññ">#REF!</definedName>
    <definedName name="ÑÑ_1">"[0]!err"</definedName>
    <definedName name="ÑÑÑ">#REF!</definedName>
    <definedName name="ñok">#REF!</definedName>
    <definedName name="ñp">#REF!</definedName>
    <definedName name="ñpñpñ" localSheetId="2" hidden="1">{"via1",#N/A,TRUE,"general";"via2",#N/A,TRUE,"general";"via3",#N/A,TRUE,"general"}</definedName>
    <definedName name="ñpñpñ" localSheetId="1"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ñpo">#REF!</definedName>
    <definedName name="O">#REF!</definedName>
    <definedName name="º1">#REF!</definedName>
    <definedName name="o9o9" localSheetId="2" hidden="1">{"via1",#N/A,TRUE,"general";"via2",#N/A,TRUE,"general";"via3",#N/A,TRUE,"general"}</definedName>
    <definedName name="o9o9" localSheetId="1"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BJ">[51]PRESUPUESTO!$C$10</definedName>
    <definedName name="ObjetivoProyecto">#REF!</definedName>
    <definedName name="OBJETO">#REF!</definedName>
    <definedName name="Obra">#REF!</definedName>
    <definedName name="obras" hidden="1">#REF!</definedName>
    <definedName name="OBRAS_ADICIONALES">#REF!</definedName>
    <definedName name="obras1" localSheetId="8">DATE(YEAR([195]!Loan_Start),MONTH([195]!Loan_Start)+Payment_Number,DAY([195]!Loan_Start))</definedName>
    <definedName name="obras1" localSheetId="7">DATE(YEAR([195]!Loan_Start),MONTH([195]!Loan_Start)+Payment_Number,DAY([195]!Loan_Start))</definedName>
    <definedName name="obras1" localSheetId="5">DATE(YEAR([195]!Loan_Start),MONTH([195]!Loan_Start)+Payment_Number,DAY([195]!Loan_Start))</definedName>
    <definedName name="obras1" localSheetId="2">DATE(YEAR([195]!Loan_Start),MONTH([195]!Loan_Start)+Payment_Number,DAY([195]!Loan_Start))</definedName>
    <definedName name="obras1" localSheetId="1">DATE(YEAR([195]!Loan_Start),MONTH([195]!Loan_Start)+Payment_Number,DAY([195]!Loan_Start))</definedName>
    <definedName name="obras1" localSheetId="0">DATE(YEAR([195]!Loan_Start),MONTH([195]!Loan_Start)+Payment_Number,DAY([195]!Loan_Start))</definedName>
    <definedName name="obras1" localSheetId="4">DATE(YEAR([195]!Loan_Start),MONTH([195]!Loan_Start)+Payment_Number,DAY([195]!Loan_Start))</definedName>
    <definedName name="obras1">DATE(YEAR([195]!Loan_Start),MONTH([195]!Loan_Start)+Payment_Number,DAY([195]!Loan_Start))</definedName>
    <definedName name="obras11" hidden="1">#REF!</definedName>
    <definedName name="obras111" localSheetId="8">DATE(YEAR([196]!Loan_Start),MONTH([196]!Loan_Start)+Payment_Number,DAY([196]!Loan_Start))</definedName>
    <definedName name="obras111" localSheetId="7">DATE(YEAR([196]!Loan_Start),MONTH([196]!Loan_Start)+Payment_Number,DAY([196]!Loan_Start))</definedName>
    <definedName name="obras111" localSheetId="5">DATE(YEAR([196]!Loan_Start),MONTH([196]!Loan_Start)+Payment_Number,DAY([196]!Loan_Start))</definedName>
    <definedName name="obras111" localSheetId="2">DATE(YEAR([196]!Loan_Start),MONTH([196]!Loan_Start)+Payment_Number,DAY([196]!Loan_Start))</definedName>
    <definedName name="obras111" localSheetId="1">DATE(YEAR([196]!Loan_Start),MONTH([196]!Loan_Start)+Payment_Number,DAY([196]!Loan_Start))</definedName>
    <definedName name="obras111" localSheetId="0">DATE(YEAR([196]!Loan_Start),MONTH([196]!Loan_Start)+Payment_Number,DAY([196]!Loan_Start))</definedName>
    <definedName name="obras111" localSheetId="4">DATE(YEAR([196]!Loan_Start),MONTH([196]!Loan_Start)+Payment_Number,DAY([196]!Loan_Start))</definedName>
    <definedName name="obras111">DATE(YEAR([196]!Loan_Start),MONTH([196]!Loan_Start)+Payment_Number,DAY([196]!Loan_Start))</definedName>
    <definedName name="OBRASEXTERIORES.URBANISMO">#REF!</definedName>
    <definedName name="OBRE">#REF!</definedName>
    <definedName name="obrero">#REF!</definedName>
    <definedName name="OCD">[21]Tablas!#REF!</definedName>
    <definedName name="OCD1_1">[21]Tablas!#REF!</definedName>
    <definedName name="OCD1_1_1">[21]Tablas!#REF!</definedName>
    <definedName name="OCI">[21]Tablas!#REF!</definedName>
    <definedName name="OCI1_1">[21]Tablas!#REF!</definedName>
    <definedName name="OCI1_1_1">[21]Tablas!#REF!</definedName>
    <definedName name="OCT">#REF!</definedName>
    <definedName name="OCTUBRE" localSheetId="2" hidden="1">{#N/A,#N/A,FALSE,"orthoflow";#N/A,#N/A,FALSE,"Miscelaneos";#N/A,#N/A,FALSE,"Instrumentacio";#N/A,#N/A,FALSE,"Electrico";#N/A,#N/A,FALSE,"Valv. Seguridad"}</definedName>
    <definedName name="OCTUBRE" localSheetId="1" hidden="1">{#N/A,#N/A,FALSE,"orthoflow";#N/A,#N/A,FALSE,"Miscelaneos";#N/A,#N/A,FALSE,"Instrumentacio";#N/A,#N/A,FALSE,"Electrico";#N/A,#N/A,FALSE,"Valv. Seguridad"}</definedName>
    <definedName name="OCTUBRE" localSheetId="0"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F">#REF!</definedName>
    <definedName name="OFI">#REF!</definedName>
    <definedName name="OFICIAL">[54]PRTSOCIALES!$B$47</definedName>
    <definedName name="OFICIALGRANITERO">#REF!</definedName>
    <definedName name="OFICIALIII">#REF!</definedName>
    <definedName name="OFICIALS">[197]Presupuesto!$J$7</definedName>
    <definedName name="Oficina">#REF!</definedName>
    <definedName name="oiret" localSheetId="2" hidden="1">{"TAB1",#N/A,TRUE,"GENERAL";"TAB2",#N/A,TRUE,"GENERAL";"TAB3",#N/A,TRUE,"GENERAL";"TAB4",#N/A,TRUE,"GENERAL";"TAB5",#N/A,TRUE,"GENERAL"}</definedName>
    <definedName name="oiret" localSheetId="1"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localSheetId="1"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LE_LINK5">#REF!</definedName>
    <definedName name="OM">#REF!</definedName>
    <definedName name="OnceThru">0</definedName>
    <definedName name="OÑ">#REF!</definedName>
    <definedName name="oo">#REF!</definedName>
    <definedName name="OOL">[198]mat!$A$4:$A$330</definedName>
    <definedName name="ooo" localSheetId="2" hidden="1">{"via1",#N/A,TRUE,"general";"via2",#N/A,TRUE,"general";"via3",#N/A,TRUE,"general"}</definedName>
    <definedName name="ooo" localSheetId="1" hidden="1">{"via1",#N/A,TRUE,"general";"via2",#N/A,TRUE,"general";"via3",#N/A,TRUE,"general"}</definedName>
    <definedName name="ooo" localSheetId="0"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localSheetId="1"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localSheetId="1"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opcion">#REF!</definedName>
    <definedName name="ope">30000</definedName>
    <definedName name="Operario">#REF!</definedName>
    <definedName name="OR">#REF!</definedName>
    <definedName name="ORIGEN">#REF!</definedName>
    <definedName name="OrigenConsultoria">#REF!</definedName>
    <definedName name="OrigenObra">#REF!</definedName>
    <definedName name="ORIGINAL" localSheetId="2" hidden="1">{#N/A,#N/A,FALSE,"orthoflow";#N/A,#N/A,FALSE,"Miscelaneos";#N/A,#N/A,FALSE,"Instrumentacio";#N/A,#N/A,FALSE,"Electrico";#N/A,#N/A,FALSE,"Valv. Seguridad"}</definedName>
    <definedName name="ORIGINAL" localSheetId="1" hidden="1">{#N/A,#N/A,FALSE,"orthoflow";#N/A,#N/A,FALSE,"Miscelaneos";#N/A,#N/A,FALSE,"Instrumentacio";#N/A,#N/A,FALSE,"Electrico";#N/A,#N/A,FALSE,"Valv. Seguridad"}</definedName>
    <definedName name="ORIGINAL" localSheetId="0"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inal_Mancesa_6100">#REF!</definedName>
    <definedName name="ORINALES">#REF!</definedName>
    <definedName name="ORO">#REF!</definedName>
    <definedName name="OROZCO" hidden="1">[9]INST!#REF!</definedName>
    <definedName name="os">#REF!</definedName>
    <definedName name="OSCAR" hidden="1">#REF!</definedName>
    <definedName name="otrocd">#REF!</definedName>
    <definedName name="otroci">#REF!</definedName>
    <definedName name="otroimprev">#REF!</definedName>
    <definedName name="otros">[141]otros!$A$6:$A$1235</definedName>
    <definedName name="OTROS1">#REF!</definedName>
    <definedName name="OUT">#REF!</definedName>
    <definedName name="OVER">#REF!</definedName>
    <definedName name="P">#REF!</definedName>
    <definedName name="P_Yacimiento">#REF!</definedName>
    <definedName name="p0p0" localSheetId="2" hidden="1">{"via1",#N/A,TRUE,"general";"via2",#N/A,TRUE,"general";"via3",#N/A,TRUE,"general"}</definedName>
    <definedName name="p0p0" localSheetId="1"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A">[118]PRESUPUESTO!#REF!</definedName>
    <definedName name="Page____1____of____2">#REF!</definedName>
    <definedName name="PAGINA_1_DE_1">#REF!</definedName>
    <definedName name="PANTALLA_DE_SODIO_LUZ_CALIDA_250_WATS">#REF!</definedName>
    <definedName name="pañet">#REF!</definedName>
    <definedName name="PAÑETE">#REF!</definedName>
    <definedName name="PAÑETEM">[91]APU!#REF!</definedName>
    <definedName name="PAÑETEP">[91]APU!#REF!</definedName>
    <definedName name="PAQUETE">#REF!</definedName>
    <definedName name="PARAL">#REF!</definedName>
    <definedName name="Parametro_Peso">[110]Tablas!$A$1:$A$65536</definedName>
    <definedName name="parc">#REF!</definedName>
    <definedName name="PAROUE_CENTENARIO_MUNICIPIO_DE_TAURAMENA">#REF!</definedName>
    <definedName name="PAROUE_CENTENARIO_MUNICIPIO_DE_TAURAMENA_1">"#REF!"</definedName>
    <definedName name="PARQUE">#REF!</definedName>
    <definedName name="PASADOR__METALICO">#REF!</definedName>
    <definedName name="pasamanos">#REF!</definedName>
    <definedName name="PASAMANOS_EN_TUBO_ESTRUCYURAL_SEGÚN_PLANOS">#REF!</definedName>
    <definedName name="PASAMANOS_METALICO">#REF!</definedName>
    <definedName name="pasamuro">#REF!</definedName>
    <definedName name="PASAMURO_B_x_EL_L_0.25_Z_0.125_M">#REF!</definedName>
    <definedName name="PASO" localSheetId="2" hidden="1">{#N/A,#N/A,TRUE,"INGENIERIA";#N/A,#N/A,TRUE,"COMPRAS";#N/A,#N/A,TRUE,"DIRECCION";#N/A,#N/A,TRUE,"RESUMEN"}</definedName>
    <definedName name="PASO" localSheetId="1" hidden="1">{#N/A,#N/A,TRUE,"INGENIERIA";#N/A,#N/A,TRUE,"COMPRAS";#N/A,#N/A,TRUE,"DIRECCION";#N/A,#N/A,TRUE,"RESUMEN"}</definedName>
    <definedName name="PASO" localSheetId="0" hidden="1">{#N/A,#N/A,TRUE,"INGENIERIA";#N/A,#N/A,TRUE,"COMPRAS";#N/A,#N/A,TRUE,"DIRECCION";#N/A,#N/A,TRUE,"RESUMEN"}</definedName>
    <definedName name="PASO" hidden="1">{#N/A,#N/A,TRUE,"INGENIERIA";#N/A,#N/A,TRUE,"COMPRAS";#N/A,#N/A,TRUE,"DIRECCION";#N/A,#N/A,TRUE,"RESUMEN"}</definedName>
    <definedName name="PASS" localSheetId="2" hidden="1">{#N/A,#N/A,TRUE,"INGENIERIA";#N/A,#N/A,TRUE,"COMPRAS";#N/A,#N/A,TRUE,"DIRECCION";#N/A,#N/A,TRUE,"RESUMEN"}</definedName>
    <definedName name="PASS" localSheetId="1" hidden="1">{#N/A,#N/A,TRUE,"INGENIERIA";#N/A,#N/A,TRUE,"COMPRAS";#N/A,#N/A,TRUE,"DIRECCION";#N/A,#N/A,TRUE,"RESUMEN"}</definedName>
    <definedName name="PASS" localSheetId="0" hidden="1">{#N/A,#N/A,TRUE,"INGENIERIA";#N/A,#N/A,TRUE,"COMPRAS";#N/A,#N/A,TRUE,"DIRECCION";#N/A,#N/A,TRUE,"RESUMEN"}</definedName>
    <definedName name="PASS" hidden="1">{#N/A,#N/A,TRUE,"INGENIERIA";#N/A,#N/A,TRUE,"COMPRAS";#N/A,#N/A,TRUE,"DIRECCION";#N/A,#N/A,TRUE,"RESUMEN"}</definedName>
    <definedName name="patch8">#REF!</definedName>
    <definedName name="PATERNIT">#REF!</definedName>
    <definedName name="PAVIMENTO">#REF!</definedName>
    <definedName name="PAVIMENTO_2">#REF!</definedName>
    <definedName name="Pay_Date">#REF!</definedName>
    <definedName name="Pay_Num">#REF!</definedName>
    <definedName name="Payment_Date" localSheetId="8">DATE(YEAR([0]!Loan_Start),MONTH([0]!Loan_Start)+Payment_Number,DAY([0]!Loan_Start))</definedName>
    <definedName name="Payment_Date" localSheetId="7">DATE(YEAR([0]!Loan_Start),MONTH([0]!Loan_Start)+Payment_Number,DAY([0]!Loan_Start))</definedName>
    <definedName name="Payment_Date" localSheetId="5">DATE(YEAR([0]!Loan_Start),MONTH([0]!Loan_Start)+Payment_Number,DAY([0]!Loan_Start))</definedName>
    <definedName name="Payment_Date" localSheetId="2">DATE(YEAR(Loan_Start),MONTH(Loan_Start)+Payment_Number,DAY(Loan_Start))</definedName>
    <definedName name="Payment_Date" localSheetId="1">DATE(YEAR([0]!Loan_Start),MONTH([0]!Loan_Start)+Payment_Number,DAY([0]!Loan_Start))</definedName>
    <definedName name="Payment_Date" localSheetId="0">DATE(YEAR([0]!Loan_Start),MONTH([0]!Loan_Start)+Payment_Number,DAY([0]!Loan_Start))</definedName>
    <definedName name="Payment_Date" localSheetId="4">DATE(YEAR([0]!Loan_Start),MONTH([0]!Loan_Start)+Payment_Number,DAY([0]!Loan_Start))</definedName>
    <definedName name="Payment_Date">DATE(YEAR(Loan_Start),MONTH(Loan_Start)+Payment_Number,DAY(Loan_Start))</definedName>
    <definedName name="Payment_Date1" localSheetId="8">DATE(YEAR([196]!Loan_Start),MONTH([196]!Loan_Start)+Payment_Number,DAY([196]!Loan_Start))</definedName>
    <definedName name="Payment_Date1" localSheetId="7">DATE(YEAR([196]!Loan_Start),MONTH([196]!Loan_Start)+Payment_Number,DAY([196]!Loan_Start))</definedName>
    <definedName name="Payment_Date1" localSheetId="5">DATE(YEAR([196]!Loan_Start),MONTH([196]!Loan_Start)+Payment_Number,DAY([196]!Loan_Start))</definedName>
    <definedName name="Payment_Date1" localSheetId="2">DATE(YEAR([196]!Loan_Start),MONTH([196]!Loan_Start)+Payment_Number,DAY([196]!Loan_Start))</definedName>
    <definedName name="Payment_Date1" localSheetId="1">DATE(YEAR([196]!Loan_Start),MONTH([196]!Loan_Start)+Payment_Number,DAY([196]!Loan_Start))</definedName>
    <definedName name="Payment_Date1" localSheetId="0">DATE(YEAR([196]!Loan_Start),MONTH([196]!Loan_Start)+Payment_Number,DAY([196]!Loan_Start))</definedName>
    <definedName name="Payment_Date1" localSheetId="4">DATE(YEAR([196]!Loan_Start),MONTH([196]!Loan_Start)+Payment_Number,DAY([196]!Loan_Start))</definedName>
    <definedName name="Payment_Date1">DATE(YEAR([196]!Loan_Start),MONTH([196]!Loan_Start)+Payment_Number,DAY([196]!Loan_Start))</definedName>
    <definedName name="Payment_Needed">"Pago necesario"</definedName>
    <definedName name="PAZ">#REF!</definedName>
    <definedName name="Pb">#REF!</definedName>
    <definedName name="PC">[118]PRESUPUESTO!#REF!</definedName>
    <definedName name="Pd">#REF!</definedName>
    <definedName name="PE">[118]PRESUPUESTO!#REF!</definedName>
    <definedName name="PEDESTAL_TUBO__DE_ACERO_GALVANIZADO">#REF!</definedName>
    <definedName name="Pegacor">#REF!</definedName>
    <definedName name="PEGACOR_BLANCO">#REF!</definedName>
    <definedName name="PEGANTE">[55]PRECIO.MAT!#REF!</definedName>
    <definedName name="PEGANTE_P.V.C">#REF!</definedName>
    <definedName name="PEGANTE_PARA_ENCHAPES">#REF!</definedName>
    <definedName name="PEGANTEPVC">[55]PRECIO.MAT!#REF!</definedName>
    <definedName name="PEPE" localSheetId="2">'MC 1'!ERR</definedName>
    <definedName name="PEPE" localSheetId="1">'MC 2-3-4'!ERR</definedName>
    <definedName name="PEPE" localSheetId="0">'MC 5'!ERR</definedName>
    <definedName name="PEPE">[0]!ERR</definedName>
    <definedName name="PERCHA2">'[54]PRECIO. MAT'!#REF!</definedName>
    <definedName name="PERFIL">#REF!</definedName>
    <definedName name="PERFIL_IPE_200">#REF!</definedName>
    <definedName name="PERFIL_IPE_220">#REF!</definedName>
    <definedName name="PERFIL_IPE_330">#REF!</definedName>
    <definedName name="PERFIL_PHR_160X60X1_5">#REF!</definedName>
    <definedName name="PERFIL_PHR_160X60X2_5">#REF!</definedName>
    <definedName name="PERFIL_PHR_160X60X3">#REF!</definedName>
    <definedName name="PERFIL_PHR_180X60X2_5_mm">#REF!</definedName>
    <definedName name="PERFIL_PHR_220X80X3_0">#REF!</definedName>
    <definedName name="PERFIL10">#REF!</definedName>
    <definedName name="PERFIL15">#REF!</definedName>
    <definedName name="PERFILADO">#REF!</definedName>
    <definedName name="PERFILALUMINIO">'[54]PRECIO. MAT'!#REF!</definedName>
    <definedName name="PERFORACIONPOZO">#REF!</definedName>
    <definedName name="Periodo">[83]Hoja1!$C$1</definedName>
    <definedName name="PeriodoPago">'[80]LIQUIDA-NOMINA'!$C$4</definedName>
    <definedName name="PeriodoRepago">#REF!</definedName>
    <definedName name="PeriodoRepagoCCP">#REF!</definedName>
    <definedName name="PERLITA_CIELO_RASO">#REF!</definedName>
    <definedName name="Permiso_Escombrera">#REF!</definedName>
    <definedName name="PERNO_5_8_X_38_cm">#REF!</definedName>
    <definedName name="PERNO_7_8_X_36_cm">#REF!</definedName>
    <definedName name="PERNO_DE_MAQUINA_10_GALVANIZADO">#REF!</definedName>
    <definedName name="PERNOS_DE_ANCLAJE_GRADO_5">#REF!</definedName>
    <definedName name="PERNOS_ESTRUCTURA_ICEL">#REF!</definedName>
    <definedName name="PERS">#REF!</definedName>
    <definedName name="PERSONAL">[163]INSUMOS!$J$16:$J$124</definedName>
    <definedName name="personalito">#REF!</definedName>
    <definedName name="PersonalProfesional">#REF!</definedName>
    <definedName name="PersonalTecnico">#REF!</definedName>
    <definedName name="PESO14.2">#REF!</definedName>
    <definedName name="PESO14.3">#REF!</definedName>
    <definedName name="PESO14.4">#REF!</definedName>
    <definedName name="PetSumDetail">#REF!</definedName>
    <definedName name="PetSumHeading">#REF!</definedName>
    <definedName name="PetTotalDetail">#REF!</definedName>
    <definedName name="PetTotalHeading">#REF!</definedName>
    <definedName name="phed">[104]Hoja1!$C$4</definedName>
    <definedName name="phen">[104]Hoja1!$C$5</definedName>
    <definedName name="piedra">#REF!</definedName>
    <definedName name="PIEDRABOLA">'[54]PRECIO. MAT'!$C$66</definedName>
    <definedName name="PIEDRARAJON">[55]PRECIO.MAT!#REF!</definedName>
    <definedName name="PILOTE">#REF!</definedName>
    <definedName name="Pilote_10.00_m">#REF!</definedName>
    <definedName name="Pilote_4.00_m">#REF!</definedName>
    <definedName name="Pilote_5.00_m">#REF!</definedName>
    <definedName name="Pilote_6.50_m">#REF!</definedName>
    <definedName name="Pilote_7.00_m">#REF!</definedName>
    <definedName name="Pilote_7.50_m">#REF!</definedName>
    <definedName name="Pilote_8.00_m">#REF!</definedName>
    <definedName name="Pindis">#REF!</definedName>
    <definedName name="pinos2">#REF!</definedName>
    <definedName name="pint">'[154]7422CW00'!#REF!</definedName>
    <definedName name="PINTCORAZA">#REF!</definedName>
    <definedName name="PINTOR">#REF!</definedName>
    <definedName name="pintura">'[154]7422CW00'!#REF!</definedName>
    <definedName name="Pintura_acrílica_pura_para_tráfico">#REF!</definedName>
    <definedName name="PINTURA_ANTICORROSIVA">#REF!</definedName>
    <definedName name="PINTURA_ESMALTE">#REF!</definedName>
    <definedName name="PINTURA_PARA_LINEAS_DE_DEMARCACION">#REF!</definedName>
    <definedName name="PINTURA_TIPO_KORAZA">#REF!</definedName>
    <definedName name="PINTURAESMALTE">#REF!</definedName>
    <definedName name="pinturavinilo">#REF!</definedName>
    <definedName name="pintyura">[199]STRSUMM0!#REF!</definedName>
    <definedName name="PINV">#REF!</definedName>
    <definedName name="PIP">#REF!</definedName>
    <definedName name="PIRLAN">#REF!</definedName>
    <definedName name="Piscinas">#REF!</definedName>
    <definedName name="PISO8">[91]APU!#REF!</definedName>
    <definedName name="PISOCAMINOS">#REF!</definedName>
    <definedName name="PISOGRESS">#REF!</definedName>
    <definedName name="PISOPLAZOLETA">#REF!</definedName>
    <definedName name="pkgl">#REF!</definedName>
    <definedName name="PKHK" localSheetId="2" hidden="1">{"TAB1",#N/A,TRUE,"GENERAL";"TAB2",#N/A,TRUE,"GENERAL";"TAB3",#N/A,TRUE,"GENERAL";"TAB4",#N/A,TRUE,"GENERAL";"TAB5",#N/A,TRUE,"GENERAL"}</definedName>
    <definedName name="PKHK" localSheetId="1"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localSheetId="1"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[118]PRESUPUESTO!#REF!</definedName>
    <definedName name="PLAC">#REF!</definedName>
    <definedName name="PLACA">#REF!</definedName>
    <definedName name="PLACAALIGERADA">#REF!</definedName>
    <definedName name="PLACAPISO">#REF!</definedName>
    <definedName name="placapozo">#REF!</definedName>
    <definedName name="PLACATANQUE">#REF!</definedName>
    <definedName name="PLAD" localSheetId="2" hidden="1">{"TAB1",#N/A,TRUE,"GENERAL";"TAB2",#N/A,TRUE,"GENERAL";"TAB3",#N/A,TRUE,"GENERAL";"TAB4",#N/A,TRUE,"GENERAL";"TAB5",#N/A,TRUE,"GENERAL"}</definedName>
    <definedName name="PLAD" localSheetId="1"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AFON">#REF!</definedName>
    <definedName name="PLANT7">#REF!</definedName>
    <definedName name="PLANTULA">'[54]PRECIO. MAT'!$C$23</definedName>
    <definedName name="PLAQUETAS">#REF!</definedName>
    <definedName name="plast">3700</definedName>
    <definedName name="plastocrete">#REF!</definedName>
    <definedName name="PLASTROCRETE_DM">#REF!</definedName>
    <definedName name="PLATINA_2_1_2_X_1_4">#REF!</definedName>
    <definedName name="PLATINA_4X3_16X350_mm">#REF!</definedName>
    <definedName name="PLATINA_5mm_20_X_80">#REF!</definedName>
    <definedName name="PLATINA_BASE_PORTICO">#REF!</definedName>
    <definedName name="PLATINA_DE_COBRE_DE_3__1_4__60CM">#REF!</definedName>
    <definedName name="Platina_e___10mm">#REF!</definedName>
    <definedName name="Platina_e___12mm">#REF!</definedName>
    <definedName name="PLATINA_e__19_mm">#REF!</definedName>
    <definedName name="PLATINA_e__25_mm">#REF!</definedName>
    <definedName name="PLATINA_PARA_PORTICO">#REF!</definedName>
    <definedName name="PLATINA_PORTACORREA_TIPO_E_1_8">#REF!</definedName>
    <definedName name="Platinas">#REF!</definedName>
    <definedName name="PLATINAS_DE_UNION">#REF!</definedName>
    <definedName name="Plazo">[72]BASES!$E$27</definedName>
    <definedName name="PlazoAIU">#REF!</definedName>
    <definedName name="PlazoEnMeses">#REF!</definedName>
    <definedName name="Plegable">#REF!</definedName>
    <definedName name="PLICEN">[55]PRECIO.MAT!#REF!</definedName>
    <definedName name="PLPLUNN" localSheetId="2"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LUVIAL">#REF!</definedName>
    <definedName name="PLUVIAL2">#REF!</definedName>
    <definedName name="PMP">#REF!</definedName>
    <definedName name="PMT">#REF!</definedName>
    <definedName name="pñ">#REF!</definedName>
    <definedName name="po">#REF!</definedName>
    <definedName name="POCETAS">#REF!</definedName>
    <definedName name="poi">#REF!</definedName>
    <definedName name="POIL">#REF!</definedName>
    <definedName name="POIUP" localSheetId="2" hidden="1">{"via1",#N/A,TRUE,"general";"via2",#N/A,TRUE,"general";"via3",#N/A,TRUE,"general"}</definedName>
    <definedName name="POIUP" localSheetId="1"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LISEC_CALIBRE_6">#REF!</definedName>
    <definedName name="POLISOMBRA">#REF!</definedName>
    <definedName name="Polynomial">#REF!</definedName>
    <definedName name="ponton">#REF!</definedName>
    <definedName name="PONTON2">#REF!</definedName>
    <definedName name="POO">#REF!</definedName>
    <definedName name="popop" localSheetId="2" hidden="1">{"via1",#N/A,TRUE,"general";"via2",#N/A,TRUE,"general";"via3",#N/A,TRUE,"general"}</definedName>
    <definedName name="popop" localSheetId="1"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localSheetId="1"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u">#REF!</definedName>
    <definedName name="popvds" localSheetId="2" hidden="1">{"TAB1",#N/A,TRUE,"GENERAL";"TAB2",#N/A,TRUE,"GENERAL";"TAB3",#N/A,TRUE,"GENERAL";"TAB4",#N/A,TRUE,"GENERAL";"TAB5",#N/A,TRUE,"GENERAL"}</definedName>
    <definedName name="popvds" localSheetId="1"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rc">#REF!</definedName>
    <definedName name="PORCE">[73]BASES!$E$26</definedName>
    <definedName name="Porcentaje">#REF!</definedName>
    <definedName name="PORCENTAJE1">#REF!</definedName>
    <definedName name="PORTACANDADO">#REF!</definedName>
    <definedName name="PORTADA2">'[200]Hoja 1 '!#REF!</definedName>
    <definedName name="PORTAFUSIBLE_BOCADILLO">#REF!</definedName>
    <definedName name="PORTERIA">#REF!</definedName>
    <definedName name="PORTON_EN_LAMINA_CAL_18_ACCESO_3X2.2_m">#REF!</definedName>
    <definedName name="POSICION_PRESUP">[19]Tablas!#REF!</definedName>
    <definedName name="POSICIONES">#REF!</definedName>
    <definedName name="POSTE">#REF!</definedName>
    <definedName name="Poste_angulo_2x2x1_4_H_3_50m">#REF!</definedName>
    <definedName name="POSTE_CONCRETO_12M_510_KG">#REF!</definedName>
    <definedName name="POSTE_CONCRETO_14M_510_KG">#REF!</definedName>
    <definedName name="POSTE_DE_CONCRETO_DE_10_MTS___510_KGS">#REF!</definedName>
    <definedName name="Poste_madera">#REF!</definedName>
    <definedName name="POSTEDEFEN">#REF!</definedName>
    <definedName name="POSTEDERFEN">#REF!</definedName>
    <definedName name="pouig" localSheetId="2" hidden="1">{"via1",#N/A,TRUE,"general";"via2",#N/A,TRUE,"general";"via3",#N/A,TRUE,"general"}</definedName>
    <definedName name="pouig" localSheetId="1"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OZO">[110]Tablas!$C$1:$C$65536</definedName>
    <definedName name="pozoseptico">#REF!</definedName>
    <definedName name="PP">#REF!</definedName>
    <definedName name="PPPP" localSheetId="2" hidden="1">{#N/A,#N/A,FALSE,"orthoflow";#N/A,#N/A,FALSE,"Miscelaneos";#N/A,#N/A,FALSE,"Instrumentacio";#N/A,#N/A,FALSE,"Electrico";#N/A,#N/A,FALSE,"Valv. Seguridad"}</definedName>
    <definedName name="PPPP" localSheetId="1" hidden="1">{#N/A,#N/A,FALSE,"orthoflow";#N/A,#N/A,FALSE,"Miscelaneos";#N/A,#N/A,FALSE,"Instrumentacio";#N/A,#N/A,FALSE,"Electrico";#N/A,#N/A,FALSE,"Valv. Seguridad"}</definedName>
    <definedName name="PPPP" localSheetId="0"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localSheetId="1"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localSheetId="1"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PTO">#REF!</definedName>
    <definedName name="PPtoNorte">#REF!</definedName>
    <definedName name="pqroj" localSheetId="2" hidden="1">{"via1",#N/A,TRUE,"general";"via2",#N/A,TRUE,"general";"via3",#N/A,TRUE,"general"}</definedName>
    <definedName name="pqroj" localSheetId="1"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[88]medelo!$D$46</definedName>
    <definedName name="PRE">#REF!</definedName>
    <definedName name="pre_nuevo">#REF!</definedName>
    <definedName name="Precio">#REF!</definedName>
    <definedName name="precio2">#REF!</definedName>
    <definedName name="PrecioS">#REF!</definedName>
    <definedName name="PRELIMINAR">#REF!</definedName>
    <definedName name="PRESIPISTO">#REF!</definedName>
    <definedName name="PREST">#REF!</definedName>
    <definedName name="PRESTACIONES">[54]PRTSOCIALES!$G$38</definedName>
    <definedName name="PRESTACIONES_SOCIALES">'[62]Datos iniciales '!$C$32</definedName>
    <definedName name="PrestacionesSeguridadOtros">#REF!</definedName>
    <definedName name="PRESUPUESTADO">#REF!</definedName>
    <definedName name="PRESUPUESTO">'[35]Base Datos'!$B:$F</definedName>
    <definedName name="PRIMER" localSheetId="2" hidden="1">{"via1",#N/A,TRUE,"general";"via2",#N/A,TRUE,"general";"via3",#N/A,TRUE,"general"}</definedName>
    <definedName name="PRIMER" localSheetId="1"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RO">'[184]Informe Semanal 1'!$V$43:$W$43</definedName>
    <definedName name="PRIMET" localSheetId="2" hidden="1">{"TAB1",#N/A,TRUE,"GENERAL";"TAB2",#N/A,TRUE,"GENERAL";"TAB3",#N/A,TRUE,"GENERAL";"TAB4",#N/A,TRUE,"GENERAL";"TAB5",#N/A,TRUE,"GENERAL"}</definedName>
    <definedName name="PRIMET" localSheetId="1"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 localSheetId="2">OFFSET(Full_Print,0,0,Last_Row)</definedName>
    <definedName name="Print_Area_Reset" localSheetId="1">OFFSET([0]!Full_Print,0,0,[0]!Last_Row)</definedName>
    <definedName name="Print_Area_Reset" localSheetId="0">OFFSET([0]!Full_Print,0,0,[0]!Last_Row)</definedName>
    <definedName name="Print_Area_Reset">OFFSET(Full_Print,0,0,Last_Row)</definedName>
    <definedName name="PRINT_TITLES">#N/A</definedName>
    <definedName name="PRINT_TITLES_MI">#N/A</definedName>
    <definedName name="PRINT1">'[4]7422CW00'!#REF!</definedName>
    <definedName name="PRINT2">'[4]7422CW00'!#REF!</definedName>
    <definedName name="PRIVADO">#REF!</definedName>
    <definedName name="prn">[104]Hoja1!$C$3</definedName>
    <definedName name="prnf">[104]Hoja1!$C$6</definedName>
    <definedName name="ProbRange">0</definedName>
    <definedName name="ProbRangeMit">0</definedName>
    <definedName name="PROC">#REF!</definedName>
    <definedName name="PROCE.SANGRE">#REF!</definedName>
    <definedName name="PROCEDIM_SELECC">#REF!</definedName>
    <definedName name="PROCESO">#REF!</definedName>
    <definedName name="prod">#REF!</definedName>
    <definedName name="PRODUCTO">#REF!</definedName>
    <definedName name="Profesional">#REF!</definedName>
    <definedName name="PrOfic">[72]BASES!$B$31</definedName>
    <definedName name="PROGDES">#REF!</definedName>
    <definedName name="Programa">#REF!</definedName>
    <definedName name="programainv" localSheetId="2">'MC 1'!ERR</definedName>
    <definedName name="programainv" localSheetId="1">'MC 2-3-4'!ERR</definedName>
    <definedName name="programainv" localSheetId="0">'MC 5'!ERR</definedName>
    <definedName name="programainv">[0]!ERR</definedName>
    <definedName name="programainv_1">"[0]!err"</definedName>
    <definedName name="PROP">[63]DATOS!$D$7</definedName>
    <definedName name="PROPO">#REF!</definedName>
    <definedName name="Proponente">#REF!</definedName>
    <definedName name="PROTECTOR_DE_ARBOL">#REF!</definedName>
    <definedName name="Prov">#REF!</definedName>
    <definedName name="PROY">#REF!</definedName>
    <definedName name="proyecto">'[201]EBI-1'!#REF!</definedName>
    <definedName name="PROYECTOR_DE_SODIO_400_W">#REF!</definedName>
    <definedName name="prs" localSheetId="2" hidden="1">{#N/A,#N/A,FALSE,"310.1";#N/A,#N/A,FALSE,"321.1";#N/A,#N/A,FALSE,"320.3";#N/A,#N/A,FALSE,"330.1"}</definedName>
    <definedName name="prs" localSheetId="1" hidden="1">{#N/A,#N/A,FALSE,"310.1";#N/A,#N/A,FALSE,"321.1";#N/A,#N/A,FALSE,"320.3";#N/A,#N/A,FALSE,"330.1"}</definedName>
    <definedName name="prs" localSheetId="0" hidden="1">{#N/A,#N/A,FALSE,"310.1";#N/A,#N/A,FALSE,"321.1";#N/A,#N/A,FALSE,"320.3";#N/A,#N/A,FALSE,"330.1"}</definedName>
    <definedName name="prs" hidden="1">{#N/A,#N/A,FALSE,"310.1";#N/A,#N/A,FALSE,"321.1";#N/A,#N/A,FALSE,"320.3";#N/A,#N/A,FALSE,"330.1"}</definedName>
    <definedName name="PRUEBA" localSheetId="8">[202]!absc</definedName>
    <definedName name="PRUEBA" localSheetId="7">[202]!absc</definedName>
    <definedName name="PRUEBA" localSheetId="5">[202]!absc</definedName>
    <definedName name="PRUEBA" localSheetId="1">[202]!absc</definedName>
    <definedName name="PRUEBA" localSheetId="0">[202]!absc</definedName>
    <definedName name="PRUEBA" localSheetId="4">[202]!absc</definedName>
    <definedName name="PRUEBA">[202]!absc</definedName>
    <definedName name="prueba1" localSheetId="8">[202]!absc</definedName>
    <definedName name="prueba1" localSheetId="7">[202]!absc</definedName>
    <definedName name="prueba1" localSheetId="5">[202]!absc</definedName>
    <definedName name="prueba1" localSheetId="1">[202]!absc</definedName>
    <definedName name="prueba1" localSheetId="0">[202]!absc</definedName>
    <definedName name="prueba1" localSheetId="4">[202]!absc</definedName>
    <definedName name="prueba1">[202]!absc</definedName>
    <definedName name="PRUEBA2">#REF!</definedName>
    <definedName name="ps">#REF!</definedName>
    <definedName name="PSTRESS_RELIEVI">#REF!</definedName>
    <definedName name="PTAR" localSheetId="2" hidden="1">{#N/A,#N/A,FALSE,"Estatico";#N/A,#N/A,FALSE,"Tuberia";#N/A,#N/A,FALSE,"Instrumentación";#N/A,#N/A,FALSE,"Mecanica";#N/A,#N/A,FALSE,"Electrico";#N/A,#N/A,FALSE,"Ofic.Civiles"}</definedName>
    <definedName name="PTAR" localSheetId="1" hidden="1">{#N/A,#N/A,FALSE,"Estatico";#N/A,#N/A,FALSE,"Tuberia";#N/A,#N/A,FALSE,"Instrumentación";#N/A,#N/A,FALSE,"Mecanica";#N/A,#N/A,FALSE,"Electrico";#N/A,#N/A,FALSE,"Ofic.Civiles"}</definedName>
    <definedName name="PTAR" localSheetId="0"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localSheetId="1"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localSheetId="1"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PTTO">#REF!</definedName>
    <definedName name="PTTTT" localSheetId="2" hidden="1">{#N/A,#N/A,TRUE,"INGENIERIA";#N/A,#N/A,TRUE,"COMPRAS";#N/A,#N/A,TRUE,"DIRECCION";#N/A,#N/A,TRUE,"RESUMEN"}</definedName>
    <definedName name="PTTTT" localSheetId="1" hidden="1">{#N/A,#N/A,TRUE,"INGENIERIA";#N/A,#N/A,TRUE,"COMPRAS";#N/A,#N/A,TRUE,"DIRECCION";#N/A,#N/A,TRUE,"RESUMEN"}</definedName>
    <definedName name="PTTTT" localSheetId="0" hidden="1">{#N/A,#N/A,TRUE,"INGENIERIA";#N/A,#N/A,TRUE,"COMPRAS";#N/A,#N/A,TRUE,"DIRECCION";#N/A,#N/A,TRUE,"RESUMEN"}</definedName>
    <definedName name="PTTTT" hidden="1">{#N/A,#N/A,TRUE,"INGENIERIA";#N/A,#N/A,TRUE,"COMPRAS";#N/A,#N/A,TRUE,"DIRECCION";#N/A,#N/A,TRUE,"RESUMEN"}</definedName>
    <definedName name="PUERLA">#REF!</definedName>
    <definedName name="PUERTA_ACCESO_EN_ALUMINIO_2.6X1.8">#REF!</definedName>
    <definedName name="PUERTA_BAÑO_EN_ALUMINIO_0._7X2.1">#REF!</definedName>
    <definedName name="PUERTA_DOBLE_HOJA_ALUMINIO_1.2X2.1">#REF!</definedName>
    <definedName name="PUERTA_EN_ALUMINIO_1.1X2.1">#REF!</definedName>
    <definedName name="PUERTA_EN_LAMINA_CAL_18__DOBLE_BATIENTE_160X2_20">#REF!</definedName>
    <definedName name="PUERTA_EN_LAMINA_CAL_18_0_6X2_10">#REF!</definedName>
    <definedName name="PUERTA_EN_LAMINA_CAL_18_0_7X1_90">#REF!</definedName>
    <definedName name="PUERTA_EN_LAMINA_CAL_18_1_55X2.10">#REF!</definedName>
    <definedName name="PUERTA_EN_LAMINA_CAL_18_1_6X2.2">#REF!</definedName>
    <definedName name="PUERTA_EN_LAMINA_METALICA_0_65X1_80">#REF!</definedName>
    <definedName name="PUERTA_EN_LAMINA_METALICA_0_90X2_10_m">#REF!</definedName>
    <definedName name="PUERTA_EN_LAMINA_METALICA_CAL_18_1_0_X_2_10">#REF!</definedName>
    <definedName name="PUERTA_EN_LAMINA_METALICA_CORREDISA_2_X_2_10">#REF!</definedName>
    <definedName name="PUERTA_EN_MADERA">#REF!</definedName>
    <definedName name="PUERTA_METALICA">#REF!</definedName>
    <definedName name="PUERTA_METALICA_DE_VAIVEN_1_0X2_0_m">#REF!</definedName>
    <definedName name="Puerta_Triplex_0.80X2.20">#REF!</definedName>
    <definedName name="Puerta_Triplex_1.00X2.20">#REF!</definedName>
    <definedName name="PUERTA_TUBO_CUADRADO_1__0_90_X_2_50_MARCO_LAMINA_C_18">#REF!</definedName>
    <definedName name="PUERTACAL18">#REF!</definedName>
    <definedName name="PUERTALAMINA">'[54]PRECIO. MAT'!#REF!</definedName>
    <definedName name="PUERTAMADERA">#REF!</definedName>
    <definedName name="PUERTAMADERAINSUMO">#REF!</definedName>
    <definedName name="PUERTAMET1X210">#REF!</definedName>
    <definedName name="PUERTAMET65X180">#REF!</definedName>
    <definedName name="PUERTAMETALICA">#REF!</definedName>
    <definedName name="PullCords">'[155]Actual Data (MAP)'!$B$31:$C$131</definedName>
    <definedName name="PUNT">#REF!</definedName>
    <definedName name="PUNTALES_DE_GUADUA">#REF!</definedName>
    <definedName name="Puntas_tipo_Sharp">#REF!</definedName>
    <definedName name="PUNTILLA">'[54]PRECIO. MAT'!$C$11</definedName>
    <definedName name="PUNTILLA_2">#REF!</definedName>
    <definedName name="PUNTILLA_3">#REF!</definedName>
    <definedName name="PUNTILLAS">#REF!</definedName>
    <definedName name="Puntillas_2">#REF!</definedName>
    <definedName name="PUNTOE">#REF!</definedName>
    <definedName name="PUNTOH">[91]APU!#REF!</definedName>
    <definedName name="PUNTOH12">#REF!</definedName>
    <definedName name="PUNTOHIDRAULICO">#REF!</definedName>
    <definedName name="PUNTOS">[91]APU!#REF!</definedName>
    <definedName name="PUNTOSAN2">#REF!</definedName>
    <definedName name="PUNTOSAN3">#REF!</definedName>
    <definedName name="PUNTOSAN4">#REF!</definedName>
    <definedName name="PUNTOSANITARIO">#REF!</definedName>
    <definedName name="PUT">'[99]I1,1'!$H$58</definedName>
    <definedName name="PW">#REF!</definedName>
    <definedName name="Pwf">'[203]ORITO 02 '!$A$12</definedName>
    <definedName name="Pwf_actual">'[203]ORITO 02 '!$E$6</definedName>
    <definedName name="Pwf_i">[88]medelo!$A$66:$A$83</definedName>
    <definedName name="Pwf_min">'[203]ORITO 02 '!$E$8</definedName>
    <definedName name="Pwfd">#REF!</definedName>
    <definedName name="Q">#REF!</definedName>
    <definedName name="Q_actual">'[203]ORITO 02 '!$E$7</definedName>
    <definedName name="Q_BRUTO">#REF!</definedName>
    <definedName name="Q_Qo">'[204]Q-Qo'!$1:$1048576</definedName>
    <definedName name="q1q1q" localSheetId="2" hidden="1">{"via1",#N/A,TRUE,"general";"via2",#N/A,TRUE,"general";"via3",#N/A,TRUE,"general"}</definedName>
    <definedName name="q1q1q" localSheetId="1"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localSheetId="1"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localSheetId="1"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localSheetId="1"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az">#REF!</definedName>
    <definedName name="qedcd" localSheetId="2" hidden="1">{"via1",#N/A,TRUE,"general";"via2",#N/A,TRUE,"general";"via3",#N/A,TRUE,"general"}</definedName>
    <definedName name="qedcd" localSheetId="1"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localSheetId="1"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localSheetId="1"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max">[88]medelo!$B$63</definedName>
    <definedName name="qq">#REF!</definedName>
    <definedName name="QQ_1">"[0]!err"</definedName>
    <definedName name="qqq">#REF!</definedName>
    <definedName name="qqqqqqq">#REF!</definedName>
    <definedName name="qqqqqw" localSheetId="2" hidden="1">{"via1",#N/A,TRUE,"general";"via2",#N/A,TRUE,"general";"via3",#N/A,TRUE,"general"}</definedName>
    <definedName name="qqqqqw" localSheetId="1"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S">#REF!</definedName>
    <definedName name="Qt">'[203]ORITO 02 '!$E$9</definedName>
    <definedName name="QTIES">#REF!</definedName>
    <definedName name="QTY">#REF!</definedName>
    <definedName name="qw" localSheetId="2" hidden="1">{"via1",#N/A,TRUE,"general";"via2",#N/A,TRUE,"general";"via3",#N/A,TRUE,"general"}</definedName>
    <definedName name="qw" localSheetId="1" hidden="1">{"via1",#N/A,TRUE,"general";"via2",#N/A,TRUE,"general";"via3",#N/A,TRUE,"general"}</definedName>
    <definedName name="qw" localSheetId="0"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localSheetId="1"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de">#REF!</definedName>
    <definedName name="QWE">#REF!</definedName>
    <definedName name="qweqe" localSheetId="2" hidden="1">{"TAB1",#N/A,TRUE,"GENERAL";"TAB2",#N/A,TRUE,"GENERAL";"TAB3",#N/A,TRUE,"GENERAL";"TAB4",#N/A,TRUE,"GENERAL";"TAB5",#N/A,TRUE,"GENERAL"}</definedName>
    <definedName name="qweqe" localSheetId="1"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ER">#REF!</definedName>
    <definedName name="QWERTY" localSheetId="2">'MC 1'!ERR</definedName>
    <definedName name="QWERTY" localSheetId="1">'MC 2-3-4'!ERR</definedName>
    <definedName name="QWERTY" localSheetId="0">'MC 5'!ERR</definedName>
    <definedName name="QWERTY">[0]!ERR</definedName>
    <definedName name="qwewertet" localSheetId="2" hidden="1">{#N/A,#N/A,TRUE,"1842CWN0"}</definedName>
    <definedName name="qwewertet" localSheetId="1" hidden="1">{#N/A,#N/A,TRUE,"1842CWN0"}</definedName>
    <definedName name="qwewertet" localSheetId="0" hidden="1">{#N/A,#N/A,TRUE,"1842CWN0"}</definedName>
    <definedName name="qwewertet" hidden="1">{#N/A,#N/A,TRUE,"1842CWN0"}</definedName>
    <definedName name="qwqwqwj" localSheetId="2"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_2">#REF!</definedName>
    <definedName name="R_c">#REF!</definedName>
    <definedName name="Ra">#REF!</definedName>
    <definedName name="RA1.001">#REF!</definedName>
    <definedName name="RA1.002">#REF!</definedName>
    <definedName name="RA1.003">#REF!</definedName>
    <definedName name="RA1.004">#REF!</definedName>
    <definedName name="RA1.006">#REF!</definedName>
    <definedName name="RA1.010">#REF!</definedName>
    <definedName name="RA1.011">#REF!</definedName>
    <definedName name="RA1.011.CABLE">#REF!</definedName>
    <definedName name="RA1.012">#REF!</definedName>
    <definedName name="RA1.012.CABLE">#REF!</definedName>
    <definedName name="RA1.013">#REF!</definedName>
    <definedName name="RA1.013.CABLE">#REF!</definedName>
    <definedName name="RA1.014">#REF!</definedName>
    <definedName name="RA1.014.CABLE">#REF!</definedName>
    <definedName name="RA1.019">#REF!</definedName>
    <definedName name="RA1.019.COMPLETA">#REF!</definedName>
    <definedName name="RA1.021.2400">#REF!</definedName>
    <definedName name="RA1.022.2400">#REF!</definedName>
    <definedName name="RA1.023.2400">#REF!</definedName>
    <definedName name="RA1.024.2400">#REF!</definedName>
    <definedName name="RA1.031">#REF!</definedName>
    <definedName name="RA1.032">#REF!</definedName>
    <definedName name="RA1.033">#REF!</definedName>
    <definedName name="RA1.034">#REF!</definedName>
    <definedName name="RA1.051">#REF!</definedName>
    <definedName name="RA1.052">#REF!</definedName>
    <definedName name="RA1.073">#REF!</definedName>
    <definedName name="RA1.074">#REF!</definedName>
    <definedName name="rajon">18000</definedName>
    <definedName name="Rajón">#REF!</definedName>
    <definedName name="RANA">[54]ATHE!$G$99</definedName>
    <definedName name="RANGO_FECHA">#REF!</definedName>
    <definedName name="Rango_presupuesto">#REF!</definedName>
    <definedName name="Rates">#REF!</definedName>
    <definedName name="Rb">#REF!</definedName>
    <definedName name="RBG">#REF!</definedName>
    <definedName name="RCindPresup">#REF!</definedName>
    <definedName name="RD">#REF!</definedName>
    <definedName name="rdq">#REF!</definedName>
    <definedName name="rds">#REF!</definedName>
    <definedName name="Re">#REF!</definedName>
    <definedName name="Reactores">#REF!</definedName>
    <definedName name="REC">#REF!</definedName>
    <definedName name="Recall_2">'[193] ASR+Nafta'!$E$9:$E$21</definedName>
    <definedName name="Recall_3">'[193]Todos+Nafta'!$E$9:$E$21</definedName>
    <definedName name="RECEBO_EN_CANTERA">#REF!</definedName>
    <definedName name="Recebo_Granular">#REF!</definedName>
    <definedName name="Recorder">#REF!</definedName>
    <definedName name="RECSUBBASE">#REF!</definedName>
    <definedName name="recursos">[205]RECURSOS!$A$8:$A$204</definedName>
    <definedName name="REDH12">[91]APU!#REF!</definedName>
    <definedName name="REDH34">[91]APU!#REF!</definedName>
    <definedName name="REDU4X3">#REF!</definedName>
    <definedName name="REDU6X4">#REF!</definedName>
    <definedName name="REDU8X6">#REF!</definedName>
    <definedName name="REDUCCION_3__x_2">#REF!</definedName>
    <definedName name="REDUCCION_4__x_3">#REF!</definedName>
    <definedName name="Reducer">'[155]Actual Data (MAP)'!$B$11:$C$18</definedName>
    <definedName name="REF">#REF!</definedName>
    <definedName name="REFUERZOCERCHA">#REF!</definedName>
    <definedName name="REG">'[178]Estado Resumen'!XFC1&gt;2.5</definedName>
    <definedName name="rege" localSheetId="2" hidden="1">{"TAB1",#N/A,TRUE,"GENERAL";"TAB2",#N/A,TRUE,"GENERAL";"TAB3",#N/A,TRUE,"GENERAL";"TAB4",#N/A,TRUE,"GENERAL";"TAB5",#N/A,TRUE,"GENERAL"}</definedName>
    <definedName name="rege" localSheetId="1"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IMEN_CONTRAT">[191]Tablas!$M$6:$M$8</definedName>
    <definedName name="REGIONAL">[191]Tablas!$I$6:$I$10</definedName>
    <definedName name="REGISTRO">#REF!</definedName>
    <definedName name="REGISTRO_DE_CORTE_1_2">#REF!</definedName>
    <definedName name="REGISTRO_DE_INCORPORACION_1_2">#REF!</definedName>
    <definedName name="Registro_de_incorporación_1_2">#REF!</definedName>
    <definedName name="Registro_de_incorporación_3_4">#REF!</definedName>
    <definedName name="REGISTRO12">'[54]PRECIO. MAT'!#REF!</definedName>
    <definedName name="RegistroCoordinador">#REF!</definedName>
    <definedName name="REGLA_VIBRATORIA">#REF!</definedName>
    <definedName name="Regla_Vibratoria_Long_3_a_5_mts">#REF!</definedName>
    <definedName name="regresd" localSheetId="2"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GULAR">'[179]ESTADO VÍA-CRIT.TECNICO'!XFC1&gt;2.5</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ICIO" localSheetId="2">'MC 1'!ERR</definedName>
    <definedName name="REICIO" localSheetId="1">'MC 2-3-4'!ERR</definedName>
    <definedName name="REICIO" localSheetId="0">'MC 5'!ERR</definedName>
    <definedName name="REICIO">[0]!ERR</definedName>
    <definedName name="REICIO_1">"[0]!err"</definedName>
    <definedName name="Reimbursement">"Reembolso"</definedName>
    <definedName name="reinicio" localSheetId="2">'MC 1'!ERR</definedName>
    <definedName name="reinicio" localSheetId="1">'MC 2-3-4'!ERR</definedName>
    <definedName name="reinicio" localSheetId="0">'MC 5'!ERR</definedName>
    <definedName name="reinicio">[0]!ERR</definedName>
    <definedName name="reinicio_1">"[0]!err"</definedName>
    <definedName name="REJA">#REF!</definedName>
    <definedName name="REJHE" localSheetId="2" hidden="1">{"via1",#N/A,TRUE,"general";"via2",#N/A,TRUE,"general";"via3",#N/A,TRUE,"general"}</definedName>
    <definedName name="REJHE" localSheetId="1"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JILLA">'[54]PRECIO. MAT'!#REF!</definedName>
    <definedName name="Rejilla_con_sosco">#REF!</definedName>
    <definedName name="REJILLA_DE_PROTECCIÓN_ARBOL">#REF!</definedName>
    <definedName name="REJILLA_METALICA_30_CM">#REF!</definedName>
    <definedName name="REJILLA_SIFON_DE_2">#REF!</definedName>
    <definedName name="Rejilla_sumidero_1_x_0_45_con_doble_capa_de_pintuta_anticorrosiva">#REF!</definedName>
    <definedName name="REJILLA_SUMIDERO_CONVENCIONAL">#REF!</definedName>
    <definedName name="RELACION_C">#REF!</definedName>
    <definedName name="RELACION_Q">#REF!</definedName>
    <definedName name="rell">#REF!</definedName>
    <definedName name="relle">#REF!</definedName>
    <definedName name="RELLENO">[40]APU!$G$871</definedName>
    <definedName name="RELLENO_2">#REF!</definedName>
    <definedName name="RELLENO1">#REF!</definedName>
    <definedName name="RELLENOCOMPACTADO">#REF!</definedName>
    <definedName name="RELLENOEXCAVACION">#REF!</definedName>
    <definedName name="RELLENOSELECCIONADO">#REF!</definedName>
    <definedName name="RELLENOSELECCIONADO_2">#REF!</definedName>
    <definedName name="RELLG">#REF!</definedName>
    <definedName name="REMACHES_POOK_1_4">#REF!</definedName>
    <definedName name="remanentes">'[57]Reservas de Petróleo'!$A$2,'[57]Reservas de Petróleo'!$A$1,'[57]Reservas de Petróleo'!$D$4,'[57]Reservas de Petróleo'!$H$1:$H$65536</definedName>
    <definedName name="rendimiento">#REF!</definedName>
    <definedName name="RENDIMIENTO____CARGA">#REF!</definedName>
    <definedName name="RENDIMIENTOS">#REF!</definedName>
    <definedName name="REP">#REF!</definedName>
    <definedName name="REPACOMETIDA3">#REF!</definedName>
    <definedName name="REPACOMETIDA4">#REF!</definedName>
    <definedName name="reparacion4">#REF!</definedName>
    <definedName name="repello">#REF!</definedName>
    <definedName name="REPISA">[55]PRECIO.MAT!#REF!</definedName>
    <definedName name="REPISA55">[55]PRECIO.MAT!#REF!</definedName>
    <definedName name="REPISA553">'[54]PRECIO. MAT'!#REF!</definedName>
    <definedName name="replanteo">#REF!</definedName>
    <definedName name="REPXXX">#REF!</definedName>
    <definedName name="Requerimiento">#REF!</definedName>
    <definedName name="Requerimientos">#REF!</definedName>
    <definedName name="rer" localSheetId="2" hidden="1">{"via1",#N/A,TRUE,"general";"via2",#N/A,TRUE,"general";"via3",#N/A,TRUE,"general"}</definedName>
    <definedName name="rer" localSheetId="1"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localSheetId="1"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ET">#REF!</definedName>
    <definedName name="rerg" localSheetId="2" hidden="1">{"TAB1",#N/A,TRUE,"GENERAL";"TAB2",#N/A,TRUE,"GENERAL";"TAB3",#N/A,TRUE,"GENERAL";"TAB4",#N/A,TRUE,"GENERAL";"TAB5",#N/A,TRUE,"GENERAL"}</definedName>
    <definedName name="rerg" localSheetId="1"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Equipo">#REF!</definedName>
    <definedName name="residente">'[85]GENERALIDADES '!$E$9</definedName>
    <definedName name="Resistenciaconductor">[112]Modelo!#REF!</definedName>
    <definedName name="Resistividad">#REF!</definedName>
    <definedName name="ResMateriales">#REF!</definedName>
    <definedName name="ResMO">#REF!</definedName>
    <definedName name="ResOtros">#REF!</definedName>
    <definedName name="RESU">#REF!</definedName>
    <definedName name="resu8" localSheetId="8">[17]!resu8</definedName>
    <definedName name="resu8" localSheetId="7">[17]!resu8</definedName>
    <definedName name="resu8" localSheetId="5">[17]!resu8</definedName>
    <definedName name="resu8" localSheetId="1">[17]!resu8</definedName>
    <definedName name="resu8" localSheetId="0">[17]!resu8</definedName>
    <definedName name="resu8" localSheetId="4">[17]!resu8</definedName>
    <definedName name="resu8">[17]!resu8</definedName>
    <definedName name="resufi">#REF!</definedName>
    <definedName name="resufi1">#REF!</definedName>
    <definedName name="resul">#REF!</definedName>
    <definedName name="RESUM">'[166]1'!#REF!</definedName>
    <definedName name="resum2">'[49]PU (2)'!#REF!</definedName>
    <definedName name="resumen">#REF!</definedName>
    <definedName name="resumen_final">#REF!</definedName>
    <definedName name="resumen_final1">#REF!</definedName>
    <definedName name="ResUnit_CD">#REF!</definedName>
    <definedName name="RETALMARMOL">#REF!</definedName>
    <definedName name="RETALVIDRIO">'[54]PRECIO. MAT'!#REF!</definedName>
    <definedName name="Retenc">[72]BASES!$E$31</definedName>
    <definedName name="RETI">#REF!</definedName>
    <definedName name="RETIRO">#REF!</definedName>
    <definedName name="retiroarbol">#REF!</definedName>
    <definedName name="retirocorte">#REF!</definedName>
    <definedName name="RETIROESCOMBROS">#REF!</definedName>
    <definedName name="RETIROESCOMBROS_2">#REF!</definedName>
    <definedName name="RETRO">#REF!</definedName>
    <definedName name="Retro_cargador">#REF!</definedName>
    <definedName name="RETRO320">#REF!</definedName>
    <definedName name="RETRO410">#REF!</definedName>
    <definedName name="RETROCARGADOR">#REF!</definedName>
    <definedName name="RETROEXCAVADORA">#REF!</definedName>
    <definedName name="Retroexcavadora_2_Ton">#REF!</definedName>
    <definedName name="RETTRE" localSheetId="2" hidden="1">{"via1",#N/A,TRUE,"general";"via2",#N/A,TRUE,"general";"via3",#N/A,TRUE,"general"}</definedName>
    <definedName name="RETTRE" localSheetId="1"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urn">'[155]Actual Data (MAP)'!$L$31:$M$131</definedName>
    <definedName name="ReturnSTX">'[155]Actual Data (STX)'!$I$19:$J$119</definedName>
    <definedName name="rety" localSheetId="2" hidden="1">{"TAB1",#N/A,TRUE,"GENERAL";"TAB2",#N/A,TRUE,"GENERAL";"TAB3",#N/A,TRUE,"GENERAL";"TAB4",#N/A,TRUE,"GENERAL";"TAB5",#N/A,TRUE,"GENERAL"}</definedName>
    <definedName name="rety" localSheetId="1"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localSheetId="1"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localSheetId="1"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localSheetId="1"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localSheetId="1"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localSheetId="1"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localSheetId="1"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#REF!</definedName>
    <definedName name="rfhnhjyu" localSheetId="2" hidden="1">{"TAB1",#N/A,TRUE,"GENERAL";"TAB2",#N/A,TRUE,"GENERAL";"TAB3",#N/A,TRUE,"GENERAL";"TAB4",#N/A,TRUE,"GENERAL";"TAB5",#N/A,TRUE,"GENERAL"}</definedName>
    <definedName name="rfhnhjyu" localSheetId="1"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ef">#REF!</definedName>
    <definedName name="rfrf" localSheetId="2" hidden="1">{"via1",#N/A,TRUE,"general";"via2",#N/A,TRUE,"general";"via3",#N/A,TRUE,"general"}</definedName>
    <definedName name="rfrf" localSheetId="1"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FV">#REF!</definedName>
    <definedName name="RFVGRF">#REF!</definedName>
    <definedName name="RG">#REF!</definedName>
    <definedName name="rge" localSheetId="2" hidden="1">{"via1",#N/A,TRUE,"general";"via2",#N/A,TRUE,"general";"via3",#N/A,TRUE,"general"}</definedName>
    <definedName name="rge" localSheetId="1"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localSheetId="1"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#REF!</definedName>
    <definedName name="rhh" localSheetId="2" hidden="1">{"TAB1",#N/A,TRUE,"GENERAL";"TAB2",#N/A,TRUE,"GENERAL";"TAB3",#N/A,TRUE,"GENERAL";"TAB4",#N/A,TRUE,"GENERAL";"TAB5",#N/A,TRUE,"GENERAL"}</definedName>
    <definedName name="rhh" localSheetId="1"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localSheetId="1"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localSheetId="1"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#REF!</definedName>
    <definedName name="ricardo">#REF!</definedName>
    <definedName name="RICO" localSheetId="2">IF([0]!Loan_Amount*[0]!Interest_Rate*[0]!Loan_Years*[0]!Loan_Start&gt;0,1,0)</definedName>
    <definedName name="RICO" localSheetId="1">IF([0]!Loan_Amount*[0]!Interest_Rate*[0]!Loan_Years*[0]!Loan_Start&gt;0,1,0)</definedName>
    <definedName name="RICO" localSheetId="0">IF([0]!Loan_Amount*[0]!Interest_Rate*[0]!Loan_Years*[0]!Loan_Start&gt;0,1,0)</definedName>
    <definedName name="RICO">IF([0]!Loan_Amount*[0]!Interest_Rate*[0]!Loan_Years*[0]!Loan_Start&gt;0,1,0)</definedName>
    <definedName name="RID">[206]Ingenieria!#REF!</definedName>
    <definedName name="RIEL_OMEGA_1_1_2">#REF!</definedName>
    <definedName name="RIGIDIZADORES">#REF!</definedName>
    <definedName name="RISP">'[4]7422CW00'!#REF!</definedName>
    <definedName name="rj" localSheetId="2" hidden="1">{"TAB1",#N/A,TRUE,"GENERAL";"TAB2",#N/A,TRUE,"GENERAL";"TAB3",#N/A,TRUE,"GENERAL";"TAB4",#N/A,TRUE,"GENERAL";"TAB5",#N/A,TRUE,"GENERAL"}</definedName>
    <definedName name="rj" localSheetId="1"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localSheetId="1"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localSheetId="1"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#REF!</definedName>
    <definedName name="rkjyk" localSheetId="2" hidden="1">{"TAB1",#N/A,TRUE,"GENERAL";"TAB2",#N/A,TRUE,"GENERAL";"TAB3",#N/A,TRUE,"GENERAL";"TAB4",#N/A,TRUE,"GENERAL";"TAB5",#N/A,TRUE,"GENERAL"}</definedName>
    <definedName name="rkjyk" localSheetId="1"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localSheetId="1"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localSheetId="1"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o">#REF!</definedName>
    <definedName name="rm">#REF!</definedName>
    <definedName name="rmcAccount">88500</definedName>
    <definedName name="rmcCategory">"FYE996"</definedName>
    <definedName name="rmcName">"CARPRD"</definedName>
    <definedName name="RMCOptions">"*100000000000000"</definedName>
    <definedName name="rmcPeriod">9501</definedName>
    <definedName name="rme">#REF!</definedName>
    <definedName name="Rmm">#REF!</definedName>
    <definedName name="RMS">#REF!</definedName>
    <definedName name="Rn">#REF!</definedName>
    <definedName name="rnf">[104]Datos!$D$12</definedName>
    <definedName name="rñ">#REF!</definedName>
    <definedName name="Ro">#REF!,#REF!,#REF!</definedName>
    <definedName name="rodaje">#REF!</definedName>
    <definedName name="Rp">#REF!</definedName>
    <definedName name="RPF">#REF!</definedName>
    <definedName name="RPPF">#REF!</definedName>
    <definedName name="RPR">#REF!</definedName>
    <definedName name="Rq">#REF!</definedName>
    <definedName name="rr" localSheetId="2">'MC 1'!ERR</definedName>
    <definedName name="rr" localSheetId="1">'MC 2-3-4'!ERR</definedName>
    <definedName name="rr" localSheetId="0">'MC 5'!ERR</definedName>
    <definedName name="rr">[0]!ERR</definedName>
    <definedName name="rr_1">"[0]!err"</definedName>
    <definedName name="RRG">#REF!</definedName>
    <definedName name="rrr" localSheetId="2" hidden="1">{"via1",#N/A,TRUE,"general";"via2",#N/A,TRUE,"general";"via3",#N/A,TRUE,"general"}</definedName>
    <definedName name="rrr" localSheetId="1" hidden="1">{"via1",#N/A,TRUE,"general";"via2",#N/A,TRUE,"general";"via3",#N/A,TRUE,"general"}</definedName>
    <definedName name="rrr" localSheetId="0" hidden="1">{"via1",#N/A,TRUE,"general";"via2",#N/A,TRUE,"general";"via3",#N/A,TRUE,"general"}</definedName>
    <definedName name="rrr" hidden="1">{"via1",#N/A,TRUE,"general";"via2",#N/A,TRUE,"general";"via3",#N/A,TRUE,"general"}</definedName>
    <definedName name="rrrr">'[207]Form5 _Pág_ 1'!#REF!</definedName>
    <definedName name="rrrrr">#REF!</definedName>
    <definedName name="rrrrrb" localSheetId="2" hidden="1">{"via1",#N/A,TRUE,"general";"via2",#N/A,TRUE,"general";"via3",#N/A,TRUE,"general"}</definedName>
    <definedName name="rrrrrb" localSheetId="1"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localSheetId="1"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localSheetId="1"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s">#REF!</definedName>
    <definedName name="RSB">#REF!</definedName>
    <definedName name="rsdgsd5" localSheetId="2" hidden="1">{"TAB1",#N/A,TRUE,"GENERAL";"TAB2",#N/A,TRUE,"GENERAL";"TAB3",#N/A,TRUE,"GENERAL";"TAB4",#N/A,TRUE,"GENERAL";"TAB5",#N/A,TRUE,"GENERAL"}</definedName>
    <definedName name="rsdgsd5" localSheetId="1"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localSheetId="1" hidden="1">{"TAB1",#N/A,TRUE,"GENERAL";"TAB2",#N/A,TRUE,"GENERAL";"TAB3",#N/A,TRUE,"GENERAL";"TAB4",#N/A,TRUE,"GENERAL";"TAB5",#N/A,TRUE,"GENERAL"}</definedName>
    <definedName name="rt" localSheetId="0"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localSheetId="1" hidden="1">{"TAB1",#N/A,TRUE,"GENERAL";"TAB2",#N/A,TRUE,"GENERAL";"TAB3",#N/A,TRUE,"GENERAL";"TAB4",#N/A,TRUE,"GENERAL";"TAB5",#N/A,TRUE,"GENERAL"}</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localSheetId="1"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localSheetId="1"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localSheetId="1"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localSheetId="1"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localSheetId="1"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localSheetId="1"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localSheetId="1"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SH">#REF!</definedName>
    <definedName name="rttthy" localSheetId="2" hidden="1">{"via1",#N/A,TRUE,"general";"via2",#N/A,TRUE,"general";"via3",#N/A,TRUE,"general"}</definedName>
    <definedName name="rttthy" localSheetId="1"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localSheetId="1"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localSheetId="1"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localSheetId="1"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localSheetId="1"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localSheetId="1"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localSheetId="1"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localSheetId="1"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#REF!</definedName>
    <definedName name="rtyhr" localSheetId="2" hidden="1">{"TAB1",#N/A,TRUE,"GENERAL";"TAB2",#N/A,TRUE,"GENERAL";"TAB3",#N/A,TRUE,"GENERAL";"TAB4",#N/A,TRUE,"GENERAL";"TAB5",#N/A,TRUE,"GENERAL"}</definedName>
    <definedName name="rtyhr" localSheetId="1"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localSheetId="1"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localSheetId="1"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localSheetId="1"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localSheetId="1"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localSheetId="1"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localSheetId="1"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eda">#REF!</definedName>
    <definedName name="ruru" localSheetId="2" hidden="1">{"TAB1",#N/A,TRUE,"GENERAL";"TAB2",#N/A,TRUE,"GENERAL";"TAB3",#N/A,TRUE,"GENERAL";"TAB4",#N/A,TRUE,"GENERAL";"TAB5",#N/A,TRUE,"GENERAL"}</definedName>
    <definedName name="ruru" localSheetId="1"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A" localSheetId="8">DATE(YEAR([158]!Loan_Start),MONTH([158]!Loan_Start)+Payment_Number,DAY([158]!Loan_Start))</definedName>
    <definedName name="RUTA" localSheetId="7">DATE(YEAR([158]!Loan_Start),MONTH([158]!Loan_Start)+Payment_Number,DAY([158]!Loan_Start))</definedName>
    <definedName name="RUTA" localSheetId="5">DATE(YEAR([158]!Loan_Start),MONTH([158]!Loan_Start)+Payment_Number,DAY([158]!Loan_Start))</definedName>
    <definedName name="RUTA" localSheetId="2">DATE(YEAR([158]!Loan_Start),MONTH([158]!Loan_Start)+Payment_Number,DAY([158]!Loan_Start))</definedName>
    <definedName name="RUTA" localSheetId="1">DATE(YEAR([158]!Loan_Start),MONTH([158]!Loan_Start)+Payment_Number,DAY([158]!Loan_Start))</definedName>
    <definedName name="RUTA" localSheetId="0">DATE(YEAR([158]!Loan_Start),MONTH([158]!Loan_Start)+Payment_Number,DAY([158]!Loan_Start))</definedName>
    <definedName name="RUTA" localSheetId="4">DATE(YEAR([158]!Loan_Start),MONTH([158]!Loan_Start)+Payment_Number,DAY([158]!Loan_Start))</definedName>
    <definedName name="RUTA">DATE(YEAR([158]!Loan_Start),MONTH([158]!Loan_Start)+Payment_Number,DAY([158]!Loan_Start))</definedName>
    <definedName name="rutu" localSheetId="2" hidden="1">{"via1",#N/A,TRUE,"general";"via2",#N/A,TRUE,"general";"via3",#N/A,TRUE,"general"}</definedName>
    <definedName name="rutu" localSheetId="1"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v">#REF!</definedName>
    <definedName name="RW">[208]items!$C$4:$J$248</definedName>
    <definedName name="rwt" localSheetId="2" hidden="1">{"via1",#N/A,TRUE,"general";"via2",#N/A,TRUE,"general";"via3",#N/A,TRUE,"general"}</definedName>
    <definedName name="rwt" localSheetId="1"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x">#REF!</definedName>
    <definedName name="ry" localSheetId="2" hidden="1">{"via1",#N/A,TRUE,"general";"via2",#N/A,TRUE,"general";"via3",#N/A,TRUE,"general"}</definedName>
    <definedName name="ry" localSheetId="1" hidden="1">{"via1",#N/A,TRUE,"general";"via2",#N/A,TRUE,"general";"via3",#N/A,TRUE,"general"}</definedName>
    <definedName name="ry" localSheetId="0"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localSheetId="1"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localSheetId="1"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Rz">#REF!</definedName>
    <definedName name="s" localSheetId="2">'MC 1'!ERR</definedName>
    <definedName name="s" localSheetId="1">'MC 2-3-4'!ERR</definedName>
    <definedName name="s" localSheetId="0">'MC 5'!ERR</definedName>
    <definedName name="s">[0]!ERR</definedName>
    <definedName name="SA">[118]PRESUPUESTO!#REF!</definedName>
    <definedName name="saa" localSheetId="2" hidden="1">{"via1",#N/A,TRUE,"general";"via2",#N/A,TRUE,"general";"via3",#N/A,TRUE,"general"}</definedName>
    <definedName name="saa" localSheetId="1"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localSheetId="1"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localSheetId="1"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localSheetId="1"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localSheetId="1"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localSheetId="1"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larios" localSheetId="2">'MC 1'!ERR</definedName>
    <definedName name="salarios" localSheetId="1">'MC 2-3-4'!ERR</definedName>
    <definedName name="salarios" localSheetId="0">'MC 5'!ERR</definedName>
    <definedName name="salarios">[0]!ERR</definedName>
    <definedName name="SalConv">'[18]DATOS CONTRATO'!$G$14</definedName>
    <definedName name="SALID1">#REF!</definedName>
    <definedName name="SALIDA">#REF!</definedName>
    <definedName name="SALL1">#REF!</definedName>
    <definedName name="SALL2">#REF!</definedName>
    <definedName name="SalMinimo">[72]BASES!$E$41</definedName>
    <definedName name="SALTARIN">#REF!</definedName>
    <definedName name="SANITARIO">'[54]PRECIO. MAT'!#REF!</definedName>
    <definedName name="SANITARIO_LINEA_INSTITUCIONAL">#REF!</definedName>
    <definedName name="Sanitario_Nova_80383">#REF!</definedName>
    <definedName name="SANITARIO_PARA_MINUSVALIDOS">#REF!</definedName>
    <definedName name="SANITARIOMINUSVALIDOS">#REF!</definedName>
    <definedName name="SARDINEL">#REF!</definedName>
    <definedName name="SB">[118]PRESUPUESTO!#REF!</definedName>
    <definedName name="sbe">#REF!</definedName>
    <definedName name="SBG">[40]APU!$G$925</definedName>
    <definedName name="sbgfbgdr" localSheetId="2" hidden="1">{"via1",#N/A,TRUE,"general";"via2",#N/A,TRUE,"general";"via3",#N/A,TRUE,"general"}</definedName>
    <definedName name="sbgfbgdr" localSheetId="1"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BS">#REF!</definedName>
    <definedName name="sc">#REF!</definedName>
    <definedName name="scen_change" hidden="1">[46]inpermeabOTRO!#REF!</definedName>
    <definedName name="scen_name1" hidden="1">"arial"</definedName>
    <definedName name="scen_num" hidden="1">1</definedName>
    <definedName name="scen_user1" hidden="1">"DIRECCION DE INFORMATICA"</definedName>
    <definedName name="scen_value1" localSheetId="2" hidden="1">{"SUMINISTRO E INSTALACIÓN CANALETAS L=7.50"}</definedName>
    <definedName name="scen_value1" localSheetId="1" hidden="1">{"SUMINISTRO E INSTALACIÓN CANALETAS L=7.50"}</definedName>
    <definedName name="scen_value1" localSheetId="0" hidden="1">{"SUMINISTRO E INSTALACIÓN CANALETAS L=7.50"}</definedName>
    <definedName name="scen_value1" hidden="1">{"SUMINISTRO E INSTALACIÓN CANALETAS L=7.50"}</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localSheetId="1" hidden="1">{"TAB1",#N/A,TRUE,"GENERAL";"TAB2",#N/A,TRUE,"GENERAL";"TAB3",#N/A,TRUE,"GENERAL";"TAB4",#N/A,TRUE,"GENERAL";"TAB5",#N/A,TRUE,"GENERAL"}</definedName>
    <definedName name="sd" localSheetId="0"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localSheetId="1"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localSheetId="1"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localSheetId="1"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BVTRNTUM">#REF!</definedName>
    <definedName name="SDCDSCT" localSheetId="2" hidden="1">{"TAB1",#N/A,TRUE,"GENERAL";"TAB2",#N/A,TRUE,"GENERAL";"TAB3",#N/A,TRUE,"GENERAL";"TAB4",#N/A,TRUE,"GENERAL";"TAB5",#N/A,TRUE,"GENERAL"}</definedName>
    <definedName name="SDCDSCT" localSheetId="1"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DSAFF" localSheetId="2" hidden="1">{#N/A,#N/A,TRUE,"1842CWN0"}</definedName>
    <definedName name="SDDSAFF" localSheetId="1" hidden="1">{#N/A,#N/A,TRUE,"1842CWN0"}</definedName>
    <definedName name="SDDSAFF" localSheetId="0" hidden="1">{#N/A,#N/A,TRUE,"1842CWN0"}</definedName>
    <definedName name="SDDSAFF" hidden="1">{#N/A,#N/A,TRUE,"1842CWN0"}</definedName>
    <definedName name="SDE">#REF!</definedName>
    <definedName name="sdf">#REF!</definedName>
    <definedName name="SDFBRNTY">#REF!</definedName>
    <definedName name="SDFBRNY">#REF!</definedName>
    <definedName name="SDFCE" localSheetId="2" hidden="1">{"TAB1",#N/A,TRUE,"GENERAL";"TAB2",#N/A,TRUE,"GENERAL";"TAB3",#N/A,TRUE,"GENERAL";"TAB4",#N/A,TRUE,"GENERAL";"TAB5",#N/A,TRUE,"GENERAL"}</definedName>
    <definedName name="SDFCE" localSheetId="1"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localSheetId="1"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G" localSheetId="2" hidden="1">{#N/A,#N/A,TRUE,"1842CWN0"}</definedName>
    <definedName name="SDFDG" localSheetId="1" hidden="1">{#N/A,#N/A,TRUE,"1842CWN0"}</definedName>
    <definedName name="SDFDG" localSheetId="0" hidden="1">{#N/A,#N/A,TRUE,"1842CWN0"}</definedName>
    <definedName name="SDFDG" hidden="1">{#N/A,#N/A,TRUE,"1842CWN0"}</definedName>
    <definedName name="sdfds" localSheetId="2" hidden="1">{"via1",#N/A,TRUE,"general";"via2",#N/A,TRUE,"general";"via3",#N/A,TRUE,"general"}</definedName>
    <definedName name="sdfds" localSheetId="1"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localSheetId="1"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localSheetId="1"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localSheetId="1"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FGG" hidden="1">#REF!</definedName>
    <definedName name="sdfg" localSheetId="2" hidden="1">{"TAB1",#N/A,TRUE,"GENERAL";"TAB2",#N/A,TRUE,"GENERAL";"TAB3",#N/A,TRUE,"GENERAL";"TAB4",#N/A,TRUE,"GENERAL";"TAB5",#N/A,TRUE,"GENERAL"}</definedName>
    <definedName name="sdfg" localSheetId="1"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localSheetId="1"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REG">#REF!</definedName>
    <definedName name="sdfgsg" localSheetId="2" hidden="1">{"via1",#N/A,TRUE,"general";"via2",#N/A,TRUE,"general";"via3",#N/A,TRUE,"general"}</definedName>
    <definedName name="sdfgsg" localSheetId="1"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localSheetId="1"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localSheetId="1"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localSheetId="1"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localSheetId="1"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dgg" localSheetId="2" hidden="1">{#N/A,#N/A,TRUE,"INGENIERIA";#N/A,#N/A,TRUE,"COMPRAS";#N/A,#N/A,TRUE,"DIRECCION";#N/A,#N/A,TRUE,"RESUMEN"}</definedName>
    <definedName name="sdfsdgg" localSheetId="1" hidden="1">{#N/A,#N/A,TRUE,"INGENIERIA";#N/A,#N/A,TRUE,"COMPRAS";#N/A,#N/A,TRUE,"DIRECCION";#N/A,#N/A,TRUE,"RESUMEN"}</definedName>
    <definedName name="sdfsdgg" localSheetId="0" hidden="1">{#N/A,#N/A,TRUE,"INGENIERIA";#N/A,#N/A,TRUE,"COMPRAS";#N/A,#N/A,TRUE,"DIRECCION";#N/A,#N/A,TRUE,"RESUMEN"}</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localSheetId="1"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localSheetId="1"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localSheetId="1"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localSheetId="1"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localSheetId="1"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localSheetId="1"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localSheetId="1"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localSheetId="1"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localSheetId="1"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dsdfsdff" localSheetId="2" hidden="1">{#N/A,#N/A,TRUE,"1842CWN0"}</definedName>
    <definedName name="sdsdfsdff" localSheetId="1" hidden="1">{#N/A,#N/A,TRUE,"1842CWN0"}</definedName>
    <definedName name="sdsdfsdff" localSheetId="0" hidden="1">{#N/A,#N/A,TRUE,"1842CWN0"}</definedName>
    <definedName name="sdsdfsdff" hidden="1">{#N/A,#N/A,TRUE,"1842CWN0"}</definedName>
    <definedName name="SE">[118]PRESUPUESTO!#REF!</definedName>
    <definedName name="SECTOR">#REF!</definedName>
    <definedName name="SEGUETA">#REF!</definedName>
    <definedName name="SEICABALLETEAC">[91]APU!#REF!</definedName>
    <definedName name="SEICABALLETEZ">#REF!</definedName>
    <definedName name="SEIDUCHA">#REF!</definedName>
    <definedName name="SEIINCRUSTACIONES">#REF!</definedName>
    <definedName name="SEILAVADERO">#REF!</definedName>
    <definedName name="SEILAVAMANOS">#REF!</definedName>
    <definedName name="SEILAVAPLATOS">#REF!</definedName>
    <definedName name="SEILLAVE12">[91]APU!#REF!</definedName>
    <definedName name="SEIPUERTAMAD">#REF!</definedName>
    <definedName name="SEIPUERTAMET">#REF!</definedName>
    <definedName name="SEIREGISTRO">#REF!</definedName>
    <definedName name="SEIREJILLA3">#REF!</definedName>
    <definedName name="SEISANITARIO">#REF!</definedName>
    <definedName name="SEITABLERO">#REF!</definedName>
    <definedName name="SEITANQUE">#REF!</definedName>
    <definedName name="SEITUBERIAN6">[91]APU!#REF!</definedName>
    <definedName name="SEIVALBULA12">[91]APU!#REF!</definedName>
    <definedName name="SEIVENTANA">#REF!</definedName>
    <definedName name="SEIVIDRIOS">#REF!</definedName>
    <definedName name="SELLANTE_ELASTICO__PARA_CUBIERTAS___TUBO_600_CC">#REF!</definedName>
    <definedName name="sello">15500</definedName>
    <definedName name="Sello_de_silicona">#REF!</definedName>
    <definedName name="SEMANA_C3">#REF!</definedName>
    <definedName name="sena">[104]Hoja1!$C$14</definedName>
    <definedName name="Señal_de_Transito_Grupo_I">#REF!</definedName>
    <definedName name="SEP">#REF!</definedName>
    <definedName name="SEPARADORES_3_8">#REF!</definedName>
    <definedName name="SERO" localSheetId="2">'MC 1'!ERR</definedName>
    <definedName name="SERO" localSheetId="1">'MC 2-3-4'!ERR</definedName>
    <definedName name="SERO" localSheetId="0">'MC 5'!ERR</definedName>
    <definedName name="SERO">[0]!ERR</definedName>
    <definedName name="setrj" localSheetId="2" hidden="1">{"via1",#N/A,TRUE,"general";"via2",#N/A,TRUE,"general";"via3",#N/A,TRUE,"general"}</definedName>
    <definedName name="setrj" localSheetId="1"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localSheetId="1"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[104]Hoja1!$C$12</definedName>
    <definedName name="sfasf" localSheetId="2" hidden="1">{"TAB1",#N/A,TRUE,"GENERAL";"TAB2",#N/A,TRUE,"GENERAL";"TAB3",#N/A,TRUE,"GENERAL";"TAB4",#N/A,TRUE,"GENERAL";"TAB5",#N/A,TRUE,"GENERAL"}</definedName>
    <definedName name="sfasf" localSheetId="1"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D_5">#REF!</definedName>
    <definedName name="SFDV">#REF!</definedName>
    <definedName name="SFGDV">#REF!</definedName>
    <definedName name="SFHSGFH" localSheetId="2"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AF">#REF!</definedName>
    <definedName name="sfsd" localSheetId="2" hidden="1">{"via1",#N/A,TRUE,"general";"via2",#N/A,TRUE,"general";"via3",#N/A,TRUE,"general"}</definedName>
    <definedName name="sfsd" localSheetId="1"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localSheetId="1"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g">#REF!</definedName>
    <definedName name="SGDV">#REF!</definedName>
    <definedName name="SGI_V_INDICES_CIRCUITO_CAUSA">#REF!</definedName>
    <definedName name="Sh">#REF!</definedName>
    <definedName name="SHARED_FORMULA_21">#N/A</definedName>
    <definedName name="SHEE_INT">[87]steel!#REF!</definedName>
    <definedName name="SHEET">'[4]7422CW00'!#REF!</definedName>
    <definedName name="SHEET_KP">[87]steel!$C$7:$L$47</definedName>
    <definedName name="SHEET_MR">[87]steel!$C$7:$J$47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'MC 1'!ERR</definedName>
    <definedName name="SI" localSheetId="1">'MC 2-3-4'!ERR</definedName>
    <definedName name="SI" localSheetId="0">'MC 5'!ERR</definedName>
    <definedName name="SI">[0]!ERR</definedName>
    <definedName name="SI_1">"[0]!err"</definedName>
    <definedName name="Sifon">#REF!</definedName>
    <definedName name="SIFON_180_2">#REF!</definedName>
    <definedName name="SIFON_DE_PISO">#REF!</definedName>
    <definedName name="SIFONSANITARIO2">#REF!</definedName>
    <definedName name="SIKA">#REF!</definedName>
    <definedName name="sika1">#REF!</definedName>
    <definedName name="SIKADUR">#REF!</definedName>
    <definedName name="SILICONA">#REF!</definedName>
    <definedName name="silla_y_250x110">[53]Materiales!#REF!</definedName>
    <definedName name="SILLA_Y_ESTRUCTURADA_10__X__6">#REF!</definedName>
    <definedName name="SILLA_Y_ESTRUCTURADA_10__X_8">#REF!</definedName>
    <definedName name="SILLA_Y_ESTRUCTURADA_12__X__6">#REF!</definedName>
    <definedName name="SILLA_Y_ESTRUCTURADA_8__X_6">#REF!</definedName>
    <definedName name="SILLA_Y_PVC_10__X_6">#REF!</definedName>
    <definedName name="SILLA_YEE_160x110">[53]Materiales!#REF!</definedName>
    <definedName name="SILLA_YEE_160x160">[53]Materiales!#REF!</definedName>
    <definedName name="SILLA_YEE_200x110">[53]Materiales!#REF!</definedName>
    <definedName name="SILLA_YEE_200x160">[53]Materiales!#REF!</definedName>
    <definedName name="Silla_yee_24___160_mm_Kit">#REF!</definedName>
    <definedName name="SILLA_YEE_24x160">[53]Materiales!#REF!</definedName>
    <definedName name="Silla_yee_250___160_mm_Kit">#REF!</definedName>
    <definedName name="SILLA_YEE_250x110">[53]Materiales!#REF!</definedName>
    <definedName name="SILLA_YEE_250x160">[53]Materiales!#REF!</definedName>
    <definedName name="Silla_yee_27___160_mm_Kit">#REF!</definedName>
    <definedName name="SILLA_YEE_27x160">[53]Materiales!#REF!</definedName>
    <definedName name="Silla_yee_315___160_mm_Kit">#REF!</definedName>
    <definedName name="SILLA_YEE_315x110">[53]Materiales!#REF!</definedName>
    <definedName name="SILLA_YEE_315x160">[53]Materiales!#REF!</definedName>
    <definedName name="Silla_yee_355___160_mm_Kit">#REF!</definedName>
    <definedName name="SILLA_YEE_355x110">[53]Materiales!#REF!</definedName>
    <definedName name="SILLA_YEE_355x160">[53]Materiales!#REF!</definedName>
    <definedName name="Silla_yee_400___160_mm_Kit">#REF!</definedName>
    <definedName name="SILLA_YEE_400x160">[53]Materiales!#REF!</definedName>
    <definedName name="SILLA_YEE_450x160">[53]Materiales!#REF!</definedName>
    <definedName name="sin_nombre_2">#REF!</definedName>
    <definedName name="SINGOLO">'[4]7422CW00'!#REF!</definedName>
    <definedName name="SISISIS" localSheetId="2">'MC 1'!ERR</definedName>
    <definedName name="SISISIS" localSheetId="1">'MC 2-3-4'!ERR</definedName>
    <definedName name="SISISIS" localSheetId="0">'MC 5'!ERR</definedName>
    <definedName name="SISISIS">[0]!ERR</definedName>
    <definedName name="SISISIS_1">"[0]!err"</definedName>
    <definedName name="SITIO">#REF!</definedName>
    <definedName name="SJ">'[79]CIRCUITOS CODENSA'!#REF!</definedName>
    <definedName name="SJC">[160]MATERIALES!$D$84</definedName>
    <definedName name="sk">#REF!</definedName>
    <definedName name="SL">[118]PRESUPUESTO!#REF!</definedName>
    <definedName name="sm">#REF!</definedName>
    <definedName name="Smlv">'[18]DATOS CONTRATO'!$I$9</definedName>
    <definedName name="smlv01">[80]CONTRATO!$I$9</definedName>
    <definedName name="smlv2001">[80]CONTRATO!$H$9</definedName>
    <definedName name="SMML">'[128]ASPECTOS TECNICOS'!$O$12:$P$32</definedName>
    <definedName name="SN">[18]EMPRESA!$G$29</definedName>
    <definedName name="snw">#REF!</definedName>
    <definedName name="sñ">#REF!</definedName>
    <definedName name="so">#REF!</definedName>
    <definedName name="SOBRANTES">#REF!</definedName>
    <definedName name="SOBRE2H">#REF!</definedName>
    <definedName name="SOBRECIMIENTO">#REF!</definedName>
    <definedName name="SOCIAL">#REF!</definedName>
    <definedName name="SOGA">#REF!</definedName>
    <definedName name="SOL">'[38]Base Datos'!$B$130</definedName>
    <definedName name="solado">#REF!</definedName>
    <definedName name="SOLD._4_">#REF!</definedName>
    <definedName name="SOLD._6_">#REF!</definedName>
    <definedName name="SOLD._8_">#REF!</definedName>
    <definedName name="SOLDA">#REF!</definedName>
    <definedName name="SOLDADURA">#REF!</definedName>
    <definedName name="SOLDADURA__6011X1_8">#REF!</definedName>
    <definedName name="SOLDADURA_ELECTRICA__6011_x_1_8">#REF!</definedName>
    <definedName name="Soldadura_Exotermica_115_Gm">#REF!</definedName>
    <definedName name="SOLDADURA_EXOTERMICA_115_GR">#REF!</definedName>
    <definedName name="Soldadura_pvc_1_4">#REF!</definedName>
    <definedName name="SOLDADURA6013">[55]PRECIO.MAT!$C$20</definedName>
    <definedName name="SOLDADURALIQ">'[54]PRECIO. MAT'!#REF!</definedName>
    <definedName name="solver_adj" localSheetId="4" hidden="1">'PRESUPUESTO OFICIAL '!#REF!</definedName>
    <definedName name="solver_cvg" localSheetId="4" hidden="1">0.0001</definedName>
    <definedName name="solver_drv" localSheetId="4" hidden="1">1</definedName>
    <definedName name="solver_est" localSheetId="4" hidden="1">1</definedName>
    <definedName name="solver_itr" localSheetId="4" hidden="1">100</definedName>
    <definedName name="solver_lhs1" localSheetId="4" hidden="1">'PRESUPUESTO OFICIAL '!$H$110</definedName>
    <definedName name="solver_lin" localSheetId="4" hidden="1">2</definedName>
    <definedName name="solver_neg" localSheetId="4" hidden="1">2</definedName>
    <definedName name="solver_num" localSheetId="4" hidden="1">1</definedName>
    <definedName name="solver_nwt" localSheetId="4" hidden="1">1</definedName>
    <definedName name="solver_opt" localSheetId="4" hidden="1">'PRESUPUESTO OFICIAL '!$H$110</definedName>
    <definedName name="solver_pre" localSheetId="4" hidden="1">0.000001</definedName>
    <definedName name="solver_rel1" localSheetId="4" hidden="1">2</definedName>
    <definedName name="solver_rhs1" localSheetId="4" hidden="1">'PRESUPUESTO OFICIAL '!$H$111</definedName>
    <definedName name="solver_scl" localSheetId="4" hidden="1">2</definedName>
    <definedName name="solver_sho" localSheetId="4" hidden="1">2</definedName>
    <definedName name="solver_tim" localSheetId="4" hidden="1">100</definedName>
    <definedName name="solver_tol" localSheetId="4" hidden="1">0.05</definedName>
    <definedName name="solver_typ" localSheetId="4" hidden="1">3</definedName>
    <definedName name="solver_val" localSheetId="4" hidden="1">63899000000</definedName>
    <definedName name="SOSO" hidden="1">'[31]ETAPA 50 SMMLV'!#REF!</definedName>
    <definedName name="sr">#REF!</definedName>
    <definedName name="srwrwr" localSheetId="2"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#REF!</definedName>
    <definedName name="SS_1">"[0]!err"</definedName>
    <definedName name="SS_AVG_SIZE">#REF!</definedName>
    <definedName name="SS_WELDING">#REF!</definedName>
    <definedName name="ssa">[104]Hoja1!$C$25</definedName>
    <definedName name="ssh">[104]Hoja1!$C$24</definedName>
    <definedName name="sss" localSheetId="8">MODULO10.auto_abrir</definedName>
    <definedName name="sss" localSheetId="7">MODULO10.auto_abrir</definedName>
    <definedName name="sss" localSheetId="5">MODULO10.auto_abrir</definedName>
    <definedName name="sss" localSheetId="2">MODULO10.auto_abrir</definedName>
    <definedName name="sss" localSheetId="1">MODULO10.auto_abrir</definedName>
    <definedName name="sss" localSheetId="0">MODULO10.auto_abrir</definedName>
    <definedName name="sss" localSheetId="4">MODULO10.auto_abrir</definedName>
    <definedName name="sss">MODULO10.auto_abrir</definedName>
    <definedName name="SSSS" localSheetId="2">'MC 1'!ERR</definedName>
    <definedName name="SSSS" localSheetId="1">'MC 2-3-4'!ERR</definedName>
    <definedName name="SSSS" localSheetId="0">'MC 5'!ERR</definedName>
    <definedName name="SSSS">[0]!ERR</definedName>
    <definedName name="SSSSS">'[209]LISTA DE MATERIALES'!$A$3:$A$191</definedName>
    <definedName name="sssss7" localSheetId="2" hidden="1">{"via1",#N/A,TRUE,"general";"via2",#N/A,TRUE,"general";"via3",#N/A,TRUE,"general"}</definedName>
    <definedName name="sssss7" localSheetId="1"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localSheetId="1"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SS" localSheetId="2">IF([0]!Loan_Amount*[0]!Interest_Rate*[0]!Loan_Years*[0]!Loan_Start&gt;0,1,0)</definedName>
    <definedName name="SSSSSSS" localSheetId="1">IF([0]!Loan_Amount*[0]!Interest_Rate*[0]!Loan_Years*[0]!Loan_Start&gt;0,1,0)</definedName>
    <definedName name="SSSSSSS" localSheetId="0">IF([0]!Loan_Amount*[0]!Interest_Rate*[0]!Loan_Years*[0]!Loan_Start&gt;0,1,0)</definedName>
    <definedName name="SSSSSSS">IF([0]!Loan_Amount*[0]!Interest_Rate*[0]!Loan_Years*[0]!Loan_Start&gt;0,1,0)</definedName>
    <definedName name="sssssy" localSheetId="2" hidden="1">{"via1",#N/A,TRUE,"general";"via2",#N/A,TRUE,"general";"via3",#N/A,TRUE,"general"}</definedName>
    <definedName name="sssssy" localSheetId="1"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#REF!</definedName>
    <definedName name="ST_BLDG">'[4]7422CW00'!#REF!</definedName>
    <definedName name="ST_CW">'[4]7422CW00'!#REF!</definedName>
    <definedName name="STALO1">'[4]7422CW00'!#REF!</definedName>
    <definedName name="STAMPA">#REF!</definedName>
    <definedName name="STANU">'[4]7422CW00'!#REF!</definedName>
    <definedName name="START">#REF!</definedName>
    <definedName name="START1">'[4]7422CW00'!#REF!</definedName>
    <definedName name="STENU">'[4]7422CW00'!#REF!</definedName>
    <definedName name="Stock">'[210]PxQ Cantidades'!#REF!</definedName>
    <definedName name="STONU">'[4]7422CW00'!#REF!</definedName>
    <definedName name="STRESS_RELIEVIN">#REF!</definedName>
    <definedName name="STSUMM">'[4]7422CW00'!#REF!</definedName>
    <definedName name="stt" localSheetId="2" hidden="1">{"via1",#N/A,TRUE,"general";"via2",#N/A,TRUE,"general";"via3",#N/A,TRUE,"general"}</definedName>
    <definedName name="stt" localSheetId="1"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U">'[79]CIRCUITOS CODENSA'!#REF!</definedName>
    <definedName name="SUB">#REF!</definedName>
    <definedName name="SUBA">'[211]SUB APU'!$A$1:$D$65536</definedName>
    <definedName name="SUBASE">[55]PRECIO.MAT!#REF!</definedName>
    <definedName name="SUBBASE">[55]PRECIO.MAT!#REF!</definedName>
    <definedName name="SUBBASE_2">#REF!</definedName>
    <definedName name="SUBBASEGRANULAR">#REF!</definedName>
    <definedName name="SUBESTACIONES">'[212]OBRAS SES'!#REF!</definedName>
    <definedName name="SUBPRODUCTOS">#REF!</definedName>
    <definedName name="SUBSUELO">#REF!</definedName>
    <definedName name="Subtotal">#REF!</definedName>
    <definedName name="SUBTOTALMAT">'[118]2,2,6,1 Pilotes 0,30'!$I$19</definedName>
    <definedName name="SUELDO">#REF!</definedName>
    <definedName name="suma">[98]Hoja1!$F$60</definedName>
    <definedName name="Summary">#REF!</definedName>
    <definedName name="sUMMARY1">#REF!</definedName>
    <definedName name="SUP_ART">[87]steel!#REF!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[21]Tablas!#REF!</definedName>
    <definedName name="SUP_VPR_NA">#REF!</definedName>
    <definedName name="SUPER">[110]Tablas!$H$1:$H$65536</definedName>
    <definedName name="SUPERCEL">#REF!</definedName>
    <definedName name="SUPERFICIE">#REF!</definedName>
    <definedName name="sw" localSheetId="2">'MC 1'!ERR</definedName>
    <definedName name="sw" localSheetId="1">'MC 2-3-4'!ERR</definedName>
    <definedName name="sw" localSheetId="0">'MC 5'!ERR</definedName>
    <definedName name="sw">[0]!ERR</definedName>
    <definedName name="sw_1">"[0]!err"</definedName>
    <definedName name="SWEFRCVRHEV" localSheetId="2">'MC 1'!ERR</definedName>
    <definedName name="SWEFRCVRHEV" localSheetId="1">'MC 2-3-4'!ERR</definedName>
    <definedName name="SWEFRCVRHEV" localSheetId="0">'MC 5'!ERR</definedName>
    <definedName name="SWEFRCVRHEV">[0]!ERR</definedName>
    <definedName name="swsw" localSheetId="2" hidden="1">{"via1",#N/A,TRUE,"general";"via2",#N/A,TRUE,"general";"via3",#N/A,TRUE,"general"}</definedName>
    <definedName name="swsw" localSheetId="1"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localSheetId="1"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Swvu.TAB1." hidden="1">#REF!</definedName>
    <definedName name="Swvu.TAB2." hidden="1">#REF!</definedName>
    <definedName name="Swvu.TAB3." hidden="1">#REF!</definedName>
    <definedName name="Swvu.TAB4." hidden="1">#REF!</definedName>
    <definedName name="Swvu.TAB5." hidden="1">#REF!</definedName>
    <definedName name="SYP">#REF!</definedName>
    <definedName name="t" localSheetId="8">[41]!absc</definedName>
    <definedName name="t" localSheetId="7">[41]!absc</definedName>
    <definedName name="t" localSheetId="5">[41]!absc</definedName>
    <definedName name="t" localSheetId="1">[41]!absc</definedName>
    <definedName name="t" localSheetId="0">[41]!absc</definedName>
    <definedName name="t" localSheetId="4">[41]!absc</definedName>
    <definedName name="t">[41]!absc</definedName>
    <definedName name="T.1">#REF!</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_1" localSheetId="8">Scheduled_Payment+Extra_Payment</definedName>
    <definedName name="t_1" localSheetId="7">Scheduled_Payment+Extra_Payment</definedName>
    <definedName name="t_1" localSheetId="5">Scheduled_Payment+Extra_Payment</definedName>
    <definedName name="t_1" localSheetId="2">Scheduled_Payment+Extra_Payment</definedName>
    <definedName name="t_1" localSheetId="1">Scheduled_Payment+Extra_Payment</definedName>
    <definedName name="t_1" localSheetId="0">Scheduled_Payment+Extra_Payment</definedName>
    <definedName name="t_1" localSheetId="4">Scheduled_Payment+Extra_Payment</definedName>
    <definedName name="t_1">Scheduled_Payment+Extra_Payment</definedName>
    <definedName name="T120II">520000</definedName>
    <definedName name="T16US">#REF!</definedName>
    <definedName name="T250mm">45000</definedName>
    <definedName name="T27II">195000</definedName>
    <definedName name="T2pulg">7000</definedName>
    <definedName name="T315mm">80000</definedName>
    <definedName name="T3UP">#REF!</definedName>
    <definedName name="T3UZ">#REF!</definedName>
    <definedName name="t4rde26">#REF!</definedName>
    <definedName name="T4UP">#REF!</definedName>
    <definedName name="T4UZ">#REF!</definedName>
    <definedName name="t5t5" localSheetId="2" hidden="1">{"TAB1",#N/A,TRUE,"GENERAL";"TAB2",#N/A,TRUE,"GENERAL";"TAB3",#N/A,TRUE,"GENERAL";"TAB4",#N/A,TRUE,"GENERAL";"TAB5",#N/A,TRUE,"GENERAL"}</definedName>
    <definedName name="t5t5" localSheetId="1"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6UP">#REF!</definedName>
    <definedName name="T6UZ">#REF!</definedName>
    <definedName name="T8UZ">#REF!</definedName>
    <definedName name="TA">[118]PRESUPUESTO!#REF!</definedName>
    <definedName name="TAB_FECHA">[110]Tablas!$B$1:$B$65536</definedName>
    <definedName name="TABDEL">#REF!</definedName>
    <definedName name="TABL">#REF!</definedName>
    <definedName name="TABLA">#REF!</definedName>
    <definedName name="TABLA__COMUN_L__2_50_m__A__0_25_m">#REF!</definedName>
    <definedName name="Tabla_Burra">#REF!</definedName>
    <definedName name="Tabla_Chapa">#REF!</definedName>
    <definedName name="Tabla_comun_0_25_2_5_0_2">#REF!</definedName>
    <definedName name="TABLA_DE_CARACOLI">#REF!</definedName>
    <definedName name="Tabla_Tareas">#REF!</definedName>
    <definedName name="tabla1">[213]Hoja3!$B$4:$F$28</definedName>
    <definedName name="tabla2">#REF!</definedName>
    <definedName name="TABLAORD">'[54]PRECIO. MAT'!#REF!</definedName>
    <definedName name="TABLATOLUA">[55]PRECIO.MAT!#REF!</definedName>
    <definedName name="TABLEKP">'[4]7422CW00'!#REF!</definedName>
    <definedName name="TABLEPRI">#REF!</definedName>
    <definedName name="TABLERO_DE_60cm_X_60cm_X_25cm">#REF!</definedName>
    <definedName name="TABLERO_GENERAL_DE_DISTRIBUCION">#REF!</definedName>
    <definedName name="TABLERO4">#REF!</definedName>
    <definedName name="TABLEROS">#REF!</definedName>
    <definedName name="TABLEROTOTALIZADOR">#REF!</definedName>
    <definedName name="Tablestacado">#REF!</definedName>
    <definedName name="TABLETA_DE_CONCRETO">#REF!</definedName>
    <definedName name="TABLETA_DE_GRESS_20X30">#REF!</definedName>
    <definedName name="TABLETA_EN_GRESS_15X30">#REF!</definedName>
    <definedName name="TABLETA3333">#REF!</definedName>
    <definedName name="TABLETAGRESS">#REF!</definedName>
    <definedName name="TABLILLA">[55]PRECIO.MAT!#REF!</definedName>
    <definedName name="TABLILLA15">[55]PRECIO.MAT!#REF!</definedName>
    <definedName name="TABLON">#REF!</definedName>
    <definedName name="Tablon_comun_0_25_2_5_0_4">#REF!</definedName>
    <definedName name="TACDetail">#REF!</definedName>
    <definedName name="TACHAS">#REF!</definedName>
    <definedName name="TACHeading">#REF!</definedName>
    <definedName name="Tambores">#REF!</definedName>
    <definedName name="TANQUE">'[54]PRECIO. MAT'!#REF!</definedName>
    <definedName name="TANQUE_ABASTECIMIENTO_2000_LTS">#REF!</definedName>
    <definedName name="TANQUE_DE_ALMACENAMIENTO_1000_LTS">#REF!</definedName>
    <definedName name="Tanque_Eternit_750_Lt">#REF!</definedName>
    <definedName name="Tanque_Séptico_Eternit">#REF!</definedName>
    <definedName name="TANQUEAEREO">#REF!</definedName>
    <definedName name="Tanques">#REF!</definedName>
    <definedName name="TAPA">#REF!</definedName>
    <definedName name="Tapa_Alcantarilla_aro_y_contra_aro">#REF!</definedName>
    <definedName name="TAPA_ALCANTARILLA_ARO_Y_CONTRAARO">[53]Materiales!#REF!</definedName>
    <definedName name="TAPA_HF">#REF!</definedName>
    <definedName name="TAPA_SUMIDERO">#REF!</definedName>
    <definedName name="Tapa_Válvula_Tipo_Chorote">#REF!</definedName>
    <definedName name="tapacamara">#REF!</definedName>
    <definedName name="tapafondo">#REF!</definedName>
    <definedName name="tapapozo">#REF!</definedName>
    <definedName name="TAPAS_DE_CIERRE_DE_METALDECK">#REF!</definedName>
    <definedName name="TAPETECESPED">'[54]PRECIO. MAT'!$C$25</definedName>
    <definedName name="TAPON_2__P.V.C">#REF!</definedName>
    <definedName name="Tapon_3__Presion">#REF!</definedName>
    <definedName name="TAPON3">[40]APU!$G$547</definedName>
    <definedName name="TAPON4">#REF!</definedName>
    <definedName name="TAREAS_INICIALES">#REF!</definedName>
    <definedName name="TARIFA">#REF!</definedName>
    <definedName name="TarifaPension">[80]EMPRESA!$F$24</definedName>
    <definedName name="TARIFAS">[214]TARIFAS!$A$1:$F$52</definedName>
    <definedName name="TARIFAS1">[215]TARIFAS!$A$1:$F$119</definedName>
    <definedName name="TarifaSalud">[80]EMPRESA!$F$26</definedName>
    <definedName name="Tasa">#REF!</definedName>
    <definedName name="TASA_DE_CAMBIO">#REF!</definedName>
    <definedName name="Tasa1">'[216]Bases 2A'!$C$20</definedName>
    <definedName name="TasaCCP">#REF!</definedName>
    <definedName name="Tax">#REF!</definedName>
    <definedName name="tb">#REF!</definedName>
    <definedName name="TB_EVENTOS_OTS_ANUAL">#REF!</definedName>
    <definedName name="tc">#REF!</definedName>
    <definedName name="Td">#REF!</definedName>
    <definedName name="tdy" localSheetId="2" hidden="1">{"TAB1",#N/A,TRUE,"GENERAL";"TAB2",#N/A,TRUE,"GENERAL";"TAB3",#N/A,TRUE,"GENERAL";"TAB4",#N/A,TRUE,"GENERAL";"TAB5",#N/A,TRUE,"GENERAL"}</definedName>
    <definedName name="tdy" localSheetId="1"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[118]PRESUPUESTO!#REF!</definedName>
    <definedName name="TECN" localSheetId="8">DATE(YEAR([0]!Loan_Start),MONTH([0]!Loan_Start)+Payment_Number,DAY([0]!Loan_Start))</definedName>
    <definedName name="TECN" localSheetId="7">DATE(YEAR([0]!Loan_Start),MONTH([0]!Loan_Start)+Payment_Number,DAY([0]!Loan_Start))</definedName>
    <definedName name="TECN" localSheetId="5">DATE(YEAR([0]!Loan_Start),MONTH([0]!Loan_Start)+Payment_Number,DAY([0]!Loan_Start))</definedName>
    <definedName name="TECN" localSheetId="2">DATE(YEAR([0]!Loan_Start),MONTH([0]!Loan_Start)+Payment_Number,DAY([0]!Loan_Start))</definedName>
    <definedName name="TECN" localSheetId="1">DATE(YEAR([0]!Loan_Start),MONTH([0]!Loan_Start)+Payment_Number,DAY([0]!Loan_Start))</definedName>
    <definedName name="TECN" localSheetId="0">DATE(YEAR([0]!Loan_Start),MONTH([0]!Loan_Start)+Payment_Number,DAY([0]!Loan_Start))</definedName>
    <definedName name="TECN" localSheetId="4">DATE(YEAR([0]!Loan_Start),MONTH([0]!Loan_Start)+Payment_Number,DAY([0]!Loan_Start))</definedName>
    <definedName name="TECN">DATE(YEAR([0]!Loan_Start),MONTH([0]!Loan_Start)+Payment_Number,DAY([0]!Loan_Start))</definedName>
    <definedName name="Tecnico">#REF!</definedName>
    <definedName name="TECNICO_TELEFONOS">#REF!</definedName>
    <definedName name="Tecnico1">#REF!</definedName>
    <definedName name="Tecnico2">#REF!</definedName>
    <definedName name="TEE_2_____2____P.V.C">#REF!</definedName>
    <definedName name="TEE_3____3____2____P.V.C">#REF!</definedName>
    <definedName name="TEE_3____3____2____P.V.C_UM">#REF!</definedName>
    <definedName name="TEE_3____3____3____P.V.C">#REF!</definedName>
    <definedName name="TEE_3__x_3__B_x_B">#REF!</definedName>
    <definedName name="TEE_4____4____4____P.V.C_UM">#REF!</definedName>
    <definedName name="Tee_de_8__Presion">#REF!</definedName>
    <definedName name="Tee_de_reducción_4__x_3__Presion">#REF!</definedName>
    <definedName name="Tee_de_reducción_8__x_4__Presion">#REF!</definedName>
    <definedName name="TEE_PVC_1_2">#REF!</definedName>
    <definedName name="TEE_PVC_ALCANTARILLADO_8">#REF!</definedName>
    <definedName name="TEE_PVC_PRESION_11_2X11_2X11_2">#REF!</definedName>
    <definedName name="TEE_PVC_PRESION_1X1X1">#REF!</definedName>
    <definedName name="TEE_PVC_PRESION_1X1X1_2">#REF!</definedName>
    <definedName name="TEE_PVC_PRESION_3X3X3">#REF!</definedName>
    <definedName name="TEE4X3">#REF!</definedName>
    <definedName name="TEE6A3">#REF!</definedName>
    <definedName name="TEE6A3_2">#REF!</definedName>
    <definedName name="TEE6X3">#REF!</definedName>
    <definedName name="TEE8A6">[217]UNITARIOS!#REF!</definedName>
    <definedName name="TEE8A6_2">#REF!</definedName>
    <definedName name="TEE8X3">#REF!</definedName>
    <definedName name="TEE8X4">#REF!</definedName>
    <definedName name="TEE8X6">#REF!</definedName>
    <definedName name="Teen">#REF!</definedName>
    <definedName name="TEFLON">[55]PRECIO.MAT!#REF!</definedName>
    <definedName name="TEJA">#REF!</definedName>
    <definedName name="Teja_de_Barro">#REF!</definedName>
    <definedName name="TEJA_DE_ZINC_No_6">#REF!</definedName>
    <definedName name="TEJA_METALICA">#REF!</definedName>
    <definedName name="TEJA_TERMOACUSTICA">#REF!</definedName>
    <definedName name="tejaeternit">#REF!</definedName>
    <definedName name="TEJAZ">'[54]PRECIO. MAT'!#REF!</definedName>
    <definedName name="TELASFALTICA">#REF!</definedName>
    <definedName name="telefono">[80]EMPRESA!$F$16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MPLETES_5_8">#REF!</definedName>
    <definedName name="TEMPORIZADORES_GRADUABLES_AUTOMATICOS_TELEMECHANIQUE_110VAC">#REF!</definedName>
    <definedName name="TER" localSheetId="2">'MC 1'!ERR</definedName>
    <definedName name="TER" localSheetId="1">'MC 2-3-4'!ERR</definedName>
    <definedName name="TER" localSheetId="0">'MC 5'!ERR</definedName>
    <definedName name="TER">[0]!ERR</definedName>
    <definedName name="TERINAL">#REF!</definedName>
    <definedName name="TERM" localSheetId="2">'MC 1'!ERR</definedName>
    <definedName name="TERM" localSheetId="1">'MC 2-3-4'!ERR</definedName>
    <definedName name="TERM" localSheetId="0">'MC 5'!ERR</definedName>
    <definedName name="TERM">[0]!ERR</definedName>
    <definedName name="Terminal_conduit_pvc_3_4">#REF!</definedName>
    <definedName name="TERMINAL_DE_OJO">#REF!</definedName>
    <definedName name="TERMINAL_EMT_3_4">#REF!</definedName>
    <definedName name="TERMINAL_POCHARno4">#REF!</definedName>
    <definedName name="TERMINAL_PONCHAR_COBRE_ESTAÑADO_1_0__AWG">#REF!</definedName>
    <definedName name="TERMINAL_PONCHAR_COBRE_ESTAÑADO_1_0__AWG___3M">#REF!</definedName>
    <definedName name="TERMINAL1">'[54]PRECIO. MAT'!#REF!</definedName>
    <definedName name="TERMINALES_PONCHAR_16">#REF!</definedName>
    <definedName name="TÉRMINOS" localSheetId="2">'MC 1'!ERR</definedName>
    <definedName name="TÉRMINOS" localSheetId="1">'MC 2-3-4'!ERR</definedName>
    <definedName name="TÉRMINOS" localSheetId="0">'MC 5'!ERR</definedName>
    <definedName name="TÉRMINOS">[0]!ERR</definedName>
    <definedName name="TERR">[51]PRESUPUESTO!$I$7</definedName>
    <definedName name="TesSumHeading">#REF!</definedName>
    <definedName name="tewst" localSheetId="2" hidden="1">{"TAB1",#N/A,TRUE,"GENERAL";"TAB2",#N/A,TRUE,"GENERAL";"TAB3",#N/A,TRUE,"GENERAL";"TAB4",#N/A,TRUE,"GENERAL";"TAB5",#N/A,TRUE,"GENERAL"}</definedName>
    <definedName name="tewst" localSheetId="1"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xSumDetail">#REF!</definedName>
    <definedName name="TexSumHeading">#REF!</definedName>
    <definedName name="teytrh" localSheetId="2" hidden="1">{"via1",#N/A,TRUE,"general";"via2",#N/A,TRUE,"general";"via3",#N/A,TRUE,"general"}</definedName>
    <definedName name="teytrh" localSheetId="1"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f">#REF!</definedName>
    <definedName name="Tg">#REF!</definedName>
    <definedName name="TGB">#REF!</definedName>
    <definedName name="TH">#REF!</definedName>
    <definedName name="THBULLDOZER">#REF!</definedName>
    <definedName name="THCARROTANQUE">#REF!</definedName>
    <definedName name="thdh" localSheetId="2" hidden="1">{"TAB1",#N/A,TRUE,"GENERAL";"TAB2",#N/A,TRUE,"GENERAL";"TAB3",#N/A,TRUE,"GENERAL";"TAB4",#N/A,TRUE,"GENERAL";"TAB5",#N/A,TRUE,"GENERAL"}</definedName>
    <definedName name="thdh" localSheetId="1"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EQUIPOSOLDADURA">#REF!</definedName>
    <definedName name="THINER">#REF!</definedName>
    <definedName name="THMEZCLADORA">#REF!</definedName>
    <definedName name="THMOTO">#REF!</definedName>
    <definedName name="THP">#REF!</definedName>
    <definedName name="THRANA">#REF!</definedName>
    <definedName name="THRETRO">#REF!</definedName>
    <definedName name="thtj" localSheetId="2" hidden="1">{"via1",#N/A,TRUE,"general";"via2",#N/A,TRUE,"general";"via3",#N/A,TRUE,"general"}</definedName>
    <definedName name="thtj" localSheetId="1"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THVIBRADOR">#REF!</definedName>
    <definedName name="THVIBRO">#REF!</definedName>
    <definedName name="THVOLQUETA">#REF!</definedName>
    <definedName name="Ti">#REF!</definedName>
    <definedName name="TIEMPO">[73]BASES!$E$27</definedName>
    <definedName name="TIERRA_NEGRA">#REF!</definedName>
    <definedName name="TIERRANEGRA">'[54]PRECIO. MAT'!$C$24</definedName>
    <definedName name="TIPO">#REF!</definedName>
    <definedName name="TIPO_GRUPO">#REF!</definedName>
    <definedName name="TipoCosteo">#REF!</definedName>
    <definedName name="TipoCosteoNivelRiesgo">#REF!</definedName>
    <definedName name="TipoGC">[191]Tablas!$U$6:$U$15</definedName>
    <definedName name="TipoNeces">[191]Tablas!$Q$6:$Q$8</definedName>
    <definedName name="TipoPro">#REF!</definedName>
    <definedName name="Tipoproceso">#REF!</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ipov">#REF!</definedName>
    <definedName name="TIR">#REF!</definedName>
    <definedName name="TITEQUIPO">#REF!</definedName>
    <definedName name="titi" localSheetId="2">IF([0]!Loan_Amount*[0]!Interest_Rate*[0]!Loan_Years*[0]!Loan_Start&gt;0,1,0)</definedName>
    <definedName name="titi" localSheetId="1">IF([0]!Loan_Amount*[0]!Interest_Rate*[0]!Loan_Years*[0]!Loan_Start&gt;0,1,0)</definedName>
    <definedName name="titi" localSheetId="0">IF([0]!Loan_Amount*[0]!Interest_Rate*[0]!Loan_Years*[0]!Loan_Start&gt;0,1,0)</definedName>
    <definedName name="titi">IF([0]!Loan_Amount*[0]!Interest_Rate*[0]!Loan_Years*[0]!Loan_Start&gt;0,1,0)</definedName>
    <definedName name="TITLE">#REF!</definedName>
    <definedName name="TITMATERIALES">#REF!</definedName>
    <definedName name="TITMO">#REF!</definedName>
    <definedName name="TITO">#N/A</definedName>
    <definedName name="TITOF">#N/A</definedName>
    <definedName name="TITTRANSPORTE">#REF!</definedName>
    <definedName name="titu">#REF!</definedName>
    <definedName name="titu2">#REF!</definedName>
    <definedName name="TITULO">#REF!</definedName>
    <definedName name="TITULOS">#REF!</definedName>
    <definedName name="Títulos">'[218]062'!$A$1:$G$7</definedName>
    <definedName name="_xlnm.Print_Titles" localSheetId="4">'PRESUPUESTO OFICIAL '!$1:$9</definedName>
    <definedName name="_xlnm.Print_Titles">#N/A</definedName>
    <definedName name="Títulos_a_imprimir_IM">#REF!</definedName>
    <definedName name="TIZON">#REF!</definedName>
    <definedName name="tj">#REF!</definedName>
    <definedName name="tk">'[18]DATOS CONTRATO'!$E$18</definedName>
    <definedName name="TK_1" hidden="1">[44]INST!#REF!</definedName>
    <definedName name="TKSLCI07">[18]EMPRESA!$F$22</definedName>
    <definedName name="tl">#REF!</definedName>
    <definedName name="tld">[104]Datos!$D$14</definedName>
    <definedName name="Tll">#REF!</definedName>
    <definedName name="Tm">#REF!</definedName>
    <definedName name="tn">#REF!</definedName>
    <definedName name="Tñ">#REF!</definedName>
    <definedName name="To">#REF!</definedName>
    <definedName name="TOCHE">'[153]Base Datos'!$B:$F</definedName>
    <definedName name="TOMA_CORRIENTE_REGULADO_DOBLE_CON_POLO_A_TIERRA_250_W">#REF!</definedName>
    <definedName name="TOMA110V">'[54]PRECIO. MAT'!#REF!</definedName>
    <definedName name="TOMACORRIENTE_DOBLE_POLO_A_TIERRA">#REF!</definedName>
    <definedName name="TOMACORRIENTE_GFCI_DOBLE_CON_POLO_A_TIERRA_250_W">#REF!</definedName>
    <definedName name="Tope_sismico__almohadilla_simple_de_elastomero_ASTMD4017_300x400x50_mm">#REF!</definedName>
    <definedName name="TOPGENER">#REF!</definedName>
    <definedName name="TOPGENER1">#REF!</definedName>
    <definedName name="TOPMENU">#REF!</definedName>
    <definedName name="topo">50000</definedName>
    <definedName name="TOPOGRAFIA">[40]APU!$G$60</definedName>
    <definedName name="TOPOGRAFO">#REF!</definedName>
    <definedName name="TORNILLO_3">#REF!</definedName>
    <definedName name="TORNILLO_PARA_FIJAR_CUBIERTA">#REF!</definedName>
    <definedName name="TORNILLOS_2.5">#REF!</definedName>
    <definedName name="Torres">#REF!</definedName>
    <definedName name="tortas" localSheetId="2" hidden="1">{"TAB1",#N/A,TRUE,"GENERAL";"TAB2",#N/A,TRUE,"GENERAL";"TAB3",#N/A,TRUE,"GENERAL";"TAB4",#N/A,TRUE,"GENERAL";"TAB5",#N/A,TRUE,"GENERAL"}</definedName>
    <definedName name="tortas" localSheetId="1"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localSheetId="1"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OT">#REF!</definedName>
    <definedName name="TOTAL">#REF!</definedName>
    <definedName name="TOTAL.2">#REF!</definedName>
    <definedName name="Total_Interest">#REF!</definedName>
    <definedName name="Total_Kilometro_típico_aereo_11.4_kV">'[219]c2.5y2.6'!#REF!</definedName>
    <definedName name="Total_Kilometro_típico_aereo_34.5_kV">'[219]c2.5y2.6'!#REF!</definedName>
    <definedName name="Total_Kilometro_típico_aereo_rural_11.4kV">'[219]c2.5y2.6'!#REF!</definedName>
    <definedName name="Total_Kilometro_típico_aereo_rural_34.5kV">'[219]c2.5y2.6'!#REF!</definedName>
    <definedName name="Total_Kilometro_típico_subterraneo_11.4_kV">'[219]c2.5y2.6'!#REF!</definedName>
    <definedName name="Total_Kilometro_típico_subterraneo_34.5_kV">'[219]c2.5y2.6'!#REF!</definedName>
    <definedName name="Total_Pay">#REF!</definedName>
    <definedName name="Total_Payment" localSheetId="8">Scheduled_Payment+Extra_Payment</definedName>
    <definedName name="Total_Payment" localSheetId="7">Scheduled_Payment+Extra_Payment</definedName>
    <definedName name="Total_Payment" localSheetId="5">Scheduled_Payment+Extra_Payment</definedName>
    <definedName name="Total_Payment" localSheetId="2">Scheduled_Payment+Extra_Payment</definedName>
    <definedName name="Total_Payment" localSheetId="1">Scheduled_Payment+Extra_Payment</definedName>
    <definedName name="Total_Payment" localSheetId="0">Scheduled_Payment+Extra_Payment</definedName>
    <definedName name="Total_Payment" localSheetId="4">Scheduled_Payment+Extra_Payment</definedName>
    <definedName name="Total_Payment">Scheduled_Payment+Extra_Payment</definedName>
    <definedName name="Total_Payment1" localSheetId="8">Scheduled_Payment+Extra_Payment</definedName>
    <definedName name="Total_Payment1" localSheetId="7">Scheduled_Payment+Extra_Payment</definedName>
    <definedName name="Total_Payment1" localSheetId="5">Scheduled_Payment+Extra_Payment</definedName>
    <definedName name="Total_Payment1" localSheetId="2">Scheduled_Payment+Extra_Payment</definedName>
    <definedName name="Total_Payment1" localSheetId="1">Scheduled_Payment+Extra_Payment</definedName>
    <definedName name="Total_Payment1" localSheetId="0">Scheduled_Payment+Extra_Payment</definedName>
    <definedName name="Total_Payment1" localSheetId="4">Scheduled_Payment+Extra_Payment</definedName>
    <definedName name="Total_Payment1">Scheduled_Payment+Extra_Payment</definedName>
    <definedName name="total1">#REF!</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AIU">#REF!</definedName>
    <definedName name="TotalCalidad">#REF!</definedName>
    <definedName name="TotalCam">#REF!</definedName>
    <definedName name="TotalCesantias">'[80]NOMINA 1'!$N$38</definedName>
    <definedName name="TotalContratoConIva">'[111]COSTEO TOTAL OBRA'!$D$37</definedName>
    <definedName name="TotalContratoSinIVA">'[111]COSTEO TOTAL OBRA'!$D$33</definedName>
    <definedName name="TotalEns">#REF!</definedName>
    <definedName name="TotalEqu">#REF!</definedName>
    <definedName name="TOTALHH">#REF!</definedName>
    <definedName name="TOTALHH1">#REF!</definedName>
    <definedName name="TotalImpuestosObra">#REF!</definedName>
    <definedName name="TOTALIZADOR">'[54]PRECIO. MAT'!#REF!</definedName>
    <definedName name="TOTALIZADOR_DE_3_X_50_TIPO_INDUSTRIAL">#REF!</definedName>
    <definedName name="TotalNoFacturable">#REF!</definedName>
    <definedName name="TotalOfi">#REF!</definedName>
    <definedName name="TotalPaginaPersonal">#REF!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otalPro">#REF!</definedName>
    <definedName name="TotalTec">#REF!</definedName>
    <definedName name="TotalTram">#REF!</definedName>
    <definedName name="TotalVacaciones">'[80]NOMINA 1'!$N$37</definedName>
    <definedName name="TotalVia">#REF!</definedName>
    <definedName name="TotAuxAlim">'[18]NOMINA-1'!$E$37</definedName>
    <definedName name="TotAuxAlimentacion">'[80]NOMINA 1'!$E$38</definedName>
    <definedName name="TotAuxCom">'[18]NOMINA-1'!$E$39</definedName>
    <definedName name="TotAuxComi">'[80]NOMINA 1'!$E$40</definedName>
    <definedName name="TotAuxDotacion">'[80]NOMINA 1'!$E$41</definedName>
    <definedName name="TotAuxHab">'[80]NOMINA 1'!$E$37</definedName>
    <definedName name="TotAuxTransporte">'[80]NOMINA 1'!$E$39</definedName>
    <definedName name="TotBasico">'[80]NOMINA 1'!$E$35</definedName>
    <definedName name="TotCom">'[18]NOMINA-1'!$E$41</definedName>
    <definedName name="TotComision">'[80]NOMINA 1'!$E$42</definedName>
    <definedName name="TotExtras">'[80]NOMINA 1'!$E$36</definedName>
    <definedName name="TotIntercesantias">'[80]NOMINA 1'!$N$39</definedName>
    <definedName name="TotPrimaServicios">'[80]NOMINA 1'!$N$36</definedName>
    <definedName name="TotPrimaServicos">'[80]NOMINA 1'!$N$36</definedName>
    <definedName name="TotPrimaVacaciones">'[80]NOMINA 1'!$N$41</definedName>
    <definedName name="TotPrimConv">'[18]NOMINA-1'!$N$39</definedName>
    <definedName name="TotPrimConvencional">'[80]NOMINA 1'!$N$40</definedName>
    <definedName name="TotPrimVac">'[18]NOMINA-1'!$N$40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'[18]NOMINA-1'!$N$36</definedName>
    <definedName name="Tp">#REF!</definedName>
    <definedName name="Tq">#REF!</definedName>
    <definedName name="tr" localSheetId="2" hidden="1">{"TAB1",#N/A,TRUE,"GENERAL";"TAB2",#N/A,TRUE,"GENERAL";"TAB3",#N/A,TRUE,"GENERAL";"TAB4",#N/A,TRUE,"GENERAL";"TAB5",#N/A,TRUE,"GENERAL"}</definedName>
    <definedName name="tr" localSheetId="1"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mite">#REF!</definedName>
    <definedName name="TRAMOS">#REF!</definedName>
    <definedName name="TRANS">#REF!</definedName>
    <definedName name="Transmisores">#REF!</definedName>
    <definedName name="TRANSPORI" localSheetId="2" hidden="1">{#N/A,#N/A,TRUE,"INGENIERIA";#N/A,#N/A,TRUE,"COMPRAS";#N/A,#N/A,TRUE,"DIRECCION";#N/A,#N/A,TRUE,"RESUMEN"}</definedName>
    <definedName name="TRANSPORI" localSheetId="1" hidden="1">{#N/A,#N/A,TRUE,"INGENIERIA";#N/A,#N/A,TRUE,"COMPRAS";#N/A,#N/A,TRUE,"DIRECCION";#N/A,#N/A,TRUE,"RESUMEN"}</definedName>
    <definedName name="TRANSPORI" localSheetId="0" hidden="1">{#N/A,#N/A,TRUE,"INGENIERIA";#N/A,#N/A,TRUE,"COMPRAS";#N/A,#N/A,TRUE,"DIRECCION";#N/A,#N/A,TRUE,"RESUMEN"}</definedName>
    <definedName name="TRANSPORI" hidden="1">{#N/A,#N/A,TRUE,"INGENIERIA";#N/A,#N/A,TRUE,"COMPRAS";#N/A,#N/A,TRUE,"DIRECCION";#N/A,#N/A,TRUE,"RESUMEN"}</definedName>
    <definedName name="Transporte">'[18]DATOS CONTRATO'!$E$16</definedName>
    <definedName name="TRANSPORTE_ARENA">[62]Transporte!$F$8</definedName>
    <definedName name="TRANSPORTE_CEMENTO">#REF!</definedName>
    <definedName name="TRANSPORTE_DE_CEMENTO">[62]Transporte!$F$13</definedName>
    <definedName name="TRANSPORTE_DE_TRITURADO">[62]Transporte!$F$9</definedName>
    <definedName name="TRANSPORTE_ENCHAPES">#REF!</definedName>
    <definedName name="TRANSPORTE_FORMALETA_METALICA_CERCHA_Y_TACOS">#REF!</definedName>
    <definedName name="TRANSPORTE_LADRILLO">#REF!</definedName>
    <definedName name="TRANSPORTE_LAVAPLATOS">#REF!</definedName>
    <definedName name="TRANSPORTE_MATERIALES_METALICOS">#REF!</definedName>
    <definedName name="TRANSPORTE_PERFILES_METALICOS">#REF!</definedName>
    <definedName name="TRANSPORTE_RAJON">#REF!</definedName>
    <definedName name="TRANSPORTE_RECEBO">#REF!</definedName>
    <definedName name="TRANSPORTE_TANQUE_DE_ALMACENAMIENTO">#REF!</definedName>
    <definedName name="TRANSPORTE_TEJA_TERMOACUSTICA">#REF!</definedName>
    <definedName name="TRANSPORTE_TRITURADO">#REF!</definedName>
    <definedName name="TRANSPORTE_TUBERIA">#REF!</definedName>
    <definedName name="TRASPORTE">#REF!</definedName>
    <definedName name="TRAT">[220]desmonte!$E$48</definedName>
    <definedName name="TREM">#REF!</definedName>
    <definedName name="Trenes">#REF!</definedName>
    <definedName name="TRES">'[221]INSUMOS  DEL PROYECTO'!$A$15:$A$4437</definedName>
    <definedName name="trest" localSheetId="2" hidden="1">{"TAB1",#N/A,TRUE,"GENERAL";"TAB2",#N/A,TRUE,"GENERAL";"TAB3",#N/A,TRUE,"GENERAL";"TAB4",#N/A,TRUE,"GENERAL";"TAB5",#N/A,TRUE,"GENERAL"}</definedName>
    <definedName name="trest" localSheetId="1"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localSheetId="1"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localSheetId="1"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localSheetId="1"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IPLEX">#REF!</definedName>
    <definedName name="tritu">35000</definedName>
    <definedName name="tritu3">35000</definedName>
    <definedName name="TRITURADO">'[54]PRECIO. MAT'!$C$16</definedName>
    <definedName name="TRITURADO_FINO">#REF!</definedName>
    <definedName name="TRITURADO_PILCUAN">[62]Materiales!$F$73</definedName>
    <definedName name="trjfgjh" localSheetId="2" hidden="1">{"via1",#N/A,TRUE,"general";"via2",#N/A,TRUE,"general";"via3",#N/A,TRUE,"general"}</definedName>
    <definedName name="trjfgjh" localSheetId="1"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M">[222]Tablas!$B$2</definedName>
    <definedName name="Troughing">'[155]Actual Data (MAP)'!$H$31:$I$131</definedName>
    <definedName name="TroughingSTX">'[155]Actual Data (STX)'!$B$19:$C$119</definedName>
    <definedName name="tru" localSheetId="2" hidden="1">{"via1",#N/A,TRUE,"general";"via2",#N/A,TRUE,"general";"via3",#N/A,TRUE,"general"}</definedName>
    <definedName name="tru" localSheetId="1"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localSheetId="1"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localSheetId="1"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localSheetId="1"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localSheetId="1"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localSheetId="1"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localSheetId="1"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localSheetId="1"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s">#REF!</definedName>
    <definedName name="tsert" localSheetId="2" hidden="1">{"TAB1",#N/A,TRUE,"GENERAL";"TAB2",#N/A,TRUE,"GENERAL";"TAB3",#N/A,TRUE,"GENERAL";"TAB4",#N/A,TRUE,"GENERAL";"TAB5",#N/A,TRUE,"GENERAL"}</definedName>
    <definedName name="tsert" localSheetId="1"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A">[118]PRESUPUESTO!#REF!</definedName>
    <definedName name="TTB">[118]PRESUPUESTO!#REF!</definedName>
    <definedName name="TTC">[118]PRESUPUESTO!#REF!</definedName>
    <definedName name="TtCD">#REF!</definedName>
    <definedName name="TTE">[118]PRESUPUESTO!#REF!</definedName>
    <definedName name="TTL">[118]PRESUPUESTO!#REF!</definedName>
    <definedName name="TtlCD">[167]PRESUPUESTO!$G$541</definedName>
    <definedName name="TTR" localSheetId="2" hidden="1">{"via1",#N/A,TRUE,"general";"via2",#N/A,TRUE,"general";"via3",#N/A,TRUE,"general"}</definedName>
    <definedName name="TTR" localSheetId="1"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localSheetId="1"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localSheetId="1" hidden="1">{"TAB1",#N/A,TRUE,"GENERAL";"TAB2",#N/A,TRUE,"GENERAL";"TAB3",#N/A,TRUE,"GENERAL";"TAB4",#N/A,TRUE,"GENERAL";"TAB5",#N/A,TRUE,"GENERAL"}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localSheetId="1"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localSheetId="1"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localSheetId="1"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localSheetId="1"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TTTTT">[223]glvc!#REF!</definedName>
    <definedName name="tu" localSheetId="2" hidden="1">{"via1",#N/A,TRUE,"general";"via2",#N/A,TRUE,"general";"via3",#N/A,TRUE,"general"}</definedName>
    <definedName name="tu" localSheetId="1" hidden="1">{"via1",#N/A,TRUE,"general";"via2",#N/A,TRUE,"general";"via3",#N/A,TRUE,"general"}</definedName>
    <definedName name="tu" localSheetId="0" hidden="1">{"via1",#N/A,TRUE,"general";"via2",#N/A,TRUE,"general";"via3",#N/A,TRUE,"general"}</definedName>
    <definedName name="tu" hidden="1">{"via1",#N/A,TRUE,"general";"via2",#N/A,TRUE,"general";"via3",#N/A,TRUE,"general"}</definedName>
    <definedName name="TUALL3">#REF!</definedName>
    <definedName name="TUB._ACC_3__Bx_B_SCH_40">#REF!</definedName>
    <definedName name="Tuberai_4__perforada">#REF!</definedName>
    <definedName name="TUBERIA" hidden="1">#REF!</definedName>
    <definedName name="Tubería">#REF!</definedName>
    <definedName name="Tuberia_2__PVC">#REF!</definedName>
    <definedName name="TUBERIA_AGUAS_LLUVIAS_PVC_3">#REF!</definedName>
    <definedName name="TUBERIA_AGUAS_LLUVIAS_PVC_4">#REF!</definedName>
    <definedName name="TUBERIA_CONCRETO__REFORZADO_36">#REF!</definedName>
    <definedName name="Tuberia_Concreto_Reforzado_900_mm">#REF!</definedName>
    <definedName name="TUBERIA_CONDUIT_GALVANIZADA_3_4">#REF!</definedName>
    <definedName name="TUBERIA_CONDUIT_PVC_1">#REF!</definedName>
    <definedName name="TUBERIA_CONDUIT_PVC_1_2">#REF!</definedName>
    <definedName name="TUBERIA_CONDUIT_PVC_3_4">#REF!</definedName>
    <definedName name="TUBERIA_NOVAFORT_10">#REF!</definedName>
    <definedName name="TUBERIA_NOVAFORT_8">#REF!</definedName>
    <definedName name="TUBERIA_P.V.C_RDE_9">#REF!</definedName>
    <definedName name="TUBERIA_P.V.C_UM_RDE_41____2">#REF!</definedName>
    <definedName name="TUBERIA_P.V.C_UM_RDE_41____3">#REF!</definedName>
    <definedName name="Tuberia_PF_1_2">#REF!</definedName>
    <definedName name="Tuberia_PF_3_4">#REF!</definedName>
    <definedName name="TUBERIA_PRESION_PVC_1__RDE_21">#REF!</definedName>
    <definedName name="TUBERIA_PRESION_PVC_1_2">#REF!</definedName>
    <definedName name="TUBERIA_PRESION_PVC_11_2">#REF!</definedName>
    <definedName name="TUBERIA_PRESION_PVC_11_2__RDE_21">#REF!</definedName>
    <definedName name="TUBERIA_PRESION_PVC_3_4__RDE_21">#REF!</definedName>
    <definedName name="TUBERIA_PVC_10">[53]Materiales!#REF!</definedName>
    <definedName name="TUBERIA_PVC_12">[53]Materiales!#REF!</definedName>
    <definedName name="TUBERIA_PVC_14">[53]Materiales!#REF!</definedName>
    <definedName name="TUBERIA_PVC_16">[53]Materiales!#REF!</definedName>
    <definedName name="TUBERIA_PVC_18">[53]Materiales!#REF!</definedName>
    <definedName name="TUBERIA_PVC_20">[53]Materiales!#REF!</definedName>
    <definedName name="TUBERIA_PVC_24">[53]Materiales!#REF!</definedName>
    <definedName name="TUBERIA_PVC_27">[53]Materiales!#REF!</definedName>
    <definedName name="TUBERIA_PVC_30">[53]Materiales!#REF!</definedName>
    <definedName name="TUBERIA_PVC_4">[53]Materiales!#REF!</definedName>
    <definedName name="TUBERIA_PVC_6">[53]Materiales!#REF!</definedName>
    <definedName name="TUBERIA_PVC_8">[53]Materiales!#REF!</definedName>
    <definedName name="Tuberia_PVC_de_presion_3__RDE___21">#REF!</definedName>
    <definedName name="Tuberia_PVC_de_presion_4__RDE___21">#REF!</definedName>
    <definedName name="Tuberia_PVC_de_presion_8__RDE___21">#REF!</definedName>
    <definedName name="Tuberia_PVC_estructurada_de_10__NOVAFORT">#REF!</definedName>
    <definedName name="Tuberia_PVC_estructurada_de_12__NOVAFORT">#REF!</definedName>
    <definedName name="Tuberia_PVC_estructurada_de_14__NOVAFORT">#REF!</definedName>
    <definedName name="Tuberia_PVC_estructurada_de_16__NOVAFORT">#REF!</definedName>
    <definedName name="Tuberia_PVC_estructurada_de_18__NOVAFORT">#REF!</definedName>
    <definedName name="Tuberia_PVC_estructurada_de_20__NOVAFORT">#REF!</definedName>
    <definedName name="Tuberia_PVC_estructurada_de_24__NOVAFORT">#REF!</definedName>
    <definedName name="Tuberia_PVC_estructurada_de_27__NOVAFORT">#REF!</definedName>
    <definedName name="Tuberia_PVC_estructurada_de_4__NOVAFORT">#REF!</definedName>
    <definedName name="Tuberia_PVC_estructurada_de_6__NOVAFORT">#REF!</definedName>
    <definedName name="Tuberia_PVC_estructurada_de_8__NOVAFORT">#REF!</definedName>
    <definedName name="TUBERIA_SANITARIA_PVC_2">#REF!</definedName>
    <definedName name="TUBERIA_SANITARIA_PVC_3">#REF!</definedName>
    <definedName name="TUBERIA_SANITARIA_PVC_4">#REF!</definedName>
    <definedName name="TUBERIA1" hidden="1">#REF!</definedName>
    <definedName name="TUBERIA3">#REF!</definedName>
    <definedName name="TUBERIA3_2">#REF!</definedName>
    <definedName name="tuberia36">[224]INSUMOS!$A$5:$F$682</definedName>
    <definedName name="TUBERIA4">[55]PRECIO.MAT!#REF!</definedName>
    <definedName name="TUBERIA6">#REF!</definedName>
    <definedName name="TUBERIA6_2">#REF!</definedName>
    <definedName name="TUBERIAALL4">'[54]PRECIO. MAT'!#REF!</definedName>
    <definedName name="TUBERIAALL6">#REF!</definedName>
    <definedName name="TUBERIACONDUIT1">#REF!</definedName>
    <definedName name="TUBERIAMEDIA">#REF!</definedName>
    <definedName name="TUBERIAPRESION34">#REF!</definedName>
    <definedName name="TUBERIAPVC12">[55]PRECIO.MAT!#REF!</definedName>
    <definedName name="TUBERIAPVC2">'[54]PRECIO. MAT'!#REF!</definedName>
    <definedName name="TUBERIAPVC3">'[54]PRECIO. MAT'!#REF!</definedName>
    <definedName name="TUBERIAPVC4">'[54]PRECIO. MAT'!#REF!</definedName>
    <definedName name="TUBERIAPVCC1">'[54]PRECIO. MAT'!#REF!</definedName>
    <definedName name="TUBERIAPVCPOTABLE">#REF!</definedName>
    <definedName name="TUBERIASAN2">#REF!</definedName>
    <definedName name="TUBERIASAN4">#REF!</definedName>
    <definedName name="TUBO">'[54]PRECIO. MAT'!#REF!</definedName>
    <definedName name="TUBO_1_2">#REF!</definedName>
    <definedName name="TUBO_1_2__HG">#REF!</definedName>
    <definedName name="Tubo_asbesto_cemento_Clase_10_D_16">#REF!</definedName>
    <definedName name="Tubo_concreto_reforzado_D_1_m">#REF!</definedName>
    <definedName name="Tubo_concreto_reforzadoD_30">#REF!</definedName>
    <definedName name="Tubo_concreto_simple_D_24">#REF!</definedName>
    <definedName name="TUBO_CONDUIT_1_1_2_PVC_3MTS">#REF!</definedName>
    <definedName name="TUBO_CONDUIT_PVC_3_4PG___3Mts">#REF!</definedName>
    <definedName name="TUBO_EMT_3_4_X_3mts">#REF!</definedName>
    <definedName name="TUBO_ESTRUCTURAL_2">#REF!</definedName>
    <definedName name="Tubo_estructural_de_1_1_2">#REF!</definedName>
    <definedName name="Tubo_estructural_de_3">#REF!</definedName>
    <definedName name="Tubo_Galbanizado_1_1_2">#REF!</definedName>
    <definedName name="Tubo_Galvanizado">#REF!</definedName>
    <definedName name="Tubo_gres_6">#REF!</definedName>
    <definedName name="TUBO_SANITARIO_3__PAVCO">#REF!</definedName>
    <definedName name="TUBO22">'[54]PRECIO. MAT'!#REF!</definedName>
    <definedName name="TUBOCONDUIT12">'[54]PRECIO. MAT'!#REF!</definedName>
    <definedName name="TUBOCONDUIT34">'[54]PRECIO. MAT'!#REF!</definedName>
    <definedName name="TUBODONDUIT34">'[54]PRECIO. MAT'!#REF!</definedName>
    <definedName name="tubohg2">#REF!</definedName>
    <definedName name="TUBOM3">'[54]PRECIO. MAT'!$C$31</definedName>
    <definedName name="TUBOMETALICO">#REF!</definedName>
    <definedName name="TUBOPVC1">#REF!</definedName>
    <definedName name="TUBOPVC34">#REF!</definedName>
    <definedName name="tuco10">#REF!</definedName>
    <definedName name="TUCO6">#REF!</definedName>
    <definedName name="tuco8">#REF!</definedName>
    <definedName name="TUERCA_DE_OJO_ALARGADA_DE_5_8">#REF!</definedName>
    <definedName name="TUPI" localSheetId="2">MATCH(0.01,[0]!End_Bal,-1)+1</definedName>
    <definedName name="TUPI" localSheetId="1">MATCH(0.01,[0]!End_Bal,-1)+1</definedName>
    <definedName name="TUPI" localSheetId="0">MATCH(0.01,[0]!End_Bal,-1)+1</definedName>
    <definedName name="TUPI">MATCH(0.01,[0]!End_Bal,-1)+1</definedName>
    <definedName name="TUPRE12">#REF!</definedName>
    <definedName name="tur" localSheetId="2" hidden="1">{"TAB1",#N/A,TRUE,"GENERAL";"TAB2",#N/A,TRUE,"GENERAL";"TAB3",#N/A,TRUE,"GENERAL";"TAB4",#N/A,TRUE,"GENERAL";"TAB5",#N/A,TRUE,"GENERAL"}</definedName>
    <definedName name="tur" localSheetId="1"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localSheetId="1"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USAN2">#REF!</definedName>
    <definedName name="TUSAN4">#REF!</definedName>
    <definedName name="tvmenor90min">'[188]CCP,LEYES, Y DEC.'!#REF!</definedName>
    <definedName name="Tw">#REF!</definedName>
    <definedName name="twer" localSheetId="2" hidden="1">{"TAB1",#N/A,TRUE,"GENERAL";"TAB2",#N/A,TRUE,"GENERAL";"TAB3",#N/A,TRUE,"GENERAL";"TAB4",#N/A,TRUE,"GENERAL";"TAB5",#N/A,TRUE,"GENERAL"}</definedName>
    <definedName name="twer" localSheetId="1"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localSheetId="1"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x">#REF!</definedName>
    <definedName name="ty" localSheetId="2" hidden="1">{"via1",#N/A,TRUE,"general";"via2",#N/A,TRUE,"general";"via3",#N/A,TRUE,"general"}</definedName>
    <definedName name="ty" localSheetId="1" hidden="1">{"via1",#N/A,TRUE,"general";"via2",#N/A,TRUE,"general";"via3",#N/A,TRUE,"general"}</definedName>
    <definedName name="ty" localSheetId="0"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localSheetId="1"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I">#REF!</definedName>
    <definedName name="tyj" localSheetId="2" hidden="1">{"TAB1",#N/A,TRUE,"GENERAL";"TAB2",#N/A,TRUE,"GENERAL";"TAB3",#N/A,TRUE,"GENERAL";"TAB4",#N/A,TRUE,"GENERAL";"TAB5",#N/A,TRUE,"GENERAL"}</definedName>
    <definedName name="tyj" localSheetId="1"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localSheetId="1"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localSheetId="1"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localSheetId="1"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localSheetId="1"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localSheetId="1"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#REF!</definedName>
    <definedName name="TYUIU">#REF!</definedName>
    <definedName name="TYUIYI" localSheetId="2"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localSheetId="1"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localSheetId="1"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localSheetId="1"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localSheetId="1"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Tz">#REF!</definedName>
    <definedName name="U">#REF!</definedName>
    <definedName name="U.1">[225]UNIT.!$G$51</definedName>
    <definedName name="U.10">#REF!</definedName>
    <definedName name="U.102">#REF!</definedName>
    <definedName name="U.11">#REF!</definedName>
    <definedName name="U.12">#REF!</definedName>
    <definedName name="U.13">#REF!</definedName>
    <definedName name="U.14">#REF!</definedName>
    <definedName name="U.2">#REF!</definedName>
    <definedName name="U.3">#REF!</definedName>
    <definedName name="U.4">#REF!</definedName>
    <definedName name="U.5">#REF!</definedName>
    <definedName name="U.6">#REF!</definedName>
    <definedName name="U.7">#REF!</definedName>
    <definedName name="U.8">#REF!</definedName>
    <definedName name="U.9">#REF!</definedName>
    <definedName name="u3u" localSheetId="2" hidden="1">{"TAB1",#N/A,TRUE,"GENERAL";"TAB2",#N/A,TRUE,"GENERAL";"TAB3",#N/A,TRUE,"GENERAL";"TAB4",#N/A,TRUE,"GENERAL";"TAB5",#N/A,TRUE,"GENERAL"}</definedName>
    <definedName name="u3u" localSheetId="1"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3UP">[40]APU!$G$763</definedName>
    <definedName name="U3UZ">#REF!</definedName>
    <definedName name="U4UP">#REF!</definedName>
    <definedName name="U4UZ">#REF!</definedName>
    <definedName name="U6UP">#REF!</definedName>
    <definedName name="U6UZ">#REF!</definedName>
    <definedName name="u7u7" localSheetId="2" hidden="1">{"TAB1",#N/A,TRUE,"GENERAL";"TAB2",#N/A,TRUE,"GENERAL";"TAB3",#N/A,TRUE,"GENERAL";"TAB4",#N/A,TRUE,"GENERAL";"TAB5",#N/A,TRUE,"GENERAL"}</definedName>
    <definedName name="u7u7" localSheetId="1"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8UP">#REF!</definedName>
    <definedName name="U8UZ">#REF!</definedName>
    <definedName name="Ua">#REF!</definedName>
    <definedName name="Ub">#REF!</definedName>
    <definedName name="Ubicación">#REF!</definedName>
    <definedName name="Uc">#REF!</definedName>
    <definedName name="Ud">#REF!</definedName>
    <definedName name="Ue">#REF!</definedName>
    <definedName name="Uf">#REF!</definedName>
    <definedName name="UFrm2InUse">1</definedName>
    <definedName name="Ug">#REF!</definedName>
    <definedName name="Uh">#REF!</definedName>
    <definedName name="UI" localSheetId="2" hidden="1">{"via1",#N/A,TRUE,"general";"via2",#N/A,TRUE,"general";"via3",#N/A,TRUE,"general"}</definedName>
    <definedName name="UI" localSheetId="1" hidden="1">{"via1",#N/A,TRUE,"general";"via2",#N/A,TRUE,"general";"via3",#N/A,TRUE,"general"}</definedName>
    <definedName name="UI" localSheetId="0" hidden="1">{"via1",#N/A,TRUE,"general";"via2",#N/A,TRUE,"general";"via3",#N/A,TRUE,"general"}</definedName>
    <definedName name="UI" hidden="1">{"via1",#N/A,TRUE,"general";"via2",#N/A,TRUE,"general";"via3",#N/A,TRUE,"general"}</definedName>
    <definedName name="UIC">[21]Tablas!#REF!</definedName>
    <definedName name="uijhj" localSheetId="2" hidden="1">{"via1",#N/A,TRUE,"general";"via2",#N/A,TRUE,"general";"via3",#N/A,TRUE,"general"}</definedName>
    <definedName name="uijhj" localSheetId="1"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localSheetId="1"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localSheetId="1"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localSheetId="1"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localSheetId="1"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localSheetId="1"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localSheetId="1"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localSheetId="1"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j">#REF!</definedName>
    <definedName name="UK">#REF!</definedName>
    <definedName name="Ull">#REF!</definedName>
    <definedName name="ultima">#REF!</definedName>
    <definedName name="UM">'[79]CIRCUITOS CODENSA'!#REF!</definedName>
    <definedName name="Un">#REF!</definedName>
    <definedName name="UN_APU">IF(LEN([101]apu!XFB1)=2,"",IF([101]apu!XFB1="","",IF(ISERROR(SEARCH("-",[101]apu!$B1,3)),VLOOKUP([101]apu!$B1,[101]Insumos!XFD$1:B$65536,3,0),VLOOKUP([101]apu!XFB1,'[101]Ppto completo'!$D$1:$F$65536,3,FALSE))))</definedName>
    <definedName name="UN_AUX">IF([101]Auxiliares!$B1="","",VLOOKUP([101]Auxiliares!$B1,[101]Insumos!$D$1:$F$65536,3,FALSE))</definedName>
    <definedName name="UN_PRI">#REF!</definedName>
    <definedName name="unid">#REF!</definedName>
    <definedName name="UNIDAD">[226]Hoja3!$J$1:$J$5</definedName>
    <definedName name="UNIDAD1">[123]ITEMS!$C$2</definedName>
    <definedName name="UNIDAD521">[124]ITEMS!$C$522</definedName>
    <definedName name="Unidades">[227]Presup_Cancha!$J$14:$J$18</definedName>
    <definedName name="unidades_reales">[228]Instrucciones!$C$10</definedName>
    <definedName name="Union_1_2__pvc">#REF!</definedName>
    <definedName name="Union_3_4__pvc">#REF!</definedName>
    <definedName name="UNION_CANAL_PVC_AMAZONA">#REF!</definedName>
    <definedName name="UNION_CONDUIT_1">#REF!</definedName>
    <definedName name="UNION_CONDUIT_1_1_2">#REF!</definedName>
    <definedName name="UNION_CONDUIT_1_2">#REF!</definedName>
    <definedName name="UNION_CONDUIT_GALVANIZADA_3_4">#REF!</definedName>
    <definedName name="UNION_DE_MECANICA_2">#REF!</definedName>
    <definedName name="UNION_DE_MECANICA_3">#REF!</definedName>
    <definedName name="UNION_DE_MECANICA_4">#REF!</definedName>
    <definedName name="UNION_DE_REPARACION_2__P.V.C">#REF!</definedName>
    <definedName name="UNION_DE_REPARACION_3">#REF!</definedName>
    <definedName name="UNION_DE_REPARACION_3__P.V.C">#REF!</definedName>
    <definedName name="UNION_DE_REPARACION_4">#REF!</definedName>
    <definedName name="UNION_EMT_3_4">#REF!</definedName>
    <definedName name="UNION_P.V.C_1_2">#REF!</definedName>
    <definedName name="UNION_SIMPLE_PVC_AGUAS_LLUVIAS_3">#REF!</definedName>
    <definedName name="UNION_SIMPLE_PVC_AGUAS_LLUVIAS_4">#REF!</definedName>
    <definedName name="UNION_SIMPLE_PVC_PRESION_1">#REF!</definedName>
    <definedName name="UNION_SIMPLE_PVC_PRESION_1_2">#REF!</definedName>
    <definedName name="UNION_SIMPLE_PVC_PRESION_11_2">#REF!</definedName>
    <definedName name="UNION_SIMPLE_PVC_PRESION_3">#REF!</definedName>
    <definedName name="UNION_SIMPLE_PVC_PRESION_3_4">#REF!</definedName>
    <definedName name="UNION_SIMPLE_PVC_SANITARIA_2">#REF!</definedName>
    <definedName name="UNION_SIMPLE_PVC_SANITARIA_3">#REF!</definedName>
    <definedName name="UNION_SIMPLE_PVC_SANITARIA_4">#REF!</definedName>
    <definedName name="UNION_SIMPLE_PVC_SANITARIA_6">#REF!</definedName>
    <definedName name="UNION_SIMPLE_SANITARIA_PVC_4">#REF!</definedName>
    <definedName name="UNION3">[217]UNITARIOS!#REF!</definedName>
    <definedName name="UNION3_2">#REF!</definedName>
    <definedName name="UNION3PVC">#REF!</definedName>
    <definedName name="UNION3PVC_2">#REF!</definedName>
    <definedName name="UNION6PVC">#REF!</definedName>
    <definedName name="UNION6PVC_2">#REF!</definedName>
    <definedName name="UNION8">#REF!</definedName>
    <definedName name="UNION8_2">#REF!</definedName>
    <definedName name="UNION8PVC">[217]UNITARIOS!#REF!</definedName>
    <definedName name="UNION8PVC_2">#REF!</definedName>
    <definedName name="UNIONREPARACION">[121]UNITARIOS!#REF!</definedName>
    <definedName name="UNIONREPARACION_2">#REF!</definedName>
    <definedName name="UNIONREPARACION6">#REF!</definedName>
    <definedName name="UNIONREPARACION6_2">#REF!</definedName>
    <definedName name="UNIT">'[229]Lista APU'!$A$3:$D$479</definedName>
    <definedName name="UNITARIO">[230]Unitarios!$A$3:$D$13</definedName>
    <definedName name="Unitarios">#REF!</definedName>
    <definedName name="unj" hidden="1">[34]INST!#REF!</definedName>
    <definedName name="uno" localSheetId="2">'MC 1'!ERR</definedName>
    <definedName name="uno" localSheetId="1">'MC 2-3-4'!ERR</definedName>
    <definedName name="uno" localSheetId="0">'MC 5'!ERR</definedName>
    <definedName name="uno">[0]!ERR</definedName>
    <definedName name="Uñ">#REF!</definedName>
    <definedName name="Uo">#REF!</definedName>
    <definedName name="UO_1">"[0]!err"</definedName>
    <definedName name="UOUIV" localSheetId="2" hidden="1">{"TAB1",#N/A,TRUE,"GENERAL";"TAB2",#N/A,TRUE,"GENERAL";"TAB3",#N/A,TRUE,"GENERAL";"TAB4",#N/A,TRUE,"GENERAL";"TAB5",#N/A,TRUE,"GENERAL"}</definedName>
    <definedName name="UOUIV" localSheetId="1"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p">#REF!</definedName>
    <definedName name="Uq">#REF!</definedName>
    <definedName name="Ur">#REF!</definedName>
    <definedName name="UR3UP">[40]APU!$G$817</definedName>
    <definedName name="UR3UZ">#REF!</definedName>
    <definedName name="UR4UP">#REF!</definedName>
    <definedName name="UR4UZ">#REF!</definedName>
    <definedName name="UR6UP">#REF!</definedName>
    <definedName name="UR6UZ">#REF!</definedName>
    <definedName name="UR8UP">#REF!</definedName>
    <definedName name="UR8UZ">#REF!</definedName>
    <definedName name="uriel" localSheetId="2">'MC 1'!ERR</definedName>
    <definedName name="uriel" localSheetId="1">'MC 2-3-4'!ERR</definedName>
    <definedName name="uriel" localSheetId="0">'MC 5'!ERR</definedName>
    <definedName name="uriel">[0]!ERR</definedName>
    <definedName name="uryur" localSheetId="2" hidden="1">{"TAB1",#N/A,TRUE,"GENERAL";"TAB2",#N/A,TRUE,"GENERAL";"TAB3",#N/A,TRUE,"GENERAL";"TAB4",#N/A,TRUE,"GENERAL";"TAB5",#N/A,TRUE,"GENERAL"}</definedName>
    <definedName name="uryur" localSheetId="1"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S">'[79]CIRCUITOS CODENSA'!#REF!</definedName>
    <definedName name="Usd">#REF!</definedName>
    <definedName name="UsTexDetail">#REF!</definedName>
    <definedName name="UsTexHeading">#REF!</definedName>
    <definedName name="USxCOL">#REF!</definedName>
    <definedName name="ut">'[159]1'!$N$42</definedName>
    <definedName name="UTILI">[160]MATERIALES!$D$77</definedName>
    <definedName name="Utilidad">#REF!</definedName>
    <definedName name="UTILIDADES">#REF!</definedName>
    <definedName name="UtilidadObra">#REF!</definedName>
    <definedName name="UTL">[51]otros!$C$4</definedName>
    <definedName name="uu" localSheetId="2" hidden="1">{"TAB1",#N/A,TRUE,"GENERAL";"TAB2",#N/A,TRUE,"GENERAL";"TAB3",#N/A,TRUE,"GENERAL";"TAB4",#N/A,TRUE,"GENERAL";"TAB5",#N/A,TRUE,"GENERAL"}</definedName>
    <definedName name="uu" localSheetId="1" hidden="1">{"TAB1",#N/A,TRUE,"GENERAL";"TAB2",#N/A,TRUE,"GENERAL";"TAB3",#N/A,TRUE,"GENERAL";"TAB4",#N/A,TRUE,"GENERAL";"TAB5",#N/A,TRUE,"GENERAL"}</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10">#REF!</definedName>
    <definedName name="UU.12">#REF!</definedName>
    <definedName name="UU.3">#REF!</definedName>
    <definedName name="UU.4">#REF!</definedName>
    <definedName name="UU.6">#REF!</definedName>
    <definedName name="UU.8">#REF!</definedName>
    <definedName name="uuu" localSheetId="2" hidden="1">{"TAB1",#N/A,TRUE,"GENERAL";"TAB2",#N/A,TRUE,"GENERAL";"TAB3",#N/A,TRUE,"GENERAL";"TAB4",#N/A,TRUE,"GENERAL";"TAB5",#N/A,TRUE,"GENERAL"}</definedName>
    <definedName name="uuu" localSheetId="1"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'[50]Base Datos'!$B$11</definedName>
    <definedName name="uuuuo" localSheetId="2" hidden="1">{"TAB1",#N/A,TRUE,"GENERAL";"TAB2",#N/A,TRUE,"GENERAL";"TAB3",#N/A,TRUE,"GENERAL";"TAB4",#N/A,TRUE,"GENERAL";"TAB5",#N/A,TRUE,"GENERAL"}</definedName>
    <definedName name="uuuuo" localSheetId="1"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localSheetId="1"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v">375000</definedName>
    <definedName name="Uw">#REF!</definedName>
    <definedName name="uwkap" localSheetId="2" hidden="1">{"TAB1",#N/A,TRUE,"GENERAL";"TAB2",#N/A,TRUE,"GENERAL";"TAB3",#N/A,TRUE,"GENERAL";"TAB4",#N/A,TRUE,"GENERAL";"TAB5",#N/A,TRUE,"GENERAL"}</definedName>
    <definedName name="uwkap" localSheetId="1"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localSheetId="2"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localSheetId="1"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localSheetId="1"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Uz">#REF!</definedName>
    <definedName name="v" localSheetId="2" hidden="1">{"TAB1",#N/A,TRUE,"GENERAL";"TAB2",#N/A,TRUE,"GENERAL";"TAB3",#N/A,TRUE,"GENERAL";"TAB4",#N/A,TRUE,"GENERAL";"TAB5",#N/A,TRUE,"GENERAL"}</definedName>
    <definedName name="v" localSheetId="1" hidden="1">{"TAB1",#N/A,TRUE,"GENERAL";"TAB2",#N/A,TRUE,"GENERAL";"TAB3",#N/A,TRUE,"GENERAL";"TAB4",#N/A,TRUE,"GENERAL";"TAB5",#N/A,TRUE,"GENERAL"}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a">#REF!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BULA">'[54]PRECIO. MAT'!#REF!</definedName>
    <definedName name="VALCUADRILLA">[186]Cuadrillas!$A$21:$I$44</definedName>
    <definedName name="VALDES">#REF!</definedName>
    <definedName name="VALLA">#REF!</definedName>
    <definedName name="VALLA_2_3_MTS_CON_3_CERCHAS">#REF!</definedName>
    <definedName name="VALLAN">'[54]PRECIO. MAT'!$C$65</definedName>
    <definedName name="Valor">#REF!</definedName>
    <definedName name="VALOR_SALARIO_MINIMO_ACTUAL">'[62]Datos iniciales '!$C$19</definedName>
    <definedName name="valor_total">#REF!</definedName>
    <definedName name="valor1">#REF!</definedName>
    <definedName name="valor2">#REF!</definedName>
    <definedName name="valor200">#REF!</definedName>
    <definedName name="VALOR3">#REF!</definedName>
    <definedName name="valor3000">#REF!</definedName>
    <definedName name="Valoracion">#REF!</definedName>
    <definedName name="VALORACIÓN">#REF!</definedName>
    <definedName name="ValorCto">[231]CONTRATO!$E$9</definedName>
    <definedName name="ValorEjecutado">#REF!</definedName>
    <definedName name="ValorProyecto">#REF!</definedName>
    <definedName name="ValorRecursosComprometidos">#REF!</definedName>
    <definedName name="ValorTot">#REF!</definedName>
    <definedName name="ValorTotConsultoria">#REF!</definedName>
    <definedName name="Values_Entered" localSheetId="2">IF(Loan_Amount*Interest_Rate*Loan_Years*Loan_Start&gt;0,1,0)</definedName>
    <definedName name="Values_Entered" localSheetId="1">IF([0]!Loan_Amount*[0]!Interest_Rate*[0]!Loan_Years*[0]!Loan_Start&gt;0,1,0)</definedName>
    <definedName name="Values_Entered" localSheetId="0">IF([0]!Loan_Amount*[0]!Interest_Rate*[0]!Loan_Years*[0]!Loan_Start&gt;0,1,0)</definedName>
    <definedName name="Values_Entered">IF(Loan_Amount*Interest_Rate*Loan_Years*Loan_Start&gt;0,1,0)</definedName>
    <definedName name="Valvula_4__compuerta_elastica__vastago_no_ascendente__junta_rapida__incluye_cajilla_de_concreto_1_1_1_instalacion_de_accesorios">#REF!</definedName>
    <definedName name="Valvula_8__compuerta_elastica__vastago_no_ascendente__junta_rapida__incluye_cajilla_de_concreto_1_1_1_instalacion_de_accesorios">#REF!</definedName>
    <definedName name="VALVULA_DE_COMPUERTA_2__SELLO_ELASTICO_Y_VNA_CON_CUADRANTE">#REF!</definedName>
    <definedName name="VALVULA_DE_COMPUERTA_3__BxB_CON_RUEDA_MECANICA">#REF!</definedName>
    <definedName name="VALVULA_DE_COMPUERTA_3__SELLO_ELASTICO_Y_VNA_CON_CUADRANTE">#REF!</definedName>
    <definedName name="VALVULA_DE_COMPUERTA_4__SELLO_ELASTICO_Y_VNA_CON_CUADRANTE">#REF!</definedName>
    <definedName name="VALVULA_DE_NO_RETORNO_CHEQUE__3__PARA_TRABAJAR_HORIZONTALMENTE_B_x_B">#REF!</definedName>
    <definedName name="VALVULA_DE_NO_RETORNO_CHEQUE__4__PARA_TRABAJAR_HORIZONTALMENTE_B_x_B">#REF!</definedName>
    <definedName name="VALVULA3">#REF!</definedName>
    <definedName name="VALVULA4">#REF!</definedName>
    <definedName name="VALVULA6">#REF!</definedName>
    <definedName name="VALVULA8">#REF!</definedName>
    <definedName name="Válvulas">#REF!</definedName>
    <definedName name="Var">[16]Varios.!$E$1:$E$65536</definedName>
    <definedName name="VARENGA_4_cm_X_2_cm__L__2_m">#REF!</definedName>
    <definedName name="VARENGAS_5_X_2">#REF!</definedName>
    <definedName name="variacion">[64]Datos!$B$8</definedName>
    <definedName name="VARIACION1">#REF!</definedName>
    <definedName name="Varilla_cooperweld_3_8__X_1_8_mts">#REF!</definedName>
    <definedName name="VARILLA_DE_COBRE_COBRE_5_8__X_2_40_MTS">#REF!</definedName>
    <definedName name="VARILLACCOPER">'[54]PRECIO. MAT'!#REF!</definedName>
    <definedName name="VARILLACOOPER">'[54]PRECIO. MAT'!#REF!</definedName>
    <definedName name="Varios">#REF!</definedName>
    <definedName name="vb">#REF!</definedName>
    <definedName name="vbvbvbvb" localSheetId="2"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k">#REF!</definedName>
    <definedName name="vct">#REF!</definedName>
    <definedName name="vcvcv">#REF!</definedName>
    <definedName name="vcvv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FRVFV">#REF!</definedName>
    <definedName name="vdfvuio" localSheetId="2" hidden="1">{"via1",#N/A,TRUE,"general";"via2",#N/A,TRUE,"general";"via3",#N/A,TRUE,"general"}</definedName>
    <definedName name="vdfvuio" localSheetId="1"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localSheetId="1"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E">'[79]CIRCUITOS CODENSA'!#REF!</definedName>
    <definedName name="Vehículo_delineador">#REF!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Aiu">#REF!</definedName>
    <definedName name="VENTANA">#REF!</definedName>
    <definedName name="VENTANA_EN_LAMINA_CALIBRE_18">#REF!</definedName>
    <definedName name="VENTANACAL20">#REF!</definedName>
    <definedName name="VENTANACR18">'[54]PRECIO. MAT'!#REF!</definedName>
    <definedName name="VENTANACR20">'[54]PRECIO. MAT'!#REF!</definedName>
    <definedName name="VENTANAS">#REF!</definedName>
    <definedName name="Ventaneria_Madera_M2">#REF!</definedName>
    <definedName name="ventas">#REF!</definedName>
    <definedName name="VENTILADOR">#REF!</definedName>
    <definedName name="VENTOSAS_PARA_INSTALACION_EN_TUBERIA_DE_3">#REF!</definedName>
    <definedName name="VEX">[21]Tablas!#REF!</definedName>
    <definedName name="VEX_ON">#REF!</definedName>
    <definedName name="VEX1_1">[21]Tablas!#REF!</definedName>
    <definedName name="VEX1_1_1">[21]Tablas!#REF!</definedName>
    <definedName name="VEX1_1_2">[21]Tablas!#REF!</definedName>
    <definedName name="VEX1_1_3">[21]Tablas!#REF!</definedName>
    <definedName name="VEX1_1_4">[21]Tablas!#REF!</definedName>
    <definedName name="VEX1_2">[21]Tablas!#REF!</definedName>
    <definedName name="VEX1_3">[21]Tablas!#REF!</definedName>
    <definedName name="Vf">#REF!</definedName>
    <definedName name="VFA">[21]Tablas!#REF!</definedName>
    <definedName name="VFA1_1">[21]Tablas!#REF!</definedName>
    <definedName name="VFA1_1_1">[21]Tablas!#REF!</definedName>
    <definedName name="VFA1_1_2">[21]Tablas!#REF!</definedName>
    <definedName name="VFA1_1_3">[21]Tablas!#REF!</definedName>
    <definedName name="VFA1_1_4">[21]Tablas!#REF!</definedName>
    <definedName name="VFA1_1_5">[21]Tablas!#REF!</definedName>
    <definedName name="VFA1_1_6">[21]Tablas!#REF!</definedName>
    <definedName name="VFA1_2">[21]Tablas!#REF!</definedName>
    <definedName name="VFA1_3">[21]Tablas!#REF!</definedName>
    <definedName name="vfbgnhyt" localSheetId="2" hidden="1">{"via1",#N/A,TRUE,"general";"via2",#N/A,TRUE,"general";"via3",#N/A,TRUE,"general"}</definedName>
    <definedName name="vfbgnhyt" localSheetId="1"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DA">#REF!</definedName>
    <definedName name="VFDV">#REF!</definedName>
    <definedName name="vfh">'[154]7422CW00'!#REF!</definedName>
    <definedName name="vfn">#REF!</definedName>
    <definedName name="VFR">#REF!</definedName>
    <definedName name="vfvdv" localSheetId="2" hidden="1">{"TAB1",#N/A,TRUE,"GENERAL";"TAB2",#N/A,TRUE,"GENERAL";"TAB3",#N/A,TRUE,"GENERAL";"TAB4",#N/A,TRUE,"GENERAL";"TAB5",#N/A,TRUE,"GENERAL"}</definedName>
    <definedName name="vfvdv" localSheetId="1"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localSheetId="1"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h">#REF!</definedName>
    <definedName name="VHTGUYYI" hidden="1">#REF!</definedName>
    <definedName name="VI">'[79]CIRCUITOS CODENSA'!#REF!</definedName>
    <definedName name="VIA">#REF!</definedName>
    <definedName name="Viajes">#REF!</definedName>
    <definedName name="VIAS">#REF!</definedName>
    <definedName name="vib">20000</definedName>
    <definedName name="VIBRADOR">[54]ATHE!$G$39</definedName>
    <definedName name="VIBRADOR_CONCRETO">[62]Equipo!$F$13</definedName>
    <definedName name="VIBRADOR_DE_CONCRETO">#REF!</definedName>
    <definedName name="VIBRADORCONCRETO">[232]ATHE!$G$41</definedName>
    <definedName name="VIBRO">#REF!</definedName>
    <definedName name="VIBROCOMPACTADOR">[55]ATHE!$G$193</definedName>
    <definedName name="VICEP_DIRECC">[191]Tablas!$A$6:$A$26</definedName>
    <definedName name="VIDRIO">#REF!</definedName>
    <definedName name="Vidrio_3_mm">#REF!</definedName>
    <definedName name="Vidrio_4_mm">#REF!</definedName>
    <definedName name="VIDRIO_4MM">#REF!</definedName>
    <definedName name="Vidrio_5_mm">#REF!</definedName>
    <definedName name="VIDRIO4">#REF!</definedName>
    <definedName name="VIDRIO4mm">#REF!</definedName>
    <definedName name="VIGA_METALICA_EN_ANGULO">#REF!</definedName>
    <definedName name="VIGAAMARRE">#REF!</definedName>
    <definedName name="VIGACANAL">#REF!</definedName>
    <definedName name="VIGACIMENTACION">#REF!</definedName>
    <definedName name="VIGACIMENTACION2020">#REF!</definedName>
    <definedName name="VIGACIMENTACION3030">#REF!</definedName>
    <definedName name="VIGAENTREPISO3055">#REF!</definedName>
    <definedName name="VIGAENTREPISO4055">#REF!</definedName>
    <definedName name="VIGAR2510">[91]APU!#REF!</definedName>
    <definedName name="VIGAREMATE">#REF!</definedName>
    <definedName name="VigenciaDolares">#REF!</definedName>
    <definedName name="VigenciaPesos">#REF!</definedName>
    <definedName name="VIGFUTURA">[191]Tablas!$J$6:$J$8</definedName>
    <definedName name="VINILO">[91]APU!#REF!</definedName>
    <definedName name="Vinilo_Pintuco">#REF!</definedName>
    <definedName name="VINILO_TIPO_1_INTERIORES___EXTRERIORES">#REF!</definedName>
    <definedName name="VINILO_TIPO_3_IMPRIMANTE">#REF!</definedName>
    <definedName name="VINILO_TIPO_I">#REF!</definedName>
    <definedName name="VINISOL">#REF!</definedName>
    <definedName name="Visagra">#REF!</definedName>
    <definedName name="viscosidad">#REF!</definedName>
    <definedName name="VIT">[21]Tablas!#REF!</definedName>
    <definedName name="VIT1_1">[21]Tablas!#REF!</definedName>
    <definedName name="VIT1_1_1">[21]Tablas!#REF!</definedName>
    <definedName name="VIT1_1_10">[21]Tablas!#REF!</definedName>
    <definedName name="VIT1_1_11">[21]Tablas!#REF!</definedName>
    <definedName name="VIT1_1_12">[21]Tablas!#REF!</definedName>
    <definedName name="VIT1_1_13">[21]Tablas!#REF!</definedName>
    <definedName name="VIT1_1_14">[21]Tablas!#REF!</definedName>
    <definedName name="VIT1_1_15">[21]Tablas!#REF!</definedName>
    <definedName name="VIT1_1_16">[21]Tablas!#REF!</definedName>
    <definedName name="VIt1_1_17">[21]Tablas!#REF!</definedName>
    <definedName name="VIT1_1_18">[21]Tablas!#REF!</definedName>
    <definedName name="VIt1_1_19">[21]Tablas!#REF!</definedName>
    <definedName name="VIT1_1_2">[21]Tablas!#REF!</definedName>
    <definedName name="VIT1_1_20">[21]Tablas!#REF!</definedName>
    <definedName name="VIT1_1_3">[21]Tablas!#REF!</definedName>
    <definedName name="VIT1_1_4">[21]Tablas!#REF!</definedName>
    <definedName name="VIT1_1_5">[21]Tablas!#REF!</definedName>
    <definedName name="VIT1_1_6">[21]Tablas!#REF!</definedName>
    <definedName name="VIT1_1_7">[21]Tablas!#REF!</definedName>
    <definedName name="VIT1_1_8">[21]Tablas!#REF!</definedName>
    <definedName name="VIT1_1_9">[21]Tablas!#REF!</definedName>
    <definedName name="VIT1_2">[21]Tablas!#REF!</definedName>
    <definedName name="VIT1_3">[21]Tablas!#REF!</definedName>
    <definedName name="VIT1_4">[21]Tablas!#REF!</definedName>
    <definedName name="VIT1_5">[21]Tablas!#REF!</definedName>
    <definedName name="VIT1_6">[21]Tablas!#REF!</definedName>
    <definedName name="vital5">[95]Personalizar!$E$15</definedName>
    <definedName name="VJ">#REF!,#REF!,#REF!,#REF!,#REF!,#REF!,#REF!</definedName>
    <definedName name="vjkgvif" localSheetId="2">OFFSET([0]!Full_Print,0,0,[0]!Last_Row)</definedName>
    <definedName name="vjkgvif" localSheetId="1">OFFSET([0]!Full_Print,0,0,[0]!Last_Row)</definedName>
    <definedName name="vjkgvif" localSheetId="0">OFFSET([0]!Full_Print,0,0,[0]!Last_Row)</definedName>
    <definedName name="vjkgvif">OFFSET([0]!Full_Print,0,0,[0]!Last_Row)</definedName>
    <definedName name="vk" localSheetId="2" hidden="1">{"via1",#N/A,TRUE,"general";"via2",#N/A,TRUE,"general";"via3",#N/A,TRUE,"general"}</definedName>
    <definedName name="vk" localSheetId="1"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m">#REF!</definedName>
    <definedName name="vnbvxb" localSheetId="2" hidden="1">{"via1",#N/A,TRUE,"general";"via2",#N/A,TRUE,"general";"via3",#N/A,TRUE,"general"}</definedName>
    <definedName name="vnbvxb" localSheetId="1"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localSheetId="1"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ol">40000</definedName>
    <definedName name="VOLQUETA_6_m3">#REF!</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[21]Tablas!#REF!</definedName>
    <definedName name="VPR1_1_1">[21]Tablas!#REF!</definedName>
    <definedName name="VPR1_1_10">[21]Tablas!#REF!</definedName>
    <definedName name="VPR1_1_11">[21]Tablas!#REF!</definedName>
    <definedName name="VPR1_1_12">[21]Tablas!#REF!</definedName>
    <definedName name="VPR1_1_13">[21]Tablas!#REF!</definedName>
    <definedName name="VPR1_1_14">[21]Tablas!#REF!</definedName>
    <definedName name="VPR1_1_15">[21]Tablas!#REF!</definedName>
    <definedName name="VPR1_1_16">[21]Tablas!#REF!</definedName>
    <definedName name="VPR1_1_17">[21]Tablas!#REF!</definedName>
    <definedName name="VPR1_1_18">[21]Tablas!#REF!</definedName>
    <definedName name="VPR1_1_19">[21]Tablas!#REF!</definedName>
    <definedName name="VPR1_1_2">[21]Tablas!#REF!</definedName>
    <definedName name="VPR1_1_20">[21]Tablas!#REF!</definedName>
    <definedName name="VPR1_1_21">[21]Tablas!#REF!</definedName>
    <definedName name="VPR1_1_22">[21]Tablas!#REF!</definedName>
    <definedName name="VPR1_1_23">[21]Tablas!#REF!</definedName>
    <definedName name="VPR1_1_24">[21]Tablas!#REF!</definedName>
    <definedName name="VPR1_1_25">[21]Tablas!#REF!</definedName>
    <definedName name="VPR1_1_26">[21]Tablas!#REF!</definedName>
    <definedName name="VPR1_1_27">[21]Tablas!#REF!</definedName>
    <definedName name="VPR1_1_28">[21]Tablas!#REF!</definedName>
    <definedName name="VPR1_1_29">[21]Tablas!#REF!</definedName>
    <definedName name="VPR1_1_3">[21]Tablas!#REF!</definedName>
    <definedName name="VPR1_1_30">[21]Tablas!#REF!</definedName>
    <definedName name="VPR1_1_31">[21]Tablas!#REF!</definedName>
    <definedName name="VPR1_1_32">[21]Tablas!#REF!</definedName>
    <definedName name="VPR1_1_4">[21]Tablas!#REF!</definedName>
    <definedName name="VPR1_1_5">[21]Tablas!#REF!</definedName>
    <definedName name="VPR1_1_6">[21]Tablas!#REF!</definedName>
    <definedName name="VPR1_1_7">[21]Tablas!#REF!</definedName>
    <definedName name="VPR1_1_8">[21]Tablas!#REF!</definedName>
    <definedName name="VPR1_1_9">[21]Tablas!#REF!</definedName>
    <definedName name="VPR1_2">[21]Tablas!#REF!</definedName>
    <definedName name="VPR1_3">[21]Tablas!#REF!</definedName>
    <definedName name="VPR1_4">[21]Tablas!#REF!</definedName>
    <definedName name="VPR1_5">[21]Tablas!#REF!</definedName>
    <definedName name="VPR1_6">[21]Tablas!#REF!</definedName>
    <definedName name="vpt">#REF!</definedName>
    <definedName name="VR_CON_IVA">[101]Insumos!$I1*(1+[101]Insumos!$H1)</definedName>
    <definedName name="VR_SIN_IVA">VLOOKUP([101]Insumos!$D1,[101]Auxiliares!$B$1:$G$65536,6,FALSE)</definedName>
    <definedName name="VR_TOT" localSheetId="8">IF(LG=2,IF(SCQ=0,"",SCQ/2),"")</definedName>
    <definedName name="VR_TOT" localSheetId="7">IF(LG=2,IF(SCQ=0,"",SCQ/2),"")</definedName>
    <definedName name="VR_TOT" localSheetId="5">IF(LG=2,IF(SCQ=0,"",SCQ/2),"")</definedName>
    <definedName name="VR_TOT" localSheetId="2">IF(LG=2,IF(SCQ=0,"",SCQ/2),"")</definedName>
    <definedName name="VR_TOT" localSheetId="1">IF(LG=2,IF(SCQ=0,"",SCQ/2),"")</definedName>
    <definedName name="VR_TOT" localSheetId="0">IF(LG=2,IF(SCQ=0,"",SCQ/2),"")</definedName>
    <definedName name="VR_TOT" localSheetId="4">IF(LG=2,IF(SCQ=0,"",SCQ/2),"")</definedName>
    <definedName name="VR_TOT">IF(LG=2,IF(SCQ=0,"",SCQ/2),"")</definedName>
    <definedName name="VR_TOT_APU">IF([101]apu!$E1="","",IF([101]apu!$B1=[101]apu!$A1,SUMIF([101]apu!XEY2:XEY10001,[101]apu!XEY1,[101]apu!A2:A10001),ROUNDUP([101]apu!$D1*[101]apu!$F1,0)))</definedName>
    <definedName name="VR_TOT_AUX">IF([101]Auxiliares!XFC1="","",IF([101]Auxiliares!$B1=[101]Auxiliares!$A1,SUMIF([101]Auxiliares!XEY2:XEY9997,[101]Auxiliares!XEY1,[101]Auxiliares!A2:A9997),ROUNDUP([101]Auxiliares!$D1*[101]Auxiliares!$F1,0)))</definedName>
    <definedName name="VR_UN" localSheetId="8">IF(ISERROR(V_U),"",V_U)</definedName>
    <definedName name="VR_UN" localSheetId="7">IF(ISERROR(V_U),"",V_U)</definedName>
    <definedName name="VR_UN" localSheetId="5">IF(ISERROR(V_U),"",V_U)</definedName>
    <definedName name="VR_UN" localSheetId="2">IF(ISERROR(V_U),"",V_U)</definedName>
    <definedName name="VR_UN" localSheetId="1">IF(ISERROR(V_U),"",V_U)</definedName>
    <definedName name="VR_UN" localSheetId="0">IF(ISERROR(V_U),"",V_U)</definedName>
    <definedName name="VR_UN" localSheetId="4">IF(ISERROR(V_U),"",V_U)</definedName>
    <definedName name="VR_UN">IF(ISERROR(V_U),"",V_U)</definedName>
    <definedName name="VR_UN_APU">IF(LEN([101]apu!$B1)=2,"",IF([101]apu!$B1="","",IF(ISERROR(SEARCH("-",[101]apu!$B1,3)),VLOOKUP([101]apu!$B1,[101]Insumos!$D$1:$I$65536,4,FALSE),"")))</definedName>
    <definedName name="VR_UN_AUX">IF([101]Auxiliares!$D1="","",VLOOKUP([101]Auxiliares!$B1,[101]Insumos!$D$1:$J$65536,4,0))</definedName>
    <definedName name="VR_UN_PPTO">IF(LEN('[101]Ppto completo'!$D1)=9,VLOOKUP('[101]Ppto completo'!$D1,[101]apu!$B$1:$G$65536,6,FALSE),"")</definedName>
    <definedName name="VRP">[21]Tablas!#REF!</definedName>
    <definedName name="VRP_PETROQ">#REF!</definedName>
    <definedName name="VRP1_1">[21]Tablas!#REF!</definedName>
    <definedName name="VRP1_1_1">[21]Tablas!#REF!</definedName>
    <definedName name="VRP1_1_10">[21]Tablas!#REF!</definedName>
    <definedName name="VRP1_1_11">[21]Tablas!#REF!</definedName>
    <definedName name="VRP1_1_12">[21]Tablas!#REF!</definedName>
    <definedName name="VRP1_1_13">[21]Tablas!#REF!</definedName>
    <definedName name="VRP1_1_14">[21]Tablas!#REF!</definedName>
    <definedName name="VRP1_1_15">[21]Tablas!#REF!</definedName>
    <definedName name="VRP1_1_16">[21]Tablas!#REF!</definedName>
    <definedName name="VRP1_1_17">[21]Tablas!#REF!</definedName>
    <definedName name="VRP1_1_18">[21]Tablas!#REF!</definedName>
    <definedName name="VRP1_1_19">[21]Tablas!#REF!</definedName>
    <definedName name="VRP1_1_2">[21]Tablas!#REF!</definedName>
    <definedName name="VRP1_1_20">[21]Tablas!#REF!</definedName>
    <definedName name="VRP1_1_21">[21]Tablas!#REF!</definedName>
    <definedName name="VRP1_1_22">[21]Tablas!#REF!</definedName>
    <definedName name="VRP1_1_23">[21]Tablas!#REF!</definedName>
    <definedName name="VRP1_1_3">[21]Tablas!#REF!</definedName>
    <definedName name="VRP1_1_4">[21]Tablas!#REF!</definedName>
    <definedName name="VRP1_1_5">[21]Tablas!#REF!</definedName>
    <definedName name="VRP1_1_6">[21]Tablas!#REF!</definedName>
    <definedName name="VRP1_1_7">[21]Tablas!#REF!</definedName>
    <definedName name="VRP1_1_8">[21]Tablas!#REF!</definedName>
    <definedName name="VRP1_1_9">[21]Tablas!#REF!</definedName>
    <definedName name="VRP1_2">[21]Tablas!#REF!</definedName>
    <definedName name="VRP1_3">[21]Tablas!#REF!</definedName>
    <definedName name="VRP1_4">[21]Tablas!#REF!</definedName>
    <definedName name="VrUtilidad">#REF!</definedName>
    <definedName name="vsdfj" localSheetId="2" hidden="1">{"via1",#N/A,TRUE,"general";"via2",#N/A,TRUE,"general";"via3",#N/A,TRUE,"general"}</definedName>
    <definedName name="vsdfj" localSheetId="1"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SM">[21]Tablas!#REF!</definedName>
    <definedName name="VSM1_1">[21]Tablas!#REF!</definedName>
    <definedName name="VSM1_1_1">[21]Tablas!#REF!</definedName>
    <definedName name="VSM1_1_2">[21]Tablas!#REF!</definedName>
    <definedName name="VSM1_1_3">[21]Tablas!#REF!</definedName>
    <definedName name="VSM1_1_4">[21]Tablas!#REF!</definedName>
    <definedName name="VSM1_1_5">[21]Tablas!#REF!</definedName>
    <definedName name="VSM1_2">[21]Tablas!#REF!</definedName>
    <definedName name="VSM1_3">[21]Tablas!#REF!</definedName>
    <definedName name="VSM1_4">[21]Tablas!#REF!</definedName>
    <definedName name="VSM1_5">[21]Tablas!#REF!</definedName>
    <definedName name="vsp">#REF!</definedName>
    <definedName name="vt" localSheetId="2" hidden="1">{"via1",#N/A,TRUE,"general";"via2",#N/A,TRUE,"general";"via3",#N/A,TRUE,"general"}</definedName>
    <definedName name="vt" localSheetId="1"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TOTAL">#REF!</definedName>
    <definedName name="vutil">#REF!</definedName>
    <definedName name="vv">#REF!</definedName>
    <definedName name="vvcxv" localSheetId="2" hidden="1">{"TAB1",#N/A,TRUE,"GENERAL";"TAB2",#N/A,TRUE,"GENERAL";"TAB3",#N/A,TRUE,"GENERAL";"TAB4",#N/A,TRUE,"GENERAL";"TAB5",#N/A,TRUE,"GENERAL"}</definedName>
    <definedName name="vvcxv" localSheetId="1"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FV">'[233]INSUMOS  '!$A$15:$A$4453</definedName>
    <definedName name="Vvkmh">#REF!</definedName>
    <definedName name="Vvmph">#REF!</definedName>
    <definedName name="VVV">#REF!</definedName>
    <definedName name="vvvvt" localSheetId="2" hidden="1">{"via1",#N/A,TRUE,"general";"via2",#N/A,TRUE,"general";"via3",#N/A,TRUE,"general"}</definedName>
    <definedName name="vvvvt" localSheetId="1"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localSheetId="1"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localSheetId="1"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 hidden="1">#REF!</definedName>
    <definedName name="w2w2w" localSheetId="2" hidden="1">{"via1",#N/A,TRUE,"general";"via2",#N/A,TRUE,"general";"via3",#N/A,TRUE,"general"}</definedName>
    <definedName name="w2w2w" localSheetId="1"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A">"[0]!err"</definedName>
    <definedName name="WA_1">"[0]!err"</definedName>
    <definedName name="WAGE_RATE">#REF!</definedName>
    <definedName name="Wage0100">#REF!</definedName>
    <definedName name="Wage0200">#REF!</definedName>
    <definedName name="WBS">'[234]2004'!#REF!</definedName>
    <definedName name="Wcut">#REF!</definedName>
    <definedName name="WD">#REF!</definedName>
    <definedName name="WDD" localSheetId="2" hidden="1">{#N/A,#N/A,FALSE,"orthoflow";#N/A,#N/A,FALSE,"Miscelaneos";#N/A,#N/A,FALSE,"Instrumentacio";#N/A,#N/A,FALSE,"Electrico";#N/A,#N/A,FALSE,"Valv. Seguridad"}</definedName>
    <definedName name="WDD" localSheetId="1" hidden="1">{#N/A,#N/A,FALSE,"orthoflow";#N/A,#N/A,FALSE,"Miscelaneos";#N/A,#N/A,FALSE,"Instrumentacio";#N/A,#N/A,FALSE,"Electrico";#N/A,#N/A,FALSE,"Valv. Seguridad"}</definedName>
    <definedName name="WDD" localSheetId="0"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'[75]Res-Accide-10'!#REF!</definedName>
    <definedName name="WDGDFG">#REF!</definedName>
    <definedName name="we">#REF!</definedName>
    <definedName name="wedw">#REF!</definedName>
    <definedName name="WEFWE">'[75]Res-Accide-10'!#REF!</definedName>
    <definedName name="WER">'[75]Res-Accide-10'!$S$2:$S$7</definedName>
    <definedName name="werew" localSheetId="2" hidden="1">{"TAB1",#N/A,TRUE,"GENERAL";"TAB2",#N/A,TRUE,"GENERAL";"TAB3",#N/A,TRUE,"GENERAL";"TAB4",#N/A,TRUE,"GENERAL";"TAB5",#N/A,TRUE,"GENERAL"}</definedName>
    <definedName name="werew" localSheetId="1"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localSheetId="1"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localSheetId="1"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localSheetId="1"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localSheetId="1"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localSheetId="1"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localSheetId="1"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localSheetId="1"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localSheetId="1"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localSheetId="1"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localSheetId="1"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localSheetId="1"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ILSON">'[75]Res-Accide-10'!#REF!</definedName>
    <definedName name="Wire">#REF!</definedName>
    <definedName name="wj">#REF!</definedName>
    <definedName name="wl">#REF!</definedName>
    <definedName name="WQ">#REF!</definedName>
    <definedName name="WQEEWQ" localSheetId="2" hidden="1">{"TAB1",#N/A,TRUE,"GENERAL";"TAB2",#N/A,TRUE,"GENERAL";"TAB3",#N/A,TRUE,"GENERAL";"TAB4",#N/A,TRUE,"GENERAL";"TAB5",#N/A,TRUE,"GENERAL"}</definedName>
    <definedName name="WQEEWQ" localSheetId="1"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ar." localSheetId="2" hidden="1">{#N/A,#N/A,TRUE,"CODIGO DEPENDENCIA"}</definedName>
    <definedName name="wrn.ar." localSheetId="1" hidden="1">{#N/A,#N/A,TRUE,"CODIGO DEPENDENCIA"}</definedName>
    <definedName name="wrn.ar." localSheetId="0" hidden="1">{#N/A,#N/A,TRUE,"CODIGO DEPENDENCIA"}</definedName>
    <definedName name="wrn.ar." hidden="1">{#N/A,#N/A,TRUE,"CODIGO DEPENDENCIA"}</definedName>
    <definedName name="wrn.civil._.works." localSheetId="2" hidden="1">{#N/A,#N/A,TRUE,"1842CWN0"}</definedName>
    <definedName name="wrn.civil._.works." localSheetId="1" hidden="1">{#N/A,#N/A,TRUE,"1842CWN0"}</definedName>
    <definedName name="wrn.civil._.works." localSheetId="0" hidden="1">{#N/A,#N/A,TRUE,"1842CWN0"}</definedName>
    <definedName name="wrn.civil._.works." hidden="1">{#N/A,#N/A,TRUE,"1842CWN0"}</definedName>
    <definedName name="wrn.ESTADO._.REHABILITACION." localSheetId="2" hidden="1">{"PRES REHAB ARM-PER POR ITEMS  KM A KM",#N/A,TRUE,"Rehabilitacion Arm-Per"}</definedName>
    <definedName name="wrn.ESTADO._.REHABILITACION." localSheetId="1" hidden="1">{"PRES REHAB ARM-PER POR ITEMS  KM A KM",#N/A,TRUE,"Rehabilitacion Arm-Per"}</definedName>
    <definedName name="wrn.ESTADO._.REHABILITACION." localSheetId="0" hidden="1">{"PRES REHAB ARM-PER POR ITEMS  KM A KM",#N/A,TRUE,"Rehabilitacion Arm-Per"}</definedName>
    <definedName name="wrn.ESTADO._.REHABILITACION." hidden="1">{"PRES REHAB ARM-PER POR ITEMS  KM A KM",#N/A,TRUE,"Rehabilitacion Arm-Per"}</definedName>
    <definedName name="wrn.ESTADO._.REHABILITACION._1" localSheetId="2" hidden="1">{"PRES REHAB ARM-PER POR ITEMS  KM A KM",#N/A,TRUE,"Rehabilitacion Arm-Per"}</definedName>
    <definedName name="wrn.ESTADO._.REHABILITACION._1" localSheetId="1" hidden="1">{"PRES REHAB ARM-PER POR ITEMS  KM A KM",#N/A,TRUE,"Rehabilitacion Arm-Per"}</definedName>
    <definedName name="wrn.ESTADO._.REHABILITACION._1" localSheetId="0" hidden="1">{"PRES REHAB ARM-PER POR ITEMS  KM A KM",#N/A,TRUE,"Rehabilitacion Arm-Per"}</definedName>
    <definedName name="wrn.ESTADO._.REHABILITACION._1" hidden="1">{"PRES REHAB ARM-PER POR ITEMS  KM A KM",#N/A,TRUE,"Rehabilitacion Arm-Per"}</definedName>
    <definedName name="wrn.ESTADO._.REHABILITACION._1_1" localSheetId="2" hidden="1">{"PRES REHAB ARM-PER POR ITEMS  KM A KM",#N/A,TRUE,"Rehabilitacion Arm-Per"}</definedName>
    <definedName name="wrn.ESTADO._.REHABILITACION._1_1" localSheetId="1" hidden="1">{"PRES REHAB ARM-PER POR ITEMS  KM A KM",#N/A,TRUE,"Rehabilitacion Arm-Per"}</definedName>
    <definedName name="wrn.ESTADO._.REHABILITACION._1_1" localSheetId="0" hidden="1">{"PRES REHAB ARM-PER POR ITEMS  KM A KM",#N/A,TRUE,"Rehabilitacion Arm-Per"}</definedName>
    <definedName name="wrn.ESTADO._.REHABILITACION._1_1" hidden="1">{"PRES REHAB ARM-PER POR ITEMS  KM A KM",#N/A,TRUE,"Rehabilitacion Arm-Per"}</definedName>
    <definedName name="wrn.FINAN97." localSheetId="2"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0"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localSheetId="1"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GERENCIA." localSheetId="2" hidden="1">{#N/A,#N/A,TRUE,"INGENIERIA";#N/A,#N/A,TRUE,"COMPRAS";#N/A,#N/A,TRUE,"DIRECCION";#N/A,#N/A,TRUE,"RESUMEN"}</definedName>
    <definedName name="wrn.GERENCIA." localSheetId="1" hidden="1">{#N/A,#N/A,TRUE,"INGENIERIA";#N/A,#N/A,TRUE,"COMPRAS";#N/A,#N/A,TRUE,"DIRECCION";#N/A,#N/A,TRUE,"RESUMEN"}</definedName>
    <definedName name="wrn.GERENCIA." localSheetId="0" hidden="1">{#N/A,#N/A,TRUE,"INGENIERIA";#N/A,#N/A,TRUE,"COMPRAS";#N/A,#N/A,TRUE,"DIRECCION";#N/A,#N/A,TRUE,"RESUMEN"}</definedName>
    <definedName name="wrn.GERENCIA." hidden="1">{#N/A,#N/A,TRUE,"INGENIERIA";#N/A,#N/A,TRUE,"COMPRAS";#N/A,#N/A,TRUE,"DIRECCION";#N/A,#N/A,TRUE,"RESUMEN"}</definedName>
    <definedName name="wrn.julio24." localSheetId="2" hidden="1">{#N/A,#N/A,FALSE,"310.1";#N/A,#N/A,FALSE,"321.1";#N/A,#N/A,FALSE,"320.3";#N/A,#N/A,FALSE,"330.1"}</definedName>
    <definedName name="wrn.julio24." localSheetId="1" hidden="1">{#N/A,#N/A,FALSE,"310.1";#N/A,#N/A,FALSE,"321.1";#N/A,#N/A,FALSE,"320.3";#N/A,#N/A,FALSE,"330.1"}</definedName>
    <definedName name="wrn.julio24." localSheetId="0" hidden="1">{#N/A,#N/A,FALSE,"310.1";#N/A,#N/A,FALSE,"321.1";#N/A,#N/A,FALSE,"320.3";#N/A,#N/A,FALSE,"330.1"}</definedName>
    <definedName name="wrn.julio24." hidden="1">{#N/A,#N/A,FALSE,"310.1";#N/A,#N/A,FALSE,"321.1";#N/A,#N/A,FALSE,"320.3";#N/A,#N/A,FALSE,"330.1"}</definedName>
    <definedName name="wrn.OPERADORES." localSheetId="2" hidden="1">{#N/A,#N/A,TRUE,"T1"}</definedName>
    <definedName name="wrn.OPERADORES." localSheetId="1" hidden="1">{#N/A,#N/A,TRUE,"T1"}</definedName>
    <definedName name="wrn.OPERADORES." localSheetId="0" hidden="1">{#N/A,#N/A,TRUE,"T1"}</definedName>
    <definedName name="wrn.OPERADORES." hidden="1">{#N/A,#N/A,TRUE,"T1"}</definedName>
    <definedName name="wrn.res7" localSheetId="2" hidden="1">{#N/A,#N/A,FALSE,"Hoja1";#N/A,#N/A,FALSE,"Hoja2"}</definedName>
    <definedName name="wrn.res7" localSheetId="1" hidden="1">{#N/A,#N/A,FALSE,"Hoja1";#N/A,#N/A,FALSE,"Hoja2"}</definedName>
    <definedName name="wrn.res7" localSheetId="0" hidden="1">{#N/A,#N/A,FALSE,"Hoja1";#N/A,#N/A,FALSE,"Hoja2"}</definedName>
    <definedName name="wrn.res7" hidden="1">{#N/A,#N/A,FALSE,"Hoja1";#N/A,#N/A,FALSE,"Hoja2"}</definedName>
    <definedName name="wrn.Resumen." localSheetId="2" hidden="1">{#N/A,#N/A,FALSE,"Hoja1";#N/A,#N/A,FALSE,"Hoja2"}</definedName>
    <definedName name="wrn.Resumen." localSheetId="1" hidden="1">{#N/A,#N/A,FALSE,"Hoja1";#N/A,#N/A,FALSE,"Hoja2"}</definedName>
    <definedName name="wrn.Resumen." localSheetId="0" hidden="1">{#N/A,#N/A,FALSE,"Hoja1";#N/A,#N/A,FALSE,"Hoja2"}</definedName>
    <definedName name="wrn.Resumen." hidden="1">{#N/A,#N/A,FALSE,"Hoja1";#N/A,#N/A,FALSE,"Hoja2"}</definedName>
    <definedName name="wrn.TRABFENO." localSheetId="2" hidden="1">{#N/A,#N/A,FALSE,"Estatico";#N/A,#N/A,FALSE,"Tuberia";#N/A,#N/A,FALSE,"Instrumentación";#N/A,#N/A,FALSE,"Mecanica";#N/A,#N/A,FALSE,"Electrico";#N/A,#N/A,FALSE,"Ofic.Civiles"}</definedName>
    <definedName name="wrn.TRABFENO." localSheetId="1" hidden="1">{#N/A,#N/A,FALSE,"Estatico";#N/A,#N/A,FALSE,"Tuberia";#N/A,#N/A,FALSE,"Instrumentación";#N/A,#N/A,FALSE,"Mecanica";#N/A,#N/A,FALSE,"Electrico";#N/A,#N/A,FALSE,"Ofic.Civiles"}</definedName>
    <definedName name="wrn.TRABFENO." localSheetId="0"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localSheetId="1"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s">#REF!</definedName>
    <definedName name="WSERWEER">'[146]COSTOS OFICINA'!#REF!</definedName>
    <definedName name="wsnhed" localSheetId="2" hidden="1">{"via1",#N/A,TRUE,"general";"via2",#N/A,TRUE,"general";"via3",#N/A,TRUE,"general"}</definedName>
    <definedName name="wsnhed" localSheetId="1"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localSheetId="1"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localSheetId="1"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vu.TAB1." localSheetId="2"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0"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1"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0"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2"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1"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0"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2"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1"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0"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localSheetId="2"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1"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0"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[1]LIQUIDACION!#REF!</definedName>
    <definedName name="WW_1">"[0]!err"</definedName>
    <definedName name="wwded3" localSheetId="2" hidden="1">{"via1",#N/A,TRUE,"general";"via2",#N/A,TRUE,"general";"via3",#N/A,TRUE,"general"}</definedName>
    <definedName name="wwded3" localSheetId="1"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w">#REF!</definedName>
    <definedName name="WWWW">#REF!</definedName>
    <definedName name="wwwwe" localSheetId="2" hidden="1">{"TAB1",#N/A,TRUE,"GENERAL";"TAB2",#N/A,TRUE,"GENERAL";"TAB3",#N/A,TRUE,"GENERAL";"TAB4",#N/A,TRUE,"GENERAL";"TAB5",#N/A,TRUE,"GENERAL"}</definedName>
    <definedName name="wwwwe" localSheetId="1"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wwwww">#REF!</definedName>
    <definedName name="wyty" localSheetId="2" hidden="1">{"via1",#N/A,TRUE,"general";"via2",#N/A,TRUE,"general";"via3",#N/A,TRUE,"general"}</definedName>
    <definedName name="wyty" localSheetId="1"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#REF!</definedName>
    <definedName name="xb">#REF!</definedName>
    <definedName name="xcbvbs" localSheetId="2" hidden="1">{"TAB1",#N/A,TRUE,"GENERAL";"TAB2",#N/A,TRUE,"GENERAL";"TAB3",#N/A,TRUE,"GENERAL";"TAB4",#N/A,TRUE,"GENERAL";"TAB5",#N/A,TRUE,"GENERAL"}</definedName>
    <definedName name="xcbvbs" localSheetId="1"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CFDV">#REF!</definedName>
    <definedName name="XCNMHG">#REF!</definedName>
    <definedName name="XCVB">#REF!</definedName>
    <definedName name="XCVN">#REF!</definedName>
    <definedName name="XD">#REF!</definedName>
    <definedName name="XFWF" localSheetId="2">'MC 1'!ERR</definedName>
    <definedName name="XFWF" localSheetId="1">'MC 2-3-4'!ERR</definedName>
    <definedName name="XFWF" localSheetId="0">'MC 5'!ERR</definedName>
    <definedName name="XFWF">[0]!ERR</definedName>
    <definedName name="xghdf">#REF!</definedName>
    <definedName name="XMesCalidades">#REF!</definedName>
    <definedName name="XMesNoFacturables">#REF!</definedName>
    <definedName name="XMesPersonalPromedio">#REF!</definedName>
    <definedName name="XMesProfesionales">#REF!</definedName>
    <definedName name="XMesTecnicos">#REF!</definedName>
    <definedName name="xo">#REF!</definedName>
    <definedName name="XS">#REF!</definedName>
    <definedName name="XSW" localSheetId="2" hidden="1">{#N/A,#N/A,TRUE,"1842CWN0"}</definedName>
    <definedName name="XSW" localSheetId="1" hidden="1">{#N/A,#N/A,TRUE,"1842CWN0"}</definedName>
    <definedName name="XSW" localSheetId="0" hidden="1">{#N/A,#N/A,TRUE,"1842CWN0"}</definedName>
    <definedName name="XSW" hidden="1">{#N/A,#N/A,TRUE,"1842CWN0"}</definedName>
    <definedName name="xsxs" localSheetId="2" hidden="1">{"TAB1",#N/A,TRUE,"GENERAL";"TAB2",#N/A,TRUE,"GENERAL";"TAB3",#N/A,TRUE,"GENERAL";"TAB4",#N/A,TRUE,"GENERAL";"TAB5",#N/A,TRUE,"GENERAL"}</definedName>
    <definedName name="xsxs" localSheetId="1"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#REF!</definedName>
    <definedName name="xxfg" localSheetId="2" hidden="1">{"via1",#N/A,TRUE,"general";"via2",#N/A,TRUE,"general";"via3",#N/A,TRUE,"general"}</definedName>
    <definedName name="xxfg" localSheetId="1"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'[235]4.2'!$B$38</definedName>
    <definedName name="XXXX" hidden="1">#REF!</definedName>
    <definedName name="xxxxx" localSheetId="8">[236]!absc</definedName>
    <definedName name="xxxxx" localSheetId="7">[236]!absc</definedName>
    <definedName name="xxxxx" localSheetId="5">[236]!absc</definedName>
    <definedName name="xxxxx" localSheetId="1">[236]!absc</definedName>
    <definedName name="xxxxx" localSheetId="0">[236]!absc</definedName>
    <definedName name="xxxxx" localSheetId="4">[236]!absc</definedName>
    <definedName name="xxxxx">[236]!absc</definedName>
    <definedName name="xxxxxds" localSheetId="2" hidden="1">{"via1",#N/A,TRUE,"general";"via2",#N/A,TRUE,"general";"via3",#N/A,TRUE,"general"}</definedName>
    <definedName name="xxxxxds" localSheetId="1"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 localSheetId="2" hidden="1">{#N/A,#N/A,FALSE,"orthoflow";#N/A,#N/A,FALSE,"Miscelaneos";#N/A,#N/A,FALSE,"Instrumentacio";#N/A,#N/A,FALSE,"Electrico";#N/A,#N/A,FALSE,"Valv. Seguridad"}</definedName>
    <definedName name="XXXXXX" localSheetId="1" hidden="1">{#N/A,#N/A,FALSE,"orthoflow";#N/A,#N/A,FALSE,"Miscelaneos";#N/A,#N/A,FALSE,"Instrumentacio";#N/A,#N/A,FALSE,"Electrico";#N/A,#N/A,FALSE,"Valv. Seguridad"}</definedName>
    <definedName name="XXXXXX" localSheetId="0"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#REF!</definedName>
    <definedName name="xxxxxxxxxx29" localSheetId="2" hidden="1">{"via1",#N/A,TRUE,"general";"via2",#N/A,TRUE,"general";"via3",#N/A,TRUE,"general"}</definedName>
    <definedName name="xxxxxxxxxx29" localSheetId="1"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XXXXXXXXXXX">#REF!</definedName>
    <definedName name="XZS" hidden="1">#REF!</definedName>
    <definedName name="XZXZV" localSheetId="2" hidden="1">{"via1",#N/A,TRUE,"general";"via2",#N/A,TRUE,"general";"via3",#N/A,TRUE,"general"}</definedName>
    <definedName name="XZXZV" localSheetId="1"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 localSheetId="8">[52]!absc</definedName>
    <definedName name="Y" localSheetId="7">[52]!absc</definedName>
    <definedName name="Y" localSheetId="5">[52]!absc</definedName>
    <definedName name="Y" localSheetId="1">[52]!absc</definedName>
    <definedName name="Y" localSheetId="0">[52]!absc</definedName>
    <definedName name="Y" localSheetId="4">[52]!absc</definedName>
    <definedName name="Y">[52]!absc</definedName>
    <definedName name="y6y6" localSheetId="2" hidden="1">{"via1",#N/A,TRUE,"general";"via2",#N/A,TRUE,"general";"via3",#N/A,TRUE,"general"}</definedName>
    <definedName name="y6y6" localSheetId="1"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A">#REF!</definedName>
    <definedName name="yee200x160">#REF!</definedName>
    <definedName name="yery" localSheetId="2" hidden="1">{"via1",#N/A,TRUE,"general";"via2",#N/A,TRUE,"general";"via3",#N/A,TRUE,"general"}</definedName>
    <definedName name="yery" localSheetId="1"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ESO">#REF!</definedName>
    <definedName name="YHN">#REF!</definedName>
    <definedName name="yhy" localSheetId="2" hidden="1">{"TAB1",#N/A,TRUE,"GENERAL";"TAB2",#N/A,TRUE,"GENERAL";"TAB3",#N/A,TRUE,"GENERAL";"TAB4",#N/A,TRUE,"GENERAL";"TAB5",#N/A,TRUE,"GENERAL"}</definedName>
    <definedName name="yhy" localSheetId="1"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localSheetId="1"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rk">#REF!</definedName>
    <definedName name="YOYO">'[237]AISLAMIENTO CATEGORIAS II Y III'!$G$1:$I$65536</definedName>
    <definedName name="yrey" localSheetId="2" hidden="1">{"via1",#N/A,TRUE,"general";"via2",#N/A,TRUE,"general";"via3",#N/A,TRUE,"general"}</definedName>
    <definedName name="yrey" localSheetId="1"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localSheetId="1"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localSheetId="1"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localSheetId="1"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localSheetId="1"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localSheetId="1"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localSheetId="1"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localSheetId="1"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localSheetId="1"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localSheetId="1"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localSheetId="1"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localSheetId="1"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localSheetId="1"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localSheetId="1"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localSheetId="1"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localSheetId="2" hidden="1">{"via1",#N/A,TRUE,"general";"via2",#N/A,TRUE,"general";"via3",#N/A,TRUE,"general"}</definedName>
    <definedName name="yutu" localSheetId="1"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localSheetId="1"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localSheetId="1"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localSheetId="1" hidden="1">{"via1",#N/A,TRUE,"general";"via2",#N/A,TRUE,"general";"via3",#N/A,TRUE,"general"}</definedName>
    <definedName name="yy" localSheetId="0"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localSheetId="1" hidden="1">{"TAB1",#N/A,TRUE,"GENERAL";"TAB2",#N/A,TRUE,"GENERAL";"TAB3",#N/A,TRUE,"GENERAL";"TAB4",#N/A,TRUE,"GENERAL";"TAB5",#N/A,TRUE,"GENERAL"}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localSheetId="1"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localSheetId="1"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YYYYYYYYYYYYYYYYYYYYYYYYYYY">#REF!</definedName>
    <definedName name="z">#REF!</definedName>
    <definedName name="Z_026CD6D7_F7CA_4BE8_B625_9A1778CFA739_.wvu.FilterData" hidden="1">#REF!</definedName>
    <definedName name="Z_026CD6D7_F7CA_4BE8_B625_9A1778CFA739_.wvu.PrintArea" hidden="1">#REF!</definedName>
    <definedName name="Z_026CD6D7_F7CA_4BE8_B625_9A1778CFA739_.wvu.PrintTitles" hidden="1">#REF!</definedName>
    <definedName name="Z_05670E35_1347_49D9_AD91_AA9A31A4EF61_.wvu.FilterData" hidden="1">#REF!</definedName>
    <definedName name="Z_05670E35_1347_49D9_AD91_AA9A31A4EF61_.wvu.PrintArea" hidden="1">#REF!</definedName>
    <definedName name="Z_05670E35_1347_49D9_AD91_AA9A31A4EF61_.wvu.PrintTitles" hidden="1">#REF!</definedName>
    <definedName name="Z_0890F28A_A8C8_451C_A3E6_C3AFDD239B64_.wvu.FilterData" hidden="1">#REF!</definedName>
    <definedName name="Z_0890F28A_A8C8_451C_A3E6_C3AFDD239B64_.wvu.PrintArea" hidden="1">#REF!</definedName>
    <definedName name="Z_0890F28A_A8C8_451C_A3E6_C3AFDD239B64_.wvu.PrintTitles" hidden="1">#REF!</definedName>
    <definedName name="Z_0A4C2D72_EA87_11DA_B6F6_00609720E0A1_.wvu.FilterData" hidden="1">#REF!</definedName>
    <definedName name="Z_0A4C2D72_EA87_11DA_B6F6_00609720E0A1_.wvu.PrintArea" hidden="1">#REF!</definedName>
    <definedName name="Z_0A4C2D72_EA87_11DA_B6F6_00609720E0A1_.wvu.PrintTitles" hidden="1">#REF!</definedName>
    <definedName name="Z_0A4C2D73_EA87_11DA_B6F6_00609720E0A1_.wvu.FilterData" hidden="1">#REF!</definedName>
    <definedName name="Z_0A4C2D73_EA87_11DA_B6F6_00609720E0A1_.wvu.PrintArea" hidden="1">#REF!</definedName>
    <definedName name="Z_0A4C2D73_EA87_11DA_B6F6_00609720E0A1_.wvu.PrintTitles" hidden="1">#REF!</definedName>
    <definedName name="Z_0A4C2D74_EA87_11DA_B6F6_00609720E0A1_.wvu.FilterData" hidden="1">#REF!</definedName>
    <definedName name="Z_0A4C2D74_EA87_11DA_B6F6_00609720E0A1_.wvu.PrintArea" hidden="1">#REF!</definedName>
    <definedName name="Z_0A4C2D74_EA87_11DA_B6F6_00609720E0A1_.wvu.PrintTitles" hidden="1">#REF!</definedName>
    <definedName name="Z_0A4C2D75_EA87_11DA_B6F6_00609720E0A1_.wvu.FilterData" hidden="1">#REF!</definedName>
    <definedName name="Z_0A4C2D75_EA87_11DA_B6F6_00609720E0A1_.wvu.PrintArea" hidden="1">#REF!</definedName>
    <definedName name="Z_0A4C2D75_EA87_11DA_B6F6_00609720E0A1_.wvu.PrintTitles" hidden="1">#REF!</definedName>
    <definedName name="Z_0A4C2D76_EA87_11DA_B6F6_00609720E0A1_.wvu.FilterData" hidden="1">#REF!</definedName>
    <definedName name="Z_0A4C2D76_EA87_11DA_B6F6_00609720E0A1_.wvu.PrintArea" hidden="1">#REF!</definedName>
    <definedName name="Z_0A4C2D76_EA87_11DA_B6F6_00609720E0A1_.wvu.PrintTitles" hidden="1">#REF!</definedName>
    <definedName name="Z_0E0DE1F8_394A_4093_8E74_B2A631A3A88C_.wvu.FilterData" hidden="1">#REF!</definedName>
    <definedName name="Z_0E0DE1F8_394A_4093_8E74_B2A631A3A88C_.wvu.PrintArea" hidden="1">#REF!</definedName>
    <definedName name="Z_0E0DE1F8_394A_4093_8E74_B2A631A3A88C_.wvu.PrintTitles" hidden="1">#REF!</definedName>
    <definedName name="Z_18C710ED_70CF_48D0_92F5_038A88335068_.wvu.FilterData" hidden="1">#REF!</definedName>
    <definedName name="Z_18C710ED_70CF_48D0_92F5_038A88335068_.wvu.PrintArea" hidden="1">#REF!</definedName>
    <definedName name="Z_18C710ED_70CF_48D0_92F5_038A88335068_.wvu.PrintTitles" hidden="1">#REF!</definedName>
    <definedName name="Z_378D82E8_FE69_4712_AE73_9D578C4190DE_.wvu.FilterData" hidden="1">#REF!</definedName>
    <definedName name="Z_378D82E8_FE69_4712_AE73_9D578C4190DE_.wvu.PrintArea" hidden="1">#REF!</definedName>
    <definedName name="Z_378D82E8_FE69_4712_AE73_9D578C4190DE_.wvu.PrintTitles" hidden="1">#REF!</definedName>
    <definedName name="Z_381FCF61_DF95_4756_B103_A1118DFFDE02_.wvu.FilterData" hidden="1">#REF!</definedName>
    <definedName name="Z_381FCF61_DF95_4756_B103_A1118DFFDE02_.wvu.PrintArea" hidden="1">#REF!</definedName>
    <definedName name="Z_381FCF61_DF95_4756_B103_A1118DFFDE02_.wvu.PrintTitles" hidden="1">#REF!</definedName>
    <definedName name="Z_3B3C0CA1_2A9C_45FD_9823_50B200F6C0D1_.wvu.FilterData" hidden="1">#REF!</definedName>
    <definedName name="Z_3B3C0CA1_2A9C_45FD_9823_50B200F6C0D1_.wvu.PrintArea" hidden="1">#REF!</definedName>
    <definedName name="Z_3B3C0CA1_2A9C_45FD_9823_50B200F6C0D1_.wvu.PrintTitles" hidden="1">#REF!</definedName>
    <definedName name="Z_3E9430E5_6A83_435B_9E47_1B8F7E18D67C_.wvu.FilterData" hidden="1">#REF!</definedName>
    <definedName name="Z_3E9430E5_6A83_435B_9E47_1B8F7E18D67C_.wvu.PrintArea" hidden="1">#REF!</definedName>
    <definedName name="Z_3E9430E5_6A83_435B_9E47_1B8F7E18D67C_.wvu.PrintTitles" hidden="1">#REF!</definedName>
    <definedName name="Z_4A14CB5C_2287_4F6E_9A65_22F0A4D81D81_.wvu.FilterData" hidden="1">#REF!</definedName>
    <definedName name="Z_4A14CB5C_2287_4F6E_9A65_22F0A4D81D81_.wvu.PrintArea" hidden="1">#REF!</definedName>
    <definedName name="Z_4A14CB5C_2287_4F6E_9A65_22F0A4D81D81_.wvu.PrintTitles" hidden="1">#REF!</definedName>
    <definedName name="Z_4BBC24C4_A093_4EC9_8AFF_49C6F602CC39_.wvu.FilterData" hidden="1">#REF!</definedName>
    <definedName name="Z_4BBC24C4_A093_4EC9_8AFF_49C6F602CC39_.wvu.PrintArea" hidden="1">#REF!</definedName>
    <definedName name="Z_4BBC24C4_A093_4EC9_8AFF_49C6F602CC39_.wvu.PrintTitles" hidden="1">#REF!</definedName>
    <definedName name="Z_504A8F9D_2C46_439E_975A_DF1C1FA56E7B_.wvu.FilterData" hidden="1">#REF!</definedName>
    <definedName name="Z_504A8F9D_2C46_439E_975A_DF1C1FA56E7B_.wvu.PrintArea" hidden="1">#REF!</definedName>
    <definedName name="Z_504A8F9D_2C46_439E_975A_DF1C1FA56E7B_.wvu.PrintTitles" hidden="1">#REF!</definedName>
    <definedName name="Z_653348E7_CDAD_4F62_A236_641A4BB6425A_.wvu.FilterData" hidden="1">#REF!</definedName>
    <definedName name="Z_653348E7_CDAD_4F62_A236_641A4BB6425A_.wvu.PrintArea" hidden="1">#REF!</definedName>
    <definedName name="Z_653348E7_CDAD_4F62_A236_641A4BB6425A_.wvu.PrintTitles" hidden="1">#REF!</definedName>
    <definedName name="Z_68C48519_C8C2_4287_96F6_0F561F815CE8_.wvu.FilterData" hidden="1">#REF!</definedName>
    <definedName name="Z_68C48519_C8C2_4287_96F6_0F561F815CE8_.wvu.PrintArea" hidden="1">#REF!</definedName>
    <definedName name="Z_68C48519_C8C2_4287_96F6_0F561F815CE8_.wvu.PrintTitles" hidden="1">#REF!</definedName>
    <definedName name="Z_6BA141F2_E104_11DA_B6F6_00609720E0A1_.wvu.FilterData" hidden="1">#REF!</definedName>
    <definedName name="Z_6BA141F2_E104_11DA_B6F6_00609720E0A1_.wvu.PrintArea" hidden="1">#REF!</definedName>
    <definedName name="Z_6BA141F2_E104_11DA_B6F6_00609720E0A1_.wvu.PrintTitles" hidden="1">#REF!</definedName>
    <definedName name="Z_6BA141F3_E104_11DA_B6F6_00609720E0A1_.wvu.FilterData" hidden="1">#REF!</definedName>
    <definedName name="Z_6BA141F3_E104_11DA_B6F6_00609720E0A1_.wvu.PrintArea" hidden="1">#REF!</definedName>
    <definedName name="Z_6BA141F3_E104_11DA_B6F6_00609720E0A1_.wvu.PrintTitles" hidden="1">#REF!</definedName>
    <definedName name="Z_6BA141F4_E104_11DA_B6F6_00609720E0A1_.wvu.FilterData" hidden="1">#REF!</definedName>
    <definedName name="Z_6BA141F4_E104_11DA_B6F6_00609720E0A1_.wvu.PrintArea" hidden="1">#REF!</definedName>
    <definedName name="Z_6BA141F4_E104_11DA_B6F6_00609720E0A1_.wvu.PrintTitles" hidden="1">#REF!</definedName>
    <definedName name="Z_6BA141F5_E104_11DA_B6F6_00609720E0A1_.wvu.FilterData" hidden="1">#REF!</definedName>
    <definedName name="Z_6BA141F5_E104_11DA_B6F6_00609720E0A1_.wvu.PrintArea" hidden="1">#REF!</definedName>
    <definedName name="Z_6BA141F5_E104_11DA_B6F6_00609720E0A1_.wvu.PrintTitles" hidden="1">#REF!</definedName>
    <definedName name="Z_6BA141F6_E104_11DA_B6F6_00609720E0A1_.wvu.FilterData" hidden="1">#REF!</definedName>
    <definedName name="Z_6BA141F6_E104_11DA_B6F6_00609720E0A1_.wvu.PrintArea" hidden="1">#REF!</definedName>
    <definedName name="Z_6BA141F6_E104_11DA_B6F6_00609720E0A1_.wvu.PrintTitles" hidden="1">#REF!</definedName>
    <definedName name="Z_726673D2_C579_4EF3_83C7_45DC3792EA6A_.wvu.FilterData" hidden="1">#REF!</definedName>
    <definedName name="Z_726673D2_C579_4EF3_83C7_45DC3792EA6A_.wvu.PrintArea" hidden="1">#REF!</definedName>
    <definedName name="Z_726673D2_C579_4EF3_83C7_45DC3792EA6A_.wvu.PrintTitles" hidden="1">#REF!</definedName>
    <definedName name="Z_729969D8_DFDA_47B9_ADA2_E05CF62B3DEF_.wvu.FilterData" hidden="1">#REF!</definedName>
    <definedName name="Z_729969D8_DFDA_47B9_ADA2_E05CF62B3DEF_.wvu.PrintArea" hidden="1">#REF!</definedName>
    <definedName name="Z_729969D8_DFDA_47B9_ADA2_E05CF62B3DEF_.wvu.PrintTitles" hidden="1">#REF!</definedName>
    <definedName name="Z_75EDDC88_CA8C_4671_911D_25D74F37EC47_.wvu.FilterData" hidden="1">#REF!</definedName>
    <definedName name="Z_75EDDC88_CA8C_4671_911D_25D74F37EC47_.wvu.PrintArea" hidden="1">#REF!</definedName>
    <definedName name="Z_75EDDC88_CA8C_4671_911D_25D74F37EC47_.wvu.PrintTitles" hidden="1">#REF!</definedName>
    <definedName name="Z_80573755_2D8B_4158_BD3A_CC331B950748_.wvu.FilterData" hidden="1">#REF!</definedName>
    <definedName name="Z_80573755_2D8B_4158_BD3A_CC331B950748_.wvu.PrintArea" hidden="1">#REF!</definedName>
    <definedName name="Z_80573755_2D8B_4158_BD3A_CC331B950748_.wvu.PrintTitles" hidden="1">#REF!</definedName>
    <definedName name="Z_9C7B0D6D_4DDE_4C72_B23F_2E183F63ECB1_.wvu.FilterData" hidden="1">#REF!</definedName>
    <definedName name="Z_9C7B0D6D_4DDE_4C72_B23F_2E183F63ECB1_.wvu.PrintArea" hidden="1">#REF!</definedName>
    <definedName name="Z_9C7B0D6D_4DDE_4C72_B23F_2E183F63ECB1_.wvu.PrintTitles" hidden="1">#REF!</definedName>
    <definedName name="Z_9C8B6436_249F_426A_96DC_EEE5E7CB7D1B_.wvu.FilterData" hidden="1">#REF!</definedName>
    <definedName name="Z_9C8B6436_249F_426A_96DC_EEE5E7CB7D1B_.wvu.PrintArea" hidden="1">#REF!</definedName>
    <definedName name="Z_9C8B6436_249F_426A_96DC_EEE5E7CB7D1B_.wvu.PrintTitles" hidden="1">#REF!</definedName>
    <definedName name="Z_9FCFD0D5_270B_4F36_B422_02EF7A3700B8_.wvu.FilterData" hidden="1">#REF!</definedName>
    <definedName name="Z_9FCFD0D5_270B_4F36_B422_02EF7A3700B8_.wvu.PrintArea" hidden="1">#REF!</definedName>
    <definedName name="Z_9FCFD0D5_270B_4F36_B422_02EF7A3700B8_.wvu.PrintTitles" hidden="1">#REF!</definedName>
    <definedName name="Z_9FE8FF3F_4486_44D6_9AFB_43CC5B824BF9_.wvu.FilterData" hidden="1">#REF!</definedName>
    <definedName name="Z_9FE8FF3F_4486_44D6_9AFB_43CC5B824BF9_.wvu.PrintArea" hidden="1">#REF!</definedName>
    <definedName name="Z_9FE8FF3F_4486_44D6_9AFB_43CC5B824BF9_.wvu.PrintTitles" hidden="1">#REF!</definedName>
    <definedName name="Z_A3DE26BA_CF48_4654_9BE9_FAEB3C301C95_.wvu.FilterData" hidden="1">#REF!</definedName>
    <definedName name="Z_A3DE26BA_CF48_4654_9BE9_FAEB3C301C95_.wvu.PrintArea" hidden="1">#REF!</definedName>
    <definedName name="Z_A3DE26BA_CF48_4654_9BE9_FAEB3C301C95_.wvu.PrintTitles" hidden="1">#REF!</definedName>
    <definedName name="Z_AAA1DD33_F1E3_423A_B1F2_E8567F4D95A5_.wvu.FilterData" hidden="1">#REF!</definedName>
    <definedName name="Z_AAA1DD33_F1E3_423A_B1F2_E8567F4D95A5_.wvu.PrintArea" hidden="1">#REF!</definedName>
    <definedName name="Z_AAA1DD33_F1E3_423A_B1F2_E8567F4D95A5_.wvu.PrintTitles" hidden="1">#REF!</definedName>
    <definedName name="Z_B4899972_EBDC_11DA_B6F6_00609720E0A1_.wvu.FilterData" hidden="1">#REF!</definedName>
    <definedName name="Z_B4899972_EBDC_11DA_B6F6_00609720E0A1_.wvu.PrintArea" hidden="1">#REF!</definedName>
    <definedName name="Z_B4899972_EBDC_11DA_B6F6_00609720E0A1_.wvu.PrintTitles" hidden="1">#REF!</definedName>
    <definedName name="Z_B4899973_EBDC_11DA_B6F6_00609720E0A1_.wvu.FilterData" hidden="1">#REF!</definedName>
    <definedName name="Z_B4899973_EBDC_11DA_B6F6_00609720E0A1_.wvu.PrintArea" hidden="1">#REF!</definedName>
    <definedName name="Z_B4899973_EBDC_11DA_B6F6_00609720E0A1_.wvu.PrintTitles" hidden="1">#REF!</definedName>
    <definedName name="Z_B4899974_EBDC_11DA_B6F6_00609720E0A1_.wvu.FilterData" hidden="1">#REF!</definedName>
    <definedName name="Z_B4899974_EBDC_11DA_B6F6_00609720E0A1_.wvu.PrintArea" hidden="1">#REF!</definedName>
    <definedName name="Z_B4899974_EBDC_11DA_B6F6_00609720E0A1_.wvu.PrintTitles" hidden="1">#REF!</definedName>
    <definedName name="Z_B4899975_EBDC_11DA_B6F6_00609720E0A1_.wvu.FilterData" hidden="1">#REF!</definedName>
    <definedName name="Z_B4899975_EBDC_11DA_B6F6_00609720E0A1_.wvu.PrintArea" hidden="1">#REF!</definedName>
    <definedName name="Z_B4899975_EBDC_11DA_B6F6_00609720E0A1_.wvu.PrintTitles" hidden="1">#REF!</definedName>
    <definedName name="Z_B4899976_EBDC_11DA_B6F6_00609720E0A1_.wvu.FilterData" hidden="1">#REF!</definedName>
    <definedName name="Z_B4899976_EBDC_11DA_B6F6_00609720E0A1_.wvu.PrintArea" hidden="1">#REF!</definedName>
    <definedName name="Z_B4899976_EBDC_11DA_B6F6_00609720E0A1_.wvu.PrintTitles" hidden="1">#REF!</definedName>
    <definedName name="Z_C24E6469_C4CC_430B_8814_72DD019DF2C8_.wvu.FilterData" hidden="1">#REF!</definedName>
    <definedName name="Z_C24E6469_C4CC_430B_8814_72DD019DF2C8_.wvu.PrintArea" hidden="1">#REF!</definedName>
    <definedName name="Z_C24E6469_C4CC_430B_8814_72DD019DF2C8_.wvu.PrintTitles" hidden="1">#REF!</definedName>
    <definedName name="Z_CA61CA57_E7CE_4A4D_974A_F3124BCA2797_.wvu.FilterData" hidden="1">#REF!</definedName>
    <definedName name="Z_CA61CA57_E7CE_4A4D_974A_F3124BCA2797_.wvu.PrintArea" hidden="1">#REF!</definedName>
    <definedName name="Z_CA61CA57_E7CE_4A4D_974A_F3124BCA2797_.wvu.PrintTitles" hidden="1">#REF!</definedName>
    <definedName name="Z_DA4D5A8F_12FA_42F5_A8BB_526600E97433_.wvu.FilterData" hidden="1">#REF!</definedName>
    <definedName name="Z_DA4D5A8F_12FA_42F5_A8BB_526600E97433_.wvu.PrintArea" hidden="1">#REF!</definedName>
    <definedName name="Z_DA4D5A8F_12FA_42F5_A8BB_526600E97433_.wvu.PrintTitles" hidden="1">#REF!</definedName>
    <definedName name="Z_DFB4C5EB_A8D3_475E_B627_EA98F95F9220_.wvu.FilterData" hidden="1">#REF!</definedName>
    <definedName name="Z_DFB4C5EB_A8D3_475E_B627_EA98F95F9220_.wvu.PrintArea" hidden="1">#REF!</definedName>
    <definedName name="Z_DFB4C5EB_A8D3_475E_B627_EA98F95F9220_.wvu.PrintTitles" hidden="1">#REF!</definedName>
    <definedName name="Z_F2B990A1_57B3_4766_8C3D_4D3A5265BAEF_.wvu.FilterData" hidden="1">#REF!</definedName>
    <definedName name="Z_F2B990A1_57B3_4766_8C3D_4D3A5265BAEF_.wvu.PrintArea" hidden="1">#REF!</definedName>
    <definedName name="Z_F2B990A1_57B3_4766_8C3D_4D3A5265BAEF_.wvu.PrintTitles" hidden="1">#REF!</definedName>
    <definedName name="Z_F9482E1F_92B8_43D8_949A_7DDCF2E63A19_.wvu.FilterData" hidden="1">#REF!</definedName>
    <definedName name="Z_F9482E1F_92B8_43D8_949A_7DDCF2E63A19_.wvu.PrintArea" hidden="1">#REF!</definedName>
    <definedName name="Z_F9482E1F_92B8_43D8_949A_7DDCF2E63A19_.wvu.PrintTitles" hidden="1">#REF!</definedName>
    <definedName name="ZAPATA1.">#REF!</definedName>
    <definedName name="ZAPATA1616">#REF!</definedName>
    <definedName name="ZAPATA22">#REF!</definedName>
    <definedName name="ZAPATA88">#REF!</definedName>
    <definedName name="ZAPATAS">#REF!</definedName>
    <definedName name="ZAQ" localSheetId="2" hidden="1">{#N/A,#N/A,TRUE,"INGENIERIA";#N/A,#N/A,TRUE,"COMPRAS";#N/A,#N/A,TRUE,"DIRECCION";#N/A,#N/A,TRUE,"RESUMEN"}</definedName>
    <definedName name="ZAQ" localSheetId="1" hidden="1">{#N/A,#N/A,TRUE,"INGENIERIA";#N/A,#N/A,TRUE,"COMPRAS";#N/A,#N/A,TRUE,"DIRECCION";#N/A,#N/A,TRUE,"RESUMEN"}</definedName>
    <definedName name="ZAQ" localSheetId="0" hidden="1">{#N/A,#N/A,TRUE,"INGENIERIA";#N/A,#N/A,TRUE,"COMPRAS";#N/A,#N/A,TRUE,"DIRECCION";#N/A,#N/A,TRUE,"RESUMEN"}</definedName>
    <definedName name="ZAQ" hidden="1">{#N/A,#N/A,TRUE,"INGENIERIA";#N/A,#N/A,TRUE,"COMPRAS";#N/A,#N/A,TRUE,"DIRECCION";#N/A,#N/A,TRUE,"RESUMEN"}</definedName>
    <definedName name="zc">#REF!</definedName>
    <definedName name="zd">#REF!</definedName>
    <definedName name="zdervr" localSheetId="2" hidden="1">{"via1",#N/A,TRUE,"general";"via2",#N/A,TRUE,"general";"via3",#N/A,TRUE,"general"}</definedName>
    <definedName name="zdervr" localSheetId="1"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DF">#REF!</definedName>
    <definedName name="zdr">#REF!</definedName>
    <definedName name="ZONA1">#REF!</definedName>
    <definedName name="ZONA3">#REF!</definedName>
    <definedName name="ZONA4">#REF!</definedName>
    <definedName name="zx" localSheetId="2">'MC 1'!ERR</definedName>
    <definedName name="zx" localSheetId="1">'MC 2-3-4'!ERR</definedName>
    <definedName name="zx" localSheetId="0">'MC 5'!ERR</definedName>
    <definedName name="zx">[0]!ERR</definedName>
    <definedName name="zxc">#REF!</definedName>
    <definedName name="zxczds" localSheetId="2" hidden="1">{"TAB1",#N/A,TRUE,"GENERAL";"TAB2",#N/A,TRUE,"GENERAL";"TAB3",#N/A,TRUE,"GENERAL";"TAB4",#N/A,TRUE,"GENERAL";"TAB5",#N/A,TRUE,"GENERAL"}</definedName>
    <definedName name="zxczds" localSheetId="1"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localSheetId="1"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localSheetId="1"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 name="zz">#REF!</definedName>
    <definedName name="ZZZ">#REF!</definedName>
    <definedName name="ZZZZZZZZZZZ">'[96]A. P. U.'!#REF!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8" i="12" l="1"/>
  <c r="E9" i="12"/>
  <c r="E10" i="12"/>
  <c r="E11" i="12"/>
  <c r="E12" i="12"/>
  <c r="E6" i="12"/>
  <c r="E7" i="12"/>
  <c r="AS20" i="9"/>
  <c r="AS21" i="9"/>
  <c r="AS22" i="9"/>
  <c r="AS23" i="9"/>
  <c r="AS24" i="9"/>
  <c r="AS19" i="9"/>
  <c r="AT36" i="9"/>
  <c r="AS36" i="9"/>
  <c r="AT35" i="9"/>
  <c r="AS35" i="9"/>
  <c r="AT34" i="9"/>
  <c r="AS34" i="9"/>
  <c r="AT33" i="9"/>
  <c r="AS33" i="9"/>
  <c r="AT32" i="9"/>
  <c r="AS32" i="9"/>
  <c r="AT31" i="9"/>
  <c r="AS31" i="9"/>
  <c r="AT30" i="9"/>
  <c r="AS30" i="9"/>
  <c r="AT29" i="9"/>
  <c r="AS29" i="9"/>
  <c r="AT28" i="9"/>
  <c r="AS28" i="9"/>
  <c r="AT27" i="9"/>
  <c r="AS27" i="9"/>
  <c r="AT26" i="9"/>
  <c r="AS26" i="9"/>
  <c r="AT25" i="9"/>
  <c r="AS25" i="9"/>
  <c r="AT24" i="9"/>
  <c r="AT23" i="9"/>
  <c r="AT22" i="9"/>
  <c r="AT21" i="9"/>
  <c r="AT20" i="9"/>
  <c r="AT19" i="9"/>
  <c r="F6" i="12"/>
  <c r="F7" i="12"/>
  <c r="F8" i="12"/>
  <c r="F9" i="12"/>
  <c r="F10" i="12"/>
  <c r="F11" i="12"/>
  <c r="F12" i="12"/>
  <c r="F13" i="12"/>
  <c r="F14" i="12"/>
  <c r="F15" i="12"/>
  <c r="F16" i="12"/>
  <c r="F17" i="12"/>
  <c r="F18" i="12"/>
  <c r="E13" i="12"/>
  <c r="E14" i="12"/>
  <c r="E15" i="12"/>
  <c r="E16" i="12"/>
  <c r="E17" i="12"/>
  <c r="E18" i="12"/>
  <c r="E5" i="12"/>
  <c r="A1353" i="10"/>
  <c r="A1354" i="10" s="1"/>
  <c r="A1355" i="10" s="1"/>
  <c r="A1356" i="10" s="1"/>
  <c r="A1357" i="10" s="1"/>
  <c r="A1358" i="10" s="1"/>
  <c r="A1359" i="10" s="1"/>
  <c r="A1360" i="10" s="1"/>
  <c r="A1361" i="10" s="1"/>
  <c r="A1362" i="10" s="1"/>
  <c r="A1363" i="10" s="1"/>
  <c r="A1364" i="10" s="1"/>
  <c r="A1365" i="10" s="1"/>
  <c r="A1366" i="10" s="1"/>
  <c r="A1367" i="10" s="1"/>
  <c r="A1368" i="10" s="1"/>
  <c r="A1369" i="10" s="1"/>
  <c r="A1370" i="10" s="1"/>
  <c r="A1371" i="10" s="1"/>
  <c r="A1372" i="10" s="1"/>
  <c r="A1373" i="10" s="1"/>
  <c r="A1374" i="10" s="1"/>
  <c r="A1375" i="10" s="1"/>
  <c r="A1376" i="10" s="1"/>
  <c r="A1377" i="10" s="1"/>
  <c r="A1378" i="10" s="1"/>
  <c r="A1379" i="10" s="1"/>
  <c r="A1380" i="10" s="1"/>
  <c r="A1381" i="10" s="1"/>
  <c r="A1382" i="10" s="1"/>
  <c r="A1383" i="10" s="1"/>
  <c r="A1384" i="10" s="1"/>
  <c r="A1385" i="10" s="1"/>
  <c r="A1386" i="10" s="1"/>
  <c r="A1387" i="10" s="1"/>
  <c r="A1388" i="10" s="1"/>
  <c r="A1389" i="10" s="1"/>
  <c r="A1390" i="10" s="1"/>
  <c r="A1391" i="10" s="1"/>
  <c r="A1392" i="10" s="1"/>
  <c r="A1393" i="10" s="1"/>
  <c r="A1394" i="10" s="1"/>
  <c r="A1395" i="10" s="1"/>
  <c r="A1278" i="10"/>
  <c r="A1279" i="10" s="1"/>
  <c r="A1280" i="10" s="1"/>
  <c r="A1281" i="10" s="1"/>
  <c r="A1282" i="10" s="1"/>
  <c r="A1283" i="10" s="1"/>
  <c r="A1284" i="10" s="1"/>
  <c r="A1285" i="10" s="1"/>
  <c r="A1286" i="10" s="1"/>
  <c r="A1287" i="10" s="1"/>
  <c r="A1288" i="10" s="1"/>
  <c r="A1289" i="10" s="1"/>
  <c r="A1290" i="10" s="1"/>
  <c r="A1291" i="10" s="1"/>
  <c r="A1292" i="10" s="1"/>
  <c r="A1293" i="10" s="1"/>
  <c r="A1294" i="10" s="1"/>
  <c r="A1295" i="10" s="1"/>
  <c r="A1296" i="10" s="1"/>
  <c r="A1297" i="10" s="1"/>
  <c r="A1298" i="10" s="1"/>
  <c r="A1299" i="10" s="1"/>
  <c r="A1300" i="10" s="1"/>
  <c r="A1301" i="10" s="1"/>
  <c r="A1302" i="10" s="1"/>
  <c r="A1303" i="10" s="1"/>
  <c r="A1304" i="10" s="1"/>
  <c r="A1305" i="10" s="1"/>
  <c r="A1306" i="10" s="1"/>
  <c r="A1307" i="10" s="1"/>
  <c r="A1308" i="10" s="1"/>
  <c r="A1309" i="10" s="1"/>
  <c r="A1310" i="10" s="1"/>
  <c r="A1311" i="10" s="1"/>
  <c r="A1312" i="10" s="1"/>
  <c r="A1313" i="10" s="1"/>
  <c r="A1314" i="10" s="1"/>
  <c r="A1315" i="10" s="1"/>
  <c r="A1316" i="10" s="1"/>
  <c r="A1317" i="10" s="1"/>
  <c r="A1318" i="10" s="1"/>
  <c r="A1319" i="10" s="1"/>
  <c r="A1320" i="10" s="1"/>
  <c r="A1204" i="10"/>
  <c r="A1205" i="10" s="1"/>
  <c r="A1206" i="10" s="1"/>
  <c r="A1207" i="10" s="1"/>
  <c r="A1208" i="10" s="1"/>
  <c r="A1209" i="10" s="1"/>
  <c r="A1210" i="10" s="1"/>
  <c r="A1211" i="10" s="1"/>
  <c r="A1212" i="10" s="1"/>
  <c r="A1213" i="10" s="1"/>
  <c r="A1214" i="10" s="1"/>
  <c r="A1215" i="10" s="1"/>
  <c r="A1216" i="10" s="1"/>
  <c r="A1217" i="10" s="1"/>
  <c r="A1218" i="10" s="1"/>
  <c r="A1219" i="10" s="1"/>
  <c r="A1220" i="10" s="1"/>
  <c r="A1221" i="10" s="1"/>
  <c r="A1222" i="10" s="1"/>
  <c r="A1223" i="10" s="1"/>
  <c r="A1224" i="10" s="1"/>
  <c r="A1225" i="10" s="1"/>
  <c r="A1226" i="10" s="1"/>
  <c r="A1227" i="10" s="1"/>
  <c r="A1228" i="10" s="1"/>
  <c r="A1229" i="10" s="1"/>
  <c r="A1230" i="10" s="1"/>
  <c r="A1231" i="10" s="1"/>
  <c r="A1232" i="10" s="1"/>
  <c r="A1233" i="10" s="1"/>
  <c r="A1234" i="10" s="1"/>
  <c r="A1235" i="10" s="1"/>
  <c r="A1236" i="10" s="1"/>
  <c r="A1237" i="10" s="1"/>
  <c r="A1238" i="10" s="1"/>
  <c r="A1239" i="10" s="1"/>
  <c r="A1240" i="10" s="1"/>
  <c r="A1241" i="10" s="1"/>
  <c r="A1242" i="10" s="1"/>
  <c r="A1243" i="10" s="1"/>
  <c r="A1244" i="10" s="1"/>
  <c r="A1245" i="10" s="1"/>
  <c r="A1246" i="10" s="1"/>
  <c r="A1130" i="10"/>
  <c r="A1131" i="10" s="1"/>
  <c r="A1132" i="10" s="1"/>
  <c r="A1133" i="10" s="1"/>
  <c r="A1134" i="10" s="1"/>
  <c r="A1135" i="10" s="1"/>
  <c r="A1136" i="10" s="1"/>
  <c r="A1137" i="10" s="1"/>
  <c r="A1138" i="10" s="1"/>
  <c r="A1139" i="10" s="1"/>
  <c r="A1140" i="10" s="1"/>
  <c r="A1141" i="10" s="1"/>
  <c r="A1142" i="10" s="1"/>
  <c r="A1143" i="10" s="1"/>
  <c r="A1144" i="10" s="1"/>
  <c r="A1145" i="10" s="1"/>
  <c r="A1146" i="10" s="1"/>
  <c r="A1147" i="10" s="1"/>
  <c r="A1148" i="10" s="1"/>
  <c r="A1149" i="10" s="1"/>
  <c r="A1150" i="10" s="1"/>
  <c r="A1151" i="10" s="1"/>
  <c r="A1152" i="10" s="1"/>
  <c r="A1153" i="10" s="1"/>
  <c r="A1154" i="10" s="1"/>
  <c r="A1155" i="10" s="1"/>
  <c r="A1156" i="10" s="1"/>
  <c r="A1157" i="10" s="1"/>
  <c r="A1158" i="10" s="1"/>
  <c r="A1159" i="10" s="1"/>
  <c r="A1160" i="10" s="1"/>
  <c r="A1161" i="10" s="1"/>
  <c r="A1162" i="10" s="1"/>
  <c r="A1163" i="10" s="1"/>
  <c r="A1164" i="10" s="1"/>
  <c r="A1165" i="10" s="1"/>
  <c r="A1166" i="10" s="1"/>
  <c r="A1167" i="10" s="1"/>
  <c r="A1168" i="10" s="1"/>
  <c r="A1169" i="10" s="1"/>
  <c r="A1170" i="10" s="1"/>
  <c r="A1171" i="10" s="1"/>
  <c r="A1172" i="10" s="1"/>
  <c r="A1056" i="10"/>
  <c r="A1057" i="10" s="1"/>
  <c r="A1058" i="10" s="1"/>
  <c r="A1059" i="10" s="1"/>
  <c r="A1060" i="10" s="1"/>
  <c r="A1061" i="10" s="1"/>
  <c r="A1062" i="10" s="1"/>
  <c r="A1063" i="10" s="1"/>
  <c r="A1064" i="10" s="1"/>
  <c r="A1065" i="10" s="1"/>
  <c r="A1066" i="10" s="1"/>
  <c r="A1067" i="10" s="1"/>
  <c r="A1068" i="10" s="1"/>
  <c r="A1069" i="10" s="1"/>
  <c r="A1070" i="10" s="1"/>
  <c r="A1071" i="10" s="1"/>
  <c r="A1072" i="10" s="1"/>
  <c r="A1073" i="10" s="1"/>
  <c r="A1074" i="10" s="1"/>
  <c r="A1075" i="10" s="1"/>
  <c r="A1076" i="10" s="1"/>
  <c r="A1077" i="10" s="1"/>
  <c r="A1078" i="10" s="1"/>
  <c r="A1079" i="10" s="1"/>
  <c r="A1080" i="10" s="1"/>
  <c r="A1081" i="10" s="1"/>
  <c r="A1082" i="10" s="1"/>
  <c r="A1083" i="10" s="1"/>
  <c r="A1084" i="10" s="1"/>
  <c r="A1085" i="10" s="1"/>
  <c r="A1086" i="10" s="1"/>
  <c r="A1087" i="10" s="1"/>
  <c r="A1088" i="10" s="1"/>
  <c r="A1089" i="10" s="1"/>
  <c r="A1090" i="10" s="1"/>
  <c r="A1091" i="10" s="1"/>
  <c r="A1092" i="10" s="1"/>
  <c r="A1093" i="10" s="1"/>
  <c r="A1094" i="10" s="1"/>
  <c r="A1095" i="10" s="1"/>
  <c r="A1096" i="10" s="1"/>
  <c r="A1097" i="10" s="1"/>
  <c r="A1098" i="10" s="1"/>
  <c r="A982" i="10"/>
  <c r="A983" i="10" s="1"/>
  <c r="A984" i="10" s="1"/>
  <c r="A985" i="10" s="1"/>
  <c r="A986" i="10" s="1"/>
  <c r="A987" i="10" s="1"/>
  <c r="A988" i="10" s="1"/>
  <c r="A989" i="10" s="1"/>
  <c r="A990" i="10" s="1"/>
  <c r="A991" i="10" s="1"/>
  <c r="A992" i="10" s="1"/>
  <c r="A993" i="10" s="1"/>
  <c r="A994" i="10" s="1"/>
  <c r="A995" i="10" s="1"/>
  <c r="A996" i="10" s="1"/>
  <c r="A997" i="10" s="1"/>
  <c r="A998" i="10" s="1"/>
  <c r="A999" i="10" s="1"/>
  <c r="A1000" i="10" s="1"/>
  <c r="A1001" i="10" s="1"/>
  <c r="A1002" i="10" s="1"/>
  <c r="A1003" i="10" s="1"/>
  <c r="A1004" i="10" s="1"/>
  <c r="A1005" i="10" s="1"/>
  <c r="A1006" i="10" s="1"/>
  <c r="A1007" i="10" s="1"/>
  <c r="A1008" i="10" s="1"/>
  <c r="A1009" i="10" s="1"/>
  <c r="A1010" i="10" s="1"/>
  <c r="A1011" i="10" s="1"/>
  <c r="A1012" i="10" s="1"/>
  <c r="A1013" i="10" s="1"/>
  <c r="A1014" i="10" s="1"/>
  <c r="A1015" i="10" s="1"/>
  <c r="A1016" i="10" s="1"/>
  <c r="A1017" i="10" s="1"/>
  <c r="A1018" i="10" s="1"/>
  <c r="A1019" i="10" s="1"/>
  <c r="A1020" i="10" s="1"/>
  <c r="A1021" i="10" s="1"/>
  <c r="A1022" i="10" s="1"/>
  <c r="A1023" i="10" s="1"/>
  <c r="A1024" i="10" s="1"/>
  <c r="A908" i="10"/>
  <c r="A909" i="10" s="1"/>
  <c r="A910" i="10" s="1"/>
  <c r="A911" i="10" s="1"/>
  <c r="A912" i="10" s="1"/>
  <c r="A913" i="10" s="1"/>
  <c r="A914" i="10" s="1"/>
  <c r="A915" i="10" s="1"/>
  <c r="A916" i="10" s="1"/>
  <c r="A917" i="10" s="1"/>
  <c r="A918" i="10" s="1"/>
  <c r="A919" i="10" s="1"/>
  <c r="A920" i="10" s="1"/>
  <c r="A921" i="10" s="1"/>
  <c r="A922" i="10" s="1"/>
  <c r="A923" i="10" s="1"/>
  <c r="A924" i="10" s="1"/>
  <c r="A925" i="10" s="1"/>
  <c r="A926" i="10" s="1"/>
  <c r="A927" i="10" s="1"/>
  <c r="A928" i="10" s="1"/>
  <c r="A929" i="10" s="1"/>
  <c r="A930" i="10" s="1"/>
  <c r="A931" i="10" s="1"/>
  <c r="A932" i="10" s="1"/>
  <c r="A933" i="10" s="1"/>
  <c r="A934" i="10" s="1"/>
  <c r="A935" i="10" s="1"/>
  <c r="A936" i="10" s="1"/>
  <c r="A937" i="10" s="1"/>
  <c r="A938" i="10" s="1"/>
  <c r="A939" i="10" s="1"/>
  <c r="A940" i="10" s="1"/>
  <c r="A941" i="10" s="1"/>
  <c r="A942" i="10" s="1"/>
  <c r="A943" i="10" s="1"/>
  <c r="A944" i="10" s="1"/>
  <c r="A945" i="10" s="1"/>
  <c r="A946" i="10" s="1"/>
  <c r="A947" i="10" s="1"/>
  <c r="A948" i="10" s="1"/>
  <c r="A949" i="10" s="1"/>
  <c r="A950" i="10" s="1"/>
  <c r="A834" i="10"/>
  <c r="A835" i="10" s="1"/>
  <c r="A836" i="10" s="1"/>
  <c r="A837" i="10" s="1"/>
  <c r="A838" i="10" s="1"/>
  <c r="A839" i="10" s="1"/>
  <c r="A840" i="10" s="1"/>
  <c r="A841" i="10" s="1"/>
  <c r="A842" i="10" s="1"/>
  <c r="A843" i="10" s="1"/>
  <c r="A844" i="10" s="1"/>
  <c r="A845" i="10" s="1"/>
  <c r="A846" i="10" s="1"/>
  <c r="A847" i="10" s="1"/>
  <c r="A848" i="10" s="1"/>
  <c r="A849" i="10" s="1"/>
  <c r="A850" i="10" s="1"/>
  <c r="A851" i="10" s="1"/>
  <c r="A852" i="10" s="1"/>
  <c r="A853" i="10" s="1"/>
  <c r="A854" i="10" s="1"/>
  <c r="A855" i="10" s="1"/>
  <c r="A856" i="10" s="1"/>
  <c r="A857" i="10" s="1"/>
  <c r="A858" i="10" s="1"/>
  <c r="A859" i="10" s="1"/>
  <c r="A860" i="10" s="1"/>
  <c r="A861" i="10" s="1"/>
  <c r="A862" i="10" s="1"/>
  <c r="A863" i="10" s="1"/>
  <c r="A864" i="10" s="1"/>
  <c r="A865" i="10" s="1"/>
  <c r="A866" i="10" s="1"/>
  <c r="A867" i="10" s="1"/>
  <c r="A868" i="10" s="1"/>
  <c r="A869" i="10" s="1"/>
  <c r="A870" i="10" s="1"/>
  <c r="A871" i="10" s="1"/>
  <c r="A872" i="10" s="1"/>
  <c r="A873" i="10" s="1"/>
  <c r="A874" i="10" s="1"/>
  <c r="A875" i="10" s="1"/>
  <c r="A876" i="10" s="1"/>
  <c r="A760" i="10"/>
  <c r="A761" i="10" s="1"/>
  <c r="A762" i="10" s="1"/>
  <c r="A763" i="10" s="1"/>
  <c r="A764" i="10" s="1"/>
  <c r="A765" i="10" s="1"/>
  <c r="A766" i="10" s="1"/>
  <c r="A767" i="10" s="1"/>
  <c r="A768" i="10" s="1"/>
  <c r="A769" i="10" s="1"/>
  <c r="A770" i="10" s="1"/>
  <c r="A771" i="10" s="1"/>
  <c r="A772" i="10" s="1"/>
  <c r="A773" i="10" s="1"/>
  <c r="A774" i="10" s="1"/>
  <c r="A775" i="10" s="1"/>
  <c r="A776" i="10" s="1"/>
  <c r="A777" i="10" s="1"/>
  <c r="A778" i="10" s="1"/>
  <c r="A779" i="10" s="1"/>
  <c r="A780" i="10" s="1"/>
  <c r="A781" i="10" s="1"/>
  <c r="A782" i="10" s="1"/>
  <c r="A783" i="10" s="1"/>
  <c r="A784" i="10" s="1"/>
  <c r="A785" i="10" s="1"/>
  <c r="A786" i="10" s="1"/>
  <c r="A787" i="10" s="1"/>
  <c r="A788" i="10" s="1"/>
  <c r="A789" i="10" s="1"/>
  <c r="A790" i="10" s="1"/>
  <c r="A791" i="10" s="1"/>
  <c r="A792" i="10" s="1"/>
  <c r="A793" i="10" s="1"/>
  <c r="A794" i="10" s="1"/>
  <c r="A795" i="10" s="1"/>
  <c r="A796" i="10" s="1"/>
  <c r="A797" i="10" s="1"/>
  <c r="A798" i="10" s="1"/>
  <c r="A799" i="10" s="1"/>
  <c r="A800" i="10" s="1"/>
  <c r="A801" i="10" s="1"/>
  <c r="A802" i="10" s="1"/>
  <c r="A686" i="10"/>
  <c r="A687" i="10" s="1"/>
  <c r="A688" i="10" s="1"/>
  <c r="A689" i="10" s="1"/>
  <c r="A690" i="10" s="1"/>
  <c r="A691" i="10" s="1"/>
  <c r="A692" i="10" s="1"/>
  <c r="A693" i="10" s="1"/>
  <c r="A694" i="10" s="1"/>
  <c r="A695" i="10" s="1"/>
  <c r="A696" i="10" s="1"/>
  <c r="A697" i="10" s="1"/>
  <c r="A698" i="10" s="1"/>
  <c r="A699" i="10" s="1"/>
  <c r="A700" i="10" s="1"/>
  <c r="A701" i="10" s="1"/>
  <c r="A702" i="10" s="1"/>
  <c r="A703" i="10" s="1"/>
  <c r="A704" i="10" s="1"/>
  <c r="A705" i="10" s="1"/>
  <c r="A706" i="10" s="1"/>
  <c r="A707" i="10" s="1"/>
  <c r="A708" i="10" s="1"/>
  <c r="A709" i="10" s="1"/>
  <c r="A710" i="10" s="1"/>
  <c r="A711" i="10" s="1"/>
  <c r="A712" i="10" s="1"/>
  <c r="A713" i="10" s="1"/>
  <c r="A714" i="10" s="1"/>
  <c r="A715" i="10" s="1"/>
  <c r="A716" i="10" s="1"/>
  <c r="A717" i="10" s="1"/>
  <c r="A718" i="10" s="1"/>
  <c r="A719" i="10" s="1"/>
  <c r="A720" i="10" s="1"/>
  <c r="A721" i="10" s="1"/>
  <c r="A722" i="10" s="1"/>
  <c r="A723" i="10" s="1"/>
  <c r="A724" i="10" s="1"/>
  <c r="A725" i="10" s="1"/>
  <c r="A726" i="10" s="1"/>
  <c r="A727" i="10" s="1"/>
  <c r="A728" i="10" s="1"/>
  <c r="A612" i="10"/>
  <c r="A613" i="10" s="1"/>
  <c r="A614" i="10" s="1"/>
  <c r="A615" i="10" s="1"/>
  <c r="A616" i="10" s="1"/>
  <c r="A617" i="10" s="1"/>
  <c r="A618" i="10" s="1"/>
  <c r="A619" i="10" s="1"/>
  <c r="A620" i="10" s="1"/>
  <c r="A621" i="10" s="1"/>
  <c r="A622" i="10" s="1"/>
  <c r="A623" i="10" s="1"/>
  <c r="A624" i="10" s="1"/>
  <c r="A625" i="10" s="1"/>
  <c r="A626" i="10" s="1"/>
  <c r="A627" i="10" s="1"/>
  <c r="A628" i="10" s="1"/>
  <c r="A629" i="10" s="1"/>
  <c r="A630" i="10" s="1"/>
  <c r="A631" i="10" s="1"/>
  <c r="A632" i="10" s="1"/>
  <c r="A633" i="10" s="1"/>
  <c r="A634" i="10" s="1"/>
  <c r="A635" i="10" s="1"/>
  <c r="A636" i="10" s="1"/>
  <c r="A637" i="10" s="1"/>
  <c r="A638" i="10" s="1"/>
  <c r="A639" i="10" s="1"/>
  <c r="A640" i="10" s="1"/>
  <c r="A641" i="10" s="1"/>
  <c r="A642" i="10" s="1"/>
  <c r="A643" i="10" s="1"/>
  <c r="A644" i="10" s="1"/>
  <c r="A645" i="10" s="1"/>
  <c r="A646" i="10" s="1"/>
  <c r="A647" i="10" s="1"/>
  <c r="A648" i="10" s="1"/>
  <c r="A649" i="10" s="1"/>
  <c r="A650" i="10" s="1"/>
  <c r="A651" i="10" s="1"/>
  <c r="A652" i="10" s="1"/>
  <c r="A653" i="10" s="1"/>
  <c r="A654" i="10" s="1"/>
  <c r="A538" i="10"/>
  <c r="A539" i="10" s="1"/>
  <c r="A540" i="10" s="1"/>
  <c r="A541" i="10" s="1"/>
  <c r="A542" i="10" s="1"/>
  <c r="A543" i="10" s="1"/>
  <c r="A544" i="10" s="1"/>
  <c r="A545" i="10" s="1"/>
  <c r="A546" i="10" s="1"/>
  <c r="A547" i="10" s="1"/>
  <c r="A548" i="10" s="1"/>
  <c r="A549" i="10" s="1"/>
  <c r="A550" i="10" s="1"/>
  <c r="A551" i="10" s="1"/>
  <c r="A552" i="10" s="1"/>
  <c r="A553" i="10" s="1"/>
  <c r="A554" i="10" s="1"/>
  <c r="A555" i="10" s="1"/>
  <c r="A556" i="10" s="1"/>
  <c r="A557" i="10" s="1"/>
  <c r="A558" i="10" s="1"/>
  <c r="A559" i="10" s="1"/>
  <c r="A560" i="10" s="1"/>
  <c r="A561" i="10" s="1"/>
  <c r="A562" i="10" s="1"/>
  <c r="A563" i="10" s="1"/>
  <c r="A564" i="10" s="1"/>
  <c r="A565" i="10" s="1"/>
  <c r="A566" i="10" s="1"/>
  <c r="A567" i="10" s="1"/>
  <c r="A568" i="10" s="1"/>
  <c r="A569" i="10" s="1"/>
  <c r="A570" i="10" s="1"/>
  <c r="A571" i="10" s="1"/>
  <c r="A572" i="10" s="1"/>
  <c r="A573" i="10" s="1"/>
  <c r="A574" i="10" s="1"/>
  <c r="A575" i="10" s="1"/>
  <c r="A576" i="10" s="1"/>
  <c r="A577" i="10" s="1"/>
  <c r="A578" i="10" s="1"/>
  <c r="A579" i="10" s="1"/>
  <c r="A580" i="10" s="1"/>
  <c r="A464" i="10"/>
  <c r="A465" i="10" s="1"/>
  <c r="A466" i="10" s="1"/>
  <c r="A467" i="10" s="1"/>
  <c r="A468" i="10" s="1"/>
  <c r="A469" i="10" s="1"/>
  <c r="A470" i="10" s="1"/>
  <c r="A471" i="10" s="1"/>
  <c r="A472" i="10" s="1"/>
  <c r="A473" i="10" s="1"/>
  <c r="A474" i="10" s="1"/>
  <c r="A475" i="10" s="1"/>
  <c r="A476" i="10" s="1"/>
  <c r="A477" i="10" s="1"/>
  <c r="A478" i="10" s="1"/>
  <c r="A479" i="10" s="1"/>
  <c r="A480" i="10" s="1"/>
  <c r="A481" i="10" s="1"/>
  <c r="A482" i="10" s="1"/>
  <c r="A483" i="10" s="1"/>
  <c r="A484" i="10" s="1"/>
  <c r="A485" i="10" s="1"/>
  <c r="A486" i="10" s="1"/>
  <c r="A487" i="10" s="1"/>
  <c r="A488" i="10" s="1"/>
  <c r="A489" i="10" s="1"/>
  <c r="A490" i="10" s="1"/>
  <c r="A491" i="10" s="1"/>
  <c r="A492" i="10" s="1"/>
  <c r="A493" i="10" s="1"/>
  <c r="A494" i="10" s="1"/>
  <c r="A495" i="10" s="1"/>
  <c r="A496" i="10" s="1"/>
  <c r="A497" i="10" s="1"/>
  <c r="A498" i="10" s="1"/>
  <c r="A499" i="10" s="1"/>
  <c r="A500" i="10" s="1"/>
  <c r="A501" i="10" s="1"/>
  <c r="A502" i="10" s="1"/>
  <c r="A503" i="10" s="1"/>
  <c r="A504" i="10" s="1"/>
  <c r="A505" i="10" s="1"/>
  <c r="A506" i="10" s="1"/>
  <c r="A390" i="10"/>
  <c r="A391" i="10" s="1"/>
  <c r="A392" i="10" s="1"/>
  <c r="A393" i="10" s="1"/>
  <c r="A394" i="10" s="1"/>
  <c r="A395" i="10" s="1"/>
  <c r="A396" i="10" s="1"/>
  <c r="A397" i="10" s="1"/>
  <c r="A398" i="10" s="1"/>
  <c r="A399" i="10" s="1"/>
  <c r="A400" i="10" s="1"/>
  <c r="A401" i="10" s="1"/>
  <c r="A402" i="10" s="1"/>
  <c r="A403" i="10" s="1"/>
  <c r="A404" i="10" s="1"/>
  <c r="A405" i="10" s="1"/>
  <c r="A406" i="10" s="1"/>
  <c r="A407" i="10" s="1"/>
  <c r="A408" i="10" s="1"/>
  <c r="A409" i="10" s="1"/>
  <c r="A410" i="10" s="1"/>
  <c r="A411" i="10" s="1"/>
  <c r="A412" i="10" s="1"/>
  <c r="A413" i="10" s="1"/>
  <c r="A414" i="10" s="1"/>
  <c r="A415" i="10" s="1"/>
  <c r="A416" i="10" s="1"/>
  <c r="A417" i="10" s="1"/>
  <c r="A418" i="10" s="1"/>
  <c r="A419" i="10" s="1"/>
  <c r="A420" i="10" s="1"/>
  <c r="A421" i="10" s="1"/>
  <c r="A422" i="10" s="1"/>
  <c r="A423" i="10" s="1"/>
  <c r="A424" i="10" s="1"/>
  <c r="A425" i="10" s="1"/>
  <c r="A426" i="10" s="1"/>
  <c r="A427" i="10" s="1"/>
  <c r="A428" i="10" s="1"/>
  <c r="A429" i="10" s="1"/>
  <c r="A430" i="10" s="1"/>
  <c r="A431" i="10" s="1"/>
  <c r="A432" i="10" s="1"/>
  <c r="A316" i="10"/>
  <c r="A317" i="10" s="1"/>
  <c r="A318" i="10" s="1"/>
  <c r="A319" i="10" s="1"/>
  <c r="A320" i="10" s="1"/>
  <c r="A321" i="10" s="1"/>
  <c r="A322" i="10" s="1"/>
  <c r="A323" i="10" s="1"/>
  <c r="A324" i="10" s="1"/>
  <c r="A325" i="10" s="1"/>
  <c r="A326" i="10" s="1"/>
  <c r="A327" i="10" s="1"/>
  <c r="A328" i="10" s="1"/>
  <c r="A329" i="10" s="1"/>
  <c r="A330" i="10" s="1"/>
  <c r="A331" i="10" s="1"/>
  <c r="A332" i="10" s="1"/>
  <c r="A333" i="10" s="1"/>
  <c r="A334" i="10" s="1"/>
  <c r="A335" i="10" s="1"/>
  <c r="A336" i="10" s="1"/>
  <c r="A337" i="10" s="1"/>
  <c r="A338" i="10" s="1"/>
  <c r="A339" i="10" s="1"/>
  <c r="A340" i="10" s="1"/>
  <c r="A341" i="10" s="1"/>
  <c r="A342" i="10" s="1"/>
  <c r="A343" i="10" s="1"/>
  <c r="A344" i="10" s="1"/>
  <c r="A345" i="10" s="1"/>
  <c r="A346" i="10" s="1"/>
  <c r="A347" i="10" s="1"/>
  <c r="A348" i="10" s="1"/>
  <c r="A349" i="10" s="1"/>
  <c r="A350" i="10" s="1"/>
  <c r="A351" i="10" s="1"/>
  <c r="A352" i="10" s="1"/>
  <c r="A353" i="10" s="1"/>
  <c r="A354" i="10" s="1"/>
  <c r="A355" i="10" s="1"/>
  <c r="A356" i="10" s="1"/>
  <c r="A357" i="10" s="1"/>
  <c r="A358" i="10" s="1"/>
  <c r="A241" i="10"/>
  <c r="A242" i="10" s="1"/>
  <c r="A243" i="10" s="1"/>
  <c r="A244" i="10" s="1"/>
  <c r="A245" i="10" s="1"/>
  <c r="A246" i="10" s="1"/>
  <c r="A247" i="10" s="1"/>
  <c r="A248" i="10" s="1"/>
  <c r="A249" i="10" s="1"/>
  <c r="A250" i="10" s="1"/>
  <c r="A251" i="10" s="1"/>
  <c r="A252" i="10" s="1"/>
  <c r="A253" i="10" s="1"/>
  <c r="A254" i="10" s="1"/>
  <c r="A255" i="10" s="1"/>
  <c r="A256" i="10" s="1"/>
  <c r="A257" i="10" s="1"/>
  <c r="A258" i="10" s="1"/>
  <c r="A259" i="10" s="1"/>
  <c r="A260" i="10" s="1"/>
  <c r="A261" i="10" s="1"/>
  <c r="A262" i="10" s="1"/>
  <c r="A263" i="10" s="1"/>
  <c r="A264" i="10" s="1"/>
  <c r="A265" i="10" s="1"/>
  <c r="A266" i="10" s="1"/>
  <c r="A267" i="10" s="1"/>
  <c r="A268" i="10" s="1"/>
  <c r="A269" i="10" s="1"/>
  <c r="A270" i="10" s="1"/>
  <c r="A271" i="10" s="1"/>
  <c r="A272" i="10" s="1"/>
  <c r="A273" i="10" s="1"/>
  <c r="A274" i="10" s="1"/>
  <c r="A275" i="10" s="1"/>
  <c r="A276" i="10" s="1"/>
  <c r="A277" i="10" s="1"/>
  <c r="A278" i="10" s="1"/>
  <c r="A279" i="10" s="1"/>
  <c r="A280" i="10" s="1"/>
  <c r="A281" i="10" s="1"/>
  <c r="A282" i="10" s="1"/>
  <c r="A283" i="10" s="1"/>
  <c r="A167" i="10"/>
  <c r="A168" i="10" s="1"/>
  <c r="A169" i="10" s="1"/>
  <c r="A170" i="10" s="1"/>
  <c r="A171" i="10" s="1"/>
  <c r="A172" i="10" s="1"/>
  <c r="A173" i="10" s="1"/>
  <c r="A174" i="10" s="1"/>
  <c r="A175" i="10" s="1"/>
  <c r="A176" i="10" s="1"/>
  <c r="A177" i="10" s="1"/>
  <c r="A178" i="10" s="1"/>
  <c r="A179" i="10" s="1"/>
  <c r="A180" i="10" s="1"/>
  <c r="A181" i="10" s="1"/>
  <c r="A182" i="10" s="1"/>
  <c r="A183" i="10" s="1"/>
  <c r="A184" i="10" s="1"/>
  <c r="A185" i="10" s="1"/>
  <c r="A186" i="10" s="1"/>
  <c r="A187" i="10" s="1"/>
  <c r="A188" i="10" s="1"/>
  <c r="A189" i="10" s="1"/>
  <c r="A190" i="10" s="1"/>
  <c r="A191" i="10" s="1"/>
  <c r="A192" i="10" s="1"/>
  <c r="A193" i="10" s="1"/>
  <c r="A194" i="10" s="1"/>
  <c r="A195" i="10" s="1"/>
  <c r="A196" i="10" s="1"/>
  <c r="A197" i="10" s="1"/>
  <c r="A198" i="10" s="1"/>
  <c r="A199" i="10" s="1"/>
  <c r="A200" i="10" s="1"/>
  <c r="A201" i="10" s="1"/>
  <c r="A202" i="10" s="1"/>
  <c r="A203" i="10" s="1"/>
  <c r="A204" i="10" s="1"/>
  <c r="A205" i="10" s="1"/>
  <c r="A206" i="10" s="1"/>
  <c r="A207" i="10" s="1"/>
  <c r="A208" i="10" s="1"/>
  <c r="A209" i="10" s="1"/>
  <c r="A93" i="10"/>
  <c r="A94" i="10" s="1"/>
  <c r="A95" i="10" s="1"/>
  <c r="A96" i="10" s="1"/>
  <c r="A97" i="10" s="1"/>
  <c r="A98" i="10" s="1"/>
  <c r="A99" i="10" s="1"/>
  <c r="A100" i="10" s="1"/>
  <c r="A101" i="10" s="1"/>
  <c r="A102" i="10" s="1"/>
  <c r="A103" i="10" s="1"/>
  <c r="A104" i="10" s="1"/>
  <c r="A105" i="10" s="1"/>
  <c r="A106" i="10" s="1"/>
  <c r="A107" i="10" s="1"/>
  <c r="A108" i="10" s="1"/>
  <c r="A109" i="10" s="1"/>
  <c r="A110" i="10" s="1"/>
  <c r="A111" i="10" s="1"/>
  <c r="A112" i="10" s="1"/>
  <c r="A113" i="10" s="1"/>
  <c r="A114" i="10" s="1"/>
  <c r="A115" i="10" s="1"/>
  <c r="A116" i="10" s="1"/>
  <c r="A117" i="10" s="1"/>
  <c r="A118" i="10" s="1"/>
  <c r="A119" i="10" s="1"/>
  <c r="A120" i="10" s="1"/>
  <c r="A121" i="10" s="1"/>
  <c r="A122" i="10" s="1"/>
  <c r="A123" i="10" s="1"/>
  <c r="A124" i="10" s="1"/>
  <c r="A125" i="10" s="1"/>
  <c r="A126" i="10" s="1"/>
  <c r="A127" i="10" s="1"/>
  <c r="A128" i="10" s="1"/>
  <c r="A129" i="10" s="1"/>
  <c r="A130" i="10" s="1"/>
  <c r="A131" i="10" s="1"/>
  <c r="A132" i="10" s="1"/>
  <c r="A133" i="10" s="1"/>
  <c r="A134" i="10" s="1"/>
  <c r="A135" i="10" s="1"/>
  <c r="A18" i="10"/>
  <c r="A19" i="10" s="1"/>
  <c r="A20" i="10" s="1"/>
  <c r="A21" i="10" s="1"/>
  <c r="A22" i="10" s="1"/>
  <c r="A23" i="10" s="1"/>
  <c r="A24" i="10" s="1"/>
  <c r="A25" i="10" s="1"/>
  <c r="A26" i="10" s="1"/>
  <c r="A27" i="10" s="1"/>
  <c r="A28" i="10" s="1"/>
  <c r="A29" i="10" s="1"/>
  <c r="A30" i="10" s="1"/>
  <c r="A31" i="10" s="1"/>
  <c r="A32" i="10" s="1"/>
  <c r="A33" i="10" s="1"/>
  <c r="A34" i="10" s="1"/>
  <c r="A35" i="10" s="1"/>
  <c r="A36" i="10" s="1"/>
  <c r="A37" i="10" s="1"/>
  <c r="A38" i="10" s="1"/>
  <c r="A39" i="10" s="1"/>
  <c r="A40" i="10" s="1"/>
  <c r="A41" i="10" s="1"/>
  <c r="A42" i="10" s="1"/>
  <c r="A43" i="10" s="1"/>
  <c r="A44" i="10" s="1"/>
  <c r="A45" i="10" s="1"/>
  <c r="A46" i="10" s="1"/>
  <c r="A47" i="10" s="1"/>
  <c r="A48" i="10" s="1"/>
  <c r="A49" i="10" s="1"/>
  <c r="A50" i="10" s="1"/>
  <c r="A51" i="10" s="1"/>
  <c r="A52" i="10" s="1"/>
  <c r="A53" i="10" s="1"/>
  <c r="A54" i="10" s="1"/>
  <c r="A55" i="10" s="1"/>
  <c r="A56" i="10" s="1"/>
  <c r="A57" i="10" s="1"/>
  <c r="A58" i="10" s="1"/>
  <c r="A59" i="10" s="1"/>
  <c r="A60" i="10" s="1"/>
  <c r="A1055" i="9"/>
  <c r="A1056" i="9" s="1"/>
  <c r="A1057" i="9" s="1"/>
  <c r="A1058" i="9" s="1"/>
  <c r="A1059" i="9" s="1"/>
  <c r="A1060" i="9" s="1"/>
  <c r="A1061" i="9" s="1"/>
  <c r="A1062" i="9" s="1"/>
  <c r="A1063" i="9" s="1"/>
  <c r="A1064" i="9" s="1"/>
  <c r="A1065" i="9" s="1"/>
  <c r="A1066" i="9" s="1"/>
  <c r="A1067" i="9" s="1"/>
  <c r="A1068" i="9" s="1"/>
  <c r="A1069" i="9" s="1"/>
  <c r="A1070" i="9" s="1"/>
  <c r="A1071" i="9" s="1"/>
  <c r="A1072" i="9" s="1"/>
  <c r="A1073" i="9" s="1"/>
  <c r="A1074" i="9" s="1"/>
  <c r="A1075" i="9" s="1"/>
  <c r="A1076" i="9" s="1"/>
  <c r="A1077" i="9" s="1"/>
  <c r="A1078" i="9" s="1"/>
  <c r="A1079" i="9" s="1"/>
  <c r="A1080" i="9" s="1"/>
  <c r="A1081" i="9" s="1"/>
  <c r="A1082" i="9" s="1"/>
  <c r="A1083" i="9" s="1"/>
  <c r="A1084" i="9" s="1"/>
  <c r="A1085" i="9" s="1"/>
  <c r="A1086" i="9" s="1"/>
  <c r="A1087" i="9" s="1"/>
  <c r="A1088" i="9" s="1"/>
  <c r="A1089" i="9" s="1"/>
  <c r="A1090" i="9" s="1"/>
  <c r="A1091" i="9" s="1"/>
  <c r="A1092" i="9" s="1"/>
  <c r="A1093" i="9" s="1"/>
  <c r="A1094" i="9" s="1"/>
  <c r="A1095" i="9" s="1"/>
  <c r="A1096" i="9" s="1"/>
  <c r="A1097" i="9" s="1"/>
  <c r="A981" i="9"/>
  <c r="A982" i="9" s="1"/>
  <c r="A983" i="9" s="1"/>
  <c r="A984" i="9" s="1"/>
  <c r="A985" i="9" s="1"/>
  <c r="A986" i="9" s="1"/>
  <c r="A987" i="9" s="1"/>
  <c r="A988" i="9" s="1"/>
  <c r="A989" i="9" s="1"/>
  <c r="A990" i="9" s="1"/>
  <c r="A991" i="9" s="1"/>
  <c r="A992" i="9" s="1"/>
  <c r="A993" i="9" s="1"/>
  <c r="A994" i="9" s="1"/>
  <c r="A995" i="9" s="1"/>
  <c r="A996" i="9" s="1"/>
  <c r="A997" i="9" s="1"/>
  <c r="A998" i="9" s="1"/>
  <c r="A999" i="9" s="1"/>
  <c r="A1000" i="9" s="1"/>
  <c r="A1001" i="9" s="1"/>
  <c r="A1002" i="9" s="1"/>
  <c r="A1003" i="9" s="1"/>
  <c r="A1004" i="9" s="1"/>
  <c r="A1005" i="9" s="1"/>
  <c r="A1006" i="9" s="1"/>
  <c r="A1007" i="9" s="1"/>
  <c r="A1008" i="9" s="1"/>
  <c r="A1009" i="9" s="1"/>
  <c r="A1010" i="9" s="1"/>
  <c r="A1011" i="9" s="1"/>
  <c r="A1012" i="9" s="1"/>
  <c r="A1013" i="9" s="1"/>
  <c r="A1014" i="9" s="1"/>
  <c r="A1015" i="9" s="1"/>
  <c r="A1016" i="9" s="1"/>
  <c r="A1017" i="9" s="1"/>
  <c r="A1018" i="9" s="1"/>
  <c r="A1019" i="9" s="1"/>
  <c r="A1020" i="9" s="1"/>
  <c r="A1021" i="9" s="1"/>
  <c r="A1022" i="9" s="1"/>
  <c r="A1023" i="9" s="1"/>
  <c r="A907" i="9"/>
  <c r="A908" i="9" s="1"/>
  <c r="A909" i="9" s="1"/>
  <c r="A910" i="9" s="1"/>
  <c r="A911" i="9" s="1"/>
  <c r="A912" i="9" s="1"/>
  <c r="A913" i="9" s="1"/>
  <c r="A914" i="9" s="1"/>
  <c r="A915" i="9" s="1"/>
  <c r="A916" i="9" s="1"/>
  <c r="A917" i="9" s="1"/>
  <c r="A918" i="9" s="1"/>
  <c r="A919" i="9" s="1"/>
  <c r="A920" i="9" s="1"/>
  <c r="A921" i="9" s="1"/>
  <c r="A922" i="9" s="1"/>
  <c r="A923" i="9" s="1"/>
  <c r="A924" i="9" s="1"/>
  <c r="A925" i="9" s="1"/>
  <c r="A926" i="9" s="1"/>
  <c r="A927" i="9" s="1"/>
  <c r="A928" i="9" s="1"/>
  <c r="A929" i="9" s="1"/>
  <c r="A930" i="9" s="1"/>
  <c r="A931" i="9" s="1"/>
  <c r="A932" i="9" s="1"/>
  <c r="A933" i="9" s="1"/>
  <c r="A934" i="9" s="1"/>
  <c r="A935" i="9" s="1"/>
  <c r="A936" i="9" s="1"/>
  <c r="A937" i="9" s="1"/>
  <c r="A938" i="9" s="1"/>
  <c r="A939" i="9" s="1"/>
  <c r="A940" i="9" s="1"/>
  <c r="A941" i="9" s="1"/>
  <c r="A942" i="9" s="1"/>
  <c r="A943" i="9" s="1"/>
  <c r="A944" i="9" s="1"/>
  <c r="A945" i="9" s="1"/>
  <c r="A946" i="9" s="1"/>
  <c r="A947" i="9" s="1"/>
  <c r="A948" i="9" s="1"/>
  <c r="A949" i="9" s="1"/>
  <c r="A833" i="9"/>
  <c r="A834" i="9" s="1"/>
  <c r="A835" i="9" s="1"/>
  <c r="A836" i="9" s="1"/>
  <c r="A837" i="9" s="1"/>
  <c r="A838" i="9" s="1"/>
  <c r="A839" i="9" s="1"/>
  <c r="A840" i="9" s="1"/>
  <c r="A841" i="9" s="1"/>
  <c r="A842" i="9" s="1"/>
  <c r="A843" i="9" s="1"/>
  <c r="A844" i="9" s="1"/>
  <c r="A845" i="9" s="1"/>
  <c r="A846" i="9" s="1"/>
  <c r="A847" i="9" s="1"/>
  <c r="A848" i="9" s="1"/>
  <c r="A849" i="9" s="1"/>
  <c r="A850" i="9" s="1"/>
  <c r="A851" i="9" s="1"/>
  <c r="A852" i="9" s="1"/>
  <c r="A853" i="9" s="1"/>
  <c r="A854" i="9" s="1"/>
  <c r="A855" i="9" s="1"/>
  <c r="A856" i="9" s="1"/>
  <c r="A857" i="9" s="1"/>
  <c r="A858" i="9" s="1"/>
  <c r="A859" i="9" s="1"/>
  <c r="A860" i="9" s="1"/>
  <c r="A861" i="9" s="1"/>
  <c r="A862" i="9" s="1"/>
  <c r="A863" i="9" s="1"/>
  <c r="A864" i="9" s="1"/>
  <c r="A865" i="9" s="1"/>
  <c r="A866" i="9" s="1"/>
  <c r="A867" i="9" s="1"/>
  <c r="A868" i="9" s="1"/>
  <c r="A869" i="9" s="1"/>
  <c r="A870" i="9" s="1"/>
  <c r="A871" i="9" s="1"/>
  <c r="A872" i="9" s="1"/>
  <c r="A873" i="9" s="1"/>
  <c r="A874" i="9" s="1"/>
  <c r="A875" i="9" s="1"/>
  <c r="A759" i="9"/>
  <c r="A760" i="9" s="1"/>
  <c r="A761" i="9" s="1"/>
  <c r="A762" i="9" s="1"/>
  <c r="A763" i="9" s="1"/>
  <c r="A764" i="9" s="1"/>
  <c r="A765" i="9" s="1"/>
  <c r="A766" i="9" s="1"/>
  <c r="A767" i="9" s="1"/>
  <c r="A768" i="9" s="1"/>
  <c r="A769" i="9" s="1"/>
  <c r="A770" i="9" s="1"/>
  <c r="A771" i="9" s="1"/>
  <c r="A772" i="9" s="1"/>
  <c r="A773" i="9" s="1"/>
  <c r="A774" i="9" s="1"/>
  <c r="A775" i="9" s="1"/>
  <c r="A776" i="9" s="1"/>
  <c r="A777" i="9" s="1"/>
  <c r="A778" i="9" s="1"/>
  <c r="A779" i="9" s="1"/>
  <c r="A780" i="9" s="1"/>
  <c r="A781" i="9" s="1"/>
  <c r="A782" i="9" s="1"/>
  <c r="A783" i="9" s="1"/>
  <c r="A784" i="9" s="1"/>
  <c r="A785" i="9" s="1"/>
  <c r="A786" i="9" s="1"/>
  <c r="A787" i="9" s="1"/>
  <c r="A788" i="9" s="1"/>
  <c r="A789" i="9" s="1"/>
  <c r="A790" i="9" s="1"/>
  <c r="A791" i="9" s="1"/>
  <c r="A792" i="9" s="1"/>
  <c r="A793" i="9" s="1"/>
  <c r="A794" i="9" s="1"/>
  <c r="A795" i="9" s="1"/>
  <c r="A796" i="9" s="1"/>
  <c r="A797" i="9" s="1"/>
  <c r="A798" i="9" s="1"/>
  <c r="A799" i="9" s="1"/>
  <c r="A800" i="9" s="1"/>
  <c r="A801" i="9" s="1"/>
  <c r="A686" i="9"/>
  <c r="A687" i="9" s="1"/>
  <c r="A688" i="9" s="1"/>
  <c r="A689" i="9" s="1"/>
  <c r="A690" i="9" s="1"/>
  <c r="A691" i="9" s="1"/>
  <c r="A692" i="9" s="1"/>
  <c r="A693" i="9" s="1"/>
  <c r="A694" i="9" s="1"/>
  <c r="A695" i="9" s="1"/>
  <c r="A696" i="9" s="1"/>
  <c r="A697" i="9" s="1"/>
  <c r="A698" i="9" s="1"/>
  <c r="A699" i="9" s="1"/>
  <c r="A700" i="9" s="1"/>
  <c r="A701" i="9" s="1"/>
  <c r="A702" i="9" s="1"/>
  <c r="A703" i="9" s="1"/>
  <c r="A704" i="9" s="1"/>
  <c r="A705" i="9" s="1"/>
  <c r="A706" i="9" s="1"/>
  <c r="A707" i="9" s="1"/>
  <c r="A708" i="9" s="1"/>
  <c r="A709" i="9" s="1"/>
  <c r="A710" i="9" s="1"/>
  <c r="A711" i="9" s="1"/>
  <c r="A712" i="9" s="1"/>
  <c r="A713" i="9" s="1"/>
  <c r="A714" i="9" s="1"/>
  <c r="A715" i="9" s="1"/>
  <c r="A716" i="9" s="1"/>
  <c r="A717" i="9" s="1"/>
  <c r="A718" i="9" s="1"/>
  <c r="A719" i="9" s="1"/>
  <c r="A720" i="9" s="1"/>
  <c r="A721" i="9" s="1"/>
  <c r="A722" i="9" s="1"/>
  <c r="A723" i="9" s="1"/>
  <c r="A724" i="9" s="1"/>
  <c r="A725" i="9" s="1"/>
  <c r="A726" i="9" s="1"/>
  <c r="A727" i="9" s="1"/>
  <c r="A685" i="9"/>
  <c r="A611" i="9"/>
  <c r="A612" i="9" s="1"/>
  <c r="A613" i="9" s="1"/>
  <c r="A614" i="9" s="1"/>
  <c r="A615" i="9" s="1"/>
  <c r="A616" i="9" s="1"/>
  <c r="A617" i="9" s="1"/>
  <c r="A618" i="9" s="1"/>
  <c r="A619" i="9" s="1"/>
  <c r="A620" i="9" s="1"/>
  <c r="A621" i="9" s="1"/>
  <c r="A622" i="9" s="1"/>
  <c r="A623" i="9" s="1"/>
  <c r="A624" i="9" s="1"/>
  <c r="A625" i="9" s="1"/>
  <c r="A626" i="9" s="1"/>
  <c r="A627" i="9" s="1"/>
  <c r="A628" i="9" s="1"/>
  <c r="A629" i="9" s="1"/>
  <c r="A630" i="9" s="1"/>
  <c r="A631" i="9" s="1"/>
  <c r="A632" i="9" s="1"/>
  <c r="A633" i="9" s="1"/>
  <c r="A634" i="9" s="1"/>
  <c r="A635" i="9" s="1"/>
  <c r="A636" i="9" s="1"/>
  <c r="A637" i="9" s="1"/>
  <c r="A638" i="9" s="1"/>
  <c r="A639" i="9" s="1"/>
  <c r="A640" i="9" s="1"/>
  <c r="A641" i="9" s="1"/>
  <c r="A642" i="9" s="1"/>
  <c r="A643" i="9" s="1"/>
  <c r="A644" i="9" s="1"/>
  <c r="A645" i="9" s="1"/>
  <c r="A646" i="9" s="1"/>
  <c r="A647" i="9" s="1"/>
  <c r="A648" i="9" s="1"/>
  <c r="A649" i="9" s="1"/>
  <c r="A650" i="9" s="1"/>
  <c r="A651" i="9" s="1"/>
  <c r="A652" i="9" s="1"/>
  <c r="A653" i="9" s="1"/>
  <c r="A537" i="9"/>
  <c r="A538" i="9" s="1"/>
  <c r="A539" i="9" s="1"/>
  <c r="A540" i="9" s="1"/>
  <c r="A541" i="9" s="1"/>
  <c r="A542" i="9" s="1"/>
  <c r="A543" i="9" s="1"/>
  <c r="A544" i="9" s="1"/>
  <c r="A545" i="9" s="1"/>
  <c r="A546" i="9" s="1"/>
  <c r="A547" i="9" s="1"/>
  <c r="A548" i="9" s="1"/>
  <c r="A549" i="9" s="1"/>
  <c r="A550" i="9" s="1"/>
  <c r="A551" i="9" s="1"/>
  <c r="A552" i="9" s="1"/>
  <c r="A553" i="9" s="1"/>
  <c r="A554" i="9" s="1"/>
  <c r="A555" i="9" s="1"/>
  <c r="A556" i="9" s="1"/>
  <c r="A557" i="9" s="1"/>
  <c r="A558" i="9" s="1"/>
  <c r="A559" i="9" s="1"/>
  <c r="A560" i="9" s="1"/>
  <c r="A561" i="9" s="1"/>
  <c r="A562" i="9" s="1"/>
  <c r="A563" i="9" s="1"/>
  <c r="A564" i="9" s="1"/>
  <c r="A565" i="9" s="1"/>
  <c r="A566" i="9" s="1"/>
  <c r="A567" i="9" s="1"/>
  <c r="A568" i="9" s="1"/>
  <c r="A569" i="9" s="1"/>
  <c r="A570" i="9" s="1"/>
  <c r="A571" i="9" s="1"/>
  <c r="A572" i="9" s="1"/>
  <c r="A573" i="9" s="1"/>
  <c r="A574" i="9" s="1"/>
  <c r="A575" i="9" s="1"/>
  <c r="A576" i="9" s="1"/>
  <c r="A577" i="9" s="1"/>
  <c r="A578" i="9" s="1"/>
  <c r="A579" i="9" s="1"/>
  <c r="A463" i="9"/>
  <c r="A464" i="9" s="1"/>
  <c r="A465" i="9" s="1"/>
  <c r="A466" i="9" s="1"/>
  <c r="A467" i="9" s="1"/>
  <c r="A468" i="9" s="1"/>
  <c r="A469" i="9" s="1"/>
  <c r="A470" i="9" s="1"/>
  <c r="A471" i="9" s="1"/>
  <c r="A472" i="9" s="1"/>
  <c r="A473" i="9" s="1"/>
  <c r="A474" i="9" s="1"/>
  <c r="A475" i="9" s="1"/>
  <c r="A476" i="9" s="1"/>
  <c r="A477" i="9" s="1"/>
  <c r="A478" i="9" s="1"/>
  <c r="A479" i="9" s="1"/>
  <c r="A480" i="9" s="1"/>
  <c r="A481" i="9" s="1"/>
  <c r="A482" i="9" s="1"/>
  <c r="A483" i="9" s="1"/>
  <c r="A484" i="9" s="1"/>
  <c r="A485" i="9" s="1"/>
  <c r="A486" i="9" s="1"/>
  <c r="A487" i="9" s="1"/>
  <c r="A488" i="9" s="1"/>
  <c r="A489" i="9" s="1"/>
  <c r="A490" i="9" s="1"/>
  <c r="A491" i="9" s="1"/>
  <c r="A492" i="9" s="1"/>
  <c r="A493" i="9" s="1"/>
  <c r="A494" i="9" s="1"/>
  <c r="A495" i="9" s="1"/>
  <c r="A496" i="9" s="1"/>
  <c r="A497" i="9" s="1"/>
  <c r="A498" i="9" s="1"/>
  <c r="A499" i="9" s="1"/>
  <c r="A500" i="9" s="1"/>
  <c r="A501" i="9" s="1"/>
  <c r="A502" i="9" s="1"/>
  <c r="A503" i="9" s="1"/>
  <c r="A504" i="9" s="1"/>
  <c r="A505" i="9" s="1"/>
  <c r="A389" i="9"/>
  <c r="A390" i="9" s="1"/>
  <c r="A391" i="9" s="1"/>
  <c r="A392" i="9" s="1"/>
  <c r="A393" i="9" s="1"/>
  <c r="A394" i="9" s="1"/>
  <c r="A395" i="9" s="1"/>
  <c r="A396" i="9" s="1"/>
  <c r="A397" i="9" s="1"/>
  <c r="A398" i="9" s="1"/>
  <c r="A399" i="9" s="1"/>
  <c r="A400" i="9" s="1"/>
  <c r="A401" i="9" s="1"/>
  <c r="A402" i="9" s="1"/>
  <c r="A403" i="9" s="1"/>
  <c r="A404" i="9" s="1"/>
  <c r="A405" i="9" s="1"/>
  <c r="A406" i="9" s="1"/>
  <c r="A407" i="9" s="1"/>
  <c r="A408" i="9" s="1"/>
  <c r="A409" i="9" s="1"/>
  <c r="A410" i="9" s="1"/>
  <c r="A411" i="9" s="1"/>
  <c r="A412" i="9" s="1"/>
  <c r="A413" i="9" s="1"/>
  <c r="A414" i="9" s="1"/>
  <c r="A415" i="9" s="1"/>
  <c r="A416" i="9" s="1"/>
  <c r="A417" i="9" s="1"/>
  <c r="A418" i="9" s="1"/>
  <c r="A419" i="9" s="1"/>
  <c r="A420" i="9" s="1"/>
  <c r="A421" i="9" s="1"/>
  <c r="A422" i="9" s="1"/>
  <c r="A423" i="9" s="1"/>
  <c r="A424" i="9" s="1"/>
  <c r="A425" i="9" s="1"/>
  <c r="A426" i="9" s="1"/>
  <c r="A427" i="9" s="1"/>
  <c r="A428" i="9" s="1"/>
  <c r="A429" i="9" s="1"/>
  <c r="A430" i="9" s="1"/>
  <c r="A431" i="9" s="1"/>
  <c r="A315" i="9"/>
  <c r="A316" i="9" s="1"/>
  <c r="A317" i="9" s="1"/>
  <c r="A318" i="9" s="1"/>
  <c r="A319" i="9" s="1"/>
  <c r="A320" i="9" s="1"/>
  <c r="A321" i="9" s="1"/>
  <c r="A322" i="9" s="1"/>
  <c r="A323" i="9" s="1"/>
  <c r="A324" i="9" s="1"/>
  <c r="A325" i="9" s="1"/>
  <c r="A326" i="9" s="1"/>
  <c r="A327" i="9" s="1"/>
  <c r="A328" i="9" s="1"/>
  <c r="A329" i="9" s="1"/>
  <c r="A330" i="9" s="1"/>
  <c r="A331" i="9" s="1"/>
  <c r="A332" i="9" s="1"/>
  <c r="A333" i="9" s="1"/>
  <c r="A334" i="9" s="1"/>
  <c r="A335" i="9" s="1"/>
  <c r="A336" i="9" s="1"/>
  <c r="A337" i="9" s="1"/>
  <c r="A338" i="9" s="1"/>
  <c r="A339" i="9" s="1"/>
  <c r="A340" i="9" s="1"/>
  <c r="A341" i="9" s="1"/>
  <c r="A342" i="9" s="1"/>
  <c r="A343" i="9" s="1"/>
  <c r="A344" i="9" s="1"/>
  <c r="A345" i="9" s="1"/>
  <c r="A346" i="9" s="1"/>
  <c r="A347" i="9" s="1"/>
  <c r="A348" i="9" s="1"/>
  <c r="A349" i="9" s="1"/>
  <c r="A350" i="9" s="1"/>
  <c r="A351" i="9" s="1"/>
  <c r="A352" i="9" s="1"/>
  <c r="A353" i="9" s="1"/>
  <c r="A354" i="9" s="1"/>
  <c r="A355" i="9" s="1"/>
  <c r="A356" i="9" s="1"/>
  <c r="A357" i="9" s="1"/>
  <c r="A240" i="9"/>
  <c r="A241" i="9" s="1"/>
  <c r="A242" i="9" s="1"/>
  <c r="A243" i="9" s="1"/>
  <c r="A244" i="9" s="1"/>
  <c r="A245" i="9" s="1"/>
  <c r="A246" i="9" s="1"/>
  <c r="A247" i="9" s="1"/>
  <c r="A248" i="9" s="1"/>
  <c r="A249" i="9" s="1"/>
  <c r="A250" i="9" s="1"/>
  <c r="A251" i="9" s="1"/>
  <c r="A252" i="9" s="1"/>
  <c r="A253" i="9" s="1"/>
  <c r="A254" i="9" s="1"/>
  <c r="A255" i="9" s="1"/>
  <c r="A256" i="9" s="1"/>
  <c r="A257" i="9" s="1"/>
  <c r="A258" i="9" s="1"/>
  <c r="A259" i="9" s="1"/>
  <c r="A260" i="9" s="1"/>
  <c r="A261" i="9" s="1"/>
  <c r="A262" i="9" s="1"/>
  <c r="A263" i="9" s="1"/>
  <c r="A264" i="9" s="1"/>
  <c r="A265" i="9" s="1"/>
  <c r="A266" i="9" s="1"/>
  <c r="A267" i="9" s="1"/>
  <c r="A268" i="9" s="1"/>
  <c r="A269" i="9" s="1"/>
  <c r="A270" i="9" s="1"/>
  <c r="A271" i="9" s="1"/>
  <c r="A272" i="9" s="1"/>
  <c r="A273" i="9" s="1"/>
  <c r="A274" i="9" s="1"/>
  <c r="A275" i="9" s="1"/>
  <c r="A276" i="9" s="1"/>
  <c r="A277" i="9" s="1"/>
  <c r="A278" i="9" s="1"/>
  <c r="A279" i="9" s="1"/>
  <c r="A280" i="9" s="1"/>
  <c r="A281" i="9" s="1"/>
  <c r="A282" i="9" s="1"/>
  <c r="A166" i="9"/>
  <c r="A167" i="9" s="1"/>
  <c r="A168" i="9" s="1"/>
  <c r="A169" i="9" s="1"/>
  <c r="A170" i="9" s="1"/>
  <c r="A171" i="9" s="1"/>
  <c r="A172" i="9" s="1"/>
  <c r="A173" i="9" s="1"/>
  <c r="A174" i="9" s="1"/>
  <c r="A175" i="9" s="1"/>
  <c r="A176" i="9" s="1"/>
  <c r="A177" i="9" s="1"/>
  <c r="A178" i="9" s="1"/>
  <c r="A179" i="9" s="1"/>
  <c r="A180" i="9" s="1"/>
  <c r="A181" i="9" s="1"/>
  <c r="A182" i="9" s="1"/>
  <c r="A183" i="9" s="1"/>
  <c r="A184" i="9" s="1"/>
  <c r="A185" i="9" s="1"/>
  <c r="A186" i="9" s="1"/>
  <c r="A187" i="9" s="1"/>
  <c r="A188" i="9" s="1"/>
  <c r="A189" i="9" s="1"/>
  <c r="A190" i="9" s="1"/>
  <c r="A191" i="9" s="1"/>
  <c r="A192" i="9" s="1"/>
  <c r="A193" i="9" s="1"/>
  <c r="A194" i="9" s="1"/>
  <c r="A195" i="9" s="1"/>
  <c r="A196" i="9" s="1"/>
  <c r="A197" i="9" s="1"/>
  <c r="A198" i="9" s="1"/>
  <c r="A199" i="9" s="1"/>
  <c r="A200" i="9" s="1"/>
  <c r="A201" i="9" s="1"/>
  <c r="A202" i="9" s="1"/>
  <c r="A203" i="9" s="1"/>
  <c r="A204" i="9" s="1"/>
  <c r="A205" i="9" s="1"/>
  <c r="A206" i="9" s="1"/>
  <c r="A207" i="9" s="1"/>
  <c r="A208" i="9" s="1"/>
  <c r="A92" i="9"/>
  <c r="A93" i="9" s="1"/>
  <c r="A94" i="9" s="1"/>
  <c r="A95" i="9" s="1"/>
  <c r="A96" i="9" s="1"/>
  <c r="A97" i="9" s="1"/>
  <c r="A98" i="9" s="1"/>
  <c r="A99" i="9" s="1"/>
  <c r="A100" i="9" s="1"/>
  <c r="A101" i="9" s="1"/>
  <c r="A102" i="9" s="1"/>
  <c r="A103" i="9" s="1"/>
  <c r="A104" i="9" s="1"/>
  <c r="A105" i="9" s="1"/>
  <c r="A106" i="9" s="1"/>
  <c r="A107" i="9" s="1"/>
  <c r="A108" i="9" s="1"/>
  <c r="A109" i="9" s="1"/>
  <c r="A110" i="9" s="1"/>
  <c r="A111" i="9" s="1"/>
  <c r="A112" i="9" s="1"/>
  <c r="A113" i="9" s="1"/>
  <c r="A114" i="9" s="1"/>
  <c r="A115" i="9" s="1"/>
  <c r="A116" i="9" s="1"/>
  <c r="A117" i="9" s="1"/>
  <c r="A118" i="9" s="1"/>
  <c r="A119" i="9" s="1"/>
  <c r="A120" i="9" s="1"/>
  <c r="A121" i="9" s="1"/>
  <c r="A122" i="9" s="1"/>
  <c r="A123" i="9" s="1"/>
  <c r="A124" i="9" s="1"/>
  <c r="A125" i="9" s="1"/>
  <c r="A126" i="9" s="1"/>
  <c r="A127" i="9" s="1"/>
  <c r="A128" i="9" s="1"/>
  <c r="A129" i="9" s="1"/>
  <c r="A130" i="9" s="1"/>
  <c r="A131" i="9" s="1"/>
  <c r="A132" i="9" s="1"/>
  <c r="A133" i="9" s="1"/>
  <c r="A134" i="9" s="1"/>
  <c r="A19" i="9"/>
  <c r="E19" i="12" s="1"/>
  <c r="T628" i="1"/>
  <c r="S634" i="1"/>
  <c r="U630" i="1"/>
  <c r="T630" i="1"/>
  <c r="R638" i="1"/>
  <c r="N635" i="1"/>
  <c r="N668" i="1"/>
  <c r="G102" i="5"/>
  <c r="D628" i="8"/>
  <c r="M688" i="8"/>
  <c r="E688" i="8"/>
  <c r="M687" i="8"/>
  <c r="E687" i="8"/>
  <c r="M686" i="8"/>
  <c r="E686" i="8"/>
  <c r="L685" i="8"/>
  <c r="D685" i="8"/>
  <c r="M677" i="8"/>
  <c r="M676" i="8"/>
  <c r="M675" i="8"/>
  <c r="K669" i="8"/>
  <c r="D669" i="8"/>
  <c r="L669" i="8" s="1"/>
  <c r="K668" i="8"/>
  <c r="D668" i="8"/>
  <c r="L668" i="8" s="1"/>
  <c r="K667" i="8"/>
  <c r="D667" i="8"/>
  <c r="L667" i="8" s="1"/>
  <c r="K666" i="8"/>
  <c r="D666" i="8"/>
  <c r="L666" i="8" s="1"/>
  <c r="M666" i="8" s="1"/>
  <c r="P666" i="8" s="1"/>
  <c r="K665" i="8"/>
  <c r="D665" i="8"/>
  <c r="L665" i="8" s="1"/>
  <c r="M665" i="8" s="1"/>
  <c r="P665" i="8" s="1"/>
  <c r="N661" i="8"/>
  <c r="P661" i="8" s="1"/>
  <c r="M661" i="8"/>
  <c r="D661" i="8"/>
  <c r="N660" i="8"/>
  <c r="P660" i="8" s="1"/>
  <c r="M660" i="8"/>
  <c r="D660" i="8"/>
  <c r="N659" i="8"/>
  <c r="P659" i="8" s="1"/>
  <c r="M659" i="8"/>
  <c r="D659" i="8"/>
  <c r="N658" i="8"/>
  <c r="P658" i="8" s="1"/>
  <c r="M658" i="8"/>
  <c r="D658" i="8"/>
  <c r="N653" i="8"/>
  <c r="P653" i="8" s="1"/>
  <c r="L653" i="8"/>
  <c r="D653" i="8"/>
  <c r="N652" i="8"/>
  <c r="P652" i="8" s="1"/>
  <c r="L652" i="8"/>
  <c r="D652" i="8"/>
  <c r="N651" i="8"/>
  <c r="P651" i="8" s="1"/>
  <c r="L651" i="8"/>
  <c r="D651" i="8"/>
  <c r="N650" i="8"/>
  <c r="P650" i="8" s="1"/>
  <c r="L650" i="8"/>
  <c r="D650" i="8"/>
  <c r="N649" i="8"/>
  <c r="P649" i="8" s="1"/>
  <c r="L649" i="8"/>
  <c r="D649" i="8"/>
  <c r="N648" i="8"/>
  <c r="P648" i="8" s="1"/>
  <c r="L648" i="8"/>
  <c r="D648" i="8"/>
  <c r="N647" i="8"/>
  <c r="P647" i="8" s="1"/>
  <c r="L647" i="8"/>
  <c r="D647" i="8"/>
  <c r="N646" i="8"/>
  <c r="P646" i="8" s="1"/>
  <c r="L646" i="8"/>
  <c r="D646" i="8"/>
  <c r="N645" i="8"/>
  <c r="P645" i="8" s="1"/>
  <c r="L645" i="8"/>
  <c r="D645" i="8"/>
  <c r="N644" i="8"/>
  <c r="P644" i="8" s="1"/>
  <c r="L644" i="8"/>
  <c r="D644" i="8"/>
  <c r="K636" i="8"/>
  <c r="D636" i="8"/>
  <c r="K635" i="8"/>
  <c r="D635" i="8"/>
  <c r="M635" i="8" s="1"/>
  <c r="K634" i="8"/>
  <c r="D634" i="8"/>
  <c r="A632" i="8"/>
  <c r="A633" i="8" s="1"/>
  <c r="A634" i="8" s="1"/>
  <c r="A635" i="8" s="1"/>
  <c r="A636" i="8" s="1"/>
  <c r="A637" i="8" s="1"/>
  <c r="A638" i="8" s="1"/>
  <c r="A639" i="8" s="1"/>
  <c r="A640" i="8" s="1"/>
  <c r="A641" i="8" s="1"/>
  <c r="A642" i="8" s="1"/>
  <c r="A643" i="8" s="1"/>
  <c r="A644" i="8" s="1"/>
  <c r="A645" i="8" s="1"/>
  <c r="A646" i="8" s="1"/>
  <c r="A647" i="8" s="1"/>
  <c r="A648" i="8" s="1"/>
  <c r="A649" i="8" s="1"/>
  <c r="A650" i="8" s="1"/>
  <c r="A651" i="8" s="1"/>
  <c r="A652" i="8" s="1"/>
  <c r="A653" i="8" s="1"/>
  <c r="A654" i="8" s="1"/>
  <c r="A655" i="8" s="1"/>
  <c r="A656" i="8" s="1"/>
  <c r="A657" i="8" s="1"/>
  <c r="A658" i="8" s="1"/>
  <c r="A659" i="8" s="1"/>
  <c r="A660" i="8" s="1"/>
  <c r="A661" i="8" s="1"/>
  <c r="A662" i="8" s="1"/>
  <c r="A663" i="8" s="1"/>
  <c r="A664" i="8" s="1"/>
  <c r="A665" i="8" s="1"/>
  <c r="A666" i="8" s="1"/>
  <c r="A667" i="8" s="1"/>
  <c r="A668" i="8" s="1"/>
  <c r="A669" i="8" s="1"/>
  <c r="A670" i="8" s="1"/>
  <c r="A671" i="8" s="1"/>
  <c r="M631" i="8"/>
  <c r="P631" i="8" s="1"/>
  <c r="A631" i="8"/>
  <c r="N628" i="8"/>
  <c r="P621" i="8"/>
  <c r="O621" i="8"/>
  <c r="N621" i="8"/>
  <c r="P617" i="8"/>
  <c r="N617" i="8"/>
  <c r="O614" i="8"/>
  <c r="H608" i="8"/>
  <c r="G608" i="8"/>
  <c r="E608" i="8"/>
  <c r="D607" i="8"/>
  <c r="P530" i="8"/>
  <c r="P443" i="8"/>
  <c r="P357" i="8"/>
  <c r="P270" i="8"/>
  <c r="P184" i="8"/>
  <c r="P99" i="8"/>
  <c r="P13" i="8"/>
  <c r="M122" i="5"/>
  <c r="P185" i="1" s="1"/>
  <c r="F19" i="12" l="1"/>
  <c r="A20" i="9"/>
  <c r="M668" i="8"/>
  <c r="P668" i="8" s="1"/>
  <c r="M669" i="8"/>
  <c r="P669" i="8" s="1"/>
  <c r="P655" i="8"/>
  <c r="P662" i="8"/>
  <c r="M667" i="8"/>
  <c r="P667" i="8" s="1"/>
  <c r="P635" i="8"/>
  <c r="N654" i="8"/>
  <c r="P654" i="8" s="1"/>
  <c r="M636" i="8"/>
  <c r="P636" i="8" s="1"/>
  <c r="M634" i="8"/>
  <c r="P634" i="8" s="1"/>
  <c r="E628" i="8"/>
  <c r="P184" i="7"/>
  <c r="P270" i="7"/>
  <c r="P1134" i="7"/>
  <c r="P532" i="1"/>
  <c r="P184" i="6"/>
  <c r="P615" i="6"/>
  <c r="P619" i="1"/>
  <c r="P701" i="6"/>
  <c r="P1567" i="6"/>
  <c r="P706" i="1"/>
  <c r="P1048" i="6"/>
  <c r="P788" i="6"/>
  <c r="P792" i="1"/>
  <c r="P444" i="7"/>
  <c r="P962" i="6"/>
  <c r="P963" i="1"/>
  <c r="P1049" i="1"/>
  <c r="P1134" i="6"/>
  <c r="P701" i="7"/>
  <c r="P1136" i="1"/>
  <c r="P1219" i="6"/>
  <c r="P788" i="7"/>
  <c r="P357" i="7"/>
  <c r="P875" i="6"/>
  <c r="P878" i="1"/>
  <c r="P530" i="7"/>
  <c r="P615" i="7"/>
  <c r="P1223" i="1"/>
  <c r="P1305" i="6"/>
  <c r="P875" i="7"/>
  <c r="P13" i="6"/>
  <c r="P1392" i="6"/>
  <c r="P962" i="7"/>
  <c r="P99" i="6"/>
  <c r="P1479" i="6"/>
  <c r="P1048" i="7"/>
  <c r="P270" i="6"/>
  <c r="P1654" i="6"/>
  <c r="P1219" i="7"/>
  <c r="P272" i="1"/>
  <c r="P357" i="6"/>
  <c r="P1741" i="6"/>
  <c r="P1305" i="7"/>
  <c r="P359" i="1"/>
  <c r="P444" i="6"/>
  <c r="P13" i="7"/>
  <c r="P1392" i="7"/>
  <c r="P445" i="1"/>
  <c r="P530" i="6"/>
  <c r="P99" i="7"/>
  <c r="P1479" i="7"/>
  <c r="P99" i="1"/>
  <c r="P13" i="1"/>
  <c r="A21" i="9" l="1"/>
  <c r="F20" i="12"/>
  <c r="E20" i="12"/>
  <c r="P637" i="8"/>
  <c r="P672" i="8" s="1"/>
  <c r="P670" i="8"/>
  <c r="A22" i="9" l="1"/>
  <c r="F21" i="12"/>
  <c r="E21" i="12"/>
  <c r="N676" i="8"/>
  <c r="N675" i="8"/>
  <c r="N677" i="8"/>
  <c r="A23" i="9" l="1"/>
  <c r="F22" i="12"/>
  <c r="E22" i="12"/>
  <c r="P678" i="8"/>
  <c r="P680" i="8" s="1"/>
  <c r="R628" i="8" s="1"/>
  <c r="A24" i="9" l="1"/>
  <c r="A25" i="9" s="1"/>
  <c r="F23" i="12"/>
  <c r="E23" i="12"/>
  <c r="P140" i="1"/>
  <c r="R1021" i="9"/>
  <c r="R1016" i="9"/>
  <c r="R1005" i="9"/>
  <c r="R996" i="9"/>
  <c r="H140" i="5"/>
  <c r="AF998" i="9"/>
  <c r="R997" i="9"/>
  <c r="X1874" i="11"/>
  <c r="X1912" i="11"/>
  <c r="M1881" i="11"/>
  <c r="M1882" i="11"/>
  <c r="M1883" i="11"/>
  <c r="M1884" i="11"/>
  <c r="M1890" i="11"/>
  <c r="M1891" i="11"/>
  <c r="M1892" i="11"/>
  <c r="M1893" i="11"/>
  <c r="M1894" i="11"/>
  <c r="M1895" i="11"/>
  <c r="M1896" i="11"/>
  <c r="M1897" i="11"/>
  <c r="M1898" i="11"/>
  <c r="M1899" i="11"/>
  <c r="M1900" i="11"/>
  <c r="M1901" i="11"/>
  <c r="M1902" i="11"/>
  <c r="M1903" i="11"/>
  <c r="M1904" i="11"/>
  <c r="M1905" i="11"/>
  <c r="M1906" i="11"/>
  <c r="M1907" i="11"/>
  <c r="M1909" i="11"/>
  <c r="M1910" i="11"/>
  <c r="M1913" i="11"/>
  <c r="M1914" i="11"/>
  <c r="M1879" i="11"/>
  <c r="M1880" i="11"/>
  <c r="M1875" i="11"/>
  <c r="M1878" i="11"/>
  <c r="N1879" i="11"/>
  <c r="N1880" i="11"/>
  <c r="N1881" i="11"/>
  <c r="N1882" i="11"/>
  <c r="N1883" i="11"/>
  <c r="N1884" i="11"/>
  <c r="N1890" i="11"/>
  <c r="N1891" i="11"/>
  <c r="S1891" i="11" s="1"/>
  <c r="R1891" i="11" s="1"/>
  <c r="N1892" i="11"/>
  <c r="S1892" i="11" s="1"/>
  <c r="R1892" i="11" s="1"/>
  <c r="N1893" i="11"/>
  <c r="N1894" i="11"/>
  <c r="S1894" i="11" s="1"/>
  <c r="R1894" i="11" s="1"/>
  <c r="N1895" i="11"/>
  <c r="N1896" i="11"/>
  <c r="N1897" i="11"/>
  <c r="N1898" i="11"/>
  <c r="N1899" i="11"/>
  <c r="N1900" i="11"/>
  <c r="N1901" i="11"/>
  <c r="N1902" i="11"/>
  <c r="N1903" i="11"/>
  <c r="N1904" i="11"/>
  <c r="N1905" i="11"/>
  <c r="N1906" i="11"/>
  <c r="N1907" i="11"/>
  <c r="S1907" i="11" s="1"/>
  <c r="R1907" i="11" s="1"/>
  <c r="N1909" i="11"/>
  <c r="N1910" i="11"/>
  <c r="S1910" i="11" s="1"/>
  <c r="R1910" i="11" s="1"/>
  <c r="N1913" i="11"/>
  <c r="N1914" i="11"/>
  <c r="N1872" i="11"/>
  <c r="N1875" i="11"/>
  <c r="N1878" i="11"/>
  <c r="AA1880" i="11"/>
  <c r="AA1875" i="11"/>
  <c r="AA1878" i="11"/>
  <c r="Y1879" i="11"/>
  <c r="Z1879" i="11"/>
  <c r="Y1881" i="11"/>
  <c r="Z1881" i="11"/>
  <c r="Y1882" i="11"/>
  <c r="Z1882" i="11"/>
  <c r="Y1883" i="11"/>
  <c r="Z1883" i="11"/>
  <c r="Y1884" i="11"/>
  <c r="Z1884" i="11"/>
  <c r="Y1890" i="11"/>
  <c r="Z1890" i="11"/>
  <c r="Y1891" i="11"/>
  <c r="Z1891" i="11"/>
  <c r="Y1892" i="11"/>
  <c r="Z1892" i="11"/>
  <c r="Y1893" i="11"/>
  <c r="Z1893" i="11"/>
  <c r="Y1894" i="11"/>
  <c r="Z1894" i="11"/>
  <c r="Y1895" i="11"/>
  <c r="Z1895" i="11"/>
  <c r="Y1896" i="11"/>
  <c r="Z1896" i="11"/>
  <c r="Y1897" i="11"/>
  <c r="Z1897" i="11"/>
  <c r="Y1898" i="11"/>
  <c r="Z1898" i="11"/>
  <c r="Y1899" i="11"/>
  <c r="Z1899" i="11"/>
  <c r="Y1900" i="11"/>
  <c r="Z1900" i="11"/>
  <c r="Y1901" i="11"/>
  <c r="Z1901" i="11"/>
  <c r="Y1902" i="11"/>
  <c r="Z1902" i="11"/>
  <c r="Y1903" i="11"/>
  <c r="Z1903" i="11"/>
  <c r="Y1904" i="11"/>
  <c r="Z1904" i="11"/>
  <c r="Y1905" i="11"/>
  <c r="Z1905" i="11"/>
  <c r="Y1906" i="11"/>
  <c r="Z1906" i="11"/>
  <c r="Y1907" i="11"/>
  <c r="Z1907" i="11"/>
  <c r="Y1909" i="11"/>
  <c r="Z1909" i="11"/>
  <c r="Y1910" i="11"/>
  <c r="Z1910" i="11"/>
  <c r="Y1913" i="11"/>
  <c r="Z1913" i="11"/>
  <c r="Y1914" i="11"/>
  <c r="Z1914" i="11"/>
  <c r="Z1872" i="11"/>
  <c r="X1878" i="11"/>
  <c r="X1880" i="11"/>
  <c r="Z1915" i="11"/>
  <c r="S1905" i="11"/>
  <c r="R1905" i="11" s="1"/>
  <c r="S1904" i="11"/>
  <c r="R1904" i="11" s="1"/>
  <c r="S1902" i="11"/>
  <c r="R1902" i="11" s="1"/>
  <c r="S1900" i="11"/>
  <c r="R1900" i="11" s="1"/>
  <c r="S1884" i="11"/>
  <c r="R1884" i="11" s="1"/>
  <c r="S1901" i="11"/>
  <c r="R1901" i="11" s="1"/>
  <c r="S1903" i="11"/>
  <c r="R1903" i="11" s="1"/>
  <c r="Y1872" i="11"/>
  <c r="AE1873" i="11"/>
  <c r="AF1873" i="11" s="1"/>
  <c r="Y1873" i="11" s="1"/>
  <c r="AE1874" i="11"/>
  <c r="AF1874" i="11"/>
  <c r="Y1874" i="11" s="1"/>
  <c r="M1874" i="11" s="1"/>
  <c r="AE1880" i="11"/>
  <c r="AF1880" i="11" s="1"/>
  <c r="AE1881" i="11"/>
  <c r="AF1881" i="11" s="1"/>
  <c r="AE1882" i="11"/>
  <c r="AF1882" i="11"/>
  <c r="AE1883" i="11"/>
  <c r="AF1883" i="11" s="1"/>
  <c r="AE1884" i="11"/>
  <c r="AF1884" i="11" s="1"/>
  <c r="AE1888" i="11"/>
  <c r="AF1888" i="11" s="1"/>
  <c r="Y1888" i="11" s="1"/>
  <c r="M1888" i="11" s="1"/>
  <c r="AE1891" i="11"/>
  <c r="AF1891" i="11" s="1"/>
  <c r="AE1892" i="11"/>
  <c r="AF1892" i="11" s="1"/>
  <c r="AE1893" i="11"/>
  <c r="AF1893" i="11" s="1"/>
  <c r="AE1897" i="11"/>
  <c r="AF1897" i="11" s="1"/>
  <c r="AE1899" i="11"/>
  <c r="AF1899" i="11" s="1"/>
  <c r="AE1900" i="11"/>
  <c r="AF1900" i="11"/>
  <c r="AE1901" i="11"/>
  <c r="AF1901" i="11" s="1"/>
  <c r="AE1902" i="11"/>
  <c r="AF1902" i="11" s="1"/>
  <c r="AE1910" i="11"/>
  <c r="AF1910" i="11" s="1"/>
  <c r="AE1914" i="11"/>
  <c r="AF1914" i="11" s="1"/>
  <c r="AE1872" i="11"/>
  <c r="AF1872" i="11" s="1"/>
  <c r="AD1914" i="11"/>
  <c r="AD1873" i="11"/>
  <c r="AD1874" i="11"/>
  <c r="AD1875" i="11"/>
  <c r="AE1875" i="11" s="1"/>
  <c r="AF1875" i="11" s="1"/>
  <c r="Y1875" i="11" s="1"/>
  <c r="AD1876" i="11"/>
  <c r="AE1876" i="11" s="1"/>
  <c r="AF1876" i="11" s="1"/>
  <c r="Y1876" i="11" s="1"/>
  <c r="M1876" i="11" s="1"/>
  <c r="AD1877" i="11"/>
  <c r="AE1877" i="11" s="1"/>
  <c r="AF1877" i="11" s="1"/>
  <c r="Y1877" i="11" s="1"/>
  <c r="M1877" i="11" s="1"/>
  <c r="AD1878" i="11"/>
  <c r="AE1878" i="11" s="1"/>
  <c r="AF1878" i="11" s="1"/>
  <c r="AD1879" i="11"/>
  <c r="AE1879" i="11" s="1"/>
  <c r="AF1879" i="11" s="1"/>
  <c r="AD1880" i="11"/>
  <c r="AD1881" i="11"/>
  <c r="AD1882" i="11"/>
  <c r="AD1883" i="11"/>
  <c r="AD1884" i="11"/>
  <c r="AD1885" i="11"/>
  <c r="AE1885" i="11" s="1"/>
  <c r="AF1885" i="11" s="1"/>
  <c r="Y1885" i="11" s="1"/>
  <c r="M1885" i="11" s="1"/>
  <c r="AD1886" i="11"/>
  <c r="AE1886" i="11" s="1"/>
  <c r="AF1886" i="11" s="1"/>
  <c r="Y1886" i="11" s="1"/>
  <c r="M1886" i="11" s="1"/>
  <c r="AD1887" i="11"/>
  <c r="AE1887" i="11" s="1"/>
  <c r="AF1887" i="11" s="1"/>
  <c r="Y1887" i="11" s="1"/>
  <c r="M1887" i="11" s="1"/>
  <c r="AD1888" i="11"/>
  <c r="AD1889" i="11"/>
  <c r="AE1889" i="11" s="1"/>
  <c r="AF1889" i="11" s="1"/>
  <c r="Y1889" i="11" s="1"/>
  <c r="M1889" i="11" s="1"/>
  <c r="AD1890" i="11"/>
  <c r="AE1890" i="11" s="1"/>
  <c r="AF1890" i="11" s="1"/>
  <c r="AD1891" i="11"/>
  <c r="AD1892" i="11"/>
  <c r="AD1893" i="11"/>
  <c r="AD1894" i="11"/>
  <c r="AE1894" i="11" s="1"/>
  <c r="AF1894" i="11" s="1"/>
  <c r="AD1895" i="11"/>
  <c r="AE1895" i="11" s="1"/>
  <c r="AF1895" i="11" s="1"/>
  <c r="AD1896" i="11"/>
  <c r="AE1896" i="11" s="1"/>
  <c r="AF1896" i="11" s="1"/>
  <c r="AD1897" i="11"/>
  <c r="AD1898" i="11"/>
  <c r="AE1898" i="11" s="1"/>
  <c r="AF1898" i="11" s="1"/>
  <c r="AD1899" i="11"/>
  <c r="AD1900" i="11"/>
  <c r="AD1901" i="11"/>
  <c r="AD1902" i="11"/>
  <c r="AD1903" i="11"/>
  <c r="AE1903" i="11" s="1"/>
  <c r="AF1903" i="11" s="1"/>
  <c r="AD1904" i="11"/>
  <c r="AE1904" i="11" s="1"/>
  <c r="AF1904" i="11" s="1"/>
  <c r="AD1905" i="11"/>
  <c r="AE1905" i="11" s="1"/>
  <c r="AF1905" i="11" s="1"/>
  <c r="AD1906" i="11"/>
  <c r="AE1906" i="11" s="1"/>
  <c r="AF1906" i="11" s="1"/>
  <c r="AD1907" i="11"/>
  <c r="AE1907" i="11" s="1"/>
  <c r="AF1907" i="11" s="1"/>
  <c r="AD1908" i="11"/>
  <c r="AE1908" i="11" s="1"/>
  <c r="AF1908" i="11" s="1"/>
  <c r="Y1908" i="11" s="1"/>
  <c r="M1908" i="11" s="1"/>
  <c r="AD1909" i="11"/>
  <c r="AE1909" i="11" s="1"/>
  <c r="AF1909" i="11" s="1"/>
  <c r="AD1910" i="11"/>
  <c r="AD1911" i="11"/>
  <c r="AE1911" i="11" s="1"/>
  <c r="AF1911" i="11" s="1"/>
  <c r="Y1911" i="11" s="1"/>
  <c r="M1911" i="11" s="1"/>
  <c r="AD1912" i="11"/>
  <c r="AE1912" i="11" s="1"/>
  <c r="AF1912" i="11" s="1"/>
  <c r="M1912" i="11" s="1"/>
  <c r="AD1913" i="11"/>
  <c r="AE1913" i="11" s="1"/>
  <c r="AF1913" i="11" s="1"/>
  <c r="AD1872" i="11"/>
  <c r="S1881" i="11"/>
  <c r="R1881" i="11" s="1"/>
  <c r="S1882" i="11"/>
  <c r="R1882" i="11" s="1"/>
  <c r="S1883" i="11"/>
  <c r="R1883" i="11" s="1"/>
  <c r="S1890" i="11"/>
  <c r="R1890" i="11" s="1"/>
  <c r="S1893" i="11"/>
  <c r="R1893" i="11" s="1"/>
  <c r="S1895" i="11"/>
  <c r="R1895" i="11" s="1"/>
  <c r="S1896" i="11"/>
  <c r="R1896" i="11" s="1"/>
  <c r="S1897" i="11"/>
  <c r="R1897" i="11" s="1"/>
  <c r="S1898" i="11"/>
  <c r="R1898" i="11" s="1"/>
  <c r="S1899" i="11"/>
  <c r="R1899" i="11" s="1"/>
  <c r="S1906" i="11"/>
  <c r="R1906" i="11" s="1"/>
  <c r="S1909" i="11"/>
  <c r="R1909" i="11" s="1"/>
  <c r="S1913" i="11"/>
  <c r="R1913" i="11" s="1"/>
  <c r="S1914" i="11"/>
  <c r="R1914" i="11" s="1"/>
  <c r="S1879" i="11"/>
  <c r="R1879" i="11" s="1"/>
  <c r="S1872" i="11"/>
  <c r="M1872" i="11"/>
  <c r="C1870" i="11"/>
  <c r="D1870" i="11" s="1"/>
  <c r="O38" i="5"/>
  <c r="C1796" i="11"/>
  <c r="D1796" i="11" s="1"/>
  <c r="C1722" i="11"/>
  <c r="F1722" i="11" s="1"/>
  <c r="K1724" i="11" s="1"/>
  <c r="C1648" i="11"/>
  <c r="D1648" i="11" s="1"/>
  <c r="C1574" i="11"/>
  <c r="U1574" i="11" s="1"/>
  <c r="K2000" i="11"/>
  <c r="C2000" i="11"/>
  <c r="X1989" i="11"/>
  <c r="Y1989" i="11" s="1"/>
  <c r="X1988" i="11"/>
  <c r="Y1988" i="11" s="1"/>
  <c r="X1987" i="11"/>
  <c r="Y1987" i="11" s="1"/>
  <c r="X1986" i="11"/>
  <c r="Y1986" i="11" s="1"/>
  <c r="X1985" i="11"/>
  <c r="Y1985" i="11" s="1"/>
  <c r="X1984" i="11"/>
  <c r="Y1984" i="11" s="1"/>
  <c r="X1983" i="11"/>
  <c r="Y1983" i="11" s="1"/>
  <c r="X1982" i="11"/>
  <c r="Y1982" i="11" s="1"/>
  <c r="X1981" i="11"/>
  <c r="Y1981" i="11" s="1"/>
  <c r="X1980" i="11"/>
  <c r="Y1980" i="11" s="1"/>
  <c r="X1979" i="11"/>
  <c r="Y1979" i="11" s="1"/>
  <c r="X1978" i="11"/>
  <c r="Y1978" i="11" s="1"/>
  <c r="X1977" i="11"/>
  <c r="Y1977" i="11" s="1"/>
  <c r="X1976" i="11"/>
  <c r="Y1976" i="11" s="1"/>
  <c r="Y1975" i="11"/>
  <c r="X1975" i="11"/>
  <c r="X1974" i="11"/>
  <c r="Y1974" i="11" s="1"/>
  <c r="X1973" i="11"/>
  <c r="Y1973" i="11" s="1"/>
  <c r="X1972" i="11"/>
  <c r="Y1972" i="11" s="1"/>
  <c r="X1971" i="11"/>
  <c r="Y1971" i="11" s="1"/>
  <c r="X1970" i="11"/>
  <c r="Y1970" i="11" s="1"/>
  <c r="X1969" i="11"/>
  <c r="Y1969" i="11" s="1"/>
  <c r="X1968" i="11"/>
  <c r="Y1968" i="11" s="1"/>
  <c r="X1967" i="11"/>
  <c r="Y1967" i="11" s="1"/>
  <c r="X1966" i="11"/>
  <c r="Y1966" i="11" s="1"/>
  <c r="X1965" i="11"/>
  <c r="Y1965" i="11" s="1"/>
  <c r="X1964" i="11"/>
  <c r="Y1964" i="11" s="1"/>
  <c r="X1963" i="11"/>
  <c r="Y1963" i="11" s="1"/>
  <c r="V1963" i="11"/>
  <c r="X1962" i="11"/>
  <c r="Y1962" i="11" s="1"/>
  <c r="X1961" i="11"/>
  <c r="Y1961" i="11" s="1"/>
  <c r="X1960" i="11"/>
  <c r="Y1960" i="11" s="1"/>
  <c r="X1959" i="11"/>
  <c r="Y1959" i="11" s="1"/>
  <c r="X1958" i="11"/>
  <c r="Y1958" i="11" s="1"/>
  <c r="X1957" i="11"/>
  <c r="Y1957" i="11" s="1"/>
  <c r="X1956" i="11"/>
  <c r="Y1956" i="11" s="1"/>
  <c r="X1955" i="11"/>
  <c r="Y1955" i="11" s="1"/>
  <c r="X1954" i="11"/>
  <c r="Y1954" i="11" s="1"/>
  <c r="X1953" i="11"/>
  <c r="Y1953" i="11" s="1"/>
  <c r="X1952" i="11"/>
  <c r="Y1952" i="11" s="1"/>
  <c r="X1951" i="11"/>
  <c r="Y1951" i="11" s="1"/>
  <c r="X1950" i="11"/>
  <c r="Y1950" i="11" s="1"/>
  <c r="X1949" i="11"/>
  <c r="Y1949" i="11" s="1"/>
  <c r="X1948" i="11"/>
  <c r="Y1948" i="11" s="1"/>
  <c r="X1947" i="11"/>
  <c r="Y1947" i="11" s="1"/>
  <c r="C1945" i="11"/>
  <c r="D1945" i="11" s="1"/>
  <c r="I1940" i="11"/>
  <c r="G1940" i="11"/>
  <c r="E1939" i="11"/>
  <c r="C1934" i="11"/>
  <c r="K1925" i="11"/>
  <c r="C1925" i="11"/>
  <c r="I1865" i="11"/>
  <c r="G1865" i="11"/>
  <c r="E1864" i="11"/>
  <c r="C1859" i="11"/>
  <c r="K1851" i="11"/>
  <c r="C1851" i="11"/>
  <c r="X1840" i="11"/>
  <c r="Y1840" i="11" s="1"/>
  <c r="X1839" i="11"/>
  <c r="Y1839" i="11" s="1"/>
  <c r="X1838" i="11"/>
  <c r="Y1838" i="11" s="1"/>
  <c r="Y1837" i="11"/>
  <c r="X1837" i="11"/>
  <c r="X1836" i="11"/>
  <c r="Y1836" i="11" s="1"/>
  <c r="Y1835" i="11"/>
  <c r="X1835" i="11"/>
  <c r="X1834" i="11"/>
  <c r="Y1834" i="11" s="1"/>
  <c r="X1833" i="11"/>
  <c r="Y1833" i="11" s="1"/>
  <c r="Y1832" i="11"/>
  <c r="X1832" i="11"/>
  <c r="X1831" i="11"/>
  <c r="Y1831" i="11" s="1"/>
  <c r="X1830" i="11"/>
  <c r="Y1830" i="11" s="1"/>
  <c r="X1829" i="11"/>
  <c r="Y1829" i="11" s="1"/>
  <c r="X1828" i="11"/>
  <c r="Y1828" i="11" s="1"/>
  <c r="X1827" i="11"/>
  <c r="Y1827" i="11" s="1"/>
  <c r="X1826" i="11"/>
  <c r="Y1826" i="11" s="1"/>
  <c r="X1825" i="11"/>
  <c r="Y1825" i="11" s="1"/>
  <c r="Y1824" i="11"/>
  <c r="X1824" i="11"/>
  <c r="Y1823" i="11"/>
  <c r="X1823" i="11"/>
  <c r="X1822" i="11"/>
  <c r="Y1822" i="11" s="1"/>
  <c r="X1821" i="11"/>
  <c r="Y1821" i="11" s="1"/>
  <c r="X1820" i="11"/>
  <c r="Y1820" i="11" s="1"/>
  <c r="X1819" i="11"/>
  <c r="Y1819" i="11" s="1"/>
  <c r="X1818" i="11"/>
  <c r="Y1818" i="11" s="1"/>
  <c r="X1817" i="11"/>
  <c r="Y1817" i="11" s="1"/>
  <c r="X1816" i="11"/>
  <c r="Y1816" i="11" s="1"/>
  <c r="X1815" i="11"/>
  <c r="Y1815" i="11" s="1"/>
  <c r="X1814" i="11"/>
  <c r="Y1814" i="11" s="1"/>
  <c r="X1813" i="11"/>
  <c r="Y1813" i="11" s="1"/>
  <c r="X1812" i="11"/>
  <c r="Y1812" i="11" s="1"/>
  <c r="X1811" i="11"/>
  <c r="Y1811" i="11" s="1"/>
  <c r="Y1810" i="11"/>
  <c r="X1810" i="11"/>
  <c r="X1809" i="11"/>
  <c r="Y1809" i="11" s="1"/>
  <c r="X1808" i="11"/>
  <c r="Y1808" i="11" s="1"/>
  <c r="X1807" i="11"/>
  <c r="Y1807" i="11" s="1"/>
  <c r="Y1806" i="11"/>
  <c r="X1806" i="11"/>
  <c r="X1805" i="11"/>
  <c r="Y1805" i="11" s="1"/>
  <c r="X1804" i="11"/>
  <c r="Y1804" i="11" s="1"/>
  <c r="X1803" i="11"/>
  <c r="Y1803" i="11" s="1"/>
  <c r="X1802" i="11"/>
  <c r="Y1802" i="11" s="1"/>
  <c r="X1801" i="11"/>
  <c r="Y1801" i="11" s="1"/>
  <c r="X1800" i="11"/>
  <c r="Y1800" i="11" s="1"/>
  <c r="X1799" i="11"/>
  <c r="Y1799" i="11" s="1"/>
  <c r="I1791" i="11"/>
  <c r="G1791" i="11"/>
  <c r="E1790" i="11"/>
  <c r="C1785" i="11"/>
  <c r="K1777" i="11"/>
  <c r="C1777" i="11"/>
  <c r="I1717" i="11"/>
  <c r="G1717" i="11"/>
  <c r="E1716" i="11"/>
  <c r="C1711" i="11"/>
  <c r="K1703" i="11"/>
  <c r="C1703" i="11"/>
  <c r="I1643" i="11"/>
  <c r="G1643" i="11"/>
  <c r="E1642" i="11"/>
  <c r="C1637" i="11"/>
  <c r="K1629" i="11"/>
  <c r="C1629" i="11"/>
  <c r="X1618" i="11"/>
  <c r="Y1618" i="11" s="1"/>
  <c r="X1617" i="11"/>
  <c r="Y1617" i="11" s="1"/>
  <c r="X1616" i="11"/>
  <c r="Y1616" i="11" s="1"/>
  <c r="X1615" i="11"/>
  <c r="Y1615" i="11" s="1"/>
  <c r="X1614" i="11"/>
  <c r="Y1614" i="11" s="1"/>
  <c r="X1613" i="11"/>
  <c r="Y1613" i="11" s="1"/>
  <c r="X1612" i="11"/>
  <c r="Y1612" i="11" s="1"/>
  <c r="X1611" i="11"/>
  <c r="Y1611" i="11" s="1"/>
  <c r="X1610" i="11"/>
  <c r="Y1610" i="11" s="1"/>
  <c r="X1609" i="11"/>
  <c r="Y1609" i="11" s="1"/>
  <c r="X1608" i="11"/>
  <c r="Y1608" i="11" s="1"/>
  <c r="X1607" i="11"/>
  <c r="Y1607" i="11" s="1"/>
  <c r="X1606" i="11"/>
  <c r="Y1606" i="11" s="1"/>
  <c r="X1605" i="11"/>
  <c r="Y1605" i="11" s="1"/>
  <c r="X1604" i="11"/>
  <c r="Y1604" i="11" s="1"/>
  <c r="X1603" i="11"/>
  <c r="Y1603" i="11" s="1"/>
  <c r="X1602" i="11"/>
  <c r="Y1602" i="11" s="1"/>
  <c r="X1601" i="11"/>
  <c r="Y1601" i="11" s="1"/>
  <c r="X1600" i="11"/>
  <c r="Y1600" i="11" s="1"/>
  <c r="X1599" i="11"/>
  <c r="Y1599" i="11" s="1"/>
  <c r="X1598" i="11"/>
  <c r="Y1598" i="11" s="1"/>
  <c r="X1597" i="11"/>
  <c r="Y1597" i="11" s="1"/>
  <c r="X1596" i="11"/>
  <c r="Y1596" i="11" s="1"/>
  <c r="X1595" i="11"/>
  <c r="Y1595" i="11" s="1"/>
  <c r="X1594" i="11"/>
  <c r="Y1594" i="11" s="1"/>
  <c r="X1593" i="11"/>
  <c r="Y1593" i="11" s="1"/>
  <c r="X1592" i="11"/>
  <c r="Y1592" i="11" s="1"/>
  <c r="X1591" i="11"/>
  <c r="Y1591" i="11" s="1"/>
  <c r="X1590" i="11"/>
  <c r="Y1590" i="11" s="1"/>
  <c r="X1589" i="11"/>
  <c r="Y1589" i="11" s="1"/>
  <c r="X1588" i="11"/>
  <c r="Y1588" i="11" s="1"/>
  <c r="X1587" i="11"/>
  <c r="Y1587" i="11" s="1"/>
  <c r="X1586" i="11"/>
  <c r="Y1586" i="11" s="1"/>
  <c r="X1585" i="11"/>
  <c r="Y1585" i="11" s="1"/>
  <c r="X1584" i="11"/>
  <c r="Y1584" i="11" s="1"/>
  <c r="X1583" i="11"/>
  <c r="Y1583" i="11" s="1"/>
  <c r="X1582" i="11"/>
  <c r="Y1582" i="11" s="1"/>
  <c r="X1581" i="11"/>
  <c r="Y1581" i="11" s="1"/>
  <c r="X1580" i="11"/>
  <c r="Y1580" i="11" s="1"/>
  <c r="X1579" i="11"/>
  <c r="Y1579" i="11" s="1"/>
  <c r="X1578" i="11"/>
  <c r="Y1578" i="11" s="1"/>
  <c r="X1577" i="11"/>
  <c r="Y1577" i="11" s="1"/>
  <c r="X1576" i="11"/>
  <c r="Y1576" i="11" s="1"/>
  <c r="I1569" i="11"/>
  <c r="G1569" i="11"/>
  <c r="E1568" i="11"/>
  <c r="C1563" i="11"/>
  <c r="C1500" i="11"/>
  <c r="U1500" i="11" s="1"/>
  <c r="C1425" i="11"/>
  <c r="C1351" i="11"/>
  <c r="L1214" i="11"/>
  <c r="X1214" i="11" s="1"/>
  <c r="Y1214" i="11" s="1"/>
  <c r="L1219" i="11"/>
  <c r="X1219" i="11" s="1"/>
  <c r="Y1219" i="11" s="1"/>
  <c r="L1220" i="11"/>
  <c r="X1220" i="11" s="1"/>
  <c r="Y1220" i="11" s="1"/>
  <c r="L1227" i="11"/>
  <c r="X1227" i="11" s="1"/>
  <c r="Y1227" i="11" s="1"/>
  <c r="L1228" i="11"/>
  <c r="X1228" i="11" s="1"/>
  <c r="Y1228" i="11" s="1"/>
  <c r="L1230" i="11"/>
  <c r="X1230" i="11" s="1"/>
  <c r="Y1230" i="11" s="1"/>
  <c r="L1232" i="11"/>
  <c r="X1232" i="11" s="1"/>
  <c r="Y1232" i="11" s="1"/>
  <c r="L1237" i="11"/>
  <c r="X1237" i="11" s="1"/>
  <c r="Y1237" i="11" s="1"/>
  <c r="L1239" i="11"/>
  <c r="X1239" i="11" s="1"/>
  <c r="Y1239" i="11" s="1"/>
  <c r="L1241" i="11"/>
  <c r="X1241" i="11" s="1"/>
  <c r="Y1241" i="11" s="1"/>
  <c r="C1276" i="11"/>
  <c r="C1202" i="11"/>
  <c r="C1128" i="11"/>
  <c r="C1054" i="11"/>
  <c r="C980" i="11"/>
  <c r="U980" i="11" s="1"/>
  <c r="X924" i="11"/>
  <c r="Y924" i="11" s="1"/>
  <c r="X940" i="11"/>
  <c r="Y940" i="11" s="1"/>
  <c r="X929" i="11"/>
  <c r="Y929" i="11" s="1"/>
  <c r="C906" i="11"/>
  <c r="U906" i="11" s="1"/>
  <c r="X846" i="11"/>
  <c r="X847" i="11"/>
  <c r="X848" i="11"/>
  <c r="X862" i="11"/>
  <c r="X863" i="11"/>
  <c r="X864" i="11"/>
  <c r="C832" i="11"/>
  <c r="C758" i="11"/>
  <c r="F758" i="11" s="1"/>
  <c r="K760" i="11" s="1"/>
  <c r="P705" i="11"/>
  <c r="X708" i="11"/>
  <c r="Y708" i="11" s="1"/>
  <c r="P715" i="11"/>
  <c r="X724" i="11"/>
  <c r="Y724" i="11" s="1"/>
  <c r="P725" i="11"/>
  <c r="P726" i="11"/>
  <c r="P693" i="11"/>
  <c r="P691" i="11"/>
  <c r="C684" i="11"/>
  <c r="P652" i="11"/>
  <c r="U650" i="11"/>
  <c r="P648" i="11"/>
  <c r="P647" i="11"/>
  <c r="U646" i="11"/>
  <c r="P645" i="11"/>
  <c r="U644" i="11"/>
  <c r="L644" i="11"/>
  <c r="P643" i="11"/>
  <c r="U642" i="11"/>
  <c r="U639" i="11"/>
  <c r="U637" i="11"/>
  <c r="P636" i="11"/>
  <c r="U635" i="11"/>
  <c r="U634" i="11"/>
  <c r="P632" i="11"/>
  <c r="P629" i="11"/>
  <c r="U628" i="11"/>
  <c r="P627" i="11"/>
  <c r="P626" i="11"/>
  <c r="U624" i="11"/>
  <c r="U623" i="11"/>
  <c r="U621" i="11"/>
  <c r="U618" i="11"/>
  <c r="C610" i="11"/>
  <c r="U570" i="11"/>
  <c r="U568" i="11"/>
  <c r="U580" i="11"/>
  <c r="U579" i="11"/>
  <c r="U544" i="11"/>
  <c r="U565" i="11"/>
  <c r="U563" i="11"/>
  <c r="U550" i="11"/>
  <c r="U548" i="11"/>
  <c r="U547" i="11"/>
  <c r="C536" i="11"/>
  <c r="F536" i="11" s="1"/>
  <c r="K538" i="11" s="1"/>
  <c r="U470" i="11"/>
  <c r="U473" i="11"/>
  <c r="U475" i="11"/>
  <c r="U476" i="11"/>
  <c r="U480" i="11"/>
  <c r="U486" i="11"/>
  <c r="U487" i="11"/>
  <c r="U489" i="11"/>
  <c r="U491" i="11"/>
  <c r="U494" i="11"/>
  <c r="U496" i="11"/>
  <c r="U498" i="11"/>
  <c r="U502" i="11"/>
  <c r="P500" i="11"/>
  <c r="P499" i="11"/>
  <c r="P721" i="11" s="1"/>
  <c r="P497" i="11"/>
  <c r="P495" i="11"/>
  <c r="P717" i="11" s="1"/>
  <c r="P490" i="11"/>
  <c r="P712" i="11" s="1"/>
  <c r="P488" i="11"/>
  <c r="P482" i="11"/>
  <c r="P704" i="11" s="1"/>
  <c r="P484" i="11"/>
  <c r="P485" i="11"/>
  <c r="P707" i="11" s="1"/>
  <c r="P481" i="11"/>
  <c r="P703" i="11" s="1"/>
  <c r="P478" i="11"/>
  <c r="P479" i="11"/>
  <c r="P701" i="11" s="1"/>
  <c r="P477" i="11"/>
  <c r="P699" i="11" s="1"/>
  <c r="P472" i="11"/>
  <c r="P694" i="11" s="1"/>
  <c r="P466" i="11"/>
  <c r="P688" i="11" s="1"/>
  <c r="P467" i="11"/>
  <c r="P689" i="11" s="1"/>
  <c r="P468" i="11"/>
  <c r="P690" i="11" s="1"/>
  <c r="L496" i="11"/>
  <c r="X491" i="11"/>
  <c r="X475" i="11"/>
  <c r="C462" i="11"/>
  <c r="U462" i="11" s="1"/>
  <c r="L406" i="11"/>
  <c r="X415" i="11"/>
  <c r="L417" i="11"/>
  <c r="L418" i="11"/>
  <c r="L420" i="11"/>
  <c r="L424" i="11"/>
  <c r="L427" i="11"/>
  <c r="L428" i="11"/>
  <c r="X431" i="11"/>
  <c r="L432" i="11"/>
  <c r="C388" i="11"/>
  <c r="C314" i="11"/>
  <c r="C239" i="11"/>
  <c r="C165" i="11"/>
  <c r="C91" i="11"/>
  <c r="C16" i="11"/>
  <c r="K1555" i="11"/>
  <c r="C1555" i="11"/>
  <c r="X1544" i="11"/>
  <c r="Y1544" i="11" s="1"/>
  <c r="X1543" i="11"/>
  <c r="Y1543" i="11" s="1"/>
  <c r="X1542" i="11"/>
  <c r="Y1542" i="11" s="1"/>
  <c r="X1541" i="11"/>
  <c r="Y1541" i="11" s="1"/>
  <c r="X1540" i="11"/>
  <c r="Y1540" i="11" s="1"/>
  <c r="X1539" i="11"/>
  <c r="Y1539" i="11" s="1"/>
  <c r="X1538" i="11"/>
  <c r="Y1538" i="11" s="1"/>
  <c r="X1537" i="11"/>
  <c r="Y1537" i="11" s="1"/>
  <c r="X1536" i="11"/>
  <c r="Y1536" i="11" s="1"/>
  <c r="X1535" i="11"/>
  <c r="Y1535" i="11" s="1"/>
  <c r="X1534" i="11"/>
  <c r="Y1534" i="11" s="1"/>
  <c r="X1533" i="11"/>
  <c r="Y1533" i="11" s="1"/>
  <c r="X1532" i="11"/>
  <c r="Y1532" i="11" s="1"/>
  <c r="X1531" i="11"/>
  <c r="Y1531" i="11" s="1"/>
  <c r="X1530" i="11"/>
  <c r="Y1530" i="11" s="1"/>
  <c r="X1529" i="11"/>
  <c r="Y1529" i="11" s="1"/>
  <c r="X1528" i="11"/>
  <c r="Y1528" i="11" s="1"/>
  <c r="X1527" i="11"/>
  <c r="Y1527" i="11" s="1"/>
  <c r="X1526" i="11"/>
  <c r="Y1526" i="11" s="1"/>
  <c r="X1525" i="11"/>
  <c r="Y1525" i="11" s="1"/>
  <c r="X1524" i="11"/>
  <c r="Y1524" i="11" s="1"/>
  <c r="X1523" i="11"/>
  <c r="Y1523" i="11" s="1"/>
  <c r="X1522" i="11"/>
  <c r="Y1522" i="11" s="1"/>
  <c r="X1521" i="11"/>
  <c r="Y1521" i="11" s="1"/>
  <c r="X1520" i="11"/>
  <c r="Y1520" i="11" s="1"/>
  <c r="X1519" i="11"/>
  <c r="Y1519" i="11" s="1"/>
  <c r="X1518" i="11"/>
  <c r="Y1518" i="11" s="1"/>
  <c r="V1518" i="11"/>
  <c r="X1517" i="11"/>
  <c r="Y1517" i="11" s="1"/>
  <c r="X1516" i="11"/>
  <c r="Y1516" i="11" s="1"/>
  <c r="X1515" i="11"/>
  <c r="Y1515" i="11" s="1"/>
  <c r="X1514" i="11"/>
  <c r="Y1514" i="11" s="1"/>
  <c r="X1513" i="11"/>
  <c r="Y1513" i="11" s="1"/>
  <c r="X1512" i="11"/>
  <c r="Y1512" i="11" s="1"/>
  <c r="X1511" i="11"/>
  <c r="Y1511" i="11" s="1"/>
  <c r="X1510" i="11"/>
  <c r="Y1510" i="11" s="1"/>
  <c r="X1509" i="11"/>
  <c r="Y1509" i="11" s="1"/>
  <c r="X1508" i="11"/>
  <c r="Y1508" i="11" s="1"/>
  <c r="X1507" i="11"/>
  <c r="Y1507" i="11" s="1"/>
  <c r="X1506" i="11"/>
  <c r="Y1506" i="11" s="1"/>
  <c r="X1505" i="11"/>
  <c r="Y1505" i="11" s="1"/>
  <c r="X1504" i="11"/>
  <c r="Y1504" i="11" s="1"/>
  <c r="X1503" i="11"/>
  <c r="Y1503" i="11" s="1"/>
  <c r="X1502" i="11"/>
  <c r="Y1502" i="11" s="1"/>
  <c r="I1495" i="11"/>
  <c r="G1495" i="11"/>
  <c r="E1494" i="11"/>
  <c r="C1489" i="11"/>
  <c r="K1480" i="11"/>
  <c r="C1480" i="11"/>
  <c r="Y1469" i="11"/>
  <c r="X1469" i="11"/>
  <c r="X1468" i="11"/>
  <c r="Y1468" i="11" s="1"/>
  <c r="X1467" i="11"/>
  <c r="Y1467" i="11" s="1"/>
  <c r="X1466" i="11"/>
  <c r="Y1466" i="11" s="1"/>
  <c r="X1465" i="11"/>
  <c r="Y1465" i="11" s="1"/>
  <c r="X1464" i="11"/>
  <c r="Y1464" i="11" s="1"/>
  <c r="X1463" i="11"/>
  <c r="Y1463" i="11" s="1"/>
  <c r="X1462" i="11"/>
  <c r="Y1462" i="11" s="1"/>
  <c r="X1461" i="11"/>
  <c r="Y1461" i="11" s="1"/>
  <c r="X1460" i="11"/>
  <c r="Y1460" i="11" s="1"/>
  <c r="X1459" i="11"/>
  <c r="Y1459" i="11" s="1"/>
  <c r="X1458" i="11"/>
  <c r="Y1458" i="11" s="1"/>
  <c r="X1457" i="11"/>
  <c r="Y1457" i="11" s="1"/>
  <c r="X1456" i="11"/>
  <c r="Y1456" i="11" s="1"/>
  <c r="X1455" i="11"/>
  <c r="Y1455" i="11" s="1"/>
  <c r="X1454" i="11"/>
  <c r="Y1454" i="11" s="1"/>
  <c r="X1453" i="11"/>
  <c r="Y1453" i="11" s="1"/>
  <c r="X1452" i="11"/>
  <c r="Y1452" i="11" s="1"/>
  <c r="X1451" i="11"/>
  <c r="Y1451" i="11" s="1"/>
  <c r="X1450" i="11"/>
  <c r="Y1450" i="11" s="1"/>
  <c r="X1449" i="11"/>
  <c r="Y1449" i="11" s="1"/>
  <c r="X1448" i="11"/>
  <c r="Y1448" i="11" s="1"/>
  <c r="X1447" i="11"/>
  <c r="Y1447" i="11" s="1"/>
  <c r="X1446" i="11"/>
  <c r="Y1446" i="11" s="1"/>
  <c r="X1445" i="11"/>
  <c r="Y1445" i="11" s="1"/>
  <c r="X1444" i="11"/>
  <c r="Y1444" i="11" s="1"/>
  <c r="X1443" i="11"/>
  <c r="Y1443" i="11" s="1"/>
  <c r="V1443" i="11"/>
  <c r="X1442" i="11"/>
  <c r="Y1442" i="11" s="1"/>
  <c r="X1441" i="11"/>
  <c r="Y1441" i="11" s="1"/>
  <c r="X1440" i="11"/>
  <c r="Y1440" i="11" s="1"/>
  <c r="X1439" i="11"/>
  <c r="Y1439" i="11" s="1"/>
  <c r="X1438" i="11"/>
  <c r="Y1438" i="11" s="1"/>
  <c r="X1437" i="11"/>
  <c r="Y1437" i="11" s="1"/>
  <c r="X1436" i="11"/>
  <c r="Y1436" i="11" s="1"/>
  <c r="X1435" i="11"/>
  <c r="Y1435" i="11" s="1"/>
  <c r="X1434" i="11"/>
  <c r="Y1434" i="11" s="1"/>
  <c r="X1433" i="11"/>
  <c r="Y1433" i="11" s="1"/>
  <c r="X1432" i="11"/>
  <c r="Y1432" i="11" s="1"/>
  <c r="X1431" i="11"/>
  <c r="Y1431" i="11" s="1"/>
  <c r="X1430" i="11"/>
  <c r="Y1430" i="11" s="1"/>
  <c r="X1429" i="11"/>
  <c r="Y1429" i="11" s="1"/>
  <c r="X1428" i="11"/>
  <c r="Y1428" i="11" s="1"/>
  <c r="X1427" i="11"/>
  <c r="Y1427" i="11" s="1"/>
  <c r="I1420" i="11"/>
  <c r="G1420" i="11"/>
  <c r="E1419" i="11"/>
  <c r="C1414" i="11"/>
  <c r="K1406" i="11"/>
  <c r="C1406" i="11"/>
  <c r="X1395" i="11"/>
  <c r="Y1395" i="11" s="1"/>
  <c r="X1394" i="11"/>
  <c r="Y1394" i="11" s="1"/>
  <c r="Y1393" i="11"/>
  <c r="X1393" i="11"/>
  <c r="X1392" i="11"/>
  <c r="Y1392" i="11" s="1"/>
  <c r="X1391" i="11"/>
  <c r="Y1391" i="11" s="1"/>
  <c r="X1390" i="11"/>
  <c r="Y1390" i="11" s="1"/>
  <c r="X1389" i="11"/>
  <c r="Y1389" i="11" s="1"/>
  <c r="X1388" i="11"/>
  <c r="Y1388" i="11" s="1"/>
  <c r="X1387" i="11"/>
  <c r="Y1387" i="11" s="1"/>
  <c r="X1386" i="11"/>
  <c r="Y1386" i="11" s="1"/>
  <c r="X1385" i="11"/>
  <c r="Y1385" i="11" s="1"/>
  <c r="X1384" i="11"/>
  <c r="Y1384" i="11" s="1"/>
  <c r="X1383" i="11"/>
  <c r="Y1383" i="11" s="1"/>
  <c r="X1382" i="11"/>
  <c r="Y1382" i="11" s="1"/>
  <c r="X1381" i="11"/>
  <c r="Y1381" i="11" s="1"/>
  <c r="X1380" i="11"/>
  <c r="Y1380" i="11" s="1"/>
  <c r="X1379" i="11"/>
  <c r="Y1379" i="11" s="1"/>
  <c r="X1378" i="11"/>
  <c r="Y1378" i="11" s="1"/>
  <c r="X1377" i="11"/>
  <c r="Y1377" i="11" s="1"/>
  <c r="X1376" i="11"/>
  <c r="Y1376" i="11" s="1"/>
  <c r="X1375" i="11"/>
  <c r="Y1375" i="11" s="1"/>
  <c r="X1374" i="11"/>
  <c r="Y1374" i="11" s="1"/>
  <c r="X1373" i="11"/>
  <c r="Y1373" i="11" s="1"/>
  <c r="X1372" i="11"/>
  <c r="Y1372" i="11" s="1"/>
  <c r="X1371" i="11"/>
  <c r="Y1371" i="11" s="1"/>
  <c r="X1370" i="11"/>
  <c r="Y1370" i="11" s="1"/>
  <c r="X1369" i="11"/>
  <c r="Y1369" i="11" s="1"/>
  <c r="V1369" i="11"/>
  <c r="X1368" i="11"/>
  <c r="Y1368" i="11" s="1"/>
  <c r="X1367" i="11"/>
  <c r="Y1367" i="11" s="1"/>
  <c r="X1366" i="11"/>
  <c r="Y1366" i="11" s="1"/>
  <c r="X1365" i="11"/>
  <c r="Y1365" i="11" s="1"/>
  <c r="X1364" i="11"/>
  <c r="Y1364" i="11" s="1"/>
  <c r="X1363" i="11"/>
  <c r="Y1363" i="11" s="1"/>
  <c r="X1362" i="11"/>
  <c r="Y1362" i="11" s="1"/>
  <c r="X1361" i="11"/>
  <c r="Y1361" i="11" s="1"/>
  <c r="X1360" i="11"/>
  <c r="Y1360" i="11" s="1"/>
  <c r="X1359" i="11"/>
  <c r="Y1359" i="11" s="1"/>
  <c r="X1358" i="11"/>
  <c r="Y1358" i="11" s="1"/>
  <c r="X1357" i="11"/>
  <c r="Y1357" i="11" s="1"/>
  <c r="X1356" i="11"/>
  <c r="Y1356" i="11" s="1"/>
  <c r="X1355" i="11"/>
  <c r="Y1355" i="11" s="1"/>
  <c r="X1354" i="11"/>
  <c r="Y1354" i="11" s="1"/>
  <c r="X1353" i="11"/>
  <c r="Y1353" i="11" s="1"/>
  <c r="U1351" i="11"/>
  <c r="F1351" i="11"/>
  <c r="K1353" i="11" s="1"/>
  <c r="D1351" i="11"/>
  <c r="I1346" i="11"/>
  <c r="G1346" i="11"/>
  <c r="E1345" i="11"/>
  <c r="C1340" i="11"/>
  <c r="K1331" i="11"/>
  <c r="C1331" i="11"/>
  <c r="X1320" i="11"/>
  <c r="Y1320" i="11" s="1"/>
  <c r="X1319" i="11"/>
  <c r="Y1319" i="11" s="1"/>
  <c r="X1318" i="11"/>
  <c r="Y1318" i="11" s="1"/>
  <c r="X1317" i="11"/>
  <c r="Y1317" i="11" s="1"/>
  <c r="X1316" i="11"/>
  <c r="Y1316" i="11" s="1"/>
  <c r="X1315" i="11"/>
  <c r="Y1315" i="11" s="1"/>
  <c r="X1314" i="11"/>
  <c r="Y1314" i="11" s="1"/>
  <c r="X1313" i="11"/>
  <c r="Y1313" i="11" s="1"/>
  <c r="X1312" i="11"/>
  <c r="Y1312" i="11" s="1"/>
  <c r="X1311" i="11"/>
  <c r="Y1311" i="11" s="1"/>
  <c r="X1310" i="11"/>
  <c r="Y1310" i="11" s="1"/>
  <c r="X1309" i="11"/>
  <c r="Y1309" i="11" s="1"/>
  <c r="X1308" i="11"/>
  <c r="Y1308" i="11" s="1"/>
  <c r="X1307" i="11"/>
  <c r="Y1307" i="11" s="1"/>
  <c r="X1306" i="11"/>
  <c r="Y1306" i="11" s="1"/>
  <c r="X1305" i="11"/>
  <c r="Y1305" i="11" s="1"/>
  <c r="X1304" i="11"/>
  <c r="Y1304" i="11" s="1"/>
  <c r="X1303" i="11"/>
  <c r="Y1303" i="11" s="1"/>
  <c r="Y1302" i="11"/>
  <c r="X1302" i="11"/>
  <c r="X1301" i="11"/>
  <c r="Y1301" i="11" s="1"/>
  <c r="X1300" i="11"/>
  <c r="Y1300" i="11" s="1"/>
  <c r="X1299" i="11"/>
  <c r="Y1299" i="11" s="1"/>
  <c r="X1298" i="11"/>
  <c r="Y1298" i="11" s="1"/>
  <c r="X1297" i="11"/>
  <c r="Y1297" i="11" s="1"/>
  <c r="X1296" i="11"/>
  <c r="Y1296" i="11" s="1"/>
  <c r="X1295" i="11"/>
  <c r="Y1295" i="11" s="1"/>
  <c r="X1294" i="11"/>
  <c r="Y1294" i="11" s="1"/>
  <c r="X1293" i="11"/>
  <c r="Y1293" i="11" s="1"/>
  <c r="X1292" i="11"/>
  <c r="Y1292" i="11" s="1"/>
  <c r="X1291" i="11"/>
  <c r="Y1291" i="11" s="1"/>
  <c r="X1290" i="11"/>
  <c r="Y1290" i="11" s="1"/>
  <c r="X1289" i="11"/>
  <c r="Y1289" i="11" s="1"/>
  <c r="X1288" i="11"/>
  <c r="Y1288" i="11" s="1"/>
  <c r="X1287" i="11"/>
  <c r="Y1287" i="11" s="1"/>
  <c r="X1286" i="11"/>
  <c r="Y1286" i="11" s="1"/>
  <c r="X1285" i="11"/>
  <c r="Y1285" i="11" s="1"/>
  <c r="X1284" i="11"/>
  <c r="Y1284" i="11" s="1"/>
  <c r="X1283" i="11"/>
  <c r="Y1283" i="11" s="1"/>
  <c r="X1282" i="11"/>
  <c r="Y1282" i="11" s="1"/>
  <c r="X1281" i="11"/>
  <c r="Y1281" i="11" s="1"/>
  <c r="X1280" i="11"/>
  <c r="Y1280" i="11" s="1"/>
  <c r="X1279" i="11"/>
  <c r="Y1279" i="11" s="1"/>
  <c r="I1271" i="11"/>
  <c r="G1271" i="11"/>
  <c r="E1270" i="11"/>
  <c r="C1265" i="11"/>
  <c r="K1257" i="11"/>
  <c r="C1257" i="11"/>
  <c r="U1202" i="11"/>
  <c r="F1202" i="11"/>
  <c r="K1204" i="11" s="1"/>
  <c r="D1202" i="11"/>
  <c r="I1197" i="11"/>
  <c r="G1197" i="11"/>
  <c r="E1196" i="11"/>
  <c r="C1191" i="11"/>
  <c r="K1183" i="11"/>
  <c r="C1183" i="11"/>
  <c r="X1172" i="11"/>
  <c r="Y1172" i="11" s="1"/>
  <c r="X1171" i="11"/>
  <c r="Y1171" i="11" s="1"/>
  <c r="Y1170" i="11"/>
  <c r="X1170" i="11"/>
  <c r="X1169" i="11"/>
  <c r="Y1169" i="11" s="1"/>
  <c r="X1168" i="11"/>
  <c r="Y1168" i="11" s="1"/>
  <c r="X1167" i="11"/>
  <c r="Y1167" i="11" s="1"/>
  <c r="X1166" i="11"/>
  <c r="Y1166" i="11" s="1"/>
  <c r="X1165" i="11"/>
  <c r="Y1165" i="11" s="1"/>
  <c r="X1164" i="11"/>
  <c r="Y1164" i="11" s="1"/>
  <c r="X1163" i="11"/>
  <c r="Y1163" i="11" s="1"/>
  <c r="X1162" i="11"/>
  <c r="Y1162" i="11" s="1"/>
  <c r="X1161" i="11"/>
  <c r="Y1161" i="11" s="1"/>
  <c r="X1160" i="11"/>
  <c r="Y1160" i="11" s="1"/>
  <c r="X1159" i="11"/>
  <c r="Y1159" i="11" s="1"/>
  <c r="X1158" i="11"/>
  <c r="Y1158" i="11" s="1"/>
  <c r="X1157" i="11"/>
  <c r="Y1157" i="11" s="1"/>
  <c r="X1156" i="11"/>
  <c r="Y1156" i="11" s="1"/>
  <c r="Y1155" i="11"/>
  <c r="X1155" i="11"/>
  <c r="X1154" i="11"/>
  <c r="Y1154" i="11" s="1"/>
  <c r="X1153" i="11"/>
  <c r="Y1153" i="11" s="1"/>
  <c r="X1152" i="11"/>
  <c r="Y1152" i="11" s="1"/>
  <c r="X1151" i="11"/>
  <c r="Y1151" i="11" s="1"/>
  <c r="X1150" i="11"/>
  <c r="Y1150" i="11" s="1"/>
  <c r="X1149" i="11"/>
  <c r="Y1149" i="11" s="1"/>
  <c r="X1148" i="11"/>
  <c r="Y1148" i="11" s="1"/>
  <c r="X1147" i="11"/>
  <c r="Y1147" i="11" s="1"/>
  <c r="X1146" i="11"/>
  <c r="Y1146" i="11" s="1"/>
  <c r="X1145" i="11"/>
  <c r="Y1145" i="11" s="1"/>
  <c r="X1144" i="11"/>
  <c r="Y1144" i="11" s="1"/>
  <c r="X1143" i="11"/>
  <c r="Y1143" i="11" s="1"/>
  <c r="X1142" i="11"/>
  <c r="Y1142" i="11" s="1"/>
  <c r="X1141" i="11"/>
  <c r="Y1141" i="11" s="1"/>
  <c r="X1140" i="11"/>
  <c r="Y1140" i="11" s="1"/>
  <c r="X1139" i="11"/>
  <c r="Y1139" i="11" s="1"/>
  <c r="X1138" i="11"/>
  <c r="Y1138" i="11" s="1"/>
  <c r="X1137" i="11"/>
  <c r="Y1137" i="11" s="1"/>
  <c r="X1136" i="11"/>
  <c r="Y1136" i="11" s="1"/>
  <c r="X1135" i="11"/>
  <c r="Y1135" i="11" s="1"/>
  <c r="X1134" i="11"/>
  <c r="Y1134" i="11" s="1"/>
  <c r="X1133" i="11"/>
  <c r="Y1133" i="11" s="1"/>
  <c r="X1132" i="11"/>
  <c r="Y1132" i="11" s="1"/>
  <c r="X1131" i="11"/>
  <c r="Y1131" i="11" s="1"/>
  <c r="U1128" i="11"/>
  <c r="F1128" i="11"/>
  <c r="K1130" i="11" s="1"/>
  <c r="D1128" i="11"/>
  <c r="I1123" i="11"/>
  <c r="G1123" i="11"/>
  <c r="E1122" i="11"/>
  <c r="C1117" i="11"/>
  <c r="K1109" i="11"/>
  <c r="C1109" i="11"/>
  <c r="X1098" i="11"/>
  <c r="Y1098" i="11" s="1"/>
  <c r="X1097" i="11"/>
  <c r="Y1097" i="11" s="1"/>
  <c r="X1096" i="11"/>
  <c r="Y1096" i="11" s="1"/>
  <c r="X1095" i="11"/>
  <c r="Y1095" i="11" s="1"/>
  <c r="X1094" i="11"/>
  <c r="Y1094" i="11" s="1"/>
  <c r="X1093" i="11"/>
  <c r="Y1093" i="11" s="1"/>
  <c r="X1092" i="11"/>
  <c r="Y1092" i="11" s="1"/>
  <c r="X1091" i="11"/>
  <c r="Y1091" i="11" s="1"/>
  <c r="X1090" i="11"/>
  <c r="Y1090" i="11" s="1"/>
  <c r="X1089" i="11"/>
  <c r="Y1089" i="11" s="1"/>
  <c r="X1088" i="11"/>
  <c r="Y1088" i="11" s="1"/>
  <c r="X1087" i="11"/>
  <c r="Y1087" i="11" s="1"/>
  <c r="X1086" i="11"/>
  <c r="Y1086" i="11" s="1"/>
  <c r="X1085" i="11"/>
  <c r="Y1085" i="11" s="1"/>
  <c r="X1084" i="11"/>
  <c r="Y1084" i="11" s="1"/>
  <c r="X1083" i="11"/>
  <c r="Y1083" i="11" s="1"/>
  <c r="X1082" i="11"/>
  <c r="Y1082" i="11" s="1"/>
  <c r="X1081" i="11"/>
  <c r="Y1081" i="11" s="1"/>
  <c r="X1080" i="11"/>
  <c r="Y1080" i="11" s="1"/>
  <c r="Y1079" i="11"/>
  <c r="X1079" i="11"/>
  <c r="X1078" i="11"/>
  <c r="Y1078" i="11" s="1"/>
  <c r="X1077" i="11"/>
  <c r="Y1077" i="11" s="1"/>
  <c r="X1076" i="11"/>
  <c r="Y1076" i="11" s="1"/>
  <c r="X1075" i="11"/>
  <c r="Y1075" i="11" s="1"/>
  <c r="X1074" i="11"/>
  <c r="Y1074" i="11" s="1"/>
  <c r="X1073" i="11"/>
  <c r="Y1073" i="11" s="1"/>
  <c r="X1072" i="11"/>
  <c r="Y1072" i="11" s="1"/>
  <c r="X1071" i="11"/>
  <c r="Y1071" i="11" s="1"/>
  <c r="X1070" i="11"/>
  <c r="Y1070" i="11" s="1"/>
  <c r="X1069" i="11"/>
  <c r="Y1069" i="11" s="1"/>
  <c r="X1068" i="11"/>
  <c r="Y1068" i="11" s="1"/>
  <c r="X1067" i="11"/>
  <c r="Y1067" i="11" s="1"/>
  <c r="X1066" i="11"/>
  <c r="Y1066" i="11" s="1"/>
  <c r="X1065" i="11"/>
  <c r="Y1065" i="11" s="1"/>
  <c r="X1064" i="11"/>
  <c r="Y1064" i="11" s="1"/>
  <c r="X1063" i="11"/>
  <c r="Y1063" i="11" s="1"/>
  <c r="X1062" i="11"/>
  <c r="Y1062" i="11" s="1"/>
  <c r="X1061" i="11"/>
  <c r="Y1061" i="11" s="1"/>
  <c r="X1060" i="11"/>
  <c r="Y1060" i="11" s="1"/>
  <c r="X1059" i="11"/>
  <c r="Y1059" i="11" s="1"/>
  <c r="X1058" i="11"/>
  <c r="Y1058" i="11" s="1"/>
  <c r="X1057" i="11"/>
  <c r="Y1057" i="11" s="1"/>
  <c r="F1054" i="11"/>
  <c r="K1056" i="11" s="1"/>
  <c r="U1054" i="11"/>
  <c r="I1049" i="11"/>
  <c r="G1049" i="11"/>
  <c r="E1048" i="11"/>
  <c r="C1043" i="11"/>
  <c r="K1035" i="11"/>
  <c r="C1035" i="11"/>
  <c r="X1024" i="11"/>
  <c r="Y1024" i="11" s="1"/>
  <c r="X1023" i="11"/>
  <c r="Y1023" i="11" s="1"/>
  <c r="X1022" i="11"/>
  <c r="Y1022" i="11" s="1"/>
  <c r="X1021" i="11"/>
  <c r="Y1021" i="11" s="1"/>
  <c r="X1020" i="11"/>
  <c r="Y1020" i="11" s="1"/>
  <c r="X1019" i="11"/>
  <c r="Y1019" i="11" s="1"/>
  <c r="X1018" i="11"/>
  <c r="Y1018" i="11" s="1"/>
  <c r="X1017" i="11"/>
  <c r="Y1017" i="11" s="1"/>
  <c r="X1016" i="11"/>
  <c r="Y1016" i="11" s="1"/>
  <c r="X1015" i="11"/>
  <c r="Y1015" i="11" s="1"/>
  <c r="X1014" i="11"/>
  <c r="Y1014" i="11" s="1"/>
  <c r="X1013" i="11"/>
  <c r="Y1013" i="11" s="1"/>
  <c r="X1012" i="11"/>
  <c r="Y1012" i="11" s="1"/>
  <c r="X1011" i="11"/>
  <c r="Y1011" i="11" s="1"/>
  <c r="X1010" i="11"/>
  <c r="Y1010" i="11" s="1"/>
  <c r="X1009" i="11"/>
  <c r="Y1009" i="11" s="1"/>
  <c r="X1008" i="11"/>
  <c r="Y1008" i="11" s="1"/>
  <c r="X1007" i="11"/>
  <c r="Y1007" i="11" s="1"/>
  <c r="X1006" i="11"/>
  <c r="Y1006" i="11" s="1"/>
  <c r="X1005" i="11"/>
  <c r="Y1005" i="11" s="1"/>
  <c r="X1004" i="11"/>
  <c r="Y1004" i="11" s="1"/>
  <c r="X1003" i="11"/>
  <c r="Y1003" i="11" s="1"/>
  <c r="X1002" i="11"/>
  <c r="Y1002" i="11" s="1"/>
  <c r="X1001" i="11"/>
  <c r="Y1001" i="11" s="1"/>
  <c r="X1000" i="11"/>
  <c r="Y1000" i="11" s="1"/>
  <c r="X999" i="11"/>
  <c r="Y999" i="11" s="1"/>
  <c r="X998" i="11"/>
  <c r="Y998" i="11" s="1"/>
  <c r="X997" i="11"/>
  <c r="Y997" i="11" s="1"/>
  <c r="X996" i="11"/>
  <c r="Y996" i="11" s="1"/>
  <c r="X995" i="11"/>
  <c r="Y995" i="11" s="1"/>
  <c r="X994" i="11"/>
  <c r="Y994" i="11" s="1"/>
  <c r="X993" i="11"/>
  <c r="Y993" i="11" s="1"/>
  <c r="X992" i="11"/>
  <c r="Y992" i="11" s="1"/>
  <c r="X991" i="11"/>
  <c r="Y991" i="11" s="1"/>
  <c r="X990" i="11"/>
  <c r="Y990" i="11" s="1"/>
  <c r="X989" i="11"/>
  <c r="Y989" i="11" s="1"/>
  <c r="X988" i="11"/>
  <c r="Y988" i="11" s="1"/>
  <c r="X987" i="11"/>
  <c r="Y987" i="11" s="1"/>
  <c r="X986" i="11"/>
  <c r="Y986" i="11" s="1"/>
  <c r="X985" i="11"/>
  <c r="Y985" i="11" s="1"/>
  <c r="X984" i="11"/>
  <c r="Y984" i="11" s="1"/>
  <c r="X983" i="11"/>
  <c r="Y983" i="11" s="1"/>
  <c r="I975" i="11"/>
  <c r="G975" i="11"/>
  <c r="E974" i="11"/>
  <c r="C969" i="11"/>
  <c r="K961" i="11"/>
  <c r="C961" i="11"/>
  <c r="X950" i="11"/>
  <c r="Y950" i="11" s="1"/>
  <c r="X949" i="11"/>
  <c r="Y949" i="11" s="1"/>
  <c r="X948" i="11"/>
  <c r="Y948" i="11" s="1"/>
  <c r="X946" i="11"/>
  <c r="Y946" i="11" s="1"/>
  <c r="X942" i="11"/>
  <c r="Y942" i="11" s="1"/>
  <c r="X938" i="11"/>
  <c r="Y938" i="11" s="1"/>
  <c r="X936" i="11"/>
  <c r="Y936" i="11" s="1"/>
  <c r="X935" i="11"/>
  <c r="Y935" i="11" s="1"/>
  <c r="X934" i="11"/>
  <c r="Y934" i="11" s="1"/>
  <c r="X933" i="11"/>
  <c r="Y933" i="11" s="1"/>
  <c r="X930" i="11"/>
  <c r="Y930" i="11" s="1"/>
  <c r="X928" i="11"/>
  <c r="Y928" i="11" s="1"/>
  <c r="X926" i="11"/>
  <c r="Y926" i="11" s="1"/>
  <c r="X922" i="11"/>
  <c r="Y922" i="11" s="1"/>
  <c r="X921" i="11"/>
  <c r="Y921" i="11" s="1"/>
  <c r="X920" i="11"/>
  <c r="Y920" i="11" s="1"/>
  <c r="X918" i="11"/>
  <c r="Y918" i="11" s="1"/>
  <c r="X917" i="11"/>
  <c r="Y917" i="11" s="1"/>
  <c r="X916" i="11"/>
  <c r="Y916" i="11" s="1"/>
  <c r="X914" i="11"/>
  <c r="Y914" i="11" s="1"/>
  <c r="X912" i="11"/>
  <c r="Y912" i="11" s="1"/>
  <c r="X911" i="11"/>
  <c r="Y911" i="11" s="1"/>
  <c r="X910" i="11"/>
  <c r="Y910" i="11" s="1"/>
  <c r="X909" i="11"/>
  <c r="Y909" i="11" s="1"/>
  <c r="X908" i="11"/>
  <c r="Y908" i="11" s="1"/>
  <c r="I901" i="11"/>
  <c r="G901" i="11"/>
  <c r="E900" i="11"/>
  <c r="C895" i="11"/>
  <c r="K887" i="11"/>
  <c r="C887" i="11"/>
  <c r="X876" i="11"/>
  <c r="Y876" i="11" s="1"/>
  <c r="X875" i="11"/>
  <c r="Y875" i="11" s="1"/>
  <c r="X874" i="11"/>
  <c r="Y874" i="11" s="1"/>
  <c r="X872" i="11"/>
  <c r="Y872" i="11" s="1"/>
  <c r="X870" i="11"/>
  <c r="Y870" i="11" s="1"/>
  <c r="X868" i="11"/>
  <c r="Y868" i="11" s="1"/>
  <c r="X867" i="11"/>
  <c r="Y867" i="11" s="1"/>
  <c r="X866" i="11"/>
  <c r="X861" i="11"/>
  <c r="Y861" i="11" s="1"/>
  <c r="X860" i="11"/>
  <c r="Y860" i="11" s="1"/>
  <c r="X859" i="11"/>
  <c r="Y859" i="11" s="1"/>
  <c r="X856" i="11"/>
  <c r="Y856" i="11" s="1"/>
  <c r="X855" i="11"/>
  <c r="Y855" i="11" s="1"/>
  <c r="X854" i="11"/>
  <c r="Y854" i="11" s="1"/>
  <c r="X853" i="11"/>
  <c r="Y853" i="11" s="1"/>
  <c r="X852" i="11"/>
  <c r="Y852" i="11" s="1"/>
  <c r="X850" i="11"/>
  <c r="X849" i="11"/>
  <c r="X845" i="11"/>
  <c r="Y845" i="11" s="1"/>
  <c r="X844" i="11"/>
  <c r="Y844" i="11" s="1"/>
  <c r="X843" i="11"/>
  <c r="Y843" i="11" s="1"/>
  <c r="X842" i="11"/>
  <c r="Y842" i="11" s="1"/>
  <c r="X841" i="11"/>
  <c r="Y841" i="11" s="1"/>
  <c r="X840" i="11"/>
  <c r="Y840" i="11" s="1"/>
  <c r="X838" i="11"/>
  <c r="Y838" i="11" s="1"/>
  <c r="X837" i="11"/>
  <c r="Y837" i="11" s="1"/>
  <c r="X836" i="11"/>
  <c r="Y836" i="11" s="1"/>
  <c r="X835" i="11"/>
  <c r="Y835" i="11" s="1"/>
  <c r="X834" i="11"/>
  <c r="Y834" i="11" s="1"/>
  <c r="D832" i="11"/>
  <c r="U832" i="11"/>
  <c r="I827" i="11"/>
  <c r="G827" i="11"/>
  <c r="E826" i="11"/>
  <c r="C821" i="11"/>
  <c r="K813" i="11"/>
  <c r="C813" i="11"/>
  <c r="X802" i="11"/>
  <c r="Y802" i="11" s="1"/>
  <c r="X801" i="11"/>
  <c r="Y801" i="11" s="1"/>
  <c r="X798" i="11"/>
  <c r="Y798" i="11" s="1"/>
  <c r="X797" i="11"/>
  <c r="Y797" i="11" s="1"/>
  <c r="X794" i="11"/>
  <c r="Y794" i="11" s="1"/>
  <c r="X793" i="11"/>
  <c r="Y793" i="11" s="1"/>
  <c r="X792" i="11"/>
  <c r="Y792" i="11" s="1"/>
  <c r="X790" i="11"/>
  <c r="Y790" i="11" s="1"/>
  <c r="X788" i="11"/>
  <c r="Y788" i="11" s="1"/>
  <c r="X787" i="11"/>
  <c r="Y787" i="11" s="1"/>
  <c r="X785" i="11"/>
  <c r="Y785" i="11" s="1"/>
  <c r="X782" i="11"/>
  <c r="Y782" i="11" s="1"/>
  <c r="X780" i="11"/>
  <c r="Y780" i="11" s="1"/>
  <c r="X776" i="11"/>
  <c r="Y776" i="11" s="1"/>
  <c r="X774" i="11"/>
  <c r="Y774" i="11" s="1"/>
  <c r="X772" i="11"/>
  <c r="Y772" i="11" s="1"/>
  <c r="X770" i="11"/>
  <c r="Y770" i="11" s="1"/>
  <c r="X769" i="11"/>
  <c r="Y769" i="11" s="1"/>
  <c r="X766" i="11"/>
  <c r="Y766" i="11" s="1"/>
  <c r="X760" i="11"/>
  <c r="Y760" i="11" s="1"/>
  <c r="I753" i="11"/>
  <c r="G753" i="11"/>
  <c r="E752" i="11"/>
  <c r="C747" i="11"/>
  <c r="K739" i="11"/>
  <c r="C739" i="11"/>
  <c r="X728" i="11"/>
  <c r="Y728" i="11" s="1"/>
  <c r="X727" i="11"/>
  <c r="Y727" i="11" s="1"/>
  <c r="X720" i="11"/>
  <c r="Y720" i="11" s="1"/>
  <c r="X718" i="11"/>
  <c r="X716" i="11"/>
  <c r="Y716" i="11" s="1"/>
  <c r="X713" i="11"/>
  <c r="Y713" i="11" s="1"/>
  <c r="X711" i="11"/>
  <c r="Y711" i="11" s="1"/>
  <c r="X702" i="11"/>
  <c r="Y702" i="11" s="1"/>
  <c r="X698" i="11"/>
  <c r="Y698" i="11" s="1"/>
  <c r="X697" i="11"/>
  <c r="Y697" i="11" s="1"/>
  <c r="X696" i="11"/>
  <c r="Y696" i="11" s="1"/>
  <c r="X695" i="11"/>
  <c r="Y695" i="11" s="1"/>
  <c r="X692" i="11"/>
  <c r="Y692" i="11" s="1"/>
  <c r="X686" i="11"/>
  <c r="Y686" i="11" s="1"/>
  <c r="U684" i="11"/>
  <c r="D684" i="11"/>
  <c r="F684" i="11"/>
  <c r="K686" i="11" s="1"/>
  <c r="I679" i="11"/>
  <c r="G679" i="11"/>
  <c r="E678" i="11"/>
  <c r="C673" i="11"/>
  <c r="K665" i="11"/>
  <c r="C665" i="11"/>
  <c r="X650" i="11"/>
  <c r="Y650" i="11" s="1"/>
  <c r="X646" i="11"/>
  <c r="Y646" i="11" s="1"/>
  <c r="X644" i="11"/>
  <c r="Y644" i="11" s="1"/>
  <c r="X642" i="11"/>
  <c r="Y642" i="11" s="1"/>
  <c r="X639" i="11"/>
  <c r="Y639" i="11" s="1"/>
  <c r="X637" i="11"/>
  <c r="Y637" i="11" s="1"/>
  <c r="X635" i="11"/>
  <c r="Y635" i="11" s="1"/>
  <c r="X634" i="11"/>
  <c r="Y634" i="11" s="1"/>
  <c r="X628" i="11"/>
  <c r="Y628" i="11" s="1"/>
  <c r="X624" i="11"/>
  <c r="Y624" i="11" s="1"/>
  <c r="X623" i="11"/>
  <c r="Y623" i="11" s="1"/>
  <c r="X621" i="11"/>
  <c r="Y621" i="11" s="1"/>
  <c r="X618" i="11"/>
  <c r="Y618" i="11" s="1"/>
  <c r="X612" i="11"/>
  <c r="Y612" i="11" s="1"/>
  <c r="U610" i="11"/>
  <c r="F610" i="11"/>
  <c r="K612" i="11" s="1"/>
  <c r="D610" i="11"/>
  <c r="I605" i="11"/>
  <c r="G605" i="11"/>
  <c r="E604" i="11"/>
  <c r="C599" i="11"/>
  <c r="K591" i="11"/>
  <c r="C591" i="11"/>
  <c r="X560" i="11"/>
  <c r="Y560" i="11" s="1"/>
  <c r="X550" i="11"/>
  <c r="X548" i="11"/>
  <c r="Y548" i="11" s="1"/>
  <c r="X538" i="11"/>
  <c r="Y538" i="11" s="1"/>
  <c r="I531" i="11"/>
  <c r="G531" i="11"/>
  <c r="E530" i="11"/>
  <c r="C525" i="11"/>
  <c r="K517" i="11"/>
  <c r="C517" i="11"/>
  <c r="X486" i="11"/>
  <c r="X464" i="11"/>
  <c r="Y464" i="11" s="1"/>
  <c r="I457" i="11"/>
  <c r="G457" i="11"/>
  <c r="E456" i="11"/>
  <c r="C451" i="11"/>
  <c r="K443" i="11"/>
  <c r="C443" i="11"/>
  <c r="X432" i="11"/>
  <c r="X428" i="11"/>
  <c r="X427" i="11"/>
  <c r="X424" i="11"/>
  <c r="X420" i="11"/>
  <c r="X418" i="11"/>
  <c r="X417" i="11"/>
  <c r="X406" i="11"/>
  <c r="X396" i="11"/>
  <c r="X390" i="11"/>
  <c r="Y390" i="11" s="1"/>
  <c r="I383" i="11"/>
  <c r="G383" i="11"/>
  <c r="E382" i="11"/>
  <c r="C377" i="11"/>
  <c r="K369" i="11"/>
  <c r="C369" i="11"/>
  <c r="X358" i="11"/>
  <c r="Y358" i="11" s="1"/>
  <c r="X357" i="11"/>
  <c r="Y357" i="11" s="1"/>
  <c r="X356" i="11"/>
  <c r="Y356" i="11" s="1"/>
  <c r="X354" i="11"/>
  <c r="Y354" i="11" s="1"/>
  <c r="X353" i="11"/>
  <c r="Y353" i="11" s="1"/>
  <c r="X352" i="11"/>
  <c r="Y352" i="11" s="1"/>
  <c r="X351" i="11"/>
  <c r="Y351" i="11" s="1"/>
  <c r="X350" i="11"/>
  <c r="Y350" i="11" s="1"/>
  <c r="X349" i="11"/>
  <c r="Y349" i="11" s="1"/>
  <c r="X348" i="11"/>
  <c r="Y348" i="11" s="1"/>
  <c r="X347" i="11"/>
  <c r="Y347" i="11" s="1"/>
  <c r="X346" i="11"/>
  <c r="Y346" i="11" s="1"/>
  <c r="X344" i="11"/>
  <c r="Y344" i="11" s="1"/>
  <c r="X343" i="11"/>
  <c r="Y343" i="11" s="1"/>
  <c r="X341" i="11"/>
  <c r="Y341" i="11" s="1"/>
  <c r="X340" i="11"/>
  <c r="Y340" i="11" s="1"/>
  <c r="X339" i="11"/>
  <c r="Y339" i="11" s="1"/>
  <c r="X338" i="11"/>
  <c r="Y338" i="11" s="1"/>
  <c r="X336" i="11"/>
  <c r="Y336" i="11" s="1"/>
  <c r="X335" i="11"/>
  <c r="Y335" i="11" s="1"/>
  <c r="X332" i="11"/>
  <c r="Y332" i="11" s="1"/>
  <c r="X331" i="11"/>
  <c r="Y331" i="11" s="1"/>
  <c r="X330" i="11"/>
  <c r="Y330" i="11" s="1"/>
  <c r="X328" i="11"/>
  <c r="Y328" i="11" s="1"/>
  <c r="X327" i="11"/>
  <c r="Y327" i="11" s="1"/>
  <c r="X326" i="11"/>
  <c r="Y326" i="11" s="1"/>
  <c r="X325" i="11"/>
  <c r="Y325" i="11" s="1"/>
  <c r="X324" i="11"/>
  <c r="Y324" i="11" s="1"/>
  <c r="X323" i="11"/>
  <c r="Y323" i="11" s="1"/>
  <c r="X316" i="11"/>
  <c r="Y316" i="11" s="1"/>
  <c r="U315" i="11"/>
  <c r="F314" i="11"/>
  <c r="K316" i="11" s="1"/>
  <c r="U313" i="11"/>
  <c r="U312" i="11"/>
  <c r="U311" i="11"/>
  <c r="U310" i="11"/>
  <c r="U309" i="11"/>
  <c r="I309" i="11"/>
  <c r="G309" i="11"/>
  <c r="U308" i="11"/>
  <c r="E308" i="11"/>
  <c r="U307" i="11"/>
  <c r="U306" i="11"/>
  <c r="U305" i="11"/>
  <c r="U304" i="11"/>
  <c r="U303" i="11"/>
  <c r="C303" i="11"/>
  <c r="U302" i="11"/>
  <c r="K294" i="11"/>
  <c r="C294" i="11"/>
  <c r="X283" i="11"/>
  <c r="Y283" i="11" s="1"/>
  <c r="X282" i="11"/>
  <c r="Y282" i="11" s="1"/>
  <c r="X279" i="11"/>
  <c r="Y279" i="11" s="1"/>
  <c r="X278" i="11"/>
  <c r="Y278" i="11" s="1"/>
  <c r="X277" i="11"/>
  <c r="Y277" i="11" s="1"/>
  <c r="X275" i="11"/>
  <c r="Y275" i="11" s="1"/>
  <c r="X274" i="11"/>
  <c r="Y274" i="11" s="1"/>
  <c r="X273" i="11"/>
  <c r="Y273" i="11" s="1"/>
  <c r="X271" i="11"/>
  <c r="Y271" i="11" s="1"/>
  <c r="X270" i="11"/>
  <c r="Y270" i="11" s="1"/>
  <c r="X269" i="11"/>
  <c r="Y269" i="11" s="1"/>
  <c r="X268" i="11"/>
  <c r="Y268" i="11" s="1"/>
  <c r="X266" i="11"/>
  <c r="Y266" i="11" s="1"/>
  <c r="X264" i="11"/>
  <c r="Y264" i="11" s="1"/>
  <c r="X263" i="11"/>
  <c r="Y263" i="11" s="1"/>
  <c r="X261" i="11"/>
  <c r="Y261" i="11" s="1"/>
  <c r="X260" i="11"/>
  <c r="Y260" i="11" s="1"/>
  <c r="X259" i="11"/>
  <c r="Y259" i="11" s="1"/>
  <c r="X258" i="11"/>
  <c r="Y258" i="11" s="1"/>
  <c r="X254" i="11"/>
  <c r="Y254" i="11" s="1"/>
  <c r="X253" i="11"/>
  <c r="Y253" i="11" s="1"/>
  <c r="X252" i="11"/>
  <c r="Y252" i="11" s="1"/>
  <c r="X251" i="11"/>
  <c r="Y251" i="11" s="1"/>
  <c r="X250" i="11"/>
  <c r="Y250" i="11" s="1"/>
  <c r="X249" i="11"/>
  <c r="Y249" i="11" s="1"/>
  <c r="X248" i="11"/>
  <c r="Y248" i="11" s="1"/>
  <c r="X247" i="11"/>
  <c r="Y247" i="11" s="1"/>
  <c r="X246" i="11"/>
  <c r="Y246" i="11" s="1"/>
  <c r="X245" i="11"/>
  <c r="Y245" i="11" s="1"/>
  <c r="X244" i="11"/>
  <c r="Y244" i="11" s="1"/>
  <c r="X243" i="11"/>
  <c r="Y243" i="11" s="1"/>
  <c r="AB242" i="11"/>
  <c r="X241" i="11"/>
  <c r="U239" i="11"/>
  <c r="I234" i="11"/>
  <c r="G234" i="11"/>
  <c r="E233" i="11"/>
  <c r="C228" i="11"/>
  <c r="K220" i="11"/>
  <c r="C220" i="11"/>
  <c r="X209" i="11"/>
  <c r="Y209" i="11" s="1"/>
  <c r="X208" i="11"/>
  <c r="Y208" i="11" s="1"/>
  <c r="X207" i="11"/>
  <c r="Y207" i="11" s="1"/>
  <c r="X206" i="11"/>
  <c r="Y206" i="11" s="1"/>
  <c r="X205" i="11"/>
  <c r="Y205" i="11" s="1"/>
  <c r="X204" i="11"/>
  <c r="Y204" i="11" s="1"/>
  <c r="X203" i="11"/>
  <c r="Y203" i="11" s="1"/>
  <c r="X202" i="11"/>
  <c r="Y202" i="11" s="1"/>
  <c r="X201" i="11"/>
  <c r="Y201" i="11" s="1"/>
  <c r="X200" i="11"/>
  <c r="Y200" i="11" s="1"/>
  <c r="X199" i="11"/>
  <c r="Y199" i="11" s="1"/>
  <c r="X198" i="11"/>
  <c r="Y198" i="11" s="1"/>
  <c r="X197" i="11"/>
  <c r="Y197" i="11" s="1"/>
  <c r="X196" i="11"/>
  <c r="Y196" i="11" s="1"/>
  <c r="X195" i="11"/>
  <c r="Y195" i="11" s="1"/>
  <c r="X194" i="11"/>
  <c r="Y194" i="11" s="1"/>
  <c r="X193" i="11"/>
  <c r="Y193" i="11" s="1"/>
  <c r="X192" i="11"/>
  <c r="Y192" i="11" s="1"/>
  <c r="X191" i="11"/>
  <c r="Y191" i="11" s="1"/>
  <c r="X190" i="11"/>
  <c r="Y190" i="11" s="1"/>
  <c r="X189" i="11"/>
  <c r="Y189" i="11" s="1"/>
  <c r="X188" i="11"/>
  <c r="Y188" i="11" s="1"/>
  <c r="X187" i="11"/>
  <c r="Y187" i="11" s="1"/>
  <c r="X186" i="11"/>
  <c r="Y186" i="11" s="1"/>
  <c r="X185" i="11"/>
  <c r="Y185" i="11" s="1"/>
  <c r="X184" i="11"/>
  <c r="Y184" i="11" s="1"/>
  <c r="X183" i="11"/>
  <c r="Y183" i="11" s="1"/>
  <c r="X182" i="11"/>
  <c r="Y182" i="11" s="1"/>
  <c r="Y181" i="11"/>
  <c r="X181" i="11"/>
  <c r="X180" i="11"/>
  <c r="Y180" i="11" s="1"/>
  <c r="X179" i="11"/>
  <c r="Y179" i="11" s="1"/>
  <c r="X178" i="11"/>
  <c r="Y178" i="11" s="1"/>
  <c r="X177" i="11"/>
  <c r="Y177" i="11" s="1"/>
  <c r="X176" i="11"/>
  <c r="Y176" i="11" s="1"/>
  <c r="X175" i="11"/>
  <c r="Y175" i="11" s="1"/>
  <c r="X174" i="11"/>
  <c r="Y174" i="11" s="1"/>
  <c r="X173" i="11"/>
  <c r="Y173" i="11" s="1"/>
  <c r="X172" i="11"/>
  <c r="Y172" i="11" s="1"/>
  <c r="X171" i="11"/>
  <c r="Y171" i="11" s="1"/>
  <c r="X170" i="11"/>
  <c r="Y170" i="11" s="1"/>
  <c r="X169" i="11"/>
  <c r="Y169" i="11" s="1"/>
  <c r="X168" i="11"/>
  <c r="Y168" i="11" s="1"/>
  <c r="X167" i="11"/>
  <c r="Y167" i="11" s="1"/>
  <c r="F165" i="11"/>
  <c r="K167" i="11" s="1"/>
  <c r="U165" i="11"/>
  <c r="I160" i="11"/>
  <c r="G160" i="11"/>
  <c r="E159" i="11"/>
  <c r="C154" i="11"/>
  <c r="K146" i="11"/>
  <c r="C146" i="11"/>
  <c r="U91" i="11"/>
  <c r="D91" i="11"/>
  <c r="F91" i="11"/>
  <c r="K93" i="11" s="1"/>
  <c r="I86" i="11"/>
  <c r="G86" i="11"/>
  <c r="E85" i="11"/>
  <c r="C80" i="11"/>
  <c r="K72" i="11"/>
  <c r="C72" i="11"/>
  <c r="K71" i="11"/>
  <c r="C71" i="11"/>
  <c r="U16" i="11"/>
  <c r="F16" i="11"/>
  <c r="K18" i="11" s="1"/>
  <c r="K19" i="11" s="1"/>
  <c r="D16" i="11"/>
  <c r="I11" i="11"/>
  <c r="G11" i="11"/>
  <c r="E10" i="11"/>
  <c r="C5" i="11"/>
  <c r="D1500" i="10"/>
  <c r="E1500" i="10" s="1"/>
  <c r="D1425" i="10"/>
  <c r="E1425" i="10" s="1"/>
  <c r="L1555" i="10"/>
  <c r="D1555" i="10"/>
  <c r="Y1544" i="10"/>
  <c r="Z1544" i="10" s="1"/>
  <c r="Y1543" i="10"/>
  <c r="Z1543" i="10" s="1"/>
  <c r="Y1542" i="10"/>
  <c r="Z1542" i="10" s="1"/>
  <c r="Y1541" i="10"/>
  <c r="Z1541" i="10" s="1"/>
  <c r="Y1540" i="10"/>
  <c r="Z1540" i="10" s="1"/>
  <c r="Y1539" i="10"/>
  <c r="Z1539" i="10" s="1"/>
  <c r="Y1538" i="10"/>
  <c r="Z1538" i="10" s="1"/>
  <c r="Y1537" i="10"/>
  <c r="Z1537" i="10" s="1"/>
  <c r="Y1536" i="10"/>
  <c r="Z1536" i="10" s="1"/>
  <c r="Y1535" i="10"/>
  <c r="Z1535" i="10" s="1"/>
  <c r="Y1534" i="10"/>
  <c r="Z1534" i="10" s="1"/>
  <c r="Y1533" i="10"/>
  <c r="Z1533" i="10" s="1"/>
  <c r="Y1532" i="10"/>
  <c r="Z1532" i="10" s="1"/>
  <c r="Y1531" i="10"/>
  <c r="Z1531" i="10" s="1"/>
  <c r="Y1530" i="10"/>
  <c r="Z1530" i="10" s="1"/>
  <c r="Y1529" i="10"/>
  <c r="Z1529" i="10" s="1"/>
  <c r="Z1528" i="10"/>
  <c r="Y1528" i="10"/>
  <c r="Y1527" i="10"/>
  <c r="Z1527" i="10" s="1"/>
  <c r="Z1526" i="10"/>
  <c r="Y1526" i="10"/>
  <c r="Y1525" i="10"/>
  <c r="Z1525" i="10" s="1"/>
  <c r="Y1524" i="10"/>
  <c r="Z1524" i="10" s="1"/>
  <c r="Y1523" i="10"/>
  <c r="Z1523" i="10" s="1"/>
  <c r="Y1522" i="10"/>
  <c r="Z1522" i="10" s="1"/>
  <c r="Y1521" i="10"/>
  <c r="Z1521" i="10" s="1"/>
  <c r="Y1520" i="10"/>
  <c r="Z1520" i="10" s="1"/>
  <c r="Y1519" i="10"/>
  <c r="Z1519" i="10" s="1"/>
  <c r="Y1518" i="10"/>
  <c r="Z1518" i="10" s="1"/>
  <c r="W1518" i="10"/>
  <c r="Y1517" i="10"/>
  <c r="Z1517" i="10" s="1"/>
  <c r="Y1516" i="10"/>
  <c r="Z1516" i="10" s="1"/>
  <c r="Y1515" i="10"/>
  <c r="Z1515" i="10" s="1"/>
  <c r="Y1514" i="10"/>
  <c r="Z1514" i="10" s="1"/>
  <c r="Y1513" i="10"/>
  <c r="Z1513" i="10" s="1"/>
  <c r="Y1512" i="10"/>
  <c r="Z1512" i="10" s="1"/>
  <c r="Y1511" i="10"/>
  <c r="Z1511" i="10" s="1"/>
  <c r="Y1510" i="10"/>
  <c r="Z1510" i="10" s="1"/>
  <c r="Y1509" i="10"/>
  <c r="Z1509" i="10" s="1"/>
  <c r="Y1508" i="10"/>
  <c r="Z1508" i="10" s="1"/>
  <c r="Y1507" i="10"/>
  <c r="Z1507" i="10" s="1"/>
  <c r="Y1506" i="10"/>
  <c r="Z1506" i="10" s="1"/>
  <c r="Y1505" i="10"/>
  <c r="Z1505" i="10" s="1"/>
  <c r="Y1504" i="10"/>
  <c r="Z1504" i="10" s="1"/>
  <c r="Y1503" i="10"/>
  <c r="Z1503" i="10" s="1"/>
  <c r="Y1502" i="10"/>
  <c r="Z1502" i="10" s="1"/>
  <c r="J1495" i="10"/>
  <c r="H1495" i="10"/>
  <c r="F1494" i="10"/>
  <c r="D1489" i="10"/>
  <c r="L1480" i="10"/>
  <c r="D1480" i="10"/>
  <c r="Y1469" i="10"/>
  <c r="Z1469" i="10" s="1"/>
  <c r="Z1468" i="10"/>
  <c r="Y1468" i="10"/>
  <c r="Y1467" i="10"/>
  <c r="Z1467" i="10" s="1"/>
  <c r="Y1466" i="10"/>
  <c r="Z1466" i="10" s="1"/>
  <c r="Y1465" i="10"/>
  <c r="Z1465" i="10" s="1"/>
  <c r="Y1464" i="10"/>
  <c r="Z1464" i="10" s="1"/>
  <c r="Y1463" i="10"/>
  <c r="Z1463" i="10" s="1"/>
  <c r="Y1462" i="10"/>
  <c r="Z1462" i="10" s="1"/>
  <c r="Y1461" i="10"/>
  <c r="Z1461" i="10" s="1"/>
  <c r="Y1460" i="10"/>
  <c r="Z1460" i="10" s="1"/>
  <c r="Y1459" i="10"/>
  <c r="Z1459" i="10" s="1"/>
  <c r="Y1458" i="10"/>
  <c r="Z1458" i="10" s="1"/>
  <c r="Y1457" i="10"/>
  <c r="Z1457" i="10" s="1"/>
  <c r="Y1456" i="10"/>
  <c r="Z1456" i="10" s="1"/>
  <c r="Y1455" i="10"/>
  <c r="Z1455" i="10" s="1"/>
  <c r="Z1454" i="10"/>
  <c r="Y1454" i="10"/>
  <c r="Y1453" i="10"/>
  <c r="Z1453" i="10" s="1"/>
  <c r="Y1452" i="10"/>
  <c r="Z1452" i="10" s="1"/>
  <c r="Y1451" i="10"/>
  <c r="Z1451" i="10" s="1"/>
  <c r="Y1450" i="10"/>
  <c r="Z1450" i="10" s="1"/>
  <c r="Y1449" i="10"/>
  <c r="Z1449" i="10" s="1"/>
  <c r="Y1448" i="10"/>
  <c r="Z1448" i="10" s="1"/>
  <c r="Y1447" i="10"/>
  <c r="Z1447" i="10" s="1"/>
  <c r="Y1446" i="10"/>
  <c r="Z1446" i="10" s="1"/>
  <c r="Z1445" i="10"/>
  <c r="Y1445" i="10"/>
  <c r="Z1444" i="10"/>
  <c r="Y1444" i="10"/>
  <c r="Z1443" i="10"/>
  <c r="Y1443" i="10"/>
  <c r="W1443" i="10"/>
  <c r="Y1442" i="10"/>
  <c r="Z1442" i="10" s="1"/>
  <c r="Y1441" i="10"/>
  <c r="Z1441" i="10" s="1"/>
  <c r="Y1440" i="10"/>
  <c r="Z1440" i="10" s="1"/>
  <c r="Y1439" i="10"/>
  <c r="Z1439" i="10" s="1"/>
  <c r="Y1438" i="10"/>
  <c r="Z1438" i="10" s="1"/>
  <c r="Z1437" i="10"/>
  <c r="Y1437" i="10"/>
  <c r="Y1436" i="10"/>
  <c r="Z1436" i="10" s="1"/>
  <c r="Y1435" i="10"/>
  <c r="Z1435" i="10" s="1"/>
  <c r="Y1434" i="10"/>
  <c r="Z1434" i="10" s="1"/>
  <c r="Y1433" i="10"/>
  <c r="Z1433" i="10" s="1"/>
  <c r="Y1432" i="10"/>
  <c r="Z1432" i="10" s="1"/>
  <c r="Y1431" i="10"/>
  <c r="Z1431" i="10" s="1"/>
  <c r="Y1430" i="10"/>
  <c r="Z1430" i="10" s="1"/>
  <c r="Y1429" i="10"/>
  <c r="Z1429" i="10" s="1"/>
  <c r="Z1428" i="10"/>
  <c r="Y1428" i="10"/>
  <c r="Y1427" i="10"/>
  <c r="Z1427" i="10" s="1"/>
  <c r="V1425" i="10"/>
  <c r="G1425" i="10"/>
  <c r="L1427" i="10" s="1"/>
  <c r="J1420" i="10"/>
  <c r="H1420" i="10"/>
  <c r="F1419" i="10"/>
  <c r="D1414" i="10"/>
  <c r="D1351" i="10"/>
  <c r="V1351" i="10" s="1"/>
  <c r="L1406" i="10"/>
  <c r="D1406" i="10"/>
  <c r="Y1395" i="10"/>
  <c r="Z1395" i="10" s="1"/>
  <c r="Y1394" i="10"/>
  <c r="Z1394" i="10" s="1"/>
  <c r="Y1393" i="10"/>
  <c r="Z1393" i="10" s="1"/>
  <c r="Y1392" i="10"/>
  <c r="Z1392" i="10" s="1"/>
  <c r="Y1391" i="10"/>
  <c r="Z1391" i="10" s="1"/>
  <c r="Y1390" i="10"/>
  <c r="Z1390" i="10" s="1"/>
  <c r="Y1389" i="10"/>
  <c r="Z1389" i="10" s="1"/>
  <c r="Y1388" i="10"/>
  <c r="Z1388" i="10" s="1"/>
  <c r="Y1387" i="10"/>
  <c r="Z1387" i="10" s="1"/>
  <c r="Z1386" i="10"/>
  <c r="Y1386" i="10"/>
  <c r="Y1385" i="10"/>
  <c r="Z1385" i="10" s="1"/>
  <c r="Z1384" i="10"/>
  <c r="Y1384" i="10"/>
  <c r="Y1383" i="10"/>
  <c r="Z1383" i="10" s="1"/>
  <c r="Y1382" i="10"/>
  <c r="Z1382" i="10" s="1"/>
  <c r="Y1381" i="10"/>
  <c r="Z1381" i="10" s="1"/>
  <c r="Y1380" i="10"/>
  <c r="Z1380" i="10" s="1"/>
  <c r="Y1379" i="10"/>
  <c r="Z1379" i="10" s="1"/>
  <c r="Y1378" i="10"/>
  <c r="Z1378" i="10" s="1"/>
  <c r="Z1377" i="10"/>
  <c r="Y1377" i="10"/>
  <c r="Y1376" i="10"/>
  <c r="Z1376" i="10" s="1"/>
  <c r="Z1375" i="10"/>
  <c r="Y1375" i="10"/>
  <c r="Y1374" i="10"/>
  <c r="Z1374" i="10" s="1"/>
  <c r="Y1373" i="10"/>
  <c r="Z1373" i="10" s="1"/>
  <c r="Y1372" i="10"/>
  <c r="Z1372" i="10" s="1"/>
  <c r="Y1371" i="10"/>
  <c r="Z1371" i="10" s="1"/>
  <c r="Y1370" i="10"/>
  <c r="Z1370" i="10" s="1"/>
  <c r="Y1369" i="10"/>
  <c r="Z1369" i="10" s="1"/>
  <c r="W1369" i="10"/>
  <c r="Y1368" i="10"/>
  <c r="Z1368" i="10" s="1"/>
  <c r="Y1367" i="10"/>
  <c r="Z1367" i="10" s="1"/>
  <c r="Y1366" i="10"/>
  <c r="Z1366" i="10" s="1"/>
  <c r="Y1365" i="10"/>
  <c r="Z1365" i="10" s="1"/>
  <c r="Z1364" i="10"/>
  <c r="Y1364" i="10"/>
  <c r="Y1363" i="10"/>
  <c r="Z1363" i="10" s="1"/>
  <c r="Y1362" i="10"/>
  <c r="Z1362" i="10" s="1"/>
  <c r="Y1361" i="10"/>
  <c r="Z1361" i="10" s="1"/>
  <c r="Y1360" i="10"/>
  <c r="Z1360" i="10" s="1"/>
  <c r="Y1359" i="10"/>
  <c r="Z1359" i="10" s="1"/>
  <c r="Y1358" i="10"/>
  <c r="Z1358" i="10" s="1"/>
  <c r="Y1357" i="10"/>
  <c r="Z1357" i="10" s="1"/>
  <c r="Y1356" i="10"/>
  <c r="Z1356" i="10" s="1"/>
  <c r="Y1355" i="10"/>
  <c r="Z1355" i="10" s="1"/>
  <c r="Y1354" i="10"/>
  <c r="Z1354" i="10" s="1"/>
  <c r="Y1353" i="10"/>
  <c r="Z1353" i="10" s="1"/>
  <c r="J1346" i="10"/>
  <c r="H1346" i="10"/>
  <c r="F1345" i="10"/>
  <c r="D1340" i="10"/>
  <c r="W1294" i="10"/>
  <c r="Y1278" i="10"/>
  <c r="Z1278" i="10" s="1"/>
  <c r="D1276" i="10"/>
  <c r="Y1130" i="10"/>
  <c r="Z1130" i="10" s="1"/>
  <c r="D1202" i="10"/>
  <c r="G1202" i="10" s="1"/>
  <c r="L1204" i="10" s="1"/>
  <c r="L1331" i="10"/>
  <c r="D1331" i="10"/>
  <c r="Y1320" i="10"/>
  <c r="Z1320" i="10" s="1"/>
  <c r="Y1319" i="10"/>
  <c r="Z1319" i="10" s="1"/>
  <c r="Y1318" i="10"/>
  <c r="Z1318" i="10" s="1"/>
  <c r="Y1317" i="10"/>
  <c r="Z1317" i="10" s="1"/>
  <c r="Y1316" i="10"/>
  <c r="Z1316" i="10" s="1"/>
  <c r="Y1315" i="10"/>
  <c r="Z1315" i="10" s="1"/>
  <c r="Y1314" i="10"/>
  <c r="Z1314" i="10" s="1"/>
  <c r="Y1313" i="10"/>
  <c r="Z1313" i="10" s="1"/>
  <c r="Y1312" i="10"/>
  <c r="Z1312" i="10" s="1"/>
  <c r="Y1311" i="10"/>
  <c r="Z1311" i="10" s="1"/>
  <c r="Y1310" i="10"/>
  <c r="Z1310" i="10" s="1"/>
  <c r="Y1309" i="10"/>
  <c r="Z1309" i="10" s="1"/>
  <c r="Y1308" i="10"/>
  <c r="Z1308" i="10" s="1"/>
  <c r="Y1307" i="10"/>
  <c r="Z1307" i="10" s="1"/>
  <c r="Y1306" i="10"/>
  <c r="Z1306" i="10" s="1"/>
  <c r="Y1305" i="10"/>
  <c r="Z1305" i="10" s="1"/>
  <c r="Y1304" i="10"/>
  <c r="Z1304" i="10" s="1"/>
  <c r="Y1303" i="10"/>
  <c r="Z1303" i="10" s="1"/>
  <c r="Y1302" i="10"/>
  <c r="Z1302" i="10" s="1"/>
  <c r="Y1301" i="10"/>
  <c r="Z1301" i="10" s="1"/>
  <c r="Y1300" i="10"/>
  <c r="Z1300" i="10" s="1"/>
  <c r="Y1299" i="10"/>
  <c r="Z1299" i="10" s="1"/>
  <c r="Y1298" i="10"/>
  <c r="Z1298" i="10" s="1"/>
  <c r="Y1297" i="10"/>
  <c r="Z1297" i="10" s="1"/>
  <c r="Y1296" i="10"/>
  <c r="Z1296" i="10" s="1"/>
  <c r="Y1295" i="10"/>
  <c r="Z1295" i="10" s="1"/>
  <c r="Y1294" i="10"/>
  <c r="Z1294" i="10" s="1"/>
  <c r="Y1293" i="10"/>
  <c r="Z1293" i="10" s="1"/>
  <c r="Y1292" i="10"/>
  <c r="Z1292" i="10" s="1"/>
  <c r="Y1291" i="10"/>
  <c r="Z1291" i="10" s="1"/>
  <c r="Y1290" i="10"/>
  <c r="Z1290" i="10" s="1"/>
  <c r="Y1289" i="10"/>
  <c r="Z1289" i="10" s="1"/>
  <c r="Y1288" i="10"/>
  <c r="Z1288" i="10" s="1"/>
  <c r="Y1287" i="10"/>
  <c r="Z1287" i="10" s="1"/>
  <c r="Y1286" i="10"/>
  <c r="Z1286" i="10" s="1"/>
  <c r="Y1285" i="10"/>
  <c r="Z1285" i="10" s="1"/>
  <c r="Y1284" i="10"/>
  <c r="Z1284" i="10" s="1"/>
  <c r="Y1283" i="10"/>
  <c r="Z1283" i="10" s="1"/>
  <c r="Y1282" i="10"/>
  <c r="Z1282" i="10" s="1"/>
  <c r="Y1281" i="10"/>
  <c r="Z1281" i="10" s="1"/>
  <c r="Y1280" i="10"/>
  <c r="Z1280" i="10" s="1"/>
  <c r="Y1279" i="10"/>
  <c r="Z1279" i="10" s="1"/>
  <c r="V1276" i="10"/>
  <c r="J1271" i="10"/>
  <c r="H1271" i="10"/>
  <c r="F1270" i="10"/>
  <c r="D1265" i="10"/>
  <c r="L1257" i="10"/>
  <c r="D1257" i="10"/>
  <c r="Y1246" i="10"/>
  <c r="Z1246" i="10" s="1"/>
  <c r="Y1245" i="10"/>
  <c r="Z1245" i="10" s="1"/>
  <c r="Y1244" i="10"/>
  <c r="Z1244" i="10" s="1"/>
  <c r="Y1243" i="10"/>
  <c r="Z1243" i="10" s="1"/>
  <c r="Y1242" i="10"/>
  <c r="Z1242" i="10" s="1"/>
  <c r="Y1241" i="10"/>
  <c r="Z1241" i="10" s="1"/>
  <c r="Y1240" i="10"/>
  <c r="Z1240" i="10" s="1"/>
  <c r="Y1239" i="10"/>
  <c r="Z1239" i="10" s="1"/>
  <c r="Y1238" i="10"/>
  <c r="Z1238" i="10" s="1"/>
  <c r="Y1237" i="10"/>
  <c r="Z1237" i="10" s="1"/>
  <c r="Y1236" i="10"/>
  <c r="Z1236" i="10" s="1"/>
  <c r="Y1235" i="10"/>
  <c r="Z1235" i="10" s="1"/>
  <c r="Y1234" i="10"/>
  <c r="Z1234" i="10" s="1"/>
  <c r="Y1233" i="10"/>
  <c r="Z1233" i="10" s="1"/>
  <c r="Y1232" i="10"/>
  <c r="Z1232" i="10" s="1"/>
  <c r="Y1231" i="10"/>
  <c r="Z1231" i="10" s="1"/>
  <c r="Y1230" i="10"/>
  <c r="Z1230" i="10" s="1"/>
  <c r="Y1229" i="10"/>
  <c r="Z1229" i="10" s="1"/>
  <c r="Y1228" i="10"/>
  <c r="Z1228" i="10" s="1"/>
  <c r="Y1227" i="10"/>
  <c r="Z1227" i="10" s="1"/>
  <c r="Y1226" i="10"/>
  <c r="Z1226" i="10" s="1"/>
  <c r="Y1225" i="10"/>
  <c r="Z1225" i="10" s="1"/>
  <c r="Y1224" i="10"/>
  <c r="Z1224" i="10" s="1"/>
  <c r="Y1223" i="10"/>
  <c r="Z1223" i="10" s="1"/>
  <c r="Y1222" i="10"/>
  <c r="Z1222" i="10" s="1"/>
  <c r="Y1221" i="10"/>
  <c r="Z1221" i="10" s="1"/>
  <c r="Y1220" i="10"/>
  <c r="Z1220" i="10" s="1"/>
  <c r="W1220" i="10"/>
  <c r="Y1219" i="10"/>
  <c r="Z1219" i="10" s="1"/>
  <c r="Y1218" i="10"/>
  <c r="Z1218" i="10" s="1"/>
  <c r="Y1217" i="10"/>
  <c r="Z1217" i="10" s="1"/>
  <c r="Y1216" i="10"/>
  <c r="Z1216" i="10" s="1"/>
  <c r="Y1215" i="10"/>
  <c r="Z1215" i="10" s="1"/>
  <c r="Y1214" i="10"/>
  <c r="Z1214" i="10" s="1"/>
  <c r="Y1213" i="10"/>
  <c r="Z1213" i="10" s="1"/>
  <c r="Y1212" i="10"/>
  <c r="Z1212" i="10" s="1"/>
  <c r="Y1211" i="10"/>
  <c r="Z1211" i="10" s="1"/>
  <c r="Y1210" i="10"/>
  <c r="Z1210" i="10" s="1"/>
  <c r="Y1209" i="10"/>
  <c r="Z1209" i="10" s="1"/>
  <c r="Y1208" i="10"/>
  <c r="Z1208" i="10" s="1"/>
  <c r="Y1207" i="10"/>
  <c r="Z1207" i="10" s="1"/>
  <c r="Y1206" i="10"/>
  <c r="Z1206" i="10" s="1"/>
  <c r="Y1205" i="10"/>
  <c r="Z1205" i="10" s="1"/>
  <c r="Y1204" i="10"/>
  <c r="Z1204" i="10" s="1"/>
  <c r="J1197" i="10"/>
  <c r="H1197" i="10"/>
  <c r="F1196" i="10"/>
  <c r="D1191" i="10"/>
  <c r="D1128" i="10"/>
  <c r="V1128" i="10" s="1"/>
  <c r="L1183" i="10"/>
  <c r="D1183" i="10"/>
  <c r="Y1172" i="10"/>
  <c r="Z1172" i="10" s="1"/>
  <c r="Y1171" i="10"/>
  <c r="Z1171" i="10" s="1"/>
  <c r="Y1170" i="10"/>
  <c r="Z1170" i="10" s="1"/>
  <c r="Y1169" i="10"/>
  <c r="Z1169" i="10" s="1"/>
  <c r="Y1168" i="10"/>
  <c r="Z1168" i="10" s="1"/>
  <c r="Y1167" i="10"/>
  <c r="Z1167" i="10" s="1"/>
  <c r="Y1166" i="10"/>
  <c r="Z1166" i="10" s="1"/>
  <c r="Y1165" i="10"/>
  <c r="Z1165" i="10" s="1"/>
  <c r="Y1164" i="10"/>
  <c r="Z1164" i="10" s="1"/>
  <c r="Y1163" i="10"/>
  <c r="Z1163" i="10" s="1"/>
  <c r="Y1162" i="10"/>
  <c r="Z1162" i="10" s="1"/>
  <c r="Y1161" i="10"/>
  <c r="Z1161" i="10" s="1"/>
  <c r="Y1160" i="10"/>
  <c r="Z1160" i="10" s="1"/>
  <c r="Y1159" i="10"/>
  <c r="Z1159" i="10" s="1"/>
  <c r="Y1158" i="10"/>
  <c r="Z1158" i="10" s="1"/>
  <c r="Y1157" i="10"/>
  <c r="Z1157" i="10" s="1"/>
  <c r="Y1156" i="10"/>
  <c r="Z1156" i="10" s="1"/>
  <c r="Y1155" i="10"/>
  <c r="Z1155" i="10" s="1"/>
  <c r="Y1154" i="10"/>
  <c r="Z1154" i="10" s="1"/>
  <c r="Y1153" i="10"/>
  <c r="Z1153" i="10" s="1"/>
  <c r="Y1152" i="10"/>
  <c r="Z1152" i="10" s="1"/>
  <c r="Y1151" i="10"/>
  <c r="Z1151" i="10" s="1"/>
  <c r="Y1150" i="10"/>
  <c r="Z1150" i="10" s="1"/>
  <c r="Y1149" i="10"/>
  <c r="Z1149" i="10" s="1"/>
  <c r="Y1148" i="10"/>
  <c r="Z1148" i="10" s="1"/>
  <c r="Y1147" i="10"/>
  <c r="Z1147" i="10" s="1"/>
  <c r="Y1146" i="10"/>
  <c r="Z1146" i="10" s="1"/>
  <c r="W1146" i="10"/>
  <c r="Y1145" i="10"/>
  <c r="Z1145" i="10" s="1"/>
  <c r="Y1144" i="10"/>
  <c r="Z1144" i="10" s="1"/>
  <c r="Y1143" i="10"/>
  <c r="Z1143" i="10" s="1"/>
  <c r="Y1142" i="10"/>
  <c r="Z1142" i="10" s="1"/>
  <c r="Y1141" i="10"/>
  <c r="Z1141" i="10" s="1"/>
  <c r="Y1140" i="10"/>
  <c r="Z1140" i="10" s="1"/>
  <c r="Y1139" i="10"/>
  <c r="Z1139" i="10" s="1"/>
  <c r="Y1138" i="10"/>
  <c r="Z1138" i="10" s="1"/>
  <c r="Y1137" i="10"/>
  <c r="Z1137" i="10" s="1"/>
  <c r="Y1136" i="10"/>
  <c r="Z1136" i="10" s="1"/>
  <c r="Y1135" i="10"/>
  <c r="Z1135" i="10" s="1"/>
  <c r="Y1134" i="10"/>
  <c r="Z1134" i="10" s="1"/>
  <c r="Y1133" i="10"/>
  <c r="Z1133" i="10" s="1"/>
  <c r="Y1132" i="10"/>
  <c r="Z1132" i="10" s="1"/>
  <c r="Y1131" i="10"/>
  <c r="Z1131" i="10" s="1"/>
  <c r="J1123" i="10"/>
  <c r="H1123" i="10"/>
  <c r="F1122" i="10"/>
  <c r="D1117" i="10"/>
  <c r="D1054" i="10"/>
  <c r="G1054" i="10" s="1"/>
  <c r="L1056" i="10" s="1"/>
  <c r="W998" i="10"/>
  <c r="D980" i="10"/>
  <c r="D906" i="10"/>
  <c r="V906" i="10" s="1"/>
  <c r="Y845" i="10"/>
  <c r="Z845" i="10" s="1"/>
  <c r="Y849" i="10"/>
  <c r="Y861" i="10"/>
  <c r="Z861" i="10" s="1"/>
  <c r="D832" i="10"/>
  <c r="Y793" i="10"/>
  <c r="Y761" i="10"/>
  <c r="Y762" i="10"/>
  <c r="D758" i="10"/>
  <c r="V758" i="10" s="1"/>
  <c r="O708" i="10"/>
  <c r="M708" i="10" s="1"/>
  <c r="M702" i="10"/>
  <c r="P700" i="10"/>
  <c r="M700" i="10" s="1"/>
  <c r="D684" i="10"/>
  <c r="G684" i="10" s="1"/>
  <c r="L686" i="10" s="1"/>
  <c r="D610" i="10"/>
  <c r="E610" i="10" s="1"/>
  <c r="D536" i="10"/>
  <c r="G536" i="10" s="1"/>
  <c r="L538" i="10" s="1"/>
  <c r="D462" i="10"/>
  <c r="D388" i="10"/>
  <c r="V388" i="10" s="1"/>
  <c r="Y328" i="10"/>
  <c r="Z328" i="10" s="1"/>
  <c r="Y344" i="10"/>
  <c r="D314" i="10"/>
  <c r="V314" i="10" s="1"/>
  <c r="V302" i="10"/>
  <c r="V303" i="10"/>
  <c r="V304" i="10"/>
  <c r="V305" i="10"/>
  <c r="V306" i="10"/>
  <c r="V307" i="10"/>
  <c r="V308" i="10"/>
  <c r="V309" i="10"/>
  <c r="V310" i="10"/>
  <c r="V311" i="10"/>
  <c r="V312" i="10"/>
  <c r="V313" i="10"/>
  <c r="V315" i="10"/>
  <c r="D239" i="10"/>
  <c r="R203" i="10"/>
  <c r="V203" i="10" s="1"/>
  <c r="R197" i="10"/>
  <c r="R181" i="10"/>
  <c r="R168" i="10"/>
  <c r="R169" i="10"/>
  <c r="R170" i="10"/>
  <c r="R171" i="10"/>
  <c r="R172" i="10"/>
  <c r="R173" i="10"/>
  <c r="R174" i="10"/>
  <c r="R175" i="10"/>
  <c r="R176" i="10"/>
  <c r="R177" i="10"/>
  <c r="R178" i="10"/>
  <c r="R179" i="10"/>
  <c r="R180" i="10"/>
  <c r="R182" i="10"/>
  <c r="R183" i="10"/>
  <c r="R184" i="10"/>
  <c r="R185" i="10"/>
  <c r="R186" i="10"/>
  <c r="R187" i="10"/>
  <c r="R188" i="10"/>
  <c r="R189" i="10"/>
  <c r="R190" i="10"/>
  <c r="R191" i="10"/>
  <c r="R192" i="10"/>
  <c r="R193" i="10"/>
  <c r="R194" i="10"/>
  <c r="R195" i="10"/>
  <c r="R196" i="10"/>
  <c r="R198" i="10"/>
  <c r="R199" i="10"/>
  <c r="R200" i="10"/>
  <c r="R201" i="10"/>
  <c r="R202" i="10"/>
  <c r="R204" i="10"/>
  <c r="R205" i="10"/>
  <c r="R206" i="10"/>
  <c r="R207" i="10"/>
  <c r="R208" i="10"/>
  <c r="R209" i="10"/>
  <c r="R167" i="10"/>
  <c r="D165" i="10"/>
  <c r="G165" i="10" s="1"/>
  <c r="L167" i="10" s="1"/>
  <c r="R115" i="10"/>
  <c r="R113" i="10"/>
  <c r="R107" i="10"/>
  <c r="R99" i="10"/>
  <c r="T94" i="10"/>
  <c r="T95" i="10"/>
  <c r="T96" i="10"/>
  <c r="T97" i="10"/>
  <c r="T98" i="10"/>
  <c r="T99" i="10"/>
  <c r="T100" i="10"/>
  <c r="T101" i="10"/>
  <c r="T102" i="10"/>
  <c r="T103" i="10"/>
  <c r="T104" i="10"/>
  <c r="T105" i="10"/>
  <c r="T106" i="10"/>
  <c r="T107" i="10"/>
  <c r="T108" i="10"/>
  <c r="T109" i="10"/>
  <c r="T110" i="10"/>
  <c r="T111" i="10"/>
  <c r="T112" i="10"/>
  <c r="T113" i="10"/>
  <c r="T114" i="10"/>
  <c r="T115" i="10"/>
  <c r="T116" i="10"/>
  <c r="T117" i="10"/>
  <c r="T118" i="10"/>
  <c r="T119" i="10"/>
  <c r="T120" i="10"/>
  <c r="T121" i="10"/>
  <c r="T122" i="10"/>
  <c r="T123" i="10"/>
  <c r="T124" i="10"/>
  <c r="T125" i="10"/>
  <c r="T126" i="10"/>
  <c r="T127" i="10"/>
  <c r="T128" i="10"/>
  <c r="T129" i="10"/>
  <c r="T130" i="10"/>
  <c r="T131" i="10"/>
  <c r="T132" i="10"/>
  <c r="T133" i="10"/>
  <c r="T134" i="10"/>
  <c r="T135" i="10"/>
  <c r="R93" i="10"/>
  <c r="T93" i="10"/>
  <c r="Y94" i="10"/>
  <c r="Z94" i="10" s="1"/>
  <c r="Y95" i="10"/>
  <c r="Z95" i="10" s="1"/>
  <c r="Y96" i="10"/>
  <c r="Z96" i="10" s="1"/>
  <c r="Y97" i="10"/>
  <c r="Z97" i="10" s="1"/>
  <c r="Y98" i="10"/>
  <c r="Z98" i="10" s="1"/>
  <c r="Y99" i="10"/>
  <c r="Z99" i="10" s="1"/>
  <c r="Y100" i="10"/>
  <c r="Z100" i="10" s="1"/>
  <c r="Y101" i="10"/>
  <c r="Y102" i="10"/>
  <c r="Y103" i="10"/>
  <c r="Y104" i="10"/>
  <c r="Z104" i="10" s="1"/>
  <c r="Y105" i="10"/>
  <c r="Y106" i="10"/>
  <c r="Z106" i="10" s="1"/>
  <c r="Y107" i="10"/>
  <c r="Z107" i="10" s="1"/>
  <c r="Y108" i="10"/>
  <c r="Z108" i="10" s="1"/>
  <c r="Y109" i="10"/>
  <c r="Z109" i="10" s="1"/>
  <c r="Y110" i="10"/>
  <c r="Z110" i="10" s="1"/>
  <c r="Y111" i="10"/>
  <c r="Z111" i="10" s="1"/>
  <c r="Y112" i="10"/>
  <c r="Y113" i="10"/>
  <c r="Z113" i="10" s="1"/>
  <c r="Y114" i="10"/>
  <c r="Z114" i="10" s="1"/>
  <c r="Y115" i="10"/>
  <c r="Z115" i="10" s="1"/>
  <c r="Y116" i="10"/>
  <c r="Z116" i="10" s="1"/>
  <c r="Y117" i="10"/>
  <c r="Y118" i="10"/>
  <c r="Y119" i="10"/>
  <c r="Y120" i="10"/>
  <c r="Y121" i="10"/>
  <c r="Y122" i="10"/>
  <c r="Z122" i="10" s="1"/>
  <c r="Y123" i="10"/>
  <c r="Y124" i="10"/>
  <c r="Z124" i="10" s="1"/>
  <c r="Y125" i="10"/>
  <c r="Z125" i="10" s="1"/>
  <c r="Y126" i="10"/>
  <c r="Z126" i="10" s="1"/>
  <c r="Y127" i="10"/>
  <c r="Z127" i="10" s="1"/>
  <c r="Y128" i="10"/>
  <c r="Z128" i="10" s="1"/>
  <c r="Y129" i="10"/>
  <c r="Y130" i="10"/>
  <c r="Z130" i="10" s="1"/>
  <c r="Y131" i="10"/>
  <c r="Y132" i="10"/>
  <c r="Y133" i="10"/>
  <c r="Y134" i="10"/>
  <c r="Y135" i="10"/>
  <c r="Y93" i="10"/>
  <c r="D91" i="10"/>
  <c r="E91" i="10" s="1"/>
  <c r="P48" i="10"/>
  <c r="P32" i="10"/>
  <c r="Y32" i="10" s="1"/>
  <c r="P18" i="10"/>
  <c r="D16" i="10"/>
  <c r="E16" i="10" s="1"/>
  <c r="L1109" i="10"/>
  <c r="D1109" i="10"/>
  <c r="Y1098" i="10"/>
  <c r="Z1098" i="10" s="1"/>
  <c r="Y1097" i="10"/>
  <c r="Z1097" i="10" s="1"/>
  <c r="Y1096" i="10"/>
  <c r="Z1096" i="10" s="1"/>
  <c r="Y1095" i="10"/>
  <c r="Z1095" i="10" s="1"/>
  <c r="Y1094" i="10"/>
  <c r="Z1094" i="10" s="1"/>
  <c r="Y1093" i="10"/>
  <c r="Z1093" i="10" s="1"/>
  <c r="Y1092" i="10"/>
  <c r="Z1092" i="10" s="1"/>
  <c r="Y1091" i="10"/>
  <c r="Z1091" i="10" s="1"/>
  <c r="Y1090" i="10"/>
  <c r="Z1090" i="10" s="1"/>
  <c r="Y1089" i="10"/>
  <c r="Z1089" i="10" s="1"/>
  <c r="Y1088" i="10"/>
  <c r="Z1088" i="10" s="1"/>
  <c r="Y1087" i="10"/>
  <c r="Z1087" i="10" s="1"/>
  <c r="Y1086" i="10"/>
  <c r="Z1086" i="10" s="1"/>
  <c r="Y1085" i="10"/>
  <c r="Z1085" i="10" s="1"/>
  <c r="Y1084" i="10"/>
  <c r="Z1084" i="10" s="1"/>
  <c r="Y1081" i="10"/>
  <c r="Z1081" i="10" s="1"/>
  <c r="Y1079" i="10"/>
  <c r="Z1079" i="10" s="1"/>
  <c r="Y1078" i="10"/>
  <c r="Z1078" i="10" s="1"/>
  <c r="Y1077" i="10"/>
  <c r="Z1077" i="10" s="1"/>
  <c r="Y1076" i="10"/>
  <c r="Z1076" i="10" s="1"/>
  <c r="Y1073" i="10"/>
  <c r="Z1073" i="10" s="1"/>
  <c r="W1072" i="10"/>
  <c r="Y1070" i="10"/>
  <c r="Z1070" i="10" s="1"/>
  <c r="Y1069" i="10"/>
  <c r="Z1069" i="10" s="1"/>
  <c r="Y1068" i="10"/>
  <c r="Z1068" i="10" s="1"/>
  <c r="Y1067" i="10"/>
  <c r="Z1067" i="10" s="1"/>
  <c r="Y1066" i="10"/>
  <c r="Z1066" i="10" s="1"/>
  <c r="Y1064" i="10"/>
  <c r="Z1064" i="10" s="1"/>
  <c r="Y1063" i="10"/>
  <c r="Z1063" i="10" s="1"/>
  <c r="Y1060" i="10"/>
  <c r="Z1060" i="10" s="1"/>
  <c r="Y1059" i="10"/>
  <c r="Z1059" i="10" s="1"/>
  <c r="Y1058" i="10"/>
  <c r="Z1058" i="10" s="1"/>
  <c r="Y1057" i="10"/>
  <c r="Z1057" i="10" s="1"/>
  <c r="Y1056" i="10"/>
  <c r="Z1056" i="10" s="1"/>
  <c r="J1049" i="10"/>
  <c r="H1049" i="10"/>
  <c r="F1048" i="10"/>
  <c r="D1043" i="10"/>
  <c r="L1035" i="10"/>
  <c r="D1035" i="10"/>
  <c r="Y1024" i="10"/>
  <c r="Y1023" i="10"/>
  <c r="Z1023" i="10" s="1"/>
  <c r="Y1022" i="10"/>
  <c r="Y1021" i="10"/>
  <c r="Y1020" i="10"/>
  <c r="Y1019" i="10"/>
  <c r="Z1019" i="10" s="1"/>
  <c r="Y1018" i="10"/>
  <c r="Y1017" i="10"/>
  <c r="Y1016" i="10"/>
  <c r="Y1015" i="10"/>
  <c r="Z1015" i="10" s="1"/>
  <c r="Y1014" i="10"/>
  <c r="Y1013" i="10"/>
  <c r="Y1012" i="10"/>
  <c r="Y1011" i="10"/>
  <c r="Z1011" i="10" s="1"/>
  <c r="Y1010" i="10"/>
  <c r="Y1009" i="10"/>
  <c r="Y1008" i="10"/>
  <c r="Y1007" i="10"/>
  <c r="Z1007" i="10" s="1"/>
  <c r="Y1006" i="10"/>
  <c r="Z1006" i="10" s="1"/>
  <c r="Y1005" i="10"/>
  <c r="Y1004" i="10"/>
  <c r="Z1004" i="10" s="1"/>
  <c r="Y1003" i="10"/>
  <c r="Z1003" i="10" s="1"/>
  <c r="Y1002" i="10"/>
  <c r="Y1001" i="10"/>
  <c r="Y1000" i="10"/>
  <c r="Y999" i="10"/>
  <c r="Z999" i="10" s="1"/>
  <c r="Y998" i="10"/>
  <c r="Y997" i="10"/>
  <c r="Z997" i="10" s="1"/>
  <c r="Y996" i="10"/>
  <c r="Y995" i="10"/>
  <c r="Z995" i="10" s="1"/>
  <c r="Y994" i="10"/>
  <c r="Y993" i="10"/>
  <c r="Z993" i="10" s="1"/>
  <c r="Y992" i="10"/>
  <c r="Z992" i="10" s="1"/>
  <c r="Y991" i="10"/>
  <c r="Z991" i="10" s="1"/>
  <c r="Y990" i="10"/>
  <c r="Z990" i="10" s="1"/>
  <c r="Y989" i="10"/>
  <c r="Z989" i="10" s="1"/>
  <c r="Y988" i="10"/>
  <c r="Z988" i="10" s="1"/>
  <c r="Y987" i="10"/>
  <c r="Z987" i="10" s="1"/>
  <c r="Y986" i="10"/>
  <c r="Z986" i="10" s="1"/>
  <c r="Y985" i="10"/>
  <c r="Z985" i="10" s="1"/>
  <c r="Y984" i="10"/>
  <c r="Z984" i="10" s="1"/>
  <c r="Y983" i="10"/>
  <c r="Y982" i="10"/>
  <c r="Z982" i="10" s="1"/>
  <c r="V980" i="10"/>
  <c r="G980" i="10"/>
  <c r="L982" i="10" s="1"/>
  <c r="E980" i="10"/>
  <c r="J975" i="10"/>
  <c r="H975" i="10"/>
  <c r="F974" i="10"/>
  <c r="D969" i="10"/>
  <c r="L961" i="10"/>
  <c r="D961" i="10"/>
  <c r="Y950" i="10"/>
  <c r="Y949" i="10"/>
  <c r="Y948" i="10"/>
  <c r="Z948" i="10" s="1"/>
  <c r="Y947" i="10"/>
  <c r="Y946" i="10"/>
  <c r="Y945" i="10"/>
  <c r="Y944" i="10"/>
  <c r="Z944" i="10" s="1"/>
  <c r="Y943" i="10"/>
  <c r="Y942" i="10"/>
  <c r="Y941" i="10"/>
  <c r="Z941" i="10" s="1"/>
  <c r="Y940" i="10"/>
  <c r="Z940" i="10" s="1"/>
  <c r="Y939" i="10"/>
  <c r="Y938" i="10"/>
  <c r="Y937" i="10"/>
  <c r="Y936" i="10"/>
  <c r="Z936" i="10" s="1"/>
  <c r="Y935" i="10"/>
  <c r="Y934" i="10"/>
  <c r="Y933" i="10"/>
  <c r="Y932" i="10"/>
  <c r="Y931" i="10"/>
  <c r="Y930" i="10"/>
  <c r="Y929" i="10"/>
  <c r="Y928" i="10"/>
  <c r="Y927" i="10"/>
  <c r="Y926" i="10"/>
  <c r="Y925" i="10"/>
  <c r="Y924" i="10"/>
  <c r="Y923" i="10"/>
  <c r="Y922" i="10"/>
  <c r="Y921" i="10"/>
  <c r="Y920" i="10"/>
  <c r="Y919" i="10"/>
  <c r="Y918" i="10"/>
  <c r="Y917" i="10"/>
  <c r="Y916" i="10"/>
  <c r="Y915" i="10"/>
  <c r="Y914" i="10"/>
  <c r="Y913" i="10"/>
  <c r="Z913" i="10" s="1"/>
  <c r="Y912" i="10"/>
  <c r="Z912" i="10" s="1"/>
  <c r="Y911" i="10"/>
  <c r="Z911" i="10" s="1"/>
  <c r="Y910" i="10"/>
  <c r="Z910" i="10" s="1"/>
  <c r="Y909" i="10"/>
  <c r="Z909" i="10" s="1"/>
  <c r="Y908" i="10"/>
  <c r="Z908" i="10" s="1"/>
  <c r="J901" i="10"/>
  <c r="H901" i="10"/>
  <c r="F900" i="10"/>
  <c r="D895" i="10"/>
  <c r="L887" i="10"/>
  <c r="D887" i="10"/>
  <c r="Y875" i="10"/>
  <c r="Y874" i="10"/>
  <c r="Y872" i="10"/>
  <c r="Y870" i="10"/>
  <c r="Y867" i="10"/>
  <c r="Y866" i="10"/>
  <c r="Y864" i="10"/>
  <c r="Y863" i="10"/>
  <c r="Y862" i="10"/>
  <c r="Y859" i="10"/>
  <c r="Y856" i="10"/>
  <c r="Y855" i="10"/>
  <c r="Y854" i="10"/>
  <c r="Y853" i="10"/>
  <c r="Y850" i="10"/>
  <c r="Y848" i="10"/>
  <c r="Y847" i="10"/>
  <c r="Y846" i="10"/>
  <c r="Y843" i="10"/>
  <c r="Y842" i="10"/>
  <c r="Y841" i="10"/>
  <c r="Y840" i="10"/>
  <c r="Y838" i="10"/>
  <c r="Y837" i="10"/>
  <c r="Y835" i="10"/>
  <c r="Y834" i="10"/>
  <c r="Z834" i="10" s="1"/>
  <c r="V832" i="10"/>
  <c r="G832" i="10"/>
  <c r="L834" i="10" s="1"/>
  <c r="E832" i="10"/>
  <c r="J827" i="10"/>
  <c r="H827" i="10"/>
  <c r="F826" i="10"/>
  <c r="D821" i="10"/>
  <c r="L813" i="10"/>
  <c r="D813" i="10"/>
  <c r="Y802" i="10"/>
  <c r="Y801" i="10"/>
  <c r="Z801" i="10" s="1"/>
  <c r="Y800" i="10"/>
  <c r="Z800" i="10" s="1"/>
  <c r="Y798" i="10"/>
  <c r="Y797" i="10"/>
  <c r="Y796" i="10"/>
  <c r="Z796" i="10" s="1"/>
  <c r="Y794" i="10"/>
  <c r="Y792" i="10"/>
  <c r="Y790" i="10"/>
  <c r="Y789" i="10"/>
  <c r="Y788" i="10"/>
  <c r="Y787" i="10"/>
  <c r="Y786" i="10"/>
  <c r="Y785" i="10"/>
  <c r="Y782" i="10"/>
  <c r="Y781" i="10"/>
  <c r="Y780" i="10"/>
  <c r="Y778" i="10"/>
  <c r="Z778" i="10" s="1"/>
  <c r="Y776" i="10"/>
  <c r="Y775" i="10"/>
  <c r="Y774" i="10"/>
  <c r="Y773" i="10"/>
  <c r="Y772" i="10"/>
  <c r="Y771" i="10"/>
  <c r="Y770" i="10"/>
  <c r="Y769" i="10"/>
  <c r="Y768" i="10"/>
  <c r="Y767" i="10"/>
  <c r="Y766" i="10"/>
  <c r="Y764" i="10"/>
  <c r="Y763" i="10"/>
  <c r="Y760" i="10"/>
  <c r="J753" i="10"/>
  <c r="H753" i="10"/>
  <c r="F752" i="10"/>
  <c r="D747" i="10"/>
  <c r="L739" i="10"/>
  <c r="D739" i="10"/>
  <c r="Y728" i="10"/>
  <c r="Z728" i="10" s="1"/>
  <c r="Y727" i="10"/>
  <c r="Z727" i="10" s="1"/>
  <c r="Y725" i="10"/>
  <c r="Y724" i="10"/>
  <c r="Z724" i="10" s="1"/>
  <c r="Y723" i="10"/>
  <c r="Z723" i="10" s="1"/>
  <c r="Y720" i="10"/>
  <c r="Z720" i="10" s="1"/>
  <c r="Y719" i="10"/>
  <c r="Z719" i="10" s="1"/>
  <c r="Y718" i="10"/>
  <c r="Z718" i="10" s="1"/>
  <c r="Y716" i="10"/>
  <c r="Z716" i="10" s="1"/>
  <c r="Y714" i="10"/>
  <c r="Z714" i="10" s="1"/>
  <c r="Y713" i="10"/>
  <c r="Z713" i="10" s="1"/>
  <c r="Y711" i="10"/>
  <c r="Z711" i="10" s="1"/>
  <c r="Y708" i="10"/>
  <c r="Y706" i="10"/>
  <c r="Z706" i="10" s="1"/>
  <c r="Y702" i="10"/>
  <c r="Y698" i="10"/>
  <c r="Z698" i="10" s="1"/>
  <c r="Y697" i="10"/>
  <c r="Z697" i="10" s="1"/>
  <c r="Y696" i="10"/>
  <c r="Z696" i="10" s="1"/>
  <c r="Y695" i="10"/>
  <c r="Z695" i="10" s="1"/>
  <c r="Y686" i="10"/>
  <c r="Z686" i="10" s="1"/>
  <c r="J679" i="10"/>
  <c r="H679" i="10"/>
  <c r="F678" i="10"/>
  <c r="D673" i="10"/>
  <c r="L665" i="10"/>
  <c r="D665" i="10"/>
  <c r="J605" i="10"/>
  <c r="H605" i="10"/>
  <c r="F604" i="10"/>
  <c r="D599" i="10"/>
  <c r="L591" i="10"/>
  <c r="D591" i="10"/>
  <c r="Y551" i="10"/>
  <c r="Y550" i="10"/>
  <c r="Y549" i="10"/>
  <c r="Y548" i="10"/>
  <c r="Y547" i="10"/>
  <c r="Y546" i="10"/>
  <c r="Y545" i="10"/>
  <c r="Y543" i="10"/>
  <c r="Y542" i="10"/>
  <c r="Y541" i="10"/>
  <c r="Y540" i="10"/>
  <c r="Y539" i="10"/>
  <c r="Y538" i="10"/>
  <c r="J531" i="10"/>
  <c r="H531" i="10"/>
  <c r="F530" i="10"/>
  <c r="D525" i="10"/>
  <c r="L517" i="10"/>
  <c r="D517" i="10"/>
  <c r="Y506" i="10"/>
  <c r="Z506" i="10" s="1"/>
  <c r="Y505" i="10"/>
  <c r="Z505" i="10" s="1"/>
  <c r="Y504" i="10"/>
  <c r="Z504" i="10" s="1"/>
  <c r="Y503" i="10"/>
  <c r="Z503" i="10" s="1"/>
  <c r="Y502" i="10"/>
  <c r="Z502" i="10" s="1"/>
  <c r="Y501" i="10"/>
  <c r="Z501" i="10" s="1"/>
  <c r="Y499" i="10"/>
  <c r="Z499" i="10" s="1"/>
  <c r="Y498" i="10"/>
  <c r="Z498" i="10" s="1"/>
  <c r="Y497" i="10"/>
  <c r="Z497" i="10" s="1"/>
  <c r="Y496" i="10"/>
  <c r="Z496" i="10" s="1"/>
  <c r="Y495" i="10"/>
  <c r="Z495" i="10" s="1"/>
  <c r="Y494" i="10"/>
  <c r="Z494" i="10" s="1"/>
  <c r="Y493" i="10"/>
  <c r="Z493" i="10" s="1"/>
  <c r="Y492" i="10"/>
  <c r="Z492" i="10" s="1"/>
  <c r="Y491" i="10"/>
  <c r="Z491" i="10" s="1"/>
  <c r="Y490" i="10"/>
  <c r="Z490" i="10" s="1"/>
  <c r="Y489" i="10"/>
  <c r="Z489" i="10" s="1"/>
  <c r="Y488" i="10"/>
  <c r="Z488" i="10" s="1"/>
  <c r="Y487" i="10"/>
  <c r="Z487" i="10" s="1"/>
  <c r="Y486" i="10"/>
  <c r="Z486" i="10" s="1"/>
  <c r="Y485" i="10"/>
  <c r="Z485" i="10" s="1"/>
  <c r="Y484" i="10"/>
  <c r="Z484" i="10" s="1"/>
  <c r="Y483" i="10"/>
  <c r="Z483" i="10" s="1"/>
  <c r="Y482" i="10"/>
  <c r="Z482" i="10" s="1"/>
  <c r="Y481" i="10"/>
  <c r="Z481" i="10" s="1"/>
  <c r="Y480" i="10"/>
  <c r="Z480" i="10" s="1"/>
  <c r="Y479" i="10"/>
  <c r="Z479" i="10" s="1"/>
  <c r="Y478" i="10"/>
  <c r="Z478" i="10" s="1"/>
  <c r="Y477" i="10"/>
  <c r="Z477" i="10" s="1"/>
  <c r="Y476" i="10"/>
  <c r="Z476" i="10" s="1"/>
  <c r="Y475" i="10"/>
  <c r="Z475" i="10" s="1"/>
  <c r="Y474" i="10"/>
  <c r="Z474" i="10" s="1"/>
  <c r="Y473" i="10"/>
  <c r="Z473" i="10" s="1"/>
  <c r="Y472" i="10"/>
  <c r="Z472" i="10" s="1"/>
  <c r="Y471" i="10"/>
  <c r="Z471" i="10" s="1"/>
  <c r="Y469" i="10"/>
  <c r="Z469" i="10" s="1"/>
  <c r="Y468" i="10"/>
  <c r="Z468" i="10" s="1"/>
  <c r="Y467" i="10"/>
  <c r="Z467" i="10" s="1"/>
  <c r="Y466" i="10"/>
  <c r="Z466" i="10" s="1"/>
  <c r="Y465" i="10"/>
  <c r="Z465" i="10" s="1"/>
  <c r="Y464" i="10"/>
  <c r="Z464" i="10" s="1"/>
  <c r="G462" i="10"/>
  <c r="L464" i="10" s="1"/>
  <c r="L465" i="10" s="1"/>
  <c r="E462" i="10"/>
  <c r="V462" i="10"/>
  <c r="J457" i="10"/>
  <c r="H457" i="10"/>
  <c r="F456" i="10"/>
  <c r="D451" i="10"/>
  <c r="L443" i="10"/>
  <c r="D443" i="10"/>
  <c r="Y432" i="10"/>
  <c r="Y431" i="10"/>
  <c r="Y428" i="10"/>
  <c r="Y427" i="10"/>
  <c r="Z427" i="10" s="1"/>
  <c r="Y424" i="10"/>
  <c r="Y423" i="10"/>
  <c r="Z423" i="10" s="1"/>
  <c r="Y420" i="10"/>
  <c r="Y418" i="10"/>
  <c r="Y417" i="10"/>
  <c r="Y415" i="10"/>
  <c r="Y413" i="10"/>
  <c r="Y412" i="10"/>
  <c r="Z412" i="10" s="1"/>
  <c r="Y410" i="10"/>
  <c r="Y406" i="10"/>
  <c r="Y404" i="10"/>
  <c r="Y402" i="10"/>
  <c r="Y401" i="10"/>
  <c r="Z401" i="10" s="1"/>
  <c r="Y400" i="10"/>
  <c r="Y399" i="10"/>
  <c r="Y396" i="10"/>
  <c r="Z396" i="10" s="1"/>
  <c r="Y390" i="10"/>
  <c r="J383" i="10"/>
  <c r="H383" i="10"/>
  <c r="F382" i="10"/>
  <c r="D377" i="10"/>
  <c r="L369" i="10"/>
  <c r="D369" i="10"/>
  <c r="Y358" i="10"/>
  <c r="Y357" i="10"/>
  <c r="Y354" i="10"/>
  <c r="Y351" i="10"/>
  <c r="Z351" i="10" s="1"/>
  <c r="Y350" i="10"/>
  <c r="Y349" i="10"/>
  <c r="Z349" i="10" s="1"/>
  <c r="Y348" i="10"/>
  <c r="Z348" i="10" s="1"/>
  <c r="Y346" i="10"/>
  <c r="Y343" i="10"/>
  <c r="Z343" i="10" s="1"/>
  <c r="Y341" i="10"/>
  <c r="Y339" i="10"/>
  <c r="Z339" i="10" s="1"/>
  <c r="Y338" i="10"/>
  <c r="Z338" i="10" s="1"/>
  <c r="Y336" i="10"/>
  <c r="Y335" i="10"/>
  <c r="Y332" i="10"/>
  <c r="Y330" i="10"/>
  <c r="Z330" i="10" s="1"/>
  <c r="Y327" i="10"/>
  <c r="Y326" i="10"/>
  <c r="Y325" i="10"/>
  <c r="Z325" i="10" s="1"/>
  <c r="Y316" i="10"/>
  <c r="J309" i="10"/>
  <c r="H309" i="10"/>
  <c r="F308" i="10"/>
  <c r="D303" i="10"/>
  <c r="L294" i="10"/>
  <c r="D294" i="10"/>
  <c r="Y283" i="10"/>
  <c r="Y282" i="10"/>
  <c r="Y279" i="10"/>
  <c r="Y278" i="10"/>
  <c r="Z278" i="10" s="1"/>
  <c r="Y275" i="10"/>
  <c r="Y274" i="10"/>
  <c r="Y273" i="10"/>
  <c r="Z273" i="10" s="1"/>
  <c r="Y271" i="10"/>
  <c r="Y269" i="10"/>
  <c r="Y268" i="10"/>
  <c r="Y266" i="10"/>
  <c r="Y264" i="10"/>
  <c r="Y263" i="10"/>
  <c r="Y253" i="10"/>
  <c r="Z253" i="10" s="1"/>
  <c r="Y252" i="10"/>
  <c r="Y251" i="10"/>
  <c r="Y250" i="10"/>
  <c r="Z250" i="10" s="1"/>
  <c r="Y247" i="10"/>
  <c r="Z247" i="10" s="1"/>
  <c r="Y241" i="10"/>
  <c r="V239" i="10"/>
  <c r="G239" i="10"/>
  <c r="L241" i="10" s="1"/>
  <c r="E239" i="10"/>
  <c r="J234" i="10"/>
  <c r="H234" i="10"/>
  <c r="F233" i="10"/>
  <c r="D228" i="10"/>
  <c r="L220" i="10"/>
  <c r="D220" i="10"/>
  <c r="Y209" i="10"/>
  <c r="Z209" i="10" s="1"/>
  <c r="Y208" i="10"/>
  <c r="Z208" i="10" s="1"/>
  <c r="Y207" i="10"/>
  <c r="Z207" i="10" s="1"/>
  <c r="Y206" i="10"/>
  <c r="Z206" i="10" s="1"/>
  <c r="Y205" i="10"/>
  <c r="Y204" i="10"/>
  <c r="Z204" i="10" s="1"/>
  <c r="Y203" i="10"/>
  <c r="Z203" i="10" s="1"/>
  <c r="Y202" i="10"/>
  <c r="Z202" i="10" s="1"/>
  <c r="Y201" i="10"/>
  <c r="Z201" i="10" s="1"/>
  <c r="Y200" i="10"/>
  <c r="Z200" i="10" s="1"/>
  <c r="Y199" i="10"/>
  <c r="Z199" i="10" s="1"/>
  <c r="Y198" i="10"/>
  <c r="Z198" i="10" s="1"/>
  <c r="Y197" i="10"/>
  <c r="Z197" i="10" s="1"/>
  <c r="Y196" i="10"/>
  <c r="Z196" i="10" s="1"/>
  <c r="Y195" i="10"/>
  <c r="Z195" i="10" s="1"/>
  <c r="Y194" i="10"/>
  <c r="Z194" i="10" s="1"/>
  <c r="Y193" i="10"/>
  <c r="Z193" i="10" s="1"/>
  <c r="Y192" i="10"/>
  <c r="Z192" i="10" s="1"/>
  <c r="Y191" i="10"/>
  <c r="Z191" i="10" s="1"/>
  <c r="Y190" i="10"/>
  <c r="Y189" i="10"/>
  <c r="Z189" i="10" s="1"/>
  <c r="Y188" i="10"/>
  <c r="Z188" i="10" s="1"/>
  <c r="Y187" i="10"/>
  <c r="Z187" i="10" s="1"/>
  <c r="Y186" i="10"/>
  <c r="Z186" i="10" s="1"/>
  <c r="Y185" i="10"/>
  <c r="Z185" i="10" s="1"/>
  <c r="Y184" i="10"/>
  <c r="Z184" i="10" s="1"/>
  <c r="Y183" i="10"/>
  <c r="Z183" i="10" s="1"/>
  <c r="Y182" i="10"/>
  <c r="Z182" i="10" s="1"/>
  <c r="Y181" i="10"/>
  <c r="Z181" i="10" s="1"/>
  <c r="Y180" i="10"/>
  <c r="Z180" i="10" s="1"/>
  <c r="Y179" i="10"/>
  <c r="Y178" i="10"/>
  <c r="Z178" i="10" s="1"/>
  <c r="Y177" i="10"/>
  <c r="Z177" i="10" s="1"/>
  <c r="Y176" i="10"/>
  <c r="Z176" i="10" s="1"/>
  <c r="Y175" i="10"/>
  <c r="Z175" i="10" s="1"/>
  <c r="Y174" i="10"/>
  <c r="Z174" i="10" s="1"/>
  <c r="Y173" i="10"/>
  <c r="Z173" i="10" s="1"/>
  <c r="Y172" i="10"/>
  <c r="Z172" i="10" s="1"/>
  <c r="Y171" i="10"/>
  <c r="Y170" i="10"/>
  <c r="Z170" i="10" s="1"/>
  <c r="Y169" i="10"/>
  <c r="Z169" i="10" s="1"/>
  <c r="Y168" i="10"/>
  <c r="Z168" i="10" s="1"/>
  <c r="Y167" i="10"/>
  <c r="Z167" i="10" s="1"/>
  <c r="J160" i="10"/>
  <c r="H160" i="10"/>
  <c r="F159" i="10"/>
  <c r="D154" i="10"/>
  <c r="L146" i="10"/>
  <c r="D146" i="10"/>
  <c r="Z135" i="10"/>
  <c r="Z134" i="10"/>
  <c r="Z133" i="10"/>
  <c r="Z132" i="10"/>
  <c r="Z131" i="10"/>
  <c r="Z121" i="10"/>
  <c r="Z119" i="10"/>
  <c r="Z117" i="10"/>
  <c r="Z112" i="10"/>
  <c r="Z103" i="10"/>
  <c r="Z101" i="10"/>
  <c r="J86" i="10"/>
  <c r="H86" i="10"/>
  <c r="F85" i="10"/>
  <c r="D80" i="10"/>
  <c r="L72" i="10"/>
  <c r="L147" i="10" s="1"/>
  <c r="D72" i="10"/>
  <c r="D147" i="10" s="1"/>
  <c r="L71" i="10"/>
  <c r="D71" i="10"/>
  <c r="Y59" i="10"/>
  <c r="Y58" i="10"/>
  <c r="Y57" i="10"/>
  <c r="Y56" i="10"/>
  <c r="Y55" i="10"/>
  <c r="Y54" i="10"/>
  <c r="Y53" i="10"/>
  <c r="Y52" i="10"/>
  <c r="Y51" i="10"/>
  <c r="Y50" i="10"/>
  <c r="Y49" i="10"/>
  <c r="Y48" i="10"/>
  <c r="Y46" i="10"/>
  <c r="Y43" i="10"/>
  <c r="Y41" i="10"/>
  <c r="Y38" i="10"/>
  <c r="Y36" i="10"/>
  <c r="Y35" i="10"/>
  <c r="Y34" i="10"/>
  <c r="Y31" i="10"/>
  <c r="Y29" i="10"/>
  <c r="Y28" i="10"/>
  <c r="Y24" i="10"/>
  <c r="Y23" i="10"/>
  <c r="Y22" i="10"/>
  <c r="J11" i="10"/>
  <c r="H11" i="10"/>
  <c r="F10" i="10"/>
  <c r="D5" i="10"/>
  <c r="A26" i="9" l="1"/>
  <c r="A27" i="9" s="1"/>
  <c r="A28" i="9" s="1"/>
  <c r="A29" i="9" s="1"/>
  <c r="A30" i="9" s="1"/>
  <c r="A31" i="9" s="1"/>
  <c r="A32" i="9" s="1"/>
  <c r="A33" i="9" s="1"/>
  <c r="A34" i="9" s="1"/>
  <c r="A35" i="9" s="1"/>
  <c r="A36" i="9" s="1"/>
  <c r="A37" i="9" s="1"/>
  <c r="A38" i="9" s="1"/>
  <c r="A39" i="9" s="1"/>
  <c r="A40" i="9" s="1"/>
  <c r="A41" i="9" s="1"/>
  <c r="A42" i="9" s="1"/>
  <c r="A43" i="9" s="1"/>
  <c r="A44" i="9" s="1"/>
  <c r="A45" i="9" s="1"/>
  <c r="A46" i="9" s="1"/>
  <c r="A47" i="9" s="1"/>
  <c r="A48" i="9" s="1"/>
  <c r="A49" i="9" s="1"/>
  <c r="A50" i="9" s="1"/>
  <c r="A51" i="9" s="1"/>
  <c r="A52" i="9" s="1"/>
  <c r="A53" i="9" s="1"/>
  <c r="A54" i="9" s="1"/>
  <c r="A55" i="9" s="1"/>
  <c r="A56" i="9" s="1"/>
  <c r="A57" i="9" s="1"/>
  <c r="A58" i="9" s="1"/>
  <c r="A59" i="9" s="1"/>
  <c r="A60" i="9" s="1"/>
  <c r="AE25" i="9"/>
  <c r="V536" i="10"/>
  <c r="E536" i="10"/>
  <c r="Y700" i="10"/>
  <c r="Z700" i="10" s="1"/>
  <c r="D980" i="11"/>
  <c r="F980" i="11"/>
  <c r="K982" i="11" s="1"/>
  <c r="K983" i="11" s="1"/>
  <c r="U536" i="11"/>
  <c r="V610" i="10"/>
  <c r="D906" i="11"/>
  <c r="F906" i="11"/>
  <c r="K908" i="11" s="1"/>
  <c r="K909" i="11" s="1"/>
  <c r="T137" i="10"/>
  <c r="Z1908" i="11"/>
  <c r="Z1876" i="11"/>
  <c r="Z1875" i="11"/>
  <c r="Z1888" i="11"/>
  <c r="AA1888" i="11" s="1"/>
  <c r="N1888" i="11" s="1"/>
  <c r="Z1889" i="11"/>
  <c r="Z1887" i="11"/>
  <c r="Z1885" i="11"/>
  <c r="Y1880" i="11"/>
  <c r="Z1880" i="11" s="1"/>
  <c r="S1880" i="11" s="1"/>
  <c r="R1880" i="11" s="1"/>
  <c r="Z1874" i="11"/>
  <c r="AA1874" i="11" s="1"/>
  <c r="N1874" i="11" s="1"/>
  <c r="S1874" i="11" s="1"/>
  <c r="R1874" i="11" s="1"/>
  <c r="M1873" i="11"/>
  <c r="Z1873" i="11"/>
  <c r="AA1873" i="11" s="1"/>
  <c r="N1873" i="11" s="1"/>
  <c r="S1873" i="11" s="1"/>
  <c r="R1873" i="11" s="1"/>
  <c r="Z1912" i="11"/>
  <c r="AA1912" i="11" s="1"/>
  <c r="N1912" i="11" s="1"/>
  <c r="S1912" i="11" s="1"/>
  <c r="Z1911" i="11"/>
  <c r="AA1911" i="11" s="1"/>
  <c r="N1911" i="11" s="1"/>
  <c r="S1911" i="11" s="1"/>
  <c r="R1911" i="11" s="1"/>
  <c r="Z1886" i="11"/>
  <c r="Z1877" i="11"/>
  <c r="Y1878" i="11"/>
  <c r="Z1878" i="11"/>
  <c r="S1878" i="11" s="1"/>
  <c r="R1878" i="11" s="1"/>
  <c r="S1875" i="11"/>
  <c r="R1875" i="11" s="1"/>
  <c r="U1722" i="11"/>
  <c r="D1722" i="11"/>
  <c r="U758" i="11"/>
  <c r="F1796" i="11"/>
  <c r="K1798" i="11" s="1"/>
  <c r="K1799" i="11" s="1"/>
  <c r="J1799" i="11" s="1"/>
  <c r="U1796" i="11"/>
  <c r="E1128" i="10"/>
  <c r="D1574" i="11"/>
  <c r="F462" i="11"/>
  <c r="K464" i="11" s="1"/>
  <c r="K470" i="11" s="1"/>
  <c r="F1574" i="11"/>
  <c r="K1576" i="11" s="1"/>
  <c r="K1582" i="11" s="1"/>
  <c r="D462" i="11"/>
  <c r="C444" i="11"/>
  <c r="C2001" i="11"/>
  <c r="C1926" i="11"/>
  <c r="C1704" i="11"/>
  <c r="C1852" i="11"/>
  <c r="V1592" i="11"/>
  <c r="K370" i="11"/>
  <c r="K2001" i="11"/>
  <c r="K1926" i="11"/>
  <c r="K1704" i="11"/>
  <c r="K1852" i="11"/>
  <c r="K1778" i="11"/>
  <c r="C1630" i="11"/>
  <c r="K1630" i="11"/>
  <c r="U1945" i="11"/>
  <c r="F1945" i="11"/>
  <c r="K1947" i="11" s="1"/>
  <c r="F1870" i="11"/>
  <c r="K1872" i="11" s="1"/>
  <c r="J1872" i="11" s="1"/>
  <c r="U1870" i="11"/>
  <c r="R1872" i="11"/>
  <c r="K1725" i="11"/>
  <c r="J1724" i="11"/>
  <c r="K1730" i="11"/>
  <c r="F1648" i="11"/>
  <c r="K1650" i="11" s="1"/>
  <c r="C1778" i="11"/>
  <c r="U1648" i="11"/>
  <c r="Y866" i="11"/>
  <c r="Y864" i="11"/>
  <c r="Y848" i="11"/>
  <c r="Y863" i="11"/>
  <c r="Y847" i="11"/>
  <c r="Y862" i="11"/>
  <c r="Y846" i="11"/>
  <c r="Y849" i="11"/>
  <c r="Y850" i="11"/>
  <c r="Y718" i="11"/>
  <c r="X714" i="11"/>
  <c r="Y714" i="11" s="1"/>
  <c r="X706" i="11"/>
  <c r="X723" i="11"/>
  <c r="X719" i="11"/>
  <c r="X700" i="11"/>
  <c r="X622" i="11"/>
  <c r="Y622" i="11" s="1"/>
  <c r="U622" i="11"/>
  <c r="U554" i="11"/>
  <c r="X554" i="11"/>
  <c r="Y554" i="11" s="1"/>
  <c r="X545" i="11"/>
  <c r="Y545" i="11" s="1"/>
  <c r="U560" i="11"/>
  <c r="U549" i="11"/>
  <c r="U572" i="11"/>
  <c r="U545" i="11"/>
  <c r="U576" i="11"/>
  <c r="U574" i="11"/>
  <c r="X575" i="11"/>
  <c r="Y575" i="11" s="1"/>
  <c r="U575" i="11"/>
  <c r="U566" i="11"/>
  <c r="U567" i="11"/>
  <c r="U558" i="11"/>
  <c r="U552" i="11"/>
  <c r="U553" i="11"/>
  <c r="U571" i="11"/>
  <c r="X568" i="11"/>
  <c r="Y568" i="11" s="1"/>
  <c r="X544" i="11"/>
  <c r="Y544" i="11" s="1"/>
  <c r="X570" i="11"/>
  <c r="Y570" i="11" s="1"/>
  <c r="X571" i="11"/>
  <c r="Y571" i="11" s="1"/>
  <c r="X552" i="11"/>
  <c r="Y552" i="11" s="1"/>
  <c r="X565" i="11"/>
  <c r="Y565" i="11" s="1"/>
  <c r="X547" i="11"/>
  <c r="Y547" i="11" s="1"/>
  <c r="X580" i="11"/>
  <c r="Y580" i="11" s="1"/>
  <c r="X549" i="11"/>
  <c r="Y549" i="11" s="1"/>
  <c r="X576" i="11"/>
  <c r="Y576" i="11" s="1"/>
  <c r="X567" i="11"/>
  <c r="Y567" i="11" s="1"/>
  <c r="Y406" i="11"/>
  <c r="Y432" i="11"/>
  <c r="X480" i="11"/>
  <c r="Y480" i="11" s="1"/>
  <c r="X494" i="11"/>
  <c r="Y494" i="11" s="1"/>
  <c r="X476" i="11"/>
  <c r="Y476" i="11" s="1"/>
  <c r="X498" i="11"/>
  <c r="Y498" i="11" s="1"/>
  <c r="Y491" i="11"/>
  <c r="Y486" i="11"/>
  <c r="Y475" i="11"/>
  <c r="X489" i="11"/>
  <c r="X473" i="11"/>
  <c r="X502" i="11"/>
  <c r="Y502" i="11" s="1"/>
  <c r="X487" i="11"/>
  <c r="X496" i="11"/>
  <c r="Y496" i="11" s="1"/>
  <c r="Y424" i="11"/>
  <c r="L431" i="11"/>
  <c r="Y431" i="11" s="1"/>
  <c r="L415" i="11"/>
  <c r="Y415" i="11" s="1"/>
  <c r="Y427" i="11"/>
  <c r="Y428" i="11"/>
  <c r="Y417" i="11"/>
  <c r="Y418" i="11"/>
  <c r="Y396" i="11"/>
  <c r="Y420" i="11"/>
  <c r="X255" i="11"/>
  <c r="Y255" i="11" s="1"/>
  <c r="X262" i="11"/>
  <c r="Y262" i="11" s="1"/>
  <c r="X257" i="11"/>
  <c r="Y257" i="11" s="1"/>
  <c r="K94" i="11"/>
  <c r="K99" i="11"/>
  <c r="J93" i="11"/>
  <c r="K20" i="11"/>
  <c r="J19" i="11"/>
  <c r="K168" i="11"/>
  <c r="K173" i="11"/>
  <c r="J167" i="11"/>
  <c r="X272" i="11"/>
  <c r="Y272" i="11" s="1"/>
  <c r="X265" i="11"/>
  <c r="Y265" i="11" s="1"/>
  <c r="K221" i="11"/>
  <c r="X334" i="11"/>
  <c r="Y334" i="11" s="1"/>
  <c r="Y550" i="11"/>
  <c r="X566" i="11"/>
  <c r="J18" i="11"/>
  <c r="X280" i="11"/>
  <c r="Y280" i="11" s="1"/>
  <c r="X391" i="11"/>
  <c r="D165" i="11"/>
  <c r="U314" i="11"/>
  <c r="D314" i="11"/>
  <c r="X242" i="11"/>
  <c r="Y242" i="11" s="1"/>
  <c r="K317" i="11"/>
  <c r="K322" i="11"/>
  <c r="K613" i="11"/>
  <c r="K618" i="11"/>
  <c r="J612" i="11"/>
  <c r="D239" i="11"/>
  <c r="K24" i="11"/>
  <c r="F239" i="11"/>
  <c r="K241" i="11" s="1"/>
  <c r="X281" i="11"/>
  <c r="Y281" i="11" s="1"/>
  <c r="X355" i="11"/>
  <c r="Y355" i="11" s="1"/>
  <c r="X470" i="11"/>
  <c r="Y470" i="11" s="1"/>
  <c r="J316" i="11"/>
  <c r="X553" i="11"/>
  <c r="X579" i="11"/>
  <c r="X563" i="11"/>
  <c r="C1556" i="11"/>
  <c r="C1481" i="11"/>
  <c r="C1407" i="11"/>
  <c r="C1258" i="11"/>
  <c r="C1332" i="11"/>
  <c r="C1184" i="11"/>
  <c r="C1110" i="11"/>
  <c r="C1036" i="11"/>
  <c r="C740" i="11"/>
  <c r="C962" i="11"/>
  <c r="C888" i="11"/>
  <c r="C814" i="11"/>
  <c r="C370" i="11"/>
  <c r="C518" i="11"/>
  <c r="C592" i="11"/>
  <c r="C666" i="11"/>
  <c r="U388" i="11"/>
  <c r="D388" i="11"/>
  <c r="J538" i="11"/>
  <c r="K544" i="11"/>
  <c r="K539" i="11"/>
  <c r="X572" i="11"/>
  <c r="K1556" i="11"/>
  <c r="K1481" i="11"/>
  <c r="K1407" i="11"/>
  <c r="K1258" i="11"/>
  <c r="K1110" i="11"/>
  <c r="K740" i="11"/>
  <c r="K1184" i="11"/>
  <c r="K962" i="11"/>
  <c r="K888" i="11"/>
  <c r="K666" i="11"/>
  <c r="K814" i="11"/>
  <c r="K1036" i="11"/>
  <c r="K1332" i="11"/>
  <c r="K518" i="11"/>
  <c r="K592" i="11"/>
  <c r="K444" i="11"/>
  <c r="C147" i="11"/>
  <c r="X276" i="11"/>
  <c r="Y276" i="11" s="1"/>
  <c r="F388" i="11"/>
  <c r="K390" i="11" s="1"/>
  <c r="K147" i="11"/>
  <c r="X557" i="11"/>
  <c r="X574" i="11"/>
  <c r="C221" i="11"/>
  <c r="X558" i="11"/>
  <c r="K1131" i="11"/>
  <c r="K1136" i="11"/>
  <c r="J1130" i="11"/>
  <c r="D536" i="11"/>
  <c r="X722" i="11"/>
  <c r="X709" i="11"/>
  <c r="X710" i="11"/>
  <c r="K1062" i="11"/>
  <c r="J1056" i="11"/>
  <c r="K1057" i="11"/>
  <c r="K692" i="11"/>
  <c r="K687" i="11"/>
  <c r="J686" i="11"/>
  <c r="K761" i="11"/>
  <c r="K766" i="11"/>
  <c r="J760" i="11"/>
  <c r="U1425" i="11"/>
  <c r="F1425" i="11"/>
  <c r="K1427" i="11" s="1"/>
  <c r="D1425" i="11"/>
  <c r="K1205" i="11"/>
  <c r="K1210" i="11"/>
  <c r="J1204" i="11"/>
  <c r="D758" i="11"/>
  <c r="K1354" i="11"/>
  <c r="K1359" i="11"/>
  <c r="J1353" i="11"/>
  <c r="D1054" i="11"/>
  <c r="F832" i="11"/>
  <c r="K834" i="11" s="1"/>
  <c r="Y700" i="11"/>
  <c r="U1276" i="11"/>
  <c r="F1276" i="11"/>
  <c r="K1278" i="11" s="1"/>
  <c r="D1276" i="11"/>
  <c r="D1500" i="11"/>
  <c r="F1500" i="11"/>
  <c r="K1502" i="11" s="1"/>
  <c r="L1428" i="10"/>
  <c r="L1433" i="10"/>
  <c r="K1427" i="10"/>
  <c r="G1500" i="10"/>
  <c r="L1502" i="10" s="1"/>
  <c r="V16" i="10"/>
  <c r="G388" i="10"/>
  <c r="L390" i="10" s="1"/>
  <c r="K390" i="10" s="1"/>
  <c r="V1500" i="10"/>
  <c r="E388" i="10"/>
  <c r="D1481" i="10"/>
  <c r="L1481" i="10"/>
  <c r="D1556" i="10"/>
  <c r="L1556" i="10"/>
  <c r="E1351" i="10"/>
  <c r="G1351" i="10"/>
  <c r="L1353" i="10" s="1"/>
  <c r="L1359" i="10" s="1"/>
  <c r="Z702" i="10"/>
  <c r="G91" i="10"/>
  <c r="L93" i="10" s="1"/>
  <c r="K93" i="10" s="1"/>
  <c r="V91" i="10"/>
  <c r="D1407" i="10"/>
  <c r="L1407" i="10"/>
  <c r="G758" i="10"/>
  <c r="L760" i="10" s="1"/>
  <c r="K760" i="10" s="1"/>
  <c r="V684" i="10"/>
  <c r="E758" i="10"/>
  <c r="L1205" i="10"/>
  <c r="L1210" i="10"/>
  <c r="K1204" i="10"/>
  <c r="E1202" i="10"/>
  <c r="V1202" i="10"/>
  <c r="E1276" i="10"/>
  <c r="G1276" i="10"/>
  <c r="L1278" i="10" s="1"/>
  <c r="D1258" i="10"/>
  <c r="L1258" i="10"/>
  <c r="D1332" i="10"/>
  <c r="L1332" i="10"/>
  <c r="G1128" i="10"/>
  <c r="L1130" i="10" s="1"/>
  <c r="L1131" i="10" s="1"/>
  <c r="Y693" i="10"/>
  <c r="M693" i="10"/>
  <c r="Z708" i="10"/>
  <c r="Z93" i="10"/>
  <c r="D1184" i="10"/>
  <c r="L1184" i="10"/>
  <c r="Z856" i="10"/>
  <c r="Z843" i="10"/>
  <c r="Z859" i="10"/>
  <c r="Y844" i="10"/>
  <c r="Z844" i="10" s="1"/>
  <c r="Y860" i="10"/>
  <c r="Z860" i="10" s="1"/>
  <c r="Y876" i="10"/>
  <c r="Z876" i="10" s="1"/>
  <c r="Z840" i="10"/>
  <c r="Z875" i="10"/>
  <c r="Z846" i="10"/>
  <c r="Z862" i="10"/>
  <c r="Z847" i="10"/>
  <c r="Z863" i="10"/>
  <c r="Z864" i="10"/>
  <c r="Z849" i="10"/>
  <c r="Z848" i="10"/>
  <c r="Z850" i="10"/>
  <c r="Z866" i="10"/>
  <c r="Z867" i="10"/>
  <c r="Y836" i="10"/>
  <c r="Z836" i="10" s="1"/>
  <c r="Y852" i="10"/>
  <c r="Z852" i="10" s="1"/>
  <c r="Y868" i="10"/>
  <c r="Z868" i="10" s="1"/>
  <c r="Z853" i="10"/>
  <c r="Z837" i="10"/>
  <c r="Z838" i="10"/>
  <c r="Z854" i="10"/>
  <c r="Z870" i="10"/>
  <c r="Z855" i="10"/>
  <c r="Z872" i="10"/>
  <c r="Z841" i="10"/>
  <c r="Z842" i="10"/>
  <c r="Z874" i="10"/>
  <c r="Z835" i="10"/>
  <c r="Z792" i="10"/>
  <c r="Z793" i="10"/>
  <c r="Z797" i="10"/>
  <c r="Z789" i="10"/>
  <c r="Z406" i="10"/>
  <c r="Z424" i="10"/>
  <c r="Z417" i="10"/>
  <c r="Z432" i="10"/>
  <c r="Z428" i="10"/>
  <c r="Z390" i="10"/>
  <c r="Y353" i="10"/>
  <c r="Z353" i="10" s="1"/>
  <c r="Z341" i="10"/>
  <c r="Z418" i="10"/>
  <c r="Z762" i="10"/>
  <c r="Z770" i="10"/>
  <c r="Z282" i="10"/>
  <c r="Z404" i="10"/>
  <c r="Z548" i="10"/>
  <c r="Z771" i="10"/>
  <c r="Z939" i="10"/>
  <c r="Z1005" i="10"/>
  <c r="Z263" i="10"/>
  <c r="Z998" i="10"/>
  <c r="Z780" i="10"/>
  <c r="Z788" i="10"/>
  <c r="Z335" i="10"/>
  <c r="Z1020" i="10"/>
  <c r="Y1062" i="10"/>
  <c r="Z1062" i="10" s="1"/>
  <c r="Z344" i="10"/>
  <c r="Z357" i="10"/>
  <c r="Z781" i="10"/>
  <c r="Z994" i="10"/>
  <c r="Z1014" i="10"/>
  <c r="Y1083" i="10"/>
  <c r="Z1083" i="10" s="1"/>
  <c r="Z949" i="10"/>
  <c r="Y1072" i="10"/>
  <c r="Z1072" i="10" s="1"/>
  <c r="Z782" i="10"/>
  <c r="Z918" i="10"/>
  <c r="Z271" i="10"/>
  <c r="Z346" i="10"/>
  <c r="Z415" i="10"/>
  <c r="Z919" i="10"/>
  <c r="Z927" i="10"/>
  <c r="Z935" i="10"/>
  <c r="Z943" i="10"/>
  <c r="Y1065" i="10"/>
  <c r="Z1065" i="10" s="1"/>
  <c r="Z996" i="10"/>
  <c r="Z1009" i="10"/>
  <c r="Y1074" i="10"/>
  <c r="Z1074" i="10" s="1"/>
  <c r="Z266" i="10"/>
  <c r="Y323" i="10"/>
  <c r="Z323" i="10" s="1"/>
  <c r="Z760" i="10"/>
  <c r="Z768" i="10"/>
  <c r="Z776" i="10"/>
  <c r="Z920" i="10"/>
  <c r="Z928" i="10"/>
  <c r="Z1017" i="10"/>
  <c r="Z316" i="10"/>
  <c r="Z354" i="10"/>
  <c r="Z785" i="10"/>
  <c r="Z274" i="10"/>
  <c r="Z336" i="10"/>
  <c r="Z402" i="10"/>
  <c r="Z921" i="10"/>
  <c r="Z937" i="10"/>
  <c r="Z950" i="10"/>
  <c r="Z1002" i="10"/>
  <c r="Y1061" i="10"/>
  <c r="Z1061" i="10" s="1"/>
  <c r="Y1075" i="10"/>
  <c r="Z1075" i="10" s="1"/>
  <c r="Z420" i="10"/>
  <c r="Z431" i="10"/>
  <c r="Z790" i="10"/>
  <c r="Z794" i="10"/>
  <c r="Z798" i="10"/>
  <c r="Z802" i="10"/>
  <c r="Z983" i="10"/>
  <c r="Z914" i="10"/>
  <c r="Z922" i="10"/>
  <c r="Z930" i="10"/>
  <c r="Z938" i="10"/>
  <c r="Z761" i="10"/>
  <c r="Z769" i="10"/>
  <c r="Z1016" i="10"/>
  <c r="Z1022" i="10"/>
  <c r="Z410" i="10"/>
  <c r="Z915" i="10"/>
  <c r="Z923" i="10"/>
  <c r="Z931" i="10"/>
  <c r="Z1010" i="10"/>
  <c r="Z775" i="10"/>
  <c r="Z1008" i="10"/>
  <c r="Z786" i="10"/>
  <c r="Z916" i="10"/>
  <c r="Z924" i="10"/>
  <c r="Z932" i="10"/>
  <c r="Z946" i="10"/>
  <c r="Y1080" i="10"/>
  <c r="Z1080" i="10" s="1"/>
  <c r="Z358" i="10"/>
  <c r="Y779" i="10"/>
  <c r="Z779" i="10" s="1"/>
  <c r="Z917" i="10"/>
  <c r="Z925" i="10"/>
  <c r="Z933" i="10"/>
  <c r="Z1018" i="10"/>
  <c r="Z326" i="10"/>
  <c r="Z399" i="10"/>
  <c r="Z764" i="10"/>
  <c r="Z772" i="10"/>
  <c r="Z947" i="10"/>
  <c r="Z1012" i="10"/>
  <c r="Z1024" i="10"/>
  <c r="Z773" i="10"/>
  <c r="Z942" i="10"/>
  <c r="Z1013" i="10"/>
  <c r="Z413" i="10"/>
  <c r="Y1082" i="10"/>
  <c r="Z1082" i="10" s="1"/>
  <c r="Z269" i="10"/>
  <c r="Z767" i="10"/>
  <c r="Z268" i="10"/>
  <c r="Z774" i="10"/>
  <c r="Z1001" i="10"/>
  <c r="L835" i="10"/>
  <c r="L836" i="10" s="1"/>
  <c r="K834" i="10"/>
  <c r="G16" i="10"/>
  <c r="L18" i="10" s="1"/>
  <c r="L24" i="10" s="1"/>
  <c r="L173" i="10"/>
  <c r="K167" i="10"/>
  <c r="L168" i="10"/>
  <c r="K241" i="10"/>
  <c r="L247" i="10"/>
  <c r="L242" i="10"/>
  <c r="Y20" i="10"/>
  <c r="Y27" i="10"/>
  <c r="Y39" i="10"/>
  <c r="T139" i="10"/>
  <c r="W91" i="10" s="1"/>
  <c r="D1110" i="10"/>
  <c r="D1036" i="10"/>
  <c r="D962" i="10"/>
  <c r="D888" i="10"/>
  <c r="D814" i="10"/>
  <c r="D740" i="10"/>
  <c r="D666" i="10"/>
  <c r="D444" i="10"/>
  <c r="D370" i="10"/>
  <c r="D592" i="10"/>
  <c r="D518" i="10"/>
  <c r="Z179" i="10"/>
  <c r="D221" i="10"/>
  <c r="L1110" i="10"/>
  <c r="L1036" i="10"/>
  <c r="L962" i="10"/>
  <c r="L888" i="10"/>
  <c r="L814" i="10"/>
  <c r="L666" i="10"/>
  <c r="L740" i="10"/>
  <c r="L444" i="10"/>
  <c r="L370" i="10"/>
  <c r="L592" i="10"/>
  <c r="L518" i="10"/>
  <c r="L221" i="10"/>
  <c r="Y18" i="10"/>
  <c r="Y37" i="10"/>
  <c r="Y44" i="10"/>
  <c r="Z129" i="10"/>
  <c r="Z264" i="10"/>
  <c r="Z275" i="10"/>
  <c r="Z327" i="10"/>
  <c r="Z332" i="10"/>
  <c r="K686" i="10"/>
  <c r="L687" i="10"/>
  <c r="L692" i="10"/>
  <c r="Y30" i="10"/>
  <c r="Z279" i="10"/>
  <c r="K465" i="10"/>
  <c r="L466" i="10"/>
  <c r="Z171" i="10"/>
  <c r="Z283" i="10"/>
  <c r="K538" i="10"/>
  <c r="L539" i="10"/>
  <c r="L544" i="10"/>
  <c r="Y21" i="10"/>
  <c r="Y40" i="10"/>
  <c r="Y47" i="10"/>
  <c r="E165" i="10"/>
  <c r="Z350" i="10"/>
  <c r="V165" i="10"/>
  <c r="Y60" i="10"/>
  <c r="Z102" i="10"/>
  <c r="Z400" i="10"/>
  <c r="Y26" i="10"/>
  <c r="Y33" i="10"/>
  <c r="Y45" i="10"/>
  <c r="Z120" i="10"/>
  <c r="Z251" i="10"/>
  <c r="Y19" i="10"/>
  <c r="Z205" i="10"/>
  <c r="Z105" i="10"/>
  <c r="Z118" i="10"/>
  <c r="Z123" i="10"/>
  <c r="G314" i="10"/>
  <c r="L316" i="10" s="1"/>
  <c r="E314" i="10"/>
  <c r="Z190" i="10"/>
  <c r="Z252" i="10"/>
  <c r="L983" i="10"/>
  <c r="L988" i="10"/>
  <c r="K982" i="10"/>
  <c r="Z766" i="10"/>
  <c r="Y340" i="10"/>
  <c r="Z340" i="10" s="1"/>
  <c r="Z787" i="10"/>
  <c r="Z929" i="10"/>
  <c r="Z1021" i="10"/>
  <c r="L470" i="10"/>
  <c r="V1054" i="10"/>
  <c r="E1054" i="10"/>
  <c r="K464" i="10"/>
  <c r="L1057" i="10"/>
  <c r="L1062" i="10"/>
  <c r="K1056" i="10"/>
  <c r="Z1000" i="10"/>
  <c r="Y331" i="10"/>
  <c r="Z331" i="10" s="1"/>
  <c r="G610" i="10"/>
  <c r="L612" i="10" s="1"/>
  <c r="Z763" i="10"/>
  <c r="Z945" i="10"/>
  <c r="Z926" i="10"/>
  <c r="Y1071" i="10"/>
  <c r="Z1071" i="10" s="1"/>
  <c r="Z934" i="10"/>
  <c r="L840" i="10"/>
  <c r="E684" i="10"/>
  <c r="E906" i="10"/>
  <c r="G906" i="10"/>
  <c r="L908" i="10" s="1"/>
  <c r="J908" i="11" l="1"/>
  <c r="K914" i="11"/>
  <c r="K915" i="11" s="1"/>
  <c r="K988" i="11"/>
  <c r="J988" i="11" s="1"/>
  <c r="J982" i="11"/>
  <c r="J464" i="11"/>
  <c r="AA1908" i="11"/>
  <c r="N1908" i="11" s="1"/>
  <c r="S1908" i="11" s="1"/>
  <c r="R1908" i="11" s="1"/>
  <c r="R1912" i="11"/>
  <c r="AA1876" i="11"/>
  <c r="N1876" i="11" s="1"/>
  <c r="S1876" i="11" s="1"/>
  <c r="R1876" i="11" s="1"/>
  <c r="AA1877" i="11"/>
  <c r="N1877" i="11" s="1"/>
  <c r="S1877" i="11" s="1"/>
  <c r="R1877" i="11" s="1"/>
  <c r="AA1886" i="11"/>
  <c r="N1886" i="11" s="1"/>
  <c r="S1886" i="11" s="1"/>
  <c r="R1886" i="11" s="1"/>
  <c r="AA1887" i="11"/>
  <c r="N1887" i="11" s="1"/>
  <c r="S1887" i="11" s="1"/>
  <c r="R1887" i="11" s="1"/>
  <c r="AA1889" i="11"/>
  <c r="N1889" i="11" s="1"/>
  <c r="S1889" i="11" s="1"/>
  <c r="R1889" i="11" s="1"/>
  <c r="AA1885" i="11"/>
  <c r="N1885" i="11" s="1"/>
  <c r="S1885" i="11" s="1"/>
  <c r="R1885" i="11" s="1"/>
  <c r="K465" i="11"/>
  <c r="J465" i="11" s="1"/>
  <c r="V1888" i="11"/>
  <c r="S1888" i="11"/>
  <c r="R1888" i="11" s="1"/>
  <c r="K1804" i="11"/>
  <c r="K1805" i="11" s="1"/>
  <c r="J1798" i="11"/>
  <c r="K1800" i="11"/>
  <c r="J1800" i="11" s="1"/>
  <c r="F31" i="5"/>
  <c r="J1576" i="11"/>
  <c r="K1577" i="11"/>
  <c r="K1578" i="11" s="1"/>
  <c r="J1730" i="11"/>
  <c r="K1731" i="11"/>
  <c r="K1726" i="11"/>
  <c r="J1725" i="11"/>
  <c r="K1948" i="11"/>
  <c r="K1953" i="11"/>
  <c r="J1947" i="11"/>
  <c r="K1873" i="11"/>
  <c r="J1873" i="11" s="1"/>
  <c r="K1878" i="11"/>
  <c r="J1878" i="11" s="1"/>
  <c r="X1650" i="11"/>
  <c r="Y1650" i="11" s="1"/>
  <c r="K1656" i="11"/>
  <c r="J1650" i="11"/>
  <c r="K1651" i="11"/>
  <c r="J1582" i="11"/>
  <c r="K1583" i="11"/>
  <c r="Y719" i="11"/>
  <c r="Y723" i="11"/>
  <c r="Y706" i="11"/>
  <c r="Y709" i="11"/>
  <c r="Y710" i="11"/>
  <c r="U654" i="11"/>
  <c r="X654" i="11"/>
  <c r="Y654" i="11" s="1"/>
  <c r="U653" i="11"/>
  <c r="X653" i="11"/>
  <c r="Y653" i="11" s="1"/>
  <c r="U557" i="11"/>
  <c r="Y487" i="11"/>
  <c r="Y489" i="11"/>
  <c r="Y473" i="11"/>
  <c r="X319" i="11"/>
  <c r="Y319" i="11" s="1"/>
  <c r="K1360" i="11"/>
  <c r="J1359" i="11"/>
  <c r="X256" i="11"/>
  <c r="Y256" i="11" s="1"/>
  <c r="J173" i="11"/>
  <c r="K174" i="11"/>
  <c r="K1503" i="11"/>
  <c r="K1508" i="11"/>
  <c r="J1502" i="11"/>
  <c r="J1354" i="11"/>
  <c r="K1355" i="11"/>
  <c r="X342" i="11"/>
  <c r="Y342" i="11" s="1"/>
  <c r="J168" i="11"/>
  <c r="K169" i="11"/>
  <c r="J1057" i="11"/>
  <c r="K1058" i="11"/>
  <c r="X337" i="11"/>
  <c r="Y337" i="11" s="1"/>
  <c r="K1137" i="11"/>
  <c r="J1136" i="11"/>
  <c r="K619" i="11"/>
  <c r="J618" i="11"/>
  <c r="K767" i="11"/>
  <c r="J766" i="11"/>
  <c r="J1062" i="11"/>
  <c r="K1063" i="11"/>
  <c r="K1132" i="11"/>
  <c r="J1131" i="11"/>
  <c r="X333" i="11"/>
  <c r="Y333" i="11" s="1"/>
  <c r="K396" i="11"/>
  <c r="J390" i="11"/>
  <c r="K391" i="11"/>
  <c r="X320" i="11"/>
  <c r="Y320" i="11" s="1"/>
  <c r="J613" i="11"/>
  <c r="K614" i="11"/>
  <c r="J20" i="11"/>
  <c r="K21" i="11"/>
  <c r="K1279" i="11"/>
  <c r="K1284" i="11"/>
  <c r="J1278" i="11"/>
  <c r="J761" i="11"/>
  <c r="K762" i="11"/>
  <c r="X329" i="11"/>
  <c r="Y329" i="11" s="1"/>
  <c r="X317" i="11"/>
  <c r="Y317" i="11" s="1"/>
  <c r="J909" i="11"/>
  <c r="K910" i="11"/>
  <c r="X321" i="11"/>
  <c r="Y321" i="11" s="1"/>
  <c r="J99" i="11"/>
  <c r="K100" i="11"/>
  <c r="X318" i="11"/>
  <c r="Y318" i="11" s="1"/>
  <c r="J94" i="11"/>
  <c r="K95" i="11"/>
  <c r="Y722" i="11"/>
  <c r="J241" i="11"/>
  <c r="K247" i="11"/>
  <c r="K242" i="11"/>
  <c r="X345" i="11"/>
  <c r="Y345" i="11" s="1"/>
  <c r="K840" i="11"/>
  <c r="J834" i="11"/>
  <c r="K835" i="11"/>
  <c r="K1211" i="11"/>
  <c r="J1210" i="11"/>
  <c r="K688" i="11"/>
  <c r="J687" i="11"/>
  <c r="Y574" i="11"/>
  <c r="Y572" i="11"/>
  <c r="K25" i="11"/>
  <c r="J24" i="11"/>
  <c r="K323" i="11"/>
  <c r="J322" i="11"/>
  <c r="K1206" i="11"/>
  <c r="J1205" i="11"/>
  <c r="J692" i="11"/>
  <c r="K693" i="11"/>
  <c r="Y558" i="11"/>
  <c r="J539" i="11"/>
  <c r="K540" i="11"/>
  <c r="Y563" i="11"/>
  <c r="Y553" i="11"/>
  <c r="K318" i="11"/>
  <c r="J317" i="11"/>
  <c r="Y557" i="11"/>
  <c r="K545" i="11"/>
  <c r="J544" i="11"/>
  <c r="X267" i="11"/>
  <c r="Y267" i="11" s="1"/>
  <c r="K471" i="11"/>
  <c r="J470" i="11"/>
  <c r="K1428" i="11"/>
  <c r="K1433" i="11"/>
  <c r="J1427" i="11"/>
  <c r="J983" i="11"/>
  <c r="K984" i="11"/>
  <c r="Y579" i="11"/>
  <c r="X322" i="11"/>
  <c r="Y322" i="11" s="1"/>
  <c r="Y566" i="11"/>
  <c r="L766" i="10"/>
  <c r="L767" i="10" s="1"/>
  <c r="L396" i="10"/>
  <c r="L397" i="10" s="1"/>
  <c r="L391" i="10"/>
  <c r="K391" i="10" s="1"/>
  <c r="L761" i="10"/>
  <c r="L762" i="10" s="1"/>
  <c r="L94" i="10"/>
  <c r="K94" i="10" s="1"/>
  <c r="L1503" i="10"/>
  <c r="L1508" i="10"/>
  <c r="K1502" i="10"/>
  <c r="L1434" i="10"/>
  <c r="K1433" i="10"/>
  <c r="K1428" i="10"/>
  <c r="L1429" i="10"/>
  <c r="L99" i="10"/>
  <c r="L100" i="10" s="1"/>
  <c r="L1354" i="10"/>
  <c r="L1355" i="10" s="1"/>
  <c r="K1353" i="10"/>
  <c r="K1359" i="10"/>
  <c r="L1360" i="10"/>
  <c r="L1279" i="10"/>
  <c r="L1284" i="10"/>
  <c r="K1278" i="10"/>
  <c r="Z693" i="10"/>
  <c r="K1210" i="10"/>
  <c r="L1211" i="10"/>
  <c r="L1206" i="10"/>
  <c r="K1205" i="10"/>
  <c r="K1130" i="10"/>
  <c r="L1136" i="10"/>
  <c r="L1137" i="10" s="1"/>
  <c r="K1131" i="10"/>
  <c r="L1132" i="10"/>
  <c r="K835" i="10"/>
  <c r="K18" i="10"/>
  <c r="L19" i="10"/>
  <c r="K19" i="10" s="1"/>
  <c r="L243" i="10"/>
  <c r="K242" i="10"/>
  <c r="L467" i="10"/>
  <c r="K466" i="10"/>
  <c r="K836" i="10"/>
  <c r="L837" i="10"/>
  <c r="L248" i="10"/>
  <c r="K247" i="10"/>
  <c r="K1062" i="10"/>
  <c r="L1063" i="10"/>
  <c r="K1057" i="10"/>
  <c r="L1058" i="10"/>
  <c r="K316" i="10"/>
  <c r="L317" i="10"/>
  <c r="L322" i="10"/>
  <c r="L909" i="10"/>
  <c r="L914" i="10"/>
  <c r="K908" i="10"/>
  <c r="L841" i="10"/>
  <c r="K840" i="10"/>
  <c r="K612" i="10"/>
  <c r="L613" i="10"/>
  <c r="L618" i="10"/>
  <c r="L688" i="10"/>
  <c r="K687" i="10"/>
  <c r="L169" i="10"/>
  <c r="K168" i="10"/>
  <c r="L471" i="10"/>
  <c r="K470" i="10"/>
  <c r="K173" i="10"/>
  <c r="L174" i="10"/>
  <c r="K692" i="10"/>
  <c r="L693" i="10"/>
  <c r="L989" i="10"/>
  <c r="K988" i="10"/>
  <c r="K983" i="10"/>
  <c r="L984" i="10"/>
  <c r="L545" i="10"/>
  <c r="K544" i="10"/>
  <c r="L540" i="10"/>
  <c r="K539" i="10"/>
  <c r="K24" i="10"/>
  <c r="L25" i="10"/>
  <c r="J914" i="11" l="1"/>
  <c r="K989" i="11"/>
  <c r="K994" i="11" s="1"/>
  <c r="K466" i="11"/>
  <c r="J466" i="11" s="1"/>
  <c r="S1916" i="11"/>
  <c r="S1918" i="11" s="1"/>
  <c r="V1870" i="11" s="1"/>
  <c r="J1804" i="11"/>
  <c r="K1801" i="11"/>
  <c r="K1802" i="11" s="1"/>
  <c r="J1577" i="11"/>
  <c r="L95" i="10"/>
  <c r="K95" i="10" s="1"/>
  <c r="K1879" i="11"/>
  <c r="J1879" i="11" s="1"/>
  <c r="K1874" i="11"/>
  <c r="J1874" i="11" s="1"/>
  <c r="J1953" i="11"/>
  <c r="K1954" i="11"/>
  <c r="K1579" i="11"/>
  <c r="J1578" i="11"/>
  <c r="J1948" i="11"/>
  <c r="K1949" i="11"/>
  <c r="K1652" i="11"/>
  <c r="J1651" i="11"/>
  <c r="J1805" i="11"/>
  <c r="K1810" i="11"/>
  <c r="K1806" i="11"/>
  <c r="J1656" i="11"/>
  <c r="K1657" i="11"/>
  <c r="K1727" i="11"/>
  <c r="J1726" i="11"/>
  <c r="K1732" i="11"/>
  <c r="K1736" i="11"/>
  <c r="J1731" i="11"/>
  <c r="K1588" i="11"/>
  <c r="K1584" i="11"/>
  <c r="J1583" i="11"/>
  <c r="K396" i="10"/>
  <c r="L392" i="10"/>
  <c r="L393" i="10" s="1"/>
  <c r="K761" i="10"/>
  <c r="K766" i="10"/>
  <c r="J915" i="11"/>
  <c r="K920" i="11"/>
  <c r="K916" i="11"/>
  <c r="J1132" i="11"/>
  <c r="K1133" i="11"/>
  <c r="K101" i="11"/>
  <c r="J100" i="11"/>
  <c r="K105" i="11"/>
  <c r="K1285" i="11"/>
  <c r="J1284" i="11"/>
  <c r="J1063" i="11"/>
  <c r="K1068" i="11"/>
  <c r="K1064" i="11"/>
  <c r="J688" i="11"/>
  <c r="K689" i="11"/>
  <c r="K836" i="11"/>
  <c r="J835" i="11"/>
  <c r="J1279" i="11"/>
  <c r="K1280" i="11"/>
  <c r="K1356" i="11"/>
  <c r="J1355" i="11"/>
  <c r="K22" i="11"/>
  <c r="J21" i="11"/>
  <c r="J840" i="11"/>
  <c r="K841" i="11"/>
  <c r="J767" i="11"/>
  <c r="K772" i="11"/>
  <c r="K768" i="11"/>
  <c r="K615" i="11"/>
  <c r="J614" i="11"/>
  <c r="J1508" i="11"/>
  <c r="K1509" i="11"/>
  <c r="K541" i="11"/>
  <c r="J540" i="11"/>
  <c r="J910" i="11"/>
  <c r="K911" i="11"/>
  <c r="J619" i="11"/>
  <c r="K620" i="11"/>
  <c r="K624" i="11"/>
  <c r="J1503" i="11"/>
  <c r="K1504" i="11"/>
  <c r="K985" i="11"/>
  <c r="J984" i="11"/>
  <c r="K175" i="11"/>
  <c r="J174" i="11"/>
  <c r="K179" i="11"/>
  <c r="K1142" i="11"/>
  <c r="K1138" i="11"/>
  <c r="J1137" i="11"/>
  <c r="J1206" i="11"/>
  <c r="K1207" i="11"/>
  <c r="K328" i="11"/>
  <c r="K324" i="11"/>
  <c r="J323" i="11"/>
  <c r="J391" i="11"/>
  <c r="K392" i="11"/>
  <c r="K550" i="11"/>
  <c r="J545" i="11"/>
  <c r="K546" i="11"/>
  <c r="K248" i="11"/>
  <c r="J247" i="11"/>
  <c r="J1428" i="11"/>
  <c r="K1429" i="11"/>
  <c r="K30" i="11"/>
  <c r="J25" i="11"/>
  <c r="K26" i="11"/>
  <c r="K397" i="11"/>
  <c r="J396" i="11"/>
  <c r="K1059" i="11"/>
  <c r="J1058" i="11"/>
  <c r="J1211" i="11"/>
  <c r="K1216" i="11"/>
  <c r="K1212" i="11"/>
  <c r="K319" i="11"/>
  <c r="J318" i="11"/>
  <c r="K96" i="11"/>
  <c r="J95" i="11"/>
  <c r="K763" i="11"/>
  <c r="J762" i="11"/>
  <c r="J1360" i="11"/>
  <c r="K1365" i="11"/>
  <c r="K1361" i="11"/>
  <c r="K1434" i="11"/>
  <c r="J1433" i="11"/>
  <c r="J471" i="11"/>
  <c r="K472" i="11"/>
  <c r="K476" i="11"/>
  <c r="K170" i="11"/>
  <c r="J169" i="11"/>
  <c r="K698" i="11"/>
  <c r="K694" i="11"/>
  <c r="J693" i="11"/>
  <c r="J242" i="11"/>
  <c r="K243" i="11"/>
  <c r="K99" i="10"/>
  <c r="L1430" i="10"/>
  <c r="K1429" i="10"/>
  <c r="K1354" i="10"/>
  <c r="K1434" i="10"/>
  <c r="L1439" i="10"/>
  <c r="L1435" i="10"/>
  <c r="K1508" i="10"/>
  <c r="L1509" i="10"/>
  <c r="K1503" i="10"/>
  <c r="L1504" i="10"/>
  <c r="K1360" i="10"/>
  <c r="L1365" i="10"/>
  <c r="L1361" i="10"/>
  <c r="L1356" i="10"/>
  <c r="K1355" i="10"/>
  <c r="L1285" i="10"/>
  <c r="K1284" i="10"/>
  <c r="K1279" i="10"/>
  <c r="L1280" i="10"/>
  <c r="L1207" i="10"/>
  <c r="K1206" i="10"/>
  <c r="K1211" i="10"/>
  <c r="L1216" i="10"/>
  <c r="L1212" i="10"/>
  <c r="K1136" i="10"/>
  <c r="L1142" i="10"/>
  <c r="L1138" i="10"/>
  <c r="K1137" i="10"/>
  <c r="L1133" i="10"/>
  <c r="K1132" i="10"/>
  <c r="L20" i="10"/>
  <c r="L21" i="10" s="1"/>
  <c r="L546" i="10"/>
  <c r="K545" i="10"/>
  <c r="L550" i="10"/>
  <c r="K471" i="10"/>
  <c r="L476" i="10"/>
  <c r="L472" i="10"/>
  <c r="L105" i="10"/>
  <c r="K100" i="10"/>
  <c r="L101" i="10"/>
  <c r="L323" i="10"/>
  <c r="K322" i="10"/>
  <c r="L689" i="10"/>
  <c r="K688" i="10"/>
  <c r="L1059" i="10"/>
  <c r="K1058" i="10"/>
  <c r="K984" i="10"/>
  <c r="L985" i="10"/>
  <c r="L619" i="10"/>
  <c r="K618" i="10"/>
  <c r="K397" i="10"/>
  <c r="L402" i="10"/>
  <c r="L398" i="10"/>
  <c r="L614" i="10"/>
  <c r="K613" i="10"/>
  <c r="L1068" i="10"/>
  <c r="K1063" i="10"/>
  <c r="L1064" i="10"/>
  <c r="L318" i="10"/>
  <c r="K317" i="10"/>
  <c r="K989" i="10"/>
  <c r="L994" i="10"/>
  <c r="L990" i="10"/>
  <c r="L768" i="10"/>
  <c r="K767" i="10"/>
  <c r="L772" i="10"/>
  <c r="K25" i="10"/>
  <c r="L26" i="10"/>
  <c r="L30" i="10"/>
  <c r="L179" i="10"/>
  <c r="L175" i="10"/>
  <c r="K174" i="10"/>
  <c r="L915" i="10"/>
  <c r="K914" i="10"/>
  <c r="L838" i="10"/>
  <c r="K837" i="10"/>
  <c r="L763" i="10"/>
  <c r="K762" i="10"/>
  <c r="L910" i="10"/>
  <c r="K909" i="10"/>
  <c r="L170" i="10"/>
  <c r="K169" i="10"/>
  <c r="K841" i="10"/>
  <c r="L846" i="10"/>
  <c r="L842" i="10"/>
  <c r="K540" i="10"/>
  <c r="L541" i="10"/>
  <c r="L468" i="10"/>
  <c r="K467" i="10"/>
  <c r="K693" i="10"/>
  <c r="L698" i="10"/>
  <c r="L694" i="10"/>
  <c r="L249" i="10"/>
  <c r="L253" i="10"/>
  <c r="K248" i="10"/>
  <c r="L244" i="10"/>
  <c r="K243" i="10"/>
  <c r="J989" i="11" l="1"/>
  <c r="K990" i="11"/>
  <c r="J990" i="11" s="1"/>
  <c r="K467" i="11"/>
  <c r="K468" i="11" s="1"/>
  <c r="J1801" i="11"/>
  <c r="L96" i="10"/>
  <c r="L97" i="10" s="1"/>
  <c r="J1584" i="11"/>
  <c r="K1585" i="11"/>
  <c r="K1589" i="11"/>
  <c r="J1588" i="11"/>
  <c r="J1579" i="11"/>
  <c r="K1580" i="11"/>
  <c r="J1736" i="11"/>
  <c r="K1737" i="11"/>
  <c r="K1955" i="11"/>
  <c r="J1954" i="11"/>
  <c r="K1959" i="11"/>
  <c r="J1732" i="11"/>
  <c r="K1733" i="11"/>
  <c r="J1652" i="11"/>
  <c r="K1653" i="11"/>
  <c r="K1875" i="11"/>
  <c r="J1875" i="11" s="1"/>
  <c r="K1950" i="11"/>
  <c r="J1949" i="11"/>
  <c r="J1727" i="11"/>
  <c r="K1728" i="11"/>
  <c r="K1662" i="11"/>
  <c r="K1658" i="11"/>
  <c r="J1657" i="11"/>
  <c r="J1802" i="11"/>
  <c r="K1803" i="11"/>
  <c r="K1807" i="11"/>
  <c r="J1806" i="11"/>
  <c r="K1884" i="11"/>
  <c r="J1884" i="11" s="1"/>
  <c r="K1880" i="11"/>
  <c r="J1880" i="11" s="1"/>
  <c r="J1810" i="11"/>
  <c r="K1811" i="11"/>
  <c r="K392" i="10"/>
  <c r="K695" i="11"/>
  <c r="J694" i="11"/>
  <c r="K837" i="11"/>
  <c r="J836" i="11"/>
  <c r="J698" i="11"/>
  <c r="K699" i="11"/>
  <c r="K616" i="11"/>
  <c r="J615" i="11"/>
  <c r="K690" i="11"/>
  <c r="J689" i="11"/>
  <c r="K1065" i="11"/>
  <c r="J1064" i="11"/>
  <c r="K320" i="11"/>
  <c r="J319" i="11"/>
  <c r="J985" i="11"/>
  <c r="K986" i="11"/>
  <c r="K769" i="11"/>
  <c r="J768" i="11"/>
  <c r="K1069" i="11"/>
  <c r="J1068" i="11"/>
  <c r="K1505" i="11"/>
  <c r="J1504" i="11"/>
  <c r="K773" i="11"/>
  <c r="J772" i="11"/>
  <c r="K477" i="11"/>
  <c r="J476" i="11"/>
  <c r="K329" i="11"/>
  <c r="J328" i="11"/>
  <c r="J624" i="11"/>
  <c r="K625" i="11"/>
  <c r="K846" i="11"/>
  <c r="K842" i="11"/>
  <c r="J841" i="11"/>
  <c r="K1290" i="11"/>
  <c r="K1286" i="11"/>
  <c r="J1285" i="11"/>
  <c r="J1216" i="11"/>
  <c r="K1217" i="11"/>
  <c r="J620" i="11"/>
  <c r="K621" i="11"/>
  <c r="J105" i="11"/>
  <c r="K106" i="11"/>
  <c r="K180" i="11"/>
  <c r="J179" i="11"/>
  <c r="J170" i="11"/>
  <c r="K171" i="11"/>
  <c r="K176" i="11"/>
  <c r="J175" i="11"/>
  <c r="K398" i="11"/>
  <c r="J397" i="11"/>
  <c r="K402" i="11"/>
  <c r="K1362" i="11"/>
  <c r="J1361" i="11"/>
  <c r="J1365" i="11"/>
  <c r="K1366" i="11"/>
  <c r="K912" i="11"/>
  <c r="J911" i="11"/>
  <c r="J22" i="11"/>
  <c r="K23" i="11"/>
  <c r="K102" i="11"/>
  <c r="J101" i="11"/>
  <c r="J550" i="11"/>
  <c r="K551" i="11"/>
  <c r="K473" i="11"/>
  <c r="J472" i="11"/>
  <c r="K1208" i="11"/>
  <c r="J1207" i="11"/>
  <c r="K1134" i="11"/>
  <c r="J1133" i="11"/>
  <c r="K1213" i="11"/>
  <c r="J1212" i="11"/>
  <c r="K1430" i="11"/>
  <c r="J1429" i="11"/>
  <c r="K1357" i="11"/>
  <c r="J1356" i="11"/>
  <c r="K325" i="11"/>
  <c r="J324" i="11"/>
  <c r="J243" i="11"/>
  <c r="K244" i="11"/>
  <c r="K764" i="11"/>
  <c r="J763" i="11"/>
  <c r="J541" i="11"/>
  <c r="K542" i="11"/>
  <c r="K1281" i="11"/>
  <c r="J1280" i="11"/>
  <c r="K917" i="11"/>
  <c r="J916" i="11"/>
  <c r="K547" i="11"/>
  <c r="J546" i="11"/>
  <c r="J1059" i="11"/>
  <c r="K1060" i="11"/>
  <c r="K995" i="11"/>
  <c r="J994" i="11"/>
  <c r="J1138" i="11"/>
  <c r="K1139" i="11"/>
  <c r="K1510" i="11"/>
  <c r="J1509" i="11"/>
  <c r="K1514" i="11"/>
  <c r="K921" i="11"/>
  <c r="J920" i="11"/>
  <c r="K393" i="11"/>
  <c r="J392" i="11"/>
  <c r="J1434" i="11"/>
  <c r="K1439" i="11"/>
  <c r="K1435" i="11"/>
  <c r="K27" i="11"/>
  <c r="J26" i="11"/>
  <c r="J30" i="11"/>
  <c r="K31" i="11"/>
  <c r="J96" i="11"/>
  <c r="K97" i="11"/>
  <c r="J248" i="11"/>
  <c r="K249" i="11"/>
  <c r="K253" i="11"/>
  <c r="K1143" i="11"/>
  <c r="J1142" i="11"/>
  <c r="L1505" i="10"/>
  <c r="K1504" i="10"/>
  <c r="L1514" i="10"/>
  <c r="L1510" i="10"/>
  <c r="K1509" i="10"/>
  <c r="L1436" i="10"/>
  <c r="K1435" i="10"/>
  <c r="L1440" i="10"/>
  <c r="K1439" i="10"/>
  <c r="L1431" i="10"/>
  <c r="K1430" i="10"/>
  <c r="K1356" i="10"/>
  <c r="L1357" i="10"/>
  <c r="L1362" i="10"/>
  <c r="K1361" i="10"/>
  <c r="L1366" i="10"/>
  <c r="K1365" i="10"/>
  <c r="L1213" i="10"/>
  <c r="K1212" i="10"/>
  <c r="K1216" i="10"/>
  <c r="L1217" i="10"/>
  <c r="L1208" i="10"/>
  <c r="K1207" i="10"/>
  <c r="L1281" i="10"/>
  <c r="K1280" i="10"/>
  <c r="L1286" i="10"/>
  <c r="K1285" i="10"/>
  <c r="L1290" i="10"/>
  <c r="L1134" i="10"/>
  <c r="K1133" i="10"/>
  <c r="L1139" i="10"/>
  <c r="K1138" i="10"/>
  <c r="K1142" i="10"/>
  <c r="L1143" i="10"/>
  <c r="K20" i="10"/>
  <c r="K253" i="10"/>
  <c r="L254" i="10"/>
  <c r="K763" i="10"/>
  <c r="L764" i="10"/>
  <c r="K694" i="10"/>
  <c r="L695" i="10"/>
  <c r="L839" i="10"/>
  <c r="K838" i="10"/>
  <c r="L319" i="10"/>
  <c r="K318" i="10"/>
  <c r="K689" i="10"/>
  <c r="L690" i="10"/>
  <c r="K546" i="10"/>
  <c r="L547" i="10"/>
  <c r="L1065" i="10"/>
  <c r="K1064" i="10"/>
  <c r="K915" i="10"/>
  <c r="L920" i="10"/>
  <c r="L916" i="10"/>
  <c r="L324" i="10"/>
  <c r="L328" i="10"/>
  <c r="K323" i="10"/>
  <c r="L699" i="10"/>
  <c r="K698" i="10"/>
  <c r="K249" i="10"/>
  <c r="L250" i="10"/>
  <c r="L847" i="10"/>
  <c r="K846" i="10"/>
  <c r="L27" i="10"/>
  <c r="K26" i="10"/>
  <c r="K402" i="10"/>
  <c r="L403" i="10"/>
  <c r="L477" i="10"/>
  <c r="K476" i="10"/>
  <c r="K768" i="10"/>
  <c r="L769" i="10"/>
  <c r="K910" i="10"/>
  <c r="L911" i="10"/>
  <c r="K994" i="10"/>
  <c r="L995" i="10"/>
  <c r="L1060" i="10"/>
  <c r="K1059" i="10"/>
  <c r="K1068" i="10"/>
  <c r="L1069" i="10"/>
  <c r="L542" i="10"/>
  <c r="K541" i="10"/>
  <c r="K105" i="10"/>
  <c r="L106" i="10"/>
  <c r="L31" i="10"/>
  <c r="K30" i="10"/>
  <c r="L22" i="10"/>
  <c r="K21" i="10"/>
  <c r="L986" i="10"/>
  <c r="K985" i="10"/>
  <c r="L991" i="10"/>
  <c r="K990" i="10"/>
  <c r="L245" i="10"/>
  <c r="K244" i="10"/>
  <c r="K614" i="10"/>
  <c r="L615" i="10"/>
  <c r="L399" i="10"/>
  <c r="K398" i="10"/>
  <c r="L773" i="10"/>
  <c r="K772" i="10"/>
  <c r="L551" i="10"/>
  <c r="K550" i="10"/>
  <c r="L394" i="10"/>
  <c r="K393" i="10"/>
  <c r="K468" i="10"/>
  <c r="L469" i="10"/>
  <c r="L102" i="10"/>
  <c r="K101" i="10"/>
  <c r="L176" i="10"/>
  <c r="K175" i="10"/>
  <c r="K179" i="10"/>
  <c r="L180" i="10"/>
  <c r="L843" i="10"/>
  <c r="K842" i="10"/>
  <c r="K472" i="10"/>
  <c r="L473" i="10"/>
  <c r="K170" i="10"/>
  <c r="L171" i="10"/>
  <c r="K619" i="10"/>
  <c r="L620" i="10"/>
  <c r="L624" i="10"/>
  <c r="K991" i="11" l="1"/>
  <c r="J991" i="11" s="1"/>
  <c r="K96" i="10"/>
  <c r="J467" i="11"/>
  <c r="K1881" i="11"/>
  <c r="J1881" i="11" s="1"/>
  <c r="K1654" i="11"/>
  <c r="J1653" i="11"/>
  <c r="J1807" i="11"/>
  <c r="K1808" i="11"/>
  <c r="J1808" i="11" s="1"/>
  <c r="J1959" i="11"/>
  <c r="K1960" i="11"/>
  <c r="K1885" i="11"/>
  <c r="J1885" i="11" s="1"/>
  <c r="K1809" i="11"/>
  <c r="J1809" i="11" s="1"/>
  <c r="J1803" i="11"/>
  <c r="K1956" i="11"/>
  <c r="J1955" i="11"/>
  <c r="K1738" i="11"/>
  <c r="J1737" i="11"/>
  <c r="J1658" i="11"/>
  <c r="K1659" i="11"/>
  <c r="J1662" i="11"/>
  <c r="K1663" i="11"/>
  <c r="J1580" i="11"/>
  <c r="K1581" i="11"/>
  <c r="K1729" i="11"/>
  <c r="J1728" i="11"/>
  <c r="K1734" i="11"/>
  <c r="J1734" i="11" s="1"/>
  <c r="J1733" i="11"/>
  <c r="J1589" i="11"/>
  <c r="K1590" i="11"/>
  <c r="J1950" i="11"/>
  <c r="K1951" i="11"/>
  <c r="K1586" i="11"/>
  <c r="J1586" i="11" s="1"/>
  <c r="J1585" i="11"/>
  <c r="J1811" i="11"/>
  <c r="K1812" i="11"/>
  <c r="K1876" i="11"/>
  <c r="J1876" i="11" s="1"/>
  <c r="J995" i="11"/>
  <c r="K996" i="11"/>
  <c r="J325" i="11"/>
  <c r="K326" i="11"/>
  <c r="J326" i="11" s="1"/>
  <c r="J102" i="11"/>
  <c r="K103" i="11"/>
  <c r="J103" i="11" s="1"/>
  <c r="K172" i="11"/>
  <c r="J171" i="11"/>
  <c r="J625" i="11"/>
  <c r="K626" i="11"/>
  <c r="K987" i="11"/>
  <c r="J986" i="11"/>
  <c r="K181" i="11"/>
  <c r="J180" i="11"/>
  <c r="K330" i="11"/>
  <c r="J329" i="11"/>
  <c r="K321" i="11"/>
  <c r="J320" i="11"/>
  <c r="J27" i="11"/>
  <c r="K28" i="11"/>
  <c r="J28" i="11" s="1"/>
  <c r="K1431" i="11"/>
  <c r="J1430" i="11"/>
  <c r="J912" i="11"/>
  <c r="K913" i="11"/>
  <c r="K107" i="11"/>
  <c r="J106" i="11"/>
  <c r="K478" i="11"/>
  <c r="J477" i="11"/>
  <c r="K1066" i="11"/>
  <c r="J1066" i="11" s="1"/>
  <c r="J1065" i="11"/>
  <c r="K622" i="11"/>
  <c r="J622" i="11" s="1"/>
  <c r="J621" i="11"/>
  <c r="K1367" i="11"/>
  <c r="J1366" i="11"/>
  <c r="J468" i="11"/>
  <c r="K469" i="11"/>
  <c r="J690" i="11"/>
  <c r="K691" i="11"/>
  <c r="K29" i="11"/>
  <c r="J29" i="11" s="1"/>
  <c r="J23" i="11"/>
  <c r="K1436" i="11"/>
  <c r="J1435" i="11"/>
  <c r="K1282" i="11"/>
  <c r="J1281" i="11"/>
  <c r="K1135" i="11"/>
  <c r="J1134" i="11"/>
  <c r="K1218" i="11"/>
  <c r="J1217" i="11"/>
  <c r="J1143" i="11"/>
  <c r="K1144" i="11"/>
  <c r="J773" i="11"/>
  <c r="K774" i="11"/>
  <c r="K617" i="11"/>
  <c r="J616" i="11"/>
  <c r="K1214" i="11"/>
  <c r="J1214" i="11" s="1"/>
  <c r="J1213" i="11"/>
  <c r="K254" i="11"/>
  <c r="J253" i="11"/>
  <c r="J1514" i="11"/>
  <c r="K1515" i="11"/>
  <c r="J1208" i="11"/>
  <c r="K1209" i="11"/>
  <c r="K1363" i="11"/>
  <c r="J1363" i="11" s="1"/>
  <c r="J1362" i="11"/>
  <c r="K700" i="11"/>
  <c r="J699" i="11"/>
  <c r="J1357" i="11"/>
  <c r="K1358" i="11"/>
  <c r="J402" i="11"/>
  <c r="K403" i="11"/>
  <c r="J1286" i="11"/>
  <c r="K1287" i="11"/>
  <c r="J1505" i="11"/>
  <c r="K1506" i="11"/>
  <c r="K548" i="11"/>
  <c r="J548" i="11" s="1"/>
  <c r="J547" i="11"/>
  <c r="K1511" i="11"/>
  <c r="J1510" i="11"/>
  <c r="J764" i="11"/>
  <c r="K765" i="11"/>
  <c r="J473" i="11"/>
  <c r="K474" i="11"/>
  <c r="J474" i="11" s="1"/>
  <c r="K1291" i="11"/>
  <c r="J1290" i="11"/>
  <c r="K1440" i="11"/>
  <c r="J1439" i="11"/>
  <c r="K918" i="11"/>
  <c r="J918" i="11" s="1"/>
  <c r="J917" i="11"/>
  <c r="K250" i="11"/>
  <c r="J249" i="11"/>
  <c r="J97" i="11"/>
  <c r="K98" i="11"/>
  <c r="K1140" i="11"/>
  <c r="J1140" i="11" s="1"/>
  <c r="J1139" i="11"/>
  <c r="K245" i="11"/>
  <c r="J244" i="11"/>
  <c r="K552" i="11"/>
  <c r="J551" i="11"/>
  <c r="J398" i="11"/>
  <c r="K399" i="11"/>
  <c r="J1069" i="11"/>
  <c r="K1070" i="11"/>
  <c r="J837" i="11"/>
  <c r="K838" i="11"/>
  <c r="J1060" i="11"/>
  <c r="K1061" i="11"/>
  <c r="J921" i="11"/>
  <c r="K922" i="11"/>
  <c r="K843" i="11"/>
  <c r="J842" i="11"/>
  <c r="J393" i="11"/>
  <c r="K394" i="11"/>
  <c r="K543" i="11"/>
  <c r="J542" i="11"/>
  <c r="K32" i="11"/>
  <c r="J31" i="11"/>
  <c r="J176" i="11"/>
  <c r="K177" i="11"/>
  <c r="J177" i="11" s="1"/>
  <c r="J846" i="11"/>
  <c r="K847" i="11"/>
  <c r="K770" i="11"/>
  <c r="J770" i="11" s="1"/>
  <c r="J769" i="11"/>
  <c r="J695" i="11"/>
  <c r="K696" i="11"/>
  <c r="J696" i="11" s="1"/>
  <c r="K1431" i="10"/>
  <c r="L1432" i="10"/>
  <c r="K1440" i="10"/>
  <c r="L1441" i="10"/>
  <c r="L1437" i="10"/>
  <c r="K1437" i="10" s="1"/>
  <c r="K1436" i="10"/>
  <c r="L1511" i="10"/>
  <c r="K1510" i="10"/>
  <c r="K1514" i="10"/>
  <c r="L1515" i="10"/>
  <c r="K1505" i="10"/>
  <c r="L1506" i="10"/>
  <c r="K1366" i="10"/>
  <c r="L1367" i="10"/>
  <c r="L1363" i="10"/>
  <c r="K1363" i="10" s="1"/>
  <c r="K1362" i="10"/>
  <c r="K1357" i="10"/>
  <c r="L1358" i="10"/>
  <c r="K1290" i="10"/>
  <c r="L1291" i="10"/>
  <c r="L1287" i="10"/>
  <c r="K1286" i="10"/>
  <c r="K1281" i="10"/>
  <c r="L1282" i="10"/>
  <c r="K1208" i="10"/>
  <c r="L1209" i="10"/>
  <c r="L1218" i="10"/>
  <c r="K1217" i="10"/>
  <c r="K1213" i="10"/>
  <c r="L1214" i="10"/>
  <c r="K1214" i="10" s="1"/>
  <c r="K1139" i="10"/>
  <c r="L1140" i="10"/>
  <c r="K1140" i="10" s="1"/>
  <c r="K1134" i="10"/>
  <c r="L1135" i="10"/>
  <c r="L1144" i="10"/>
  <c r="K1143" i="10"/>
  <c r="L548" i="10"/>
  <c r="K548" i="10" s="1"/>
  <c r="K547" i="10"/>
  <c r="K31" i="10"/>
  <c r="L32" i="10"/>
  <c r="L543" i="10"/>
  <c r="K542" i="10"/>
  <c r="K27" i="10"/>
  <c r="L28" i="10"/>
  <c r="K28" i="10" s="1"/>
  <c r="K1065" i="10"/>
  <c r="L1066" i="10"/>
  <c r="K1066" i="10" s="1"/>
  <c r="L616" i="10"/>
  <c r="K615" i="10"/>
  <c r="L1070" i="10"/>
  <c r="K1069" i="10"/>
  <c r="L691" i="10"/>
  <c r="K690" i="10"/>
  <c r="K847" i="10"/>
  <c r="L848" i="10"/>
  <c r="L107" i="10"/>
  <c r="K106" i="10"/>
  <c r="L181" i="10"/>
  <c r="K180" i="10"/>
  <c r="L251" i="10"/>
  <c r="K251" i="10" s="1"/>
  <c r="K250" i="10"/>
  <c r="L844" i="10"/>
  <c r="K844" i="10" s="1"/>
  <c r="K843" i="10"/>
  <c r="L98" i="10"/>
  <c r="K97" i="10"/>
  <c r="K245" i="10"/>
  <c r="L246" i="10"/>
  <c r="L475" i="10"/>
  <c r="K475" i="10" s="1"/>
  <c r="K469" i="10"/>
  <c r="L996" i="10"/>
  <c r="K995" i="10"/>
  <c r="L478" i="10"/>
  <c r="K477" i="10"/>
  <c r="L177" i="10"/>
  <c r="K177" i="10" s="1"/>
  <c r="K176" i="10"/>
  <c r="L320" i="10"/>
  <c r="K319" i="10"/>
  <c r="L912" i="10"/>
  <c r="K911" i="10"/>
  <c r="K695" i="10"/>
  <c r="L696" i="10"/>
  <c r="K696" i="10" s="1"/>
  <c r="L404" i="10"/>
  <c r="K403" i="10"/>
  <c r="K394" i="10"/>
  <c r="L395" i="10"/>
  <c r="K986" i="10"/>
  <c r="L987" i="10"/>
  <c r="L329" i="10"/>
  <c r="K328" i="10"/>
  <c r="K773" i="10"/>
  <c r="L774" i="10"/>
  <c r="L103" i="10"/>
  <c r="K103" i="10" s="1"/>
  <c r="K102" i="10"/>
  <c r="K1060" i="10"/>
  <c r="L1061" i="10"/>
  <c r="K991" i="10"/>
  <c r="L992" i="10"/>
  <c r="K992" i="10" s="1"/>
  <c r="K699" i="10"/>
  <c r="L700" i="10"/>
  <c r="K620" i="10"/>
  <c r="L621" i="10"/>
  <c r="L172" i="10"/>
  <c r="K171" i="10"/>
  <c r="L770" i="10"/>
  <c r="K770" i="10" s="1"/>
  <c r="K769" i="10"/>
  <c r="L325" i="10"/>
  <c r="K324" i="10"/>
  <c r="L765" i="10"/>
  <c r="K764" i="10"/>
  <c r="L625" i="10"/>
  <c r="K624" i="10"/>
  <c r="K839" i="10"/>
  <c r="L845" i="10"/>
  <c r="K845" i="10" s="1"/>
  <c r="K551" i="10"/>
  <c r="L552" i="10"/>
  <c r="K22" i="10"/>
  <c r="L23" i="10"/>
  <c r="L917" i="10"/>
  <c r="K916" i="10"/>
  <c r="K399" i="10"/>
  <c r="L400" i="10"/>
  <c r="K400" i="10" s="1"/>
  <c r="L474" i="10"/>
  <c r="K474" i="10" s="1"/>
  <c r="K473" i="10"/>
  <c r="K920" i="10"/>
  <c r="L921" i="10"/>
  <c r="L255" i="10"/>
  <c r="K254" i="10"/>
  <c r="K992" i="11" l="1"/>
  <c r="J992" i="11" s="1"/>
  <c r="K1749" i="11"/>
  <c r="J1738" i="11"/>
  <c r="K1739" i="11"/>
  <c r="K1601" i="11"/>
  <c r="K1591" i="11"/>
  <c r="J1590" i="11"/>
  <c r="J1951" i="11"/>
  <c r="K1952" i="11"/>
  <c r="K1886" i="11"/>
  <c r="J1886" i="11" s="1"/>
  <c r="K1961" i="11"/>
  <c r="J1960" i="11"/>
  <c r="J1729" i="11"/>
  <c r="K1735" i="11"/>
  <c r="J1735" i="11" s="1"/>
  <c r="K1587" i="11"/>
  <c r="J1587" i="11" s="1"/>
  <c r="J1581" i="11"/>
  <c r="J1956" i="11"/>
  <c r="K1957" i="11"/>
  <c r="J1957" i="11" s="1"/>
  <c r="K1664" i="11"/>
  <c r="J1663" i="11"/>
  <c r="K1877" i="11"/>
  <c r="J1877" i="11" s="1"/>
  <c r="J1654" i="11"/>
  <c r="K1655" i="11"/>
  <c r="K1813" i="11"/>
  <c r="K1823" i="11"/>
  <c r="J1812" i="11"/>
  <c r="K1660" i="11"/>
  <c r="J1660" i="11" s="1"/>
  <c r="J1659" i="11"/>
  <c r="K1882" i="11"/>
  <c r="J1882" i="11" s="1"/>
  <c r="J1135" i="11"/>
  <c r="K1141" i="11"/>
  <c r="J1141" i="11" s="1"/>
  <c r="J330" i="11"/>
  <c r="K341" i="11"/>
  <c r="K331" i="11"/>
  <c r="J1282" i="11"/>
  <c r="K1283" i="11"/>
  <c r="J478" i="11"/>
  <c r="K489" i="11"/>
  <c r="K479" i="11"/>
  <c r="K192" i="11"/>
  <c r="J181" i="11"/>
  <c r="K182" i="11"/>
  <c r="J1511" i="11"/>
  <c r="K1512" i="11"/>
  <c r="J1512" i="11" s="1"/>
  <c r="K255" i="11"/>
  <c r="J254" i="11"/>
  <c r="K1437" i="11"/>
  <c r="J1437" i="11" s="1"/>
  <c r="J1436" i="11"/>
  <c r="K993" i="11"/>
  <c r="J993" i="11" s="1"/>
  <c r="J987" i="11"/>
  <c r="K1215" i="11"/>
  <c r="J1215" i="11" s="1"/>
  <c r="J1209" i="11"/>
  <c r="J1287" i="11"/>
  <c r="K1288" i="11"/>
  <c r="J1288" i="11" s="1"/>
  <c r="K637" i="11"/>
  <c r="K627" i="11"/>
  <c r="J626" i="11"/>
  <c r="K118" i="11"/>
  <c r="J107" i="11"/>
  <c r="K108" i="11"/>
  <c r="K923" i="11"/>
  <c r="K933" i="11"/>
  <c r="J922" i="11"/>
  <c r="J403" i="11"/>
  <c r="K404" i="11"/>
  <c r="K697" i="11"/>
  <c r="J697" i="11" s="1"/>
  <c r="J691" i="11"/>
  <c r="K919" i="11"/>
  <c r="J919" i="11" s="1"/>
  <c r="J913" i="11"/>
  <c r="J617" i="11"/>
  <c r="K623" i="11"/>
  <c r="J623" i="11" s="1"/>
  <c r="K178" i="11"/>
  <c r="J178" i="11" s="1"/>
  <c r="J172" i="11"/>
  <c r="K1516" i="11"/>
  <c r="J1515" i="11"/>
  <c r="J1061" i="11"/>
  <c r="K1067" i="11"/>
  <c r="J1067" i="11" s="1"/>
  <c r="K839" i="11"/>
  <c r="J838" i="11"/>
  <c r="K400" i="11"/>
  <c r="J400" i="11" s="1"/>
  <c r="J399" i="11"/>
  <c r="K1364" i="11"/>
  <c r="J1364" i="11" s="1"/>
  <c r="J1358" i="11"/>
  <c r="K785" i="11"/>
  <c r="K775" i="11"/>
  <c r="J774" i="11"/>
  <c r="J469" i="11"/>
  <c r="K475" i="11"/>
  <c r="J475" i="11" s="1"/>
  <c r="K104" i="11"/>
  <c r="J104" i="11" s="1"/>
  <c r="J98" i="11"/>
  <c r="J250" i="11"/>
  <c r="K251" i="11"/>
  <c r="J251" i="11" s="1"/>
  <c r="K1292" i="11"/>
  <c r="J1291" i="11"/>
  <c r="J1431" i="11"/>
  <c r="K1432" i="11"/>
  <c r="K848" i="11"/>
  <c r="J847" i="11"/>
  <c r="J1144" i="11"/>
  <c r="K1145" i="11"/>
  <c r="K1155" i="11"/>
  <c r="J1440" i="11"/>
  <c r="K1441" i="11"/>
  <c r="J543" i="11"/>
  <c r="K549" i="11"/>
  <c r="J549" i="11" s="1"/>
  <c r="J552" i="11"/>
  <c r="K563" i="11"/>
  <c r="K553" i="11"/>
  <c r="J700" i="11"/>
  <c r="K711" i="11"/>
  <c r="K701" i="11"/>
  <c r="K1368" i="11"/>
  <c r="K1378" i="11"/>
  <c r="J1367" i="11"/>
  <c r="J843" i="11"/>
  <c r="K844" i="11"/>
  <c r="J844" i="11" s="1"/>
  <c r="J1506" i="11"/>
  <c r="K1507" i="11"/>
  <c r="K33" i="11"/>
  <c r="K43" i="11"/>
  <c r="J32" i="11"/>
  <c r="K395" i="11"/>
  <c r="J394" i="11"/>
  <c r="K771" i="11"/>
  <c r="J771" i="11" s="1"/>
  <c r="J765" i="11"/>
  <c r="K1007" i="11"/>
  <c r="K997" i="11"/>
  <c r="J996" i="11"/>
  <c r="J1070" i="11"/>
  <c r="K1081" i="11"/>
  <c r="K1071" i="11"/>
  <c r="J245" i="11"/>
  <c r="K246" i="11"/>
  <c r="K1219" i="11"/>
  <c r="K1229" i="11"/>
  <c r="J1218" i="11"/>
  <c r="K327" i="11"/>
  <c r="J327" i="11" s="1"/>
  <c r="J321" i="11"/>
  <c r="K1506" i="10"/>
  <c r="L1507" i="10"/>
  <c r="L1516" i="10"/>
  <c r="K1515" i="10"/>
  <c r="K1511" i="10"/>
  <c r="L1512" i="10"/>
  <c r="K1512" i="10" s="1"/>
  <c r="L1452" i="10"/>
  <c r="L1442" i="10"/>
  <c r="K1441" i="10"/>
  <c r="L1438" i="10"/>
  <c r="K1438" i="10" s="1"/>
  <c r="K1432" i="10"/>
  <c r="L1364" i="10"/>
  <c r="K1364" i="10" s="1"/>
  <c r="K1358" i="10"/>
  <c r="L1378" i="10"/>
  <c r="L1368" i="10"/>
  <c r="K1367" i="10"/>
  <c r="L1229" i="10"/>
  <c r="K1218" i="10"/>
  <c r="L1219" i="10"/>
  <c r="L1215" i="10"/>
  <c r="K1215" i="10" s="1"/>
  <c r="K1209" i="10"/>
  <c r="K1282" i="10"/>
  <c r="L1283" i="10"/>
  <c r="K1287" i="10"/>
  <c r="L1288" i="10"/>
  <c r="K1288" i="10" s="1"/>
  <c r="L1292" i="10"/>
  <c r="K1291" i="10"/>
  <c r="L1155" i="10"/>
  <c r="K1144" i="10"/>
  <c r="L1145" i="10"/>
  <c r="L1141" i="10"/>
  <c r="K1141" i="10" s="1"/>
  <c r="K1135" i="10"/>
  <c r="L697" i="10"/>
  <c r="K697" i="10" s="1"/>
  <c r="K691" i="10"/>
  <c r="L622" i="10"/>
  <c r="K622" i="10" s="1"/>
  <c r="K621" i="10"/>
  <c r="L553" i="10"/>
  <c r="L563" i="10"/>
  <c r="K552" i="10"/>
  <c r="L1081" i="10"/>
  <c r="K1070" i="10"/>
  <c r="L1071" i="10"/>
  <c r="K172" i="10"/>
  <c r="L178" i="10"/>
  <c r="K178" i="10" s="1"/>
  <c r="K98" i="10"/>
  <c r="L104" i="10"/>
  <c r="K104" i="10" s="1"/>
  <c r="L617" i="10"/>
  <c r="K616" i="10"/>
  <c r="L997" i="10"/>
  <c r="L1007" i="10"/>
  <c r="K996" i="10"/>
  <c r="L1067" i="10"/>
  <c r="K1067" i="10" s="1"/>
  <c r="K1061" i="10"/>
  <c r="L922" i="10"/>
  <c r="K921" i="10"/>
  <c r="L918" i="10"/>
  <c r="K918" i="10" s="1"/>
  <c r="K917" i="10"/>
  <c r="K625" i="10"/>
  <c r="L626" i="10"/>
  <c r="L401" i="10"/>
  <c r="K401" i="10" s="1"/>
  <c r="K395" i="10"/>
  <c r="K700" i="10"/>
  <c r="L701" i="10"/>
  <c r="L711" i="10"/>
  <c r="L326" i="10"/>
  <c r="K326" i="10" s="1"/>
  <c r="K325" i="10"/>
  <c r="L192" i="10"/>
  <c r="K181" i="10"/>
  <c r="L182" i="10"/>
  <c r="K543" i="10"/>
  <c r="L549" i="10"/>
  <c r="K549" i="10" s="1"/>
  <c r="L252" i="10"/>
  <c r="K252" i="10" s="1"/>
  <c r="K246" i="10"/>
  <c r="L43" i="10"/>
  <c r="K32" i="10"/>
  <c r="L33" i="10"/>
  <c r="L266" i="10"/>
  <c r="L256" i="10"/>
  <c r="K255" i="10"/>
  <c r="K912" i="10"/>
  <c r="L913" i="10"/>
  <c r="K329" i="10"/>
  <c r="L330" i="10"/>
  <c r="K478" i="10"/>
  <c r="L489" i="10"/>
  <c r="L479" i="10"/>
  <c r="L108" i="10"/>
  <c r="L118" i="10"/>
  <c r="K107" i="10"/>
  <c r="L29" i="10"/>
  <c r="K29" i="10" s="1"/>
  <c r="K23" i="10"/>
  <c r="L405" i="10"/>
  <c r="L415" i="10"/>
  <c r="K404" i="10"/>
  <c r="L771" i="10"/>
  <c r="K771" i="10" s="1"/>
  <c r="K765" i="10"/>
  <c r="L321" i="10"/>
  <c r="K320" i="10"/>
  <c r="L775" i="10"/>
  <c r="L785" i="10"/>
  <c r="K774" i="10"/>
  <c r="L993" i="10"/>
  <c r="K993" i="10" s="1"/>
  <c r="K987" i="10"/>
  <c r="L849" i="10"/>
  <c r="L859" i="10"/>
  <c r="K848" i="10"/>
  <c r="K1972" i="11" l="1"/>
  <c r="J1961" i="11"/>
  <c r="K1962" i="11"/>
  <c r="J1823" i="11"/>
  <c r="K1824" i="11"/>
  <c r="J1813" i="11"/>
  <c r="K1814" i="11"/>
  <c r="K1897" i="11"/>
  <c r="J1897" i="11" s="1"/>
  <c r="K1887" i="11"/>
  <c r="J1887" i="11" s="1"/>
  <c r="K1661" i="11"/>
  <c r="J1661" i="11" s="1"/>
  <c r="J1655" i="11"/>
  <c r="K1958" i="11"/>
  <c r="J1958" i="11" s="1"/>
  <c r="J1952" i="11"/>
  <c r="K1883" i="11"/>
  <c r="J1883" i="11" s="1"/>
  <c r="K1592" i="11"/>
  <c r="J1591" i="11"/>
  <c r="J1601" i="11"/>
  <c r="K1602" i="11"/>
  <c r="J1664" i="11"/>
  <c r="K1665" i="11"/>
  <c r="K1675" i="11"/>
  <c r="J1739" i="11"/>
  <c r="K1740" i="11"/>
  <c r="K1750" i="11"/>
  <c r="J1749" i="11"/>
  <c r="J923" i="11"/>
  <c r="K924" i="11"/>
  <c r="K266" i="11"/>
  <c r="J255" i="11"/>
  <c r="K256" i="11"/>
  <c r="K109" i="11"/>
  <c r="J108" i="11"/>
  <c r="K1527" i="11"/>
  <c r="J1516" i="11"/>
  <c r="K1517" i="11"/>
  <c r="J118" i="11"/>
  <c r="K119" i="11"/>
  <c r="K183" i="11"/>
  <c r="J182" i="11"/>
  <c r="J627" i="11"/>
  <c r="K628" i="11"/>
  <c r="J192" i="11"/>
  <c r="K193" i="11"/>
  <c r="J1229" i="11"/>
  <c r="K1230" i="11"/>
  <c r="K638" i="11"/>
  <c r="J637" i="11"/>
  <c r="K480" i="11"/>
  <c r="J479" i="11"/>
  <c r="K1513" i="11"/>
  <c r="J1513" i="11" s="1"/>
  <c r="J1507" i="11"/>
  <c r="J489" i="11"/>
  <c r="K490" i="11"/>
  <c r="K252" i="11"/>
  <c r="J252" i="11" s="1"/>
  <c r="J246" i="11"/>
  <c r="K1156" i="11"/>
  <c r="J1155" i="11"/>
  <c r="K564" i="11"/>
  <c r="J563" i="11"/>
  <c r="J785" i="11"/>
  <c r="K786" i="11"/>
  <c r="K1289" i="11"/>
  <c r="J1289" i="11" s="1"/>
  <c r="J1283" i="11"/>
  <c r="J33" i="11"/>
  <c r="K34" i="11"/>
  <c r="K1072" i="11"/>
  <c r="J1071" i="11"/>
  <c r="K1082" i="11"/>
  <c r="J1081" i="11"/>
  <c r="K332" i="11"/>
  <c r="J331" i="11"/>
  <c r="J1292" i="11"/>
  <c r="K1303" i="11"/>
  <c r="K1293" i="11"/>
  <c r="J1219" i="11"/>
  <c r="K1220" i="11"/>
  <c r="J1378" i="11"/>
  <c r="K1379" i="11"/>
  <c r="K849" i="11"/>
  <c r="J848" i="11"/>
  <c r="K859" i="11"/>
  <c r="K405" i="11"/>
  <c r="K415" i="11"/>
  <c r="J404" i="11"/>
  <c r="J341" i="11"/>
  <c r="K342" i="11"/>
  <c r="K1452" i="11"/>
  <c r="K1442" i="11"/>
  <c r="J1441" i="11"/>
  <c r="K776" i="11"/>
  <c r="J775" i="11"/>
  <c r="J1368" i="11"/>
  <c r="K1369" i="11"/>
  <c r="K1438" i="11"/>
  <c r="J1438" i="11" s="1"/>
  <c r="J1432" i="11"/>
  <c r="J395" i="11"/>
  <c r="K401" i="11"/>
  <c r="J401" i="11" s="1"/>
  <c r="J43" i="11"/>
  <c r="K44" i="11"/>
  <c r="K998" i="11"/>
  <c r="J997" i="11"/>
  <c r="K554" i="11"/>
  <c r="J553" i="11"/>
  <c r="K1146" i="11"/>
  <c r="J1145" i="11"/>
  <c r="K702" i="11"/>
  <c r="J701" i="11"/>
  <c r="J1007" i="11"/>
  <c r="K1008" i="11"/>
  <c r="K712" i="11"/>
  <c r="J711" i="11"/>
  <c r="K845" i="11"/>
  <c r="J845" i="11" s="1"/>
  <c r="J839" i="11"/>
  <c r="K934" i="11"/>
  <c r="J933" i="11"/>
  <c r="L1443" i="10"/>
  <c r="K1442" i="10"/>
  <c r="K1452" i="10"/>
  <c r="L1453" i="10"/>
  <c r="L1527" i="10"/>
  <c r="K1516" i="10"/>
  <c r="L1517" i="10"/>
  <c r="L1513" i="10"/>
  <c r="K1513" i="10" s="1"/>
  <c r="K1507" i="10"/>
  <c r="L1369" i="10"/>
  <c r="K1368" i="10"/>
  <c r="K1378" i="10"/>
  <c r="L1379" i="10"/>
  <c r="L1303" i="10"/>
  <c r="K1292" i="10"/>
  <c r="L1293" i="10"/>
  <c r="L1289" i="10"/>
  <c r="K1289" i="10" s="1"/>
  <c r="K1283" i="10"/>
  <c r="K1219" i="10"/>
  <c r="L1220" i="10"/>
  <c r="K1229" i="10"/>
  <c r="L1230" i="10"/>
  <c r="L1146" i="10"/>
  <c r="K1145" i="10"/>
  <c r="K1155" i="10"/>
  <c r="L1156" i="10"/>
  <c r="K711" i="10"/>
  <c r="L712" i="10"/>
  <c r="K701" i="10"/>
  <c r="L702" i="10"/>
  <c r="L623" i="10"/>
  <c r="K623" i="10" s="1"/>
  <c r="K617" i="10"/>
  <c r="K913" i="10"/>
  <c r="L919" i="10"/>
  <c r="K919" i="10" s="1"/>
  <c r="K256" i="10"/>
  <c r="L257" i="10"/>
  <c r="K626" i="10"/>
  <c r="L637" i="10"/>
  <c r="L627" i="10"/>
  <c r="K43" i="10"/>
  <c r="L44" i="10"/>
  <c r="L1072" i="10"/>
  <c r="K1071" i="10"/>
  <c r="L327" i="10"/>
  <c r="K327" i="10" s="1"/>
  <c r="K321" i="10"/>
  <c r="K415" i="10"/>
  <c r="L416" i="10"/>
  <c r="K118" i="10"/>
  <c r="L119" i="10"/>
  <c r="K1081" i="10"/>
  <c r="L1082" i="10"/>
  <c r="K997" i="10"/>
  <c r="L998" i="10"/>
  <c r="L267" i="10"/>
  <c r="K266" i="10"/>
  <c r="K108" i="10"/>
  <c r="L109" i="10"/>
  <c r="L564" i="10"/>
  <c r="K563" i="10"/>
  <c r="K405" i="10"/>
  <c r="L406" i="10"/>
  <c r="L860" i="10"/>
  <c r="K859" i="10"/>
  <c r="K849" i="10"/>
  <c r="L850" i="10"/>
  <c r="L923" i="10"/>
  <c r="L933" i="10"/>
  <c r="K922" i="10"/>
  <c r="L490" i="10"/>
  <c r="K489" i="10"/>
  <c r="K182" i="10"/>
  <c r="L183" i="10"/>
  <c r="L554" i="10"/>
  <c r="K553" i="10"/>
  <c r="L786" i="10"/>
  <c r="K785" i="10"/>
  <c r="L480" i="10"/>
  <c r="K479" i="10"/>
  <c r="L776" i="10"/>
  <c r="K775" i="10"/>
  <c r="L341" i="10"/>
  <c r="L331" i="10"/>
  <c r="K330" i="10"/>
  <c r="L193" i="10"/>
  <c r="K192" i="10"/>
  <c r="L34" i="10"/>
  <c r="K33" i="10"/>
  <c r="K1007" i="10"/>
  <c r="L1008" i="10"/>
  <c r="J1750" i="11" l="1"/>
  <c r="K1751" i="11"/>
  <c r="K1888" i="11"/>
  <c r="J1888" i="11" s="1"/>
  <c r="K1741" i="11"/>
  <c r="J1740" i="11"/>
  <c r="K1898" i="11"/>
  <c r="J1898" i="11" s="1"/>
  <c r="J1675" i="11"/>
  <c r="K1676" i="11"/>
  <c r="K1815" i="11"/>
  <c r="J1814" i="11"/>
  <c r="K1666" i="11"/>
  <c r="J1665" i="11"/>
  <c r="K1825" i="11"/>
  <c r="J1824" i="11"/>
  <c r="J1602" i="11"/>
  <c r="K1603" i="11"/>
  <c r="K1963" i="11"/>
  <c r="J1962" i="11"/>
  <c r="J1592" i="11"/>
  <c r="K1593" i="11"/>
  <c r="J1972" i="11"/>
  <c r="K1973" i="11"/>
  <c r="K629" i="11"/>
  <c r="J628" i="11"/>
  <c r="K184" i="11"/>
  <c r="J183" i="11"/>
  <c r="J1452" i="11"/>
  <c r="K1453" i="11"/>
  <c r="K491" i="11"/>
  <c r="J490" i="11"/>
  <c r="K120" i="11"/>
  <c r="J119" i="11"/>
  <c r="J342" i="11"/>
  <c r="K343" i="11"/>
  <c r="K45" i="11"/>
  <c r="J44" i="11"/>
  <c r="K1518" i="11"/>
  <c r="J1517" i="11"/>
  <c r="J554" i="11"/>
  <c r="K555" i="11"/>
  <c r="J1527" i="11"/>
  <c r="K1528" i="11"/>
  <c r="J480" i="11"/>
  <c r="K481" i="11"/>
  <c r="J934" i="11"/>
  <c r="K935" i="11"/>
  <c r="K110" i="11"/>
  <c r="J109" i="11"/>
  <c r="J1156" i="11"/>
  <c r="K1157" i="11"/>
  <c r="K416" i="11"/>
  <c r="J415" i="11"/>
  <c r="K1380" i="11"/>
  <c r="J1379" i="11"/>
  <c r="J638" i="11"/>
  <c r="K639" i="11"/>
  <c r="K257" i="11"/>
  <c r="J256" i="11"/>
  <c r="K1443" i="11"/>
  <c r="J1442" i="11"/>
  <c r="J998" i="11"/>
  <c r="K999" i="11"/>
  <c r="K406" i="11"/>
  <c r="J405" i="11"/>
  <c r="J1008" i="11"/>
  <c r="K1009" i="11"/>
  <c r="K1370" i="11"/>
  <c r="J1369" i="11"/>
  <c r="K787" i="11"/>
  <c r="J786" i="11"/>
  <c r="K1231" i="11"/>
  <c r="J1230" i="11"/>
  <c r="J1082" i="11"/>
  <c r="K1083" i="11"/>
  <c r="J1072" i="11"/>
  <c r="K1073" i="11"/>
  <c r="J849" i="11"/>
  <c r="K850" i="11"/>
  <c r="K1221" i="11"/>
  <c r="J1220" i="11"/>
  <c r="K267" i="11"/>
  <c r="J266" i="11"/>
  <c r="K1304" i="11"/>
  <c r="J1303" i="11"/>
  <c r="J1146" i="11"/>
  <c r="K1147" i="11"/>
  <c r="K333" i="11"/>
  <c r="J332" i="11"/>
  <c r="K35" i="11"/>
  <c r="J34" i="11"/>
  <c r="J712" i="11"/>
  <c r="K713" i="11"/>
  <c r="K194" i="11"/>
  <c r="J193" i="11"/>
  <c r="J924" i="11"/>
  <c r="K925" i="11"/>
  <c r="K860" i="11"/>
  <c r="J859" i="11"/>
  <c r="K703" i="11"/>
  <c r="J702" i="11"/>
  <c r="J776" i="11"/>
  <c r="K777" i="11"/>
  <c r="K1294" i="11"/>
  <c r="J1293" i="11"/>
  <c r="J564" i="11"/>
  <c r="K565" i="11"/>
  <c r="L1518" i="10"/>
  <c r="K1517" i="10"/>
  <c r="K1527" i="10"/>
  <c r="L1528" i="10"/>
  <c r="L1454" i="10"/>
  <c r="K1453" i="10"/>
  <c r="K1443" i="10"/>
  <c r="L1444" i="10"/>
  <c r="L1380" i="10"/>
  <c r="K1379" i="10"/>
  <c r="K1369" i="10"/>
  <c r="L1370" i="10"/>
  <c r="K1230" i="10"/>
  <c r="L1231" i="10"/>
  <c r="L1294" i="10"/>
  <c r="K1293" i="10"/>
  <c r="L1221" i="10"/>
  <c r="K1220" i="10"/>
  <c r="K1303" i="10"/>
  <c r="L1304" i="10"/>
  <c r="L1157" i="10"/>
  <c r="K1156" i="10"/>
  <c r="L1147" i="10"/>
  <c r="K1146" i="10"/>
  <c r="L1009" i="10"/>
  <c r="K1008" i="10"/>
  <c r="L45" i="10"/>
  <c r="K44" i="10"/>
  <c r="K34" i="10"/>
  <c r="L35" i="10"/>
  <c r="L110" i="10"/>
  <c r="K109" i="10"/>
  <c r="K564" i="10"/>
  <c r="L565" i="10"/>
  <c r="L184" i="10"/>
  <c r="K183" i="10"/>
  <c r="K257" i="10"/>
  <c r="L258" i="10"/>
  <c r="K627" i="10"/>
  <c r="L628" i="10"/>
  <c r="L999" i="10"/>
  <c r="K998" i="10"/>
  <c r="K637" i="10"/>
  <c r="L638" i="10"/>
  <c r="L851" i="10"/>
  <c r="K850" i="10"/>
  <c r="L120" i="10"/>
  <c r="K119" i="10"/>
  <c r="L491" i="10"/>
  <c r="K490" i="10"/>
  <c r="L934" i="10"/>
  <c r="K933" i="10"/>
  <c r="L342" i="10"/>
  <c r="K341" i="10"/>
  <c r="L417" i="10"/>
  <c r="K416" i="10"/>
  <c r="K554" i="10"/>
  <c r="L555" i="10"/>
  <c r="K702" i="10"/>
  <c r="L703" i="10"/>
  <c r="L1083" i="10"/>
  <c r="K1082" i="10"/>
  <c r="L481" i="10"/>
  <c r="K480" i="10"/>
  <c r="L407" i="10"/>
  <c r="K406" i="10"/>
  <c r="L1073" i="10"/>
  <c r="K1072" i="10"/>
  <c r="K267" i="10"/>
  <c r="L268" i="10"/>
  <c r="K193" i="10"/>
  <c r="L194" i="10"/>
  <c r="K331" i="10"/>
  <c r="L332" i="10"/>
  <c r="K776" i="10"/>
  <c r="L777" i="10"/>
  <c r="L713" i="10"/>
  <c r="K712" i="10"/>
  <c r="K923" i="10"/>
  <c r="L924" i="10"/>
  <c r="K860" i="10"/>
  <c r="L861" i="10"/>
  <c r="K786" i="10"/>
  <c r="L787" i="10"/>
  <c r="K1826" i="11" l="1"/>
  <c r="J1825" i="11"/>
  <c r="J1815" i="11"/>
  <c r="K1816" i="11"/>
  <c r="J1676" i="11"/>
  <c r="K1677" i="11"/>
  <c r="J1666" i="11"/>
  <c r="K1667" i="11"/>
  <c r="K1974" i="11"/>
  <c r="J1973" i="11"/>
  <c r="K1899" i="11"/>
  <c r="J1899" i="11" s="1"/>
  <c r="K1594" i="11"/>
  <c r="J1593" i="11"/>
  <c r="J1741" i="11"/>
  <c r="K1742" i="11"/>
  <c r="K1889" i="11"/>
  <c r="J1889" i="11" s="1"/>
  <c r="K1964" i="11"/>
  <c r="J1963" i="11"/>
  <c r="K1604" i="11"/>
  <c r="J1603" i="11"/>
  <c r="K1752" i="11"/>
  <c r="J1751" i="11"/>
  <c r="K778" i="11"/>
  <c r="J777" i="11"/>
  <c r="K1519" i="11"/>
  <c r="J1518" i="11"/>
  <c r="J1304" i="11"/>
  <c r="K1305" i="11"/>
  <c r="J416" i="11"/>
  <c r="K417" i="11"/>
  <c r="K46" i="11"/>
  <c r="J45" i="11"/>
  <c r="K788" i="11"/>
  <c r="J787" i="11"/>
  <c r="K1010" i="11"/>
  <c r="J1009" i="11"/>
  <c r="K1158" i="11"/>
  <c r="J1157" i="11"/>
  <c r="K344" i="11"/>
  <c r="J343" i="11"/>
  <c r="J1221" i="11"/>
  <c r="K1222" i="11"/>
  <c r="J406" i="11"/>
  <c r="K407" i="11"/>
  <c r="J110" i="11"/>
  <c r="K111" i="11"/>
  <c r="J120" i="11"/>
  <c r="K121" i="11"/>
  <c r="J1370" i="11"/>
  <c r="K1371" i="11"/>
  <c r="K1000" i="11"/>
  <c r="J999" i="11"/>
  <c r="J935" i="11"/>
  <c r="K936" i="11"/>
  <c r="J491" i="11"/>
  <c r="K492" i="11"/>
  <c r="J1147" i="11"/>
  <c r="K1148" i="11"/>
  <c r="J713" i="11"/>
  <c r="K714" i="11"/>
  <c r="K1074" i="11"/>
  <c r="J1073" i="11"/>
  <c r="K482" i="11"/>
  <c r="J481" i="11"/>
  <c r="K1454" i="11"/>
  <c r="J1453" i="11"/>
  <c r="K861" i="11"/>
  <c r="J860" i="11"/>
  <c r="J1443" i="11"/>
  <c r="K1444" i="11"/>
  <c r="J194" i="11"/>
  <c r="K195" i="11"/>
  <c r="J1083" i="11"/>
  <c r="K1084" i="11"/>
  <c r="K1529" i="11"/>
  <c r="J1528" i="11"/>
  <c r="K926" i="11"/>
  <c r="J925" i="11"/>
  <c r="J35" i="11"/>
  <c r="K36" i="11"/>
  <c r="J257" i="11"/>
  <c r="K258" i="11"/>
  <c r="J184" i="11"/>
  <c r="K185" i="11"/>
  <c r="K1381" i="11"/>
  <c r="J1380" i="11"/>
  <c r="J703" i="11"/>
  <c r="K704" i="11"/>
  <c r="J267" i="11"/>
  <c r="K268" i="11"/>
  <c r="J639" i="11"/>
  <c r="K640" i="11"/>
  <c r="J555" i="11"/>
  <c r="K556" i="11"/>
  <c r="J850" i="11"/>
  <c r="K851" i="11"/>
  <c r="K566" i="11"/>
  <c r="J565" i="11"/>
  <c r="K1295" i="11"/>
  <c r="J1294" i="11"/>
  <c r="K334" i="11"/>
  <c r="J333" i="11"/>
  <c r="K1232" i="11"/>
  <c r="J1231" i="11"/>
  <c r="K630" i="11"/>
  <c r="J629" i="11"/>
  <c r="K1444" i="10"/>
  <c r="L1445" i="10"/>
  <c r="L1455" i="10"/>
  <c r="K1454" i="10"/>
  <c r="L1529" i="10"/>
  <c r="K1528" i="10"/>
  <c r="L1519" i="10"/>
  <c r="K1518" i="10"/>
  <c r="L1371" i="10"/>
  <c r="K1370" i="10"/>
  <c r="L1381" i="10"/>
  <c r="K1380" i="10"/>
  <c r="L1305" i="10"/>
  <c r="K1304" i="10"/>
  <c r="K1221" i="10"/>
  <c r="L1222" i="10"/>
  <c r="L1295" i="10"/>
  <c r="K1294" i="10"/>
  <c r="L1232" i="10"/>
  <c r="K1231" i="10"/>
  <c r="K1147" i="10"/>
  <c r="L1148" i="10"/>
  <c r="K1157" i="10"/>
  <c r="L1158" i="10"/>
  <c r="L259" i="10"/>
  <c r="K258" i="10"/>
  <c r="L185" i="10"/>
  <c r="K184" i="10"/>
  <c r="K268" i="10"/>
  <c r="L269" i="10"/>
  <c r="L566" i="10"/>
  <c r="K565" i="10"/>
  <c r="L788" i="10"/>
  <c r="K787" i="10"/>
  <c r="K934" i="10"/>
  <c r="L935" i="10"/>
  <c r="K194" i="10"/>
  <c r="L195" i="10"/>
  <c r="L862" i="10"/>
  <c r="K861" i="10"/>
  <c r="K491" i="10"/>
  <c r="L492" i="10"/>
  <c r="K481" i="10"/>
  <c r="L482" i="10"/>
  <c r="K120" i="10"/>
  <c r="L121" i="10"/>
  <c r="K110" i="10"/>
  <c r="L111" i="10"/>
  <c r="L1010" i="10"/>
  <c r="K1009" i="10"/>
  <c r="K1073" i="10"/>
  <c r="L1074" i="10"/>
  <c r="K1083" i="10"/>
  <c r="L1084" i="10"/>
  <c r="L852" i="10"/>
  <c r="K851" i="10"/>
  <c r="K628" i="10"/>
  <c r="L629" i="10"/>
  <c r="L778" i="10"/>
  <c r="K777" i="10"/>
  <c r="K703" i="10"/>
  <c r="L704" i="10"/>
  <c r="K638" i="10"/>
  <c r="L639" i="10"/>
  <c r="K407" i="10"/>
  <c r="L408" i="10"/>
  <c r="L925" i="10"/>
  <c r="K924" i="10"/>
  <c r="L36" i="10"/>
  <c r="K35" i="10"/>
  <c r="K45" i="10"/>
  <c r="L46" i="10"/>
  <c r="K999" i="10"/>
  <c r="L1000" i="10"/>
  <c r="L418" i="10"/>
  <c r="K417" i="10"/>
  <c r="L343" i="10"/>
  <c r="K342" i="10"/>
  <c r="K713" i="10"/>
  <c r="L714" i="10"/>
  <c r="L333" i="10"/>
  <c r="K332" i="10"/>
  <c r="L556" i="10"/>
  <c r="K555" i="10"/>
  <c r="K1900" i="11" l="1"/>
  <c r="J1900" i="11" s="1"/>
  <c r="K1743" i="11"/>
  <c r="J1742" i="11"/>
  <c r="J1974" i="11"/>
  <c r="K1975" i="11"/>
  <c r="J1667" i="11"/>
  <c r="K1668" i="11"/>
  <c r="J1752" i="11"/>
  <c r="K1753" i="11"/>
  <c r="J1677" i="11"/>
  <c r="K1678" i="11"/>
  <c r="J1594" i="11"/>
  <c r="K1595" i="11"/>
  <c r="K1605" i="11"/>
  <c r="J1604" i="11"/>
  <c r="K1817" i="11"/>
  <c r="J1816" i="11"/>
  <c r="J1964" i="11"/>
  <c r="K1965" i="11"/>
  <c r="K1890" i="11"/>
  <c r="J1890" i="11" s="1"/>
  <c r="J1826" i="11"/>
  <c r="K1827" i="11"/>
  <c r="K1159" i="11"/>
  <c r="J1158" i="11"/>
  <c r="J1000" i="11"/>
  <c r="K1001" i="11"/>
  <c r="J1010" i="11"/>
  <c r="K1011" i="11"/>
  <c r="K1372" i="11"/>
  <c r="J1371" i="11"/>
  <c r="K1455" i="11"/>
  <c r="J1454" i="11"/>
  <c r="J788" i="11"/>
  <c r="K789" i="11"/>
  <c r="K186" i="11"/>
  <c r="J185" i="11"/>
  <c r="J121" i="11"/>
  <c r="K122" i="11"/>
  <c r="J1295" i="11"/>
  <c r="K1296" i="11"/>
  <c r="J482" i="11"/>
  <c r="K483" i="11"/>
  <c r="J46" i="11"/>
  <c r="K47" i="11"/>
  <c r="K112" i="11"/>
  <c r="J111" i="11"/>
  <c r="J417" i="11"/>
  <c r="K418" i="11"/>
  <c r="J1381" i="11"/>
  <c r="K1382" i="11"/>
  <c r="J861" i="11"/>
  <c r="K862" i="11"/>
  <c r="K641" i="11"/>
  <c r="J640" i="11"/>
  <c r="K715" i="11"/>
  <c r="J714" i="11"/>
  <c r="K408" i="11"/>
  <c r="J407" i="11"/>
  <c r="K1306" i="11"/>
  <c r="J1305" i="11"/>
  <c r="J1529" i="11"/>
  <c r="K1530" i="11"/>
  <c r="K259" i="11"/>
  <c r="J258" i="11"/>
  <c r="K852" i="11"/>
  <c r="J851" i="11"/>
  <c r="J926" i="11"/>
  <c r="K927" i="11"/>
  <c r="J268" i="11"/>
  <c r="K269" i="11"/>
  <c r="K1085" i="11"/>
  <c r="J1084" i="11"/>
  <c r="K1149" i="11"/>
  <c r="J1148" i="11"/>
  <c r="K1223" i="11"/>
  <c r="J1222" i="11"/>
  <c r="K937" i="11"/>
  <c r="J936" i="11"/>
  <c r="J566" i="11"/>
  <c r="K567" i="11"/>
  <c r="J1519" i="11"/>
  <c r="K1520" i="11"/>
  <c r="K335" i="11"/>
  <c r="J334" i="11"/>
  <c r="J1074" i="11"/>
  <c r="K1075" i="11"/>
  <c r="K705" i="11"/>
  <c r="J704" i="11"/>
  <c r="K196" i="11"/>
  <c r="J195" i="11"/>
  <c r="K493" i="11"/>
  <c r="J492" i="11"/>
  <c r="K1445" i="11"/>
  <c r="J1444" i="11"/>
  <c r="K37" i="11"/>
  <c r="J36" i="11"/>
  <c r="K557" i="11"/>
  <c r="J556" i="11"/>
  <c r="J630" i="11"/>
  <c r="K631" i="11"/>
  <c r="J1232" i="11"/>
  <c r="K1233" i="11"/>
  <c r="K345" i="11"/>
  <c r="J344" i="11"/>
  <c r="K779" i="11"/>
  <c r="J778" i="11"/>
  <c r="K1519" i="10"/>
  <c r="L1520" i="10"/>
  <c r="K1529" i="10"/>
  <c r="L1530" i="10"/>
  <c r="K1455" i="10"/>
  <c r="L1456" i="10"/>
  <c r="L1446" i="10"/>
  <c r="K1445" i="10"/>
  <c r="K1381" i="10"/>
  <c r="L1382" i="10"/>
  <c r="L1372" i="10"/>
  <c r="K1371" i="10"/>
  <c r="K1232" i="10"/>
  <c r="L1233" i="10"/>
  <c r="K1295" i="10"/>
  <c r="L1296" i="10"/>
  <c r="L1223" i="10"/>
  <c r="K1222" i="10"/>
  <c r="K1305" i="10"/>
  <c r="L1306" i="10"/>
  <c r="L1159" i="10"/>
  <c r="K1158" i="10"/>
  <c r="L1149" i="10"/>
  <c r="K1148" i="10"/>
  <c r="L936" i="10"/>
  <c r="K935" i="10"/>
  <c r="L789" i="10"/>
  <c r="K788" i="10"/>
  <c r="K1084" i="10"/>
  <c r="L1085" i="10"/>
  <c r="K556" i="10"/>
  <c r="L557" i="10"/>
  <c r="L926" i="10"/>
  <c r="K925" i="10"/>
  <c r="K408" i="10"/>
  <c r="L409" i="10"/>
  <c r="L112" i="10"/>
  <c r="K111" i="10"/>
  <c r="K852" i="10"/>
  <c r="L853" i="10"/>
  <c r="L334" i="10"/>
  <c r="K333" i="10"/>
  <c r="L567" i="10"/>
  <c r="K566" i="10"/>
  <c r="L1075" i="10"/>
  <c r="K1074" i="10"/>
  <c r="L344" i="10"/>
  <c r="K343" i="10"/>
  <c r="L196" i="10"/>
  <c r="K195" i="10"/>
  <c r="K639" i="10"/>
  <c r="L640" i="10"/>
  <c r="K121" i="10"/>
  <c r="L122" i="10"/>
  <c r="L483" i="10"/>
  <c r="K482" i="10"/>
  <c r="K46" i="10"/>
  <c r="L47" i="10"/>
  <c r="L863" i="10"/>
  <c r="K862" i="10"/>
  <c r="K36" i="10"/>
  <c r="L37" i="10"/>
  <c r="K1010" i="10"/>
  <c r="L1011" i="10"/>
  <c r="L715" i="10"/>
  <c r="K714" i="10"/>
  <c r="L705" i="10"/>
  <c r="K704" i="10"/>
  <c r="L270" i="10"/>
  <c r="K269" i="10"/>
  <c r="K778" i="10"/>
  <c r="L779" i="10"/>
  <c r="L186" i="10"/>
  <c r="K185" i="10"/>
  <c r="K418" i="10"/>
  <c r="L419" i="10"/>
  <c r="L1001" i="10"/>
  <c r="K1000" i="10"/>
  <c r="K629" i="10"/>
  <c r="L630" i="10"/>
  <c r="L493" i="10"/>
  <c r="K492" i="10"/>
  <c r="K259" i="10"/>
  <c r="L260" i="10"/>
  <c r="K1606" i="11" l="1"/>
  <c r="J1605" i="11"/>
  <c r="J1678" i="11"/>
  <c r="K1679" i="11"/>
  <c r="K1754" i="11"/>
  <c r="J1753" i="11"/>
  <c r="K1828" i="11"/>
  <c r="J1827" i="11"/>
  <c r="J1668" i="11"/>
  <c r="K1669" i="11"/>
  <c r="K1596" i="11"/>
  <c r="J1595" i="11"/>
  <c r="K1891" i="11"/>
  <c r="J1891" i="11" s="1"/>
  <c r="K1976" i="11"/>
  <c r="J1975" i="11"/>
  <c r="K1966" i="11"/>
  <c r="J1965" i="11"/>
  <c r="J1743" i="11"/>
  <c r="K1744" i="11"/>
  <c r="K1818" i="11"/>
  <c r="J1817" i="11"/>
  <c r="K1901" i="11"/>
  <c r="J1901" i="11" s="1"/>
  <c r="J641" i="11"/>
  <c r="K642" i="11"/>
  <c r="J1075" i="11"/>
  <c r="K1076" i="11"/>
  <c r="K336" i="11"/>
  <c r="J335" i="11"/>
  <c r="J186" i="11"/>
  <c r="K187" i="11"/>
  <c r="J1382" i="11"/>
  <c r="K1383" i="11"/>
  <c r="K790" i="11"/>
  <c r="J789" i="11"/>
  <c r="J418" i="11"/>
  <c r="K419" i="11"/>
  <c r="J259" i="11"/>
  <c r="K260" i="11"/>
  <c r="J1455" i="11"/>
  <c r="K1456" i="11"/>
  <c r="J1233" i="11"/>
  <c r="K1234" i="11"/>
  <c r="K863" i="11"/>
  <c r="J862" i="11"/>
  <c r="J112" i="11"/>
  <c r="K113" i="11"/>
  <c r="K1373" i="11"/>
  <c r="J1372" i="11"/>
  <c r="K928" i="11"/>
  <c r="J927" i="11"/>
  <c r="J852" i="11"/>
  <c r="K853" i="11"/>
  <c r="K38" i="11"/>
  <c r="J37" i="11"/>
  <c r="K48" i="11"/>
  <c r="J47" i="11"/>
  <c r="K1012" i="11"/>
  <c r="J1011" i="11"/>
  <c r="K1521" i="11"/>
  <c r="J1520" i="11"/>
  <c r="K568" i="11"/>
  <c r="J567" i="11"/>
  <c r="K494" i="11"/>
  <c r="J493" i="11"/>
  <c r="K1224" i="11"/>
  <c r="J1223" i="11"/>
  <c r="K1307" i="11"/>
  <c r="J1306" i="11"/>
  <c r="K484" i="11"/>
  <c r="J483" i="11"/>
  <c r="K1002" i="11"/>
  <c r="J1001" i="11"/>
  <c r="K270" i="11"/>
  <c r="J269" i="11"/>
  <c r="J631" i="11"/>
  <c r="K632" i="11"/>
  <c r="K1531" i="11"/>
  <c r="J1530" i="11"/>
  <c r="J779" i="11"/>
  <c r="K780" i="11"/>
  <c r="K197" i="11"/>
  <c r="J196" i="11"/>
  <c r="J1149" i="11"/>
  <c r="K1150" i="11"/>
  <c r="J408" i="11"/>
  <c r="K409" i="11"/>
  <c r="K123" i="11"/>
  <c r="J122" i="11"/>
  <c r="J557" i="11"/>
  <c r="K558" i="11"/>
  <c r="J937" i="11"/>
  <c r="K938" i="11"/>
  <c r="K1297" i="11"/>
  <c r="J1296" i="11"/>
  <c r="K1446" i="11"/>
  <c r="J1445" i="11"/>
  <c r="J345" i="11"/>
  <c r="K346" i="11"/>
  <c r="J705" i="11"/>
  <c r="K706" i="11"/>
  <c r="K1086" i="11"/>
  <c r="J1085" i="11"/>
  <c r="J715" i="11"/>
  <c r="K716" i="11"/>
  <c r="J1159" i="11"/>
  <c r="K1160" i="11"/>
  <c r="K1446" i="10"/>
  <c r="L1447" i="10"/>
  <c r="K1456" i="10"/>
  <c r="L1457" i="10"/>
  <c r="K1530" i="10"/>
  <c r="L1531" i="10"/>
  <c r="L1521" i="10"/>
  <c r="K1520" i="10"/>
  <c r="K1372" i="10"/>
  <c r="L1373" i="10"/>
  <c r="L1383" i="10"/>
  <c r="K1382" i="10"/>
  <c r="L1307" i="10"/>
  <c r="K1306" i="10"/>
  <c r="L1224" i="10"/>
  <c r="K1223" i="10"/>
  <c r="L1297" i="10"/>
  <c r="K1296" i="10"/>
  <c r="L1234" i="10"/>
  <c r="K1233" i="10"/>
  <c r="K1149" i="10"/>
  <c r="L1150" i="10"/>
  <c r="L1160" i="10"/>
  <c r="K1159" i="10"/>
  <c r="L113" i="10"/>
  <c r="K112" i="10"/>
  <c r="K705" i="10"/>
  <c r="L706" i="10"/>
  <c r="L854" i="10"/>
  <c r="K853" i="10"/>
  <c r="K196" i="10"/>
  <c r="L197" i="10"/>
  <c r="L558" i="10"/>
  <c r="K557" i="10"/>
  <c r="K779" i="10"/>
  <c r="L780" i="10"/>
  <c r="L123" i="10"/>
  <c r="K122" i="10"/>
  <c r="K260" i="10"/>
  <c r="L261" i="10"/>
  <c r="L410" i="10"/>
  <c r="K409" i="10"/>
  <c r="L1086" i="10"/>
  <c r="K1085" i="10"/>
  <c r="L484" i="10"/>
  <c r="K483" i="10"/>
  <c r="K715" i="10"/>
  <c r="L716" i="10"/>
  <c r="K630" i="10"/>
  <c r="L631" i="10"/>
  <c r="L1002" i="10"/>
  <c r="K1001" i="10"/>
  <c r="L641" i="10"/>
  <c r="K640" i="10"/>
  <c r="K344" i="10"/>
  <c r="L345" i="10"/>
  <c r="L38" i="10"/>
  <c r="K37" i="10"/>
  <c r="K926" i="10"/>
  <c r="L927" i="10"/>
  <c r="L420" i="10"/>
  <c r="K419" i="10"/>
  <c r="K863" i="10"/>
  <c r="L864" i="10"/>
  <c r="K567" i="10"/>
  <c r="L568" i="10"/>
  <c r="K789" i="10"/>
  <c r="L790" i="10"/>
  <c r="K270" i="10"/>
  <c r="L271" i="10"/>
  <c r="K1075" i="10"/>
  <c r="L1076" i="10"/>
  <c r="L48" i="10"/>
  <c r="K47" i="10"/>
  <c r="L494" i="10"/>
  <c r="K493" i="10"/>
  <c r="L1012" i="10"/>
  <c r="K1011" i="10"/>
  <c r="K186" i="10"/>
  <c r="L187" i="10"/>
  <c r="K334" i="10"/>
  <c r="L335" i="10"/>
  <c r="K936" i="10"/>
  <c r="L937" i="10"/>
  <c r="K1892" i="11" l="1"/>
  <c r="J1892" i="11" s="1"/>
  <c r="J1596" i="11"/>
  <c r="K1597" i="11"/>
  <c r="J1669" i="11"/>
  <c r="K1670" i="11"/>
  <c r="K1902" i="11"/>
  <c r="J1902" i="11" s="1"/>
  <c r="K1977" i="11"/>
  <c r="J1976" i="11"/>
  <c r="K1829" i="11"/>
  <c r="J1828" i="11"/>
  <c r="J1818" i="11"/>
  <c r="K1819" i="11"/>
  <c r="J1754" i="11"/>
  <c r="K1755" i="11"/>
  <c r="K1745" i="11"/>
  <c r="J1744" i="11"/>
  <c r="J1679" i="11"/>
  <c r="K1680" i="11"/>
  <c r="J1966" i="11"/>
  <c r="K1967" i="11"/>
  <c r="K1607" i="11"/>
  <c r="J1606" i="11"/>
  <c r="J419" i="11"/>
  <c r="K420" i="11"/>
  <c r="K707" i="11"/>
  <c r="J706" i="11"/>
  <c r="J197" i="11"/>
  <c r="K198" i="11"/>
  <c r="J1224" i="11"/>
  <c r="K1225" i="11"/>
  <c r="K929" i="11"/>
  <c r="J928" i="11"/>
  <c r="K791" i="11"/>
  <c r="J790" i="11"/>
  <c r="J1383" i="11"/>
  <c r="K1384" i="11"/>
  <c r="J1086" i="11"/>
  <c r="K1087" i="11"/>
  <c r="J1446" i="11"/>
  <c r="K1447" i="11"/>
  <c r="J494" i="11"/>
  <c r="K495" i="11"/>
  <c r="J1373" i="11"/>
  <c r="K1374" i="11"/>
  <c r="J409" i="11"/>
  <c r="K410" i="11"/>
  <c r="J113" i="11"/>
  <c r="K114" i="11"/>
  <c r="K188" i="11"/>
  <c r="J187" i="11"/>
  <c r="J260" i="11"/>
  <c r="K261" i="11"/>
  <c r="J632" i="11"/>
  <c r="K633" i="11"/>
  <c r="J1150" i="11"/>
  <c r="K1151" i="11"/>
  <c r="J1521" i="11"/>
  <c r="K1522" i="11"/>
  <c r="K864" i="11"/>
  <c r="J863" i="11"/>
  <c r="J336" i="11"/>
  <c r="K337" i="11"/>
  <c r="K781" i="11"/>
  <c r="J780" i="11"/>
  <c r="K1532" i="11"/>
  <c r="J1531" i="11"/>
  <c r="K1161" i="11"/>
  <c r="J1160" i="11"/>
  <c r="K559" i="11"/>
  <c r="J558" i="11"/>
  <c r="J1234" i="11"/>
  <c r="K1235" i="11"/>
  <c r="J1076" i="11"/>
  <c r="K1077" i="11"/>
  <c r="J484" i="11"/>
  <c r="K485" i="11"/>
  <c r="K271" i="11"/>
  <c r="J270" i="11"/>
  <c r="K1013" i="11"/>
  <c r="J1012" i="11"/>
  <c r="K854" i="11"/>
  <c r="J853" i="11"/>
  <c r="J568" i="11"/>
  <c r="K569" i="11"/>
  <c r="K717" i="11"/>
  <c r="J716" i="11"/>
  <c r="K1457" i="11"/>
  <c r="J1456" i="11"/>
  <c r="K643" i="11"/>
  <c r="J642" i="11"/>
  <c r="J38" i="11"/>
  <c r="K39" i="11"/>
  <c r="J1307" i="11"/>
  <c r="K1308" i="11"/>
  <c r="K347" i="11"/>
  <c r="J346" i="11"/>
  <c r="K1298" i="11"/>
  <c r="J1297" i="11"/>
  <c r="J938" i="11"/>
  <c r="K939" i="11"/>
  <c r="J123" i="11"/>
  <c r="K124" i="11"/>
  <c r="K1003" i="11"/>
  <c r="J1002" i="11"/>
  <c r="J48" i="11"/>
  <c r="K49" i="11"/>
  <c r="K1521" i="10"/>
  <c r="L1522" i="10"/>
  <c r="L1532" i="10"/>
  <c r="K1531" i="10"/>
  <c r="L1458" i="10"/>
  <c r="K1457" i="10"/>
  <c r="L1448" i="10"/>
  <c r="K1447" i="10"/>
  <c r="L1384" i="10"/>
  <c r="K1383" i="10"/>
  <c r="L1374" i="10"/>
  <c r="K1373" i="10"/>
  <c r="K1234" i="10"/>
  <c r="L1235" i="10"/>
  <c r="K1224" i="10"/>
  <c r="L1225" i="10"/>
  <c r="K1297" i="10"/>
  <c r="L1298" i="10"/>
  <c r="L1308" i="10"/>
  <c r="K1307" i="10"/>
  <c r="K1160" i="10"/>
  <c r="L1161" i="10"/>
  <c r="K1150" i="10"/>
  <c r="L1151" i="10"/>
  <c r="K1076" i="10"/>
  <c r="L1077" i="10"/>
  <c r="L791" i="10"/>
  <c r="K790" i="10"/>
  <c r="L559" i="10"/>
  <c r="K558" i="10"/>
  <c r="L569" i="10"/>
  <c r="K568" i="10"/>
  <c r="L865" i="10"/>
  <c r="K864" i="10"/>
  <c r="K716" i="10"/>
  <c r="L717" i="10"/>
  <c r="L198" i="10"/>
  <c r="K197" i="10"/>
  <c r="L346" i="10"/>
  <c r="K345" i="10"/>
  <c r="L272" i="10"/>
  <c r="K271" i="10"/>
  <c r="L781" i="10"/>
  <c r="K780" i="10"/>
  <c r="L262" i="10"/>
  <c r="K261" i="10"/>
  <c r="K123" i="10"/>
  <c r="L124" i="10"/>
  <c r="K484" i="10"/>
  <c r="L485" i="10"/>
  <c r="L855" i="10"/>
  <c r="K854" i="10"/>
  <c r="L938" i="10"/>
  <c r="K937" i="10"/>
  <c r="K1002" i="10"/>
  <c r="L1003" i="10"/>
  <c r="L928" i="10"/>
  <c r="K927" i="10"/>
  <c r="L707" i="10"/>
  <c r="K706" i="10"/>
  <c r="K631" i="10"/>
  <c r="L632" i="10"/>
  <c r="K187" i="10"/>
  <c r="L188" i="10"/>
  <c r="L421" i="10"/>
  <c r="K420" i="10"/>
  <c r="K494" i="10"/>
  <c r="L495" i="10"/>
  <c r="K1086" i="10"/>
  <c r="L1087" i="10"/>
  <c r="L336" i="10"/>
  <c r="K335" i="10"/>
  <c r="L1013" i="10"/>
  <c r="K1012" i="10"/>
  <c r="L642" i="10"/>
  <c r="K641" i="10"/>
  <c r="K48" i="10"/>
  <c r="L49" i="10"/>
  <c r="L39" i="10"/>
  <c r="K38" i="10"/>
  <c r="K410" i="10"/>
  <c r="L411" i="10"/>
  <c r="K113" i="10"/>
  <c r="L114" i="10"/>
  <c r="J1829" i="11" l="1"/>
  <c r="K1830" i="11"/>
  <c r="J1977" i="11"/>
  <c r="K1978" i="11"/>
  <c r="K1820" i="11"/>
  <c r="J1819" i="11"/>
  <c r="J1607" i="11"/>
  <c r="K1608" i="11"/>
  <c r="K1903" i="11"/>
  <c r="J1903" i="11" s="1"/>
  <c r="K1756" i="11"/>
  <c r="J1755" i="11"/>
  <c r="K1968" i="11"/>
  <c r="J1967" i="11"/>
  <c r="J1670" i="11"/>
  <c r="K1671" i="11"/>
  <c r="J1680" i="11"/>
  <c r="K1681" i="11"/>
  <c r="J1597" i="11"/>
  <c r="K1598" i="11"/>
  <c r="J1745" i="11"/>
  <c r="K1746" i="11"/>
  <c r="K1893" i="11"/>
  <c r="J1893" i="11" s="1"/>
  <c r="J1087" i="11"/>
  <c r="K1088" i="11"/>
  <c r="K570" i="11"/>
  <c r="J569" i="11"/>
  <c r="J559" i="11"/>
  <c r="K560" i="11"/>
  <c r="J1298" i="11"/>
  <c r="K1299" i="11"/>
  <c r="J1532" i="11"/>
  <c r="K1533" i="11"/>
  <c r="K189" i="11"/>
  <c r="J188" i="11"/>
  <c r="J791" i="11"/>
  <c r="K792" i="11"/>
  <c r="K115" i="11"/>
  <c r="J114" i="11"/>
  <c r="K718" i="11"/>
  <c r="J717" i="11"/>
  <c r="K782" i="11"/>
  <c r="J781" i="11"/>
  <c r="J929" i="11"/>
  <c r="K930" i="11"/>
  <c r="J337" i="11"/>
  <c r="K338" i="11"/>
  <c r="K411" i="11"/>
  <c r="J410" i="11"/>
  <c r="J1225" i="11"/>
  <c r="K1226" i="11"/>
  <c r="K262" i="11"/>
  <c r="J261" i="11"/>
  <c r="K1309" i="11"/>
  <c r="J1308" i="11"/>
  <c r="K40" i="11"/>
  <c r="J39" i="11"/>
  <c r="J485" i="11"/>
  <c r="K486" i="11"/>
  <c r="J1374" i="11"/>
  <c r="K1375" i="11"/>
  <c r="K199" i="11"/>
  <c r="J198" i="11"/>
  <c r="J864" i="11"/>
  <c r="K865" i="11"/>
  <c r="K125" i="11"/>
  <c r="J124" i="11"/>
  <c r="J1384" i="11"/>
  <c r="K1385" i="11"/>
  <c r="K50" i="11"/>
  <c r="J49" i="11"/>
  <c r="K1078" i="11"/>
  <c r="J1077" i="11"/>
  <c r="K1523" i="11"/>
  <c r="J1522" i="11"/>
  <c r="K496" i="11"/>
  <c r="J495" i="11"/>
  <c r="K1162" i="11"/>
  <c r="J1161" i="11"/>
  <c r="J347" i="11"/>
  <c r="K348" i="11"/>
  <c r="J271" i="11"/>
  <c r="K272" i="11"/>
  <c r="J643" i="11"/>
  <c r="K644" i="11"/>
  <c r="K708" i="11"/>
  <c r="J707" i="11"/>
  <c r="K855" i="11"/>
  <c r="J854" i="11"/>
  <c r="J1235" i="11"/>
  <c r="K1236" i="11"/>
  <c r="K1152" i="11"/>
  <c r="J1151" i="11"/>
  <c r="K1448" i="11"/>
  <c r="J1447" i="11"/>
  <c r="K421" i="11"/>
  <c r="J420" i="11"/>
  <c r="J633" i="11"/>
  <c r="K634" i="11"/>
  <c r="K940" i="11"/>
  <c r="J939" i="11"/>
  <c r="J1013" i="11"/>
  <c r="K1014" i="11"/>
  <c r="J1003" i="11"/>
  <c r="K1004" i="11"/>
  <c r="K1458" i="11"/>
  <c r="J1457" i="11"/>
  <c r="L1449" i="10"/>
  <c r="K1448" i="10"/>
  <c r="K1458" i="10"/>
  <c r="L1459" i="10"/>
  <c r="K1532" i="10"/>
  <c r="L1533" i="10"/>
  <c r="K1522" i="10"/>
  <c r="L1523" i="10"/>
  <c r="L1375" i="10"/>
  <c r="K1374" i="10"/>
  <c r="K1384" i="10"/>
  <c r="L1385" i="10"/>
  <c r="K1308" i="10"/>
  <c r="L1309" i="10"/>
  <c r="L1299" i="10"/>
  <c r="K1298" i="10"/>
  <c r="L1236" i="10"/>
  <c r="K1235" i="10"/>
  <c r="L1226" i="10"/>
  <c r="K1225" i="10"/>
  <c r="L1152" i="10"/>
  <c r="K1151" i="10"/>
  <c r="L1162" i="10"/>
  <c r="K1161" i="10"/>
  <c r="L1088" i="10"/>
  <c r="K1087" i="10"/>
  <c r="L1004" i="10"/>
  <c r="K1003" i="10"/>
  <c r="L412" i="10"/>
  <c r="K411" i="10"/>
  <c r="K865" i="10"/>
  <c r="L866" i="10"/>
  <c r="L337" i="10"/>
  <c r="K336" i="10"/>
  <c r="K198" i="10"/>
  <c r="L199" i="10"/>
  <c r="L570" i="10"/>
  <c r="K569" i="10"/>
  <c r="L347" i="10"/>
  <c r="K346" i="10"/>
  <c r="L115" i="10"/>
  <c r="K114" i="10"/>
  <c r="L718" i="10"/>
  <c r="K717" i="10"/>
  <c r="L263" i="10"/>
  <c r="K262" i="10"/>
  <c r="K559" i="10"/>
  <c r="L560" i="10"/>
  <c r="K421" i="10"/>
  <c r="L422" i="10"/>
  <c r="K632" i="10"/>
  <c r="L633" i="10"/>
  <c r="K188" i="10"/>
  <c r="L189" i="10"/>
  <c r="K39" i="10"/>
  <c r="L40" i="10"/>
  <c r="L643" i="10"/>
  <c r="K642" i="10"/>
  <c r="K707" i="10"/>
  <c r="L708" i="10"/>
  <c r="K781" i="10"/>
  <c r="L782" i="10"/>
  <c r="K791" i="10"/>
  <c r="L792" i="10"/>
  <c r="L496" i="10"/>
  <c r="K495" i="10"/>
  <c r="K855" i="10"/>
  <c r="L856" i="10"/>
  <c r="L486" i="10"/>
  <c r="K485" i="10"/>
  <c r="L1078" i="10"/>
  <c r="K1077" i="10"/>
  <c r="L939" i="10"/>
  <c r="K938" i="10"/>
  <c r="L125" i="10"/>
  <c r="K124" i="10"/>
  <c r="L50" i="10"/>
  <c r="K49" i="10"/>
  <c r="K1013" i="10"/>
  <c r="L1014" i="10"/>
  <c r="K928" i="10"/>
  <c r="L929" i="10"/>
  <c r="L273" i="10"/>
  <c r="K272" i="10"/>
  <c r="K1757" i="11" l="1"/>
  <c r="J1756" i="11"/>
  <c r="K1904" i="11"/>
  <c r="J1904" i="11" s="1"/>
  <c r="K1894" i="11"/>
  <c r="J1894" i="11" s="1"/>
  <c r="K1609" i="11"/>
  <c r="J1608" i="11"/>
  <c r="K1747" i="11"/>
  <c r="J1746" i="11"/>
  <c r="K1821" i="11"/>
  <c r="J1820" i="11"/>
  <c r="K1599" i="11"/>
  <c r="J1598" i="11"/>
  <c r="K1979" i="11"/>
  <c r="J1978" i="11"/>
  <c r="J1671" i="11"/>
  <c r="K1672" i="11"/>
  <c r="K1969" i="11"/>
  <c r="J1968" i="11"/>
  <c r="J1681" i="11"/>
  <c r="K1682" i="11"/>
  <c r="K1831" i="11"/>
  <c r="J1830" i="11"/>
  <c r="K793" i="11"/>
  <c r="J792" i="11"/>
  <c r="K1015" i="11"/>
  <c r="J1014" i="11"/>
  <c r="K51" i="11"/>
  <c r="J50" i="11"/>
  <c r="J189" i="11"/>
  <c r="K190" i="11"/>
  <c r="K1534" i="11"/>
  <c r="J1533" i="11"/>
  <c r="J262" i="11"/>
  <c r="K263" i="11"/>
  <c r="J411" i="11"/>
  <c r="K412" i="11"/>
  <c r="J115" i="11"/>
  <c r="K116" i="11"/>
  <c r="J1226" i="11"/>
  <c r="K1227" i="11"/>
  <c r="K339" i="11"/>
  <c r="J338" i="11"/>
  <c r="K1300" i="11"/>
  <c r="J1299" i="11"/>
  <c r="K635" i="11"/>
  <c r="J634" i="11"/>
  <c r="K1449" i="11"/>
  <c r="J1448" i="11"/>
  <c r="K1386" i="11"/>
  <c r="J1385" i="11"/>
  <c r="K866" i="11"/>
  <c r="J865" i="11"/>
  <c r="J1375" i="11"/>
  <c r="K1376" i="11"/>
  <c r="K931" i="11"/>
  <c r="J930" i="11"/>
  <c r="K561" i="11"/>
  <c r="J560" i="11"/>
  <c r="K645" i="11"/>
  <c r="J644" i="11"/>
  <c r="K273" i="11"/>
  <c r="J272" i="11"/>
  <c r="J496" i="11"/>
  <c r="K497" i="11"/>
  <c r="K1310" i="11"/>
  <c r="J1309" i="11"/>
  <c r="J940" i="11"/>
  <c r="K941" i="11"/>
  <c r="K422" i="11"/>
  <c r="J421" i="11"/>
  <c r="K487" i="11"/>
  <c r="J486" i="11"/>
  <c r="J1162" i="11"/>
  <c r="K1163" i="11"/>
  <c r="K1524" i="11"/>
  <c r="J1523" i="11"/>
  <c r="J782" i="11"/>
  <c r="K783" i="11"/>
  <c r="J570" i="11"/>
  <c r="K571" i="11"/>
  <c r="J708" i="11"/>
  <c r="K709" i="11"/>
  <c r="J348" i="11"/>
  <c r="K349" i="11"/>
  <c r="K1005" i="11"/>
  <c r="J1004" i="11"/>
  <c r="J1088" i="11"/>
  <c r="K1089" i="11"/>
  <c r="K126" i="11"/>
  <c r="J125" i="11"/>
  <c r="K200" i="11"/>
  <c r="J199" i="11"/>
  <c r="K1153" i="11"/>
  <c r="J1152" i="11"/>
  <c r="K1237" i="11"/>
  <c r="J1236" i="11"/>
  <c r="J1458" i="11"/>
  <c r="K1459" i="11"/>
  <c r="J855" i="11"/>
  <c r="K856" i="11"/>
  <c r="J1078" i="11"/>
  <c r="K1079" i="11"/>
  <c r="K41" i="11"/>
  <c r="J40" i="11"/>
  <c r="J718" i="11"/>
  <c r="K719" i="11"/>
  <c r="L1534" i="10"/>
  <c r="K1533" i="10"/>
  <c r="K1459" i="10"/>
  <c r="L1460" i="10"/>
  <c r="L1524" i="10"/>
  <c r="K1523" i="10"/>
  <c r="K1449" i="10"/>
  <c r="L1450" i="10"/>
  <c r="L1386" i="10"/>
  <c r="K1385" i="10"/>
  <c r="K1375" i="10"/>
  <c r="L1376" i="10"/>
  <c r="K1226" i="10"/>
  <c r="L1227" i="10"/>
  <c r="L1237" i="10"/>
  <c r="K1236" i="10"/>
  <c r="L1300" i="10"/>
  <c r="K1299" i="10"/>
  <c r="L1310" i="10"/>
  <c r="K1309" i="10"/>
  <c r="L1163" i="10"/>
  <c r="K1162" i="10"/>
  <c r="K1152" i="10"/>
  <c r="L1153" i="10"/>
  <c r="K347" i="10"/>
  <c r="L348" i="10"/>
  <c r="K570" i="10"/>
  <c r="L571" i="10"/>
  <c r="L857" i="10"/>
  <c r="K856" i="10"/>
  <c r="K633" i="10"/>
  <c r="L634" i="10"/>
  <c r="K199" i="10"/>
  <c r="L200" i="10"/>
  <c r="L497" i="10"/>
  <c r="K496" i="10"/>
  <c r="L338" i="10"/>
  <c r="K337" i="10"/>
  <c r="L1015" i="10"/>
  <c r="K1014" i="10"/>
  <c r="L561" i="10"/>
  <c r="K560" i="10"/>
  <c r="L867" i="10"/>
  <c r="K866" i="10"/>
  <c r="L41" i="10"/>
  <c r="K40" i="10"/>
  <c r="L783" i="10"/>
  <c r="K782" i="10"/>
  <c r="K792" i="10"/>
  <c r="L793" i="10"/>
  <c r="L51" i="10"/>
  <c r="K50" i="10"/>
  <c r="L264" i="10"/>
  <c r="K263" i="10"/>
  <c r="L413" i="10"/>
  <c r="K412" i="10"/>
  <c r="K1078" i="10"/>
  <c r="L1079" i="10"/>
  <c r="L930" i="10"/>
  <c r="K929" i="10"/>
  <c r="K708" i="10"/>
  <c r="L709" i="10"/>
  <c r="L487" i="10"/>
  <c r="K486" i="10"/>
  <c r="K273" i="10"/>
  <c r="L274" i="10"/>
  <c r="K125" i="10"/>
  <c r="L126" i="10"/>
  <c r="K718" i="10"/>
  <c r="L719" i="10"/>
  <c r="L1005" i="10"/>
  <c r="K1004" i="10"/>
  <c r="L190" i="10"/>
  <c r="K189" i="10"/>
  <c r="L423" i="10"/>
  <c r="K422" i="10"/>
  <c r="K939" i="10"/>
  <c r="L940" i="10"/>
  <c r="L644" i="10"/>
  <c r="K643" i="10"/>
  <c r="K115" i="10"/>
  <c r="L116" i="10"/>
  <c r="L1089" i="10"/>
  <c r="K1088" i="10"/>
  <c r="J1599" i="11" l="1"/>
  <c r="K1600" i="11"/>
  <c r="J1821" i="11"/>
  <c r="K1822" i="11"/>
  <c r="K1748" i="11"/>
  <c r="J1747" i="11"/>
  <c r="J1831" i="11"/>
  <c r="K1832" i="11"/>
  <c r="J1832" i="11" s="1"/>
  <c r="K1610" i="11"/>
  <c r="J1610" i="11" s="1"/>
  <c r="J1609" i="11"/>
  <c r="K1980" i="11"/>
  <c r="J1979" i="11"/>
  <c r="J1682" i="11"/>
  <c r="K1683" i="11"/>
  <c r="K1895" i="11"/>
  <c r="J1895" i="11" s="1"/>
  <c r="J1969" i="11"/>
  <c r="K1970" i="11"/>
  <c r="K1905" i="11"/>
  <c r="J1905" i="11" s="1"/>
  <c r="J1672" i="11"/>
  <c r="K1673" i="11"/>
  <c r="J1757" i="11"/>
  <c r="K1758" i="11"/>
  <c r="J1758" i="11" s="1"/>
  <c r="K117" i="11"/>
  <c r="J116" i="11"/>
  <c r="K264" i="11"/>
  <c r="J263" i="11"/>
  <c r="J422" i="11"/>
  <c r="K423" i="11"/>
  <c r="J1386" i="11"/>
  <c r="K1387" i="11"/>
  <c r="J1387" i="11" s="1"/>
  <c r="J1449" i="11"/>
  <c r="K1450" i="11"/>
  <c r="K1535" i="11"/>
  <c r="J1534" i="11"/>
  <c r="J1079" i="11"/>
  <c r="K1080" i="11"/>
  <c r="K413" i="11"/>
  <c r="J412" i="11"/>
  <c r="K710" i="11"/>
  <c r="J709" i="11"/>
  <c r="K191" i="11"/>
  <c r="J190" i="11"/>
  <c r="K867" i="11"/>
  <c r="J866" i="11"/>
  <c r="J273" i="11"/>
  <c r="K274" i="11"/>
  <c r="J635" i="11"/>
  <c r="K636" i="11"/>
  <c r="J349" i="11"/>
  <c r="K350" i="11"/>
  <c r="J350" i="11" s="1"/>
  <c r="K498" i="11"/>
  <c r="J498" i="11" s="1"/>
  <c r="J497" i="11"/>
  <c r="J1005" i="11"/>
  <c r="K1006" i="11"/>
  <c r="J856" i="11"/>
  <c r="K857" i="11"/>
  <c r="J1310" i="11"/>
  <c r="K1311" i="11"/>
  <c r="K784" i="11"/>
  <c r="J783" i="11"/>
  <c r="J200" i="11"/>
  <c r="K201" i="11"/>
  <c r="J201" i="11" s="1"/>
  <c r="J1524" i="11"/>
  <c r="K1525" i="11"/>
  <c r="J645" i="11"/>
  <c r="K646" i="11"/>
  <c r="J646" i="11" s="1"/>
  <c r="K1301" i="11"/>
  <c r="J1300" i="11"/>
  <c r="J51" i="11"/>
  <c r="K52" i="11"/>
  <c r="J52" i="11" s="1"/>
  <c r="J1376" i="11"/>
  <c r="K1377" i="11"/>
  <c r="K942" i="11"/>
  <c r="J942" i="11" s="1"/>
  <c r="J941" i="11"/>
  <c r="K1460" i="11"/>
  <c r="J1459" i="11"/>
  <c r="J571" i="11"/>
  <c r="K572" i="11"/>
  <c r="J572" i="11" s="1"/>
  <c r="K1164" i="11"/>
  <c r="J1164" i="11" s="1"/>
  <c r="J1163" i="11"/>
  <c r="J1237" i="11"/>
  <c r="K1238" i="11"/>
  <c r="J1238" i="11" s="1"/>
  <c r="J126" i="11"/>
  <c r="K127" i="11"/>
  <c r="J127" i="11" s="1"/>
  <c r="J561" i="11"/>
  <c r="K562" i="11"/>
  <c r="K340" i="11"/>
  <c r="J339" i="11"/>
  <c r="J1015" i="11"/>
  <c r="K1016" i="11"/>
  <c r="J1016" i="11" s="1"/>
  <c r="J1153" i="11"/>
  <c r="K1154" i="11"/>
  <c r="K1090" i="11"/>
  <c r="J1090" i="11" s="1"/>
  <c r="J1089" i="11"/>
  <c r="J1227" i="11"/>
  <c r="K1228" i="11"/>
  <c r="K720" i="11"/>
  <c r="J720" i="11" s="1"/>
  <c r="J719" i="11"/>
  <c r="J41" i="11"/>
  <c r="K42" i="11"/>
  <c r="J487" i="11"/>
  <c r="K488" i="11"/>
  <c r="K932" i="11"/>
  <c r="J931" i="11"/>
  <c r="K794" i="11"/>
  <c r="J794" i="11" s="1"/>
  <c r="J793" i="11"/>
  <c r="K1450" i="10"/>
  <c r="L1451" i="10"/>
  <c r="K1524" i="10"/>
  <c r="L1525" i="10"/>
  <c r="L1461" i="10"/>
  <c r="K1461" i="10" s="1"/>
  <c r="K1460" i="10"/>
  <c r="L1535" i="10"/>
  <c r="K1534" i="10"/>
  <c r="L1377" i="10"/>
  <c r="K1376" i="10"/>
  <c r="L1387" i="10"/>
  <c r="K1387" i="10" s="1"/>
  <c r="K1386" i="10"/>
  <c r="L1311" i="10"/>
  <c r="K1310" i="10"/>
  <c r="K1300" i="10"/>
  <c r="L1301" i="10"/>
  <c r="K1237" i="10"/>
  <c r="L1238" i="10"/>
  <c r="K1238" i="10" s="1"/>
  <c r="L1228" i="10"/>
  <c r="K1227" i="10"/>
  <c r="L1154" i="10"/>
  <c r="K1153" i="10"/>
  <c r="K1163" i="10"/>
  <c r="L1164" i="10"/>
  <c r="K1164" i="10" s="1"/>
  <c r="L339" i="10"/>
  <c r="K338" i="10"/>
  <c r="K51" i="10"/>
  <c r="L52" i="10"/>
  <c r="K52" i="10" s="1"/>
  <c r="K497" i="10"/>
  <c r="L498" i="10"/>
  <c r="K498" i="10" s="1"/>
  <c r="L794" i="10"/>
  <c r="K794" i="10" s="1"/>
  <c r="K793" i="10"/>
  <c r="L201" i="10"/>
  <c r="K201" i="10" s="1"/>
  <c r="K200" i="10"/>
  <c r="K719" i="10"/>
  <c r="L720" i="10"/>
  <c r="K720" i="10" s="1"/>
  <c r="L635" i="10"/>
  <c r="K634" i="10"/>
  <c r="L265" i="10"/>
  <c r="K264" i="10"/>
  <c r="K1089" i="10"/>
  <c r="L1090" i="10"/>
  <c r="K1090" i="10" s="1"/>
  <c r="K274" i="10"/>
  <c r="L275" i="10"/>
  <c r="K275" i="10" s="1"/>
  <c r="L645" i="10"/>
  <c r="K644" i="10"/>
  <c r="K487" i="10"/>
  <c r="L488" i="10"/>
  <c r="L784" i="10"/>
  <c r="K783" i="10"/>
  <c r="K413" i="10"/>
  <c r="L414" i="10"/>
  <c r="K126" i="10"/>
  <c r="L127" i="10"/>
  <c r="K127" i="10" s="1"/>
  <c r="L941" i="10"/>
  <c r="K940" i="10"/>
  <c r="K41" i="10"/>
  <c r="L42" i="10"/>
  <c r="K857" i="10"/>
  <c r="L858" i="10"/>
  <c r="K116" i="10"/>
  <c r="L117" i="10"/>
  <c r="L572" i="10"/>
  <c r="K572" i="10" s="1"/>
  <c r="K571" i="10"/>
  <c r="L710" i="10"/>
  <c r="K709" i="10"/>
  <c r="K423" i="10"/>
  <c r="L424" i="10"/>
  <c r="K424" i="10" s="1"/>
  <c r="L931" i="10"/>
  <c r="K930" i="10"/>
  <c r="L868" i="10"/>
  <c r="K868" i="10" s="1"/>
  <c r="K867" i="10"/>
  <c r="K1005" i="10"/>
  <c r="L1006" i="10"/>
  <c r="L1080" i="10"/>
  <c r="K1079" i="10"/>
  <c r="L349" i="10"/>
  <c r="K348" i="10"/>
  <c r="K1015" i="10"/>
  <c r="L1016" i="10"/>
  <c r="K1016" i="10" s="1"/>
  <c r="K190" i="10"/>
  <c r="L191" i="10"/>
  <c r="L562" i="10"/>
  <c r="K561" i="10"/>
  <c r="K1896" i="11" l="1"/>
  <c r="J1896" i="11" s="1"/>
  <c r="J1980" i="11"/>
  <c r="K1981" i="11"/>
  <c r="J1981" i="11" s="1"/>
  <c r="J1683" i="11"/>
  <c r="K1684" i="11"/>
  <c r="J1684" i="11" s="1"/>
  <c r="J1673" i="11"/>
  <c r="K1674" i="11"/>
  <c r="J1748" i="11"/>
  <c r="K1759" i="11"/>
  <c r="K1833" i="11"/>
  <c r="J1822" i="11"/>
  <c r="K1906" i="11"/>
  <c r="J1906" i="11" s="1"/>
  <c r="K1971" i="11"/>
  <c r="J1970" i="11"/>
  <c r="K1611" i="11"/>
  <c r="J1600" i="11"/>
  <c r="K414" i="11"/>
  <c r="J413" i="11"/>
  <c r="J1535" i="11"/>
  <c r="K1536" i="11"/>
  <c r="J1536" i="11" s="1"/>
  <c r="K1091" i="11"/>
  <c r="J1080" i="11"/>
  <c r="K1526" i="11"/>
  <c r="J1525" i="11"/>
  <c r="K647" i="11"/>
  <c r="J636" i="11"/>
  <c r="K1451" i="11"/>
  <c r="J1450" i="11"/>
  <c r="J1301" i="11"/>
  <c r="K1302" i="11"/>
  <c r="J274" i="11"/>
  <c r="K275" i="11"/>
  <c r="J275" i="11" s="1"/>
  <c r="K1017" i="11"/>
  <c r="J1006" i="11"/>
  <c r="K424" i="11"/>
  <c r="J424" i="11" s="1"/>
  <c r="J423" i="11"/>
  <c r="J488" i="11"/>
  <c r="K499" i="11"/>
  <c r="K53" i="11"/>
  <c r="J42" i="11"/>
  <c r="K1461" i="11"/>
  <c r="J1461" i="11" s="1"/>
  <c r="J1460" i="11"/>
  <c r="J784" i="11"/>
  <c r="K795" i="11"/>
  <c r="J867" i="11"/>
  <c r="K868" i="11"/>
  <c r="J868" i="11" s="1"/>
  <c r="K573" i="11"/>
  <c r="J562" i="11"/>
  <c r="K1312" i="11"/>
  <c r="J1312" i="11" s="1"/>
  <c r="J1311" i="11"/>
  <c r="K202" i="11"/>
  <c r="J191" i="11"/>
  <c r="K265" i="11"/>
  <c r="J264" i="11"/>
  <c r="K1239" i="11"/>
  <c r="J1228" i="11"/>
  <c r="K1165" i="11"/>
  <c r="J1154" i="11"/>
  <c r="K1388" i="11"/>
  <c r="J1377" i="11"/>
  <c r="K858" i="11"/>
  <c r="J857" i="11"/>
  <c r="J932" i="11"/>
  <c r="K943" i="11"/>
  <c r="K351" i="11"/>
  <c r="J340" i="11"/>
  <c r="K721" i="11"/>
  <c r="J710" i="11"/>
  <c r="K128" i="11"/>
  <c r="J117" i="11"/>
  <c r="K1535" i="10"/>
  <c r="L1536" i="10"/>
  <c r="K1536" i="10" s="1"/>
  <c r="K1525" i="10"/>
  <c r="L1526" i="10"/>
  <c r="L1462" i="10"/>
  <c r="K1451" i="10"/>
  <c r="K1377" i="10"/>
  <c r="L1388" i="10"/>
  <c r="L1239" i="10"/>
  <c r="K1228" i="10"/>
  <c r="K1301" i="10"/>
  <c r="L1302" i="10"/>
  <c r="K1311" i="10"/>
  <c r="L1312" i="10"/>
  <c r="K1312" i="10" s="1"/>
  <c r="L1165" i="10"/>
  <c r="K1154" i="10"/>
  <c r="K265" i="10"/>
  <c r="L276" i="10"/>
  <c r="K635" i="10"/>
  <c r="L636" i="10"/>
  <c r="K784" i="10"/>
  <c r="L795" i="10"/>
  <c r="L202" i="10"/>
  <c r="K191" i="10"/>
  <c r="K488" i="10"/>
  <c r="L499" i="10"/>
  <c r="L425" i="10"/>
  <c r="K414" i="10"/>
  <c r="L721" i="10"/>
  <c r="K710" i="10"/>
  <c r="L942" i="10"/>
  <c r="K942" i="10" s="1"/>
  <c r="K941" i="10"/>
  <c r="K931" i="10"/>
  <c r="L932" i="10"/>
  <c r="L646" i="10"/>
  <c r="K646" i="10" s="1"/>
  <c r="K645" i="10"/>
  <c r="K562" i="10"/>
  <c r="L573" i="10"/>
  <c r="L128" i="10"/>
  <c r="K117" i="10"/>
  <c r="L1091" i="10"/>
  <c r="K1080" i="10"/>
  <c r="L869" i="10"/>
  <c r="K858" i="10"/>
  <c r="L1017" i="10"/>
  <c r="K1006" i="10"/>
  <c r="L53" i="10"/>
  <c r="K42" i="10"/>
  <c r="L350" i="10"/>
  <c r="K350" i="10" s="1"/>
  <c r="K349" i="10"/>
  <c r="L340" i="10"/>
  <c r="K339" i="10"/>
  <c r="K1982" i="11" l="1"/>
  <c r="J1971" i="11"/>
  <c r="K1834" i="11"/>
  <c r="J1833" i="11"/>
  <c r="J1759" i="11"/>
  <c r="K1760" i="11"/>
  <c r="J1674" i="11"/>
  <c r="K1685" i="11"/>
  <c r="K1612" i="11"/>
  <c r="J1611" i="11"/>
  <c r="K1907" i="11"/>
  <c r="J1907" i="11" s="1"/>
  <c r="J943" i="11"/>
  <c r="K944" i="11"/>
  <c r="K1389" i="11"/>
  <c r="J1388" i="11"/>
  <c r="K796" i="11"/>
  <c r="J795" i="11"/>
  <c r="K648" i="11"/>
  <c r="J647" i="11"/>
  <c r="J573" i="11"/>
  <c r="K574" i="11"/>
  <c r="K54" i="11"/>
  <c r="J53" i="11"/>
  <c r="K1537" i="11"/>
  <c r="J1526" i="11"/>
  <c r="K1313" i="11"/>
  <c r="J1302" i="11"/>
  <c r="K500" i="11"/>
  <c r="J499" i="11"/>
  <c r="K276" i="11"/>
  <c r="J265" i="11"/>
  <c r="K1092" i="11"/>
  <c r="J1091" i="11"/>
  <c r="K1240" i="11"/>
  <c r="J1239" i="11"/>
  <c r="J128" i="11"/>
  <c r="K129" i="11"/>
  <c r="J202" i="11"/>
  <c r="K203" i="11"/>
  <c r="J858" i="11"/>
  <c r="K869" i="11"/>
  <c r="J1451" i="11"/>
  <c r="K1462" i="11"/>
  <c r="J1165" i="11"/>
  <c r="K1166" i="11"/>
  <c r="J721" i="11"/>
  <c r="K722" i="11"/>
  <c r="K352" i="11"/>
  <c r="J351" i="11"/>
  <c r="J1017" i="11"/>
  <c r="K1018" i="11"/>
  <c r="K425" i="11"/>
  <c r="J414" i="11"/>
  <c r="K1462" i="10"/>
  <c r="L1463" i="10"/>
  <c r="L1537" i="10"/>
  <c r="K1526" i="10"/>
  <c r="L1389" i="10"/>
  <c r="K1388" i="10"/>
  <c r="L1313" i="10"/>
  <c r="K1302" i="10"/>
  <c r="L1240" i="10"/>
  <c r="K1239" i="10"/>
  <c r="K1165" i="10"/>
  <c r="L1166" i="10"/>
  <c r="L1018" i="10"/>
  <c r="K1017" i="10"/>
  <c r="K721" i="10"/>
  <c r="L722" i="10"/>
  <c r="L870" i="10"/>
  <c r="K869" i="10"/>
  <c r="L426" i="10"/>
  <c r="K425" i="10"/>
  <c r="L500" i="10"/>
  <c r="K499" i="10"/>
  <c r="K1091" i="10"/>
  <c r="L1092" i="10"/>
  <c r="K128" i="10"/>
  <c r="L129" i="10"/>
  <c r="K202" i="10"/>
  <c r="L203" i="10"/>
  <c r="L574" i="10"/>
  <c r="K573" i="10"/>
  <c r="L796" i="10"/>
  <c r="K795" i="10"/>
  <c r="K636" i="10"/>
  <c r="L647" i="10"/>
  <c r="K53" i="10"/>
  <c r="L54" i="10"/>
  <c r="L351" i="10"/>
  <c r="K340" i="10"/>
  <c r="L943" i="10"/>
  <c r="K932" i="10"/>
  <c r="K276" i="10"/>
  <c r="L277" i="10"/>
  <c r="K1908" i="11" l="1"/>
  <c r="J1908" i="11" s="1"/>
  <c r="J1612" i="11"/>
  <c r="K1613" i="11"/>
  <c r="J1685" i="11"/>
  <c r="K1686" i="11"/>
  <c r="K1761" i="11"/>
  <c r="J1760" i="11"/>
  <c r="J1834" i="11"/>
  <c r="K1835" i="11"/>
  <c r="J1982" i="11"/>
  <c r="K1983" i="11"/>
  <c r="J1313" i="11"/>
  <c r="K1314" i="11"/>
  <c r="K204" i="11"/>
  <c r="J203" i="11"/>
  <c r="J1537" i="11"/>
  <c r="K1538" i="11"/>
  <c r="J54" i="11"/>
  <c r="K55" i="11"/>
  <c r="J129" i="11"/>
  <c r="K130" i="11"/>
  <c r="J1462" i="11"/>
  <c r="K1463" i="11"/>
  <c r="K1093" i="11"/>
  <c r="J1092" i="11"/>
  <c r="K797" i="11"/>
  <c r="J796" i="11"/>
  <c r="J1240" i="11"/>
  <c r="K1241" i="11"/>
  <c r="K575" i="11"/>
  <c r="J574" i="11"/>
  <c r="K649" i="11"/>
  <c r="J648" i="11"/>
  <c r="K277" i="11"/>
  <c r="J276" i="11"/>
  <c r="J1389" i="11"/>
  <c r="K1390" i="11"/>
  <c r="J425" i="11"/>
  <c r="K426" i="11"/>
  <c r="J352" i="11"/>
  <c r="K353" i="11"/>
  <c r="K723" i="11"/>
  <c r="J722" i="11"/>
  <c r="K1167" i="11"/>
  <c r="J1166" i="11"/>
  <c r="K945" i="11"/>
  <c r="J944" i="11"/>
  <c r="K870" i="11"/>
  <c r="J869" i="11"/>
  <c r="J1018" i="11"/>
  <c r="K1019" i="11"/>
  <c r="J500" i="11"/>
  <c r="K501" i="11"/>
  <c r="K1537" i="10"/>
  <c r="L1538" i="10"/>
  <c r="L1464" i="10"/>
  <c r="K1463" i="10"/>
  <c r="L1390" i="10"/>
  <c r="K1389" i="10"/>
  <c r="K1240" i="10"/>
  <c r="L1241" i="10"/>
  <c r="K1313" i="10"/>
  <c r="L1314" i="10"/>
  <c r="L1167" i="10"/>
  <c r="K1166" i="10"/>
  <c r="L648" i="10"/>
  <c r="K647" i="10"/>
  <c r="L130" i="10"/>
  <c r="K129" i="10"/>
  <c r="L871" i="10"/>
  <c r="K870" i="10"/>
  <c r="L204" i="10"/>
  <c r="K203" i="10"/>
  <c r="L278" i="10"/>
  <c r="K277" i="10"/>
  <c r="L944" i="10"/>
  <c r="K943" i="10"/>
  <c r="L723" i="10"/>
  <c r="K722" i="10"/>
  <c r="L797" i="10"/>
  <c r="K796" i="10"/>
  <c r="K1092" i="10"/>
  <c r="L1093" i="10"/>
  <c r="K500" i="10"/>
  <c r="L501" i="10"/>
  <c r="K426" i="10"/>
  <c r="L427" i="10"/>
  <c r="L352" i="10"/>
  <c r="K351" i="10"/>
  <c r="L55" i="10"/>
  <c r="K54" i="10"/>
  <c r="L575" i="10"/>
  <c r="K574" i="10"/>
  <c r="K1018" i="10"/>
  <c r="L1019" i="10"/>
  <c r="K1984" i="11" l="1"/>
  <c r="J1983" i="11"/>
  <c r="K1836" i="11"/>
  <c r="J1835" i="11"/>
  <c r="J1761" i="11"/>
  <c r="K1762" i="11"/>
  <c r="J1686" i="11"/>
  <c r="K1687" i="11"/>
  <c r="J1613" i="11"/>
  <c r="K1614" i="11"/>
  <c r="K1909" i="11"/>
  <c r="J1909" i="11" s="1"/>
  <c r="K131" i="11"/>
  <c r="J130" i="11"/>
  <c r="J797" i="11"/>
  <c r="K798" i="11"/>
  <c r="J1463" i="11"/>
  <c r="K1464" i="11"/>
  <c r="J501" i="11"/>
  <c r="K502" i="11"/>
  <c r="J353" i="11"/>
  <c r="K354" i="11"/>
  <c r="K427" i="11"/>
  <c r="J426" i="11"/>
  <c r="K1020" i="11"/>
  <c r="J1019" i="11"/>
  <c r="K278" i="11"/>
  <c r="J277" i="11"/>
  <c r="K724" i="11"/>
  <c r="J723" i="11"/>
  <c r="J1390" i="11"/>
  <c r="K1391" i="11"/>
  <c r="K1539" i="11"/>
  <c r="J1538" i="11"/>
  <c r="J649" i="11"/>
  <c r="K650" i="11"/>
  <c r="K946" i="11"/>
  <c r="J945" i="11"/>
  <c r="J575" i="11"/>
  <c r="K576" i="11"/>
  <c r="K205" i="11"/>
  <c r="J204" i="11"/>
  <c r="K1094" i="11"/>
  <c r="J1093" i="11"/>
  <c r="K56" i="11"/>
  <c r="J55" i="11"/>
  <c r="J1241" i="11"/>
  <c r="K1242" i="11"/>
  <c r="K1315" i="11"/>
  <c r="J1314" i="11"/>
  <c r="J870" i="11"/>
  <c r="K871" i="11"/>
  <c r="K1168" i="11"/>
  <c r="J1167" i="11"/>
  <c r="L1465" i="10"/>
  <c r="K1464" i="10"/>
  <c r="K1538" i="10"/>
  <c r="L1539" i="10"/>
  <c r="K1390" i="10"/>
  <c r="L1391" i="10"/>
  <c r="L1315" i="10"/>
  <c r="K1314" i="10"/>
  <c r="L1242" i="10"/>
  <c r="K1241" i="10"/>
  <c r="L1168" i="10"/>
  <c r="K1167" i="10"/>
  <c r="L1020" i="10"/>
  <c r="K1019" i="10"/>
  <c r="K797" i="10"/>
  <c r="L798" i="10"/>
  <c r="K871" i="10"/>
  <c r="L872" i="10"/>
  <c r="K723" i="10"/>
  <c r="L724" i="10"/>
  <c r="K944" i="10"/>
  <c r="L945" i="10"/>
  <c r="K278" i="10"/>
  <c r="L279" i="10"/>
  <c r="K352" i="10"/>
  <c r="L353" i="10"/>
  <c r="L131" i="10"/>
  <c r="K130" i="10"/>
  <c r="K575" i="10"/>
  <c r="L576" i="10"/>
  <c r="L56" i="10"/>
  <c r="K55" i="10"/>
  <c r="L205" i="10"/>
  <c r="K204" i="10"/>
  <c r="L428" i="10"/>
  <c r="K427" i="10"/>
  <c r="L502" i="10"/>
  <c r="K501" i="10"/>
  <c r="L1094" i="10"/>
  <c r="K1093" i="10"/>
  <c r="L649" i="10"/>
  <c r="K648" i="10"/>
  <c r="K1910" i="11" l="1"/>
  <c r="J1910" i="11" s="1"/>
  <c r="K1615" i="11"/>
  <c r="J1614" i="11"/>
  <c r="J1687" i="11"/>
  <c r="K1688" i="11"/>
  <c r="K1763" i="11"/>
  <c r="J1762" i="11"/>
  <c r="K1837" i="11"/>
  <c r="J1836" i="11"/>
  <c r="K1985" i="11"/>
  <c r="J1984" i="11"/>
  <c r="K1021" i="11"/>
  <c r="J1020" i="11"/>
  <c r="J946" i="11"/>
  <c r="K947" i="11"/>
  <c r="K1465" i="11"/>
  <c r="J1464" i="11"/>
  <c r="J205" i="11"/>
  <c r="K206" i="11"/>
  <c r="K651" i="11"/>
  <c r="J650" i="11"/>
  <c r="J1094" i="11"/>
  <c r="K1095" i="11"/>
  <c r="K577" i="11"/>
  <c r="J576" i="11"/>
  <c r="J1391" i="11"/>
  <c r="K1392" i="11"/>
  <c r="K799" i="11"/>
  <c r="J798" i="11"/>
  <c r="K279" i="11"/>
  <c r="J278" i="11"/>
  <c r="J427" i="11"/>
  <c r="K428" i="11"/>
  <c r="J1168" i="11"/>
  <c r="K1169" i="11"/>
  <c r="K872" i="11"/>
  <c r="J871" i="11"/>
  <c r="J354" i="11"/>
  <c r="K355" i="11"/>
  <c r="K1540" i="11"/>
  <c r="J1539" i="11"/>
  <c r="K503" i="11"/>
  <c r="J502" i="11"/>
  <c r="K1316" i="11"/>
  <c r="J1315" i="11"/>
  <c r="J1242" i="11"/>
  <c r="K1243" i="11"/>
  <c r="J56" i="11"/>
  <c r="K57" i="11"/>
  <c r="J724" i="11"/>
  <c r="K725" i="11"/>
  <c r="J131" i="11"/>
  <c r="K132" i="11"/>
  <c r="L1540" i="10"/>
  <c r="K1539" i="10"/>
  <c r="K1465" i="10"/>
  <c r="L1466" i="10"/>
  <c r="L1392" i="10"/>
  <c r="K1391" i="10"/>
  <c r="K1242" i="10"/>
  <c r="L1243" i="10"/>
  <c r="L1316" i="10"/>
  <c r="K1315" i="10"/>
  <c r="K1168" i="10"/>
  <c r="L1169" i="10"/>
  <c r="K1094" i="10"/>
  <c r="L1095" i="10"/>
  <c r="L354" i="10"/>
  <c r="K353" i="10"/>
  <c r="L799" i="10"/>
  <c r="K798" i="10"/>
  <c r="L503" i="10"/>
  <c r="K502" i="10"/>
  <c r="K131" i="10"/>
  <c r="L132" i="10"/>
  <c r="K428" i="10"/>
  <c r="L429" i="10"/>
  <c r="L577" i="10"/>
  <c r="K576" i="10"/>
  <c r="L650" i="10"/>
  <c r="K649" i="10"/>
  <c r="L280" i="10"/>
  <c r="K279" i="10"/>
  <c r="L946" i="10"/>
  <c r="K945" i="10"/>
  <c r="K724" i="10"/>
  <c r="L725" i="10"/>
  <c r="L873" i="10"/>
  <c r="K872" i="10"/>
  <c r="L206" i="10"/>
  <c r="K205" i="10"/>
  <c r="K56" i="10"/>
  <c r="L57" i="10"/>
  <c r="L1021" i="10"/>
  <c r="K1020" i="10"/>
  <c r="J1985" i="11" l="1"/>
  <c r="K1986" i="11"/>
  <c r="J1837" i="11"/>
  <c r="K1838" i="11"/>
  <c r="K1764" i="11"/>
  <c r="J1763" i="11"/>
  <c r="J1688" i="11"/>
  <c r="K1689" i="11"/>
  <c r="J1615" i="11"/>
  <c r="K1616" i="11"/>
  <c r="K1911" i="11"/>
  <c r="J1911" i="11" s="1"/>
  <c r="J355" i="11"/>
  <c r="K356" i="11"/>
  <c r="J1540" i="11"/>
  <c r="K1541" i="11"/>
  <c r="K1170" i="11"/>
  <c r="J1169" i="11"/>
  <c r="J1465" i="11"/>
  <c r="K1466" i="11"/>
  <c r="J1392" i="11"/>
  <c r="K1393" i="11"/>
  <c r="K873" i="11"/>
  <c r="J872" i="11"/>
  <c r="K726" i="11"/>
  <c r="J725" i="11"/>
  <c r="K207" i="11"/>
  <c r="J206" i="11"/>
  <c r="K948" i="11"/>
  <c r="J947" i="11"/>
  <c r="J577" i="11"/>
  <c r="K578" i="11"/>
  <c r="J651" i="11"/>
  <c r="K652" i="11"/>
  <c r="K58" i="11"/>
  <c r="J57" i="11"/>
  <c r="K429" i="11"/>
  <c r="J428" i="11"/>
  <c r="K280" i="11"/>
  <c r="J279" i="11"/>
  <c r="J1095" i="11"/>
  <c r="K1096" i="11"/>
  <c r="K133" i="11"/>
  <c r="J132" i="11"/>
  <c r="J1243" i="11"/>
  <c r="K1244" i="11"/>
  <c r="J503" i="11"/>
  <c r="K504" i="11"/>
  <c r="J1316" i="11"/>
  <c r="K1317" i="11"/>
  <c r="J799" i="11"/>
  <c r="K800" i="11"/>
  <c r="J1021" i="11"/>
  <c r="K1022" i="11"/>
  <c r="L1467" i="10"/>
  <c r="K1466" i="10"/>
  <c r="K1540" i="10"/>
  <c r="L1541" i="10"/>
  <c r="L1393" i="10"/>
  <c r="K1392" i="10"/>
  <c r="K1316" i="10"/>
  <c r="L1317" i="10"/>
  <c r="L1244" i="10"/>
  <c r="K1243" i="10"/>
  <c r="L1170" i="10"/>
  <c r="K1169" i="10"/>
  <c r="L726" i="10"/>
  <c r="K725" i="10"/>
  <c r="L207" i="10"/>
  <c r="K206" i="10"/>
  <c r="K873" i="10"/>
  <c r="L874" i="10"/>
  <c r="K799" i="10"/>
  <c r="L800" i="10"/>
  <c r="K1021" i="10"/>
  <c r="L1022" i="10"/>
  <c r="L133" i="10"/>
  <c r="K132" i="10"/>
  <c r="L578" i="10"/>
  <c r="K577" i="10"/>
  <c r="L947" i="10"/>
  <c r="K946" i="10"/>
  <c r="L355" i="10"/>
  <c r="K354" i="10"/>
  <c r="K429" i="10"/>
  <c r="L430" i="10"/>
  <c r="L1096" i="10"/>
  <c r="K1095" i="10"/>
  <c r="L651" i="10"/>
  <c r="K650" i="10"/>
  <c r="L58" i="10"/>
  <c r="K57" i="10"/>
  <c r="K503" i="10"/>
  <c r="L504" i="10"/>
  <c r="L281" i="10"/>
  <c r="K280" i="10"/>
  <c r="K1912" i="11" l="1"/>
  <c r="J1912" i="11" s="1"/>
  <c r="J1616" i="11"/>
  <c r="K1617" i="11"/>
  <c r="J1689" i="11"/>
  <c r="K1690" i="11"/>
  <c r="J1764" i="11"/>
  <c r="K1765" i="11"/>
  <c r="K1839" i="11"/>
  <c r="J1838" i="11"/>
  <c r="K1987" i="11"/>
  <c r="J1986" i="11"/>
  <c r="K134" i="11"/>
  <c r="J133" i="11"/>
  <c r="J800" i="11"/>
  <c r="K801" i="11"/>
  <c r="J207" i="11"/>
  <c r="K208" i="11"/>
  <c r="K1097" i="11"/>
  <c r="J1096" i="11"/>
  <c r="K1394" i="11"/>
  <c r="J1393" i="11"/>
  <c r="K1171" i="11"/>
  <c r="J1170" i="11"/>
  <c r="K505" i="11"/>
  <c r="J504" i="11"/>
  <c r="K579" i="11"/>
  <c r="J578" i="11"/>
  <c r="K1542" i="11"/>
  <c r="J1541" i="11"/>
  <c r="J726" i="11"/>
  <c r="K727" i="11"/>
  <c r="J873" i="11"/>
  <c r="K874" i="11"/>
  <c r="K430" i="11"/>
  <c r="J429" i="11"/>
  <c r="K1467" i="11"/>
  <c r="J1466" i="11"/>
  <c r="K59" i="11"/>
  <c r="J58" i="11"/>
  <c r="K1245" i="11"/>
  <c r="J1244" i="11"/>
  <c r="K357" i="11"/>
  <c r="J356" i="11"/>
  <c r="J280" i="11"/>
  <c r="K281" i="11"/>
  <c r="J1022" i="11"/>
  <c r="K1023" i="11"/>
  <c r="K1318" i="11"/>
  <c r="J1317" i="11"/>
  <c r="K653" i="11"/>
  <c r="J652" i="11"/>
  <c r="K949" i="11"/>
  <c r="J948" i="11"/>
  <c r="K1541" i="10"/>
  <c r="L1542" i="10"/>
  <c r="L1468" i="10"/>
  <c r="K1467" i="10"/>
  <c r="K1393" i="10"/>
  <c r="L1394" i="10"/>
  <c r="L1245" i="10"/>
  <c r="K1244" i="10"/>
  <c r="L1318" i="10"/>
  <c r="K1317" i="10"/>
  <c r="L1171" i="10"/>
  <c r="K1170" i="10"/>
  <c r="L875" i="10"/>
  <c r="K874" i="10"/>
  <c r="K947" i="10"/>
  <c r="L948" i="10"/>
  <c r="K281" i="10"/>
  <c r="L282" i="10"/>
  <c r="L1023" i="10"/>
  <c r="K1022" i="10"/>
  <c r="K578" i="10"/>
  <c r="L579" i="10"/>
  <c r="K58" i="10"/>
  <c r="L59" i="10"/>
  <c r="K800" i="10"/>
  <c r="L801" i="10"/>
  <c r="L652" i="10"/>
  <c r="K651" i="10"/>
  <c r="K207" i="10"/>
  <c r="L208" i="10"/>
  <c r="L505" i="10"/>
  <c r="K504" i="10"/>
  <c r="K133" i="10"/>
  <c r="L134" i="10"/>
  <c r="L1097" i="10"/>
  <c r="K1096" i="10"/>
  <c r="L431" i="10"/>
  <c r="K430" i="10"/>
  <c r="K355" i="10"/>
  <c r="L356" i="10"/>
  <c r="K726" i="10"/>
  <c r="L727" i="10"/>
  <c r="K1988" i="11" l="1"/>
  <c r="J1987" i="11"/>
  <c r="J1839" i="11"/>
  <c r="K1840" i="11"/>
  <c r="J1840" i="11" s="1"/>
  <c r="K1766" i="11"/>
  <c r="J1766" i="11" s="1"/>
  <c r="J1765" i="11"/>
  <c r="J1690" i="11"/>
  <c r="K1691" i="11"/>
  <c r="J1617" i="11"/>
  <c r="K1618" i="11"/>
  <c r="J1618" i="11" s="1"/>
  <c r="K1913" i="11"/>
  <c r="J1913" i="11" s="1"/>
  <c r="J430" i="11"/>
  <c r="K431" i="11"/>
  <c r="K580" i="11"/>
  <c r="J580" i="11" s="1"/>
  <c r="J579" i="11"/>
  <c r="K875" i="11"/>
  <c r="J874" i="11"/>
  <c r="J208" i="11"/>
  <c r="K209" i="11"/>
  <c r="J209" i="11" s="1"/>
  <c r="J1245" i="11"/>
  <c r="K1246" i="11"/>
  <c r="J1246" i="11" s="1"/>
  <c r="J949" i="11"/>
  <c r="K950" i="11"/>
  <c r="J950" i="11" s="1"/>
  <c r="K1319" i="11"/>
  <c r="J1318" i="11"/>
  <c r="K1468" i="11"/>
  <c r="J1467" i="11"/>
  <c r="K654" i="11"/>
  <c r="J654" i="11" s="1"/>
  <c r="J653" i="11"/>
  <c r="K1098" i="11"/>
  <c r="J1098" i="11" s="1"/>
  <c r="J1097" i="11"/>
  <c r="J1023" i="11"/>
  <c r="K1024" i="11"/>
  <c r="J1024" i="11" s="1"/>
  <c r="K728" i="11"/>
  <c r="J728" i="11" s="1"/>
  <c r="J727" i="11"/>
  <c r="K802" i="11"/>
  <c r="J802" i="11" s="1"/>
  <c r="J801" i="11"/>
  <c r="J505" i="11"/>
  <c r="K506" i="11"/>
  <c r="J506" i="11" s="1"/>
  <c r="J59" i="11"/>
  <c r="K60" i="11"/>
  <c r="J60" i="11" s="1"/>
  <c r="J1394" i="11"/>
  <c r="K1395" i="11"/>
  <c r="J1395" i="11" s="1"/>
  <c r="J357" i="11"/>
  <c r="K358" i="11"/>
  <c r="J358" i="11" s="1"/>
  <c r="J1171" i="11"/>
  <c r="K1172" i="11"/>
  <c r="J1172" i="11" s="1"/>
  <c r="K282" i="11"/>
  <c r="J281" i="11"/>
  <c r="K1543" i="11"/>
  <c r="J1542" i="11"/>
  <c r="J134" i="11"/>
  <c r="K135" i="11"/>
  <c r="J135" i="11" s="1"/>
  <c r="K1468" i="10"/>
  <c r="L1469" i="10"/>
  <c r="K1469" i="10" s="1"/>
  <c r="L1543" i="10"/>
  <c r="K1542" i="10"/>
  <c r="L1395" i="10"/>
  <c r="K1395" i="10" s="1"/>
  <c r="K1394" i="10"/>
  <c r="L1319" i="10"/>
  <c r="K1318" i="10"/>
  <c r="K1245" i="10"/>
  <c r="L1246" i="10"/>
  <c r="K1246" i="10" s="1"/>
  <c r="K1171" i="10"/>
  <c r="L1172" i="10"/>
  <c r="K1172" i="10" s="1"/>
  <c r="L357" i="10"/>
  <c r="K356" i="10"/>
  <c r="K1097" i="10"/>
  <c r="L1098" i="10"/>
  <c r="K1098" i="10" s="1"/>
  <c r="K282" i="10"/>
  <c r="L283" i="10"/>
  <c r="K283" i="10" s="1"/>
  <c r="K652" i="10"/>
  <c r="L653" i="10"/>
  <c r="L580" i="10"/>
  <c r="K580" i="10" s="1"/>
  <c r="K579" i="10"/>
  <c r="L949" i="10"/>
  <c r="K948" i="10"/>
  <c r="K727" i="10"/>
  <c r="L728" i="10"/>
  <c r="K728" i="10" s="1"/>
  <c r="L60" i="10"/>
  <c r="K60" i="10" s="1"/>
  <c r="K59" i="10"/>
  <c r="K1023" i="10"/>
  <c r="L1024" i="10"/>
  <c r="K1024" i="10" s="1"/>
  <c r="L506" i="10"/>
  <c r="K506" i="10" s="1"/>
  <c r="K505" i="10"/>
  <c r="L802" i="10"/>
  <c r="K802" i="10" s="1"/>
  <c r="K801" i="10"/>
  <c r="K431" i="10"/>
  <c r="L432" i="10"/>
  <c r="K432" i="10" s="1"/>
  <c r="L209" i="10"/>
  <c r="K209" i="10" s="1"/>
  <c r="K208" i="10"/>
  <c r="L135" i="10"/>
  <c r="K135" i="10" s="1"/>
  <c r="K134" i="10"/>
  <c r="L876" i="10"/>
  <c r="K876" i="10" s="1"/>
  <c r="K875" i="10"/>
  <c r="K1914" i="11" l="1"/>
  <c r="J1914" i="11" s="1"/>
  <c r="J1691" i="11"/>
  <c r="K1692" i="11"/>
  <c r="J1692" i="11" s="1"/>
  <c r="J1988" i="11"/>
  <c r="K1989" i="11"/>
  <c r="J1989" i="11" s="1"/>
  <c r="J1468" i="11"/>
  <c r="K1469" i="11"/>
  <c r="J1469" i="11" s="1"/>
  <c r="K283" i="11"/>
  <c r="J283" i="11" s="1"/>
  <c r="J282" i="11"/>
  <c r="J875" i="11"/>
  <c r="K876" i="11"/>
  <c r="J876" i="11" s="1"/>
  <c r="J1319" i="11"/>
  <c r="K1320" i="11"/>
  <c r="J1320" i="11" s="1"/>
  <c r="J1543" i="11"/>
  <c r="K1544" i="11"/>
  <c r="J1544" i="11" s="1"/>
  <c r="K432" i="11"/>
  <c r="J432" i="11" s="1"/>
  <c r="J431" i="11"/>
  <c r="K1543" i="10"/>
  <c r="L1544" i="10"/>
  <c r="K1544" i="10" s="1"/>
  <c r="K1319" i="10"/>
  <c r="L1320" i="10"/>
  <c r="K1320" i="10" s="1"/>
  <c r="L654" i="10"/>
  <c r="K654" i="10" s="1"/>
  <c r="K653" i="10"/>
  <c r="L950" i="10"/>
  <c r="K950" i="10" s="1"/>
  <c r="K949" i="10"/>
  <c r="K357" i="10"/>
  <c r="L358" i="10"/>
  <c r="K358" i="10" s="1"/>
  <c r="D1053" i="9" l="1"/>
  <c r="G1053" i="9" s="1"/>
  <c r="L1055" i="9" s="1"/>
  <c r="L1108" i="9"/>
  <c r="D1108" i="9"/>
  <c r="W1071" i="9"/>
  <c r="Y1055" i="9"/>
  <c r="Z1055" i="9" s="1"/>
  <c r="J1048" i="9"/>
  <c r="H1048" i="9"/>
  <c r="F1047" i="9"/>
  <c r="D1042" i="9"/>
  <c r="W997" i="9"/>
  <c r="Y986" i="9"/>
  <c r="Y987" i="9"/>
  <c r="Y988" i="9"/>
  <c r="Y989" i="9"/>
  <c r="Y990" i="9"/>
  <c r="Y991" i="9"/>
  <c r="Y992" i="9"/>
  <c r="Y993" i="9"/>
  <c r="Y994" i="9"/>
  <c r="Y995" i="9"/>
  <c r="Y996" i="9"/>
  <c r="Y997" i="9"/>
  <c r="Y998" i="9"/>
  <c r="Y983" i="9"/>
  <c r="Y984" i="9"/>
  <c r="Y985" i="9"/>
  <c r="Y999" i="9"/>
  <c r="Y1000" i="9"/>
  <c r="Y1001" i="9"/>
  <c r="Y1002" i="9"/>
  <c r="Y1003" i="9"/>
  <c r="Y1004" i="9"/>
  <c r="Y1005" i="9"/>
  <c r="Y1006" i="9"/>
  <c r="Y1007" i="9"/>
  <c r="Y1008" i="9"/>
  <c r="Y1009" i="9"/>
  <c r="Y1010" i="9"/>
  <c r="Y1011" i="9"/>
  <c r="Y1012" i="9"/>
  <c r="Y1013" i="9"/>
  <c r="Y1014" i="9"/>
  <c r="Y1015" i="9"/>
  <c r="Y1016" i="9"/>
  <c r="Y1017" i="9"/>
  <c r="Y1018" i="9"/>
  <c r="Y1019" i="9"/>
  <c r="Y1020" i="9"/>
  <c r="Y1021" i="9"/>
  <c r="Y1022" i="9"/>
  <c r="Y1023" i="9"/>
  <c r="Y982" i="9"/>
  <c r="D979" i="9"/>
  <c r="V979" i="9" s="1"/>
  <c r="L1034" i="9"/>
  <c r="D1034" i="9"/>
  <c r="Y981" i="9"/>
  <c r="J974" i="9"/>
  <c r="H974" i="9"/>
  <c r="F973" i="9"/>
  <c r="D968" i="9"/>
  <c r="Y914" i="9"/>
  <c r="Y915" i="9"/>
  <c r="Y916" i="9"/>
  <c r="Y917" i="9"/>
  <c r="Y918" i="9"/>
  <c r="Y919" i="9"/>
  <c r="Y920" i="9"/>
  <c r="Y921" i="9"/>
  <c r="Y922" i="9"/>
  <c r="Y923" i="9"/>
  <c r="Y924" i="9"/>
  <c r="Y925" i="9"/>
  <c r="Y926" i="9"/>
  <c r="Y927" i="9"/>
  <c r="Y928" i="9"/>
  <c r="Y929" i="9"/>
  <c r="Y930" i="9"/>
  <c r="Y931" i="9"/>
  <c r="Y932" i="9"/>
  <c r="Y933" i="9"/>
  <c r="Y934" i="9"/>
  <c r="Y935" i="9"/>
  <c r="Y936" i="9"/>
  <c r="Y937" i="9"/>
  <c r="Y938" i="9"/>
  <c r="Y939" i="9"/>
  <c r="Y940" i="9"/>
  <c r="Y941" i="9"/>
  <c r="Y942" i="9"/>
  <c r="Y943" i="9"/>
  <c r="Y944" i="9"/>
  <c r="Y945" i="9"/>
  <c r="Y946" i="9"/>
  <c r="Y947" i="9"/>
  <c r="Y948" i="9"/>
  <c r="Y949" i="9"/>
  <c r="Y907" i="9"/>
  <c r="Y908" i="9"/>
  <c r="Y909" i="9"/>
  <c r="Y910" i="9"/>
  <c r="Y911" i="9"/>
  <c r="Y912" i="9"/>
  <c r="P913" i="9"/>
  <c r="Y913" i="9" s="1"/>
  <c r="D905" i="9"/>
  <c r="V905" i="9" s="1"/>
  <c r="L960" i="9"/>
  <c r="D960" i="9"/>
  <c r="J900" i="9"/>
  <c r="H900" i="9"/>
  <c r="F899" i="9"/>
  <c r="D894" i="9"/>
  <c r="D831" i="9"/>
  <c r="V831" i="9" s="1"/>
  <c r="L886" i="9"/>
  <c r="D886" i="9"/>
  <c r="Y875" i="9"/>
  <c r="Z875" i="9" s="1"/>
  <c r="Y874" i="9"/>
  <c r="Z874" i="9" s="1"/>
  <c r="Y873" i="9"/>
  <c r="Z873" i="9" s="1"/>
  <c r="Y872" i="9"/>
  <c r="Z872" i="9" s="1"/>
  <c r="Y871" i="9"/>
  <c r="Z871" i="9" s="1"/>
  <c r="Y870" i="9"/>
  <c r="Z870" i="9" s="1"/>
  <c r="Y869" i="9"/>
  <c r="Z869" i="9" s="1"/>
  <c r="Y868" i="9"/>
  <c r="Z868" i="9" s="1"/>
  <c r="Y867" i="9"/>
  <c r="Z867" i="9" s="1"/>
  <c r="Y866" i="9"/>
  <c r="Z866" i="9"/>
  <c r="Y865" i="9"/>
  <c r="Z865" i="9" s="1"/>
  <c r="Y864" i="9"/>
  <c r="Z864" i="9" s="1"/>
  <c r="Y863" i="9"/>
  <c r="Z863" i="9" s="1"/>
  <c r="Y862" i="9"/>
  <c r="Z862" i="9" s="1"/>
  <c r="Y861" i="9"/>
  <c r="Z861" i="9" s="1"/>
  <c r="Y860" i="9"/>
  <c r="Z860" i="9" s="1"/>
  <c r="Y859" i="9"/>
  <c r="Z859" i="9" s="1"/>
  <c r="Y858" i="9"/>
  <c r="Z858" i="9" s="1"/>
  <c r="Y857" i="9"/>
  <c r="Z857" i="9" s="1"/>
  <c r="Y856" i="9"/>
  <c r="Z856" i="9" s="1"/>
  <c r="Y855" i="9"/>
  <c r="Z855" i="9" s="1"/>
  <c r="Y854" i="9"/>
  <c r="Z854" i="9" s="1"/>
  <c r="Y853" i="9"/>
  <c r="Z853" i="9" s="1"/>
  <c r="Y852" i="9"/>
  <c r="Z852" i="9" s="1"/>
  <c r="Y851" i="9"/>
  <c r="Z851" i="9" s="1"/>
  <c r="Y849" i="9"/>
  <c r="Z849" i="9" s="1"/>
  <c r="Y848" i="9"/>
  <c r="Z848" i="9" s="1"/>
  <c r="Y847" i="9"/>
  <c r="Z847" i="9" s="1"/>
  <c r="Y846" i="9"/>
  <c r="Z846" i="9" s="1"/>
  <c r="Y845" i="9"/>
  <c r="Z845" i="9" s="1"/>
  <c r="Y844" i="9"/>
  <c r="Z844" i="9" s="1"/>
  <c r="Y843" i="9"/>
  <c r="Z843" i="9" s="1"/>
  <c r="Y842" i="9"/>
  <c r="Z842" i="9" s="1"/>
  <c r="Y841" i="9"/>
  <c r="Z841" i="9" s="1"/>
  <c r="Y840" i="9"/>
  <c r="Z840" i="9" s="1"/>
  <c r="Y839" i="9"/>
  <c r="Z839" i="9" s="1"/>
  <c r="Y838" i="9"/>
  <c r="Z838" i="9" s="1"/>
  <c r="Y837" i="9"/>
  <c r="Z837" i="9" s="1"/>
  <c r="Y836" i="9"/>
  <c r="Z836" i="9" s="1"/>
  <c r="Y835" i="9"/>
  <c r="Z835" i="9" s="1"/>
  <c r="Y834" i="9"/>
  <c r="Z834" i="9" s="1"/>
  <c r="Y833" i="9"/>
  <c r="Z833" i="9" s="1"/>
  <c r="J826" i="9"/>
  <c r="H826" i="9"/>
  <c r="F825" i="9"/>
  <c r="D820" i="9"/>
  <c r="Y759" i="9"/>
  <c r="Y760" i="9"/>
  <c r="Y761" i="9"/>
  <c r="Y762" i="9"/>
  <c r="Y763" i="9"/>
  <c r="Y764" i="9"/>
  <c r="Y765" i="9"/>
  <c r="Y766" i="9"/>
  <c r="Y767" i="9"/>
  <c r="Y768" i="9"/>
  <c r="Y769" i="9"/>
  <c r="Y770" i="9"/>
  <c r="Y771" i="9"/>
  <c r="Y772" i="9"/>
  <c r="Y773" i="9"/>
  <c r="Y774" i="9"/>
  <c r="Y775" i="9"/>
  <c r="Y777" i="9"/>
  <c r="Y779" i="9"/>
  <c r="Y780" i="9"/>
  <c r="Y781" i="9"/>
  <c r="Y782" i="9"/>
  <c r="Y783" i="9"/>
  <c r="Y784" i="9"/>
  <c r="Y785" i="9"/>
  <c r="Y786" i="9"/>
  <c r="Y787" i="9"/>
  <c r="Y789" i="9"/>
  <c r="Y790" i="9"/>
  <c r="Y791" i="9"/>
  <c r="Y792" i="9"/>
  <c r="Y793" i="9"/>
  <c r="Y794" i="9"/>
  <c r="Y795" i="9"/>
  <c r="Y796" i="9"/>
  <c r="Y797" i="9"/>
  <c r="Y798" i="9"/>
  <c r="Y799" i="9"/>
  <c r="Y800" i="9"/>
  <c r="Y801" i="9"/>
  <c r="D757" i="9"/>
  <c r="G757" i="9" s="1"/>
  <c r="L759" i="9" s="1"/>
  <c r="L812" i="9"/>
  <c r="D812" i="9"/>
  <c r="J752" i="9"/>
  <c r="H752" i="9"/>
  <c r="F751" i="9"/>
  <c r="D746" i="9"/>
  <c r="D683" i="9"/>
  <c r="E683" i="9" s="1"/>
  <c r="L738" i="9"/>
  <c r="D738" i="9"/>
  <c r="Y727" i="9"/>
  <c r="Z727" i="9" s="1"/>
  <c r="Y726" i="9"/>
  <c r="Z726" i="9" s="1"/>
  <c r="Y725" i="9"/>
  <c r="Z725" i="9" s="1"/>
  <c r="Y724" i="9"/>
  <c r="Z724" i="9" s="1"/>
  <c r="Y723" i="9"/>
  <c r="Z723" i="9" s="1"/>
  <c r="Y722" i="9"/>
  <c r="Z722" i="9" s="1"/>
  <c r="Y721" i="9"/>
  <c r="Z721" i="9" s="1"/>
  <c r="Y720" i="9"/>
  <c r="Z720" i="9" s="1"/>
  <c r="Y719" i="9"/>
  <c r="Z719" i="9" s="1"/>
  <c r="Y718" i="9"/>
  <c r="Z718" i="9" s="1"/>
  <c r="Y717" i="9"/>
  <c r="Z717" i="9" s="1"/>
  <c r="Y716" i="9"/>
  <c r="Z716" i="9" s="1"/>
  <c r="Y715" i="9"/>
  <c r="Z715" i="9" s="1"/>
  <c r="Y714" i="9"/>
  <c r="Z714" i="9" s="1"/>
  <c r="Y713" i="9"/>
  <c r="Z713" i="9" s="1"/>
  <c r="Y712" i="9"/>
  <c r="Z712" i="9" s="1"/>
  <c r="Y711" i="9"/>
  <c r="Z711" i="9" s="1"/>
  <c r="Y710" i="9"/>
  <c r="Z710" i="9" s="1"/>
  <c r="Y709" i="9"/>
  <c r="Z709" i="9" s="1"/>
  <c r="Y708" i="9"/>
  <c r="Z708" i="9" s="1"/>
  <c r="Y707" i="9"/>
  <c r="Z707" i="9" s="1"/>
  <c r="Y706" i="9"/>
  <c r="Z706" i="9" s="1"/>
  <c r="Y705" i="9"/>
  <c r="Z705" i="9" s="1"/>
  <c r="Y704" i="9"/>
  <c r="Z704" i="9" s="1"/>
  <c r="Y703" i="9"/>
  <c r="Z703" i="9" s="1"/>
  <c r="Y702" i="9"/>
  <c r="Z702" i="9" s="1"/>
  <c r="Y701" i="9"/>
  <c r="Z701" i="9" s="1"/>
  <c r="Y700" i="9"/>
  <c r="Z700" i="9" s="1"/>
  <c r="Y699" i="9"/>
  <c r="Z699" i="9" s="1"/>
  <c r="Y698" i="9"/>
  <c r="Z698" i="9" s="1"/>
  <c r="Y697" i="9"/>
  <c r="Z697" i="9" s="1"/>
  <c r="Y696" i="9"/>
  <c r="Z696" i="9" s="1"/>
  <c r="Y695" i="9"/>
  <c r="Z695" i="9" s="1"/>
  <c r="Y694" i="9"/>
  <c r="Z694" i="9" s="1"/>
  <c r="Y693" i="9"/>
  <c r="Z693" i="9" s="1"/>
  <c r="Y692" i="9"/>
  <c r="Z692" i="9" s="1"/>
  <c r="Y691" i="9"/>
  <c r="Z691" i="9" s="1"/>
  <c r="Y690" i="9"/>
  <c r="Z690" i="9" s="1"/>
  <c r="Y689" i="9"/>
  <c r="Z689" i="9" s="1"/>
  <c r="Y688" i="9"/>
  <c r="Z688" i="9" s="1"/>
  <c r="Y687" i="9"/>
  <c r="Z687" i="9" s="1"/>
  <c r="Y686" i="9"/>
  <c r="Z686" i="9" s="1"/>
  <c r="Y685" i="9"/>
  <c r="J678" i="9"/>
  <c r="H678" i="9"/>
  <c r="F677" i="9"/>
  <c r="D672" i="9"/>
  <c r="Y644" i="9"/>
  <c r="D609" i="9"/>
  <c r="V609" i="9" s="1"/>
  <c r="L664" i="9"/>
  <c r="D664" i="9"/>
  <c r="Y653" i="9"/>
  <c r="Y652" i="9"/>
  <c r="Y651" i="9"/>
  <c r="Y650" i="9"/>
  <c r="Y649" i="9"/>
  <c r="Y648" i="9"/>
  <c r="Y647" i="9"/>
  <c r="Y646" i="9"/>
  <c r="Y645" i="9"/>
  <c r="Y643" i="9"/>
  <c r="Y642" i="9"/>
  <c r="Y641" i="9"/>
  <c r="Y640" i="9"/>
  <c r="Y639" i="9"/>
  <c r="Y637" i="9"/>
  <c r="Y636" i="9"/>
  <c r="Y635" i="9"/>
  <c r="Y634" i="9"/>
  <c r="Y633" i="9"/>
  <c r="Y632" i="9"/>
  <c r="Y631" i="9"/>
  <c r="Y630" i="9"/>
  <c r="Y629" i="9"/>
  <c r="Y628" i="9"/>
  <c r="Y627" i="9"/>
  <c r="Y626" i="9"/>
  <c r="Y625" i="9"/>
  <c r="Y624" i="9"/>
  <c r="Y623" i="9"/>
  <c r="Y622" i="9"/>
  <c r="Y621" i="9"/>
  <c r="Y620" i="9"/>
  <c r="Y619" i="9"/>
  <c r="Y618" i="9"/>
  <c r="Y617" i="9"/>
  <c r="Y616" i="9"/>
  <c r="Y615" i="9"/>
  <c r="Y614" i="9"/>
  <c r="Y613" i="9"/>
  <c r="Y612" i="9"/>
  <c r="Y611" i="9"/>
  <c r="Z611" i="9" s="1"/>
  <c r="J604" i="9"/>
  <c r="H604" i="9"/>
  <c r="F603" i="9"/>
  <c r="D598" i="9"/>
  <c r="Y571" i="9"/>
  <c r="Y572" i="9"/>
  <c r="Y573" i="9"/>
  <c r="Y574" i="9"/>
  <c r="Y575" i="9"/>
  <c r="Y576" i="9"/>
  <c r="Y577" i="9"/>
  <c r="Y578" i="9"/>
  <c r="Y579" i="9"/>
  <c r="Y553" i="9"/>
  <c r="Y554" i="9"/>
  <c r="Y555" i="9"/>
  <c r="Y556" i="9"/>
  <c r="Y557" i="9"/>
  <c r="Y558" i="9"/>
  <c r="Y559" i="9"/>
  <c r="Y560" i="9"/>
  <c r="Y561" i="9"/>
  <c r="Y562" i="9"/>
  <c r="Y563" i="9"/>
  <c r="Y564" i="9"/>
  <c r="Y565" i="9"/>
  <c r="Y566" i="9"/>
  <c r="Y567" i="9"/>
  <c r="Y568" i="9"/>
  <c r="Y569" i="9"/>
  <c r="Y570" i="9"/>
  <c r="Y552" i="9"/>
  <c r="Y551" i="9"/>
  <c r="D535" i="9"/>
  <c r="V535" i="9" s="1"/>
  <c r="L590" i="9"/>
  <c r="D590" i="9"/>
  <c r="Y550" i="9"/>
  <c r="Y549" i="9"/>
  <c r="Y548" i="9"/>
  <c r="Y547" i="9"/>
  <c r="Y546" i="9"/>
  <c r="Y545" i="9"/>
  <c r="Y544" i="9"/>
  <c r="Y543" i="9"/>
  <c r="Y542" i="9"/>
  <c r="Y541" i="9"/>
  <c r="Y540" i="9"/>
  <c r="Y539" i="9"/>
  <c r="Y538" i="9"/>
  <c r="Y537" i="9"/>
  <c r="J530" i="9"/>
  <c r="H530" i="9"/>
  <c r="F529" i="9"/>
  <c r="D524" i="9"/>
  <c r="T470" i="9"/>
  <c r="T471" i="9"/>
  <c r="T472" i="9"/>
  <c r="T473" i="9"/>
  <c r="T474" i="9"/>
  <c r="T475" i="9"/>
  <c r="T476" i="9"/>
  <c r="T477" i="9"/>
  <c r="T478" i="9"/>
  <c r="T479" i="9"/>
  <c r="T480" i="9"/>
  <c r="T481" i="9"/>
  <c r="T482" i="9"/>
  <c r="T483" i="9"/>
  <c r="T484" i="9"/>
  <c r="T485" i="9"/>
  <c r="T486" i="9"/>
  <c r="T487" i="9"/>
  <c r="T488" i="9"/>
  <c r="T489" i="9"/>
  <c r="T490" i="9"/>
  <c r="T491" i="9"/>
  <c r="T492" i="9"/>
  <c r="T493" i="9"/>
  <c r="T494" i="9"/>
  <c r="T495" i="9"/>
  <c r="T496" i="9"/>
  <c r="T497" i="9"/>
  <c r="T498" i="9"/>
  <c r="T500" i="9"/>
  <c r="T501" i="9"/>
  <c r="T502" i="9"/>
  <c r="T503" i="9"/>
  <c r="T504" i="9"/>
  <c r="T505" i="9"/>
  <c r="T463" i="9"/>
  <c r="T464" i="9"/>
  <c r="T465" i="9"/>
  <c r="T466" i="9"/>
  <c r="T467" i="9"/>
  <c r="T468" i="9"/>
  <c r="R499" i="9"/>
  <c r="T499" i="9" s="1"/>
  <c r="R469" i="9"/>
  <c r="T469" i="9" s="1"/>
  <c r="Y499" i="9"/>
  <c r="Y469" i="9"/>
  <c r="Z469" i="9" s="1"/>
  <c r="Y496" i="9"/>
  <c r="Z496" i="9" s="1"/>
  <c r="D461" i="9"/>
  <c r="V461" i="9" s="1"/>
  <c r="L516" i="9"/>
  <c r="D516" i="9"/>
  <c r="Y505" i="9"/>
  <c r="Z505" i="9" s="1"/>
  <c r="Y504" i="9"/>
  <c r="Z504" i="9" s="1"/>
  <c r="Y503" i="9"/>
  <c r="Z503" i="9" s="1"/>
  <c r="Y502" i="9"/>
  <c r="Y501" i="9"/>
  <c r="Z501" i="9" s="1"/>
  <c r="Y500" i="9"/>
  <c r="Y498" i="9"/>
  <c r="Z498" i="9" s="1"/>
  <c r="Y497" i="9"/>
  <c r="Z497" i="9" s="1"/>
  <c r="Y495" i="9"/>
  <c r="Y494" i="9"/>
  <c r="Z494" i="9" s="1"/>
  <c r="Y493" i="9"/>
  <c r="Z493" i="9" s="1"/>
  <c r="Y492" i="9"/>
  <c r="Z492" i="9" s="1"/>
  <c r="Y491" i="9"/>
  <c r="Z491" i="9" s="1"/>
  <c r="Y490" i="9"/>
  <c r="Z490" i="9" s="1"/>
  <c r="Y489" i="9"/>
  <c r="Z489" i="9" s="1"/>
  <c r="Y488" i="9"/>
  <c r="Y487" i="9"/>
  <c r="Z487" i="9" s="1"/>
  <c r="Y486" i="9"/>
  <c r="Z486" i="9" s="1"/>
  <c r="Y485" i="9"/>
  <c r="Z485" i="9" s="1"/>
  <c r="Y484" i="9"/>
  <c r="Y483" i="9"/>
  <c r="Z483" i="9" s="1"/>
  <c r="Y482" i="9"/>
  <c r="Z482" i="9" s="1"/>
  <c r="Y481" i="9"/>
  <c r="Z481" i="9" s="1"/>
  <c r="Y480" i="9"/>
  <c r="Y479" i="9"/>
  <c r="Z479" i="9" s="1"/>
  <c r="Y478" i="9"/>
  <c r="Z478" i="9" s="1"/>
  <c r="Y477" i="9"/>
  <c r="Z477" i="9" s="1"/>
  <c r="Y476" i="9"/>
  <c r="Y475" i="9"/>
  <c r="Z475" i="9" s="1"/>
  <c r="Y474" i="9"/>
  <c r="Z474" i="9" s="1"/>
  <c r="Y473" i="9"/>
  <c r="Z473" i="9" s="1"/>
  <c r="Y472" i="9"/>
  <c r="Z472" i="9" s="1"/>
  <c r="Y471" i="9"/>
  <c r="Z471" i="9" s="1"/>
  <c r="Y470" i="9"/>
  <c r="Z470" i="9" s="1"/>
  <c r="Y468" i="9"/>
  <c r="Y467" i="9"/>
  <c r="Y466" i="9"/>
  <c r="Z466" i="9" s="1"/>
  <c r="Y465" i="9"/>
  <c r="Y464" i="9"/>
  <c r="Y463" i="9"/>
  <c r="Z463" i="9" s="1"/>
  <c r="J456" i="9"/>
  <c r="H456" i="9"/>
  <c r="F455" i="9"/>
  <c r="D450" i="9"/>
  <c r="D387" i="9"/>
  <c r="V387" i="9" s="1"/>
  <c r="D313" i="9"/>
  <c r="G313" i="9" s="1"/>
  <c r="L315" i="9" s="1"/>
  <c r="D238" i="9"/>
  <c r="V238" i="9" s="1"/>
  <c r="L442" i="9"/>
  <c r="D442" i="9"/>
  <c r="Y431" i="9"/>
  <c r="Y430" i="9"/>
  <c r="Y429" i="9"/>
  <c r="Y428" i="9"/>
  <c r="Y427" i="9"/>
  <c r="Y426" i="9"/>
  <c r="Y424" i="9"/>
  <c r="Y423" i="9"/>
  <c r="Y421" i="9"/>
  <c r="Y420" i="9"/>
  <c r="Y419" i="9"/>
  <c r="Y418" i="9"/>
  <c r="Y417" i="9"/>
  <c r="Y416" i="9"/>
  <c r="Y415" i="9"/>
  <c r="Y414" i="9"/>
  <c r="Y413" i="9"/>
  <c r="Y412" i="9"/>
  <c r="Y411" i="9"/>
  <c r="Y410" i="9"/>
  <c r="Y409" i="9"/>
  <c r="Y408" i="9"/>
  <c r="Y407" i="9"/>
  <c r="Y406" i="9"/>
  <c r="Y405" i="9"/>
  <c r="Y404" i="9"/>
  <c r="Y403" i="9"/>
  <c r="Y402" i="9"/>
  <c r="Y401" i="9"/>
  <c r="Y400" i="9"/>
  <c r="Y399" i="9"/>
  <c r="Y398" i="9"/>
  <c r="Y397" i="9"/>
  <c r="Y396" i="9"/>
  <c r="Y395" i="9"/>
  <c r="Y394" i="9"/>
  <c r="Y393" i="9"/>
  <c r="Y392" i="9"/>
  <c r="Y391" i="9"/>
  <c r="Y390" i="9"/>
  <c r="Y389" i="9"/>
  <c r="J382" i="9"/>
  <c r="H382" i="9"/>
  <c r="F381" i="9"/>
  <c r="D376" i="9"/>
  <c r="L368" i="9"/>
  <c r="D368" i="9"/>
  <c r="Y357" i="9"/>
  <c r="Y356" i="9"/>
  <c r="Y355" i="9"/>
  <c r="Y353" i="9"/>
  <c r="Y352" i="9"/>
  <c r="Y350" i="9"/>
  <c r="Y349" i="9"/>
  <c r="Y348" i="9"/>
  <c r="Y347" i="9"/>
  <c r="Y344" i="9"/>
  <c r="Y343" i="9"/>
  <c r="Y341" i="9"/>
  <c r="Y337" i="9"/>
  <c r="Y336" i="9"/>
  <c r="Y335" i="9"/>
  <c r="Y334" i="9"/>
  <c r="Y333" i="9"/>
  <c r="Y332" i="9"/>
  <c r="Y331" i="9"/>
  <c r="Y328" i="9"/>
  <c r="Y325" i="9"/>
  <c r="Y323" i="9"/>
  <c r="Y319" i="9"/>
  <c r="Y318" i="9"/>
  <c r="Y317" i="9"/>
  <c r="Y316" i="9"/>
  <c r="Y315" i="9"/>
  <c r="J308" i="9"/>
  <c r="H308" i="9"/>
  <c r="F307" i="9"/>
  <c r="D302" i="9"/>
  <c r="L293" i="9"/>
  <c r="D293" i="9"/>
  <c r="Y281" i="9"/>
  <c r="Y280" i="9"/>
  <c r="Y279" i="9"/>
  <c r="Y277" i="9"/>
  <c r="Y275" i="9"/>
  <c r="Y274" i="9"/>
  <c r="Y273" i="9"/>
  <c r="Y272" i="9"/>
  <c r="Y271" i="9"/>
  <c r="Y270" i="9"/>
  <c r="Y268" i="9"/>
  <c r="Y266" i="9"/>
  <c r="Y265" i="9"/>
  <c r="Y264" i="9"/>
  <c r="Y263" i="9"/>
  <c r="Y260" i="9"/>
  <c r="Y258" i="9"/>
  <c r="Y257" i="9"/>
  <c r="Y256" i="9"/>
  <c r="Y252" i="9"/>
  <c r="Y251" i="9"/>
  <c r="Y250" i="9"/>
  <c r="Y247" i="9"/>
  <c r="Y245" i="9"/>
  <c r="Y243" i="9"/>
  <c r="J233" i="9"/>
  <c r="H233" i="9"/>
  <c r="F232" i="9"/>
  <c r="D227" i="9"/>
  <c r="D164" i="9"/>
  <c r="V164" i="9" s="1"/>
  <c r="L219" i="9"/>
  <c r="D219" i="9"/>
  <c r="Y208" i="9"/>
  <c r="Y207" i="9"/>
  <c r="Y206" i="9"/>
  <c r="Y204" i="9"/>
  <c r="Y203" i="9"/>
  <c r="Y201" i="9"/>
  <c r="Y200" i="9"/>
  <c r="Y199" i="9"/>
  <c r="Y198" i="9"/>
  <c r="Y195" i="9"/>
  <c r="Y194" i="9"/>
  <c r="Y192" i="9"/>
  <c r="Y190" i="9"/>
  <c r="Y189" i="9"/>
  <c r="Y188" i="9"/>
  <c r="Y187" i="9"/>
  <c r="Y186" i="9"/>
  <c r="Y185" i="9"/>
  <c r="Y184" i="9"/>
  <c r="Y182" i="9"/>
  <c r="Y181" i="9"/>
  <c r="Y180" i="9"/>
  <c r="Y179" i="9"/>
  <c r="Y176" i="9"/>
  <c r="Y174" i="9"/>
  <c r="Y170" i="9"/>
  <c r="Y169" i="9"/>
  <c r="Y168" i="9"/>
  <c r="Y167" i="9"/>
  <c r="J159" i="9"/>
  <c r="H159" i="9"/>
  <c r="F158" i="9"/>
  <c r="D153" i="9"/>
  <c r="T507" i="9" l="1"/>
  <c r="V1053" i="9"/>
  <c r="G238" i="9"/>
  <c r="L240" i="9" s="1"/>
  <c r="L246" i="9" s="1"/>
  <c r="L1056" i="9"/>
  <c r="L1061" i="9"/>
  <c r="K1055" i="9"/>
  <c r="E1053" i="9"/>
  <c r="V757" i="9"/>
  <c r="E979" i="9"/>
  <c r="G979" i="9"/>
  <c r="L981" i="9" s="1"/>
  <c r="L982" i="9" s="1"/>
  <c r="V313" i="9"/>
  <c r="E905" i="9"/>
  <c r="G905" i="9"/>
  <c r="L907" i="9" s="1"/>
  <c r="E238" i="9"/>
  <c r="E831" i="9"/>
  <c r="G831" i="9"/>
  <c r="L833" i="9" s="1"/>
  <c r="E313" i="9"/>
  <c r="E461" i="9"/>
  <c r="Y850" i="9"/>
  <c r="Z850" i="9" s="1"/>
  <c r="E757" i="9"/>
  <c r="L760" i="9"/>
  <c r="L765" i="9"/>
  <c r="K759" i="9"/>
  <c r="V683" i="9"/>
  <c r="G683" i="9"/>
  <c r="L685" i="9" s="1"/>
  <c r="G461" i="9"/>
  <c r="L463" i="9" s="1"/>
  <c r="L464" i="9" s="1"/>
  <c r="E609" i="9"/>
  <c r="G609" i="9"/>
  <c r="L611" i="9" s="1"/>
  <c r="E535" i="9"/>
  <c r="G535" i="9"/>
  <c r="L537" i="9" s="1"/>
  <c r="Z484" i="9"/>
  <c r="Z502" i="9"/>
  <c r="Z465" i="9"/>
  <c r="Z480" i="9"/>
  <c r="Z488" i="9"/>
  <c r="Z464" i="9"/>
  <c r="Z495" i="9"/>
  <c r="Z467" i="9"/>
  <c r="Z468" i="9"/>
  <c r="Z499" i="9"/>
  <c r="Z476" i="9"/>
  <c r="Z500" i="9"/>
  <c r="E387" i="9"/>
  <c r="Y320" i="9"/>
  <c r="Y269" i="9"/>
  <c r="Y282" i="9"/>
  <c r="Y345" i="9"/>
  <c r="Y340" i="9"/>
  <c r="Y278" i="9"/>
  <c r="Y324" i="9"/>
  <c r="G387" i="9"/>
  <c r="L389" i="9" s="1"/>
  <c r="L390" i="9" s="1"/>
  <c r="L321" i="9"/>
  <c r="K315" i="9"/>
  <c r="L316" i="9"/>
  <c r="Y240" i="9"/>
  <c r="Y326" i="9"/>
  <c r="Y354" i="9"/>
  <c r="Y425" i="9"/>
  <c r="Y248" i="9"/>
  <c r="Y241" i="9"/>
  <c r="Y267" i="9"/>
  <c r="Y342" i="9"/>
  <c r="Y246" i="9"/>
  <c r="Y253" i="9"/>
  <c r="Y244" i="9"/>
  <c r="Y242" i="9"/>
  <c r="Y249" i="9"/>
  <c r="Y254" i="9"/>
  <c r="Y276" i="9"/>
  <c r="E164" i="9"/>
  <c r="G164" i="9"/>
  <c r="L166" i="9" s="1"/>
  <c r="K166" i="9" s="1"/>
  <c r="K240" i="9" l="1"/>
  <c r="L241" i="9"/>
  <c r="L242" i="9" s="1"/>
  <c r="K1061" i="9"/>
  <c r="L1062" i="9"/>
  <c r="K1056" i="9"/>
  <c r="L1057" i="9"/>
  <c r="K981" i="9"/>
  <c r="L987" i="9"/>
  <c r="K987" i="9" s="1"/>
  <c r="K982" i="9"/>
  <c r="L983" i="9"/>
  <c r="L908" i="9"/>
  <c r="L913" i="9"/>
  <c r="K907" i="9"/>
  <c r="L834" i="9"/>
  <c r="L839" i="9"/>
  <c r="K833" i="9"/>
  <c r="L761" i="9"/>
  <c r="K760" i="9"/>
  <c r="L766" i="9"/>
  <c r="K765" i="9"/>
  <c r="L686" i="9"/>
  <c r="L691" i="9"/>
  <c r="K685" i="9"/>
  <c r="L469" i="9"/>
  <c r="L470" i="9" s="1"/>
  <c r="L612" i="9"/>
  <c r="L617" i="9"/>
  <c r="K611" i="9"/>
  <c r="K463" i="9"/>
  <c r="L538" i="9"/>
  <c r="K537" i="9"/>
  <c r="L543" i="9"/>
  <c r="T509" i="9"/>
  <c r="W461" i="9" s="1"/>
  <c r="K464" i="9"/>
  <c r="L465" i="9"/>
  <c r="K389" i="9"/>
  <c r="L395" i="9"/>
  <c r="L396" i="9" s="1"/>
  <c r="K316" i="9"/>
  <c r="L317" i="9"/>
  <c r="K321" i="9"/>
  <c r="L322" i="9"/>
  <c r="K390" i="9"/>
  <c r="L391" i="9"/>
  <c r="L247" i="9"/>
  <c r="K246" i="9"/>
  <c r="L172" i="9"/>
  <c r="K172" i="9" s="1"/>
  <c r="L167" i="9"/>
  <c r="L168" i="9" s="1"/>
  <c r="K241" i="9" l="1"/>
  <c r="L1058" i="9"/>
  <c r="K1057" i="9"/>
  <c r="L1067" i="9"/>
  <c r="L1063" i="9"/>
  <c r="K1062" i="9"/>
  <c r="L988" i="9"/>
  <c r="K988" i="9" s="1"/>
  <c r="L984" i="9"/>
  <c r="K983" i="9"/>
  <c r="K913" i="9"/>
  <c r="L914" i="9"/>
  <c r="K908" i="9"/>
  <c r="L909" i="9"/>
  <c r="L840" i="9"/>
  <c r="K839" i="9"/>
  <c r="K834" i="9"/>
  <c r="L835" i="9"/>
  <c r="L767" i="9"/>
  <c r="K766" i="9"/>
  <c r="L771" i="9"/>
  <c r="L762" i="9"/>
  <c r="K761" i="9"/>
  <c r="K691" i="9"/>
  <c r="L692" i="9"/>
  <c r="K686" i="9"/>
  <c r="L687" i="9"/>
  <c r="K469" i="9"/>
  <c r="K612" i="9"/>
  <c r="L613" i="9"/>
  <c r="K617" i="9"/>
  <c r="L618" i="9"/>
  <c r="K543" i="9"/>
  <c r="L544" i="9"/>
  <c r="L539" i="9"/>
  <c r="K538" i="9"/>
  <c r="L475" i="9"/>
  <c r="L471" i="9"/>
  <c r="K470" i="9"/>
  <c r="L466" i="9"/>
  <c r="K465" i="9"/>
  <c r="K395" i="9"/>
  <c r="L252" i="9"/>
  <c r="L248" i="9"/>
  <c r="K247" i="9"/>
  <c r="L392" i="9"/>
  <c r="K391" i="9"/>
  <c r="L397" i="9"/>
  <c r="K396" i="9"/>
  <c r="L401" i="9"/>
  <c r="L323" i="9"/>
  <c r="L327" i="9"/>
  <c r="K322" i="9"/>
  <c r="L318" i="9"/>
  <c r="K317" i="9"/>
  <c r="L243" i="9"/>
  <c r="K242" i="9"/>
  <c r="K167" i="9"/>
  <c r="L173" i="9"/>
  <c r="L174" i="9" s="1"/>
  <c r="L169" i="9"/>
  <c r="K168" i="9"/>
  <c r="L1064" i="9" l="1"/>
  <c r="K1063" i="9"/>
  <c r="K1067" i="9"/>
  <c r="L1068" i="9"/>
  <c r="K1058" i="9"/>
  <c r="L1059" i="9"/>
  <c r="L989" i="9"/>
  <c r="L990" i="9" s="1"/>
  <c r="L993" i="9"/>
  <c r="K993" i="9" s="1"/>
  <c r="K984" i="9"/>
  <c r="L985" i="9"/>
  <c r="L919" i="9"/>
  <c r="L915" i="9"/>
  <c r="K914" i="9"/>
  <c r="L910" i="9"/>
  <c r="K909" i="9"/>
  <c r="L836" i="9"/>
  <c r="K835" i="9"/>
  <c r="K840" i="9"/>
  <c r="L845" i="9"/>
  <c r="L841" i="9"/>
  <c r="L772" i="9"/>
  <c r="K771" i="9"/>
  <c r="K762" i="9"/>
  <c r="L763" i="9"/>
  <c r="L768" i="9"/>
  <c r="K767" i="9"/>
  <c r="L688" i="9"/>
  <c r="K687" i="9"/>
  <c r="L693" i="9"/>
  <c r="K692" i="9"/>
  <c r="L697" i="9"/>
  <c r="L619" i="9"/>
  <c r="K618" i="9"/>
  <c r="L623" i="9"/>
  <c r="L614" i="9"/>
  <c r="K613" i="9"/>
  <c r="K539" i="9"/>
  <c r="L540" i="9"/>
  <c r="L549" i="9"/>
  <c r="L545" i="9"/>
  <c r="K544" i="9"/>
  <c r="L472" i="9"/>
  <c r="K471" i="9"/>
  <c r="K475" i="9"/>
  <c r="L476" i="9"/>
  <c r="L467" i="9"/>
  <c r="K466" i="9"/>
  <c r="L253" i="9"/>
  <c r="K252" i="9"/>
  <c r="L328" i="9"/>
  <c r="K327" i="9"/>
  <c r="K323" i="9"/>
  <c r="L324" i="9"/>
  <c r="K401" i="9"/>
  <c r="L402" i="9"/>
  <c r="L244" i="9"/>
  <c r="K243" i="9"/>
  <c r="K318" i="9"/>
  <c r="L319" i="9"/>
  <c r="L249" i="9"/>
  <c r="K248" i="9"/>
  <c r="L398" i="9"/>
  <c r="K397" i="9"/>
  <c r="K392" i="9"/>
  <c r="L393" i="9"/>
  <c r="K173" i="9"/>
  <c r="L178" i="9"/>
  <c r="K178" i="9" s="1"/>
  <c r="K169" i="9"/>
  <c r="L170" i="9"/>
  <c r="K174" i="9"/>
  <c r="L175" i="9"/>
  <c r="K1059" i="9" l="1"/>
  <c r="L1060" i="9"/>
  <c r="L1069" i="9"/>
  <c r="K1068" i="9"/>
  <c r="K1064" i="9"/>
  <c r="L1065" i="9"/>
  <c r="K1065" i="9" s="1"/>
  <c r="L994" i="9"/>
  <c r="L995" i="9" s="1"/>
  <c r="K989" i="9"/>
  <c r="K990" i="9"/>
  <c r="L991" i="9"/>
  <c r="K991" i="9" s="1"/>
  <c r="K985" i="9"/>
  <c r="L986" i="9"/>
  <c r="L911" i="9"/>
  <c r="K910" i="9"/>
  <c r="L916" i="9"/>
  <c r="K915" i="9"/>
  <c r="L920" i="9"/>
  <c r="K919" i="9"/>
  <c r="L837" i="9"/>
  <c r="K836" i="9"/>
  <c r="K845" i="9"/>
  <c r="L846" i="9"/>
  <c r="L842" i="9"/>
  <c r="K841" i="9"/>
  <c r="L769" i="9"/>
  <c r="K769" i="9" s="1"/>
  <c r="K768" i="9"/>
  <c r="L764" i="9"/>
  <c r="K763" i="9"/>
  <c r="L773" i="9"/>
  <c r="K772" i="9"/>
  <c r="K697" i="9"/>
  <c r="L698" i="9"/>
  <c r="L694" i="9"/>
  <c r="K693" i="9"/>
  <c r="K688" i="9"/>
  <c r="L689" i="9"/>
  <c r="L620" i="9"/>
  <c r="K619" i="9"/>
  <c r="K614" i="9"/>
  <c r="L615" i="9"/>
  <c r="K623" i="9"/>
  <c r="L624" i="9"/>
  <c r="K545" i="9"/>
  <c r="L546" i="9"/>
  <c r="K549" i="9"/>
  <c r="L550" i="9"/>
  <c r="L541" i="9"/>
  <c r="K540" i="9"/>
  <c r="L477" i="9"/>
  <c r="K476" i="9"/>
  <c r="K472" i="9"/>
  <c r="L473" i="9"/>
  <c r="K473" i="9" s="1"/>
  <c r="K467" i="9"/>
  <c r="L468" i="9"/>
  <c r="L325" i="9"/>
  <c r="K325" i="9" s="1"/>
  <c r="K324" i="9"/>
  <c r="K393" i="9"/>
  <c r="L394" i="9"/>
  <c r="L254" i="9"/>
  <c r="K253" i="9"/>
  <c r="K328" i="9"/>
  <c r="L329" i="9"/>
  <c r="K398" i="9"/>
  <c r="L399" i="9"/>
  <c r="K399" i="9" s="1"/>
  <c r="K249" i="9"/>
  <c r="L250" i="9"/>
  <c r="K250" i="9" s="1"/>
  <c r="L320" i="9"/>
  <c r="K319" i="9"/>
  <c r="L245" i="9"/>
  <c r="K244" i="9"/>
  <c r="L403" i="9"/>
  <c r="K402" i="9"/>
  <c r="L179" i="9"/>
  <c r="L180" i="9" s="1"/>
  <c r="L176" i="9"/>
  <c r="K176" i="9" s="1"/>
  <c r="K175" i="9"/>
  <c r="L171" i="9"/>
  <c r="K170" i="9"/>
  <c r="L1080" i="9" l="1"/>
  <c r="K1069" i="9"/>
  <c r="L1070" i="9"/>
  <c r="L1066" i="9"/>
  <c r="K1066" i="9" s="1"/>
  <c r="K1060" i="9"/>
  <c r="K994" i="9"/>
  <c r="L992" i="9"/>
  <c r="K992" i="9" s="1"/>
  <c r="K986" i="9"/>
  <c r="L1006" i="9"/>
  <c r="K995" i="9"/>
  <c r="L996" i="9"/>
  <c r="K916" i="9"/>
  <c r="L917" i="9"/>
  <c r="K917" i="9" s="1"/>
  <c r="L921" i="9"/>
  <c r="K920" i="9"/>
  <c r="L912" i="9"/>
  <c r="K911" i="9"/>
  <c r="K842" i="9"/>
  <c r="L843" i="9"/>
  <c r="K843" i="9" s="1"/>
  <c r="L847" i="9"/>
  <c r="K846" i="9"/>
  <c r="K837" i="9"/>
  <c r="L838" i="9"/>
  <c r="L770" i="9"/>
  <c r="K770" i="9" s="1"/>
  <c r="K764" i="9"/>
  <c r="L784" i="9"/>
  <c r="K773" i="9"/>
  <c r="L774" i="9"/>
  <c r="K689" i="9"/>
  <c r="L690" i="9"/>
  <c r="K694" i="9"/>
  <c r="L695" i="9"/>
  <c r="K695" i="9" s="1"/>
  <c r="L699" i="9"/>
  <c r="K698" i="9"/>
  <c r="K615" i="9"/>
  <c r="L616" i="9"/>
  <c r="L625" i="9"/>
  <c r="K624" i="9"/>
  <c r="K620" i="9"/>
  <c r="L621" i="9"/>
  <c r="K621" i="9" s="1"/>
  <c r="L551" i="9"/>
  <c r="K550" i="9"/>
  <c r="K546" i="9"/>
  <c r="L547" i="9"/>
  <c r="K547" i="9" s="1"/>
  <c r="L542" i="9"/>
  <c r="K541" i="9"/>
  <c r="L488" i="9"/>
  <c r="K477" i="9"/>
  <c r="L478" i="9"/>
  <c r="L474" i="9"/>
  <c r="K474" i="9" s="1"/>
  <c r="K468" i="9"/>
  <c r="K245" i="9"/>
  <c r="L251" i="9"/>
  <c r="K251" i="9" s="1"/>
  <c r="L330" i="9"/>
  <c r="L340" i="9"/>
  <c r="K329" i="9"/>
  <c r="K320" i="9"/>
  <c r="L326" i="9"/>
  <c r="K326" i="9" s="1"/>
  <c r="L265" i="9"/>
  <c r="L255" i="9"/>
  <c r="K254" i="9"/>
  <c r="L400" i="9"/>
  <c r="K400" i="9" s="1"/>
  <c r="K394" i="9"/>
  <c r="L414" i="9"/>
  <c r="K403" i="9"/>
  <c r="L404" i="9"/>
  <c r="K179" i="9"/>
  <c r="K171" i="9"/>
  <c r="L177" i="9"/>
  <c r="K177" i="9" s="1"/>
  <c r="L181" i="9"/>
  <c r="L191" i="9"/>
  <c r="K180" i="9"/>
  <c r="L1071" i="9" l="1"/>
  <c r="K1070" i="9"/>
  <c r="K1080" i="9"/>
  <c r="L1081" i="9"/>
  <c r="L997" i="9"/>
  <c r="K996" i="9"/>
  <c r="K1006" i="9"/>
  <c r="L1007" i="9"/>
  <c r="L918" i="9"/>
  <c r="K918" i="9" s="1"/>
  <c r="K912" i="9"/>
  <c r="L932" i="9"/>
  <c r="K921" i="9"/>
  <c r="L922" i="9"/>
  <c r="L844" i="9"/>
  <c r="K844" i="9" s="1"/>
  <c r="K838" i="9"/>
  <c r="L858" i="9"/>
  <c r="L848" i="9"/>
  <c r="K847" i="9"/>
  <c r="L775" i="9"/>
  <c r="K774" i="9"/>
  <c r="K784" i="9"/>
  <c r="L785" i="9"/>
  <c r="L696" i="9"/>
  <c r="K696" i="9" s="1"/>
  <c r="K690" i="9"/>
  <c r="L710" i="9"/>
  <c r="K699" i="9"/>
  <c r="L700" i="9"/>
  <c r="L622" i="9"/>
  <c r="K622" i="9" s="1"/>
  <c r="K616" i="9"/>
  <c r="L636" i="9"/>
  <c r="K625" i="9"/>
  <c r="L626" i="9"/>
  <c r="L552" i="9"/>
  <c r="K551" i="9"/>
  <c r="L562" i="9"/>
  <c r="L548" i="9"/>
  <c r="K548" i="9" s="1"/>
  <c r="K542" i="9"/>
  <c r="L479" i="9"/>
  <c r="K478" i="9"/>
  <c r="K488" i="9"/>
  <c r="L489" i="9"/>
  <c r="L256" i="9"/>
  <c r="K255" i="9"/>
  <c r="L266" i="9"/>
  <c r="K265" i="9"/>
  <c r="L405" i="9"/>
  <c r="K404" i="9"/>
  <c r="K414" i="9"/>
  <c r="L415" i="9"/>
  <c r="L341" i="9"/>
  <c r="K340" i="9"/>
  <c r="K330" i="9"/>
  <c r="L331" i="9"/>
  <c r="K181" i="9"/>
  <c r="L182" i="9"/>
  <c r="K191" i="9"/>
  <c r="L192" i="9"/>
  <c r="L1082" i="9" l="1"/>
  <c r="K1081" i="9"/>
  <c r="L1072" i="9"/>
  <c r="K1071" i="9"/>
  <c r="L1008" i="9"/>
  <c r="K1007" i="9"/>
  <c r="L998" i="9"/>
  <c r="K997" i="9"/>
  <c r="K932" i="9"/>
  <c r="L933" i="9"/>
  <c r="L923" i="9"/>
  <c r="K922" i="9"/>
  <c r="K848" i="9"/>
  <c r="L849" i="9"/>
  <c r="K858" i="9"/>
  <c r="L859" i="9"/>
  <c r="L786" i="9"/>
  <c r="K785" i="9"/>
  <c r="L776" i="9"/>
  <c r="K775" i="9"/>
  <c r="K710" i="9"/>
  <c r="L711" i="9"/>
  <c r="L701" i="9"/>
  <c r="K700" i="9"/>
  <c r="L627" i="9"/>
  <c r="K626" i="9"/>
  <c r="K636" i="9"/>
  <c r="L637" i="9"/>
  <c r="K562" i="9"/>
  <c r="L563" i="9"/>
  <c r="K552" i="9"/>
  <c r="L553" i="9"/>
  <c r="L480" i="9"/>
  <c r="K479" i="9"/>
  <c r="L490" i="9"/>
  <c r="K489" i="9"/>
  <c r="K256" i="9"/>
  <c r="L257" i="9"/>
  <c r="K341" i="9"/>
  <c r="L342" i="9"/>
  <c r="K331" i="9"/>
  <c r="L332" i="9"/>
  <c r="L406" i="9"/>
  <c r="K405" i="9"/>
  <c r="K266" i="9"/>
  <c r="L267" i="9"/>
  <c r="L416" i="9"/>
  <c r="K415" i="9"/>
  <c r="L183" i="9"/>
  <c r="K182" i="9"/>
  <c r="K192" i="9"/>
  <c r="L193" i="9"/>
  <c r="K1072" i="9" l="1"/>
  <c r="L1073" i="9"/>
  <c r="K1082" i="9"/>
  <c r="L1083" i="9"/>
  <c r="K998" i="9"/>
  <c r="L999" i="9"/>
  <c r="K1008" i="9"/>
  <c r="L1009" i="9"/>
  <c r="L924" i="9"/>
  <c r="K923" i="9"/>
  <c r="L934" i="9"/>
  <c r="K933" i="9"/>
  <c r="L860" i="9"/>
  <c r="K859" i="9"/>
  <c r="L850" i="9"/>
  <c r="K849" i="9"/>
  <c r="K776" i="9"/>
  <c r="L777" i="9"/>
  <c r="K786" i="9"/>
  <c r="L787" i="9"/>
  <c r="L702" i="9"/>
  <c r="K701" i="9"/>
  <c r="L712" i="9"/>
  <c r="K711" i="9"/>
  <c r="L638" i="9"/>
  <c r="K637" i="9"/>
  <c r="L628" i="9"/>
  <c r="K627" i="9"/>
  <c r="L554" i="9"/>
  <c r="K553" i="9"/>
  <c r="L564" i="9"/>
  <c r="K563" i="9"/>
  <c r="K490" i="9"/>
  <c r="L491" i="9"/>
  <c r="K480" i="9"/>
  <c r="L481" i="9"/>
  <c r="K416" i="9"/>
  <c r="L417" i="9"/>
  <c r="L268" i="9"/>
  <c r="K267" i="9"/>
  <c r="L343" i="9"/>
  <c r="K342" i="9"/>
  <c r="K257" i="9"/>
  <c r="L258" i="9"/>
  <c r="K406" i="9"/>
  <c r="L407" i="9"/>
  <c r="L333" i="9"/>
  <c r="K332" i="9"/>
  <c r="L194" i="9"/>
  <c r="K193" i="9"/>
  <c r="L184" i="9"/>
  <c r="K183" i="9"/>
  <c r="L1084" i="9" l="1"/>
  <c r="K1083" i="9"/>
  <c r="L1074" i="9"/>
  <c r="K1073" i="9"/>
  <c r="L1010" i="9"/>
  <c r="K1009" i="9"/>
  <c r="L1000" i="9"/>
  <c r="K999" i="9"/>
  <c r="K934" i="9"/>
  <c r="L935" i="9"/>
  <c r="K924" i="9"/>
  <c r="L925" i="9"/>
  <c r="K850" i="9"/>
  <c r="L851" i="9"/>
  <c r="L861" i="9"/>
  <c r="K860" i="9"/>
  <c r="L788" i="9"/>
  <c r="K787" i="9"/>
  <c r="L778" i="9"/>
  <c r="K777" i="9"/>
  <c r="K712" i="9"/>
  <c r="L713" i="9"/>
  <c r="K702" i="9"/>
  <c r="L703" i="9"/>
  <c r="K638" i="9"/>
  <c r="L639" i="9"/>
  <c r="K628" i="9"/>
  <c r="L629" i="9"/>
  <c r="L565" i="9"/>
  <c r="K564" i="9"/>
  <c r="L555" i="9"/>
  <c r="K554" i="9"/>
  <c r="L482" i="9"/>
  <c r="K481" i="9"/>
  <c r="K491" i="9"/>
  <c r="L492" i="9"/>
  <c r="L408" i="9"/>
  <c r="K407" i="9"/>
  <c r="L259" i="9"/>
  <c r="K258" i="9"/>
  <c r="K333" i="9"/>
  <c r="L334" i="9"/>
  <c r="L344" i="9"/>
  <c r="K343" i="9"/>
  <c r="K268" i="9"/>
  <c r="L269" i="9"/>
  <c r="K417" i="9"/>
  <c r="L418" i="9"/>
  <c r="K184" i="9"/>
  <c r="L185" i="9"/>
  <c r="K194" i="9"/>
  <c r="L195" i="9"/>
  <c r="K1074" i="9" l="1"/>
  <c r="L1075" i="9"/>
  <c r="L1085" i="9"/>
  <c r="K1084" i="9"/>
  <c r="K1000" i="9"/>
  <c r="L1001" i="9"/>
  <c r="L1011" i="9"/>
  <c r="K1010" i="9"/>
  <c r="L936" i="9"/>
  <c r="K935" i="9"/>
  <c r="L926" i="9"/>
  <c r="K925" i="9"/>
  <c r="K861" i="9"/>
  <c r="L862" i="9"/>
  <c r="L852" i="9"/>
  <c r="K851" i="9"/>
  <c r="K778" i="9"/>
  <c r="L779" i="9"/>
  <c r="L789" i="9"/>
  <c r="K788" i="9"/>
  <c r="L704" i="9"/>
  <c r="K703" i="9"/>
  <c r="K713" i="9"/>
  <c r="L714" i="9"/>
  <c r="L630" i="9"/>
  <c r="K629" i="9"/>
  <c r="K639" i="9"/>
  <c r="L640" i="9"/>
  <c r="K555" i="9"/>
  <c r="L556" i="9"/>
  <c r="K565" i="9"/>
  <c r="L566" i="9"/>
  <c r="L493" i="9"/>
  <c r="K492" i="9"/>
  <c r="K482" i="9"/>
  <c r="L483" i="9"/>
  <c r="K408" i="9"/>
  <c r="L409" i="9"/>
  <c r="L419" i="9"/>
  <c r="K418" i="9"/>
  <c r="L270" i="9"/>
  <c r="K269" i="9"/>
  <c r="K259" i="9"/>
  <c r="L260" i="9"/>
  <c r="L345" i="9"/>
  <c r="K344" i="9"/>
  <c r="L335" i="9"/>
  <c r="K334" i="9"/>
  <c r="L186" i="9"/>
  <c r="K185" i="9"/>
  <c r="L196" i="9"/>
  <c r="K195" i="9"/>
  <c r="K1075" i="9" l="1"/>
  <c r="L1076" i="9"/>
  <c r="K1085" i="9"/>
  <c r="L1086" i="9"/>
  <c r="K1011" i="9"/>
  <c r="L1012" i="9"/>
  <c r="L1002" i="9"/>
  <c r="K1001" i="9"/>
  <c r="K926" i="9"/>
  <c r="L927" i="9"/>
  <c r="L937" i="9"/>
  <c r="K936" i="9"/>
  <c r="L863" i="9"/>
  <c r="K862" i="9"/>
  <c r="K852" i="9"/>
  <c r="L853" i="9"/>
  <c r="K789" i="9"/>
  <c r="L790" i="9"/>
  <c r="L780" i="9"/>
  <c r="K779" i="9"/>
  <c r="K704" i="9"/>
  <c r="L705" i="9"/>
  <c r="L715" i="9"/>
  <c r="K714" i="9"/>
  <c r="K630" i="9"/>
  <c r="L631" i="9"/>
  <c r="L641" i="9"/>
  <c r="K640" i="9"/>
  <c r="L567" i="9"/>
  <c r="K566" i="9"/>
  <c r="L557" i="9"/>
  <c r="K556" i="9"/>
  <c r="K483" i="9"/>
  <c r="L484" i="9"/>
  <c r="K493" i="9"/>
  <c r="L494" i="9"/>
  <c r="L336" i="9"/>
  <c r="K335" i="9"/>
  <c r="L346" i="9"/>
  <c r="K345" i="9"/>
  <c r="L271" i="9"/>
  <c r="K270" i="9"/>
  <c r="K419" i="9"/>
  <c r="L420" i="9"/>
  <c r="K409" i="9"/>
  <c r="L410" i="9"/>
  <c r="L261" i="9"/>
  <c r="K260" i="9"/>
  <c r="K196" i="9"/>
  <c r="L197" i="9"/>
  <c r="K186" i="9"/>
  <c r="L187" i="9"/>
  <c r="L1087" i="9" l="1"/>
  <c r="K1086" i="9"/>
  <c r="L1077" i="9"/>
  <c r="K1076" i="9"/>
  <c r="L1003" i="9"/>
  <c r="K1002" i="9"/>
  <c r="L1013" i="9"/>
  <c r="K1012" i="9"/>
  <c r="K937" i="9"/>
  <c r="L938" i="9"/>
  <c r="L928" i="9"/>
  <c r="K927" i="9"/>
  <c r="K853" i="9"/>
  <c r="L854" i="9"/>
  <c r="K863" i="9"/>
  <c r="L864" i="9"/>
  <c r="L781" i="9"/>
  <c r="K780" i="9"/>
  <c r="L791" i="9"/>
  <c r="K790" i="9"/>
  <c r="K715" i="9"/>
  <c r="L716" i="9"/>
  <c r="K705" i="9"/>
  <c r="L706" i="9"/>
  <c r="K641" i="9"/>
  <c r="L642" i="9"/>
  <c r="K631" i="9"/>
  <c r="L632" i="9"/>
  <c r="L558" i="9"/>
  <c r="K557" i="9"/>
  <c r="L568" i="9"/>
  <c r="K567" i="9"/>
  <c r="L485" i="9"/>
  <c r="K484" i="9"/>
  <c r="L495" i="9"/>
  <c r="K494" i="9"/>
  <c r="L411" i="9"/>
  <c r="K410" i="9"/>
  <c r="L272" i="9"/>
  <c r="K271" i="9"/>
  <c r="L262" i="9"/>
  <c r="K261" i="9"/>
  <c r="L421" i="9"/>
  <c r="K420" i="9"/>
  <c r="K346" i="9"/>
  <c r="L347" i="9"/>
  <c r="K336" i="9"/>
  <c r="L337" i="9"/>
  <c r="L188" i="9"/>
  <c r="K187" i="9"/>
  <c r="K197" i="9"/>
  <c r="L198" i="9"/>
  <c r="K1077" i="9" l="1"/>
  <c r="L1078" i="9"/>
  <c r="L1088" i="9"/>
  <c r="K1087" i="9"/>
  <c r="K1003" i="9"/>
  <c r="L1004" i="9"/>
  <c r="L1014" i="9"/>
  <c r="K1013" i="9"/>
  <c r="L929" i="9"/>
  <c r="K928" i="9"/>
  <c r="L939" i="9"/>
  <c r="K938" i="9"/>
  <c r="L865" i="9"/>
  <c r="K864" i="9"/>
  <c r="L855" i="9"/>
  <c r="K854" i="9"/>
  <c r="K781" i="9"/>
  <c r="L782" i="9"/>
  <c r="L792" i="9"/>
  <c r="K791" i="9"/>
  <c r="L707" i="9"/>
  <c r="K706" i="9"/>
  <c r="L717" i="9"/>
  <c r="K716" i="9"/>
  <c r="L633" i="9"/>
  <c r="K632" i="9"/>
  <c r="L643" i="9"/>
  <c r="K642" i="9"/>
  <c r="K568" i="9"/>
  <c r="L569" i="9"/>
  <c r="K558" i="9"/>
  <c r="L559" i="9"/>
  <c r="L496" i="9"/>
  <c r="K495" i="9"/>
  <c r="K485" i="9"/>
  <c r="L486" i="9"/>
  <c r="L422" i="9"/>
  <c r="K421" i="9"/>
  <c r="L338" i="9"/>
  <c r="K337" i="9"/>
  <c r="L348" i="9"/>
  <c r="K347" i="9"/>
  <c r="L273" i="9"/>
  <c r="K272" i="9"/>
  <c r="L263" i="9"/>
  <c r="K262" i="9"/>
  <c r="K411" i="9"/>
  <c r="L412" i="9"/>
  <c r="L189" i="9"/>
  <c r="K188" i="9"/>
  <c r="L199" i="9"/>
  <c r="K198" i="9"/>
  <c r="L1079" i="9" l="1"/>
  <c r="K1078" i="9"/>
  <c r="K1088" i="9"/>
  <c r="L1089" i="9"/>
  <c r="K1089" i="9" s="1"/>
  <c r="K1014" i="9"/>
  <c r="L1015" i="9"/>
  <c r="K1015" i="9" s="1"/>
  <c r="L1005" i="9"/>
  <c r="K1004" i="9"/>
  <c r="L940" i="9"/>
  <c r="K939" i="9"/>
  <c r="K929" i="9"/>
  <c r="L930" i="9"/>
  <c r="K855" i="9"/>
  <c r="L856" i="9"/>
  <c r="L866" i="9"/>
  <c r="K865" i="9"/>
  <c r="K792" i="9"/>
  <c r="L793" i="9"/>
  <c r="K793" i="9" s="1"/>
  <c r="L783" i="9"/>
  <c r="K782" i="9"/>
  <c r="L718" i="9"/>
  <c r="K717" i="9"/>
  <c r="K707" i="9"/>
  <c r="L708" i="9"/>
  <c r="L644" i="9"/>
  <c r="K643" i="9"/>
  <c r="K633" i="9"/>
  <c r="L634" i="9"/>
  <c r="L560" i="9"/>
  <c r="K559" i="9"/>
  <c r="L570" i="9"/>
  <c r="K569" i="9"/>
  <c r="L487" i="9"/>
  <c r="K486" i="9"/>
  <c r="K496" i="9"/>
  <c r="L497" i="9"/>
  <c r="K497" i="9" s="1"/>
  <c r="L413" i="9"/>
  <c r="K412" i="9"/>
  <c r="L264" i="9"/>
  <c r="K263" i="9"/>
  <c r="K273" i="9"/>
  <c r="L274" i="9"/>
  <c r="K274" i="9" s="1"/>
  <c r="K348" i="9"/>
  <c r="L349" i="9"/>
  <c r="K349" i="9" s="1"/>
  <c r="K338" i="9"/>
  <c r="L339" i="9"/>
  <c r="K422" i="9"/>
  <c r="L423" i="9"/>
  <c r="K423" i="9" s="1"/>
  <c r="K189" i="9"/>
  <c r="L190" i="9"/>
  <c r="K199" i="9"/>
  <c r="L200" i="9"/>
  <c r="K200" i="9" s="1"/>
  <c r="L1090" i="9" l="1"/>
  <c r="K1079" i="9"/>
  <c r="L1016" i="9"/>
  <c r="K1005" i="9"/>
  <c r="L931" i="9"/>
  <c r="K930" i="9"/>
  <c r="K940" i="9"/>
  <c r="L941" i="9"/>
  <c r="K941" i="9" s="1"/>
  <c r="K866" i="9"/>
  <c r="L867" i="9"/>
  <c r="K867" i="9" s="1"/>
  <c r="L857" i="9"/>
  <c r="K856" i="9"/>
  <c r="L794" i="9"/>
  <c r="K783" i="9"/>
  <c r="K718" i="9"/>
  <c r="L719" i="9"/>
  <c r="K719" i="9" s="1"/>
  <c r="L709" i="9"/>
  <c r="K708" i="9"/>
  <c r="L635" i="9"/>
  <c r="K634" i="9"/>
  <c r="K644" i="9"/>
  <c r="L645" i="9"/>
  <c r="K645" i="9" s="1"/>
  <c r="L561" i="9"/>
  <c r="K560" i="9"/>
  <c r="L571" i="9"/>
  <c r="K571" i="9" s="1"/>
  <c r="K570" i="9"/>
  <c r="L498" i="9"/>
  <c r="K487" i="9"/>
  <c r="L350" i="9"/>
  <c r="K339" i="9"/>
  <c r="K264" i="9"/>
  <c r="L275" i="9"/>
  <c r="L424" i="9"/>
  <c r="K413" i="9"/>
  <c r="L201" i="9"/>
  <c r="K190" i="9"/>
  <c r="K1090" i="9" l="1"/>
  <c r="L1091" i="9"/>
  <c r="K1016" i="9"/>
  <c r="L1017" i="9"/>
  <c r="L942" i="9"/>
  <c r="K931" i="9"/>
  <c r="L868" i="9"/>
  <c r="K857" i="9"/>
  <c r="K794" i="9"/>
  <c r="L795" i="9"/>
  <c r="L720" i="9"/>
  <c r="K709" i="9"/>
  <c r="L646" i="9"/>
  <c r="K635" i="9"/>
  <c r="K561" i="9"/>
  <c r="L572" i="9"/>
  <c r="K498" i="9"/>
  <c r="L499" i="9"/>
  <c r="K424" i="9"/>
  <c r="L425" i="9"/>
  <c r="L276" i="9"/>
  <c r="K275" i="9"/>
  <c r="L351" i="9"/>
  <c r="K350" i="9"/>
  <c r="L202" i="9"/>
  <c r="K201" i="9"/>
  <c r="L1092" i="9" l="1"/>
  <c r="K1091" i="9"/>
  <c r="L1018" i="9"/>
  <c r="K1017" i="9"/>
  <c r="K942" i="9"/>
  <c r="L943" i="9"/>
  <c r="K868" i="9"/>
  <c r="L869" i="9"/>
  <c r="L796" i="9"/>
  <c r="K795" i="9"/>
  <c r="K720" i="9"/>
  <c r="L721" i="9"/>
  <c r="K646" i="9"/>
  <c r="L647" i="9"/>
  <c r="K572" i="9"/>
  <c r="L573" i="9"/>
  <c r="L500" i="9"/>
  <c r="K499" i="9"/>
  <c r="K351" i="9"/>
  <c r="L352" i="9"/>
  <c r="K276" i="9"/>
  <c r="L277" i="9"/>
  <c r="K425" i="9"/>
  <c r="L426" i="9"/>
  <c r="K202" i="9"/>
  <c r="L203" i="9"/>
  <c r="L1093" i="9" l="1"/>
  <c r="K1092" i="9"/>
  <c r="L1019" i="9"/>
  <c r="K1018" i="9"/>
  <c r="L944" i="9"/>
  <c r="K943" i="9"/>
  <c r="L870" i="9"/>
  <c r="K869" i="9"/>
  <c r="L797" i="9"/>
  <c r="K796" i="9"/>
  <c r="L722" i="9"/>
  <c r="K721" i="9"/>
  <c r="L648" i="9"/>
  <c r="K647" i="9"/>
  <c r="L574" i="9"/>
  <c r="K573" i="9"/>
  <c r="L501" i="9"/>
  <c r="K500" i="9"/>
  <c r="L427" i="9"/>
  <c r="K426" i="9"/>
  <c r="L278" i="9"/>
  <c r="K277" i="9"/>
  <c r="L353" i="9"/>
  <c r="K352" i="9"/>
  <c r="L204" i="9"/>
  <c r="K203" i="9"/>
  <c r="K1093" i="9" l="1"/>
  <c r="L1094" i="9"/>
  <c r="K1019" i="9"/>
  <c r="L1020" i="9"/>
  <c r="L945" i="9"/>
  <c r="K944" i="9"/>
  <c r="L871" i="9"/>
  <c r="K870" i="9"/>
  <c r="K797" i="9"/>
  <c r="L798" i="9"/>
  <c r="L723" i="9"/>
  <c r="K722" i="9"/>
  <c r="L649" i="9"/>
  <c r="K648" i="9"/>
  <c r="K574" i="9"/>
  <c r="L575" i="9"/>
  <c r="K501" i="9"/>
  <c r="L502" i="9"/>
  <c r="K353" i="9"/>
  <c r="L354" i="9"/>
  <c r="K278" i="9"/>
  <c r="L279" i="9"/>
  <c r="K427" i="9"/>
  <c r="L428" i="9"/>
  <c r="K204" i="9"/>
  <c r="L205" i="9"/>
  <c r="L1095" i="9" l="1"/>
  <c r="K1094" i="9"/>
  <c r="L1021" i="9"/>
  <c r="K1020" i="9"/>
  <c r="K945" i="9"/>
  <c r="L946" i="9"/>
  <c r="K871" i="9"/>
  <c r="L872" i="9"/>
  <c r="L799" i="9"/>
  <c r="K798" i="9"/>
  <c r="K723" i="9"/>
  <c r="L724" i="9"/>
  <c r="K649" i="9"/>
  <c r="L650" i="9"/>
  <c r="L576" i="9"/>
  <c r="K575" i="9"/>
  <c r="L503" i="9"/>
  <c r="K502" i="9"/>
  <c r="K279" i="9"/>
  <c r="L280" i="9"/>
  <c r="L429" i="9"/>
  <c r="K428" i="9"/>
  <c r="K354" i="9"/>
  <c r="L355" i="9"/>
  <c r="L206" i="9"/>
  <c r="K205" i="9"/>
  <c r="L1096" i="9" l="1"/>
  <c r="K1095" i="9"/>
  <c r="L1022" i="9"/>
  <c r="K1021" i="9"/>
  <c r="L947" i="9"/>
  <c r="K946" i="9"/>
  <c r="L873" i="9"/>
  <c r="K872" i="9"/>
  <c r="L800" i="9"/>
  <c r="K799" i="9"/>
  <c r="L725" i="9"/>
  <c r="K724" i="9"/>
  <c r="L651" i="9"/>
  <c r="K650" i="9"/>
  <c r="L577" i="9"/>
  <c r="K576" i="9"/>
  <c r="L504" i="9"/>
  <c r="K503" i="9"/>
  <c r="L356" i="9"/>
  <c r="K355" i="9"/>
  <c r="L281" i="9"/>
  <c r="K280" i="9"/>
  <c r="L430" i="9"/>
  <c r="K429" i="9"/>
  <c r="L207" i="9"/>
  <c r="K206" i="9"/>
  <c r="K1096" i="9" l="1"/>
  <c r="L1097" i="9"/>
  <c r="K1097" i="9" s="1"/>
  <c r="K1022" i="9"/>
  <c r="L1023" i="9"/>
  <c r="K1023" i="9" s="1"/>
  <c r="L948" i="9"/>
  <c r="K947" i="9"/>
  <c r="L874" i="9"/>
  <c r="K873" i="9"/>
  <c r="K800" i="9"/>
  <c r="L801" i="9"/>
  <c r="K801" i="9" s="1"/>
  <c r="L726" i="9"/>
  <c r="K725" i="9"/>
  <c r="L652" i="9"/>
  <c r="K651" i="9"/>
  <c r="K577" i="9"/>
  <c r="L578" i="9"/>
  <c r="K504" i="9"/>
  <c r="L505" i="9"/>
  <c r="K505" i="9" s="1"/>
  <c r="K281" i="9"/>
  <c r="L282" i="9"/>
  <c r="K282" i="9" s="1"/>
  <c r="K430" i="9"/>
  <c r="L431" i="9"/>
  <c r="K431" i="9" s="1"/>
  <c r="K356" i="9"/>
  <c r="L357" i="9"/>
  <c r="K357" i="9" s="1"/>
  <c r="K207" i="9"/>
  <c r="L208" i="9"/>
  <c r="K208" i="9" s="1"/>
  <c r="K948" i="9" l="1"/>
  <c r="L949" i="9"/>
  <c r="K949" i="9" s="1"/>
  <c r="K874" i="9"/>
  <c r="L875" i="9"/>
  <c r="K875" i="9" s="1"/>
  <c r="K726" i="9"/>
  <c r="L727" i="9"/>
  <c r="K727" i="9" s="1"/>
  <c r="K652" i="9"/>
  <c r="L653" i="9"/>
  <c r="K653" i="9" s="1"/>
  <c r="L579" i="9"/>
  <c r="K579" i="9" s="1"/>
  <c r="K578" i="9"/>
  <c r="Y172" i="9" l="1"/>
  <c r="Y177" i="9"/>
  <c r="Y193" i="9"/>
  <c r="Y183" i="9"/>
  <c r="Y175" i="9"/>
  <c r="Y171" i="9"/>
  <c r="Y196" i="9"/>
  <c r="Y178" i="9"/>
  <c r="Y197" i="9"/>
  <c r="Y166" i="9"/>
  <c r="Y191" i="9"/>
  <c r="Y173" i="9" l="1"/>
  <c r="Y205" i="9"/>
  <c r="D90" i="9" l="1"/>
  <c r="G90" i="9" s="1"/>
  <c r="D79" i="9"/>
  <c r="F84" i="9"/>
  <c r="H85" i="9"/>
  <c r="J85" i="9"/>
  <c r="Y93" i="9"/>
  <c r="Y94" i="9"/>
  <c r="Y95" i="9"/>
  <c r="Y96" i="9"/>
  <c r="Y102" i="9"/>
  <c r="Y105" i="9"/>
  <c r="Y106" i="9"/>
  <c r="Y107" i="9"/>
  <c r="Y108" i="9"/>
  <c r="Y110" i="9"/>
  <c r="Y111" i="9"/>
  <c r="Y112" i="9"/>
  <c r="Y113" i="9"/>
  <c r="Y115" i="9"/>
  <c r="Y118" i="9"/>
  <c r="Y120" i="9"/>
  <c r="Y121" i="9"/>
  <c r="Y124" i="9"/>
  <c r="Y125" i="9"/>
  <c r="Y126" i="9"/>
  <c r="Y127" i="9"/>
  <c r="Y129" i="9"/>
  <c r="Y130" i="9"/>
  <c r="Y132" i="9"/>
  <c r="Y133" i="9"/>
  <c r="D145" i="9"/>
  <c r="L145" i="9"/>
  <c r="Y34" i="9"/>
  <c r="Y35" i="9"/>
  <c r="Y38" i="9"/>
  <c r="Y52" i="9"/>
  <c r="Y51" i="9"/>
  <c r="Y49" i="9"/>
  <c r="Y48" i="9"/>
  <c r="Y46" i="9"/>
  <c r="Y55" i="9"/>
  <c r="Y53" i="9"/>
  <c r="Y23" i="9"/>
  <c r="Y28" i="9"/>
  <c r="Y57" i="9"/>
  <c r="Y59" i="9"/>
  <c r="D16" i="9"/>
  <c r="V16" i="9" s="1"/>
  <c r="L72" i="9"/>
  <c r="L1109" i="9" s="1"/>
  <c r="D72" i="9"/>
  <c r="D1109" i="9" s="1"/>
  <c r="L71" i="9"/>
  <c r="D71" i="9"/>
  <c r="J11" i="9"/>
  <c r="H11" i="9"/>
  <c r="F10" i="9"/>
  <c r="D5" i="9"/>
  <c r="AJ73" i="9" l="1"/>
  <c r="D961" i="9"/>
  <c r="D1035" i="9"/>
  <c r="L961" i="9"/>
  <c r="L1035" i="9"/>
  <c r="L887" i="9"/>
  <c r="L813" i="9"/>
  <c r="D887" i="9"/>
  <c r="D813" i="9"/>
  <c r="D665" i="9"/>
  <c r="D739" i="9"/>
  <c r="L665" i="9"/>
  <c r="L739" i="9"/>
  <c r="D517" i="9"/>
  <c r="D591" i="9"/>
  <c r="L517" i="9"/>
  <c r="L591" i="9"/>
  <c r="D443" i="9"/>
  <c r="D369" i="9"/>
  <c r="L443" i="9"/>
  <c r="L369" i="9"/>
  <c r="D146" i="9"/>
  <c r="D220" i="9"/>
  <c r="E16" i="9"/>
  <c r="L220" i="9"/>
  <c r="L146" i="9"/>
  <c r="G16" i="9"/>
  <c r="L18" i="9" s="1"/>
  <c r="E90" i="9"/>
  <c r="Y116" i="9"/>
  <c r="Y100" i="9"/>
  <c r="Y134" i="9"/>
  <c r="Y114" i="9"/>
  <c r="V90" i="9"/>
  <c r="L92" i="9"/>
  <c r="Y50" i="9"/>
  <c r="F18" i="5" l="1"/>
  <c r="L93" i="9"/>
  <c r="K92" i="9"/>
  <c r="L98" i="9"/>
  <c r="L19" i="9"/>
  <c r="K18" i="9"/>
  <c r="L24" i="9"/>
  <c r="L99" i="9" l="1"/>
  <c r="K98" i="9"/>
  <c r="L94" i="9"/>
  <c r="K93" i="9"/>
  <c r="L25" i="9"/>
  <c r="L30" i="9" s="1"/>
  <c r="K24" i="9"/>
  <c r="L20" i="9"/>
  <c r="K19" i="9"/>
  <c r="L104" i="9" l="1"/>
  <c r="K99" i="9"/>
  <c r="L100" i="9"/>
  <c r="K94" i="9"/>
  <c r="L95" i="9"/>
  <c r="L31" i="9"/>
  <c r="L32" i="9" s="1"/>
  <c r="K30" i="9"/>
  <c r="L21" i="9"/>
  <c r="K20" i="9"/>
  <c r="K25" i="9"/>
  <c r="L26" i="9"/>
  <c r="L96" i="9" l="1"/>
  <c r="K95" i="9"/>
  <c r="K100" i="9"/>
  <c r="L101" i="9"/>
  <c r="K104" i="9"/>
  <c r="L105" i="9"/>
  <c r="K32" i="9"/>
  <c r="L43" i="9"/>
  <c r="L33" i="9"/>
  <c r="K31" i="9"/>
  <c r="K26" i="9"/>
  <c r="L27" i="9"/>
  <c r="L22" i="9"/>
  <c r="K21" i="9"/>
  <c r="K105" i="9" l="1"/>
  <c r="L106" i="9"/>
  <c r="L102" i="9"/>
  <c r="K102" i="9" s="1"/>
  <c r="K101" i="9"/>
  <c r="K96" i="9"/>
  <c r="L97" i="9"/>
  <c r="L34" i="9"/>
  <c r="K33" i="9"/>
  <c r="L44" i="9"/>
  <c r="K43" i="9"/>
  <c r="L23" i="9"/>
  <c r="K22" i="9"/>
  <c r="L28" i="9"/>
  <c r="K28" i="9" s="1"/>
  <c r="K27" i="9"/>
  <c r="K97" i="9" l="1"/>
  <c r="L103" i="9"/>
  <c r="K103" i="9" s="1"/>
  <c r="L107" i="9"/>
  <c r="K106" i="9"/>
  <c r="L117" i="9"/>
  <c r="K44" i="9"/>
  <c r="L45" i="9"/>
  <c r="K34" i="9"/>
  <c r="L35" i="9"/>
  <c r="L29" i="9"/>
  <c r="K23" i="9"/>
  <c r="L118" i="9" l="1"/>
  <c r="K117" i="9"/>
  <c r="K107" i="9"/>
  <c r="L108" i="9"/>
  <c r="L36" i="9"/>
  <c r="K35" i="9"/>
  <c r="K45" i="9"/>
  <c r="L46" i="9"/>
  <c r="K29" i="9"/>
  <c r="K108" i="9" l="1"/>
  <c r="L109" i="9"/>
  <c r="K118" i="9"/>
  <c r="L119" i="9"/>
  <c r="K46" i="9"/>
  <c r="L47" i="9"/>
  <c r="K36" i="9"/>
  <c r="L37" i="9"/>
  <c r="V1427" i="7"/>
  <c r="S1437" i="7"/>
  <c r="W1423" i="7"/>
  <c r="X1424" i="7" s="1"/>
  <c r="Y1424" i="7" s="1"/>
  <c r="P1415" i="7"/>
  <c r="U1415" i="7" s="1"/>
  <c r="V1415" i="7"/>
  <c r="N553" i="8"/>
  <c r="K582" i="8"/>
  <c r="D582" i="8"/>
  <c r="L582" i="8" s="1"/>
  <c r="K581" i="8"/>
  <c r="D581" i="8"/>
  <c r="L581" i="8" s="1"/>
  <c r="K580" i="8"/>
  <c r="D580" i="8"/>
  <c r="L580" i="8" s="1"/>
  <c r="K579" i="8"/>
  <c r="D579" i="8"/>
  <c r="L579" i="8" s="1"/>
  <c r="K578" i="8"/>
  <c r="D578" i="8"/>
  <c r="L578" i="8" s="1"/>
  <c r="N574" i="8"/>
  <c r="P574" i="8" s="1"/>
  <c r="M574" i="8"/>
  <c r="D574" i="8"/>
  <c r="N573" i="8"/>
  <c r="P573" i="8" s="1"/>
  <c r="M573" i="8"/>
  <c r="D573" i="8"/>
  <c r="N572" i="8"/>
  <c r="P572" i="8" s="1"/>
  <c r="M572" i="8"/>
  <c r="D572" i="8"/>
  <c r="N571" i="8"/>
  <c r="P571" i="8" s="1"/>
  <c r="M571" i="8"/>
  <c r="D571" i="8"/>
  <c r="N566" i="8"/>
  <c r="P566" i="8" s="1"/>
  <c r="L566" i="8"/>
  <c r="D566" i="8"/>
  <c r="N565" i="8"/>
  <c r="P565" i="8" s="1"/>
  <c r="L565" i="8"/>
  <c r="D565" i="8"/>
  <c r="N564" i="8"/>
  <c r="P564" i="8" s="1"/>
  <c r="L564" i="8"/>
  <c r="D564" i="8"/>
  <c r="N563" i="8"/>
  <c r="P563" i="8" s="1"/>
  <c r="L563" i="8"/>
  <c r="D563" i="8"/>
  <c r="N562" i="8"/>
  <c r="P562" i="8" s="1"/>
  <c r="L562" i="8"/>
  <c r="D562" i="8"/>
  <c r="N561" i="8"/>
  <c r="P561" i="8" s="1"/>
  <c r="L561" i="8"/>
  <c r="D561" i="8"/>
  <c r="N560" i="8"/>
  <c r="P560" i="8" s="1"/>
  <c r="L560" i="8"/>
  <c r="D560" i="8"/>
  <c r="N559" i="8"/>
  <c r="P559" i="8" s="1"/>
  <c r="L559" i="8"/>
  <c r="D559" i="8"/>
  <c r="N558" i="8"/>
  <c r="P558" i="8" s="1"/>
  <c r="L558" i="8"/>
  <c r="D558" i="8"/>
  <c r="N557" i="8"/>
  <c r="P557" i="8" s="1"/>
  <c r="L557" i="8"/>
  <c r="D557" i="8"/>
  <c r="N556" i="8"/>
  <c r="P556" i="8" s="1"/>
  <c r="L556" i="8"/>
  <c r="D556" i="8"/>
  <c r="N555" i="8"/>
  <c r="P555" i="8" s="1"/>
  <c r="L555" i="8"/>
  <c r="D555" i="8"/>
  <c r="N554" i="8"/>
  <c r="P554" i="8" s="1"/>
  <c r="L554" i="8"/>
  <c r="D554" i="8"/>
  <c r="P553" i="8"/>
  <c r="L553" i="8"/>
  <c r="D553" i="8"/>
  <c r="K549" i="8"/>
  <c r="D549" i="8"/>
  <c r="K548" i="8"/>
  <c r="D548" i="8"/>
  <c r="N547" i="8"/>
  <c r="M547" i="8"/>
  <c r="K547" i="8"/>
  <c r="D547" i="8"/>
  <c r="N546" i="8"/>
  <c r="K546" i="8"/>
  <c r="D546" i="8"/>
  <c r="M546" i="8" s="1"/>
  <c r="N545" i="8"/>
  <c r="K545" i="8"/>
  <c r="D545" i="8"/>
  <c r="M545" i="8" s="1"/>
  <c r="K544" i="8"/>
  <c r="D544" i="8"/>
  <c r="D541" i="8"/>
  <c r="K495" i="8"/>
  <c r="D495" i="8"/>
  <c r="L495" i="8" s="1"/>
  <c r="K494" i="8"/>
  <c r="D494" i="8"/>
  <c r="L494" i="8" s="1"/>
  <c r="K493" i="8"/>
  <c r="D493" i="8"/>
  <c r="L493" i="8" s="1"/>
  <c r="K492" i="8"/>
  <c r="D492" i="8"/>
  <c r="L492" i="8" s="1"/>
  <c r="K491" i="8"/>
  <c r="D491" i="8"/>
  <c r="L491" i="8" s="1"/>
  <c r="N487" i="8"/>
  <c r="P487" i="8" s="1"/>
  <c r="M487" i="8"/>
  <c r="D487" i="8"/>
  <c r="N486" i="8"/>
  <c r="P486" i="8" s="1"/>
  <c r="M486" i="8"/>
  <c r="D486" i="8"/>
  <c r="N485" i="8"/>
  <c r="P485" i="8" s="1"/>
  <c r="M485" i="8"/>
  <c r="D485" i="8"/>
  <c r="N484" i="8"/>
  <c r="P484" i="8" s="1"/>
  <c r="M484" i="8"/>
  <c r="D484" i="8"/>
  <c r="N479" i="8"/>
  <c r="P479" i="8" s="1"/>
  <c r="L479" i="8"/>
  <c r="D479" i="8"/>
  <c r="N478" i="8"/>
  <c r="P478" i="8" s="1"/>
  <c r="L478" i="8"/>
  <c r="D478" i="8"/>
  <c r="N477" i="8"/>
  <c r="P477" i="8" s="1"/>
  <c r="L477" i="8"/>
  <c r="D477" i="8"/>
  <c r="N476" i="8"/>
  <c r="P476" i="8" s="1"/>
  <c r="L476" i="8"/>
  <c r="D476" i="8"/>
  <c r="N475" i="8"/>
  <c r="P475" i="8" s="1"/>
  <c r="L475" i="8"/>
  <c r="D475" i="8"/>
  <c r="N474" i="8"/>
  <c r="P474" i="8" s="1"/>
  <c r="L474" i="8"/>
  <c r="D474" i="8"/>
  <c r="N473" i="8"/>
  <c r="P473" i="8" s="1"/>
  <c r="L473" i="8"/>
  <c r="D473" i="8"/>
  <c r="N472" i="8"/>
  <c r="P472" i="8" s="1"/>
  <c r="L472" i="8"/>
  <c r="D472" i="8"/>
  <c r="N471" i="8"/>
  <c r="P471" i="8" s="1"/>
  <c r="L471" i="8"/>
  <c r="D471" i="8"/>
  <c r="N470" i="8"/>
  <c r="P470" i="8" s="1"/>
  <c r="L470" i="8"/>
  <c r="D470" i="8"/>
  <c r="N469" i="8"/>
  <c r="P469" i="8" s="1"/>
  <c r="L469" i="8"/>
  <c r="D469" i="8"/>
  <c r="N468" i="8"/>
  <c r="P468" i="8" s="1"/>
  <c r="L468" i="8"/>
  <c r="D468" i="8"/>
  <c r="N467" i="8"/>
  <c r="P467" i="8" s="1"/>
  <c r="L467" i="8"/>
  <c r="D467" i="8"/>
  <c r="N466" i="8"/>
  <c r="P466" i="8" s="1"/>
  <c r="L466" i="8"/>
  <c r="D466" i="8"/>
  <c r="K462" i="8"/>
  <c r="D462" i="8"/>
  <c r="M462" i="8" s="1"/>
  <c r="P462" i="8" s="1"/>
  <c r="K461" i="8"/>
  <c r="D461" i="8"/>
  <c r="K460" i="8"/>
  <c r="D460" i="8"/>
  <c r="M460" i="8" s="1"/>
  <c r="P460" i="8" s="1"/>
  <c r="K459" i="8"/>
  <c r="D459" i="8"/>
  <c r="M459" i="8" s="1"/>
  <c r="P459" i="8" s="1"/>
  <c r="K458" i="8"/>
  <c r="D458" i="8"/>
  <c r="M458" i="8" s="1"/>
  <c r="P458" i="8" s="1"/>
  <c r="K457" i="8"/>
  <c r="D457" i="8"/>
  <c r="D454" i="8"/>
  <c r="K409" i="8"/>
  <c r="D409" i="8"/>
  <c r="L409" i="8" s="1"/>
  <c r="K408" i="8"/>
  <c r="D408" i="8"/>
  <c r="L408" i="8" s="1"/>
  <c r="K407" i="8"/>
  <c r="D407" i="8"/>
  <c r="L407" i="8" s="1"/>
  <c r="K406" i="8"/>
  <c r="D406" i="8"/>
  <c r="L406" i="8" s="1"/>
  <c r="K405" i="8"/>
  <c r="D405" i="8"/>
  <c r="L405" i="8" s="1"/>
  <c r="N401" i="8"/>
  <c r="P401" i="8" s="1"/>
  <c r="M401" i="8"/>
  <c r="D401" i="8"/>
  <c r="N400" i="8"/>
  <c r="P400" i="8" s="1"/>
  <c r="M400" i="8"/>
  <c r="D400" i="8"/>
  <c r="N399" i="8"/>
  <c r="P399" i="8" s="1"/>
  <c r="M399" i="8"/>
  <c r="D399" i="8"/>
  <c r="N398" i="8"/>
  <c r="P398" i="8" s="1"/>
  <c r="M398" i="8"/>
  <c r="D398" i="8"/>
  <c r="N393" i="8"/>
  <c r="P393" i="8" s="1"/>
  <c r="L393" i="8"/>
  <c r="D393" i="8"/>
  <c r="N392" i="8"/>
  <c r="P392" i="8" s="1"/>
  <c r="L392" i="8"/>
  <c r="D392" i="8"/>
  <c r="N391" i="8"/>
  <c r="P391" i="8" s="1"/>
  <c r="L391" i="8"/>
  <c r="D391" i="8"/>
  <c r="N390" i="8"/>
  <c r="P390" i="8" s="1"/>
  <c r="L390" i="8"/>
  <c r="D390" i="8"/>
  <c r="N389" i="8"/>
  <c r="P389" i="8" s="1"/>
  <c r="L389" i="8"/>
  <c r="D389" i="8"/>
  <c r="P388" i="8"/>
  <c r="N388" i="8"/>
  <c r="L388" i="8"/>
  <c r="D388" i="8"/>
  <c r="N387" i="8"/>
  <c r="P387" i="8" s="1"/>
  <c r="L387" i="8"/>
  <c r="D387" i="8"/>
  <c r="N386" i="8"/>
  <c r="P386" i="8" s="1"/>
  <c r="L386" i="8"/>
  <c r="D386" i="8"/>
  <c r="N385" i="8"/>
  <c r="P385" i="8" s="1"/>
  <c r="L385" i="8"/>
  <c r="D385" i="8"/>
  <c r="N384" i="8"/>
  <c r="P384" i="8" s="1"/>
  <c r="L384" i="8"/>
  <c r="D384" i="8"/>
  <c r="N383" i="8"/>
  <c r="P383" i="8" s="1"/>
  <c r="L383" i="8"/>
  <c r="D383" i="8"/>
  <c r="N382" i="8"/>
  <c r="P382" i="8" s="1"/>
  <c r="L382" i="8"/>
  <c r="D382" i="8"/>
  <c r="N381" i="8"/>
  <c r="P381" i="8" s="1"/>
  <c r="L381" i="8"/>
  <c r="D381" i="8"/>
  <c r="N380" i="8"/>
  <c r="P380" i="8" s="1"/>
  <c r="L380" i="8"/>
  <c r="D380" i="8"/>
  <c r="K376" i="8"/>
  <c r="D376" i="8"/>
  <c r="K375" i="8"/>
  <c r="D375" i="8"/>
  <c r="K374" i="8"/>
  <c r="D374" i="8"/>
  <c r="M374" i="8" s="1"/>
  <c r="K373" i="8"/>
  <c r="D373" i="8"/>
  <c r="M373" i="8" s="1"/>
  <c r="P373" i="8" s="1"/>
  <c r="K372" i="8"/>
  <c r="D372" i="8"/>
  <c r="K371" i="8"/>
  <c r="D371" i="8"/>
  <c r="D368" i="8"/>
  <c r="K322" i="8"/>
  <c r="D322" i="8"/>
  <c r="L322" i="8" s="1"/>
  <c r="K321" i="8"/>
  <c r="D321" i="8"/>
  <c r="L321" i="8" s="1"/>
  <c r="K320" i="8"/>
  <c r="D320" i="8"/>
  <c r="L320" i="8" s="1"/>
  <c r="K319" i="8"/>
  <c r="D319" i="8"/>
  <c r="L319" i="8" s="1"/>
  <c r="K318" i="8"/>
  <c r="D318" i="8"/>
  <c r="L318" i="8" s="1"/>
  <c r="N314" i="8"/>
  <c r="P314" i="8" s="1"/>
  <c r="M314" i="8"/>
  <c r="D314" i="8"/>
  <c r="N313" i="8"/>
  <c r="P313" i="8" s="1"/>
  <c r="M313" i="8"/>
  <c r="D313" i="8"/>
  <c r="N312" i="8"/>
  <c r="P312" i="8" s="1"/>
  <c r="M312" i="8"/>
  <c r="D312" i="8"/>
  <c r="N311" i="8"/>
  <c r="P311" i="8" s="1"/>
  <c r="M311" i="8"/>
  <c r="D311" i="8"/>
  <c r="N306" i="8"/>
  <c r="P306" i="8" s="1"/>
  <c r="L306" i="8"/>
  <c r="D306" i="8"/>
  <c r="N305" i="8"/>
  <c r="P305" i="8" s="1"/>
  <c r="L305" i="8"/>
  <c r="D305" i="8"/>
  <c r="N304" i="8"/>
  <c r="P304" i="8" s="1"/>
  <c r="L304" i="8"/>
  <c r="D304" i="8"/>
  <c r="N303" i="8"/>
  <c r="P303" i="8" s="1"/>
  <c r="L303" i="8"/>
  <c r="D303" i="8"/>
  <c r="N302" i="8"/>
  <c r="P302" i="8" s="1"/>
  <c r="L302" i="8"/>
  <c r="D302" i="8"/>
  <c r="N301" i="8"/>
  <c r="P301" i="8" s="1"/>
  <c r="L301" i="8"/>
  <c r="D301" i="8"/>
  <c r="N300" i="8"/>
  <c r="P300" i="8" s="1"/>
  <c r="L300" i="8"/>
  <c r="D300" i="8"/>
  <c r="N299" i="8"/>
  <c r="P299" i="8" s="1"/>
  <c r="L299" i="8"/>
  <c r="D299" i="8"/>
  <c r="N298" i="8"/>
  <c r="P298" i="8" s="1"/>
  <c r="L298" i="8"/>
  <c r="D298" i="8"/>
  <c r="N297" i="8"/>
  <c r="P297" i="8" s="1"/>
  <c r="L297" i="8"/>
  <c r="D297" i="8"/>
  <c r="N296" i="8"/>
  <c r="P296" i="8" s="1"/>
  <c r="L296" i="8"/>
  <c r="D296" i="8"/>
  <c r="N295" i="8"/>
  <c r="P295" i="8" s="1"/>
  <c r="L295" i="8"/>
  <c r="D295" i="8"/>
  <c r="N294" i="8"/>
  <c r="P294" i="8" s="1"/>
  <c r="L294" i="8"/>
  <c r="D294" i="8"/>
  <c r="N293" i="8"/>
  <c r="P293" i="8" s="1"/>
  <c r="L293" i="8"/>
  <c r="D293" i="8"/>
  <c r="K289" i="8"/>
  <c r="D289" i="8"/>
  <c r="K288" i="8"/>
  <c r="D288" i="8"/>
  <c r="K287" i="8"/>
  <c r="D287" i="8"/>
  <c r="M287" i="8" s="1"/>
  <c r="K286" i="8"/>
  <c r="D286" i="8"/>
  <c r="M286" i="8" s="1"/>
  <c r="P286" i="8" s="1"/>
  <c r="K285" i="8"/>
  <c r="D285" i="8"/>
  <c r="K284" i="8"/>
  <c r="D284" i="8"/>
  <c r="D281" i="8"/>
  <c r="K236" i="8"/>
  <c r="D236" i="8"/>
  <c r="L236" i="8" s="1"/>
  <c r="K235" i="8"/>
  <c r="D235" i="8"/>
  <c r="L235" i="8" s="1"/>
  <c r="K234" i="8"/>
  <c r="D234" i="8"/>
  <c r="L234" i="8" s="1"/>
  <c r="K233" i="8"/>
  <c r="D233" i="8"/>
  <c r="L233" i="8" s="1"/>
  <c r="K232" i="8"/>
  <c r="D232" i="8"/>
  <c r="L232" i="8" s="1"/>
  <c r="N228" i="8"/>
  <c r="P228" i="8" s="1"/>
  <c r="M228" i="8"/>
  <c r="D228" i="8"/>
  <c r="N227" i="8"/>
  <c r="P227" i="8" s="1"/>
  <c r="M227" i="8"/>
  <c r="D227" i="8"/>
  <c r="N226" i="8"/>
  <c r="P226" i="8" s="1"/>
  <c r="M226" i="8"/>
  <c r="D226" i="8"/>
  <c r="N225" i="8"/>
  <c r="P225" i="8" s="1"/>
  <c r="M225" i="8"/>
  <c r="D225" i="8"/>
  <c r="N220" i="8"/>
  <c r="P220" i="8" s="1"/>
  <c r="L220" i="8"/>
  <c r="D220" i="8"/>
  <c r="N219" i="8"/>
  <c r="P219" i="8" s="1"/>
  <c r="L219" i="8"/>
  <c r="D219" i="8"/>
  <c r="N218" i="8"/>
  <c r="P218" i="8" s="1"/>
  <c r="L218" i="8"/>
  <c r="D218" i="8"/>
  <c r="N217" i="8"/>
  <c r="P217" i="8" s="1"/>
  <c r="L217" i="8"/>
  <c r="D217" i="8"/>
  <c r="N216" i="8"/>
  <c r="P216" i="8" s="1"/>
  <c r="L216" i="8"/>
  <c r="D216" i="8"/>
  <c r="N215" i="8"/>
  <c r="P215" i="8" s="1"/>
  <c r="L215" i="8"/>
  <c r="D215" i="8"/>
  <c r="N214" i="8"/>
  <c r="P214" i="8" s="1"/>
  <c r="L214" i="8"/>
  <c r="D214" i="8"/>
  <c r="N213" i="8"/>
  <c r="P213" i="8" s="1"/>
  <c r="L213" i="8"/>
  <c r="D213" i="8"/>
  <c r="N212" i="8"/>
  <c r="P212" i="8" s="1"/>
  <c r="L212" i="8"/>
  <c r="D212" i="8"/>
  <c r="N211" i="8"/>
  <c r="P211" i="8" s="1"/>
  <c r="L211" i="8"/>
  <c r="D211" i="8"/>
  <c r="N210" i="8"/>
  <c r="P210" i="8" s="1"/>
  <c r="L210" i="8"/>
  <c r="D210" i="8"/>
  <c r="N209" i="8"/>
  <c r="P209" i="8" s="1"/>
  <c r="L209" i="8"/>
  <c r="D209" i="8"/>
  <c r="N208" i="8"/>
  <c r="P208" i="8" s="1"/>
  <c r="L208" i="8"/>
  <c r="D208" i="8"/>
  <c r="N207" i="8"/>
  <c r="P207" i="8" s="1"/>
  <c r="L207" i="8"/>
  <c r="D207" i="8"/>
  <c r="K203" i="8"/>
  <c r="D203" i="8"/>
  <c r="M203" i="8" s="1"/>
  <c r="P203" i="8" s="1"/>
  <c r="K202" i="8"/>
  <c r="D202" i="8"/>
  <c r="K201" i="8"/>
  <c r="D201" i="8"/>
  <c r="M201" i="8" s="1"/>
  <c r="P201" i="8" s="1"/>
  <c r="K200" i="8"/>
  <c r="D200" i="8"/>
  <c r="M200" i="8" s="1"/>
  <c r="P200" i="8" s="1"/>
  <c r="K199" i="8"/>
  <c r="D199" i="8"/>
  <c r="M199" i="8" s="1"/>
  <c r="P199" i="8" s="1"/>
  <c r="K198" i="8"/>
  <c r="D198" i="8"/>
  <c r="D195" i="8"/>
  <c r="K151" i="8"/>
  <c r="D151" i="8"/>
  <c r="L151" i="8" s="1"/>
  <c r="K150" i="8"/>
  <c r="D150" i="8"/>
  <c r="L150" i="8" s="1"/>
  <c r="K149" i="8"/>
  <c r="D149" i="8"/>
  <c r="L149" i="8" s="1"/>
  <c r="K148" i="8"/>
  <c r="D148" i="8"/>
  <c r="L148" i="8" s="1"/>
  <c r="K147" i="8"/>
  <c r="D147" i="8"/>
  <c r="L147" i="8" s="1"/>
  <c r="N143" i="8"/>
  <c r="P143" i="8" s="1"/>
  <c r="M143" i="8"/>
  <c r="D143" i="8"/>
  <c r="N142" i="8"/>
  <c r="P142" i="8" s="1"/>
  <c r="M142" i="8"/>
  <c r="D142" i="8"/>
  <c r="N141" i="8"/>
  <c r="P141" i="8" s="1"/>
  <c r="M141" i="8"/>
  <c r="D141" i="8"/>
  <c r="N140" i="8"/>
  <c r="P140" i="8" s="1"/>
  <c r="M140" i="8"/>
  <c r="D140" i="8"/>
  <c r="N135" i="8"/>
  <c r="P135" i="8" s="1"/>
  <c r="L135" i="8"/>
  <c r="D135" i="8"/>
  <c r="N134" i="8"/>
  <c r="P134" i="8" s="1"/>
  <c r="L134" i="8"/>
  <c r="D134" i="8"/>
  <c r="N133" i="8"/>
  <c r="P133" i="8" s="1"/>
  <c r="L133" i="8"/>
  <c r="D133" i="8"/>
  <c r="N132" i="8"/>
  <c r="P132" i="8" s="1"/>
  <c r="L132" i="8"/>
  <c r="D132" i="8"/>
  <c r="N131" i="8"/>
  <c r="P131" i="8" s="1"/>
  <c r="L131" i="8"/>
  <c r="D131" i="8"/>
  <c r="N130" i="8"/>
  <c r="P130" i="8" s="1"/>
  <c r="L130" i="8"/>
  <c r="D130" i="8"/>
  <c r="N129" i="8"/>
  <c r="P129" i="8" s="1"/>
  <c r="L129" i="8"/>
  <c r="D129" i="8"/>
  <c r="N128" i="8"/>
  <c r="P128" i="8" s="1"/>
  <c r="L128" i="8"/>
  <c r="D128" i="8"/>
  <c r="N127" i="8"/>
  <c r="P127" i="8" s="1"/>
  <c r="L127" i="8"/>
  <c r="D127" i="8"/>
  <c r="N126" i="8"/>
  <c r="P126" i="8" s="1"/>
  <c r="L126" i="8"/>
  <c r="D126" i="8"/>
  <c r="N125" i="8"/>
  <c r="P125" i="8" s="1"/>
  <c r="L125" i="8"/>
  <c r="D125" i="8"/>
  <c r="N124" i="8"/>
  <c r="P124" i="8" s="1"/>
  <c r="L124" i="8"/>
  <c r="D124" i="8"/>
  <c r="N123" i="8"/>
  <c r="P123" i="8" s="1"/>
  <c r="L123" i="8"/>
  <c r="D123" i="8"/>
  <c r="N122" i="8"/>
  <c r="P122" i="8" s="1"/>
  <c r="L122" i="8"/>
  <c r="D122" i="8"/>
  <c r="K118" i="8"/>
  <c r="D118" i="8"/>
  <c r="M118" i="8" s="1"/>
  <c r="P118" i="8" s="1"/>
  <c r="K117" i="8"/>
  <c r="D117" i="8"/>
  <c r="K116" i="8"/>
  <c r="D116" i="8"/>
  <c r="M116" i="8" s="1"/>
  <c r="P116" i="8" s="1"/>
  <c r="K115" i="8"/>
  <c r="D115" i="8"/>
  <c r="M115" i="8" s="1"/>
  <c r="P115" i="8" s="1"/>
  <c r="K114" i="8"/>
  <c r="D114" i="8"/>
  <c r="M114" i="8" s="1"/>
  <c r="P114" i="8" s="1"/>
  <c r="K113" i="8"/>
  <c r="D113" i="8"/>
  <c r="D110" i="8"/>
  <c r="K65" i="8"/>
  <c r="D65" i="8"/>
  <c r="L65" i="8" s="1"/>
  <c r="K64" i="8"/>
  <c r="D64" i="8"/>
  <c r="L64" i="8" s="1"/>
  <c r="K63" i="8"/>
  <c r="D63" i="8"/>
  <c r="L63" i="8" s="1"/>
  <c r="K62" i="8"/>
  <c r="D62" i="8"/>
  <c r="L62" i="8" s="1"/>
  <c r="K61" i="8"/>
  <c r="D61" i="8"/>
  <c r="L61" i="8" s="1"/>
  <c r="N57" i="8"/>
  <c r="P57" i="8" s="1"/>
  <c r="M57" i="8"/>
  <c r="D57" i="8"/>
  <c r="N56" i="8"/>
  <c r="P56" i="8" s="1"/>
  <c r="M56" i="8"/>
  <c r="D56" i="8"/>
  <c r="N55" i="8"/>
  <c r="P55" i="8" s="1"/>
  <c r="M55" i="8"/>
  <c r="D55" i="8"/>
  <c r="N54" i="8"/>
  <c r="P54" i="8" s="1"/>
  <c r="M54" i="8"/>
  <c r="D54" i="8"/>
  <c r="N49" i="8"/>
  <c r="P49" i="8" s="1"/>
  <c r="L49" i="8"/>
  <c r="D49" i="8"/>
  <c r="N48" i="8"/>
  <c r="P48" i="8" s="1"/>
  <c r="L48" i="8"/>
  <c r="D48" i="8"/>
  <c r="N47" i="8"/>
  <c r="P47" i="8" s="1"/>
  <c r="L47" i="8"/>
  <c r="D47" i="8"/>
  <c r="N46" i="8"/>
  <c r="P46" i="8" s="1"/>
  <c r="L46" i="8"/>
  <c r="D46" i="8"/>
  <c r="N45" i="8"/>
  <c r="P45" i="8" s="1"/>
  <c r="L45" i="8"/>
  <c r="D45" i="8"/>
  <c r="N44" i="8"/>
  <c r="P44" i="8" s="1"/>
  <c r="L44" i="8"/>
  <c r="D44" i="8"/>
  <c r="N43" i="8"/>
  <c r="P43" i="8" s="1"/>
  <c r="L43" i="8"/>
  <c r="D43" i="8"/>
  <c r="N42" i="8"/>
  <c r="P42" i="8" s="1"/>
  <c r="L42" i="8"/>
  <c r="D42" i="8"/>
  <c r="N41" i="8"/>
  <c r="P41" i="8" s="1"/>
  <c r="L41" i="8"/>
  <c r="D41" i="8"/>
  <c r="N40" i="8"/>
  <c r="P40" i="8" s="1"/>
  <c r="L40" i="8"/>
  <c r="D40" i="8"/>
  <c r="N39" i="8"/>
  <c r="P39" i="8" s="1"/>
  <c r="L39" i="8"/>
  <c r="D39" i="8"/>
  <c r="N38" i="8"/>
  <c r="P38" i="8" s="1"/>
  <c r="L38" i="8"/>
  <c r="D38" i="8"/>
  <c r="N37" i="8"/>
  <c r="P37" i="8" s="1"/>
  <c r="L37" i="8"/>
  <c r="D37" i="8"/>
  <c r="N36" i="8"/>
  <c r="P36" i="8" s="1"/>
  <c r="L36" i="8"/>
  <c r="D36" i="8"/>
  <c r="K32" i="8"/>
  <c r="D32" i="8"/>
  <c r="K31" i="8"/>
  <c r="D31" i="8"/>
  <c r="K30" i="8"/>
  <c r="D30" i="8"/>
  <c r="M30" i="8" s="1"/>
  <c r="P30" i="8" s="1"/>
  <c r="K29" i="8"/>
  <c r="D29" i="8"/>
  <c r="M29" i="8" s="1"/>
  <c r="P29" i="8" s="1"/>
  <c r="K28" i="8"/>
  <c r="D28" i="8"/>
  <c r="K27" i="8"/>
  <c r="D27" i="8"/>
  <c r="D24" i="8"/>
  <c r="M601" i="8"/>
  <c r="E601" i="8"/>
  <c r="M600" i="8"/>
  <c r="E600" i="8"/>
  <c r="M599" i="8"/>
  <c r="E599" i="8"/>
  <c r="L598" i="8"/>
  <c r="D598" i="8"/>
  <c r="M590" i="8"/>
  <c r="M589" i="8"/>
  <c r="M588" i="8"/>
  <c r="A545" i="8"/>
  <c r="A546" i="8" s="1"/>
  <c r="A547" i="8" s="1"/>
  <c r="A548" i="8" s="1"/>
  <c r="A549" i="8" s="1"/>
  <c r="A550" i="8" s="1"/>
  <c r="A551" i="8" s="1"/>
  <c r="A552" i="8" s="1"/>
  <c r="A553" i="8" s="1"/>
  <c r="A554" i="8" s="1"/>
  <c r="A555" i="8" s="1"/>
  <c r="A556" i="8" s="1"/>
  <c r="A557" i="8" s="1"/>
  <c r="A558" i="8" s="1"/>
  <c r="A559" i="8" s="1"/>
  <c r="A560" i="8" s="1"/>
  <c r="A561" i="8" s="1"/>
  <c r="A562" i="8" s="1"/>
  <c r="A563" i="8" s="1"/>
  <c r="A564" i="8" s="1"/>
  <c r="A565" i="8" s="1"/>
  <c r="A566" i="8" s="1"/>
  <c r="A567" i="8" s="1"/>
  <c r="A568" i="8" s="1"/>
  <c r="A569" i="8" s="1"/>
  <c r="A570" i="8" s="1"/>
  <c r="A571" i="8" s="1"/>
  <c r="A572" i="8" s="1"/>
  <c r="A573" i="8" s="1"/>
  <c r="A574" i="8" s="1"/>
  <c r="A575" i="8" s="1"/>
  <c r="A576" i="8" s="1"/>
  <c r="A577" i="8" s="1"/>
  <c r="A578" i="8" s="1"/>
  <c r="A579" i="8" s="1"/>
  <c r="A580" i="8" s="1"/>
  <c r="A581" i="8" s="1"/>
  <c r="A582" i="8" s="1"/>
  <c r="A583" i="8" s="1"/>
  <c r="A584" i="8" s="1"/>
  <c r="A544" i="8"/>
  <c r="P534" i="8"/>
  <c r="O534" i="8"/>
  <c r="N534" i="8"/>
  <c r="O527" i="8"/>
  <c r="H521" i="8"/>
  <c r="G521" i="8"/>
  <c r="E521" i="8"/>
  <c r="D520" i="8"/>
  <c r="M514" i="8"/>
  <c r="E514" i="8"/>
  <c r="M513" i="8"/>
  <c r="E513" i="8"/>
  <c r="M512" i="8"/>
  <c r="E512" i="8"/>
  <c r="L511" i="8"/>
  <c r="D511" i="8"/>
  <c r="M503" i="8"/>
  <c r="M502" i="8"/>
  <c r="M501" i="8"/>
  <c r="A467" i="8"/>
  <c r="A468" i="8" s="1"/>
  <c r="A469" i="8" s="1"/>
  <c r="A470" i="8" s="1"/>
  <c r="A471" i="8" s="1"/>
  <c r="A472" i="8" s="1"/>
  <c r="A473" i="8" s="1"/>
  <c r="A474" i="8" s="1"/>
  <c r="A475" i="8" s="1"/>
  <c r="A476" i="8" s="1"/>
  <c r="A477" i="8" s="1"/>
  <c r="A478" i="8" s="1"/>
  <c r="A479" i="8" s="1"/>
  <c r="A480" i="8" s="1"/>
  <c r="A481" i="8" s="1"/>
  <c r="A482" i="8" s="1"/>
  <c r="A483" i="8" s="1"/>
  <c r="A484" i="8" s="1"/>
  <c r="A485" i="8" s="1"/>
  <c r="A486" i="8" s="1"/>
  <c r="A487" i="8" s="1"/>
  <c r="A488" i="8" s="1"/>
  <c r="A489" i="8" s="1"/>
  <c r="A490" i="8" s="1"/>
  <c r="A491" i="8" s="1"/>
  <c r="A492" i="8" s="1"/>
  <c r="A493" i="8" s="1"/>
  <c r="A494" i="8" s="1"/>
  <c r="A495" i="8" s="1"/>
  <c r="A496" i="8" s="1"/>
  <c r="A497" i="8" s="1"/>
  <c r="A458" i="8"/>
  <c r="A459" i="8" s="1"/>
  <c r="P447" i="8"/>
  <c r="O447" i="8"/>
  <c r="N447" i="8"/>
  <c r="O440" i="8"/>
  <c r="H434" i="8"/>
  <c r="G434" i="8"/>
  <c r="E434" i="8"/>
  <c r="D433" i="8"/>
  <c r="M428" i="8"/>
  <c r="E428" i="8"/>
  <c r="M427" i="8"/>
  <c r="E427" i="8"/>
  <c r="M426" i="8"/>
  <c r="E426" i="8"/>
  <c r="L425" i="8"/>
  <c r="D425" i="8"/>
  <c r="M417" i="8"/>
  <c r="M416" i="8"/>
  <c r="M415" i="8"/>
  <c r="A372" i="8"/>
  <c r="A373" i="8" s="1"/>
  <c r="A374" i="8" s="1"/>
  <c r="A375" i="8" s="1"/>
  <c r="A376" i="8" s="1"/>
  <c r="A377" i="8" s="1"/>
  <c r="A378" i="8" s="1"/>
  <c r="A379" i="8" s="1"/>
  <c r="A380" i="8" s="1"/>
  <c r="A381" i="8" s="1"/>
  <c r="A382" i="8" s="1"/>
  <c r="A383" i="8" s="1"/>
  <c r="A384" i="8" s="1"/>
  <c r="A385" i="8" s="1"/>
  <c r="A386" i="8" s="1"/>
  <c r="A387" i="8" s="1"/>
  <c r="A388" i="8" s="1"/>
  <c r="A389" i="8" s="1"/>
  <c r="A390" i="8" s="1"/>
  <c r="A391" i="8" s="1"/>
  <c r="A392" i="8" s="1"/>
  <c r="A393" i="8" s="1"/>
  <c r="A394" i="8" s="1"/>
  <c r="A395" i="8" s="1"/>
  <c r="A396" i="8" s="1"/>
  <c r="A397" i="8" s="1"/>
  <c r="A398" i="8" s="1"/>
  <c r="A399" i="8" s="1"/>
  <c r="A400" i="8" s="1"/>
  <c r="A401" i="8" s="1"/>
  <c r="A402" i="8" s="1"/>
  <c r="A403" i="8" s="1"/>
  <c r="A404" i="8" s="1"/>
  <c r="A405" i="8" s="1"/>
  <c r="A406" i="8" s="1"/>
  <c r="A407" i="8" s="1"/>
  <c r="A408" i="8" s="1"/>
  <c r="A409" i="8" s="1"/>
  <c r="A410" i="8" s="1"/>
  <c r="A411" i="8" s="1"/>
  <c r="A371" i="8"/>
  <c r="P361" i="8"/>
  <c r="O361" i="8"/>
  <c r="N361" i="8"/>
  <c r="O354" i="8"/>
  <c r="H348" i="8"/>
  <c r="G348" i="8"/>
  <c r="E348" i="8"/>
  <c r="D347" i="8"/>
  <c r="M341" i="8"/>
  <c r="E341" i="8"/>
  <c r="M340" i="8"/>
  <c r="E340" i="8"/>
  <c r="M339" i="8"/>
  <c r="E339" i="8"/>
  <c r="L338" i="8"/>
  <c r="D338" i="8"/>
  <c r="M330" i="8"/>
  <c r="M329" i="8"/>
  <c r="M328" i="8"/>
  <c r="A285" i="8"/>
  <c r="A286" i="8" s="1"/>
  <c r="A287" i="8" s="1"/>
  <c r="A288" i="8" s="1"/>
  <c r="A289" i="8" s="1"/>
  <c r="A290" i="8" s="1"/>
  <c r="A291" i="8" s="1"/>
  <c r="A292" i="8" s="1"/>
  <c r="A293" i="8" s="1"/>
  <c r="A294" i="8" s="1"/>
  <c r="A295" i="8" s="1"/>
  <c r="A296" i="8" s="1"/>
  <c r="A297" i="8" s="1"/>
  <c r="A298" i="8" s="1"/>
  <c r="A299" i="8" s="1"/>
  <c r="A300" i="8" s="1"/>
  <c r="A301" i="8" s="1"/>
  <c r="A302" i="8" s="1"/>
  <c r="A303" i="8" s="1"/>
  <c r="A304" i="8" s="1"/>
  <c r="A305" i="8" s="1"/>
  <c r="A306" i="8" s="1"/>
  <c r="A307" i="8" s="1"/>
  <c r="A308" i="8" s="1"/>
  <c r="A309" i="8" s="1"/>
  <c r="A310" i="8" s="1"/>
  <c r="A311" i="8" s="1"/>
  <c r="A312" i="8" s="1"/>
  <c r="A313" i="8" s="1"/>
  <c r="A314" i="8" s="1"/>
  <c r="A315" i="8" s="1"/>
  <c r="A316" i="8" s="1"/>
  <c r="A317" i="8" s="1"/>
  <c r="A318" i="8" s="1"/>
  <c r="A319" i="8" s="1"/>
  <c r="A320" i="8" s="1"/>
  <c r="A321" i="8" s="1"/>
  <c r="A322" i="8" s="1"/>
  <c r="A323" i="8" s="1"/>
  <c r="A324" i="8" s="1"/>
  <c r="A284" i="8"/>
  <c r="P274" i="8"/>
  <c r="O274" i="8"/>
  <c r="N274" i="8"/>
  <c r="O267" i="8"/>
  <c r="H261" i="8"/>
  <c r="G261" i="8"/>
  <c r="E261" i="8"/>
  <c r="D260" i="8"/>
  <c r="M255" i="8"/>
  <c r="E255" i="8"/>
  <c r="M254" i="8"/>
  <c r="E254" i="8"/>
  <c r="M253" i="8"/>
  <c r="E253" i="8"/>
  <c r="L252" i="8"/>
  <c r="D252" i="8"/>
  <c r="M244" i="8"/>
  <c r="M243" i="8"/>
  <c r="M242" i="8"/>
  <c r="A199" i="8"/>
  <c r="A200" i="8" s="1"/>
  <c r="A201" i="8" s="1"/>
  <c r="A202" i="8" s="1"/>
  <c r="A203" i="8" s="1"/>
  <c r="A204" i="8" s="1"/>
  <c r="A205" i="8" s="1"/>
  <c r="A206" i="8" s="1"/>
  <c r="A207" i="8" s="1"/>
  <c r="A208" i="8" s="1"/>
  <c r="A209" i="8" s="1"/>
  <c r="A210" i="8" s="1"/>
  <c r="A211" i="8" s="1"/>
  <c r="A212" i="8" s="1"/>
  <c r="A213" i="8" s="1"/>
  <c r="A214" i="8" s="1"/>
  <c r="A215" i="8" s="1"/>
  <c r="A216" i="8" s="1"/>
  <c r="A217" i="8" s="1"/>
  <c r="A218" i="8" s="1"/>
  <c r="A219" i="8" s="1"/>
  <c r="A220" i="8" s="1"/>
  <c r="A221" i="8" s="1"/>
  <c r="A222" i="8" s="1"/>
  <c r="A223" i="8" s="1"/>
  <c r="A224" i="8" s="1"/>
  <c r="A225" i="8" s="1"/>
  <c r="A226" i="8" s="1"/>
  <c r="A227" i="8" s="1"/>
  <c r="A228" i="8" s="1"/>
  <c r="A229" i="8" s="1"/>
  <c r="A230" i="8" s="1"/>
  <c r="A231" i="8" s="1"/>
  <c r="A232" i="8" s="1"/>
  <c r="A233" i="8" s="1"/>
  <c r="A234" i="8" s="1"/>
  <c r="A235" i="8" s="1"/>
  <c r="A236" i="8" s="1"/>
  <c r="A237" i="8" s="1"/>
  <c r="A238" i="8" s="1"/>
  <c r="A198" i="8"/>
  <c r="P188" i="8"/>
  <c r="O188" i="8"/>
  <c r="N188" i="8"/>
  <c r="O181" i="8"/>
  <c r="H175" i="8"/>
  <c r="G175" i="8"/>
  <c r="E175" i="8"/>
  <c r="D174" i="8"/>
  <c r="M170" i="8"/>
  <c r="E170" i="8"/>
  <c r="M169" i="8"/>
  <c r="E169" i="8"/>
  <c r="M168" i="8"/>
  <c r="E168" i="8"/>
  <c r="L167" i="8"/>
  <c r="D167" i="8"/>
  <c r="M159" i="8"/>
  <c r="M158" i="8"/>
  <c r="M157" i="8"/>
  <c r="A114" i="8"/>
  <c r="A115" i="8" s="1"/>
  <c r="A116" i="8" s="1"/>
  <c r="A117" i="8" s="1"/>
  <c r="A118" i="8" s="1"/>
  <c r="A119" i="8" s="1"/>
  <c r="A120" i="8" s="1"/>
  <c r="A121" i="8" s="1"/>
  <c r="A122" i="8" s="1"/>
  <c r="A123" i="8" s="1"/>
  <c r="A124" i="8" s="1"/>
  <c r="A125" i="8" s="1"/>
  <c r="A126" i="8" s="1"/>
  <c r="A127" i="8" s="1"/>
  <c r="A128" i="8" s="1"/>
  <c r="A129" i="8" s="1"/>
  <c r="A130" i="8" s="1"/>
  <c r="A131" i="8" s="1"/>
  <c r="A132" i="8" s="1"/>
  <c r="A133" i="8" s="1"/>
  <c r="A134" i="8" s="1"/>
  <c r="A135" i="8" s="1"/>
  <c r="A136" i="8" s="1"/>
  <c r="A137" i="8" s="1"/>
  <c r="A138" i="8" s="1"/>
  <c r="A139" i="8" s="1"/>
  <c r="A140" i="8" s="1"/>
  <c r="A141" i="8" s="1"/>
  <c r="A142" i="8" s="1"/>
  <c r="A143" i="8" s="1"/>
  <c r="A144" i="8" s="1"/>
  <c r="A145" i="8" s="1"/>
  <c r="A146" i="8" s="1"/>
  <c r="A147" i="8" s="1"/>
  <c r="A148" i="8" s="1"/>
  <c r="A149" i="8" s="1"/>
  <c r="A150" i="8" s="1"/>
  <c r="A151" i="8" s="1"/>
  <c r="A152" i="8" s="1"/>
  <c r="A153" i="8" s="1"/>
  <c r="A113" i="8"/>
  <c r="P103" i="8"/>
  <c r="O103" i="8"/>
  <c r="N103" i="8"/>
  <c r="O96" i="8"/>
  <c r="H90" i="8"/>
  <c r="G90" i="8"/>
  <c r="E90" i="8"/>
  <c r="D89" i="8"/>
  <c r="M84" i="8"/>
  <c r="E84" i="8"/>
  <c r="M83" i="8"/>
  <c r="E83" i="8"/>
  <c r="M82" i="8"/>
  <c r="E82" i="8"/>
  <c r="L81" i="8"/>
  <c r="D81" i="8"/>
  <c r="M73" i="8"/>
  <c r="M72" i="8"/>
  <c r="M71" i="8"/>
  <c r="A28" i="8"/>
  <c r="A29" i="8" s="1"/>
  <c r="A30" i="8" s="1"/>
  <c r="A31" i="8" s="1"/>
  <c r="A32" i="8" s="1"/>
  <c r="A33" i="8" s="1"/>
  <c r="A34" i="8" s="1"/>
  <c r="A35" i="8" s="1"/>
  <c r="A36" i="8" s="1"/>
  <c r="A37" i="8" s="1"/>
  <c r="A38" i="8" s="1"/>
  <c r="A39" i="8" s="1"/>
  <c r="A40" i="8" s="1"/>
  <c r="A41" i="8" s="1"/>
  <c r="A42" i="8" s="1"/>
  <c r="A43" i="8" s="1"/>
  <c r="A44" i="8" s="1"/>
  <c r="A45" i="8" s="1"/>
  <c r="A46" i="8" s="1"/>
  <c r="A47" i="8" s="1"/>
  <c r="A48" i="8" s="1"/>
  <c r="A49" i="8" s="1"/>
  <c r="A50" i="8" s="1"/>
  <c r="A51" i="8" s="1"/>
  <c r="A52" i="8" s="1"/>
  <c r="A53" i="8" s="1"/>
  <c r="A54" i="8" s="1"/>
  <c r="A55" i="8" s="1"/>
  <c r="A56" i="8" s="1"/>
  <c r="A57" i="8" s="1"/>
  <c r="A58" i="8" s="1"/>
  <c r="A59" i="8" s="1"/>
  <c r="A60" i="8" s="1"/>
  <c r="A61" i="8" s="1"/>
  <c r="A62" i="8" s="1"/>
  <c r="A63" i="8" s="1"/>
  <c r="A64" i="8" s="1"/>
  <c r="A65" i="8" s="1"/>
  <c r="A66" i="8" s="1"/>
  <c r="A67" i="8" s="1"/>
  <c r="A27" i="8"/>
  <c r="P17" i="8"/>
  <c r="O17" i="8"/>
  <c r="N17" i="8"/>
  <c r="O10" i="8"/>
  <c r="H4" i="8"/>
  <c r="G4" i="8"/>
  <c r="E4" i="8"/>
  <c r="D3" i="8"/>
  <c r="K1531" i="7"/>
  <c r="D1531" i="7"/>
  <c r="L1531" i="7" s="1"/>
  <c r="K1530" i="7"/>
  <c r="D1530" i="7"/>
  <c r="L1530" i="7" s="1"/>
  <c r="K1529" i="7"/>
  <c r="D1529" i="7"/>
  <c r="L1529" i="7" s="1"/>
  <c r="K1528" i="7"/>
  <c r="D1528" i="7"/>
  <c r="L1528" i="7" s="1"/>
  <c r="K1527" i="7"/>
  <c r="D1527" i="7"/>
  <c r="L1527" i="7" s="1"/>
  <c r="N1523" i="7"/>
  <c r="P1523" i="7" s="1"/>
  <c r="M1523" i="7"/>
  <c r="D1523" i="7"/>
  <c r="N1522" i="7"/>
  <c r="P1522" i="7" s="1"/>
  <c r="M1522" i="7"/>
  <c r="D1522" i="7"/>
  <c r="N1521" i="7"/>
  <c r="P1521" i="7" s="1"/>
  <c r="M1521" i="7"/>
  <c r="D1521" i="7"/>
  <c r="N1520" i="7"/>
  <c r="P1520" i="7" s="1"/>
  <c r="M1520" i="7"/>
  <c r="D1520" i="7"/>
  <c r="N1515" i="7"/>
  <c r="P1515" i="7" s="1"/>
  <c r="L1515" i="7"/>
  <c r="D1515" i="7"/>
  <c r="N1514" i="7"/>
  <c r="P1514" i="7" s="1"/>
  <c r="L1514" i="7"/>
  <c r="D1514" i="7"/>
  <c r="N1513" i="7"/>
  <c r="P1513" i="7" s="1"/>
  <c r="L1513" i="7"/>
  <c r="D1513" i="7"/>
  <c r="N1512" i="7"/>
  <c r="P1512" i="7" s="1"/>
  <c r="L1512" i="7"/>
  <c r="D1512" i="7"/>
  <c r="N1511" i="7"/>
  <c r="P1511" i="7" s="1"/>
  <c r="L1511" i="7"/>
  <c r="D1511" i="7"/>
  <c r="N1510" i="7"/>
  <c r="P1510" i="7" s="1"/>
  <c r="L1510" i="7"/>
  <c r="D1510" i="7"/>
  <c r="N1509" i="7"/>
  <c r="P1509" i="7" s="1"/>
  <c r="L1509" i="7"/>
  <c r="D1509" i="7"/>
  <c r="N1508" i="7"/>
  <c r="P1508" i="7" s="1"/>
  <c r="L1508" i="7"/>
  <c r="D1508" i="7"/>
  <c r="N1507" i="7"/>
  <c r="P1507" i="7" s="1"/>
  <c r="L1507" i="7"/>
  <c r="D1507" i="7"/>
  <c r="N1506" i="7"/>
  <c r="P1506" i="7" s="1"/>
  <c r="L1506" i="7"/>
  <c r="D1506" i="7"/>
  <c r="N1505" i="7"/>
  <c r="P1505" i="7" s="1"/>
  <c r="L1505" i="7"/>
  <c r="D1505" i="7"/>
  <c r="N1504" i="7"/>
  <c r="P1504" i="7" s="1"/>
  <c r="L1504" i="7"/>
  <c r="D1504" i="7"/>
  <c r="N1503" i="7"/>
  <c r="P1503" i="7" s="1"/>
  <c r="L1503" i="7"/>
  <c r="D1503" i="7"/>
  <c r="N1502" i="7"/>
  <c r="P1502" i="7" s="1"/>
  <c r="L1502" i="7"/>
  <c r="D1502" i="7"/>
  <c r="K1498" i="7"/>
  <c r="D1498" i="7"/>
  <c r="M1498" i="7" s="1"/>
  <c r="P1498" i="7" s="1"/>
  <c r="K1497" i="7"/>
  <c r="D1497" i="7"/>
  <c r="M1497" i="7" s="1"/>
  <c r="P1497" i="7" s="1"/>
  <c r="K1496" i="7"/>
  <c r="D1496" i="7"/>
  <c r="M1496" i="7" s="1"/>
  <c r="P1496" i="7" s="1"/>
  <c r="K1495" i="7"/>
  <c r="D1495" i="7"/>
  <c r="M1495" i="7" s="1"/>
  <c r="P1495" i="7" s="1"/>
  <c r="N1494" i="7"/>
  <c r="K1494" i="7"/>
  <c r="D1494" i="7"/>
  <c r="K1493" i="7"/>
  <c r="D1493" i="7"/>
  <c r="D1490" i="7"/>
  <c r="K1444" i="7"/>
  <c r="D1444" i="7"/>
  <c r="L1444" i="7" s="1"/>
  <c r="K1443" i="7"/>
  <c r="D1443" i="7"/>
  <c r="L1443" i="7" s="1"/>
  <c r="K1442" i="7"/>
  <c r="D1442" i="7"/>
  <c r="L1442" i="7" s="1"/>
  <c r="K1441" i="7"/>
  <c r="D1441" i="7"/>
  <c r="L1441" i="7" s="1"/>
  <c r="K1440" i="7"/>
  <c r="D1440" i="7"/>
  <c r="L1440" i="7" s="1"/>
  <c r="N1436" i="7"/>
  <c r="P1436" i="7" s="1"/>
  <c r="M1436" i="7"/>
  <c r="D1436" i="7"/>
  <c r="N1435" i="7"/>
  <c r="P1435" i="7" s="1"/>
  <c r="M1435" i="7"/>
  <c r="D1435" i="7"/>
  <c r="N1434" i="7"/>
  <c r="P1434" i="7" s="1"/>
  <c r="M1434" i="7"/>
  <c r="D1434" i="7"/>
  <c r="N1433" i="7"/>
  <c r="P1433" i="7" s="1"/>
  <c r="M1433" i="7"/>
  <c r="D1433" i="7"/>
  <c r="N1428" i="7"/>
  <c r="P1428" i="7" s="1"/>
  <c r="L1428" i="7"/>
  <c r="D1428" i="7"/>
  <c r="N1427" i="7"/>
  <c r="P1427" i="7" s="1"/>
  <c r="L1427" i="7"/>
  <c r="D1427" i="7"/>
  <c r="N1426" i="7"/>
  <c r="P1426" i="7" s="1"/>
  <c r="L1426" i="7"/>
  <c r="D1426" i="7"/>
  <c r="N1425" i="7"/>
  <c r="P1425" i="7" s="1"/>
  <c r="L1425" i="7"/>
  <c r="D1425" i="7"/>
  <c r="N1424" i="7"/>
  <c r="P1424" i="7" s="1"/>
  <c r="L1424" i="7"/>
  <c r="D1424" i="7"/>
  <c r="N1423" i="7"/>
  <c r="P1423" i="7" s="1"/>
  <c r="L1423" i="7"/>
  <c r="D1423" i="7"/>
  <c r="N1422" i="7"/>
  <c r="P1422" i="7" s="1"/>
  <c r="L1422" i="7"/>
  <c r="D1422" i="7"/>
  <c r="N1421" i="7"/>
  <c r="P1421" i="7" s="1"/>
  <c r="L1421" i="7"/>
  <c r="D1421" i="7"/>
  <c r="N1420" i="7"/>
  <c r="P1420" i="7" s="1"/>
  <c r="L1420" i="7"/>
  <c r="D1420" i="7"/>
  <c r="N1419" i="7"/>
  <c r="P1419" i="7" s="1"/>
  <c r="L1419" i="7"/>
  <c r="D1419" i="7"/>
  <c r="N1418" i="7"/>
  <c r="P1418" i="7" s="1"/>
  <c r="L1418" i="7"/>
  <c r="D1418" i="7"/>
  <c r="N1417" i="7"/>
  <c r="P1417" i="7" s="1"/>
  <c r="L1417" i="7"/>
  <c r="D1417" i="7"/>
  <c r="N1416" i="7"/>
  <c r="P1416" i="7" s="1"/>
  <c r="L1416" i="7"/>
  <c r="D1416" i="7"/>
  <c r="L1415" i="7"/>
  <c r="D1415" i="7"/>
  <c r="K1411" i="7"/>
  <c r="D1411" i="7"/>
  <c r="M1411" i="7" s="1"/>
  <c r="P1411" i="7" s="1"/>
  <c r="K1410" i="7"/>
  <c r="D1410" i="7"/>
  <c r="K1409" i="7"/>
  <c r="D1409" i="7"/>
  <c r="N1408" i="7"/>
  <c r="K1408" i="7"/>
  <c r="D1408" i="7"/>
  <c r="K1407" i="7"/>
  <c r="D1407" i="7"/>
  <c r="K1406" i="7"/>
  <c r="D1406" i="7"/>
  <c r="D1403" i="7"/>
  <c r="K1357" i="7"/>
  <c r="D1357" i="7"/>
  <c r="L1357" i="7" s="1"/>
  <c r="K1356" i="7"/>
  <c r="D1356" i="7"/>
  <c r="L1356" i="7" s="1"/>
  <c r="K1355" i="7"/>
  <c r="D1355" i="7"/>
  <c r="L1355" i="7" s="1"/>
  <c r="N1354" i="7"/>
  <c r="K1354" i="7"/>
  <c r="D1354" i="7"/>
  <c r="L1354" i="7" s="1"/>
  <c r="K1353" i="7"/>
  <c r="D1353" i="7"/>
  <c r="L1353" i="7" s="1"/>
  <c r="N1349" i="7"/>
  <c r="P1349" i="7" s="1"/>
  <c r="M1349" i="7"/>
  <c r="D1349" i="7"/>
  <c r="N1348" i="7"/>
  <c r="P1348" i="7" s="1"/>
  <c r="M1348" i="7"/>
  <c r="D1348" i="7"/>
  <c r="N1347" i="7"/>
  <c r="P1347" i="7" s="1"/>
  <c r="M1347" i="7"/>
  <c r="D1347" i="7"/>
  <c r="N1346" i="7"/>
  <c r="P1346" i="7" s="1"/>
  <c r="M1346" i="7"/>
  <c r="D1346" i="7"/>
  <c r="N1341" i="7"/>
  <c r="P1341" i="7" s="1"/>
  <c r="L1341" i="7"/>
  <c r="D1341" i="7"/>
  <c r="N1340" i="7"/>
  <c r="P1340" i="7" s="1"/>
  <c r="L1340" i="7"/>
  <c r="D1340" i="7"/>
  <c r="N1339" i="7"/>
  <c r="P1339" i="7" s="1"/>
  <c r="L1339" i="7"/>
  <c r="D1339" i="7"/>
  <c r="N1338" i="7"/>
  <c r="P1338" i="7" s="1"/>
  <c r="L1338" i="7"/>
  <c r="D1338" i="7"/>
  <c r="N1337" i="7"/>
  <c r="P1337" i="7" s="1"/>
  <c r="L1337" i="7"/>
  <c r="D1337" i="7"/>
  <c r="N1336" i="7"/>
  <c r="P1336" i="7" s="1"/>
  <c r="L1336" i="7"/>
  <c r="D1336" i="7"/>
  <c r="N1335" i="7"/>
  <c r="P1335" i="7" s="1"/>
  <c r="L1335" i="7"/>
  <c r="D1335" i="7"/>
  <c r="N1334" i="7"/>
  <c r="P1334" i="7" s="1"/>
  <c r="L1334" i="7"/>
  <c r="D1334" i="7"/>
  <c r="N1332" i="7"/>
  <c r="P1332" i="7" s="1"/>
  <c r="L1332" i="7"/>
  <c r="D1332" i="7"/>
  <c r="N1331" i="7"/>
  <c r="P1331" i="7" s="1"/>
  <c r="L1331" i="7"/>
  <c r="D1331" i="7"/>
  <c r="N1330" i="7"/>
  <c r="P1330" i="7" s="1"/>
  <c r="L1330" i="7"/>
  <c r="D1330" i="7"/>
  <c r="N1329" i="7"/>
  <c r="P1329" i="7" s="1"/>
  <c r="L1329" i="7"/>
  <c r="D1329" i="7"/>
  <c r="K1324" i="7"/>
  <c r="D1324" i="7"/>
  <c r="M1324" i="7" s="1"/>
  <c r="P1324" i="7" s="1"/>
  <c r="N1323" i="7"/>
  <c r="K1323" i="7"/>
  <c r="D1323" i="7"/>
  <c r="M1323" i="7" s="1"/>
  <c r="K1322" i="7"/>
  <c r="D1322" i="7"/>
  <c r="K1321" i="7"/>
  <c r="D1321" i="7"/>
  <c r="M1321" i="7" s="1"/>
  <c r="P1321" i="7" s="1"/>
  <c r="K1319" i="7"/>
  <c r="D1319" i="7"/>
  <c r="D1316" i="7"/>
  <c r="K1271" i="7"/>
  <c r="D1271" i="7"/>
  <c r="L1271" i="7" s="1"/>
  <c r="K1270" i="7"/>
  <c r="D1270" i="7"/>
  <c r="L1270" i="7" s="1"/>
  <c r="K1269" i="7"/>
  <c r="D1269" i="7"/>
  <c r="L1269" i="7" s="1"/>
  <c r="N1268" i="7"/>
  <c r="K1268" i="7"/>
  <c r="D1268" i="7"/>
  <c r="L1268" i="7" s="1"/>
  <c r="K1267" i="7"/>
  <c r="D1267" i="7"/>
  <c r="L1267" i="7" s="1"/>
  <c r="N1263" i="7"/>
  <c r="P1263" i="7" s="1"/>
  <c r="M1263" i="7"/>
  <c r="D1263" i="7"/>
  <c r="N1262" i="7"/>
  <c r="P1262" i="7" s="1"/>
  <c r="M1262" i="7"/>
  <c r="D1262" i="7"/>
  <c r="N1261" i="7"/>
  <c r="P1261" i="7" s="1"/>
  <c r="M1261" i="7"/>
  <c r="D1261" i="7"/>
  <c r="N1260" i="7"/>
  <c r="P1260" i="7" s="1"/>
  <c r="M1260" i="7"/>
  <c r="D1260" i="7"/>
  <c r="N1255" i="7"/>
  <c r="P1255" i="7" s="1"/>
  <c r="L1255" i="7"/>
  <c r="D1255" i="7"/>
  <c r="N1254" i="7"/>
  <c r="P1254" i="7" s="1"/>
  <c r="L1254" i="7"/>
  <c r="D1254" i="7"/>
  <c r="N1253" i="7"/>
  <c r="P1253" i="7" s="1"/>
  <c r="L1253" i="7"/>
  <c r="D1253" i="7"/>
  <c r="N1252" i="7"/>
  <c r="P1252" i="7" s="1"/>
  <c r="L1252" i="7"/>
  <c r="D1252" i="7"/>
  <c r="N1251" i="7"/>
  <c r="P1251" i="7" s="1"/>
  <c r="L1251" i="7"/>
  <c r="D1251" i="7"/>
  <c r="N1250" i="7"/>
  <c r="P1250" i="7" s="1"/>
  <c r="L1250" i="7"/>
  <c r="D1250" i="7"/>
  <c r="N1249" i="7"/>
  <c r="P1249" i="7" s="1"/>
  <c r="L1249" i="7"/>
  <c r="D1249" i="7"/>
  <c r="N1248" i="7"/>
  <c r="P1248" i="7" s="1"/>
  <c r="L1248" i="7"/>
  <c r="D1248" i="7"/>
  <c r="N1247" i="7"/>
  <c r="P1247" i="7" s="1"/>
  <c r="L1247" i="7"/>
  <c r="D1247" i="7"/>
  <c r="N1246" i="7"/>
  <c r="P1246" i="7" s="1"/>
  <c r="L1246" i="7"/>
  <c r="D1246" i="7"/>
  <c r="N1245" i="7"/>
  <c r="P1245" i="7" s="1"/>
  <c r="L1245" i="7"/>
  <c r="D1245" i="7"/>
  <c r="N1244" i="7"/>
  <c r="P1244" i="7" s="1"/>
  <c r="L1244" i="7"/>
  <c r="D1244" i="7"/>
  <c r="N1243" i="7"/>
  <c r="P1243" i="7" s="1"/>
  <c r="L1243" i="7"/>
  <c r="D1243" i="7"/>
  <c r="N1242" i="7"/>
  <c r="P1242" i="7" s="1"/>
  <c r="L1242" i="7"/>
  <c r="D1242" i="7"/>
  <c r="K1238" i="7"/>
  <c r="D1238" i="7"/>
  <c r="M1238" i="7" s="1"/>
  <c r="N1237" i="7"/>
  <c r="K1237" i="7"/>
  <c r="D1237" i="7"/>
  <c r="K1236" i="7"/>
  <c r="D1236" i="7"/>
  <c r="K1235" i="7"/>
  <c r="D1235" i="7"/>
  <c r="M1235" i="7" s="1"/>
  <c r="P1235" i="7" s="1"/>
  <c r="K1234" i="7"/>
  <c r="D1234" i="7"/>
  <c r="M1234" i="7" s="1"/>
  <c r="K1233" i="7"/>
  <c r="D1233" i="7"/>
  <c r="D1230" i="7"/>
  <c r="K1186" i="7"/>
  <c r="D1186" i="7"/>
  <c r="L1186" i="7" s="1"/>
  <c r="K1185" i="7"/>
  <c r="D1185" i="7"/>
  <c r="L1185" i="7" s="1"/>
  <c r="K1184" i="7"/>
  <c r="D1184" i="7"/>
  <c r="L1184" i="7" s="1"/>
  <c r="N1183" i="7"/>
  <c r="K1183" i="7"/>
  <c r="D1183" i="7"/>
  <c r="L1183" i="7" s="1"/>
  <c r="K1182" i="7"/>
  <c r="D1182" i="7"/>
  <c r="L1182" i="7" s="1"/>
  <c r="M1182" i="7" s="1"/>
  <c r="P1182" i="7" s="1"/>
  <c r="N1178" i="7"/>
  <c r="P1178" i="7" s="1"/>
  <c r="M1178" i="7"/>
  <c r="D1178" i="7"/>
  <c r="N1177" i="7"/>
  <c r="P1177" i="7" s="1"/>
  <c r="M1177" i="7"/>
  <c r="D1177" i="7"/>
  <c r="N1176" i="7"/>
  <c r="P1176" i="7" s="1"/>
  <c r="M1176" i="7"/>
  <c r="D1176" i="7"/>
  <c r="N1175" i="7"/>
  <c r="P1175" i="7" s="1"/>
  <c r="M1175" i="7"/>
  <c r="D1175" i="7"/>
  <c r="N1170" i="7"/>
  <c r="P1170" i="7" s="1"/>
  <c r="L1170" i="7"/>
  <c r="D1170" i="7"/>
  <c r="N1169" i="7"/>
  <c r="P1169" i="7" s="1"/>
  <c r="L1169" i="7"/>
  <c r="D1169" i="7"/>
  <c r="N1168" i="7"/>
  <c r="P1168" i="7" s="1"/>
  <c r="L1168" i="7"/>
  <c r="D1168" i="7"/>
  <c r="N1167" i="7"/>
  <c r="P1167" i="7" s="1"/>
  <c r="L1167" i="7"/>
  <c r="D1167" i="7"/>
  <c r="N1166" i="7"/>
  <c r="P1166" i="7" s="1"/>
  <c r="L1166" i="7"/>
  <c r="D1166" i="7"/>
  <c r="N1165" i="7"/>
  <c r="P1165" i="7" s="1"/>
  <c r="L1165" i="7"/>
  <c r="D1165" i="7"/>
  <c r="N1164" i="7"/>
  <c r="P1164" i="7" s="1"/>
  <c r="L1164" i="7"/>
  <c r="D1164" i="7"/>
  <c r="N1163" i="7"/>
  <c r="P1163" i="7" s="1"/>
  <c r="L1163" i="7"/>
  <c r="D1163" i="7"/>
  <c r="N1162" i="7"/>
  <c r="P1162" i="7" s="1"/>
  <c r="L1162" i="7"/>
  <c r="D1162" i="7"/>
  <c r="N1161" i="7"/>
  <c r="P1161" i="7" s="1"/>
  <c r="L1161" i="7"/>
  <c r="D1161" i="7"/>
  <c r="N1160" i="7"/>
  <c r="P1160" i="7" s="1"/>
  <c r="L1160" i="7"/>
  <c r="D1160" i="7"/>
  <c r="N1159" i="7"/>
  <c r="P1159" i="7" s="1"/>
  <c r="L1159" i="7"/>
  <c r="D1159" i="7"/>
  <c r="N1158" i="7"/>
  <c r="P1158" i="7" s="1"/>
  <c r="L1158" i="7"/>
  <c r="D1158" i="7"/>
  <c r="N1157" i="7"/>
  <c r="P1157" i="7" s="1"/>
  <c r="L1157" i="7"/>
  <c r="D1157" i="7"/>
  <c r="K1153" i="7"/>
  <c r="D1153" i="7"/>
  <c r="M1153" i="7" s="1"/>
  <c r="P1153" i="7" s="1"/>
  <c r="N1152" i="7"/>
  <c r="K1152" i="7"/>
  <c r="D1152" i="7"/>
  <c r="K1151" i="7"/>
  <c r="D1151" i="7"/>
  <c r="K1150" i="7"/>
  <c r="D1150" i="7"/>
  <c r="M1150" i="7" s="1"/>
  <c r="P1150" i="7" s="1"/>
  <c r="K1149" i="7"/>
  <c r="D1149" i="7"/>
  <c r="M1149" i="7" s="1"/>
  <c r="P1149" i="7" s="1"/>
  <c r="K1148" i="7"/>
  <c r="D1148" i="7"/>
  <c r="D1145" i="7"/>
  <c r="K1100" i="7"/>
  <c r="D1100" i="7"/>
  <c r="L1100" i="7" s="1"/>
  <c r="K1099" i="7"/>
  <c r="D1099" i="7"/>
  <c r="L1099" i="7" s="1"/>
  <c r="K1098" i="7"/>
  <c r="D1098" i="7"/>
  <c r="L1098" i="7" s="1"/>
  <c r="K1097" i="7"/>
  <c r="D1097" i="7"/>
  <c r="L1097" i="7" s="1"/>
  <c r="K1096" i="7"/>
  <c r="D1096" i="7"/>
  <c r="L1096" i="7" s="1"/>
  <c r="N1092" i="7"/>
  <c r="P1092" i="7" s="1"/>
  <c r="M1092" i="7"/>
  <c r="D1092" i="7"/>
  <c r="N1091" i="7"/>
  <c r="P1091" i="7" s="1"/>
  <c r="M1091" i="7"/>
  <c r="D1091" i="7"/>
  <c r="N1090" i="7"/>
  <c r="P1090" i="7" s="1"/>
  <c r="M1090" i="7"/>
  <c r="D1090" i="7"/>
  <c r="N1089" i="7"/>
  <c r="P1089" i="7" s="1"/>
  <c r="M1089" i="7"/>
  <c r="D1089" i="7"/>
  <c r="N1084" i="7"/>
  <c r="P1084" i="7" s="1"/>
  <c r="L1084" i="7"/>
  <c r="D1084" i="7"/>
  <c r="N1083" i="7"/>
  <c r="P1083" i="7" s="1"/>
  <c r="L1083" i="7"/>
  <c r="D1083" i="7"/>
  <c r="N1082" i="7"/>
  <c r="P1082" i="7" s="1"/>
  <c r="L1082" i="7"/>
  <c r="D1082" i="7"/>
  <c r="N1081" i="7"/>
  <c r="P1081" i="7" s="1"/>
  <c r="L1081" i="7"/>
  <c r="D1081" i="7"/>
  <c r="N1080" i="7"/>
  <c r="P1080" i="7" s="1"/>
  <c r="L1080" i="7"/>
  <c r="D1080" i="7"/>
  <c r="N1079" i="7"/>
  <c r="P1079" i="7" s="1"/>
  <c r="L1079" i="7"/>
  <c r="D1079" i="7"/>
  <c r="N1078" i="7"/>
  <c r="P1078" i="7" s="1"/>
  <c r="L1078" i="7"/>
  <c r="D1078" i="7"/>
  <c r="N1077" i="7"/>
  <c r="P1077" i="7" s="1"/>
  <c r="L1077" i="7"/>
  <c r="D1077" i="7"/>
  <c r="N1076" i="7"/>
  <c r="P1076" i="7" s="1"/>
  <c r="L1076" i="7"/>
  <c r="D1076" i="7"/>
  <c r="N1075" i="7"/>
  <c r="P1075" i="7" s="1"/>
  <c r="L1075" i="7"/>
  <c r="D1075" i="7"/>
  <c r="N1074" i="7"/>
  <c r="P1074" i="7" s="1"/>
  <c r="L1074" i="7"/>
  <c r="D1074" i="7"/>
  <c r="N1073" i="7"/>
  <c r="P1073" i="7" s="1"/>
  <c r="L1073" i="7"/>
  <c r="D1073" i="7"/>
  <c r="N1072" i="7"/>
  <c r="P1072" i="7" s="1"/>
  <c r="L1072" i="7"/>
  <c r="D1072" i="7"/>
  <c r="N1071" i="7"/>
  <c r="M1071" i="7"/>
  <c r="L1071" i="7"/>
  <c r="D1071" i="7"/>
  <c r="K1067" i="7"/>
  <c r="D1067" i="7"/>
  <c r="K1066" i="7"/>
  <c r="D1066" i="7"/>
  <c r="K1065" i="7"/>
  <c r="D1065" i="7"/>
  <c r="K1064" i="7"/>
  <c r="D1064" i="7"/>
  <c r="K1063" i="7"/>
  <c r="D1063" i="7"/>
  <c r="K1062" i="7"/>
  <c r="D1062" i="7"/>
  <c r="D1059" i="7"/>
  <c r="K1014" i="7"/>
  <c r="D1014" i="7"/>
  <c r="L1014" i="7" s="1"/>
  <c r="K1013" i="7"/>
  <c r="D1013" i="7"/>
  <c r="L1013" i="7" s="1"/>
  <c r="K1012" i="7"/>
  <c r="D1012" i="7"/>
  <c r="L1012" i="7" s="1"/>
  <c r="K1011" i="7"/>
  <c r="D1011" i="7"/>
  <c r="L1011" i="7" s="1"/>
  <c r="K1010" i="7"/>
  <c r="D1010" i="7"/>
  <c r="L1010" i="7" s="1"/>
  <c r="N1006" i="7"/>
  <c r="P1006" i="7" s="1"/>
  <c r="M1006" i="7"/>
  <c r="D1006" i="7"/>
  <c r="N1005" i="7"/>
  <c r="P1005" i="7" s="1"/>
  <c r="M1005" i="7"/>
  <c r="D1005" i="7"/>
  <c r="N1004" i="7"/>
  <c r="P1004" i="7" s="1"/>
  <c r="M1004" i="7"/>
  <c r="D1004" i="7"/>
  <c r="N1003" i="7"/>
  <c r="P1003" i="7" s="1"/>
  <c r="M1003" i="7"/>
  <c r="D1003" i="7"/>
  <c r="N998" i="7"/>
  <c r="P998" i="7" s="1"/>
  <c r="L998" i="7"/>
  <c r="D998" i="7"/>
  <c r="N997" i="7"/>
  <c r="P997" i="7" s="1"/>
  <c r="L997" i="7"/>
  <c r="D997" i="7"/>
  <c r="N996" i="7"/>
  <c r="P996" i="7" s="1"/>
  <c r="L996" i="7"/>
  <c r="D996" i="7"/>
  <c r="N995" i="7"/>
  <c r="P995" i="7" s="1"/>
  <c r="L995" i="7"/>
  <c r="D995" i="7"/>
  <c r="N994" i="7"/>
  <c r="P994" i="7" s="1"/>
  <c r="L994" i="7"/>
  <c r="D994" i="7"/>
  <c r="N993" i="7"/>
  <c r="P993" i="7" s="1"/>
  <c r="L993" i="7"/>
  <c r="D993" i="7"/>
  <c r="N992" i="7"/>
  <c r="P992" i="7" s="1"/>
  <c r="L992" i="7"/>
  <c r="D992" i="7"/>
  <c r="N991" i="7"/>
  <c r="P991" i="7" s="1"/>
  <c r="L991" i="7"/>
  <c r="D991" i="7"/>
  <c r="N990" i="7"/>
  <c r="P990" i="7" s="1"/>
  <c r="L990" i="7"/>
  <c r="D990" i="7"/>
  <c r="N989" i="7"/>
  <c r="P989" i="7" s="1"/>
  <c r="L989" i="7"/>
  <c r="D989" i="7"/>
  <c r="N988" i="7"/>
  <c r="P988" i="7" s="1"/>
  <c r="L988" i="7"/>
  <c r="D988" i="7"/>
  <c r="N987" i="7"/>
  <c r="P987" i="7" s="1"/>
  <c r="L987" i="7"/>
  <c r="D987" i="7"/>
  <c r="N986" i="7"/>
  <c r="P986" i="7" s="1"/>
  <c r="L986" i="7"/>
  <c r="D986" i="7"/>
  <c r="N985" i="7"/>
  <c r="P985" i="7" s="1"/>
  <c r="L985" i="7"/>
  <c r="D985" i="7"/>
  <c r="K981" i="7"/>
  <c r="D981" i="7"/>
  <c r="M981" i="7" s="1"/>
  <c r="P981" i="7" s="1"/>
  <c r="K980" i="7"/>
  <c r="D980" i="7"/>
  <c r="M980" i="7" s="1"/>
  <c r="P980" i="7" s="1"/>
  <c r="K979" i="7"/>
  <c r="D979" i="7"/>
  <c r="M979" i="7" s="1"/>
  <c r="P979" i="7" s="1"/>
  <c r="K978" i="7"/>
  <c r="D978" i="7"/>
  <c r="M978" i="7" s="1"/>
  <c r="P978" i="7" s="1"/>
  <c r="K977" i="7"/>
  <c r="D977" i="7"/>
  <c r="M977" i="7" s="1"/>
  <c r="P977" i="7" s="1"/>
  <c r="K976" i="7"/>
  <c r="D976" i="7"/>
  <c r="D973" i="7"/>
  <c r="K927" i="7"/>
  <c r="D927" i="7"/>
  <c r="L927" i="7" s="1"/>
  <c r="K926" i="7"/>
  <c r="D926" i="7"/>
  <c r="L926" i="7" s="1"/>
  <c r="K925" i="7"/>
  <c r="D925" i="7"/>
  <c r="L925" i="7" s="1"/>
  <c r="N924" i="7"/>
  <c r="K924" i="7"/>
  <c r="D924" i="7"/>
  <c r="L924" i="7" s="1"/>
  <c r="M924" i="7" s="1"/>
  <c r="P924" i="7" s="1"/>
  <c r="N923" i="7"/>
  <c r="K923" i="7"/>
  <c r="D923" i="7"/>
  <c r="L923" i="7" s="1"/>
  <c r="N919" i="7"/>
  <c r="P919" i="7" s="1"/>
  <c r="M919" i="7"/>
  <c r="D919" i="7"/>
  <c r="N918" i="7"/>
  <c r="P918" i="7" s="1"/>
  <c r="M918" i="7"/>
  <c r="D918" i="7"/>
  <c r="N917" i="7"/>
  <c r="P917" i="7" s="1"/>
  <c r="M917" i="7"/>
  <c r="D917" i="7"/>
  <c r="N916" i="7"/>
  <c r="P916" i="7" s="1"/>
  <c r="M916" i="7"/>
  <c r="D916" i="7"/>
  <c r="N911" i="7"/>
  <c r="P911" i="7" s="1"/>
  <c r="L911" i="7"/>
  <c r="D911" i="7"/>
  <c r="N910" i="7"/>
  <c r="P910" i="7" s="1"/>
  <c r="L910" i="7"/>
  <c r="D910" i="7"/>
  <c r="N909" i="7"/>
  <c r="P909" i="7" s="1"/>
  <c r="L909" i="7"/>
  <c r="D909" i="7"/>
  <c r="N908" i="7"/>
  <c r="P908" i="7" s="1"/>
  <c r="L908" i="7"/>
  <c r="D908" i="7"/>
  <c r="N907" i="7"/>
  <c r="P907" i="7" s="1"/>
  <c r="L907" i="7"/>
  <c r="D907" i="7"/>
  <c r="N906" i="7"/>
  <c r="P906" i="7" s="1"/>
  <c r="L906" i="7"/>
  <c r="D906" i="7"/>
  <c r="N905" i="7"/>
  <c r="P905" i="7" s="1"/>
  <c r="L905" i="7"/>
  <c r="D905" i="7"/>
  <c r="N904" i="7"/>
  <c r="P904" i="7" s="1"/>
  <c r="L904" i="7"/>
  <c r="D904" i="7"/>
  <c r="N903" i="7"/>
  <c r="P903" i="7" s="1"/>
  <c r="L903" i="7"/>
  <c r="D903" i="7"/>
  <c r="N902" i="7"/>
  <c r="P902" i="7" s="1"/>
  <c r="L902" i="7"/>
  <c r="D902" i="7"/>
  <c r="N901" i="7"/>
  <c r="P901" i="7" s="1"/>
  <c r="L901" i="7"/>
  <c r="D901" i="7"/>
  <c r="N900" i="7"/>
  <c r="P900" i="7" s="1"/>
  <c r="L900" i="7"/>
  <c r="D900" i="7"/>
  <c r="N899" i="7"/>
  <c r="P899" i="7" s="1"/>
  <c r="L899" i="7"/>
  <c r="D899" i="7"/>
  <c r="N898" i="7"/>
  <c r="P898" i="7" s="1"/>
  <c r="L898" i="7"/>
  <c r="D898" i="7"/>
  <c r="K894" i="7"/>
  <c r="D894" i="7"/>
  <c r="M894" i="7" s="1"/>
  <c r="K893" i="7"/>
  <c r="D893" i="7"/>
  <c r="M893" i="7" s="1"/>
  <c r="P893" i="7" s="1"/>
  <c r="K892" i="7"/>
  <c r="D892" i="7"/>
  <c r="K891" i="7"/>
  <c r="D891" i="7"/>
  <c r="M891" i="7" s="1"/>
  <c r="P891" i="7" s="1"/>
  <c r="K890" i="7"/>
  <c r="D890" i="7"/>
  <c r="M890" i="7" s="1"/>
  <c r="K889" i="7"/>
  <c r="D889" i="7"/>
  <c r="D886" i="7"/>
  <c r="K840" i="7"/>
  <c r="D840" i="7"/>
  <c r="L840" i="7" s="1"/>
  <c r="K839" i="7"/>
  <c r="D839" i="7"/>
  <c r="L839" i="7" s="1"/>
  <c r="K838" i="7"/>
  <c r="D838" i="7"/>
  <c r="L838" i="7" s="1"/>
  <c r="N837" i="7"/>
  <c r="K837" i="7"/>
  <c r="D837" i="7"/>
  <c r="L837" i="7" s="1"/>
  <c r="N836" i="7"/>
  <c r="K836" i="7"/>
  <c r="D836" i="7"/>
  <c r="L836" i="7" s="1"/>
  <c r="N832" i="7"/>
  <c r="P832" i="7" s="1"/>
  <c r="M832" i="7"/>
  <c r="D832" i="7"/>
  <c r="N831" i="7"/>
  <c r="P831" i="7" s="1"/>
  <c r="M831" i="7"/>
  <c r="D831" i="7"/>
  <c r="N830" i="7"/>
  <c r="P830" i="7" s="1"/>
  <c r="M830" i="7"/>
  <c r="D830" i="7"/>
  <c r="N829" i="7"/>
  <c r="P829" i="7" s="1"/>
  <c r="M829" i="7"/>
  <c r="D829" i="7"/>
  <c r="N824" i="7"/>
  <c r="P824" i="7" s="1"/>
  <c r="L824" i="7"/>
  <c r="D824" i="7"/>
  <c r="N823" i="7"/>
  <c r="P823" i="7" s="1"/>
  <c r="L823" i="7"/>
  <c r="D823" i="7"/>
  <c r="N822" i="7"/>
  <c r="P822" i="7" s="1"/>
  <c r="L822" i="7"/>
  <c r="D822" i="7"/>
  <c r="N821" i="7"/>
  <c r="P821" i="7" s="1"/>
  <c r="L821" i="7"/>
  <c r="D821" i="7"/>
  <c r="N820" i="7"/>
  <c r="P820" i="7" s="1"/>
  <c r="L820" i="7"/>
  <c r="D820" i="7"/>
  <c r="N819" i="7"/>
  <c r="P819" i="7" s="1"/>
  <c r="L819" i="7"/>
  <c r="D819" i="7"/>
  <c r="N818" i="7"/>
  <c r="P818" i="7" s="1"/>
  <c r="L818" i="7"/>
  <c r="D818" i="7"/>
  <c r="N817" i="7"/>
  <c r="P817" i="7" s="1"/>
  <c r="L817" i="7"/>
  <c r="D817" i="7"/>
  <c r="N816" i="7"/>
  <c r="P816" i="7" s="1"/>
  <c r="L816" i="7"/>
  <c r="D816" i="7"/>
  <c r="N815" i="7"/>
  <c r="P815" i="7" s="1"/>
  <c r="L815" i="7"/>
  <c r="D815" i="7"/>
  <c r="N814" i="7"/>
  <c r="P814" i="7" s="1"/>
  <c r="L814" i="7"/>
  <c r="D814" i="7"/>
  <c r="N813" i="7"/>
  <c r="P813" i="7" s="1"/>
  <c r="L813" i="7"/>
  <c r="D813" i="7"/>
  <c r="N812" i="7"/>
  <c r="P812" i="7" s="1"/>
  <c r="L812" i="7"/>
  <c r="D812" i="7"/>
  <c r="N811" i="7"/>
  <c r="P811" i="7" s="1"/>
  <c r="L811" i="7"/>
  <c r="D811" i="7"/>
  <c r="K807" i="7"/>
  <c r="D807" i="7"/>
  <c r="M807" i="7" s="1"/>
  <c r="P807" i="7" s="1"/>
  <c r="K806" i="7"/>
  <c r="D806" i="7"/>
  <c r="M806" i="7" s="1"/>
  <c r="P806" i="7" s="1"/>
  <c r="K805" i="7"/>
  <c r="D805" i="7"/>
  <c r="K804" i="7"/>
  <c r="D804" i="7"/>
  <c r="M804" i="7" s="1"/>
  <c r="P804" i="7" s="1"/>
  <c r="N803" i="7"/>
  <c r="K803" i="7"/>
  <c r="D803" i="7"/>
  <c r="K802" i="7"/>
  <c r="D802" i="7"/>
  <c r="D799" i="7"/>
  <c r="K753" i="7"/>
  <c r="D753" i="7"/>
  <c r="L753" i="7" s="1"/>
  <c r="K752" i="7"/>
  <c r="D752" i="7"/>
  <c r="L752" i="7" s="1"/>
  <c r="K751" i="7"/>
  <c r="D751" i="7"/>
  <c r="L751" i="7" s="1"/>
  <c r="K750" i="7"/>
  <c r="D750" i="7"/>
  <c r="L750" i="7" s="1"/>
  <c r="N749" i="7"/>
  <c r="N750" i="7" s="1"/>
  <c r="K749" i="7"/>
  <c r="D749" i="7"/>
  <c r="L749" i="7" s="1"/>
  <c r="M749" i="7" s="1"/>
  <c r="P749" i="7" s="1"/>
  <c r="N745" i="7"/>
  <c r="P745" i="7" s="1"/>
  <c r="M745" i="7"/>
  <c r="D745" i="7"/>
  <c r="N744" i="7"/>
  <c r="P744" i="7" s="1"/>
  <c r="M744" i="7"/>
  <c r="D744" i="7"/>
  <c r="N743" i="7"/>
  <c r="P743" i="7" s="1"/>
  <c r="M743" i="7"/>
  <c r="D743" i="7"/>
  <c r="N742" i="7"/>
  <c r="P742" i="7" s="1"/>
  <c r="M742" i="7"/>
  <c r="D742" i="7"/>
  <c r="N737" i="7"/>
  <c r="P737" i="7" s="1"/>
  <c r="L737" i="7"/>
  <c r="D737" i="7"/>
  <c r="N736" i="7"/>
  <c r="P736" i="7" s="1"/>
  <c r="L736" i="7"/>
  <c r="D736" i="7"/>
  <c r="N735" i="7"/>
  <c r="P735" i="7" s="1"/>
  <c r="L735" i="7"/>
  <c r="D735" i="7"/>
  <c r="N734" i="7"/>
  <c r="P734" i="7" s="1"/>
  <c r="L734" i="7"/>
  <c r="D734" i="7"/>
  <c r="N733" i="7"/>
  <c r="P733" i="7" s="1"/>
  <c r="L733" i="7"/>
  <c r="D733" i="7"/>
  <c r="N732" i="7"/>
  <c r="P732" i="7" s="1"/>
  <c r="L732" i="7"/>
  <c r="D732" i="7"/>
  <c r="N731" i="7"/>
  <c r="P731" i="7" s="1"/>
  <c r="L731" i="7"/>
  <c r="D731" i="7"/>
  <c r="N730" i="7"/>
  <c r="P730" i="7" s="1"/>
  <c r="L730" i="7"/>
  <c r="D730" i="7"/>
  <c r="N729" i="7"/>
  <c r="P729" i="7" s="1"/>
  <c r="L729" i="7"/>
  <c r="D729" i="7"/>
  <c r="N728" i="7"/>
  <c r="P728" i="7" s="1"/>
  <c r="L728" i="7"/>
  <c r="D728" i="7"/>
  <c r="N727" i="7"/>
  <c r="P727" i="7" s="1"/>
  <c r="L727" i="7"/>
  <c r="D727" i="7"/>
  <c r="N726" i="7"/>
  <c r="P726" i="7" s="1"/>
  <c r="L726" i="7"/>
  <c r="D726" i="7"/>
  <c r="N725" i="7"/>
  <c r="P725" i="7" s="1"/>
  <c r="L725" i="7"/>
  <c r="D725" i="7"/>
  <c r="N724" i="7"/>
  <c r="P724" i="7" s="1"/>
  <c r="L724" i="7"/>
  <c r="D724" i="7"/>
  <c r="K720" i="7"/>
  <c r="D720" i="7"/>
  <c r="K719" i="7"/>
  <c r="D719" i="7"/>
  <c r="M719" i="7" s="1"/>
  <c r="P719" i="7" s="1"/>
  <c r="K718" i="7"/>
  <c r="D718" i="7"/>
  <c r="M718" i="7" s="1"/>
  <c r="K717" i="7"/>
  <c r="D717" i="7"/>
  <c r="M717" i="7" s="1"/>
  <c r="P717" i="7" s="1"/>
  <c r="N716" i="7"/>
  <c r="K716" i="7"/>
  <c r="D716" i="7"/>
  <c r="K715" i="7"/>
  <c r="D715" i="7"/>
  <c r="D712" i="7"/>
  <c r="K667" i="7"/>
  <c r="D667" i="7"/>
  <c r="L667" i="7" s="1"/>
  <c r="K666" i="7"/>
  <c r="D666" i="7"/>
  <c r="L666" i="7" s="1"/>
  <c r="K665" i="7"/>
  <c r="D665" i="7"/>
  <c r="L665" i="7" s="1"/>
  <c r="N664" i="7"/>
  <c r="K664" i="7"/>
  <c r="D664" i="7"/>
  <c r="L664" i="7" s="1"/>
  <c r="K663" i="7"/>
  <c r="D663" i="7"/>
  <c r="L663" i="7" s="1"/>
  <c r="N659" i="7"/>
  <c r="P659" i="7" s="1"/>
  <c r="M659" i="7"/>
  <c r="D659" i="7"/>
  <c r="N658" i="7"/>
  <c r="P658" i="7" s="1"/>
  <c r="M658" i="7"/>
  <c r="D658" i="7"/>
  <c r="N657" i="7"/>
  <c r="P657" i="7" s="1"/>
  <c r="M657" i="7"/>
  <c r="D657" i="7"/>
  <c r="N656" i="7"/>
  <c r="P656" i="7" s="1"/>
  <c r="M656" i="7"/>
  <c r="D656" i="7"/>
  <c r="N651" i="7"/>
  <c r="P651" i="7" s="1"/>
  <c r="L651" i="7"/>
  <c r="D651" i="7"/>
  <c r="N650" i="7"/>
  <c r="P650" i="7" s="1"/>
  <c r="L650" i="7"/>
  <c r="D650" i="7"/>
  <c r="N649" i="7"/>
  <c r="P649" i="7" s="1"/>
  <c r="L649" i="7"/>
  <c r="D649" i="7"/>
  <c r="N648" i="7"/>
  <c r="P648" i="7" s="1"/>
  <c r="L648" i="7"/>
  <c r="D648" i="7"/>
  <c r="N647" i="7"/>
  <c r="P647" i="7" s="1"/>
  <c r="L647" i="7"/>
  <c r="D647" i="7"/>
  <c r="N646" i="7"/>
  <c r="P646" i="7" s="1"/>
  <c r="L646" i="7"/>
  <c r="D646" i="7"/>
  <c r="N645" i="7"/>
  <c r="P645" i="7" s="1"/>
  <c r="L645" i="7"/>
  <c r="D645" i="7"/>
  <c r="N644" i="7"/>
  <c r="P644" i="7" s="1"/>
  <c r="L644" i="7"/>
  <c r="D644" i="7"/>
  <c r="N643" i="7"/>
  <c r="P643" i="7" s="1"/>
  <c r="L643" i="7"/>
  <c r="D643" i="7"/>
  <c r="N642" i="7"/>
  <c r="P642" i="7" s="1"/>
  <c r="L642" i="7"/>
  <c r="D642" i="7"/>
  <c r="N641" i="7"/>
  <c r="P641" i="7" s="1"/>
  <c r="L641" i="7"/>
  <c r="D641" i="7"/>
  <c r="N640" i="7"/>
  <c r="P640" i="7" s="1"/>
  <c r="L640" i="7"/>
  <c r="D640" i="7"/>
  <c r="N639" i="7"/>
  <c r="P639" i="7" s="1"/>
  <c r="L639" i="7"/>
  <c r="D639" i="7"/>
  <c r="N638" i="7"/>
  <c r="P638" i="7" s="1"/>
  <c r="L638" i="7"/>
  <c r="D638" i="7"/>
  <c r="K634" i="7"/>
  <c r="D634" i="7"/>
  <c r="M634" i="7" s="1"/>
  <c r="P634" i="7" s="1"/>
  <c r="K633" i="7"/>
  <c r="D633" i="7"/>
  <c r="M633" i="7" s="1"/>
  <c r="P633" i="7" s="1"/>
  <c r="K632" i="7"/>
  <c r="D632" i="7"/>
  <c r="M632" i="7" s="1"/>
  <c r="P632" i="7" s="1"/>
  <c r="K631" i="7"/>
  <c r="D631" i="7"/>
  <c r="M631" i="7" s="1"/>
  <c r="P631" i="7" s="1"/>
  <c r="K630" i="7"/>
  <c r="D630" i="7"/>
  <c r="M630" i="7" s="1"/>
  <c r="P630" i="7" s="1"/>
  <c r="K629" i="7"/>
  <c r="D629" i="7"/>
  <c r="D626" i="7"/>
  <c r="K582" i="7"/>
  <c r="D582" i="7"/>
  <c r="L582" i="7" s="1"/>
  <c r="K581" i="7"/>
  <c r="D581" i="7"/>
  <c r="L581" i="7" s="1"/>
  <c r="K580" i="7"/>
  <c r="D580" i="7"/>
  <c r="L580" i="7" s="1"/>
  <c r="K579" i="7"/>
  <c r="D579" i="7"/>
  <c r="L579" i="7" s="1"/>
  <c r="K578" i="7"/>
  <c r="D578" i="7"/>
  <c r="L578" i="7" s="1"/>
  <c r="M578" i="7" s="1"/>
  <c r="P578" i="7" s="1"/>
  <c r="N574" i="7"/>
  <c r="P574" i="7" s="1"/>
  <c r="M574" i="7"/>
  <c r="D574" i="7"/>
  <c r="N573" i="7"/>
  <c r="P573" i="7" s="1"/>
  <c r="M573" i="7"/>
  <c r="D573" i="7"/>
  <c r="N572" i="7"/>
  <c r="P572" i="7" s="1"/>
  <c r="M572" i="7"/>
  <c r="D572" i="7"/>
  <c r="N571" i="7"/>
  <c r="P571" i="7" s="1"/>
  <c r="M571" i="7"/>
  <c r="D571" i="7"/>
  <c r="N566" i="7"/>
  <c r="P566" i="7" s="1"/>
  <c r="L566" i="7"/>
  <c r="D566" i="7"/>
  <c r="N565" i="7"/>
  <c r="P565" i="7" s="1"/>
  <c r="L565" i="7"/>
  <c r="D565" i="7"/>
  <c r="N564" i="7"/>
  <c r="P564" i="7" s="1"/>
  <c r="L564" i="7"/>
  <c r="D564" i="7"/>
  <c r="N563" i="7"/>
  <c r="P563" i="7" s="1"/>
  <c r="L563" i="7"/>
  <c r="D563" i="7"/>
  <c r="N562" i="7"/>
  <c r="P562" i="7" s="1"/>
  <c r="L562" i="7"/>
  <c r="D562" i="7"/>
  <c r="N561" i="7"/>
  <c r="P561" i="7" s="1"/>
  <c r="L561" i="7"/>
  <c r="D561" i="7"/>
  <c r="N560" i="7"/>
  <c r="P560" i="7" s="1"/>
  <c r="L560" i="7"/>
  <c r="D560" i="7"/>
  <c r="N559" i="7"/>
  <c r="P559" i="7" s="1"/>
  <c r="L559" i="7"/>
  <c r="D559" i="7"/>
  <c r="N558" i="7"/>
  <c r="P558" i="7" s="1"/>
  <c r="L558" i="7"/>
  <c r="D558" i="7"/>
  <c r="N557" i="7"/>
  <c r="P557" i="7" s="1"/>
  <c r="L557" i="7"/>
  <c r="D557" i="7"/>
  <c r="N556" i="7"/>
  <c r="P556" i="7" s="1"/>
  <c r="L556" i="7"/>
  <c r="D556" i="7"/>
  <c r="N555" i="7"/>
  <c r="P555" i="7" s="1"/>
  <c r="L555" i="7"/>
  <c r="D555" i="7"/>
  <c r="N554" i="7"/>
  <c r="P554" i="7" s="1"/>
  <c r="L554" i="7"/>
  <c r="D554" i="7"/>
  <c r="N553" i="7"/>
  <c r="P553" i="7" s="1"/>
  <c r="L553" i="7"/>
  <c r="D553" i="7"/>
  <c r="K549" i="7"/>
  <c r="D549" i="7"/>
  <c r="K548" i="7"/>
  <c r="D548" i="7"/>
  <c r="K547" i="7"/>
  <c r="D547" i="7"/>
  <c r="K546" i="7"/>
  <c r="D546" i="7"/>
  <c r="M546" i="7" s="1"/>
  <c r="P546" i="7" s="1"/>
  <c r="K545" i="7"/>
  <c r="D545" i="7"/>
  <c r="K544" i="7"/>
  <c r="D544" i="7"/>
  <c r="D541" i="7"/>
  <c r="K496" i="7"/>
  <c r="D496" i="7"/>
  <c r="L496" i="7" s="1"/>
  <c r="K495" i="7"/>
  <c r="D495" i="7"/>
  <c r="L495" i="7" s="1"/>
  <c r="K494" i="7"/>
  <c r="D494" i="7"/>
  <c r="L494" i="7" s="1"/>
  <c r="K493" i="7"/>
  <c r="D493" i="7"/>
  <c r="L493" i="7" s="1"/>
  <c r="M493" i="7" s="1"/>
  <c r="P493" i="7" s="1"/>
  <c r="K492" i="7"/>
  <c r="D492" i="7"/>
  <c r="L492" i="7" s="1"/>
  <c r="N488" i="7"/>
  <c r="P488" i="7" s="1"/>
  <c r="M488" i="7"/>
  <c r="D488" i="7"/>
  <c r="N487" i="7"/>
  <c r="P487" i="7" s="1"/>
  <c r="M487" i="7"/>
  <c r="D487" i="7"/>
  <c r="N486" i="7"/>
  <c r="P486" i="7" s="1"/>
  <c r="M486" i="7"/>
  <c r="D486" i="7"/>
  <c r="N485" i="7"/>
  <c r="P485" i="7" s="1"/>
  <c r="M485" i="7"/>
  <c r="D485" i="7"/>
  <c r="N480" i="7"/>
  <c r="P480" i="7" s="1"/>
  <c r="L480" i="7"/>
  <c r="D480" i="7"/>
  <c r="N479" i="7"/>
  <c r="P479" i="7" s="1"/>
  <c r="L479" i="7"/>
  <c r="D479" i="7"/>
  <c r="N478" i="7"/>
  <c r="P478" i="7" s="1"/>
  <c r="L478" i="7"/>
  <c r="D478" i="7"/>
  <c r="N477" i="7"/>
  <c r="P477" i="7" s="1"/>
  <c r="L477" i="7"/>
  <c r="D477" i="7"/>
  <c r="N476" i="7"/>
  <c r="P476" i="7" s="1"/>
  <c r="L476" i="7"/>
  <c r="D476" i="7"/>
  <c r="N475" i="7"/>
  <c r="P475" i="7" s="1"/>
  <c r="L475" i="7"/>
  <c r="D475" i="7"/>
  <c r="N474" i="7"/>
  <c r="P474" i="7" s="1"/>
  <c r="L474" i="7"/>
  <c r="D474" i="7"/>
  <c r="N473" i="7"/>
  <c r="P473" i="7" s="1"/>
  <c r="L473" i="7"/>
  <c r="D473" i="7"/>
  <c r="N472" i="7"/>
  <c r="P472" i="7" s="1"/>
  <c r="L472" i="7"/>
  <c r="D472" i="7"/>
  <c r="N471" i="7"/>
  <c r="P471" i="7" s="1"/>
  <c r="L471" i="7"/>
  <c r="D471" i="7"/>
  <c r="N470" i="7"/>
  <c r="P470" i="7" s="1"/>
  <c r="L470" i="7"/>
  <c r="D470" i="7"/>
  <c r="N469" i="7"/>
  <c r="P469" i="7" s="1"/>
  <c r="L469" i="7"/>
  <c r="D469" i="7"/>
  <c r="N468" i="7"/>
  <c r="P468" i="7" s="1"/>
  <c r="L468" i="7"/>
  <c r="D468" i="7"/>
  <c r="N467" i="7"/>
  <c r="P467" i="7" s="1"/>
  <c r="L467" i="7"/>
  <c r="D467" i="7"/>
  <c r="K463" i="7"/>
  <c r="D463" i="7"/>
  <c r="M463" i="7" s="1"/>
  <c r="P463" i="7" s="1"/>
  <c r="K462" i="7"/>
  <c r="D462" i="7"/>
  <c r="K461" i="7"/>
  <c r="D461" i="7"/>
  <c r="M461" i="7" s="1"/>
  <c r="P461" i="7" s="1"/>
  <c r="K460" i="7"/>
  <c r="D460" i="7"/>
  <c r="K459" i="7"/>
  <c r="D459" i="7"/>
  <c r="M459" i="7" s="1"/>
  <c r="P459" i="7" s="1"/>
  <c r="K458" i="7"/>
  <c r="D458" i="7"/>
  <c r="D455" i="7"/>
  <c r="K409" i="7"/>
  <c r="D409" i="7"/>
  <c r="L409" i="7" s="1"/>
  <c r="K408" i="7"/>
  <c r="D408" i="7"/>
  <c r="L408" i="7" s="1"/>
  <c r="K407" i="7"/>
  <c r="D407" i="7"/>
  <c r="L407" i="7" s="1"/>
  <c r="N405" i="7"/>
  <c r="K405" i="7"/>
  <c r="D405" i="7"/>
  <c r="L405" i="7" s="1"/>
  <c r="N401" i="7"/>
  <c r="P401" i="7" s="1"/>
  <c r="M401" i="7"/>
  <c r="D401" i="7"/>
  <c r="N400" i="7"/>
  <c r="P400" i="7" s="1"/>
  <c r="M400" i="7"/>
  <c r="D400" i="7"/>
  <c r="N399" i="7"/>
  <c r="P399" i="7" s="1"/>
  <c r="M399" i="7"/>
  <c r="D399" i="7"/>
  <c r="N398" i="7"/>
  <c r="P398" i="7" s="1"/>
  <c r="M398" i="7"/>
  <c r="D398" i="7"/>
  <c r="N393" i="7"/>
  <c r="P393" i="7" s="1"/>
  <c r="L393" i="7"/>
  <c r="D393" i="7"/>
  <c r="N392" i="7"/>
  <c r="P392" i="7" s="1"/>
  <c r="L392" i="7"/>
  <c r="D392" i="7"/>
  <c r="N391" i="7"/>
  <c r="P391" i="7" s="1"/>
  <c r="L391" i="7"/>
  <c r="D391" i="7"/>
  <c r="N390" i="7"/>
  <c r="P390" i="7" s="1"/>
  <c r="L390" i="7"/>
  <c r="N389" i="7"/>
  <c r="P389" i="7" s="1"/>
  <c r="L389" i="7"/>
  <c r="N388" i="7"/>
  <c r="P388" i="7" s="1"/>
  <c r="L388" i="7"/>
  <c r="N387" i="7"/>
  <c r="P387" i="7" s="1"/>
  <c r="L387" i="7"/>
  <c r="N386" i="7"/>
  <c r="P386" i="7" s="1"/>
  <c r="L386" i="7"/>
  <c r="N385" i="7"/>
  <c r="P385" i="7" s="1"/>
  <c r="L385" i="7"/>
  <c r="N384" i="7"/>
  <c r="P384" i="7" s="1"/>
  <c r="L384" i="7"/>
  <c r="N383" i="7"/>
  <c r="P383" i="7" s="1"/>
  <c r="L383" i="7"/>
  <c r="N382" i="7"/>
  <c r="P382" i="7" s="1"/>
  <c r="L382" i="7"/>
  <c r="N381" i="7"/>
  <c r="P381" i="7" s="1"/>
  <c r="L381" i="7"/>
  <c r="N380" i="7"/>
  <c r="P380" i="7" s="1"/>
  <c r="L380" i="7"/>
  <c r="D380" i="7"/>
  <c r="K376" i="7"/>
  <c r="D376" i="7"/>
  <c r="K375" i="7"/>
  <c r="D375" i="7"/>
  <c r="M375" i="7" s="1"/>
  <c r="P375" i="7" s="1"/>
  <c r="K374" i="7"/>
  <c r="D374" i="7"/>
  <c r="K373" i="7"/>
  <c r="D373" i="7"/>
  <c r="M373" i="7" s="1"/>
  <c r="K372" i="7"/>
  <c r="D372" i="7"/>
  <c r="K371" i="7"/>
  <c r="D371" i="7"/>
  <c r="D368" i="7"/>
  <c r="K322" i="7"/>
  <c r="D322" i="7"/>
  <c r="L322" i="7" s="1"/>
  <c r="K321" i="7"/>
  <c r="D321" i="7"/>
  <c r="L321" i="7" s="1"/>
  <c r="K320" i="7"/>
  <c r="D320" i="7"/>
  <c r="L320" i="7" s="1"/>
  <c r="K319" i="7"/>
  <c r="D319" i="7"/>
  <c r="L319" i="7" s="1"/>
  <c r="N318" i="7"/>
  <c r="N319" i="7" s="1"/>
  <c r="K318" i="7"/>
  <c r="D318" i="7"/>
  <c r="L318" i="7" s="1"/>
  <c r="N314" i="7"/>
  <c r="P314" i="7" s="1"/>
  <c r="M314" i="7"/>
  <c r="D314" i="7"/>
  <c r="N313" i="7"/>
  <c r="P313" i="7" s="1"/>
  <c r="M313" i="7"/>
  <c r="D313" i="7"/>
  <c r="N312" i="7"/>
  <c r="P312" i="7" s="1"/>
  <c r="M312" i="7"/>
  <c r="D312" i="7"/>
  <c r="N311" i="7"/>
  <c r="P311" i="7" s="1"/>
  <c r="M311" i="7"/>
  <c r="D311" i="7"/>
  <c r="N306" i="7"/>
  <c r="P306" i="7" s="1"/>
  <c r="L306" i="7"/>
  <c r="D306" i="7"/>
  <c r="N305" i="7"/>
  <c r="P305" i="7" s="1"/>
  <c r="L305" i="7"/>
  <c r="D305" i="7"/>
  <c r="N304" i="7"/>
  <c r="P304" i="7" s="1"/>
  <c r="L304" i="7"/>
  <c r="D304" i="7"/>
  <c r="N303" i="7"/>
  <c r="P303" i="7" s="1"/>
  <c r="L303" i="7"/>
  <c r="N302" i="7"/>
  <c r="P302" i="7" s="1"/>
  <c r="L302" i="7"/>
  <c r="N301" i="7"/>
  <c r="P301" i="7" s="1"/>
  <c r="L301" i="7"/>
  <c r="N300" i="7"/>
  <c r="P300" i="7" s="1"/>
  <c r="L300" i="7"/>
  <c r="N299" i="7"/>
  <c r="P299" i="7" s="1"/>
  <c r="L299" i="7"/>
  <c r="N298" i="7"/>
  <c r="P298" i="7" s="1"/>
  <c r="L298" i="7"/>
  <c r="N297" i="7"/>
  <c r="P297" i="7" s="1"/>
  <c r="L297" i="7"/>
  <c r="N296" i="7"/>
  <c r="P296" i="7" s="1"/>
  <c r="L296" i="7"/>
  <c r="N295" i="7"/>
  <c r="P295" i="7" s="1"/>
  <c r="L295" i="7"/>
  <c r="N294" i="7"/>
  <c r="P294" i="7" s="1"/>
  <c r="L294" i="7"/>
  <c r="D294" i="7"/>
  <c r="N293" i="7"/>
  <c r="P293" i="7" s="1"/>
  <c r="L293" i="7"/>
  <c r="D293" i="7"/>
  <c r="K289" i="7"/>
  <c r="D289" i="7"/>
  <c r="M289" i="7" s="1"/>
  <c r="K288" i="7"/>
  <c r="D288" i="7"/>
  <c r="K287" i="7"/>
  <c r="D287" i="7"/>
  <c r="M287" i="7" s="1"/>
  <c r="P287" i="7" s="1"/>
  <c r="K286" i="7"/>
  <c r="D286" i="7"/>
  <c r="M286" i="7" s="1"/>
  <c r="P286" i="7" s="1"/>
  <c r="K285" i="7"/>
  <c r="D285" i="7"/>
  <c r="K284" i="7"/>
  <c r="D284" i="7"/>
  <c r="D281" i="7"/>
  <c r="K236" i="7"/>
  <c r="D236" i="7"/>
  <c r="L236" i="7" s="1"/>
  <c r="K235" i="7"/>
  <c r="D235" i="7"/>
  <c r="L235" i="7" s="1"/>
  <c r="D234" i="7"/>
  <c r="N232" i="7"/>
  <c r="K232" i="7"/>
  <c r="D232" i="7"/>
  <c r="L232" i="7" s="1"/>
  <c r="N228" i="7"/>
  <c r="P228" i="7" s="1"/>
  <c r="M228" i="7"/>
  <c r="D228" i="7"/>
  <c r="N227" i="7"/>
  <c r="P227" i="7" s="1"/>
  <c r="M227" i="7"/>
  <c r="D227" i="7"/>
  <c r="N226" i="7"/>
  <c r="P226" i="7" s="1"/>
  <c r="M226" i="7"/>
  <c r="D226" i="7"/>
  <c r="N225" i="7"/>
  <c r="P225" i="7" s="1"/>
  <c r="M225" i="7"/>
  <c r="D225" i="7"/>
  <c r="N220" i="7"/>
  <c r="P220" i="7" s="1"/>
  <c r="L220" i="7"/>
  <c r="D220" i="7"/>
  <c r="N219" i="7"/>
  <c r="P219" i="7" s="1"/>
  <c r="L219" i="7"/>
  <c r="D219" i="7"/>
  <c r="N218" i="7"/>
  <c r="P218" i="7" s="1"/>
  <c r="L218" i="7"/>
  <c r="D218" i="7"/>
  <c r="N217" i="7"/>
  <c r="P217" i="7" s="1"/>
  <c r="L217" i="7"/>
  <c r="N216" i="7"/>
  <c r="P216" i="7" s="1"/>
  <c r="L216" i="7"/>
  <c r="N215" i="7"/>
  <c r="P215" i="7" s="1"/>
  <c r="L215" i="7"/>
  <c r="N214" i="7"/>
  <c r="P214" i="7" s="1"/>
  <c r="L214" i="7"/>
  <c r="N213" i="7"/>
  <c r="P213" i="7" s="1"/>
  <c r="L213" i="7"/>
  <c r="N212" i="7"/>
  <c r="P212" i="7" s="1"/>
  <c r="L212" i="7"/>
  <c r="N211" i="7"/>
  <c r="P211" i="7" s="1"/>
  <c r="L211" i="7"/>
  <c r="N210" i="7"/>
  <c r="P210" i="7" s="1"/>
  <c r="L210" i="7"/>
  <c r="N209" i="7"/>
  <c r="P209" i="7" s="1"/>
  <c r="L209" i="7"/>
  <c r="N208" i="7"/>
  <c r="P208" i="7" s="1"/>
  <c r="L208" i="7"/>
  <c r="N207" i="7"/>
  <c r="P207" i="7" s="1"/>
  <c r="L207" i="7"/>
  <c r="D207" i="7"/>
  <c r="K203" i="7"/>
  <c r="D203" i="7"/>
  <c r="K202" i="7"/>
  <c r="D202" i="7"/>
  <c r="K201" i="7"/>
  <c r="D201" i="7"/>
  <c r="M201" i="7" s="1"/>
  <c r="P201" i="7" s="1"/>
  <c r="K200" i="7"/>
  <c r="D200" i="7"/>
  <c r="K199" i="7"/>
  <c r="D199" i="7"/>
  <c r="K198" i="7"/>
  <c r="D198" i="7"/>
  <c r="D195" i="7"/>
  <c r="K151" i="7"/>
  <c r="D151" i="7"/>
  <c r="L151" i="7" s="1"/>
  <c r="K150" i="7"/>
  <c r="D150" i="7"/>
  <c r="L150" i="7" s="1"/>
  <c r="K149" i="7"/>
  <c r="D149" i="7"/>
  <c r="L149" i="7" s="1"/>
  <c r="N147" i="7"/>
  <c r="K147" i="7"/>
  <c r="D147" i="7"/>
  <c r="L147" i="7" s="1"/>
  <c r="N143" i="7"/>
  <c r="P143" i="7" s="1"/>
  <c r="M143" i="7"/>
  <c r="D143" i="7"/>
  <c r="N142" i="7"/>
  <c r="P142" i="7" s="1"/>
  <c r="M142" i="7"/>
  <c r="D142" i="7"/>
  <c r="N141" i="7"/>
  <c r="P141" i="7" s="1"/>
  <c r="M141" i="7"/>
  <c r="D141" i="7"/>
  <c r="N140" i="7"/>
  <c r="P140" i="7" s="1"/>
  <c r="M140" i="7"/>
  <c r="D140" i="7"/>
  <c r="N135" i="7"/>
  <c r="P135" i="7" s="1"/>
  <c r="L135" i="7"/>
  <c r="D135" i="7"/>
  <c r="N134" i="7"/>
  <c r="P134" i="7" s="1"/>
  <c r="L134" i="7"/>
  <c r="D134" i="7"/>
  <c r="N133" i="7"/>
  <c r="P133" i="7" s="1"/>
  <c r="L133" i="7"/>
  <c r="D133" i="7"/>
  <c r="N132" i="7"/>
  <c r="P132" i="7" s="1"/>
  <c r="L132" i="7"/>
  <c r="N131" i="7"/>
  <c r="P131" i="7" s="1"/>
  <c r="L131" i="7"/>
  <c r="N130" i="7"/>
  <c r="P130" i="7" s="1"/>
  <c r="L130" i="7"/>
  <c r="N129" i="7"/>
  <c r="P129" i="7" s="1"/>
  <c r="L129" i="7"/>
  <c r="N128" i="7"/>
  <c r="P128" i="7" s="1"/>
  <c r="L128" i="7"/>
  <c r="N127" i="7"/>
  <c r="P127" i="7" s="1"/>
  <c r="L127" i="7"/>
  <c r="N126" i="7"/>
  <c r="P126" i="7" s="1"/>
  <c r="L126" i="7"/>
  <c r="N125" i="7"/>
  <c r="P125" i="7" s="1"/>
  <c r="L125" i="7"/>
  <c r="N124" i="7"/>
  <c r="P124" i="7" s="1"/>
  <c r="L124" i="7"/>
  <c r="N123" i="7"/>
  <c r="P123" i="7" s="1"/>
  <c r="L123" i="7"/>
  <c r="N122" i="7"/>
  <c r="P122" i="7" s="1"/>
  <c r="L122" i="7"/>
  <c r="D122" i="7"/>
  <c r="K118" i="7"/>
  <c r="D118" i="7"/>
  <c r="K117" i="7"/>
  <c r="D117" i="7"/>
  <c r="K116" i="7"/>
  <c r="D116" i="7"/>
  <c r="K115" i="7"/>
  <c r="D115" i="7"/>
  <c r="M115" i="7" s="1"/>
  <c r="P115" i="7" s="1"/>
  <c r="K114" i="7"/>
  <c r="D114" i="7"/>
  <c r="K113" i="7"/>
  <c r="D113" i="7"/>
  <c r="D110" i="7"/>
  <c r="K65" i="7"/>
  <c r="D65" i="7"/>
  <c r="L65" i="7" s="1"/>
  <c r="K64" i="7"/>
  <c r="D64" i="7"/>
  <c r="L64" i="7" s="1"/>
  <c r="K63" i="7"/>
  <c r="D63" i="7"/>
  <c r="L63" i="7" s="1"/>
  <c r="K62" i="7"/>
  <c r="D62" i="7"/>
  <c r="L62" i="7" s="1"/>
  <c r="K61" i="7"/>
  <c r="D61" i="7"/>
  <c r="L61" i="7" s="1"/>
  <c r="N57" i="7"/>
  <c r="P57" i="7" s="1"/>
  <c r="M57" i="7"/>
  <c r="D57" i="7"/>
  <c r="N56" i="7"/>
  <c r="P56" i="7" s="1"/>
  <c r="M56" i="7"/>
  <c r="D56" i="7"/>
  <c r="N55" i="7"/>
  <c r="P55" i="7" s="1"/>
  <c r="M55" i="7"/>
  <c r="D55" i="7"/>
  <c r="N54" i="7"/>
  <c r="P54" i="7" s="1"/>
  <c r="M54" i="7"/>
  <c r="D54" i="7"/>
  <c r="N49" i="7"/>
  <c r="P49" i="7" s="1"/>
  <c r="L49" i="7"/>
  <c r="D49" i="7"/>
  <c r="N48" i="7"/>
  <c r="P48" i="7" s="1"/>
  <c r="L48" i="7"/>
  <c r="D48" i="7"/>
  <c r="N47" i="7"/>
  <c r="P47" i="7" s="1"/>
  <c r="L47" i="7"/>
  <c r="D47" i="7"/>
  <c r="N46" i="7"/>
  <c r="P46" i="7" s="1"/>
  <c r="L46" i="7"/>
  <c r="D46" i="7"/>
  <c r="N45" i="7"/>
  <c r="P45" i="7" s="1"/>
  <c r="L45" i="7"/>
  <c r="D45" i="7"/>
  <c r="N44" i="7"/>
  <c r="P44" i="7" s="1"/>
  <c r="L44" i="7"/>
  <c r="D44" i="7"/>
  <c r="N43" i="7"/>
  <c r="P43" i="7" s="1"/>
  <c r="L43" i="7"/>
  <c r="D43" i="7"/>
  <c r="N42" i="7"/>
  <c r="P42" i="7" s="1"/>
  <c r="L42" i="7"/>
  <c r="D42" i="7"/>
  <c r="N41" i="7"/>
  <c r="P41" i="7" s="1"/>
  <c r="L41" i="7"/>
  <c r="D41" i="7"/>
  <c r="N40" i="7"/>
  <c r="P40" i="7" s="1"/>
  <c r="L40" i="7"/>
  <c r="D40" i="7"/>
  <c r="N39" i="7"/>
  <c r="P39" i="7" s="1"/>
  <c r="L39" i="7"/>
  <c r="D39" i="7"/>
  <c r="N38" i="7"/>
  <c r="P38" i="7" s="1"/>
  <c r="L38" i="7"/>
  <c r="D38" i="7"/>
  <c r="N37" i="7"/>
  <c r="P37" i="7" s="1"/>
  <c r="L37" i="7"/>
  <c r="D37" i="7"/>
  <c r="N36" i="7"/>
  <c r="P36" i="7" s="1"/>
  <c r="L36" i="7"/>
  <c r="D36" i="7"/>
  <c r="K32" i="7"/>
  <c r="D32" i="7"/>
  <c r="M32" i="7" s="1"/>
  <c r="P32" i="7" s="1"/>
  <c r="K31" i="7"/>
  <c r="D31" i="7"/>
  <c r="M31" i="7" s="1"/>
  <c r="K30" i="7"/>
  <c r="D30" i="7"/>
  <c r="M30" i="7" s="1"/>
  <c r="P30" i="7" s="1"/>
  <c r="K29" i="7"/>
  <c r="D29" i="7"/>
  <c r="M29" i="7" s="1"/>
  <c r="P29" i="7" s="1"/>
  <c r="K28" i="7"/>
  <c r="D28" i="7"/>
  <c r="M28" i="7" s="1"/>
  <c r="P28" i="7" s="1"/>
  <c r="K27" i="7"/>
  <c r="D27" i="7"/>
  <c r="P546" i="8" l="1"/>
  <c r="Y1426" i="7"/>
  <c r="Y1427" i="7" s="1"/>
  <c r="M1271" i="7"/>
  <c r="P1271" i="7" s="1"/>
  <c r="M407" i="7"/>
  <c r="P407" i="7" s="1"/>
  <c r="M320" i="8"/>
  <c r="P320" i="8" s="1"/>
  <c r="M1444" i="7"/>
  <c r="P1444" i="7" s="1"/>
  <c r="M494" i="7"/>
  <c r="P494" i="7" s="1"/>
  <c r="M1268" i="7"/>
  <c r="P1268" i="7" s="1"/>
  <c r="M235" i="8"/>
  <c r="P235" i="8" s="1"/>
  <c r="M319" i="8"/>
  <c r="P319" i="8" s="1"/>
  <c r="M1267" i="7"/>
  <c r="P1267" i="7" s="1"/>
  <c r="M1096" i="7"/>
  <c r="P1096" i="7" s="1"/>
  <c r="M1014" i="7"/>
  <c r="P1014" i="7" s="1"/>
  <c r="M495" i="8"/>
  <c r="P495" i="8" s="1"/>
  <c r="M549" i="8"/>
  <c r="P549" i="8" s="1"/>
  <c r="M232" i="8"/>
  <c r="P232" i="8" s="1"/>
  <c r="M318" i="8"/>
  <c r="P318" i="8" s="1"/>
  <c r="K119" i="9"/>
  <c r="L120" i="9"/>
  <c r="L110" i="9"/>
  <c r="K109" i="9"/>
  <c r="L38" i="9"/>
  <c r="K37" i="9"/>
  <c r="K47" i="9"/>
  <c r="L48" i="9"/>
  <c r="M751" i="7"/>
  <c r="P751" i="7" s="1"/>
  <c r="M1440" i="7"/>
  <c r="P1440" i="7" s="1"/>
  <c r="P287" i="8"/>
  <c r="M63" i="8"/>
  <c r="P63" i="8" s="1"/>
  <c r="P402" i="8"/>
  <c r="P545" i="8"/>
  <c r="M236" i="8"/>
  <c r="P236" i="8" s="1"/>
  <c r="M491" i="8"/>
  <c r="P491" i="8" s="1"/>
  <c r="M582" i="8"/>
  <c r="P582" i="8" s="1"/>
  <c r="M64" i="8"/>
  <c r="P64" i="8" s="1"/>
  <c r="M1010" i="7"/>
  <c r="P1010" i="7" s="1"/>
  <c r="M492" i="8"/>
  <c r="P492" i="8" s="1"/>
  <c r="P547" i="8"/>
  <c r="P144" i="8"/>
  <c r="M150" i="8"/>
  <c r="P150" i="8" s="1"/>
  <c r="M493" i="8"/>
  <c r="P493" i="8" s="1"/>
  <c r="M494" i="8"/>
  <c r="P494" i="8" s="1"/>
  <c r="M578" i="8"/>
  <c r="P578" i="8" s="1"/>
  <c r="M1530" i="7"/>
  <c r="P1530" i="7" s="1"/>
  <c r="M321" i="8"/>
  <c r="P321" i="8" s="1"/>
  <c r="M151" i="8"/>
  <c r="P151" i="8" s="1"/>
  <c r="P1071" i="7"/>
  <c r="N1085" i="7" s="1"/>
  <c r="P1085" i="7" s="1"/>
  <c r="P1086" i="7" s="1"/>
  <c r="P1437" i="7"/>
  <c r="M63" i="7"/>
  <c r="P63" i="7" s="1"/>
  <c r="N285" i="7"/>
  <c r="M1011" i="7"/>
  <c r="P1011" i="7" s="1"/>
  <c r="M664" i="7"/>
  <c r="P664" i="7" s="1"/>
  <c r="M496" i="7"/>
  <c r="P496" i="7" s="1"/>
  <c r="M580" i="7"/>
  <c r="P580" i="7" s="1"/>
  <c r="M665" i="7"/>
  <c r="P665" i="7" s="1"/>
  <c r="M1013" i="7"/>
  <c r="P1013" i="7" s="1"/>
  <c r="M322" i="8"/>
  <c r="P322" i="8" s="1"/>
  <c r="P229" i="8"/>
  <c r="M579" i="8"/>
  <c r="P579" i="8" s="1"/>
  <c r="P575" i="8"/>
  <c r="M580" i="8"/>
  <c r="P580" i="8" s="1"/>
  <c r="N567" i="8"/>
  <c r="P567" i="8" s="1"/>
  <c r="P568" i="8" s="1"/>
  <c r="M581" i="8"/>
  <c r="P581" i="8" s="1"/>
  <c r="M548" i="8"/>
  <c r="P548" i="8" s="1"/>
  <c r="P488" i="8"/>
  <c r="N480" i="8"/>
  <c r="P480" i="8" s="1"/>
  <c r="P481" i="8" s="1"/>
  <c r="M461" i="8"/>
  <c r="P461" i="8" s="1"/>
  <c r="M405" i="8"/>
  <c r="P405" i="8" s="1"/>
  <c r="M406" i="8"/>
  <c r="P406" i="8" s="1"/>
  <c r="M407" i="8"/>
  <c r="P407" i="8" s="1"/>
  <c r="M408" i="8"/>
  <c r="P408" i="8" s="1"/>
  <c r="M409" i="8"/>
  <c r="P409" i="8" s="1"/>
  <c r="P374" i="8"/>
  <c r="N394" i="8"/>
  <c r="P394" i="8" s="1"/>
  <c r="P395" i="8" s="1"/>
  <c r="M375" i="8"/>
  <c r="P375" i="8" s="1"/>
  <c r="M372" i="8"/>
  <c r="P372" i="8" s="1"/>
  <c r="M376" i="8"/>
  <c r="P376" i="8" s="1"/>
  <c r="N307" i="8"/>
  <c r="P307" i="8" s="1"/>
  <c r="P308" i="8" s="1"/>
  <c r="P315" i="8"/>
  <c r="M288" i="8"/>
  <c r="P288" i="8" s="1"/>
  <c r="M285" i="8"/>
  <c r="P285" i="8" s="1"/>
  <c r="M289" i="8"/>
  <c r="P289" i="8" s="1"/>
  <c r="M233" i="8"/>
  <c r="P233" i="8" s="1"/>
  <c r="M234" i="8"/>
  <c r="P234" i="8" s="1"/>
  <c r="N221" i="8"/>
  <c r="P221" i="8" s="1"/>
  <c r="P222" i="8" s="1"/>
  <c r="M202" i="8"/>
  <c r="P202" i="8" s="1"/>
  <c r="M147" i="8"/>
  <c r="P147" i="8" s="1"/>
  <c r="M148" i="8"/>
  <c r="P148" i="8" s="1"/>
  <c r="M149" i="8"/>
  <c r="P149" i="8" s="1"/>
  <c r="N136" i="8"/>
  <c r="P136" i="8" s="1"/>
  <c r="P137" i="8" s="1"/>
  <c r="M117" i="8"/>
  <c r="P117" i="8" s="1"/>
  <c r="M62" i="8"/>
  <c r="P62" i="8" s="1"/>
  <c r="M61" i="8"/>
  <c r="P61" i="8" s="1"/>
  <c r="P58" i="8"/>
  <c r="N50" i="8"/>
  <c r="P50" i="8" s="1"/>
  <c r="P51" i="8" s="1"/>
  <c r="M65" i="8"/>
  <c r="P65" i="8" s="1"/>
  <c r="M31" i="8"/>
  <c r="P31" i="8" s="1"/>
  <c r="M28" i="8"/>
  <c r="P28" i="8" s="1"/>
  <c r="M32" i="8"/>
  <c r="P32" i="8" s="1"/>
  <c r="M927" i="7"/>
  <c r="P927" i="7" s="1"/>
  <c r="M320" i="7"/>
  <c r="P320" i="7" s="1"/>
  <c r="P1234" i="7"/>
  <c r="M1353" i="7"/>
  <c r="P1353" i="7" s="1"/>
  <c r="M1442" i="7"/>
  <c r="P1442" i="7" s="1"/>
  <c r="P229" i="7"/>
  <c r="M235" i="7"/>
  <c r="P235" i="7" s="1"/>
  <c r="M1354" i="7"/>
  <c r="P1354" i="7" s="1"/>
  <c r="M65" i="7"/>
  <c r="P65" i="7" s="1"/>
  <c r="M147" i="7"/>
  <c r="P147" i="7" s="1"/>
  <c r="M236" i="7"/>
  <c r="P236" i="7" s="1"/>
  <c r="M288" i="7"/>
  <c r="P288" i="7" s="1"/>
  <c r="M460" i="7"/>
  <c r="P460" i="7" s="1"/>
  <c r="M667" i="7"/>
  <c r="P667" i="7" s="1"/>
  <c r="M838" i="7"/>
  <c r="P838" i="7" s="1"/>
  <c r="M720" i="7"/>
  <c r="P720" i="7" s="1"/>
  <c r="M892" i="7"/>
  <c r="P892" i="7" s="1"/>
  <c r="M1184" i="7"/>
  <c r="P1184" i="7" s="1"/>
  <c r="M1355" i="7"/>
  <c r="P1355" i="7" s="1"/>
  <c r="M1409" i="7"/>
  <c r="P1409" i="7" s="1"/>
  <c r="M149" i="7"/>
  <c r="P149" i="7" s="1"/>
  <c r="M408" i="7"/>
  <c r="P408" i="7" s="1"/>
  <c r="P1179" i="7"/>
  <c r="P1524" i="7"/>
  <c r="M62" i="7"/>
  <c r="P62" i="7" s="1"/>
  <c r="P1007" i="7"/>
  <c r="M1529" i="7"/>
  <c r="P1529" i="7" s="1"/>
  <c r="M462" i="7"/>
  <c r="P462" i="7" s="1"/>
  <c r="P894" i="7"/>
  <c r="M1185" i="7"/>
  <c r="P1185" i="7" s="1"/>
  <c r="P575" i="7"/>
  <c r="M1012" i="7"/>
  <c r="P1012" i="7" s="1"/>
  <c r="P1238" i="7"/>
  <c r="M1357" i="7"/>
  <c r="P1357" i="7" s="1"/>
  <c r="M582" i="7"/>
  <c r="P582" i="7" s="1"/>
  <c r="P58" i="7"/>
  <c r="M117" i="7"/>
  <c r="P117" i="7" s="1"/>
  <c r="M151" i="7"/>
  <c r="P151" i="7" s="1"/>
  <c r="P489" i="7"/>
  <c r="M1066" i="7"/>
  <c r="P1066" i="7" s="1"/>
  <c r="P1093" i="7"/>
  <c r="M1098" i="7"/>
  <c r="P1098" i="7" s="1"/>
  <c r="M1441" i="7"/>
  <c r="P1441" i="7" s="1"/>
  <c r="M495" i="7"/>
  <c r="P495" i="7" s="1"/>
  <c r="P718" i="7"/>
  <c r="M752" i="7"/>
  <c r="P752" i="7" s="1"/>
  <c r="M836" i="7"/>
  <c r="P836" i="7" s="1"/>
  <c r="P890" i="7"/>
  <c r="M1531" i="7"/>
  <c r="P1531" i="7" s="1"/>
  <c r="N1516" i="7"/>
  <c r="P1516" i="7" s="1"/>
  <c r="P1517" i="7" s="1"/>
  <c r="M1527" i="7"/>
  <c r="P1527" i="7" s="1"/>
  <c r="M1528" i="7"/>
  <c r="P1528" i="7" s="1"/>
  <c r="M1494" i="7"/>
  <c r="P1494" i="7" s="1"/>
  <c r="M1443" i="7"/>
  <c r="P1443" i="7" s="1"/>
  <c r="N1429" i="7"/>
  <c r="P1429" i="7" s="1"/>
  <c r="P1430" i="7" s="1"/>
  <c r="M1410" i="7"/>
  <c r="P1410" i="7" s="1"/>
  <c r="M1407" i="7"/>
  <c r="P1407" i="7" s="1"/>
  <c r="M1408" i="7"/>
  <c r="P1408" i="7" s="1"/>
  <c r="P1323" i="7"/>
  <c r="P1350" i="7"/>
  <c r="N1342" i="7"/>
  <c r="P1342" i="7" s="1"/>
  <c r="P1343" i="7" s="1"/>
  <c r="M1356" i="7"/>
  <c r="P1356" i="7" s="1"/>
  <c r="M1322" i="7"/>
  <c r="P1322" i="7" s="1"/>
  <c r="P1264" i="7"/>
  <c r="N1256" i="7"/>
  <c r="P1256" i="7" s="1"/>
  <c r="P1257" i="7" s="1"/>
  <c r="M1270" i="7"/>
  <c r="P1270" i="7" s="1"/>
  <c r="M1269" i="7"/>
  <c r="P1269" i="7" s="1"/>
  <c r="M1236" i="7"/>
  <c r="P1236" i="7" s="1"/>
  <c r="M1237" i="7"/>
  <c r="P1237" i="7" s="1"/>
  <c r="N1171" i="7"/>
  <c r="P1171" i="7" s="1"/>
  <c r="P1172" i="7" s="1"/>
  <c r="M1186" i="7"/>
  <c r="P1186" i="7" s="1"/>
  <c r="M1183" i="7"/>
  <c r="P1183" i="7" s="1"/>
  <c r="M1151" i="7"/>
  <c r="P1151" i="7" s="1"/>
  <c r="M1152" i="7"/>
  <c r="P1152" i="7" s="1"/>
  <c r="M1099" i="7"/>
  <c r="P1099" i="7" s="1"/>
  <c r="M1097" i="7"/>
  <c r="P1097" i="7" s="1"/>
  <c r="M1100" i="7"/>
  <c r="P1100" i="7" s="1"/>
  <c r="M1063" i="7"/>
  <c r="P1063" i="7" s="1"/>
  <c r="M1067" i="7"/>
  <c r="P1067" i="7" s="1"/>
  <c r="M1064" i="7"/>
  <c r="P1064" i="7" s="1"/>
  <c r="M1065" i="7"/>
  <c r="P1065" i="7" s="1"/>
  <c r="N999" i="7"/>
  <c r="P999" i="7" s="1"/>
  <c r="P1000" i="7" s="1"/>
  <c r="M923" i="7"/>
  <c r="P923" i="7" s="1"/>
  <c r="N912" i="7"/>
  <c r="P912" i="7" s="1"/>
  <c r="P913" i="7" s="1"/>
  <c r="P920" i="7"/>
  <c r="M926" i="7"/>
  <c r="P926" i="7" s="1"/>
  <c r="M925" i="7"/>
  <c r="P925" i="7" s="1"/>
  <c r="M839" i="7"/>
  <c r="P839" i="7" s="1"/>
  <c r="M840" i="7"/>
  <c r="P840" i="7" s="1"/>
  <c r="P833" i="7"/>
  <c r="M837" i="7"/>
  <c r="P837" i="7" s="1"/>
  <c r="N825" i="7"/>
  <c r="P825" i="7" s="1"/>
  <c r="P826" i="7" s="1"/>
  <c r="M803" i="7"/>
  <c r="P803" i="7" s="1"/>
  <c r="M805" i="7"/>
  <c r="P805" i="7" s="1"/>
  <c r="P746" i="7"/>
  <c r="M750" i="7"/>
  <c r="P750" i="7" s="1"/>
  <c r="N738" i="7"/>
  <c r="P738" i="7" s="1"/>
  <c r="P739" i="7" s="1"/>
  <c r="M753" i="7"/>
  <c r="P753" i="7" s="1"/>
  <c r="M716" i="7"/>
  <c r="P716" i="7" s="1"/>
  <c r="N652" i="7"/>
  <c r="P652" i="7" s="1"/>
  <c r="P653" i="7" s="1"/>
  <c r="M663" i="7"/>
  <c r="P663" i="7" s="1"/>
  <c r="P660" i="7"/>
  <c r="M666" i="7"/>
  <c r="P666" i="7" s="1"/>
  <c r="M581" i="7"/>
  <c r="P581" i="7" s="1"/>
  <c r="N567" i="7"/>
  <c r="P567" i="7" s="1"/>
  <c r="P568" i="7" s="1"/>
  <c r="M579" i="7"/>
  <c r="P579" i="7" s="1"/>
  <c r="M548" i="7"/>
  <c r="P548" i="7" s="1"/>
  <c r="M545" i="7"/>
  <c r="P545" i="7" s="1"/>
  <c r="M549" i="7"/>
  <c r="P549" i="7" s="1"/>
  <c r="M547" i="7"/>
  <c r="P547" i="7" s="1"/>
  <c r="M492" i="7"/>
  <c r="P492" i="7" s="1"/>
  <c r="N481" i="7"/>
  <c r="P481" i="7" s="1"/>
  <c r="P482" i="7" s="1"/>
  <c r="M405" i="7"/>
  <c r="P405" i="7" s="1"/>
  <c r="N394" i="7"/>
  <c r="P394" i="7" s="1"/>
  <c r="P395" i="7" s="1"/>
  <c r="P402" i="7"/>
  <c r="M409" i="7"/>
  <c r="P409" i="7" s="1"/>
  <c r="P373" i="7"/>
  <c r="M372" i="7"/>
  <c r="P372" i="7" s="1"/>
  <c r="M376" i="7"/>
  <c r="P376" i="7" s="1"/>
  <c r="M374" i="7"/>
  <c r="P374" i="7" s="1"/>
  <c r="N307" i="7"/>
  <c r="P307" i="7" s="1"/>
  <c r="P308" i="7" s="1"/>
  <c r="M321" i="7"/>
  <c r="P321" i="7" s="1"/>
  <c r="M318" i="7"/>
  <c r="P318" i="7" s="1"/>
  <c r="M319" i="7"/>
  <c r="P319" i="7" s="1"/>
  <c r="P315" i="7"/>
  <c r="M322" i="7"/>
  <c r="P322" i="7" s="1"/>
  <c r="M285" i="7"/>
  <c r="P285" i="7" s="1"/>
  <c r="P289" i="7"/>
  <c r="N221" i="7"/>
  <c r="P221" i="7" s="1"/>
  <c r="P222" i="7" s="1"/>
  <c r="M232" i="7"/>
  <c r="P232" i="7" s="1"/>
  <c r="M202" i="7"/>
  <c r="P202" i="7" s="1"/>
  <c r="M199" i="7"/>
  <c r="P199" i="7" s="1"/>
  <c r="M203" i="7"/>
  <c r="P203" i="7" s="1"/>
  <c r="M200" i="7"/>
  <c r="P200" i="7" s="1"/>
  <c r="N136" i="7"/>
  <c r="P136" i="7" s="1"/>
  <c r="P137" i="7" s="1"/>
  <c r="P144" i="7"/>
  <c r="M150" i="7"/>
  <c r="P150" i="7" s="1"/>
  <c r="M114" i="7"/>
  <c r="P114" i="7" s="1"/>
  <c r="M118" i="7"/>
  <c r="P118" i="7" s="1"/>
  <c r="M116" i="7"/>
  <c r="P116" i="7" s="1"/>
  <c r="N50" i="7"/>
  <c r="P50" i="7" s="1"/>
  <c r="P51" i="7" s="1"/>
  <c r="M64" i="7"/>
  <c r="P64" i="7" s="1"/>
  <c r="M61" i="7"/>
  <c r="P61" i="7" s="1"/>
  <c r="P31" i="7"/>
  <c r="P323" i="8" l="1"/>
  <c r="M284" i="8" s="1"/>
  <c r="P284" i="8" s="1"/>
  <c r="P290" i="8" s="1"/>
  <c r="P325" i="8" s="1"/>
  <c r="P237" i="7"/>
  <c r="M198" i="7" s="1"/>
  <c r="P198" i="7" s="1"/>
  <c r="P496" i="8"/>
  <c r="M457" i="8" s="1"/>
  <c r="P457" i="8" s="1"/>
  <c r="P463" i="8" s="1"/>
  <c r="P497" i="7"/>
  <c r="M458" i="7" s="1"/>
  <c r="P458" i="7" s="1"/>
  <c r="P464" i="7" s="1"/>
  <c r="P499" i="7" s="1"/>
  <c r="P1015" i="7"/>
  <c r="M976" i="7" s="1"/>
  <c r="P976" i="7" s="1"/>
  <c r="P982" i="7" s="1"/>
  <c r="P152" i="7"/>
  <c r="P1187" i="7"/>
  <c r="M1148" i="7" s="1"/>
  <c r="P1148" i="7" s="1"/>
  <c r="P1154" i="7" s="1"/>
  <c r="P1189" i="7" s="1"/>
  <c r="K110" i="9"/>
  <c r="L111" i="9"/>
  <c r="L121" i="9"/>
  <c r="K120" i="9"/>
  <c r="L39" i="9"/>
  <c r="K38" i="9"/>
  <c r="L49" i="9"/>
  <c r="K48" i="9"/>
  <c r="P841" i="7"/>
  <c r="M802" i="7" s="1"/>
  <c r="P802" i="7" s="1"/>
  <c r="P808" i="7" s="1"/>
  <c r="P843" i="7" s="1"/>
  <c r="P583" i="7"/>
  <c r="P237" i="8"/>
  <c r="M198" i="8" s="1"/>
  <c r="P198" i="8" s="1"/>
  <c r="P204" i="8" s="1"/>
  <c r="P239" i="8" s="1"/>
  <c r="P583" i="8"/>
  <c r="M544" i="8" s="1"/>
  <c r="P544" i="8" s="1"/>
  <c r="P550" i="8" s="1"/>
  <c r="P585" i="8" s="1"/>
  <c r="P1445" i="7"/>
  <c r="M1406" i="7" s="1"/>
  <c r="P1406" i="7" s="1"/>
  <c r="P1412" i="7" s="1"/>
  <c r="P1447" i="7" s="1"/>
  <c r="P66" i="8"/>
  <c r="M27" i="8" s="1"/>
  <c r="P27" i="8" s="1"/>
  <c r="P33" i="8" s="1"/>
  <c r="P410" i="8"/>
  <c r="P152" i="8"/>
  <c r="P1101" i="7"/>
  <c r="M1062" i="7" s="1"/>
  <c r="P1062" i="7" s="1"/>
  <c r="P1068" i="7" s="1"/>
  <c r="P1103" i="7" s="1"/>
  <c r="P1358" i="7"/>
  <c r="M1319" i="7" s="1"/>
  <c r="P1319" i="7" s="1"/>
  <c r="P1325" i="7" s="1"/>
  <c r="P1360" i="7" s="1"/>
  <c r="P410" i="7"/>
  <c r="M371" i="7" s="1"/>
  <c r="P371" i="7" s="1"/>
  <c r="P377" i="7" s="1"/>
  <c r="P754" i="7"/>
  <c r="P204" i="7"/>
  <c r="P239" i="7" s="1"/>
  <c r="P1272" i="7"/>
  <c r="M1233" i="7" s="1"/>
  <c r="P1233" i="7" s="1"/>
  <c r="P1239" i="7" s="1"/>
  <c r="P1274" i="7" s="1"/>
  <c r="P1532" i="7"/>
  <c r="P928" i="7"/>
  <c r="P668" i="7"/>
  <c r="M544" i="7"/>
  <c r="P544" i="7" s="1"/>
  <c r="P550" i="7" s="1"/>
  <c r="P585" i="7" s="1"/>
  <c r="P323" i="7"/>
  <c r="M113" i="7"/>
  <c r="P113" i="7" s="1"/>
  <c r="P119" i="7" s="1"/>
  <c r="P154" i="7" s="1"/>
  <c r="P66" i="7"/>
  <c r="P498" i="8" l="1"/>
  <c r="N501" i="8" s="1"/>
  <c r="P1017" i="7"/>
  <c r="K121" i="9"/>
  <c r="L122" i="9"/>
  <c r="K111" i="9"/>
  <c r="L112" i="9"/>
  <c r="L50" i="9"/>
  <c r="K49" i="9"/>
  <c r="K39" i="9"/>
  <c r="L40" i="9"/>
  <c r="P68" i="8"/>
  <c r="M371" i="8"/>
  <c r="P371" i="8" s="1"/>
  <c r="P377" i="8" s="1"/>
  <c r="P412" i="8" s="1"/>
  <c r="M113" i="8"/>
  <c r="P113" i="8" s="1"/>
  <c r="P119" i="8" s="1"/>
  <c r="P154" i="8" s="1"/>
  <c r="N329" i="8"/>
  <c r="N328" i="8"/>
  <c r="N330" i="8"/>
  <c r="N589" i="8"/>
  <c r="N590" i="8"/>
  <c r="N588" i="8"/>
  <c r="N242" i="8"/>
  <c r="N244" i="8"/>
  <c r="N243" i="8"/>
  <c r="M715" i="7"/>
  <c r="P715" i="7" s="1"/>
  <c r="P721" i="7" s="1"/>
  <c r="P756" i="7" s="1"/>
  <c r="P412" i="7"/>
  <c r="M1493" i="7"/>
  <c r="P1493" i="7" s="1"/>
  <c r="P1499" i="7" s="1"/>
  <c r="P1534" i="7" s="1"/>
  <c r="M889" i="7"/>
  <c r="P889" i="7" s="1"/>
  <c r="P895" i="7" s="1"/>
  <c r="P930" i="7" s="1"/>
  <c r="M629" i="7"/>
  <c r="P629" i="7" s="1"/>
  <c r="P635" i="7" s="1"/>
  <c r="P670" i="7" s="1"/>
  <c r="M284" i="7"/>
  <c r="P284" i="7" s="1"/>
  <c r="P290" i="7" s="1"/>
  <c r="P325" i="7" s="1"/>
  <c r="M27" i="7"/>
  <c r="P27" i="7" s="1"/>
  <c r="P33" i="7" s="1"/>
  <c r="P68" i="7" s="1"/>
  <c r="N502" i="8" l="1"/>
  <c r="N503" i="8"/>
  <c r="L113" i="9"/>
  <c r="K112" i="9"/>
  <c r="K122" i="9"/>
  <c r="L123" i="9"/>
  <c r="K50" i="9"/>
  <c r="L51" i="9"/>
  <c r="K40" i="9"/>
  <c r="L41" i="9"/>
  <c r="N416" i="8"/>
  <c r="N415" i="8"/>
  <c r="N417" i="8"/>
  <c r="N159" i="8"/>
  <c r="N158" i="8"/>
  <c r="N157" i="8"/>
  <c r="N71" i="8"/>
  <c r="N72" i="8"/>
  <c r="N73" i="8"/>
  <c r="P245" i="8"/>
  <c r="P247" i="8" s="1"/>
  <c r="R195" i="8" s="1"/>
  <c r="G91" i="5" s="1"/>
  <c r="P591" i="8"/>
  <c r="P593" i="8" s="1"/>
  <c r="R541" i="8" s="1"/>
  <c r="G98" i="5" s="1"/>
  <c r="P331" i="8"/>
  <c r="P333" i="8" s="1"/>
  <c r="R281" i="8" s="1"/>
  <c r="G92" i="5" s="1"/>
  <c r="P504" i="8" l="1"/>
  <c r="P506" i="8" s="1"/>
  <c r="R454" i="8" s="1"/>
  <c r="G97" i="5" s="1"/>
  <c r="P74" i="8"/>
  <c r="P76" i="8" s="1"/>
  <c r="R24" i="8" s="1"/>
  <c r="G89" i="5" s="1"/>
  <c r="K113" i="9"/>
  <c r="L114" i="9"/>
  <c r="L124" i="9"/>
  <c r="K123" i="9"/>
  <c r="K41" i="9"/>
  <c r="L42" i="9"/>
  <c r="L52" i="9"/>
  <c r="K52" i="9" s="1"/>
  <c r="K51" i="9"/>
  <c r="P418" i="8"/>
  <c r="P420" i="8" s="1"/>
  <c r="R368" i="8" s="1"/>
  <c r="G96" i="5" s="1"/>
  <c r="P160" i="8"/>
  <c r="P162" i="8" s="1"/>
  <c r="R110" i="8" s="1"/>
  <c r="G90" i="5" s="1"/>
  <c r="K124" i="9" l="1"/>
  <c r="L125" i="9"/>
  <c r="L115" i="9"/>
  <c r="K114" i="9"/>
  <c r="L53" i="9"/>
  <c r="K42" i="9"/>
  <c r="D24" i="7"/>
  <c r="M1550" i="7"/>
  <c r="E1550" i="7"/>
  <c r="M1549" i="7"/>
  <c r="E1549" i="7"/>
  <c r="M1548" i="7"/>
  <c r="E1548" i="7"/>
  <c r="L1547" i="7"/>
  <c r="D1547" i="7"/>
  <c r="M1539" i="7"/>
  <c r="M1538" i="7"/>
  <c r="M1537" i="7"/>
  <c r="A1494" i="7"/>
  <c r="A1495" i="7" s="1"/>
  <c r="A1496" i="7" s="1"/>
  <c r="A1497" i="7" s="1"/>
  <c r="A1498" i="7" s="1"/>
  <c r="A1499" i="7" s="1"/>
  <c r="A1500" i="7" s="1"/>
  <c r="A1501" i="7" s="1"/>
  <c r="A1502" i="7" s="1"/>
  <c r="A1503" i="7" s="1"/>
  <c r="A1504" i="7" s="1"/>
  <c r="A1505" i="7" s="1"/>
  <c r="A1506" i="7" s="1"/>
  <c r="A1507" i="7" s="1"/>
  <c r="A1508" i="7" s="1"/>
  <c r="A1509" i="7" s="1"/>
  <c r="A1510" i="7" s="1"/>
  <c r="A1511" i="7" s="1"/>
  <c r="A1512" i="7" s="1"/>
  <c r="A1513" i="7" s="1"/>
  <c r="A1514" i="7" s="1"/>
  <c r="A1515" i="7" s="1"/>
  <c r="A1516" i="7" s="1"/>
  <c r="A1517" i="7" s="1"/>
  <c r="A1518" i="7" s="1"/>
  <c r="A1519" i="7" s="1"/>
  <c r="A1520" i="7" s="1"/>
  <c r="A1521" i="7" s="1"/>
  <c r="A1522" i="7" s="1"/>
  <c r="A1523" i="7" s="1"/>
  <c r="A1524" i="7" s="1"/>
  <c r="A1525" i="7" s="1"/>
  <c r="A1526" i="7" s="1"/>
  <c r="A1527" i="7" s="1"/>
  <c r="A1528" i="7" s="1"/>
  <c r="A1529" i="7" s="1"/>
  <c r="A1530" i="7" s="1"/>
  <c r="A1531" i="7" s="1"/>
  <c r="A1532" i="7" s="1"/>
  <c r="A1533" i="7" s="1"/>
  <c r="A1493" i="7"/>
  <c r="P1483" i="7"/>
  <c r="O1483" i="7"/>
  <c r="N1483" i="7"/>
  <c r="O1476" i="7"/>
  <c r="H1470" i="7"/>
  <c r="G1470" i="7"/>
  <c r="E1470" i="7"/>
  <c r="D1469" i="7"/>
  <c r="M1463" i="7"/>
  <c r="E1463" i="7"/>
  <c r="M1462" i="7"/>
  <c r="E1462" i="7"/>
  <c r="M1461" i="7"/>
  <c r="E1461" i="7"/>
  <c r="L1460" i="7"/>
  <c r="D1460" i="7"/>
  <c r="M1452" i="7"/>
  <c r="M1451" i="7"/>
  <c r="M1450" i="7"/>
  <c r="A1407" i="7"/>
  <c r="A1408" i="7" s="1"/>
  <c r="A1409" i="7" s="1"/>
  <c r="A1410" i="7" s="1"/>
  <c r="A1411" i="7" s="1"/>
  <c r="A1412" i="7" s="1"/>
  <c r="A1413" i="7" s="1"/>
  <c r="A1414" i="7" s="1"/>
  <c r="A1415" i="7" s="1"/>
  <c r="A1416" i="7" s="1"/>
  <c r="A1417" i="7" s="1"/>
  <c r="A1418" i="7" s="1"/>
  <c r="A1419" i="7" s="1"/>
  <c r="A1420" i="7" s="1"/>
  <c r="A1421" i="7" s="1"/>
  <c r="A1422" i="7" s="1"/>
  <c r="A1423" i="7" s="1"/>
  <c r="A1424" i="7" s="1"/>
  <c r="A1425" i="7" s="1"/>
  <c r="A1426" i="7" s="1"/>
  <c r="A1427" i="7" s="1"/>
  <c r="A1428" i="7" s="1"/>
  <c r="A1429" i="7" s="1"/>
  <c r="A1430" i="7" s="1"/>
  <c r="A1431" i="7" s="1"/>
  <c r="A1432" i="7" s="1"/>
  <c r="A1433" i="7" s="1"/>
  <c r="A1434" i="7" s="1"/>
  <c r="A1435" i="7" s="1"/>
  <c r="A1436" i="7" s="1"/>
  <c r="A1437" i="7" s="1"/>
  <c r="A1438" i="7" s="1"/>
  <c r="A1439" i="7" s="1"/>
  <c r="A1440" i="7" s="1"/>
  <c r="A1441" i="7" s="1"/>
  <c r="A1442" i="7" s="1"/>
  <c r="A1443" i="7" s="1"/>
  <c r="A1444" i="7" s="1"/>
  <c r="A1445" i="7" s="1"/>
  <c r="A1446" i="7" s="1"/>
  <c r="A1406" i="7"/>
  <c r="P1396" i="7"/>
  <c r="O1396" i="7"/>
  <c r="N1396" i="7"/>
  <c r="O1389" i="7"/>
  <c r="H1383" i="7"/>
  <c r="G1383" i="7"/>
  <c r="E1383" i="7"/>
  <c r="D1382" i="7"/>
  <c r="M1376" i="7"/>
  <c r="E1376" i="7"/>
  <c r="M1375" i="7"/>
  <c r="E1375" i="7"/>
  <c r="M1374" i="7"/>
  <c r="E1374" i="7"/>
  <c r="L1373" i="7"/>
  <c r="D1373" i="7"/>
  <c r="M1365" i="7"/>
  <c r="M1364" i="7"/>
  <c r="M1363" i="7"/>
  <c r="A1320" i="7"/>
  <c r="A1321" i="7" s="1"/>
  <c r="A1322" i="7" s="1"/>
  <c r="A1323" i="7" s="1"/>
  <c r="A1324" i="7" s="1"/>
  <c r="A1325" i="7" s="1"/>
  <c r="A1326" i="7" s="1"/>
  <c r="A1327" i="7" s="1"/>
  <c r="A1328" i="7" s="1"/>
  <c r="A1329" i="7" s="1"/>
  <c r="A1330" i="7" s="1"/>
  <c r="A1331" i="7" s="1"/>
  <c r="A1332" i="7" s="1"/>
  <c r="A1333" i="7" s="1"/>
  <c r="A1334" i="7" s="1"/>
  <c r="A1335" i="7" s="1"/>
  <c r="A1336" i="7" s="1"/>
  <c r="A1337" i="7" s="1"/>
  <c r="A1338" i="7" s="1"/>
  <c r="A1339" i="7" s="1"/>
  <c r="A1340" i="7" s="1"/>
  <c r="A1341" i="7" s="1"/>
  <c r="A1342" i="7" s="1"/>
  <c r="A1343" i="7" s="1"/>
  <c r="A1344" i="7" s="1"/>
  <c r="A1345" i="7" s="1"/>
  <c r="A1346" i="7" s="1"/>
  <c r="A1347" i="7" s="1"/>
  <c r="A1348" i="7" s="1"/>
  <c r="A1349" i="7" s="1"/>
  <c r="A1350" i="7" s="1"/>
  <c r="A1351" i="7" s="1"/>
  <c r="A1352" i="7" s="1"/>
  <c r="A1353" i="7" s="1"/>
  <c r="A1354" i="7" s="1"/>
  <c r="A1355" i="7" s="1"/>
  <c r="A1356" i="7" s="1"/>
  <c r="A1357" i="7" s="1"/>
  <c r="A1358" i="7" s="1"/>
  <c r="A1359" i="7" s="1"/>
  <c r="A1319" i="7"/>
  <c r="P1309" i="7"/>
  <c r="O1309" i="7"/>
  <c r="N1309" i="7"/>
  <c r="O1302" i="7"/>
  <c r="H1296" i="7"/>
  <c r="G1296" i="7"/>
  <c r="E1296" i="7"/>
  <c r="D1295" i="7"/>
  <c r="M1290" i="7"/>
  <c r="E1290" i="7"/>
  <c r="M1289" i="7"/>
  <c r="E1289" i="7"/>
  <c r="M1288" i="7"/>
  <c r="E1288" i="7"/>
  <c r="L1287" i="7"/>
  <c r="D1287" i="7"/>
  <c r="M1279" i="7"/>
  <c r="M1278" i="7"/>
  <c r="M1277" i="7"/>
  <c r="A1234" i="7"/>
  <c r="A1235" i="7" s="1"/>
  <c r="A1236" i="7" s="1"/>
  <c r="A1237" i="7" s="1"/>
  <c r="A1238" i="7" s="1"/>
  <c r="A1239" i="7" s="1"/>
  <c r="A1240" i="7" s="1"/>
  <c r="A1241" i="7" s="1"/>
  <c r="A1242" i="7" s="1"/>
  <c r="A1243" i="7" s="1"/>
  <c r="A1244" i="7" s="1"/>
  <c r="A1245" i="7" s="1"/>
  <c r="A1246" i="7" s="1"/>
  <c r="A1247" i="7" s="1"/>
  <c r="A1248" i="7" s="1"/>
  <c r="A1249" i="7" s="1"/>
  <c r="A1250" i="7" s="1"/>
  <c r="A1251" i="7" s="1"/>
  <c r="A1252" i="7" s="1"/>
  <c r="A1253" i="7" s="1"/>
  <c r="A1254" i="7" s="1"/>
  <c r="A1255" i="7" s="1"/>
  <c r="A1256" i="7" s="1"/>
  <c r="A1257" i="7" s="1"/>
  <c r="A1258" i="7" s="1"/>
  <c r="A1259" i="7" s="1"/>
  <c r="A1260" i="7" s="1"/>
  <c r="A1261" i="7" s="1"/>
  <c r="A1262" i="7" s="1"/>
  <c r="A1263" i="7" s="1"/>
  <c r="A1264" i="7" s="1"/>
  <c r="A1265" i="7" s="1"/>
  <c r="A1266" i="7" s="1"/>
  <c r="A1267" i="7" s="1"/>
  <c r="A1268" i="7" s="1"/>
  <c r="A1269" i="7" s="1"/>
  <c r="A1270" i="7" s="1"/>
  <c r="A1271" i="7" s="1"/>
  <c r="A1272" i="7" s="1"/>
  <c r="A1273" i="7" s="1"/>
  <c r="A1233" i="7"/>
  <c r="P1223" i="7"/>
  <c r="O1223" i="7"/>
  <c r="N1223" i="7"/>
  <c r="O1216" i="7"/>
  <c r="H1210" i="7"/>
  <c r="G1210" i="7"/>
  <c r="E1210" i="7"/>
  <c r="D1209" i="7"/>
  <c r="M1205" i="7"/>
  <c r="E1205" i="7"/>
  <c r="M1204" i="7"/>
  <c r="E1204" i="7"/>
  <c r="M1203" i="7"/>
  <c r="E1203" i="7"/>
  <c r="L1202" i="7"/>
  <c r="D1202" i="7"/>
  <c r="M1194" i="7"/>
  <c r="M1193" i="7"/>
  <c r="M1192" i="7"/>
  <c r="A1149" i="7"/>
  <c r="A1150" i="7" s="1"/>
  <c r="A1151" i="7" s="1"/>
  <c r="A1152" i="7" s="1"/>
  <c r="A1153" i="7" s="1"/>
  <c r="A1154" i="7" s="1"/>
  <c r="A1155" i="7" s="1"/>
  <c r="A1156" i="7" s="1"/>
  <c r="A1157" i="7" s="1"/>
  <c r="A1158" i="7" s="1"/>
  <c r="A1159" i="7" s="1"/>
  <c r="A1160" i="7" s="1"/>
  <c r="A1161" i="7" s="1"/>
  <c r="A1162" i="7" s="1"/>
  <c r="A1163" i="7" s="1"/>
  <c r="A1164" i="7" s="1"/>
  <c r="A1165" i="7" s="1"/>
  <c r="A1166" i="7" s="1"/>
  <c r="A1167" i="7" s="1"/>
  <c r="A1168" i="7" s="1"/>
  <c r="A1169" i="7" s="1"/>
  <c r="A1170" i="7" s="1"/>
  <c r="A1171" i="7" s="1"/>
  <c r="A1172" i="7" s="1"/>
  <c r="A1173" i="7" s="1"/>
  <c r="A1174" i="7" s="1"/>
  <c r="A1175" i="7" s="1"/>
  <c r="A1176" i="7" s="1"/>
  <c r="A1177" i="7" s="1"/>
  <c r="A1178" i="7" s="1"/>
  <c r="A1179" i="7" s="1"/>
  <c r="A1180" i="7" s="1"/>
  <c r="A1181" i="7" s="1"/>
  <c r="A1182" i="7" s="1"/>
  <c r="A1183" i="7" s="1"/>
  <c r="A1184" i="7" s="1"/>
  <c r="A1185" i="7" s="1"/>
  <c r="A1186" i="7" s="1"/>
  <c r="A1187" i="7" s="1"/>
  <c r="A1188" i="7" s="1"/>
  <c r="A1148" i="7"/>
  <c r="P1138" i="7"/>
  <c r="O1138" i="7"/>
  <c r="N1138" i="7"/>
  <c r="O1131" i="7"/>
  <c r="H1125" i="7"/>
  <c r="G1125" i="7"/>
  <c r="E1125" i="7"/>
  <c r="D1124" i="7"/>
  <c r="M1119" i="7"/>
  <c r="E1119" i="7"/>
  <c r="M1118" i="7"/>
  <c r="E1118" i="7"/>
  <c r="M1117" i="7"/>
  <c r="E1117" i="7"/>
  <c r="L1116" i="7"/>
  <c r="D1116" i="7"/>
  <c r="M1108" i="7"/>
  <c r="M1107" i="7"/>
  <c r="M1106" i="7"/>
  <c r="A1072" i="7"/>
  <c r="A1073" i="7" s="1"/>
  <c r="A1074" i="7" s="1"/>
  <c r="A1075" i="7" s="1"/>
  <c r="A1076" i="7" s="1"/>
  <c r="A1077" i="7" s="1"/>
  <c r="A1078" i="7" s="1"/>
  <c r="A1079" i="7" s="1"/>
  <c r="A1080" i="7" s="1"/>
  <c r="A1081" i="7" s="1"/>
  <c r="A1082" i="7" s="1"/>
  <c r="A1083" i="7" s="1"/>
  <c r="A1084" i="7" s="1"/>
  <c r="A1085" i="7" s="1"/>
  <c r="A1086" i="7" s="1"/>
  <c r="A1087" i="7" s="1"/>
  <c r="A1088" i="7" s="1"/>
  <c r="A1089" i="7" s="1"/>
  <c r="A1090" i="7" s="1"/>
  <c r="A1091" i="7" s="1"/>
  <c r="A1092" i="7" s="1"/>
  <c r="A1093" i="7" s="1"/>
  <c r="A1094" i="7" s="1"/>
  <c r="A1095" i="7" s="1"/>
  <c r="A1096" i="7" s="1"/>
  <c r="A1097" i="7" s="1"/>
  <c r="A1098" i="7" s="1"/>
  <c r="A1099" i="7" s="1"/>
  <c r="A1100" i="7" s="1"/>
  <c r="A1101" i="7" s="1"/>
  <c r="A1102" i="7" s="1"/>
  <c r="A1063" i="7"/>
  <c r="A1064" i="7" s="1"/>
  <c r="P1052" i="7"/>
  <c r="O1052" i="7"/>
  <c r="N1052" i="7"/>
  <c r="O1045" i="7"/>
  <c r="H1039" i="7"/>
  <c r="G1039" i="7"/>
  <c r="E1039" i="7"/>
  <c r="D1038" i="7"/>
  <c r="M1033" i="7"/>
  <c r="E1033" i="7"/>
  <c r="M1032" i="7"/>
  <c r="E1032" i="7"/>
  <c r="M1031" i="7"/>
  <c r="E1031" i="7"/>
  <c r="L1030" i="7"/>
  <c r="D1030" i="7"/>
  <c r="M1022" i="7"/>
  <c r="M1021" i="7"/>
  <c r="M1020" i="7"/>
  <c r="A977" i="7"/>
  <c r="A978" i="7" s="1"/>
  <c r="A979" i="7" s="1"/>
  <c r="A980" i="7" s="1"/>
  <c r="A981" i="7" s="1"/>
  <c r="A982" i="7" s="1"/>
  <c r="A983" i="7" s="1"/>
  <c r="A984" i="7" s="1"/>
  <c r="A985" i="7" s="1"/>
  <c r="A986" i="7" s="1"/>
  <c r="A987" i="7" s="1"/>
  <c r="A988" i="7" s="1"/>
  <c r="A989" i="7" s="1"/>
  <c r="A990" i="7" s="1"/>
  <c r="A991" i="7" s="1"/>
  <c r="A992" i="7" s="1"/>
  <c r="A993" i="7" s="1"/>
  <c r="A994" i="7" s="1"/>
  <c r="A995" i="7" s="1"/>
  <c r="A996" i="7" s="1"/>
  <c r="A997" i="7" s="1"/>
  <c r="A998" i="7" s="1"/>
  <c r="A999" i="7" s="1"/>
  <c r="A1000" i="7" s="1"/>
  <c r="A1001" i="7" s="1"/>
  <c r="A1002" i="7" s="1"/>
  <c r="A1003" i="7" s="1"/>
  <c r="A1004" i="7" s="1"/>
  <c r="A1005" i="7" s="1"/>
  <c r="A1006" i="7" s="1"/>
  <c r="A1007" i="7" s="1"/>
  <c r="A1008" i="7" s="1"/>
  <c r="A1009" i="7" s="1"/>
  <c r="A1010" i="7" s="1"/>
  <c r="A1011" i="7" s="1"/>
  <c r="A1012" i="7" s="1"/>
  <c r="A1013" i="7" s="1"/>
  <c r="A1014" i="7" s="1"/>
  <c r="A1015" i="7" s="1"/>
  <c r="A1016" i="7" s="1"/>
  <c r="A976" i="7"/>
  <c r="P966" i="7"/>
  <c r="O966" i="7"/>
  <c r="N966" i="7"/>
  <c r="O959" i="7"/>
  <c r="H953" i="7"/>
  <c r="G953" i="7"/>
  <c r="E953" i="7"/>
  <c r="D952" i="7"/>
  <c r="M946" i="7"/>
  <c r="E946" i="7"/>
  <c r="M945" i="7"/>
  <c r="E945" i="7"/>
  <c r="M944" i="7"/>
  <c r="E944" i="7"/>
  <c r="L943" i="7"/>
  <c r="D943" i="7"/>
  <c r="M935" i="7"/>
  <c r="M934" i="7"/>
  <c r="M933" i="7"/>
  <c r="A890" i="7"/>
  <c r="A891" i="7" s="1"/>
  <c r="A892" i="7" s="1"/>
  <c r="A893" i="7" s="1"/>
  <c r="A894" i="7" s="1"/>
  <c r="A895" i="7" s="1"/>
  <c r="A896" i="7" s="1"/>
  <c r="A897" i="7" s="1"/>
  <c r="A898" i="7" s="1"/>
  <c r="A899" i="7" s="1"/>
  <c r="A900" i="7" s="1"/>
  <c r="A901" i="7" s="1"/>
  <c r="A902" i="7" s="1"/>
  <c r="A903" i="7" s="1"/>
  <c r="A904" i="7" s="1"/>
  <c r="A905" i="7" s="1"/>
  <c r="A906" i="7" s="1"/>
  <c r="A907" i="7" s="1"/>
  <c r="A908" i="7" s="1"/>
  <c r="A909" i="7" s="1"/>
  <c r="A910" i="7" s="1"/>
  <c r="A911" i="7" s="1"/>
  <c r="A912" i="7" s="1"/>
  <c r="A913" i="7" s="1"/>
  <c r="A914" i="7" s="1"/>
  <c r="A915" i="7" s="1"/>
  <c r="A916" i="7" s="1"/>
  <c r="A917" i="7" s="1"/>
  <c r="A918" i="7" s="1"/>
  <c r="A919" i="7" s="1"/>
  <c r="A920" i="7" s="1"/>
  <c r="A921" i="7" s="1"/>
  <c r="A922" i="7" s="1"/>
  <c r="A923" i="7" s="1"/>
  <c r="A924" i="7" s="1"/>
  <c r="A925" i="7" s="1"/>
  <c r="A926" i="7" s="1"/>
  <c r="A927" i="7" s="1"/>
  <c r="A928" i="7" s="1"/>
  <c r="A929" i="7" s="1"/>
  <c r="A889" i="7"/>
  <c r="P879" i="7"/>
  <c r="O879" i="7"/>
  <c r="N879" i="7"/>
  <c r="O872" i="7"/>
  <c r="H866" i="7"/>
  <c r="G866" i="7"/>
  <c r="E866" i="7"/>
  <c r="D865" i="7"/>
  <c r="M859" i="7"/>
  <c r="E859" i="7"/>
  <c r="M858" i="7"/>
  <c r="E858" i="7"/>
  <c r="M857" i="7"/>
  <c r="E857" i="7"/>
  <c r="L856" i="7"/>
  <c r="D856" i="7"/>
  <c r="M848" i="7"/>
  <c r="M847" i="7"/>
  <c r="M846" i="7"/>
  <c r="A803" i="7"/>
  <c r="A804" i="7" s="1"/>
  <c r="A805" i="7" s="1"/>
  <c r="A806" i="7" s="1"/>
  <c r="A807" i="7" s="1"/>
  <c r="A808" i="7" s="1"/>
  <c r="A809" i="7" s="1"/>
  <c r="A810" i="7" s="1"/>
  <c r="A811" i="7" s="1"/>
  <c r="A812" i="7" s="1"/>
  <c r="A813" i="7" s="1"/>
  <c r="A814" i="7" s="1"/>
  <c r="A815" i="7" s="1"/>
  <c r="A816" i="7" s="1"/>
  <c r="A817" i="7" s="1"/>
  <c r="A818" i="7" s="1"/>
  <c r="A819" i="7" s="1"/>
  <c r="A820" i="7" s="1"/>
  <c r="A821" i="7" s="1"/>
  <c r="A822" i="7" s="1"/>
  <c r="A823" i="7" s="1"/>
  <c r="A824" i="7" s="1"/>
  <c r="A825" i="7" s="1"/>
  <c r="A826" i="7" s="1"/>
  <c r="A827" i="7" s="1"/>
  <c r="A828" i="7" s="1"/>
  <c r="A829" i="7" s="1"/>
  <c r="A830" i="7" s="1"/>
  <c r="A831" i="7" s="1"/>
  <c r="A832" i="7" s="1"/>
  <c r="A833" i="7" s="1"/>
  <c r="A834" i="7" s="1"/>
  <c r="A835" i="7" s="1"/>
  <c r="A836" i="7" s="1"/>
  <c r="A837" i="7" s="1"/>
  <c r="A838" i="7" s="1"/>
  <c r="A839" i="7" s="1"/>
  <c r="A840" i="7" s="1"/>
  <c r="A841" i="7" s="1"/>
  <c r="A842" i="7" s="1"/>
  <c r="A802" i="7"/>
  <c r="P792" i="7"/>
  <c r="O792" i="7"/>
  <c r="N792" i="7"/>
  <c r="O785" i="7"/>
  <c r="H779" i="7"/>
  <c r="G779" i="7"/>
  <c r="E779" i="7"/>
  <c r="D778" i="7"/>
  <c r="M772" i="7"/>
  <c r="E772" i="7"/>
  <c r="M771" i="7"/>
  <c r="E771" i="7"/>
  <c r="M770" i="7"/>
  <c r="E770" i="7"/>
  <c r="L769" i="7"/>
  <c r="D769" i="7"/>
  <c r="M761" i="7"/>
  <c r="M760" i="7"/>
  <c r="M759" i="7"/>
  <c r="A716" i="7"/>
  <c r="A717" i="7" s="1"/>
  <c r="A718" i="7" s="1"/>
  <c r="A719" i="7" s="1"/>
  <c r="A720" i="7" s="1"/>
  <c r="A721" i="7" s="1"/>
  <c r="A722" i="7" s="1"/>
  <c r="A723" i="7" s="1"/>
  <c r="A724" i="7" s="1"/>
  <c r="A725" i="7" s="1"/>
  <c r="A726" i="7" s="1"/>
  <c r="A727" i="7" s="1"/>
  <c r="A728" i="7" s="1"/>
  <c r="A729" i="7" s="1"/>
  <c r="A730" i="7" s="1"/>
  <c r="A731" i="7" s="1"/>
  <c r="A732" i="7" s="1"/>
  <c r="A733" i="7" s="1"/>
  <c r="A734" i="7" s="1"/>
  <c r="A735" i="7" s="1"/>
  <c r="A736" i="7" s="1"/>
  <c r="A737" i="7" s="1"/>
  <c r="A738" i="7" s="1"/>
  <c r="A739" i="7" s="1"/>
  <c r="A740" i="7" s="1"/>
  <c r="A741" i="7" s="1"/>
  <c r="A742" i="7" s="1"/>
  <c r="A743" i="7" s="1"/>
  <c r="A744" i="7" s="1"/>
  <c r="A745" i="7" s="1"/>
  <c r="A746" i="7" s="1"/>
  <c r="A747" i="7" s="1"/>
  <c r="A748" i="7" s="1"/>
  <c r="A749" i="7" s="1"/>
  <c r="A750" i="7" s="1"/>
  <c r="A751" i="7" s="1"/>
  <c r="A752" i="7" s="1"/>
  <c r="A753" i="7" s="1"/>
  <c r="A754" i="7" s="1"/>
  <c r="A755" i="7" s="1"/>
  <c r="A715" i="7"/>
  <c r="P705" i="7"/>
  <c r="O705" i="7"/>
  <c r="N705" i="7"/>
  <c r="O698" i="7"/>
  <c r="H692" i="7"/>
  <c r="G692" i="7"/>
  <c r="E692" i="7"/>
  <c r="D691" i="7"/>
  <c r="M686" i="7"/>
  <c r="E686" i="7"/>
  <c r="M685" i="7"/>
  <c r="E685" i="7"/>
  <c r="M684" i="7"/>
  <c r="E684" i="7"/>
  <c r="L683" i="7"/>
  <c r="D683" i="7"/>
  <c r="M675" i="7"/>
  <c r="M674" i="7"/>
  <c r="M673" i="7"/>
  <c r="A630" i="7"/>
  <c r="A631" i="7" s="1"/>
  <c r="A632" i="7" s="1"/>
  <c r="A633" i="7" s="1"/>
  <c r="A634" i="7" s="1"/>
  <c r="A635" i="7" s="1"/>
  <c r="A636" i="7" s="1"/>
  <c r="A637" i="7" s="1"/>
  <c r="A638" i="7" s="1"/>
  <c r="A639" i="7" s="1"/>
  <c r="A640" i="7" s="1"/>
  <c r="A641" i="7" s="1"/>
  <c r="A642" i="7" s="1"/>
  <c r="A643" i="7" s="1"/>
  <c r="A644" i="7" s="1"/>
  <c r="A645" i="7" s="1"/>
  <c r="A646" i="7" s="1"/>
  <c r="A647" i="7" s="1"/>
  <c r="A648" i="7" s="1"/>
  <c r="A649" i="7" s="1"/>
  <c r="A650" i="7" s="1"/>
  <c r="A651" i="7" s="1"/>
  <c r="A652" i="7" s="1"/>
  <c r="A653" i="7" s="1"/>
  <c r="A654" i="7" s="1"/>
  <c r="A655" i="7" s="1"/>
  <c r="A656" i="7" s="1"/>
  <c r="A657" i="7" s="1"/>
  <c r="A658" i="7" s="1"/>
  <c r="A659" i="7" s="1"/>
  <c r="A660" i="7" s="1"/>
  <c r="A661" i="7" s="1"/>
  <c r="A662" i="7" s="1"/>
  <c r="A663" i="7" s="1"/>
  <c r="A664" i="7" s="1"/>
  <c r="A665" i="7" s="1"/>
  <c r="A666" i="7" s="1"/>
  <c r="A667" i="7" s="1"/>
  <c r="A668" i="7" s="1"/>
  <c r="A669" i="7" s="1"/>
  <c r="A629" i="7"/>
  <c r="P619" i="7"/>
  <c r="O619" i="7"/>
  <c r="N619" i="7"/>
  <c r="O612" i="7"/>
  <c r="H606" i="7"/>
  <c r="G606" i="7"/>
  <c r="E606" i="7"/>
  <c r="D605" i="7"/>
  <c r="M601" i="7"/>
  <c r="E601" i="7"/>
  <c r="M600" i="7"/>
  <c r="E600" i="7"/>
  <c r="M599" i="7"/>
  <c r="E599" i="7"/>
  <c r="L598" i="7"/>
  <c r="D598" i="7"/>
  <c r="M590" i="7"/>
  <c r="M589" i="7"/>
  <c r="M588" i="7"/>
  <c r="A545" i="7"/>
  <c r="A546" i="7" s="1"/>
  <c r="A547" i="7" s="1"/>
  <c r="A548" i="7" s="1"/>
  <c r="A549" i="7" s="1"/>
  <c r="A550" i="7" s="1"/>
  <c r="A551" i="7" s="1"/>
  <c r="A552" i="7" s="1"/>
  <c r="A553" i="7" s="1"/>
  <c r="A554" i="7" s="1"/>
  <c r="A555" i="7" s="1"/>
  <c r="A556" i="7" s="1"/>
  <c r="A557" i="7" s="1"/>
  <c r="A558" i="7" s="1"/>
  <c r="A559" i="7" s="1"/>
  <c r="A560" i="7" s="1"/>
  <c r="A561" i="7" s="1"/>
  <c r="A562" i="7" s="1"/>
  <c r="A563" i="7" s="1"/>
  <c r="A564" i="7" s="1"/>
  <c r="A565" i="7" s="1"/>
  <c r="A566" i="7" s="1"/>
  <c r="A567" i="7" s="1"/>
  <c r="A568" i="7" s="1"/>
  <c r="A569" i="7" s="1"/>
  <c r="A570" i="7" s="1"/>
  <c r="A571" i="7" s="1"/>
  <c r="A572" i="7" s="1"/>
  <c r="A573" i="7" s="1"/>
  <c r="A574" i="7" s="1"/>
  <c r="A575" i="7" s="1"/>
  <c r="A576" i="7" s="1"/>
  <c r="A577" i="7" s="1"/>
  <c r="A578" i="7" s="1"/>
  <c r="A579" i="7" s="1"/>
  <c r="A580" i="7" s="1"/>
  <c r="A581" i="7" s="1"/>
  <c r="A582" i="7" s="1"/>
  <c r="A583" i="7" s="1"/>
  <c r="A584" i="7" s="1"/>
  <c r="A544" i="7"/>
  <c r="P534" i="7"/>
  <c r="O534" i="7"/>
  <c r="N534" i="7"/>
  <c r="O527" i="7"/>
  <c r="H521" i="7"/>
  <c r="G521" i="7"/>
  <c r="E521" i="7"/>
  <c r="D520" i="7"/>
  <c r="M515" i="7"/>
  <c r="E515" i="7"/>
  <c r="M514" i="7"/>
  <c r="E514" i="7"/>
  <c r="M513" i="7"/>
  <c r="E513" i="7"/>
  <c r="L512" i="7"/>
  <c r="D512" i="7"/>
  <c r="M504" i="7"/>
  <c r="M503" i="7"/>
  <c r="M502" i="7"/>
  <c r="A468" i="7"/>
  <c r="A469" i="7" s="1"/>
  <c r="A470" i="7" s="1"/>
  <c r="A471" i="7" s="1"/>
  <c r="A472" i="7" s="1"/>
  <c r="A473" i="7" s="1"/>
  <c r="A474" i="7" s="1"/>
  <c r="A475" i="7" s="1"/>
  <c r="A476" i="7" s="1"/>
  <c r="A477" i="7" s="1"/>
  <c r="A478" i="7" s="1"/>
  <c r="A479" i="7" s="1"/>
  <c r="A480" i="7" s="1"/>
  <c r="A481" i="7" s="1"/>
  <c r="A482" i="7" s="1"/>
  <c r="A483" i="7" s="1"/>
  <c r="A484" i="7" s="1"/>
  <c r="A485" i="7" s="1"/>
  <c r="A486" i="7" s="1"/>
  <c r="A487" i="7" s="1"/>
  <c r="A488" i="7" s="1"/>
  <c r="A489" i="7" s="1"/>
  <c r="A490" i="7" s="1"/>
  <c r="A491" i="7" s="1"/>
  <c r="A492" i="7" s="1"/>
  <c r="A493" i="7" s="1"/>
  <c r="A494" i="7" s="1"/>
  <c r="A495" i="7" s="1"/>
  <c r="A496" i="7" s="1"/>
  <c r="A497" i="7" s="1"/>
  <c r="A498" i="7" s="1"/>
  <c r="A459" i="7"/>
  <c r="A460" i="7" s="1"/>
  <c r="P448" i="7"/>
  <c r="O448" i="7"/>
  <c r="N448" i="7"/>
  <c r="O441" i="7"/>
  <c r="H435" i="7"/>
  <c r="G435" i="7"/>
  <c r="E435" i="7"/>
  <c r="D434" i="7"/>
  <c r="M428" i="7"/>
  <c r="E428" i="7"/>
  <c r="M427" i="7"/>
  <c r="E427" i="7"/>
  <c r="M426" i="7"/>
  <c r="E426" i="7"/>
  <c r="L425" i="7"/>
  <c r="D425" i="7"/>
  <c r="M417" i="7"/>
  <c r="M416" i="7"/>
  <c r="M415" i="7"/>
  <c r="A372" i="7"/>
  <c r="A373" i="7" s="1"/>
  <c r="A374" i="7" s="1"/>
  <c r="A375" i="7" s="1"/>
  <c r="A376" i="7" s="1"/>
  <c r="A377" i="7" s="1"/>
  <c r="A378" i="7" s="1"/>
  <c r="A379" i="7" s="1"/>
  <c r="A380" i="7" s="1"/>
  <c r="A381" i="7" s="1"/>
  <c r="A382" i="7" s="1"/>
  <c r="A383" i="7" s="1"/>
  <c r="A384" i="7" s="1"/>
  <c r="A385" i="7" s="1"/>
  <c r="A386" i="7" s="1"/>
  <c r="A387" i="7" s="1"/>
  <c r="A388" i="7" s="1"/>
  <c r="A389" i="7" s="1"/>
  <c r="A390" i="7" s="1"/>
  <c r="A391" i="7" s="1"/>
  <c r="A392" i="7" s="1"/>
  <c r="A393" i="7" s="1"/>
  <c r="A394" i="7" s="1"/>
  <c r="A395" i="7" s="1"/>
  <c r="A396" i="7" s="1"/>
  <c r="A397" i="7" s="1"/>
  <c r="A398" i="7" s="1"/>
  <c r="A399" i="7" s="1"/>
  <c r="A400" i="7" s="1"/>
  <c r="A401" i="7" s="1"/>
  <c r="A402" i="7" s="1"/>
  <c r="A403" i="7" s="1"/>
  <c r="A404" i="7" s="1"/>
  <c r="A405" i="7" s="1"/>
  <c r="A406" i="7" s="1"/>
  <c r="A407" i="7" s="1"/>
  <c r="A408" i="7" s="1"/>
  <c r="A409" i="7" s="1"/>
  <c r="A410" i="7" s="1"/>
  <c r="A411" i="7" s="1"/>
  <c r="A371" i="7"/>
  <c r="P361" i="7"/>
  <c r="O361" i="7"/>
  <c r="N361" i="7"/>
  <c r="O354" i="7"/>
  <c r="H348" i="7"/>
  <c r="G348" i="7"/>
  <c r="E348" i="7"/>
  <c r="D347" i="7"/>
  <c r="M341" i="7"/>
  <c r="E341" i="7"/>
  <c r="M340" i="7"/>
  <c r="E340" i="7"/>
  <c r="M339" i="7"/>
  <c r="E339" i="7"/>
  <c r="L338" i="7"/>
  <c r="D338" i="7"/>
  <c r="M330" i="7"/>
  <c r="M329" i="7"/>
  <c r="M328" i="7"/>
  <c r="A285" i="7"/>
  <c r="A286" i="7" s="1"/>
  <c r="A287" i="7" s="1"/>
  <c r="A288" i="7" s="1"/>
  <c r="A289" i="7" s="1"/>
  <c r="A290" i="7" s="1"/>
  <c r="A291" i="7" s="1"/>
  <c r="A292" i="7" s="1"/>
  <c r="A293" i="7" s="1"/>
  <c r="A294" i="7" s="1"/>
  <c r="A295" i="7" s="1"/>
  <c r="A296" i="7" s="1"/>
  <c r="A297" i="7" s="1"/>
  <c r="A298" i="7" s="1"/>
  <c r="A299" i="7" s="1"/>
  <c r="A300" i="7" s="1"/>
  <c r="A301" i="7" s="1"/>
  <c r="A302" i="7" s="1"/>
  <c r="A303" i="7" s="1"/>
  <c r="A304" i="7" s="1"/>
  <c r="A305" i="7" s="1"/>
  <c r="A306" i="7" s="1"/>
  <c r="A307" i="7" s="1"/>
  <c r="A308" i="7" s="1"/>
  <c r="A309" i="7" s="1"/>
  <c r="A310" i="7" s="1"/>
  <c r="A311" i="7" s="1"/>
  <c r="A312" i="7" s="1"/>
  <c r="A313" i="7" s="1"/>
  <c r="A314" i="7" s="1"/>
  <c r="A315" i="7" s="1"/>
  <c r="A316" i="7" s="1"/>
  <c r="A317" i="7" s="1"/>
  <c r="A318" i="7" s="1"/>
  <c r="A319" i="7" s="1"/>
  <c r="A320" i="7" s="1"/>
  <c r="A321" i="7" s="1"/>
  <c r="A322" i="7" s="1"/>
  <c r="A323" i="7" s="1"/>
  <c r="A324" i="7" s="1"/>
  <c r="A284" i="7"/>
  <c r="P274" i="7"/>
  <c r="O274" i="7"/>
  <c r="N274" i="7"/>
  <c r="O267" i="7"/>
  <c r="H261" i="7"/>
  <c r="G261" i="7"/>
  <c r="E261" i="7"/>
  <c r="D260" i="7"/>
  <c r="M255" i="7"/>
  <c r="E255" i="7"/>
  <c r="M254" i="7"/>
  <c r="E254" i="7"/>
  <c r="M253" i="7"/>
  <c r="E253" i="7"/>
  <c r="L252" i="7"/>
  <c r="D252" i="7"/>
  <c r="M244" i="7"/>
  <c r="M243" i="7"/>
  <c r="M242" i="7"/>
  <c r="A199" i="7"/>
  <c r="A200" i="7" s="1"/>
  <c r="A201" i="7" s="1"/>
  <c r="A202" i="7" s="1"/>
  <c r="A203" i="7" s="1"/>
  <c r="A204" i="7" s="1"/>
  <c r="A205" i="7" s="1"/>
  <c r="A206" i="7" s="1"/>
  <c r="A207" i="7" s="1"/>
  <c r="A208" i="7" s="1"/>
  <c r="A209" i="7" s="1"/>
  <c r="A210" i="7" s="1"/>
  <c r="A211" i="7" s="1"/>
  <c r="A212" i="7" s="1"/>
  <c r="A213" i="7" s="1"/>
  <c r="A214" i="7" s="1"/>
  <c r="A215" i="7" s="1"/>
  <c r="A216" i="7" s="1"/>
  <c r="A217" i="7" s="1"/>
  <c r="A218" i="7" s="1"/>
  <c r="A219" i="7" s="1"/>
  <c r="A220" i="7" s="1"/>
  <c r="A221" i="7" s="1"/>
  <c r="A222" i="7" s="1"/>
  <c r="A223" i="7" s="1"/>
  <c r="A224" i="7" s="1"/>
  <c r="A225" i="7" s="1"/>
  <c r="A226" i="7" s="1"/>
  <c r="A227" i="7" s="1"/>
  <c r="A228" i="7" s="1"/>
  <c r="A229" i="7" s="1"/>
  <c r="A230" i="7" s="1"/>
  <c r="A231" i="7" s="1"/>
  <c r="A232" i="7" s="1"/>
  <c r="A233" i="7" s="1"/>
  <c r="A234" i="7" s="1"/>
  <c r="A235" i="7" s="1"/>
  <c r="A236" i="7" s="1"/>
  <c r="A237" i="7" s="1"/>
  <c r="A238" i="7" s="1"/>
  <c r="A198" i="7"/>
  <c r="P188" i="7"/>
  <c r="O188" i="7"/>
  <c r="N188" i="7"/>
  <c r="O181" i="7"/>
  <c r="H175" i="7"/>
  <c r="G175" i="7"/>
  <c r="E175" i="7"/>
  <c r="D174" i="7"/>
  <c r="M170" i="7"/>
  <c r="E170" i="7"/>
  <c r="M169" i="7"/>
  <c r="E169" i="7"/>
  <c r="M168" i="7"/>
  <c r="E168" i="7"/>
  <c r="L167" i="7"/>
  <c r="D167" i="7"/>
  <c r="M159" i="7"/>
  <c r="M158" i="7"/>
  <c r="M157" i="7"/>
  <c r="A114" i="7"/>
  <c r="A115" i="7" s="1"/>
  <c r="A116" i="7" s="1"/>
  <c r="A117" i="7" s="1"/>
  <c r="A118" i="7" s="1"/>
  <c r="A119" i="7" s="1"/>
  <c r="A120" i="7" s="1"/>
  <c r="A121" i="7" s="1"/>
  <c r="A122" i="7" s="1"/>
  <c r="A123" i="7" s="1"/>
  <c r="A124" i="7" s="1"/>
  <c r="A125" i="7" s="1"/>
  <c r="A126" i="7" s="1"/>
  <c r="A127" i="7" s="1"/>
  <c r="A128" i="7" s="1"/>
  <c r="A129" i="7" s="1"/>
  <c r="A130" i="7" s="1"/>
  <c r="A131" i="7" s="1"/>
  <c r="A132" i="7" s="1"/>
  <c r="A133" i="7" s="1"/>
  <c r="A134" i="7" s="1"/>
  <c r="A135" i="7" s="1"/>
  <c r="A136" i="7" s="1"/>
  <c r="A137" i="7" s="1"/>
  <c r="A138" i="7" s="1"/>
  <c r="A139" i="7" s="1"/>
  <c r="A140" i="7" s="1"/>
  <c r="A141" i="7" s="1"/>
  <c r="A142" i="7" s="1"/>
  <c r="A143" i="7" s="1"/>
  <c r="A144" i="7" s="1"/>
  <c r="A145" i="7" s="1"/>
  <c r="A146" i="7" s="1"/>
  <c r="A147" i="7" s="1"/>
  <c r="A148" i="7" s="1"/>
  <c r="A149" i="7" s="1"/>
  <c r="A150" i="7" s="1"/>
  <c r="A151" i="7" s="1"/>
  <c r="A152" i="7" s="1"/>
  <c r="A153" i="7" s="1"/>
  <c r="A113" i="7"/>
  <c r="P103" i="7"/>
  <c r="O103" i="7"/>
  <c r="N103" i="7"/>
  <c r="O96" i="7"/>
  <c r="H90" i="7"/>
  <c r="G90" i="7"/>
  <c r="E90" i="7"/>
  <c r="D89" i="7"/>
  <c r="M84" i="7"/>
  <c r="E84" i="7"/>
  <c r="M83" i="7"/>
  <c r="E83" i="7"/>
  <c r="M82" i="7"/>
  <c r="E82" i="7"/>
  <c r="L81" i="7"/>
  <c r="D81" i="7"/>
  <c r="M73" i="7"/>
  <c r="M72" i="7"/>
  <c r="M71" i="7"/>
  <c r="A28" i="7"/>
  <c r="A29" i="7" s="1"/>
  <c r="A30" i="7" s="1"/>
  <c r="A31" i="7" s="1"/>
  <c r="A32" i="7" s="1"/>
  <c r="A33" i="7" s="1"/>
  <c r="A34" i="7" s="1"/>
  <c r="A35" i="7" s="1"/>
  <c r="A36" i="7" s="1"/>
  <c r="A37" i="7" s="1"/>
  <c r="A38" i="7" s="1"/>
  <c r="A39" i="7" s="1"/>
  <c r="A40" i="7" s="1"/>
  <c r="A41" i="7" s="1"/>
  <c r="A42" i="7" s="1"/>
  <c r="A43" i="7" s="1"/>
  <c r="A44" i="7" s="1"/>
  <c r="A45" i="7" s="1"/>
  <c r="A46" i="7" s="1"/>
  <c r="A47" i="7" s="1"/>
  <c r="A48" i="7" s="1"/>
  <c r="A49" i="7" s="1"/>
  <c r="A50" i="7" s="1"/>
  <c r="A51" i="7" s="1"/>
  <c r="A52" i="7" s="1"/>
  <c r="A53" i="7" s="1"/>
  <c r="A54" i="7" s="1"/>
  <c r="A55" i="7" s="1"/>
  <c r="A56" i="7" s="1"/>
  <c r="A57" i="7" s="1"/>
  <c r="A58" i="7" s="1"/>
  <c r="A59" i="7" s="1"/>
  <c r="A60" i="7" s="1"/>
  <c r="A61" i="7" s="1"/>
  <c r="A62" i="7" s="1"/>
  <c r="A63" i="7" s="1"/>
  <c r="A64" i="7" s="1"/>
  <c r="A65" i="7" s="1"/>
  <c r="A66" i="7" s="1"/>
  <c r="A67" i="7" s="1"/>
  <c r="A27" i="7"/>
  <c r="P17" i="7"/>
  <c r="O17" i="7"/>
  <c r="N17" i="7"/>
  <c r="O10" i="7"/>
  <c r="H4" i="7"/>
  <c r="G4" i="7"/>
  <c r="E4" i="7"/>
  <c r="D3" i="7"/>
  <c r="K1793" i="6"/>
  <c r="D1793" i="6"/>
  <c r="L1793" i="6" s="1"/>
  <c r="K1792" i="6"/>
  <c r="D1792" i="6"/>
  <c r="L1792" i="6" s="1"/>
  <c r="K1791" i="6"/>
  <c r="D1791" i="6"/>
  <c r="L1791" i="6" s="1"/>
  <c r="K1790" i="6"/>
  <c r="D1790" i="6"/>
  <c r="L1790" i="6" s="1"/>
  <c r="K1789" i="6"/>
  <c r="D1789" i="6"/>
  <c r="L1789" i="6" s="1"/>
  <c r="N1785" i="6"/>
  <c r="P1785" i="6" s="1"/>
  <c r="M1785" i="6"/>
  <c r="D1785" i="6"/>
  <c r="N1784" i="6"/>
  <c r="P1784" i="6" s="1"/>
  <c r="M1784" i="6"/>
  <c r="D1784" i="6"/>
  <c r="N1783" i="6"/>
  <c r="P1783" i="6" s="1"/>
  <c r="M1783" i="6"/>
  <c r="D1783" i="6"/>
  <c r="N1782" i="6"/>
  <c r="P1782" i="6" s="1"/>
  <c r="M1782" i="6"/>
  <c r="D1782" i="6"/>
  <c r="N1777" i="6"/>
  <c r="P1777" i="6" s="1"/>
  <c r="L1777" i="6"/>
  <c r="D1777" i="6"/>
  <c r="N1776" i="6"/>
  <c r="P1776" i="6" s="1"/>
  <c r="L1776" i="6"/>
  <c r="D1776" i="6"/>
  <c r="N1775" i="6"/>
  <c r="P1775" i="6" s="1"/>
  <c r="L1775" i="6"/>
  <c r="D1775" i="6"/>
  <c r="N1774" i="6"/>
  <c r="P1774" i="6" s="1"/>
  <c r="L1774" i="6"/>
  <c r="D1774" i="6"/>
  <c r="N1773" i="6"/>
  <c r="P1773" i="6" s="1"/>
  <c r="L1773" i="6"/>
  <c r="D1773" i="6"/>
  <c r="N1772" i="6"/>
  <c r="P1772" i="6" s="1"/>
  <c r="L1772" i="6"/>
  <c r="D1772" i="6"/>
  <c r="N1771" i="6"/>
  <c r="P1771" i="6" s="1"/>
  <c r="L1771" i="6"/>
  <c r="D1771" i="6"/>
  <c r="N1770" i="6"/>
  <c r="P1770" i="6" s="1"/>
  <c r="L1770" i="6"/>
  <c r="D1770" i="6"/>
  <c r="N1769" i="6"/>
  <c r="P1769" i="6" s="1"/>
  <c r="L1769" i="6"/>
  <c r="D1769" i="6"/>
  <c r="N1768" i="6"/>
  <c r="P1768" i="6" s="1"/>
  <c r="L1768" i="6"/>
  <c r="D1768" i="6"/>
  <c r="N1767" i="6"/>
  <c r="P1767" i="6" s="1"/>
  <c r="L1767" i="6"/>
  <c r="D1767" i="6"/>
  <c r="N1766" i="6"/>
  <c r="P1766" i="6" s="1"/>
  <c r="L1766" i="6"/>
  <c r="D1766" i="6"/>
  <c r="N1765" i="6"/>
  <c r="P1765" i="6" s="1"/>
  <c r="L1765" i="6"/>
  <c r="D1765" i="6"/>
  <c r="N1764" i="6"/>
  <c r="P1764" i="6" s="1"/>
  <c r="L1764" i="6"/>
  <c r="D1764" i="6"/>
  <c r="K1760" i="6"/>
  <c r="D1760" i="6"/>
  <c r="M1760" i="6" s="1"/>
  <c r="P1760" i="6" s="1"/>
  <c r="K1759" i="6"/>
  <c r="D1759" i="6"/>
  <c r="M1759" i="6" s="1"/>
  <c r="K1758" i="6"/>
  <c r="D1758" i="6"/>
  <c r="M1758" i="6" s="1"/>
  <c r="P1758" i="6" s="1"/>
  <c r="K1757" i="6"/>
  <c r="D1757" i="6"/>
  <c r="M1757" i="6" s="1"/>
  <c r="P1757" i="6" s="1"/>
  <c r="K1756" i="6"/>
  <c r="D1756" i="6"/>
  <c r="M1756" i="6" s="1"/>
  <c r="P1756" i="6" s="1"/>
  <c r="K1755" i="6"/>
  <c r="D1755" i="6"/>
  <c r="D1752" i="6"/>
  <c r="K1706" i="6"/>
  <c r="D1706" i="6"/>
  <c r="L1706" i="6" s="1"/>
  <c r="K1705" i="6"/>
  <c r="D1705" i="6"/>
  <c r="L1705" i="6" s="1"/>
  <c r="K1704" i="6"/>
  <c r="D1704" i="6"/>
  <c r="L1704" i="6" s="1"/>
  <c r="K1703" i="6"/>
  <c r="D1703" i="6"/>
  <c r="L1703" i="6" s="1"/>
  <c r="K1702" i="6"/>
  <c r="D1702" i="6"/>
  <c r="L1702" i="6" s="1"/>
  <c r="N1698" i="6"/>
  <c r="P1698" i="6" s="1"/>
  <c r="M1698" i="6"/>
  <c r="D1698" i="6"/>
  <c r="N1697" i="6"/>
  <c r="P1697" i="6" s="1"/>
  <c r="M1697" i="6"/>
  <c r="D1697" i="6"/>
  <c r="N1696" i="6"/>
  <c r="P1696" i="6" s="1"/>
  <c r="M1696" i="6"/>
  <c r="D1696" i="6"/>
  <c r="N1695" i="6"/>
  <c r="P1695" i="6" s="1"/>
  <c r="M1695" i="6"/>
  <c r="D1695" i="6"/>
  <c r="N1690" i="6"/>
  <c r="P1690" i="6" s="1"/>
  <c r="L1690" i="6"/>
  <c r="D1690" i="6"/>
  <c r="N1689" i="6"/>
  <c r="P1689" i="6" s="1"/>
  <c r="L1689" i="6"/>
  <c r="D1689" i="6"/>
  <c r="N1688" i="6"/>
  <c r="P1688" i="6" s="1"/>
  <c r="L1688" i="6"/>
  <c r="D1688" i="6"/>
  <c r="N1687" i="6"/>
  <c r="P1687" i="6" s="1"/>
  <c r="L1687" i="6"/>
  <c r="D1687" i="6"/>
  <c r="N1686" i="6"/>
  <c r="P1686" i="6" s="1"/>
  <c r="L1686" i="6"/>
  <c r="D1686" i="6"/>
  <c r="N1685" i="6"/>
  <c r="P1685" i="6" s="1"/>
  <c r="L1685" i="6"/>
  <c r="D1685" i="6"/>
  <c r="N1684" i="6"/>
  <c r="P1684" i="6" s="1"/>
  <c r="L1684" i="6"/>
  <c r="D1684" i="6"/>
  <c r="N1683" i="6"/>
  <c r="P1683" i="6" s="1"/>
  <c r="L1683" i="6"/>
  <c r="D1683" i="6"/>
  <c r="N1682" i="6"/>
  <c r="P1682" i="6" s="1"/>
  <c r="L1682" i="6"/>
  <c r="D1682" i="6"/>
  <c r="N1681" i="6"/>
  <c r="P1681" i="6" s="1"/>
  <c r="L1681" i="6"/>
  <c r="D1681" i="6"/>
  <c r="N1680" i="6"/>
  <c r="P1680" i="6" s="1"/>
  <c r="L1680" i="6"/>
  <c r="D1680" i="6"/>
  <c r="N1679" i="6"/>
  <c r="P1679" i="6" s="1"/>
  <c r="L1679" i="6"/>
  <c r="D1679" i="6"/>
  <c r="N1678" i="6"/>
  <c r="P1678" i="6" s="1"/>
  <c r="L1678" i="6"/>
  <c r="D1678" i="6"/>
  <c r="N1677" i="6"/>
  <c r="P1677" i="6" s="1"/>
  <c r="L1677" i="6"/>
  <c r="D1677" i="6"/>
  <c r="K1673" i="6"/>
  <c r="D1673" i="6"/>
  <c r="M1673" i="6" s="1"/>
  <c r="P1673" i="6" s="1"/>
  <c r="K1672" i="6"/>
  <c r="D1672" i="6"/>
  <c r="K1671" i="6"/>
  <c r="D1671" i="6"/>
  <c r="M1671" i="6" s="1"/>
  <c r="P1671" i="6" s="1"/>
  <c r="K1670" i="6"/>
  <c r="D1670" i="6"/>
  <c r="K1669" i="6"/>
  <c r="D1669" i="6"/>
  <c r="M1669" i="6" s="1"/>
  <c r="P1669" i="6" s="1"/>
  <c r="K1668" i="6"/>
  <c r="D1668" i="6"/>
  <c r="D1665" i="6"/>
  <c r="K1619" i="6"/>
  <c r="D1619" i="6"/>
  <c r="L1619" i="6" s="1"/>
  <c r="K1618" i="6"/>
  <c r="D1618" i="6"/>
  <c r="L1618" i="6" s="1"/>
  <c r="M1618" i="6" s="1"/>
  <c r="P1618" i="6" s="1"/>
  <c r="K1617" i="6"/>
  <c r="D1617" i="6"/>
  <c r="L1617" i="6" s="1"/>
  <c r="K1616" i="6"/>
  <c r="D1616" i="6"/>
  <c r="L1616" i="6" s="1"/>
  <c r="K1615" i="6"/>
  <c r="D1615" i="6"/>
  <c r="L1615" i="6" s="1"/>
  <c r="N1611" i="6"/>
  <c r="P1611" i="6" s="1"/>
  <c r="M1611" i="6"/>
  <c r="D1611" i="6"/>
  <c r="N1610" i="6"/>
  <c r="P1610" i="6" s="1"/>
  <c r="M1610" i="6"/>
  <c r="D1610" i="6"/>
  <c r="N1609" i="6"/>
  <c r="P1609" i="6" s="1"/>
  <c r="M1609" i="6"/>
  <c r="D1609" i="6"/>
  <c r="N1608" i="6"/>
  <c r="P1608" i="6" s="1"/>
  <c r="M1608" i="6"/>
  <c r="D1608" i="6"/>
  <c r="N1603" i="6"/>
  <c r="P1603" i="6" s="1"/>
  <c r="L1603" i="6"/>
  <c r="D1603" i="6"/>
  <c r="N1602" i="6"/>
  <c r="P1602" i="6" s="1"/>
  <c r="L1602" i="6"/>
  <c r="D1602" i="6"/>
  <c r="N1601" i="6"/>
  <c r="P1601" i="6" s="1"/>
  <c r="L1601" i="6"/>
  <c r="D1601" i="6"/>
  <c r="N1600" i="6"/>
  <c r="P1600" i="6" s="1"/>
  <c r="L1600" i="6"/>
  <c r="D1600" i="6"/>
  <c r="N1599" i="6"/>
  <c r="P1599" i="6" s="1"/>
  <c r="L1599" i="6"/>
  <c r="D1599" i="6"/>
  <c r="N1598" i="6"/>
  <c r="P1598" i="6" s="1"/>
  <c r="L1598" i="6"/>
  <c r="D1598" i="6"/>
  <c r="N1597" i="6"/>
  <c r="P1597" i="6" s="1"/>
  <c r="L1597" i="6"/>
  <c r="D1597" i="6"/>
  <c r="N1596" i="6"/>
  <c r="P1596" i="6" s="1"/>
  <c r="L1596" i="6"/>
  <c r="D1596" i="6"/>
  <c r="N1595" i="6"/>
  <c r="P1595" i="6" s="1"/>
  <c r="L1595" i="6"/>
  <c r="D1595" i="6"/>
  <c r="N1594" i="6"/>
  <c r="P1594" i="6" s="1"/>
  <c r="L1594" i="6"/>
  <c r="D1594" i="6"/>
  <c r="N1593" i="6"/>
  <c r="P1593" i="6" s="1"/>
  <c r="L1593" i="6"/>
  <c r="D1593" i="6"/>
  <c r="N1592" i="6"/>
  <c r="P1592" i="6" s="1"/>
  <c r="L1592" i="6"/>
  <c r="D1592" i="6"/>
  <c r="N1591" i="6"/>
  <c r="P1591" i="6" s="1"/>
  <c r="L1591" i="6"/>
  <c r="D1591" i="6"/>
  <c r="N1590" i="6"/>
  <c r="P1590" i="6" s="1"/>
  <c r="L1590" i="6"/>
  <c r="D1590" i="6"/>
  <c r="K1586" i="6"/>
  <c r="D1586" i="6"/>
  <c r="M1586" i="6" s="1"/>
  <c r="P1586" i="6" s="1"/>
  <c r="K1585" i="6"/>
  <c r="D1585" i="6"/>
  <c r="K1584" i="6"/>
  <c r="D1584" i="6"/>
  <c r="M1584" i="6" s="1"/>
  <c r="P1584" i="6" s="1"/>
  <c r="K1583" i="6"/>
  <c r="D1583" i="6"/>
  <c r="M1583" i="6" s="1"/>
  <c r="P1583" i="6" s="1"/>
  <c r="K1582" i="6"/>
  <c r="D1582" i="6"/>
  <c r="M1582" i="6" s="1"/>
  <c r="P1582" i="6" s="1"/>
  <c r="K1581" i="6"/>
  <c r="D1581" i="6"/>
  <c r="D1578" i="6"/>
  <c r="M1812" i="6"/>
  <c r="E1812" i="6"/>
  <c r="M1811" i="6"/>
  <c r="E1811" i="6"/>
  <c r="M1810" i="6"/>
  <c r="E1810" i="6"/>
  <c r="L1809" i="6"/>
  <c r="D1809" i="6"/>
  <c r="M1801" i="6"/>
  <c r="M1800" i="6"/>
  <c r="M1799" i="6"/>
  <c r="A1756" i="6"/>
  <c r="A1757" i="6" s="1"/>
  <c r="A1758" i="6" s="1"/>
  <c r="A1759" i="6" s="1"/>
  <c r="A1760" i="6" s="1"/>
  <c r="A1761" i="6" s="1"/>
  <c r="A1762" i="6" s="1"/>
  <c r="A1763" i="6" s="1"/>
  <c r="A1764" i="6" s="1"/>
  <c r="A1765" i="6" s="1"/>
  <c r="A1766" i="6" s="1"/>
  <c r="A1767" i="6" s="1"/>
  <c r="A1768" i="6" s="1"/>
  <c r="A1769" i="6" s="1"/>
  <c r="A1770" i="6" s="1"/>
  <c r="A1771" i="6" s="1"/>
  <c r="A1772" i="6" s="1"/>
  <c r="A1773" i="6" s="1"/>
  <c r="A1774" i="6" s="1"/>
  <c r="A1775" i="6" s="1"/>
  <c r="A1776" i="6" s="1"/>
  <c r="A1777" i="6" s="1"/>
  <c r="A1778" i="6" s="1"/>
  <c r="A1779" i="6" s="1"/>
  <c r="A1780" i="6" s="1"/>
  <c r="A1781" i="6" s="1"/>
  <c r="A1782" i="6" s="1"/>
  <c r="A1783" i="6" s="1"/>
  <c r="A1784" i="6" s="1"/>
  <c r="A1785" i="6" s="1"/>
  <c r="A1786" i="6" s="1"/>
  <c r="A1787" i="6" s="1"/>
  <c r="A1788" i="6" s="1"/>
  <c r="A1789" i="6" s="1"/>
  <c r="A1790" i="6" s="1"/>
  <c r="A1791" i="6" s="1"/>
  <c r="A1792" i="6" s="1"/>
  <c r="A1793" i="6" s="1"/>
  <c r="A1794" i="6" s="1"/>
  <c r="A1795" i="6" s="1"/>
  <c r="A1755" i="6"/>
  <c r="P1745" i="6"/>
  <c r="O1745" i="6"/>
  <c r="N1745" i="6"/>
  <c r="O1738" i="6"/>
  <c r="H1732" i="6"/>
  <c r="G1732" i="6"/>
  <c r="E1732" i="6"/>
  <c r="D1731" i="6"/>
  <c r="M1725" i="6"/>
  <c r="E1725" i="6"/>
  <c r="M1724" i="6"/>
  <c r="E1724" i="6"/>
  <c r="M1723" i="6"/>
  <c r="E1723" i="6"/>
  <c r="L1722" i="6"/>
  <c r="D1722" i="6"/>
  <c r="M1714" i="6"/>
  <c r="M1713" i="6"/>
  <c r="M1712" i="6"/>
  <c r="A1669" i="6"/>
  <c r="A1670" i="6" s="1"/>
  <c r="A1671" i="6" s="1"/>
  <c r="A1672" i="6" s="1"/>
  <c r="A1673" i="6" s="1"/>
  <c r="A1674" i="6" s="1"/>
  <c r="A1675" i="6" s="1"/>
  <c r="A1676" i="6" s="1"/>
  <c r="A1677" i="6" s="1"/>
  <c r="A1678" i="6" s="1"/>
  <c r="A1679" i="6" s="1"/>
  <c r="A1680" i="6" s="1"/>
  <c r="A1681" i="6" s="1"/>
  <c r="A1682" i="6" s="1"/>
  <c r="A1683" i="6" s="1"/>
  <c r="A1684" i="6" s="1"/>
  <c r="A1685" i="6" s="1"/>
  <c r="A1686" i="6" s="1"/>
  <c r="A1687" i="6" s="1"/>
  <c r="A1688" i="6" s="1"/>
  <c r="A1689" i="6" s="1"/>
  <c r="A1690" i="6" s="1"/>
  <c r="A1691" i="6" s="1"/>
  <c r="A1692" i="6" s="1"/>
  <c r="A1693" i="6" s="1"/>
  <c r="A1694" i="6" s="1"/>
  <c r="A1695" i="6" s="1"/>
  <c r="A1696" i="6" s="1"/>
  <c r="A1697" i="6" s="1"/>
  <c r="A1698" i="6" s="1"/>
  <c r="A1699" i="6" s="1"/>
  <c r="A1700" i="6" s="1"/>
  <c r="A1701" i="6" s="1"/>
  <c r="A1702" i="6" s="1"/>
  <c r="A1703" i="6" s="1"/>
  <c r="A1704" i="6" s="1"/>
  <c r="A1705" i="6" s="1"/>
  <c r="A1706" i="6" s="1"/>
  <c r="A1707" i="6" s="1"/>
  <c r="A1708" i="6" s="1"/>
  <c r="A1668" i="6"/>
  <c r="P1658" i="6"/>
  <c r="O1658" i="6"/>
  <c r="N1658" i="6"/>
  <c r="O1651" i="6"/>
  <c r="H1645" i="6"/>
  <c r="G1645" i="6"/>
  <c r="E1645" i="6"/>
  <c r="D1644" i="6"/>
  <c r="M1638" i="6"/>
  <c r="E1638" i="6"/>
  <c r="M1637" i="6"/>
  <c r="E1637" i="6"/>
  <c r="M1636" i="6"/>
  <c r="E1636" i="6"/>
  <c r="L1635" i="6"/>
  <c r="D1635" i="6"/>
  <c r="M1627" i="6"/>
  <c r="M1626" i="6"/>
  <c r="M1625" i="6"/>
  <c r="A1582" i="6"/>
  <c r="A1583" i="6" s="1"/>
  <c r="A1584" i="6" s="1"/>
  <c r="A1585" i="6" s="1"/>
  <c r="A1586" i="6" s="1"/>
  <c r="A1587" i="6" s="1"/>
  <c r="A1588" i="6" s="1"/>
  <c r="A1589" i="6" s="1"/>
  <c r="A1590" i="6" s="1"/>
  <c r="A1591" i="6" s="1"/>
  <c r="A1592" i="6" s="1"/>
  <c r="A1593" i="6" s="1"/>
  <c r="A1594" i="6" s="1"/>
  <c r="A1595" i="6" s="1"/>
  <c r="A1596" i="6" s="1"/>
  <c r="A1597" i="6" s="1"/>
  <c r="A1598" i="6" s="1"/>
  <c r="A1599" i="6" s="1"/>
  <c r="A1600" i="6" s="1"/>
  <c r="A1601" i="6" s="1"/>
  <c r="A1602" i="6" s="1"/>
  <c r="A1603" i="6" s="1"/>
  <c r="A1604" i="6" s="1"/>
  <c r="A1605" i="6" s="1"/>
  <c r="A1606" i="6" s="1"/>
  <c r="A1607" i="6" s="1"/>
  <c r="A1608" i="6" s="1"/>
  <c r="A1609" i="6" s="1"/>
  <c r="A1610" i="6" s="1"/>
  <c r="A1611" i="6" s="1"/>
  <c r="A1612" i="6" s="1"/>
  <c r="A1613" i="6" s="1"/>
  <c r="A1614" i="6" s="1"/>
  <c r="A1615" i="6" s="1"/>
  <c r="A1616" i="6" s="1"/>
  <c r="A1617" i="6" s="1"/>
  <c r="A1618" i="6" s="1"/>
  <c r="A1619" i="6" s="1"/>
  <c r="A1620" i="6" s="1"/>
  <c r="A1621" i="6" s="1"/>
  <c r="A1581" i="6"/>
  <c r="P1571" i="6"/>
  <c r="O1571" i="6"/>
  <c r="N1571" i="6"/>
  <c r="O1564" i="6"/>
  <c r="H1558" i="6"/>
  <c r="G1558" i="6"/>
  <c r="E1558" i="6"/>
  <c r="D1557" i="6"/>
  <c r="K1531" i="6"/>
  <c r="D1531" i="6"/>
  <c r="L1531" i="6" s="1"/>
  <c r="K1530" i="6"/>
  <c r="D1530" i="6"/>
  <c r="L1530" i="6" s="1"/>
  <c r="K1529" i="6"/>
  <c r="D1529" i="6"/>
  <c r="L1529" i="6" s="1"/>
  <c r="K1528" i="6"/>
  <c r="D1528" i="6"/>
  <c r="L1528" i="6" s="1"/>
  <c r="K1527" i="6"/>
  <c r="D1527" i="6"/>
  <c r="L1527" i="6" s="1"/>
  <c r="N1523" i="6"/>
  <c r="P1523" i="6" s="1"/>
  <c r="M1523" i="6"/>
  <c r="D1523" i="6"/>
  <c r="N1522" i="6"/>
  <c r="P1522" i="6" s="1"/>
  <c r="M1522" i="6"/>
  <c r="D1522" i="6"/>
  <c r="N1521" i="6"/>
  <c r="P1521" i="6" s="1"/>
  <c r="M1521" i="6"/>
  <c r="D1521" i="6"/>
  <c r="N1520" i="6"/>
  <c r="P1520" i="6" s="1"/>
  <c r="M1520" i="6"/>
  <c r="D1520" i="6"/>
  <c r="N1515" i="6"/>
  <c r="P1515" i="6" s="1"/>
  <c r="L1515" i="6"/>
  <c r="D1515" i="6"/>
  <c r="N1514" i="6"/>
  <c r="P1514" i="6" s="1"/>
  <c r="L1514" i="6"/>
  <c r="D1514" i="6"/>
  <c r="N1513" i="6"/>
  <c r="P1513" i="6" s="1"/>
  <c r="L1513" i="6"/>
  <c r="D1513" i="6"/>
  <c r="N1512" i="6"/>
  <c r="P1512" i="6" s="1"/>
  <c r="L1512" i="6"/>
  <c r="D1512" i="6"/>
  <c r="N1511" i="6"/>
  <c r="P1511" i="6" s="1"/>
  <c r="L1511" i="6"/>
  <c r="D1511" i="6"/>
  <c r="N1510" i="6"/>
  <c r="P1510" i="6" s="1"/>
  <c r="L1510" i="6"/>
  <c r="D1510" i="6"/>
  <c r="N1509" i="6"/>
  <c r="P1509" i="6" s="1"/>
  <c r="L1509" i="6"/>
  <c r="D1509" i="6"/>
  <c r="N1508" i="6"/>
  <c r="P1508" i="6" s="1"/>
  <c r="L1508" i="6"/>
  <c r="D1508" i="6"/>
  <c r="N1507" i="6"/>
  <c r="P1507" i="6" s="1"/>
  <c r="L1507" i="6"/>
  <c r="D1507" i="6"/>
  <c r="N1506" i="6"/>
  <c r="P1506" i="6" s="1"/>
  <c r="L1506" i="6"/>
  <c r="D1506" i="6"/>
  <c r="N1505" i="6"/>
  <c r="P1505" i="6" s="1"/>
  <c r="L1505" i="6"/>
  <c r="D1505" i="6"/>
  <c r="N1504" i="6"/>
  <c r="P1504" i="6" s="1"/>
  <c r="L1504" i="6"/>
  <c r="D1504" i="6"/>
  <c r="N1503" i="6"/>
  <c r="P1503" i="6" s="1"/>
  <c r="L1503" i="6"/>
  <c r="D1503" i="6"/>
  <c r="N1502" i="6"/>
  <c r="P1502" i="6" s="1"/>
  <c r="L1502" i="6"/>
  <c r="D1502" i="6"/>
  <c r="K1498" i="6"/>
  <c r="D1498" i="6"/>
  <c r="M1498" i="6" s="1"/>
  <c r="P1498" i="6" s="1"/>
  <c r="K1497" i="6"/>
  <c r="D1497" i="6"/>
  <c r="K1496" i="6"/>
  <c r="D1496" i="6"/>
  <c r="M1496" i="6" s="1"/>
  <c r="P1496" i="6" s="1"/>
  <c r="K1495" i="6"/>
  <c r="D1495" i="6"/>
  <c r="M1495" i="6" s="1"/>
  <c r="P1495" i="6" s="1"/>
  <c r="K1494" i="6"/>
  <c r="D1494" i="6"/>
  <c r="M1494" i="6" s="1"/>
  <c r="P1494" i="6" s="1"/>
  <c r="K1493" i="6"/>
  <c r="D1493" i="6"/>
  <c r="D1490" i="6"/>
  <c r="K1444" i="6"/>
  <c r="D1444" i="6"/>
  <c r="L1444" i="6" s="1"/>
  <c r="K1443" i="6"/>
  <c r="D1443" i="6"/>
  <c r="L1443" i="6" s="1"/>
  <c r="K1442" i="6"/>
  <c r="D1442" i="6"/>
  <c r="L1442" i="6" s="1"/>
  <c r="K1441" i="6"/>
  <c r="D1441" i="6"/>
  <c r="L1441" i="6" s="1"/>
  <c r="K1440" i="6"/>
  <c r="D1440" i="6"/>
  <c r="L1440" i="6" s="1"/>
  <c r="N1436" i="6"/>
  <c r="P1436" i="6" s="1"/>
  <c r="M1436" i="6"/>
  <c r="D1436" i="6"/>
  <c r="N1435" i="6"/>
  <c r="P1435" i="6" s="1"/>
  <c r="M1435" i="6"/>
  <c r="D1435" i="6"/>
  <c r="N1434" i="6"/>
  <c r="P1434" i="6" s="1"/>
  <c r="M1434" i="6"/>
  <c r="D1434" i="6"/>
  <c r="N1433" i="6"/>
  <c r="P1433" i="6" s="1"/>
  <c r="M1433" i="6"/>
  <c r="D1433" i="6"/>
  <c r="N1428" i="6"/>
  <c r="P1428" i="6" s="1"/>
  <c r="L1428" i="6"/>
  <c r="D1428" i="6"/>
  <c r="N1427" i="6"/>
  <c r="P1427" i="6" s="1"/>
  <c r="L1427" i="6"/>
  <c r="D1427" i="6"/>
  <c r="N1426" i="6"/>
  <c r="P1426" i="6" s="1"/>
  <c r="L1426" i="6"/>
  <c r="D1426" i="6"/>
  <c r="N1425" i="6"/>
  <c r="P1425" i="6" s="1"/>
  <c r="L1425" i="6"/>
  <c r="D1425" i="6"/>
  <c r="N1424" i="6"/>
  <c r="P1424" i="6" s="1"/>
  <c r="L1424" i="6"/>
  <c r="D1424" i="6"/>
  <c r="N1423" i="6"/>
  <c r="P1423" i="6" s="1"/>
  <c r="L1423" i="6"/>
  <c r="D1423" i="6"/>
  <c r="N1422" i="6"/>
  <c r="P1422" i="6" s="1"/>
  <c r="L1422" i="6"/>
  <c r="D1422" i="6"/>
  <c r="N1421" i="6"/>
  <c r="P1421" i="6" s="1"/>
  <c r="L1421" i="6"/>
  <c r="D1421" i="6"/>
  <c r="N1420" i="6"/>
  <c r="P1420" i="6" s="1"/>
  <c r="L1420" i="6"/>
  <c r="D1420" i="6"/>
  <c r="N1419" i="6"/>
  <c r="P1419" i="6" s="1"/>
  <c r="L1419" i="6"/>
  <c r="D1419" i="6"/>
  <c r="N1418" i="6"/>
  <c r="P1418" i="6" s="1"/>
  <c r="L1418" i="6"/>
  <c r="D1418" i="6"/>
  <c r="N1417" i="6"/>
  <c r="P1417" i="6" s="1"/>
  <c r="L1417" i="6"/>
  <c r="D1417" i="6"/>
  <c r="N1416" i="6"/>
  <c r="P1416" i="6" s="1"/>
  <c r="L1416" i="6"/>
  <c r="D1416" i="6"/>
  <c r="N1415" i="6"/>
  <c r="P1415" i="6" s="1"/>
  <c r="L1415" i="6"/>
  <c r="D1415" i="6"/>
  <c r="K1411" i="6"/>
  <c r="D1411" i="6"/>
  <c r="K1410" i="6"/>
  <c r="D1410" i="6"/>
  <c r="M1410" i="6" s="1"/>
  <c r="K1409" i="6"/>
  <c r="D1409" i="6"/>
  <c r="M1409" i="6" s="1"/>
  <c r="P1409" i="6" s="1"/>
  <c r="K1408" i="6"/>
  <c r="D1408" i="6"/>
  <c r="M1408" i="6" s="1"/>
  <c r="P1408" i="6" s="1"/>
  <c r="K1407" i="6"/>
  <c r="D1407" i="6"/>
  <c r="K1406" i="6"/>
  <c r="D1406" i="6"/>
  <c r="D1403" i="6"/>
  <c r="K1357" i="6"/>
  <c r="D1357" i="6"/>
  <c r="L1357" i="6" s="1"/>
  <c r="K1356" i="6"/>
  <c r="D1356" i="6"/>
  <c r="L1356" i="6" s="1"/>
  <c r="K1355" i="6"/>
  <c r="D1355" i="6"/>
  <c r="L1355" i="6" s="1"/>
  <c r="K1354" i="6"/>
  <c r="D1354" i="6"/>
  <c r="L1354" i="6" s="1"/>
  <c r="K1353" i="6"/>
  <c r="D1353" i="6"/>
  <c r="L1353" i="6" s="1"/>
  <c r="N1349" i="6"/>
  <c r="P1349" i="6" s="1"/>
  <c r="M1349" i="6"/>
  <c r="D1349" i="6"/>
  <c r="N1348" i="6"/>
  <c r="P1348" i="6" s="1"/>
  <c r="M1348" i="6"/>
  <c r="D1348" i="6"/>
  <c r="N1347" i="6"/>
  <c r="P1347" i="6" s="1"/>
  <c r="M1347" i="6"/>
  <c r="D1347" i="6"/>
  <c r="N1346" i="6"/>
  <c r="P1346" i="6" s="1"/>
  <c r="M1346" i="6"/>
  <c r="D1346" i="6"/>
  <c r="N1341" i="6"/>
  <c r="P1341" i="6" s="1"/>
  <c r="L1341" i="6"/>
  <c r="D1341" i="6"/>
  <c r="N1340" i="6"/>
  <c r="P1340" i="6" s="1"/>
  <c r="L1340" i="6"/>
  <c r="D1340" i="6"/>
  <c r="N1339" i="6"/>
  <c r="P1339" i="6" s="1"/>
  <c r="L1339" i="6"/>
  <c r="D1339" i="6"/>
  <c r="N1338" i="6"/>
  <c r="P1338" i="6" s="1"/>
  <c r="L1338" i="6"/>
  <c r="D1338" i="6"/>
  <c r="N1337" i="6"/>
  <c r="P1337" i="6" s="1"/>
  <c r="L1337" i="6"/>
  <c r="D1337" i="6"/>
  <c r="N1336" i="6"/>
  <c r="P1336" i="6" s="1"/>
  <c r="L1336" i="6"/>
  <c r="D1336" i="6"/>
  <c r="N1335" i="6"/>
  <c r="P1335" i="6" s="1"/>
  <c r="L1335" i="6"/>
  <c r="D1335" i="6"/>
  <c r="N1334" i="6"/>
  <c r="P1334" i="6" s="1"/>
  <c r="L1334" i="6"/>
  <c r="D1334" i="6"/>
  <c r="N1333" i="6"/>
  <c r="P1333" i="6" s="1"/>
  <c r="L1333" i="6"/>
  <c r="D1333" i="6"/>
  <c r="N1332" i="6"/>
  <c r="P1332" i="6" s="1"/>
  <c r="L1332" i="6"/>
  <c r="D1332" i="6"/>
  <c r="N1331" i="6"/>
  <c r="P1331" i="6" s="1"/>
  <c r="L1331" i="6"/>
  <c r="D1331" i="6"/>
  <c r="N1330" i="6"/>
  <c r="P1330" i="6" s="1"/>
  <c r="L1330" i="6"/>
  <c r="D1330" i="6"/>
  <c r="N1329" i="6"/>
  <c r="P1329" i="6" s="1"/>
  <c r="L1329" i="6"/>
  <c r="D1329" i="6"/>
  <c r="N1328" i="6"/>
  <c r="P1328" i="6" s="1"/>
  <c r="L1328" i="6"/>
  <c r="D1328" i="6"/>
  <c r="K1324" i="6"/>
  <c r="D1324" i="6"/>
  <c r="K1323" i="6"/>
  <c r="D1323" i="6"/>
  <c r="K1322" i="6"/>
  <c r="D1322" i="6"/>
  <c r="M1322" i="6" s="1"/>
  <c r="P1322" i="6" s="1"/>
  <c r="K1321" i="6"/>
  <c r="D1321" i="6"/>
  <c r="M1321" i="6" s="1"/>
  <c r="P1321" i="6" s="1"/>
  <c r="K1320" i="6"/>
  <c r="D1320" i="6"/>
  <c r="K1319" i="6"/>
  <c r="D1319" i="6"/>
  <c r="D1316" i="6"/>
  <c r="K1271" i="6"/>
  <c r="D1271" i="6"/>
  <c r="L1271" i="6" s="1"/>
  <c r="K1270" i="6"/>
  <c r="D1270" i="6"/>
  <c r="L1270" i="6" s="1"/>
  <c r="K1269" i="6"/>
  <c r="D1269" i="6"/>
  <c r="L1269" i="6" s="1"/>
  <c r="K1268" i="6"/>
  <c r="D1268" i="6"/>
  <c r="L1268" i="6" s="1"/>
  <c r="K1267" i="6"/>
  <c r="D1267" i="6"/>
  <c r="L1267" i="6" s="1"/>
  <c r="N1263" i="6"/>
  <c r="P1263" i="6" s="1"/>
  <c r="M1263" i="6"/>
  <c r="D1263" i="6"/>
  <c r="N1262" i="6"/>
  <c r="P1262" i="6" s="1"/>
  <c r="M1262" i="6"/>
  <c r="D1262" i="6"/>
  <c r="N1261" i="6"/>
  <c r="P1261" i="6" s="1"/>
  <c r="M1261" i="6"/>
  <c r="D1261" i="6"/>
  <c r="N1260" i="6"/>
  <c r="P1260" i="6" s="1"/>
  <c r="M1260" i="6"/>
  <c r="D1260" i="6"/>
  <c r="N1255" i="6"/>
  <c r="P1255" i="6" s="1"/>
  <c r="L1255" i="6"/>
  <c r="D1255" i="6"/>
  <c r="N1254" i="6"/>
  <c r="P1254" i="6" s="1"/>
  <c r="L1254" i="6"/>
  <c r="D1254" i="6"/>
  <c r="N1253" i="6"/>
  <c r="P1253" i="6" s="1"/>
  <c r="L1253" i="6"/>
  <c r="D1253" i="6"/>
  <c r="N1252" i="6"/>
  <c r="P1252" i="6" s="1"/>
  <c r="L1252" i="6"/>
  <c r="D1252" i="6"/>
  <c r="N1251" i="6"/>
  <c r="P1251" i="6" s="1"/>
  <c r="L1251" i="6"/>
  <c r="D1251" i="6"/>
  <c r="N1250" i="6"/>
  <c r="P1250" i="6" s="1"/>
  <c r="L1250" i="6"/>
  <c r="D1250" i="6"/>
  <c r="N1249" i="6"/>
  <c r="P1249" i="6" s="1"/>
  <c r="L1249" i="6"/>
  <c r="D1249" i="6"/>
  <c r="N1248" i="6"/>
  <c r="P1248" i="6" s="1"/>
  <c r="L1248" i="6"/>
  <c r="D1248" i="6"/>
  <c r="N1247" i="6"/>
  <c r="P1247" i="6" s="1"/>
  <c r="L1247" i="6"/>
  <c r="D1247" i="6"/>
  <c r="N1246" i="6"/>
  <c r="P1246" i="6" s="1"/>
  <c r="L1246" i="6"/>
  <c r="D1246" i="6"/>
  <c r="N1245" i="6"/>
  <c r="P1245" i="6" s="1"/>
  <c r="L1245" i="6"/>
  <c r="D1245" i="6"/>
  <c r="N1244" i="6"/>
  <c r="P1244" i="6" s="1"/>
  <c r="L1244" i="6"/>
  <c r="D1244" i="6"/>
  <c r="N1243" i="6"/>
  <c r="P1243" i="6" s="1"/>
  <c r="L1243" i="6"/>
  <c r="D1243" i="6"/>
  <c r="N1242" i="6"/>
  <c r="P1242" i="6" s="1"/>
  <c r="L1242" i="6"/>
  <c r="D1242" i="6"/>
  <c r="K1238" i="6"/>
  <c r="D1238" i="6"/>
  <c r="M1238" i="6" s="1"/>
  <c r="P1238" i="6" s="1"/>
  <c r="K1237" i="6"/>
  <c r="D1237" i="6"/>
  <c r="K1236" i="6"/>
  <c r="D1236" i="6"/>
  <c r="M1236" i="6" s="1"/>
  <c r="P1236" i="6" s="1"/>
  <c r="K1235" i="6"/>
  <c r="D1235" i="6"/>
  <c r="M1235" i="6" s="1"/>
  <c r="P1235" i="6" s="1"/>
  <c r="K1234" i="6"/>
  <c r="D1234" i="6"/>
  <c r="M1234" i="6" s="1"/>
  <c r="P1234" i="6" s="1"/>
  <c r="K1233" i="6"/>
  <c r="D1233" i="6"/>
  <c r="D1230" i="6"/>
  <c r="K1186" i="6"/>
  <c r="D1186" i="6"/>
  <c r="L1186" i="6" s="1"/>
  <c r="K1185" i="6"/>
  <c r="D1185" i="6"/>
  <c r="L1185" i="6" s="1"/>
  <c r="M1185" i="6" s="1"/>
  <c r="P1185" i="6" s="1"/>
  <c r="K1184" i="6"/>
  <c r="D1184" i="6"/>
  <c r="L1184" i="6" s="1"/>
  <c r="K1183" i="6"/>
  <c r="D1183" i="6"/>
  <c r="L1183" i="6" s="1"/>
  <c r="K1182" i="6"/>
  <c r="D1182" i="6"/>
  <c r="L1182" i="6" s="1"/>
  <c r="N1178" i="6"/>
  <c r="P1178" i="6" s="1"/>
  <c r="M1178" i="6"/>
  <c r="D1178" i="6"/>
  <c r="N1177" i="6"/>
  <c r="P1177" i="6" s="1"/>
  <c r="M1177" i="6"/>
  <c r="D1177" i="6"/>
  <c r="N1176" i="6"/>
  <c r="P1176" i="6" s="1"/>
  <c r="M1176" i="6"/>
  <c r="D1176" i="6"/>
  <c r="N1175" i="6"/>
  <c r="P1175" i="6" s="1"/>
  <c r="M1175" i="6"/>
  <c r="D1175" i="6"/>
  <c r="N1170" i="6"/>
  <c r="P1170" i="6" s="1"/>
  <c r="L1170" i="6"/>
  <c r="D1170" i="6"/>
  <c r="N1169" i="6"/>
  <c r="P1169" i="6" s="1"/>
  <c r="L1169" i="6"/>
  <c r="D1169" i="6"/>
  <c r="N1168" i="6"/>
  <c r="P1168" i="6" s="1"/>
  <c r="L1168" i="6"/>
  <c r="D1168" i="6"/>
  <c r="N1167" i="6"/>
  <c r="P1167" i="6" s="1"/>
  <c r="L1167" i="6"/>
  <c r="D1167" i="6"/>
  <c r="N1166" i="6"/>
  <c r="P1166" i="6" s="1"/>
  <c r="L1166" i="6"/>
  <c r="D1166" i="6"/>
  <c r="N1165" i="6"/>
  <c r="P1165" i="6" s="1"/>
  <c r="L1165" i="6"/>
  <c r="D1165" i="6"/>
  <c r="N1164" i="6"/>
  <c r="P1164" i="6" s="1"/>
  <c r="L1164" i="6"/>
  <c r="D1164" i="6"/>
  <c r="N1163" i="6"/>
  <c r="P1163" i="6" s="1"/>
  <c r="L1163" i="6"/>
  <c r="D1163" i="6"/>
  <c r="N1162" i="6"/>
  <c r="P1162" i="6" s="1"/>
  <c r="L1162" i="6"/>
  <c r="D1162" i="6"/>
  <c r="N1161" i="6"/>
  <c r="P1161" i="6" s="1"/>
  <c r="L1161" i="6"/>
  <c r="D1161" i="6"/>
  <c r="N1160" i="6"/>
  <c r="P1160" i="6" s="1"/>
  <c r="L1160" i="6"/>
  <c r="D1160" i="6"/>
  <c r="N1159" i="6"/>
  <c r="P1159" i="6" s="1"/>
  <c r="L1159" i="6"/>
  <c r="D1159" i="6"/>
  <c r="N1158" i="6"/>
  <c r="P1158" i="6" s="1"/>
  <c r="L1158" i="6"/>
  <c r="D1158" i="6"/>
  <c r="N1157" i="6"/>
  <c r="P1157" i="6" s="1"/>
  <c r="L1157" i="6"/>
  <c r="D1157" i="6"/>
  <c r="K1153" i="6"/>
  <c r="D1153" i="6"/>
  <c r="K1152" i="6"/>
  <c r="D1152" i="6"/>
  <c r="M1152" i="6" s="1"/>
  <c r="P1152" i="6" s="1"/>
  <c r="K1151" i="6"/>
  <c r="D1151" i="6"/>
  <c r="K1150" i="6"/>
  <c r="D1150" i="6"/>
  <c r="M1150" i="6" s="1"/>
  <c r="P1150" i="6" s="1"/>
  <c r="K1149" i="6"/>
  <c r="D1149" i="6"/>
  <c r="K1148" i="6"/>
  <c r="D1148" i="6"/>
  <c r="M1789" i="6" l="1"/>
  <c r="P1789" i="6" s="1"/>
  <c r="M1792" i="6"/>
  <c r="P1792" i="6" s="1"/>
  <c r="L116" i="9"/>
  <c r="K115" i="9"/>
  <c r="K125" i="9"/>
  <c r="L126" i="9"/>
  <c r="K126" i="9" s="1"/>
  <c r="L54" i="9"/>
  <c r="K53" i="9"/>
  <c r="M1793" i="6"/>
  <c r="P1793" i="6" s="1"/>
  <c r="M1183" i="6"/>
  <c r="P1183" i="6" s="1"/>
  <c r="M1702" i="6"/>
  <c r="P1702" i="6" s="1"/>
  <c r="M1703" i="6"/>
  <c r="P1703" i="6" s="1"/>
  <c r="M1619" i="6"/>
  <c r="P1619" i="6" s="1"/>
  <c r="M1704" i="6"/>
  <c r="P1704" i="6" s="1"/>
  <c r="M1529" i="6"/>
  <c r="P1529" i="6" s="1"/>
  <c r="M1790" i="6"/>
  <c r="P1790" i="6" s="1"/>
  <c r="M1184" i="6"/>
  <c r="P1184" i="6" s="1"/>
  <c r="P1699" i="6"/>
  <c r="M1615" i="6"/>
  <c r="P1615" i="6" s="1"/>
  <c r="M1616" i="6"/>
  <c r="P1616" i="6" s="1"/>
  <c r="M1670" i="6"/>
  <c r="P1670" i="6" s="1"/>
  <c r="M1268" i="6"/>
  <c r="P1268" i="6" s="1"/>
  <c r="P1786" i="6"/>
  <c r="M1791" i="6"/>
  <c r="P1791" i="6" s="1"/>
  <c r="N1778" i="6"/>
  <c r="P1778" i="6" s="1"/>
  <c r="P1779" i="6" s="1"/>
  <c r="P1759" i="6"/>
  <c r="M1706" i="6"/>
  <c r="P1706" i="6" s="1"/>
  <c r="N1691" i="6"/>
  <c r="P1691" i="6" s="1"/>
  <c r="P1692" i="6" s="1"/>
  <c r="M1705" i="6"/>
  <c r="P1705" i="6" s="1"/>
  <c r="M1672" i="6"/>
  <c r="P1672" i="6" s="1"/>
  <c r="P1612" i="6"/>
  <c r="M1617" i="6"/>
  <c r="P1617" i="6" s="1"/>
  <c r="N1604" i="6"/>
  <c r="P1604" i="6" s="1"/>
  <c r="P1605" i="6" s="1"/>
  <c r="M1585" i="6"/>
  <c r="P1585" i="6" s="1"/>
  <c r="M1271" i="6"/>
  <c r="P1271" i="6" s="1"/>
  <c r="M1530" i="6"/>
  <c r="P1530" i="6" s="1"/>
  <c r="M1357" i="6"/>
  <c r="P1357" i="6" s="1"/>
  <c r="M1531" i="6"/>
  <c r="P1531" i="6" s="1"/>
  <c r="M1411" i="6"/>
  <c r="P1411" i="6" s="1"/>
  <c r="M1182" i="6"/>
  <c r="P1182" i="6" s="1"/>
  <c r="M1153" i="6"/>
  <c r="P1153" i="6" s="1"/>
  <c r="M1407" i="6"/>
  <c r="P1407" i="6" s="1"/>
  <c r="M1528" i="6"/>
  <c r="P1528" i="6" s="1"/>
  <c r="M1186" i="6"/>
  <c r="P1186" i="6" s="1"/>
  <c r="M1149" i="6"/>
  <c r="P1149" i="6" s="1"/>
  <c r="M1444" i="6"/>
  <c r="P1444" i="6" s="1"/>
  <c r="M1270" i="6"/>
  <c r="P1270" i="6" s="1"/>
  <c r="M1527" i="6"/>
  <c r="P1527" i="6" s="1"/>
  <c r="P1524" i="6"/>
  <c r="N1516" i="6"/>
  <c r="P1516" i="6" s="1"/>
  <c r="P1517" i="6" s="1"/>
  <c r="M1497" i="6"/>
  <c r="P1497" i="6" s="1"/>
  <c r="M1440" i="6"/>
  <c r="P1440" i="6" s="1"/>
  <c r="M1441" i="6"/>
  <c r="P1441" i="6" s="1"/>
  <c r="N1429" i="6"/>
  <c r="P1429" i="6" s="1"/>
  <c r="P1430" i="6" s="1"/>
  <c r="P1437" i="6"/>
  <c r="M1443" i="6"/>
  <c r="P1443" i="6" s="1"/>
  <c r="M1442" i="6"/>
  <c r="P1442" i="6" s="1"/>
  <c r="P1410" i="6"/>
  <c r="M1354" i="6"/>
  <c r="P1354" i="6" s="1"/>
  <c r="M1353" i="6"/>
  <c r="P1353" i="6" s="1"/>
  <c r="P1350" i="6"/>
  <c r="M1355" i="6"/>
  <c r="P1355" i="6" s="1"/>
  <c r="M1356" i="6"/>
  <c r="P1356" i="6" s="1"/>
  <c r="N1342" i="6"/>
  <c r="P1342" i="6" s="1"/>
  <c r="P1343" i="6" s="1"/>
  <c r="M1320" i="6"/>
  <c r="P1320" i="6" s="1"/>
  <c r="M1324" i="6"/>
  <c r="P1324" i="6" s="1"/>
  <c r="M1323" i="6"/>
  <c r="P1323" i="6" s="1"/>
  <c r="M1267" i="6"/>
  <c r="P1267" i="6" s="1"/>
  <c r="M1269" i="6"/>
  <c r="P1269" i="6" s="1"/>
  <c r="P1264" i="6"/>
  <c r="N1256" i="6"/>
  <c r="P1256" i="6" s="1"/>
  <c r="P1257" i="6" s="1"/>
  <c r="M1237" i="6"/>
  <c r="P1237" i="6" s="1"/>
  <c r="P1179" i="6"/>
  <c r="N1171" i="6"/>
  <c r="P1171" i="6" s="1"/>
  <c r="P1172" i="6" s="1"/>
  <c r="M1151" i="6"/>
  <c r="P1151" i="6" s="1"/>
  <c r="L127" i="9" l="1"/>
  <c r="K116" i="9"/>
  <c r="K54" i="9"/>
  <c r="L55" i="9"/>
  <c r="P1794" i="6"/>
  <c r="P1445" i="6"/>
  <c r="P1187" i="6"/>
  <c r="M1148" i="6" s="1"/>
  <c r="P1148" i="6" s="1"/>
  <c r="P1154" i="6" s="1"/>
  <c r="P1189" i="6" s="1"/>
  <c r="P1620" i="6"/>
  <c r="M1581" i="6" s="1"/>
  <c r="P1581" i="6" s="1"/>
  <c r="P1587" i="6" s="1"/>
  <c r="P1622" i="6" s="1"/>
  <c r="P1707" i="6"/>
  <c r="M1668" i="6" s="1"/>
  <c r="P1668" i="6" s="1"/>
  <c r="P1674" i="6" s="1"/>
  <c r="P1709" i="6" s="1"/>
  <c r="M1755" i="6"/>
  <c r="P1755" i="6" s="1"/>
  <c r="P1761" i="6" s="1"/>
  <c r="P1796" i="6" s="1"/>
  <c r="P1532" i="6"/>
  <c r="M1493" i="6" s="1"/>
  <c r="P1493" i="6" s="1"/>
  <c r="P1499" i="6" s="1"/>
  <c r="P1534" i="6" s="1"/>
  <c r="M1406" i="6"/>
  <c r="P1406" i="6" s="1"/>
  <c r="P1412" i="6" s="1"/>
  <c r="P1447" i="6" s="1"/>
  <c r="P1358" i="6"/>
  <c r="P1272" i="6"/>
  <c r="K127" i="9" l="1"/>
  <c r="L128" i="9"/>
  <c r="L56" i="9"/>
  <c r="K55" i="9"/>
  <c r="N415" i="7"/>
  <c r="N416" i="7"/>
  <c r="N417" i="7"/>
  <c r="N244" i="7"/>
  <c r="N242" i="7"/>
  <c r="N243" i="7"/>
  <c r="N1192" i="7"/>
  <c r="N1194" i="7"/>
  <c r="N1193" i="7"/>
  <c r="N1020" i="7"/>
  <c r="N1022" i="7"/>
  <c r="N1021" i="7"/>
  <c r="N157" i="7"/>
  <c r="N159" i="7"/>
  <c r="N158" i="7"/>
  <c r="N72" i="7"/>
  <c r="N71" i="7"/>
  <c r="N73" i="7"/>
  <c r="N761" i="7"/>
  <c r="N760" i="7"/>
  <c r="N759" i="7"/>
  <c r="N1451" i="7"/>
  <c r="N1450" i="7"/>
  <c r="N1452" i="7"/>
  <c r="N1538" i="7"/>
  <c r="N1537" i="7"/>
  <c r="N1539" i="7"/>
  <c r="N502" i="7"/>
  <c r="N503" i="7"/>
  <c r="N504" i="7"/>
  <c r="N1364" i="7"/>
  <c r="N1365" i="7"/>
  <c r="N1363" i="7"/>
  <c r="N590" i="7"/>
  <c r="N588" i="7"/>
  <c r="N589" i="7"/>
  <c r="N330" i="7"/>
  <c r="N328" i="7"/>
  <c r="N329" i="7"/>
  <c r="N1278" i="7"/>
  <c r="N1277" i="7"/>
  <c r="N1279" i="7"/>
  <c r="N673" i="7"/>
  <c r="N675" i="7"/>
  <c r="N674" i="7"/>
  <c r="N934" i="7"/>
  <c r="N933" i="7"/>
  <c r="N935" i="7"/>
  <c r="N1800" i="6"/>
  <c r="N1799" i="6"/>
  <c r="N1801" i="6"/>
  <c r="N1713" i="6"/>
  <c r="N1712" i="6"/>
  <c r="N1714" i="6"/>
  <c r="N1626" i="6"/>
  <c r="N1627" i="6"/>
  <c r="N1625" i="6"/>
  <c r="M1319" i="6"/>
  <c r="P1319" i="6" s="1"/>
  <c r="P1325" i="6" s="1"/>
  <c r="P1360" i="6" s="1"/>
  <c r="M1233" i="6"/>
  <c r="P1233" i="6" s="1"/>
  <c r="P1239" i="6" s="1"/>
  <c r="P1274" i="6" s="1"/>
  <c r="K128" i="9" l="1"/>
  <c r="L129" i="9"/>
  <c r="K56" i="9"/>
  <c r="L57" i="9"/>
  <c r="P762" i="7"/>
  <c r="P764" i="7" s="1"/>
  <c r="R712" i="7" s="1"/>
  <c r="G72" i="5" s="1"/>
  <c r="P505" i="7"/>
  <c r="P507" i="7" s="1"/>
  <c r="R455" i="7" s="1"/>
  <c r="G69" i="5" s="1"/>
  <c r="P331" i="7"/>
  <c r="P333" i="7" s="1"/>
  <c r="R281" i="7" s="1"/>
  <c r="G64" i="5" s="1"/>
  <c r="P936" i="7"/>
  <c r="P938" i="7" s="1"/>
  <c r="R886" i="7" s="1"/>
  <c r="G74" i="5" s="1"/>
  <c r="P245" i="7"/>
  <c r="P247" i="7" s="1"/>
  <c r="R195" i="7" s="1"/>
  <c r="G63" i="5" s="1"/>
  <c r="P1366" i="7"/>
  <c r="P1368" i="7" s="1"/>
  <c r="R1316" i="7" s="1"/>
  <c r="G82" i="5" s="1"/>
  <c r="N846" i="7"/>
  <c r="N847" i="7"/>
  <c r="N848" i="7"/>
  <c r="P74" i="7"/>
  <c r="P76" i="7" s="1"/>
  <c r="R24" i="7" s="1"/>
  <c r="G61" i="5" s="1"/>
  <c r="P1280" i="7"/>
  <c r="P1282" i="7" s="1"/>
  <c r="R1230" i="7" s="1"/>
  <c r="G81" i="5" s="1"/>
  <c r="P418" i="7"/>
  <c r="P420" i="7" s="1"/>
  <c r="R368" i="7" s="1"/>
  <c r="G65" i="5" s="1"/>
  <c r="N1106" i="7"/>
  <c r="N1107" i="7"/>
  <c r="N1108" i="7"/>
  <c r="P160" i="7"/>
  <c r="P162" i="7" s="1"/>
  <c r="R110" i="7" s="1"/>
  <c r="G62" i="5" s="1"/>
  <c r="P1540" i="7"/>
  <c r="P1542" i="7" s="1"/>
  <c r="R1490" i="7" s="1"/>
  <c r="G84" i="5" s="1"/>
  <c r="P1023" i="7"/>
  <c r="P1025" i="7" s="1"/>
  <c r="R973" i="7" s="1"/>
  <c r="G75" i="5" s="1"/>
  <c r="P1453" i="7"/>
  <c r="P1455" i="7" s="1"/>
  <c r="R1403" i="7" s="1"/>
  <c r="G83" i="5" s="1"/>
  <c r="P1195" i="7"/>
  <c r="P1197" i="7" s="1"/>
  <c r="R1145" i="7" s="1"/>
  <c r="G80" i="5" s="1"/>
  <c r="P676" i="7"/>
  <c r="P678" i="7" s="1"/>
  <c r="R626" i="7" s="1"/>
  <c r="G71" i="5" s="1"/>
  <c r="P591" i="7"/>
  <c r="P593" i="7" s="1"/>
  <c r="R541" i="7" s="1"/>
  <c r="G70" i="5" s="1"/>
  <c r="P1802" i="6"/>
  <c r="P1804" i="6" s="1"/>
  <c r="R1752" i="6" s="1"/>
  <c r="P1628" i="6"/>
  <c r="P1630" i="6" s="1"/>
  <c r="R1578" i="6" s="1"/>
  <c r="P1715" i="6"/>
  <c r="P1717" i="6" s="1"/>
  <c r="R1665" i="6" s="1"/>
  <c r="L130" i="9" l="1"/>
  <c r="K129" i="9"/>
  <c r="K57" i="9"/>
  <c r="L58" i="9"/>
  <c r="P849" i="7"/>
  <c r="P851" i="7" s="1"/>
  <c r="R799" i="7" s="1"/>
  <c r="G73" i="5" s="1"/>
  <c r="P1109" i="7"/>
  <c r="P1111" i="7" s="1"/>
  <c r="R1059" i="7" s="1"/>
  <c r="G76" i="5" s="1"/>
  <c r="K130" i="9" l="1"/>
  <c r="L131" i="9"/>
  <c r="K58" i="9"/>
  <c r="L59" i="9"/>
  <c r="D1145" i="6"/>
  <c r="K1100" i="6"/>
  <c r="D1100" i="6"/>
  <c r="L1100" i="6" s="1"/>
  <c r="K1099" i="6"/>
  <c r="D1099" i="6"/>
  <c r="L1099" i="6" s="1"/>
  <c r="K1098" i="6"/>
  <c r="D1098" i="6"/>
  <c r="L1098" i="6" s="1"/>
  <c r="K1097" i="6"/>
  <c r="D1097" i="6"/>
  <c r="L1097" i="6" s="1"/>
  <c r="K1096" i="6"/>
  <c r="D1096" i="6"/>
  <c r="L1096" i="6" s="1"/>
  <c r="N1092" i="6"/>
  <c r="P1092" i="6" s="1"/>
  <c r="M1092" i="6"/>
  <c r="D1092" i="6"/>
  <c r="N1091" i="6"/>
  <c r="P1091" i="6" s="1"/>
  <c r="M1091" i="6"/>
  <c r="D1091" i="6"/>
  <c r="N1090" i="6"/>
  <c r="P1090" i="6" s="1"/>
  <c r="M1090" i="6"/>
  <c r="D1090" i="6"/>
  <c r="N1089" i="6"/>
  <c r="P1089" i="6" s="1"/>
  <c r="M1089" i="6"/>
  <c r="D1089" i="6"/>
  <c r="N1084" i="6"/>
  <c r="P1084" i="6" s="1"/>
  <c r="L1084" i="6"/>
  <c r="D1084" i="6"/>
  <c r="N1083" i="6"/>
  <c r="P1083" i="6" s="1"/>
  <c r="L1083" i="6"/>
  <c r="D1083" i="6"/>
  <c r="N1082" i="6"/>
  <c r="P1082" i="6" s="1"/>
  <c r="L1082" i="6"/>
  <c r="D1082" i="6"/>
  <c r="N1081" i="6"/>
  <c r="P1081" i="6" s="1"/>
  <c r="L1081" i="6"/>
  <c r="D1081" i="6"/>
  <c r="N1080" i="6"/>
  <c r="P1080" i="6" s="1"/>
  <c r="L1080" i="6"/>
  <c r="D1080" i="6"/>
  <c r="N1079" i="6"/>
  <c r="P1079" i="6" s="1"/>
  <c r="L1079" i="6"/>
  <c r="D1079" i="6"/>
  <c r="N1078" i="6"/>
  <c r="P1078" i="6" s="1"/>
  <c r="L1078" i="6"/>
  <c r="D1078" i="6"/>
  <c r="N1077" i="6"/>
  <c r="P1077" i="6" s="1"/>
  <c r="L1077" i="6"/>
  <c r="D1077" i="6"/>
  <c r="N1076" i="6"/>
  <c r="P1076" i="6" s="1"/>
  <c r="L1076" i="6"/>
  <c r="D1076" i="6"/>
  <c r="N1075" i="6"/>
  <c r="P1075" i="6" s="1"/>
  <c r="L1075" i="6"/>
  <c r="D1075" i="6"/>
  <c r="N1074" i="6"/>
  <c r="P1074" i="6" s="1"/>
  <c r="L1074" i="6"/>
  <c r="D1074" i="6"/>
  <c r="N1073" i="6"/>
  <c r="P1073" i="6" s="1"/>
  <c r="L1073" i="6"/>
  <c r="D1073" i="6"/>
  <c r="N1072" i="6"/>
  <c r="P1072" i="6" s="1"/>
  <c r="L1072" i="6"/>
  <c r="D1072" i="6"/>
  <c r="N1071" i="6"/>
  <c r="P1071" i="6" s="1"/>
  <c r="L1071" i="6"/>
  <c r="D1071" i="6"/>
  <c r="K1067" i="6"/>
  <c r="D1067" i="6"/>
  <c r="M1067" i="6" s="1"/>
  <c r="P1067" i="6" s="1"/>
  <c r="K1066" i="6"/>
  <c r="D1066" i="6"/>
  <c r="M1066" i="6" s="1"/>
  <c r="P1066" i="6" s="1"/>
  <c r="K1065" i="6"/>
  <c r="D1065" i="6"/>
  <c r="M1065" i="6" s="1"/>
  <c r="P1065" i="6" s="1"/>
  <c r="K1064" i="6"/>
  <c r="D1064" i="6"/>
  <c r="M1064" i="6" s="1"/>
  <c r="P1064" i="6" s="1"/>
  <c r="K1063" i="6"/>
  <c r="D1063" i="6"/>
  <c r="M1063" i="6" s="1"/>
  <c r="P1063" i="6" s="1"/>
  <c r="K1062" i="6"/>
  <c r="D1062" i="6"/>
  <c r="D1059" i="6"/>
  <c r="K1014" i="6"/>
  <c r="D1014" i="6"/>
  <c r="L1014" i="6" s="1"/>
  <c r="K1013" i="6"/>
  <c r="D1013" i="6"/>
  <c r="L1013" i="6" s="1"/>
  <c r="K1012" i="6"/>
  <c r="D1012" i="6"/>
  <c r="L1012" i="6" s="1"/>
  <c r="K1011" i="6"/>
  <c r="D1011" i="6"/>
  <c r="L1011" i="6" s="1"/>
  <c r="K1010" i="6"/>
  <c r="D1010" i="6"/>
  <c r="L1010" i="6" s="1"/>
  <c r="N1006" i="6"/>
  <c r="P1006" i="6" s="1"/>
  <c r="M1006" i="6"/>
  <c r="D1006" i="6"/>
  <c r="N1005" i="6"/>
  <c r="P1005" i="6" s="1"/>
  <c r="M1005" i="6"/>
  <c r="D1005" i="6"/>
  <c r="N1004" i="6"/>
  <c r="P1004" i="6" s="1"/>
  <c r="M1004" i="6"/>
  <c r="D1004" i="6"/>
  <c r="N1003" i="6"/>
  <c r="P1003" i="6" s="1"/>
  <c r="M1003" i="6"/>
  <c r="D1003" i="6"/>
  <c r="N998" i="6"/>
  <c r="P998" i="6" s="1"/>
  <c r="L998" i="6"/>
  <c r="D998" i="6"/>
  <c r="N997" i="6"/>
  <c r="P997" i="6" s="1"/>
  <c r="L997" i="6"/>
  <c r="D997" i="6"/>
  <c r="N996" i="6"/>
  <c r="P996" i="6" s="1"/>
  <c r="L996" i="6"/>
  <c r="D996" i="6"/>
  <c r="N995" i="6"/>
  <c r="P995" i="6" s="1"/>
  <c r="L995" i="6"/>
  <c r="D995" i="6"/>
  <c r="N994" i="6"/>
  <c r="P994" i="6" s="1"/>
  <c r="L994" i="6"/>
  <c r="D994" i="6"/>
  <c r="N993" i="6"/>
  <c r="P993" i="6" s="1"/>
  <c r="L993" i="6"/>
  <c r="D993" i="6"/>
  <c r="N992" i="6"/>
  <c r="P992" i="6" s="1"/>
  <c r="L992" i="6"/>
  <c r="D992" i="6"/>
  <c r="N991" i="6"/>
  <c r="P991" i="6" s="1"/>
  <c r="L991" i="6"/>
  <c r="D991" i="6"/>
  <c r="N990" i="6"/>
  <c r="P990" i="6" s="1"/>
  <c r="L990" i="6"/>
  <c r="D990" i="6"/>
  <c r="N989" i="6"/>
  <c r="P989" i="6" s="1"/>
  <c r="L989" i="6"/>
  <c r="D989" i="6"/>
  <c r="N988" i="6"/>
  <c r="P988" i="6" s="1"/>
  <c r="L988" i="6"/>
  <c r="D988" i="6"/>
  <c r="N987" i="6"/>
  <c r="M987" i="6"/>
  <c r="L987" i="6"/>
  <c r="D987" i="6"/>
  <c r="N986" i="6"/>
  <c r="P986" i="6" s="1"/>
  <c r="L986" i="6"/>
  <c r="D986" i="6"/>
  <c r="N985" i="6"/>
  <c r="P985" i="6" s="1"/>
  <c r="L985" i="6"/>
  <c r="D985" i="6"/>
  <c r="K981" i="6"/>
  <c r="D981" i="6"/>
  <c r="M981" i="6" s="1"/>
  <c r="P981" i="6" s="1"/>
  <c r="K980" i="6"/>
  <c r="D980" i="6"/>
  <c r="M980" i="6" s="1"/>
  <c r="K979" i="6"/>
  <c r="D979" i="6"/>
  <c r="M979" i="6" s="1"/>
  <c r="P979" i="6" s="1"/>
  <c r="K978" i="6"/>
  <c r="D978" i="6"/>
  <c r="K977" i="6"/>
  <c r="D977" i="6"/>
  <c r="M977" i="6" s="1"/>
  <c r="P977" i="6" s="1"/>
  <c r="K976" i="6"/>
  <c r="D976" i="6"/>
  <c r="D973" i="6"/>
  <c r="K927" i="6"/>
  <c r="D927" i="6"/>
  <c r="L927" i="6" s="1"/>
  <c r="K926" i="6"/>
  <c r="D926" i="6"/>
  <c r="L926" i="6" s="1"/>
  <c r="K925" i="6"/>
  <c r="D925" i="6"/>
  <c r="L925" i="6" s="1"/>
  <c r="K924" i="6"/>
  <c r="D924" i="6"/>
  <c r="L924" i="6" s="1"/>
  <c r="K923" i="6"/>
  <c r="D923" i="6"/>
  <c r="L923" i="6" s="1"/>
  <c r="N919" i="6"/>
  <c r="P919" i="6" s="1"/>
  <c r="M919" i="6"/>
  <c r="D919" i="6"/>
  <c r="N918" i="6"/>
  <c r="P918" i="6" s="1"/>
  <c r="M918" i="6"/>
  <c r="D918" i="6"/>
  <c r="N917" i="6"/>
  <c r="P917" i="6" s="1"/>
  <c r="M917" i="6"/>
  <c r="D917" i="6"/>
  <c r="N916" i="6"/>
  <c r="P916" i="6" s="1"/>
  <c r="M916" i="6"/>
  <c r="D916" i="6"/>
  <c r="N911" i="6"/>
  <c r="P911" i="6" s="1"/>
  <c r="L911" i="6"/>
  <c r="D911" i="6"/>
  <c r="N910" i="6"/>
  <c r="P910" i="6" s="1"/>
  <c r="L910" i="6"/>
  <c r="D910" i="6"/>
  <c r="N909" i="6"/>
  <c r="P909" i="6" s="1"/>
  <c r="L909" i="6"/>
  <c r="D909" i="6"/>
  <c r="N908" i="6"/>
  <c r="P908" i="6" s="1"/>
  <c r="L908" i="6"/>
  <c r="D908" i="6"/>
  <c r="N907" i="6"/>
  <c r="P907" i="6" s="1"/>
  <c r="L907" i="6"/>
  <c r="D907" i="6"/>
  <c r="N906" i="6"/>
  <c r="P906" i="6" s="1"/>
  <c r="L906" i="6"/>
  <c r="D906" i="6"/>
  <c r="N905" i="6"/>
  <c r="P905" i="6" s="1"/>
  <c r="L905" i="6"/>
  <c r="D905" i="6"/>
  <c r="N904" i="6"/>
  <c r="P904" i="6" s="1"/>
  <c r="L904" i="6"/>
  <c r="D904" i="6"/>
  <c r="N903" i="6"/>
  <c r="P903" i="6" s="1"/>
  <c r="L903" i="6"/>
  <c r="D903" i="6"/>
  <c r="N902" i="6"/>
  <c r="P902" i="6" s="1"/>
  <c r="L902" i="6"/>
  <c r="D902" i="6"/>
  <c r="N901" i="6"/>
  <c r="P901" i="6" s="1"/>
  <c r="L901" i="6"/>
  <c r="D901" i="6"/>
  <c r="N900" i="6"/>
  <c r="P900" i="6" s="1"/>
  <c r="L900" i="6"/>
  <c r="D900" i="6"/>
  <c r="N899" i="6"/>
  <c r="P899" i="6" s="1"/>
  <c r="L899" i="6"/>
  <c r="D899" i="6"/>
  <c r="N898" i="6"/>
  <c r="M898" i="6"/>
  <c r="L898" i="6"/>
  <c r="D898" i="6"/>
  <c r="K894" i="6"/>
  <c r="D894" i="6"/>
  <c r="K893" i="6"/>
  <c r="D893" i="6"/>
  <c r="K892" i="6"/>
  <c r="D892" i="6"/>
  <c r="M892" i="6" s="1"/>
  <c r="P892" i="6" s="1"/>
  <c r="K891" i="6"/>
  <c r="D891" i="6"/>
  <c r="M891" i="6" s="1"/>
  <c r="P891" i="6" s="1"/>
  <c r="K890" i="6"/>
  <c r="D890" i="6"/>
  <c r="K889" i="6"/>
  <c r="D889" i="6"/>
  <c r="D886" i="6"/>
  <c r="K840" i="6"/>
  <c r="D840" i="6"/>
  <c r="L840" i="6" s="1"/>
  <c r="K839" i="6"/>
  <c r="D839" i="6"/>
  <c r="L839" i="6" s="1"/>
  <c r="K838" i="6"/>
  <c r="D838" i="6"/>
  <c r="L838" i="6" s="1"/>
  <c r="K837" i="6"/>
  <c r="D837" i="6"/>
  <c r="L837" i="6" s="1"/>
  <c r="N836" i="6"/>
  <c r="N837" i="6" s="1"/>
  <c r="K836" i="6"/>
  <c r="D836" i="6"/>
  <c r="L836" i="6" s="1"/>
  <c r="N832" i="6"/>
  <c r="P832" i="6" s="1"/>
  <c r="M832" i="6"/>
  <c r="D832" i="6"/>
  <c r="N831" i="6"/>
  <c r="P831" i="6" s="1"/>
  <c r="M831" i="6"/>
  <c r="D831" i="6"/>
  <c r="N830" i="6"/>
  <c r="P830" i="6" s="1"/>
  <c r="M830" i="6"/>
  <c r="D830" i="6"/>
  <c r="N829" i="6"/>
  <c r="P829" i="6" s="1"/>
  <c r="M829" i="6"/>
  <c r="D829" i="6"/>
  <c r="N824" i="6"/>
  <c r="P824" i="6" s="1"/>
  <c r="L824" i="6"/>
  <c r="D824" i="6"/>
  <c r="N823" i="6"/>
  <c r="P823" i="6" s="1"/>
  <c r="L823" i="6"/>
  <c r="D823" i="6"/>
  <c r="N822" i="6"/>
  <c r="P822" i="6" s="1"/>
  <c r="L822" i="6"/>
  <c r="D822" i="6"/>
  <c r="N821" i="6"/>
  <c r="P821" i="6" s="1"/>
  <c r="L821" i="6"/>
  <c r="D821" i="6"/>
  <c r="N820" i="6"/>
  <c r="P820" i="6" s="1"/>
  <c r="L820" i="6"/>
  <c r="D820" i="6"/>
  <c r="N819" i="6"/>
  <c r="P819" i="6" s="1"/>
  <c r="L819" i="6"/>
  <c r="D819" i="6"/>
  <c r="N818" i="6"/>
  <c r="P818" i="6" s="1"/>
  <c r="L818" i="6"/>
  <c r="D818" i="6"/>
  <c r="N817" i="6"/>
  <c r="P817" i="6" s="1"/>
  <c r="L817" i="6"/>
  <c r="D817" i="6"/>
  <c r="N816" i="6"/>
  <c r="P816" i="6" s="1"/>
  <c r="L816" i="6"/>
  <c r="D816" i="6"/>
  <c r="N815" i="6"/>
  <c r="P815" i="6" s="1"/>
  <c r="L815" i="6"/>
  <c r="D815" i="6"/>
  <c r="N814" i="6"/>
  <c r="P814" i="6" s="1"/>
  <c r="L814" i="6"/>
  <c r="D814" i="6"/>
  <c r="N813" i="6"/>
  <c r="P813" i="6" s="1"/>
  <c r="L813" i="6"/>
  <c r="D813" i="6"/>
  <c r="N812" i="6"/>
  <c r="P812" i="6" s="1"/>
  <c r="L812" i="6"/>
  <c r="D812" i="6"/>
  <c r="N811" i="6"/>
  <c r="M811" i="6"/>
  <c r="L811" i="6"/>
  <c r="D811" i="6"/>
  <c r="K807" i="6"/>
  <c r="D807" i="6"/>
  <c r="K806" i="6"/>
  <c r="D806" i="6"/>
  <c r="M806" i="6" s="1"/>
  <c r="K805" i="6"/>
  <c r="D805" i="6"/>
  <c r="M805" i="6" s="1"/>
  <c r="P805" i="6" s="1"/>
  <c r="K804" i="6"/>
  <c r="D804" i="6"/>
  <c r="M804" i="6" s="1"/>
  <c r="K803" i="6"/>
  <c r="D803" i="6"/>
  <c r="M803" i="6" s="1"/>
  <c r="K802" i="6"/>
  <c r="D802" i="6"/>
  <c r="D799" i="6"/>
  <c r="K753" i="6"/>
  <c r="D753" i="6"/>
  <c r="L753" i="6" s="1"/>
  <c r="K752" i="6"/>
  <c r="D752" i="6"/>
  <c r="L752" i="6" s="1"/>
  <c r="K751" i="6"/>
  <c r="D751" i="6"/>
  <c r="L751" i="6" s="1"/>
  <c r="K750" i="6"/>
  <c r="D750" i="6"/>
  <c r="L750" i="6" s="1"/>
  <c r="K749" i="6"/>
  <c r="D749" i="6"/>
  <c r="L749" i="6" s="1"/>
  <c r="N745" i="6"/>
  <c r="P745" i="6" s="1"/>
  <c r="M745" i="6"/>
  <c r="D745" i="6"/>
  <c r="N744" i="6"/>
  <c r="P744" i="6" s="1"/>
  <c r="M744" i="6"/>
  <c r="D744" i="6"/>
  <c r="N743" i="6"/>
  <c r="P743" i="6" s="1"/>
  <c r="M743" i="6"/>
  <c r="D743" i="6"/>
  <c r="N742" i="6"/>
  <c r="P742" i="6" s="1"/>
  <c r="M742" i="6"/>
  <c r="D742" i="6"/>
  <c r="N737" i="6"/>
  <c r="P737" i="6" s="1"/>
  <c r="L737" i="6"/>
  <c r="D737" i="6"/>
  <c r="N736" i="6"/>
  <c r="P736" i="6" s="1"/>
  <c r="L736" i="6"/>
  <c r="D736" i="6"/>
  <c r="N735" i="6"/>
  <c r="P735" i="6" s="1"/>
  <c r="L735" i="6"/>
  <c r="D735" i="6"/>
  <c r="N734" i="6"/>
  <c r="P734" i="6" s="1"/>
  <c r="L734" i="6"/>
  <c r="D734" i="6"/>
  <c r="N733" i="6"/>
  <c r="P733" i="6" s="1"/>
  <c r="L733" i="6"/>
  <c r="D733" i="6"/>
  <c r="N732" i="6"/>
  <c r="P732" i="6" s="1"/>
  <c r="L732" i="6"/>
  <c r="D732" i="6"/>
  <c r="N731" i="6"/>
  <c r="P731" i="6" s="1"/>
  <c r="L731" i="6"/>
  <c r="D731" i="6"/>
  <c r="N730" i="6"/>
  <c r="P730" i="6" s="1"/>
  <c r="L730" i="6"/>
  <c r="D730" i="6"/>
  <c r="N729" i="6"/>
  <c r="P729" i="6" s="1"/>
  <c r="L729" i="6"/>
  <c r="D729" i="6"/>
  <c r="N728" i="6"/>
  <c r="P728" i="6" s="1"/>
  <c r="L728" i="6"/>
  <c r="D728" i="6"/>
  <c r="N727" i="6"/>
  <c r="P727" i="6" s="1"/>
  <c r="L727" i="6"/>
  <c r="D727" i="6"/>
  <c r="N726" i="6"/>
  <c r="P726" i="6" s="1"/>
  <c r="L726" i="6"/>
  <c r="D726" i="6"/>
  <c r="N725" i="6"/>
  <c r="P725" i="6" s="1"/>
  <c r="L725" i="6"/>
  <c r="D725" i="6"/>
  <c r="N724" i="6"/>
  <c r="P724" i="6" s="1"/>
  <c r="L724" i="6"/>
  <c r="K720" i="6"/>
  <c r="D720" i="6"/>
  <c r="K719" i="6"/>
  <c r="D719" i="6"/>
  <c r="K718" i="6"/>
  <c r="D718" i="6"/>
  <c r="M718" i="6" s="1"/>
  <c r="P718" i="6" s="1"/>
  <c r="K717" i="6"/>
  <c r="D717" i="6"/>
  <c r="M717" i="6" s="1"/>
  <c r="P717" i="6" s="1"/>
  <c r="K716" i="6"/>
  <c r="D716" i="6"/>
  <c r="K715" i="6"/>
  <c r="D715" i="6"/>
  <c r="D712" i="6"/>
  <c r="K667" i="6"/>
  <c r="D667" i="6"/>
  <c r="L667" i="6" s="1"/>
  <c r="K666" i="6"/>
  <c r="D666" i="6"/>
  <c r="L666" i="6" s="1"/>
  <c r="K665" i="6"/>
  <c r="D665" i="6"/>
  <c r="L665" i="6" s="1"/>
  <c r="K664" i="6"/>
  <c r="D664" i="6"/>
  <c r="L664" i="6" s="1"/>
  <c r="K663" i="6"/>
  <c r="D663" i="6"/>
  <c r="L663" i="6" s="1"/>
  <c r="N659" i="6"/>
  <c r="P659" i="6" s="1"/>
  <c r="M659" i="6"/>
  <c r="D659" i="6"/>
  <c r="N658" i="6"/>
  <c r="P658" i="6" s="1"/>
  <c r="M658" i="6"/>
  <c r="D658" i="6"/>
  <c r="N657" i="6"/>
  <c r="P657" i="6" s="1"/>
  <c r="M657" i="6"/>
  <c r="D657" i="6"/>
  <c r="N656" i="6"/>
  <c r="P656" i="6" s="1"/>
  <c r="M656" i="6"/>
  <c r="D656" i="6"/>
  <c r="N651" i="6"/>
  <c r="P651" i="6" s="1"/>
  <c r="L651" i="6"/>
  <c r="D651" i="6"/>
  <c r="N650" i="6"/>
  <c r="P650" i="6" s="1"/>
  <c r="L650" i="6"/>
  <c r="D650" i="6"/>
  <c r="N649" i="6"/>
  <c r="P649" i="6" s="1"/>
  <c r="L649" i="6"/>
  <c r="D649" i="6"/>
  <c r="N648" i="6"/>
  <c r="P648" i="6" s="1"/>
  <c r="L648" i="6"/>
  <c r="D648" i="6"/>
  <c r="N647" i="6"/>
  <c r="P647" i="6" s="1"/>
  <c r="L647" i="6"/>
  <c r="D647" i="6"/>
  <c r="N646" i="6"/>
  <c r="P646" i="6" s="1"/>
  <c r="L646" i="6"/>
  <c r="D646" i="6"/>
  <c r="N645" i="6"/>
  <c r="P645" i="6" s="1"/>
  <c r="L645" i="6"/>
  <c r="D645" i="6"/>
  <c r="N644" i="6"/>
  <c r="P644" i="6" s="1"/>
  <c r="L644" i="6"/>
  <c r="D644" i="6"/>
  <c r="N643" i="6"/>
  <c r="P643" i="6" s="1"/>
  <c r="L643" i="6"/>
  <c r="D643" i="6"/>
  <c r="N642" i="6"/>
  <c r="P642" i="6" s="1"/>
  <c r="L642" i="6"/>
  <c r="D642" i="6"/>
  <c r="N641" i="6"/>
  <c r="P641" i="6" s="1"/>
  <c r="L641" i="6"/>
  <c r="D641" i="6"/>
  <c r="N640" i="6"/>
  <c r="P640" i="6" s="1"/>
  <c r="L640" i="6"/>
  <c r="D640" i="6"/>
  <c r="N639" i="6"/>
  <c r="P639" i="6" s="1"/>
  <c r="L639" i="6"/>
  <c r="D639" i="6"/>
  <c r="N638" i="6"/>
  <c r="P638" i="6" s="1"/>
  <c r="L638" i="6"/>
  <c r="D638" i="6"/>
  <c r="K634" i="6"/>
  <c r="D634" i="6"/>
  <c r="M634" i="6" s="1"/>
  <c r="P634" i="6" s="1"/>
  <c r="K633" i="6"/>
  <c r="D633" i="6"/>
  <c r="K632" i="6"/>
  <c r="D632" i="6"/>
  <c r="M632" i="6" s="1"/>
  <c r="P632" i="6" s="1"/>
  <c r="K631" i="6"/>
  <c r="D631" i="6"/>
  <c r="M631" i="6" s="1"/>
  <c r="P631" i="6" s="1"/>
  <c r="K630" i="6"/>
  <c r="D630" i="6"/>
  <c r="M630" i="6" s="1"/>
  <c r="P630" i="6" s="1"/>
  <c r="K629" i="6"/>
  <c r="D629" i="6"/>
  <c r="D626" i="6"/>
  <c r="K582" i="6"/>
  <c r="D582" i="6"/>
  <c r="L582" i="6" s="1"/>
  <c r="K581" i="6"/>
  <c r="D581" i="6"/>
  <c r="L581" i="6" s="1"/>
  <c r="K580" i="6"/>
  <c r="D580" i="6"/>
  <c r="L580" i="6" s="1"/>
  <c r="K579" i="6"/>
  <c r="D579" i="6"/>
  <c r="L579" i="6" s="1"/>
  <c r="K578" i="6"/>
  <c r="D578" i="6"/>
  <c r="L578" i="6" s="1"/>
  <c r="N574" i="6"/>
  <c r="P574" i="6" s="1"/>
  <c r="M574" i="6"/>
  <c r="D574" i="6"/>
  <c r="N573" i="6"/>
  <c r="P573" i="6" s="1"/>
  <c r="M573" i="6"/>
  <c r="D573" i="6"/>
  <c r="N572" i="6"/>
  <c r="P572" i="6" s="1"/>
  <c r="M572" i="6"/>
  <c r="D572" i="6"/>
  <c r="N571" i="6"/>
  <c r="P571" i="6" s="1"/>
  <c r="M571" i="6"/>
  <c r="D571" i="6"/>
  <c r="N566" i="6"/>
  <c r="P566" i="6" s="1"/>
  <c r="L566" i="6"/>
  <c r="D566" i="6"/>
  <c r="N565" i="6"/>
  <c r="P565" i="6" s="1"/>
  <c r="L565" i="6"/>
  <c r="D565" i="6"/>
  <c r="N564" i="6"/>
  <c r="P564" i="6" s="1"/>
  <c r="L564" i="6"/>
  <c r="D564" i="6"/>
  <c r="N563" i="6"/>
  <c r="P563" i="6" s="1"/>
  <c r="L563" i="6"/>
  <c r="D563" i="6"/>
  <c r="N562" i="6"/>
  <c r="P562" i="6" s="1"/>
  <c r="L562" i="6"/>
  <c r="D562" i="6"/>
  <c r="N561" i="6"/>
  <c r="P561" i="6" s="1"/>
  <c r="L561" i="6"/>
  <c r="D561" i="6"/>
  <c r="N560" i="6"/>
  <c r="P560" i="6" s="1"/>
  <c r="L560" i="6"/>
  <c r="D560" i="6"/>
  <c r="N559" i="6"/>
  <c r="P559" i="6" s="1"/>
  <c r="L559" i="6"/>
  <c r="D559" i="6"/>
  <c r="N558" i="6"/>
  <c r="P558" i="6" s="1"/>
  <c r="L558" i="6"/>
  <c r="D558" i="6"/>
  <c r="N557" i="6"/>
  <c r="P557" i="6" s="1"/>
  <c r="L557" i="6"/>
  <c r="D557" i="6"/>
  <c r="N556" i="6"/>
  <c r="P556" i="6" s="1"/>
  <c r="L556" i="6"/>
  <c r="D556" i="6"/>
  <c r="N555" i="6"/>
  <c r="P555" i="6" s="1"/>
  <c r="L555" i="6"/>
  <c r="D555" i="6"/>
  <c r="N554" i="6"/>
  <c r="P554" i="6" s="1"/>
  <c r="L554" i="6"/>
  <c r="D554" i="6"/>
  <c r="N553" i="6"/>
  <c r="P553" i="6" s="1"/>
  <c r="L553" i="6"/>
  <c r="D553" i="6"/>
  <c r="K549" i="6"/>
  <c r="D549" i="6"/>
  <c r="M549" i="6" s="1"/>
  <c r="K548" i="6"/>
  <c r="D548" i="6"/>
  <c r="K547" i="6"/>
  <c r="D547" i="6"/>
  <c r="M547" i="6" s="1"/>
  <c r="P547" i="6" s="1"/>
  <c r="K546" i="6"/>
  <c r="D546" i="6"/>
  <c r="M546" i="6" s="1"/>
  <c r="P546" i="6" s="1"/>
  <c r="K545" i="6"/>
  <c r="D545" i="6"/>
  <c r="M545" i="6" s="1"/>
  <c r="K544" i="6"/>
  <c r="D544" i="6"/>
  <c r="D541" i="6"/>
  <c r="K496" i="6"/>
  <c r="D496" i="6"/>
  <c r="L496" i="6" s="1"/>
  <c r="K495" i="6"/>
  <c r="D495" i="6"/>
  <c r="L495" i="6" s="1"/>
  <c r="K494" i="6"/>
  <c r="D494" i="6"/>
  <c r="L494" i="6" s="1"/>
  <c r="K493" i="6"/>
  <c r="D493" i="6"/>
  <c r="L493" i="6" s="1"/>
  <c r="K492" i="6"/>
  <c r="D492" i="6"/>
  <c r="L492" i="6" s="1"/>
  <c r="N488" i="6"/>
  <c r="P488" i="6" s="1"/>
  <c r="M488" i="6"/>
  <c r="D488" i="6"/>
  <c r="N487" i="6"/>
  <c r="P487" i="6" s="1"/>
  <c r="M487" i="6"/>
  <c r="D487" i="6"/>
  <c r="N486" i="6"/>
  <c r="P486" i="6" s="1"/>
  <c r="M486" i="6"/>
  <c r="D486" i="6"/>
  <c r="N485" i="6"/>
  <c r="P485" i="6" s="1"/>
  <c r="M485" i="6"/>
  <c r="D485" i="6"/>
  <c r="N480" i="6"/>
  <c r="P480" i="6" s="1"/>
  <c r="L480" i="6"/>
  <c r="D480" i="6"/>
  <c r="N479" i="6"/>
  <c r="P479" i="6" s="1"/>
  <c r="L479" i="6"/>
  <c r="D479" i="6"/>
  <c r="N478" i="6"/>
  <c r="P478" i="6" s="1"/>
  <c r="L478" i="6"/>
  <c r="D478" i="6"/>
  <c r="N477" i="6"/>
  <c r="P477" i="6" s="1"/>
  <c r="L477" i="6"/>
  <c r="D477" i="6"/>
  <c r="N476" i="6"/>
  <c r="P476" i="6" s="1"/>
  <c r="L476" i="6"/>
  <c r="D476" i="6"/>
  <c r="N475" i="6"/>
  <c r="P475" i="6" s="1"/>
  <c r="L475" i="6"/>
  <c r="D475" i="6"/>
  <c r="N474" i="6"/>
  <c r="P474" i="6" s="1"/>
  <c r="L474" i="6"/>
  <c r="D474" i="6"/>
  <c r="N473" i="6"/>
  <c r="P473" i="6" s="1"/>
  <c r="L473" i="6"/>
  <c r="D473" i="6"/>
  <c r="N472" i="6"/>
  <c r="P472" i="6" s="1"/>
  <c r="L472" i="6"/>
  <c r="D472" i="6"/>
  <c r="N471" i="6"/>
  <c r="P471" i="6" s="1"/>
  <c r="L471" i="6"/>
  <c r="D471" i="6"/>
  <c r="N470" i="6"/>
  <c r="P470" i="6" s="1"/>
  <c r="L470" i="6"/>
  <c r="D470" i="6"/>
  <c r="N469" i="6"/>
  <c r="P469" i="6" s="1"/>
  <c r="L469" i="6"/>
  <c r="D469" i="6"/>
  <c r="N468" i="6"/>
  <c r="P468" i="6" s="1"/>
  <c r="L468" i="6"/>
  <c r="D468" i="6"/>
  <c r="N467" i="6"/>
  <c r="P467" i="6" s="1"/>
  <c r="L467" i="6"/>
  <c r="D467" i="6"/>
  <c r="K463" i="6"/>
  <c r="D463" i="6"/>
  <c r="M463" i="6" s="1"/>
  <c r="P463" i="6" s="1"/>
  <c r="K462" i="6"/>
  <c r="D462" i="6"/>
  <c r="K461" i="6"/>
  <c r="D461" i="6"/>
  <c r="M461" i="6" s="1"/>
  <c r="P461" i="6" s="1"/>
  <c r="K460" i="6"/>
  <c r="D460" i="6"/>
  <c r="M460" i="6" s="1"/>
  <c r="P460" i="6" s="1"/>
  <c r="K459" i="6"/>
  <c r="D459" i="6"/>
  <c r="M459" i="6" s="1"/>
  <c r="P459" i="6" s="1"/>
  <c r="K458" i="6"/>
  <c r="D458" i="6"/>
  <c r="D455" i="6"/>
  <c r="K409" i="6"/>
  <c r="D409" i="6"/>
  <c r="L409" i="6" s="1"/>
  <c r="K408" i="6"/>
  <c r="D408" i="6"/>
  <c r="L408" i="6" s="1"/>
  <c r="K407" i="6"/>
  <c r="D407" i="6"/>
  <c r="L407" i="6" s="1"/>
  <c r="K406" i="6"/>
  <c r="D406" i="6"/>
  <c r="L406" i="6" s="1"/>
  <c r="K405" i="6"/>
  <c r="D405" i="6"/>
  <c r="L405" i="6" s="1"/>
  <c r="N401" i="6"/>
  <c r="P401" i="6" s="1"/>
  <c r="M401" i="6"/>
  <c r="D401" i="6"/>
  <c r="N400" i="6"/>
  <c r="P400" i="6" s="1"/>
  <c r="M400" i="6"/>
  <c r="D400" i="6"/>
  <c r="N399" i="6"/>
  <c r="P399" i="6" s="1"/>
  <c r="M399" i="6"/>
  <c r="D399" i="6"/>
  <c r="N398" i="6"/>
  <c r="P398" i="6" s="1"/>
  <c r="M398" i="6"/>
  <c r="D398" i="6"/>
  <c r="N393" i="6"/>
  <c r="P393" i="6" s="1"/>
  <c r="L393" i="6"/>
  <c r="D393" i="6"/>
  <c r="N392" i="6"/>
  <c r="P392" i="6" s="1"/>
  <c r="L392" i="6"/>
  <c r="D392" i="6"/>
  <c r="N391" i="6"/>
  <c r="P391" i="6" s="1"/>
  <c r="L391" i="6"/>
  <c r="D391" i="6"/>
  <c r="N390" i="6"/>
  <c r="P390" i="6" s="1"/>
  <c r="L390" i="6"/>
  <c r="D390" i="6"/>
  <c r="N389" i="6"/>
  <c r="P389" i="6" s="1"/>
  <c r="L389" i="6"/>
  <c r="D389" i="6"/>
  <c r="N388" i="6"/>
  <c r="P388" i="6" s="1"/>
  <c r="L388" i="6"/>
  <c r="D388" i="6"/>
  <c r="N387" i="6"/>
  <c r="P387" i="6" s="1"/>
  <c r="L387" i="6"/>
  <c r="D387" i="6"/>
  <c r="N386" i="6"/>
  <c r="P386" i="6" s="1"/>
  <c r="L386" i="6"/>
  <c r="D386" i="6"/>
  <c r="N385" i="6"/>
  <c r="P385" i="6" s="1"/>
  <c r="L385" i="6"/>
  <c r="D385" i="6"/>
  <c r="N384" i="6"/>
  <c r="P384" i="6" s="1"/>
  <c r="L384" i="6"/>
  <c r="D384" i="6"/>
  <c r="N383" i="6"/>
  <c r="P383" i="6" s="1"/>
  <c r="L383" i="6"/>
  <c r="D383" i="6"/>
  <c r="N382" i="6"/>
  <c r="P382" i="6" s="1"/>
  <c r="L382" i="6"/>
  <c r="D382" i="6"/>
  <c r="N381" i="6"/>
  <c r="P381" i="6" s="1"/>
  <c r="L381" i="6"/>
  <c r="D381" i="6"/>
  <c r="N380" i="6"/>
  <c r="P380" i="6" s="1"/>
  <c r="L380" i="6"/>
  <c r="D380" i="6"/>
  <c r="K376" i="6"/>
  <c r="D376" i="6"/>
  <c r="M376" i="6" s="1"/>
  <c r="P376" i="6" s="1"/>
  <c r="K375" i="6"/>
  <c r="D375" i="6"/>
  <c r="K374" i="6"/>
  <c r="D374" i="6"/>
  <c r="M374" i="6" s="1"/>
  <c r="P374" i="6" s="1"/>
  <c r="K373" i="6"/>
  <c r="D373" i="6"/>
  <c r="M373" i="6" s="1"/>
  <c r="P373" i="6" s="1"/>
  <c r="K372" i="6"/>
  <c r="D372" i="6"/>
  <c r="M372" i="6" s="1"/>
  <c r="P372" i="6" s="1"/>
  <c r="K371" i="6"/>
  <c r="D371" i="6"/>
  <c r="D368" i="6"/>
  <c r="K322" i="6"/>
  <c r="D322" i="6"/>
  <c r="L322" i="6" s="1"/>
  <c r="K321" i="6"/>
  <c r="D321" i="6"/>
  <c r="L321" i="6" s="1"/>
  <c r="K320" i="6"/>
  <c r="D320" i="6"/>
  <c r="L320" i="6" s="1"/>
  <c r="K319" i="6"/>
  <c r="D319" i="6"/>
  <c r="L319" i="6" s="1"/>
  <c r="K318" i="6"/>
  <c r="D318" i="6"/>
  <c r="L318" i="6" s="1"/>
  <c r="N314" i="6"/>
  <c r="P314" i="6" s="1"/>
  <c r="M314" i="6"/>
  <c r="D314" i="6"/>
  <c r="N313" i="6"/>
  <c r="P313" i="6" s="1"/>
  <c r="M313" i="6"/>
  <c r="D313" i="6"/>
  <c r="N312" i="6"/>
  <c r="P312" i="6" s="1"/>
  <c r="M312" i="6"/>
  <c r="D312" i="6"/>
  <c r="N311" i="6"/>
  <c r="P311" i="6" s="1"/>
  <c r="M311" i="6"/>
  <c r="D311" i="6"/>
  <c r="N306" i="6"/>
  <c r="P306" i="6" s="1"/>
  <c r="L306" i="6"/>
  <c r="D306" i="6"/>
  <c r="N305" i="6"/>
  <c r="P305" i="6" s="1"/>
  <c r="L305" i="6"/>
  <c r="D305" i="6"/>
  <c r="N304" i="6"/>
  <c r="P304" i="6" s="1"/>
  <c r="L304" i="6"/>
  <c r="D304" i="6"/>
  <c r="N303" i="6"/>
  <c r="P303" i="6" s="1"/>
  <c r="L303" i="6"/>
  <c r="D303" i="6"/>
  <c r="N302" i="6"/>
  <c r="P302" i="6" s="1"/>
  <c r="L302" i="6"/>
  <c r="D302" i="6"/>
  <c r="N301" i="6"/>
  <c r="P301" i="6" s="1"/>
  <c r="L301" i="6"/>
  <c r="D301" i="6"/>
  <c r="N300" i="6"/>
  <c r="P300" i="6" s="1"/>
  <c r="L300" i="6"/>
  <c r="D300" i="6"/>
  <c r="N299" i="6"/>
  <c r="P299" i="6" s="1"/>
  <c r="L299" i="6"/>
  <c r="D299" i="6"/>
  <c r="N298" i="6"/>
  <c r="P298" i="6" s="1"/>
  <c r="L298" i="6"/>
  <c r="D298" i="6"/>
  <c r="N297" i="6"/>
  <c r="P297" i="6" s="1"/>
  <c r="L297" i="6"/>
  <c r="D297" i="6"/>
  <c r="N296" i="6"/>
  <c r="P296" i="6" s="1"/>
  <c r="L296" i="6"/>
  <c r="D296" i="6"/>
  <c r="N295" i="6"/>
  <c r="P295" i="6" s="1"/>
  <c r="L295" i="6"/>
  <c r="D295" i="6"/>
  <c r="N294" i="6"/>
  <c r="P294" i="6" s="1"/>
  <c r="L294" i="6"/>
  <c r="D294" i="6"/>
  <c r="N293" i="6"/>
  <c r="P293" i="6" s="1"/>
  <c r="L293" i="6"/>
  <c r="D293" i="6"/>
  <c r="K289" i="6"/>
  <c r="D289" i="6"/>
  <c r="M289" i="6" s="1"/>
  <c r="P289" i="6" s="1"/>
  <c r="K288" i="6"/>
  <c r="D288" i="6"/>
  <c r="K287" i="6"/>
  <c r="D287" i="6"/>
  <c r="M287" i="6" s="1"/>
  <c r="P287" i="6" s="1"/>
  <c r="K286" i="6"/>
  <c r="D286" i="6"/>
  <c r="M286" i="6" s="1"/>
  <c r="P286" i="6" s="1"/>
  <c r="K285" i="6"/>
  <c r="D285" i="6"/>
  <c r="M285" i="6" s="1"/>
  <c r="P285" i="6" s="1"/>
  <c r="K284" i="6"/>
  <c r="D284" i="6"/>
  <c r="D281" i="6"/>
  <c r="K236" i="6"/>
  <c r="D236" i="6"/>
  <c r="L236" i="6" s="1"/>
  <c r="K235" i="6"/>
  <c r="D235" i="6"/>
  <c r="L235" i="6" s="1"/>
  <c r="K234" i="6"/>
  <c r="D234" i="6"/>
  <c r="L234" i="6" s="1"/>
  <c r="K233" i="6"/>
  <c r="D233" i="6"/>
  <c r="L233" i="6" s="1"/>
  <c r="K232" i="6"/>
  <c r="D232" i="6"/>
  <c r="L232" i="6" s="1"/>
  <c r="N228" i="6"/>
  <c r="P228" i="6" s="1"/>
  <c r="M228" i="6"/>
  <c r="D228" i="6"/>
  <c r="N227" i="6"/>
  <c r="P227" i="6" s="1"/>
  <c r="M227" i="6"/>
  <c r="D227" i="6"/>
  <c r="N226" i="6"/>
  <c r="P226" i="6" s="1"/>
  <c r="M226" i="6"/>
  <c r="D226" i="6"/>
  <c r="N225" i="6"/>
  <c r="P225" i="6" s="1"/>
  <c r="M225" i="6"/>
  <c r="D225" i="6"/>
  <c r="N220" i="6"/>
  <c r="P220" i="6" s="1"/>
  <c r="L220" i="6"/>
  <c r="D220" i="6"/>
  <c r="N219" i="6"/>
  <c r="P219" i="6" s="1"/>
  <c r="L219" i="6"/>
  <c r="D219" i="6"/>
  <c r="N218" i="6"/>
  <c r="P218" i="6" s="1"/>
  <c r="L218" i="6"/>
  <c r="D218" i="6"/>
  <c r="N217" i="6"/>
  <c r="P217" i="6" s="1"/>
  <c r="L217" i="6"/>
  <c r="D217" i="6"/>
  <c r="N216" i="6"/>
  <c r="P216" i="6" s="1"/>
  <c r="L216" i="6"/>
  <c r="D216" i="6"/>
  <c r="N215" i="6"/>
  <c r="P215" i="6" s="1"/>
  <c r="L215" i="6"/>
  <c r="D215" i="6"/>
  <c r="N214" i="6"/>
  <c r="P214" i="6" s="1"/>
  <c r="L214" i="6"/>
  <c r="D214" i="6"/>
  <c r="N213" i="6"/>
  <c r="P213" i="6" s="1"/>
  <c r="L213" i="6"/>
  <c r="D213" i="6"/>
  <c r="N212" i="6"/>
  <c r="P212" i="6" s="1"/>
  <c r="L212" i="6"/>
  <c r="D212" i="6"/>
  <c r="N211" i="6"/>
  <c r="P211" i="6" s="1"/>
  <c r="L211" i="6"/>
  <c r="D211" i="6"/>
  <c r="N210" i="6"/>
  <c r="P210" i="6" s="1"/>
  <c r="L210" i="6"/>
  <c r="D210" i="6"/>
  <c r="N209" i="6"/>
  <c r="P209" i="6" s="1"/>
  <c r="L209" i="6"/>
  <c r="D209" i="6"/>
  <c r="N208" i="6"/>
  <c r="P208" i="6" s="1"/>
  <c r="L208" i="6"/>
  <c r="D208" i="6"/>
  <c r="N207" i="6"/>
  <c r="P207" i="6" s="1"/>
  <c r="L207" i="6"/>
  <c r="D207" i="6"/>
  <c r="K203" i="6"/>
  <c r="D203" i="6"/>
  <c r="M203" i="6" s="1"/>
  <c r="P203" i="6" s="1"/>
  <c r="K202" i="6"/>
  <c r="D202" i="6"/>
  <c r="K201" i="6"/>
  <c r="D201" i="6"/>
  <c r="M201" i="6" s="1"/>
  <c r="P201" i="6" s="1"/>
  <c r="K200" i="6"/>
  <c r="D200" i="6"/>
  <c r="M200" i="6" s="1"/>
  <c r="P200" i="6" s="1"/>
  <c r="K199" i="6"/>
  <c r="D199" i="6"/>
  <c r="M199" i="6" s="1"/>
  <c r="P199" i="6" s="1"/>
  <c r="K198" i="6"/>
  <c r="D198" i="6"/>
  <c r="D195" i="6"/>
  <c r="K151" i="6"/>
  <c r="D151" i="6"/>
  <c r="L151" i="6" s="1"/>
  <c r="K150" i="6"/>
  <c r="D150" i="6"/>
  <c r="L150" i="6" s="1"/>
  <c r="K149" i="6"/>
  <c r="D149" i="6"/>
  <c r="L149" i="6" s="1"/>
  <c r="K148" i="6"/>
  <c r="D148" i="6"/>
  <c r="L148" i="6" s="1"/>
  <c r="K147" i="6"/>
  <c r="D147" i="6"/>
  <c r="L147" i="6" s="1"/>
  <c r="N143" i="6"/>
  <c r="P143" i="6" s="1"/>
  <c r="M143" i="6"/>
  <c r="D143" i="6"/>
  <c r="N142" i="6"/>
  <c r="P142" i="6" s="1"/>
  <c r="M142" i="6"/>
  <c r="D142" i="6"/>
  <c r="N141" i="6"/>
  <c r="P141" i="6" s="1"/>
  <c r="M141" i="6"/>
  <c r="D141" i="6"/>
  <c r="N140" i="6"/>
  <c r="P140" i="6" s="1"/>
  <c r="M140" i="6"/>
  <c r="D140" i="6"/>
  <c r="N135" i="6"/>
  <c r="P135" i="6" s="1"/>
  <c r="L135" i="6"/>
  <c r="D135" i="6"/>
  <c r="N134" i="6"/>
  <c r="P134" i="6" s="1"/>
  <c r="L134" i="6"/>
  <c r="D134" i="6"/>
  <c r="N133" i="6"/>
  <c r="P133" i="6" s="1"/>
  <c r="L133" i="6"/>
  <c r="D133" i="6"/>
  <c r="N132" i="6"/>
  <c r="P132" i="6" s="1"/>
  <c r="L132" i="6"/>
  <c r="D132" i="6"/>
  <c r="N131" i="6"/>
  <c r="P131" i="6" s="1"/>
  <c r="L131" i="6"/>
  <c r="D131" i="6"/>
  <c r="N130" i="6"/>
  <c r="P130" i="6" s="1"/>
  <c r="L130" i="6"/>
  <c r="D130" i="6"/>
  <c r="N129" i="6"/>
  <c r="P129" i="6" s="1"/>
  <c r="L129" i="6"/>
  <c r="D129" i="6"/>
  <c r="N128" i="6"/>
  <c r="P128" i="6" s="1"/>
  <c r="L128" i="6"/>
  <c r="D128" i="6"/>
  <c r="N127" i="6"/>
  <c r="P127" i="6" s="1"/>
  <c r="L127" i="6"/>
  <c r="D127" i="6"/>
  <c r="N126" i="6"/>
  <c r="P126" i="6" s="1"/>
  <c r="L126" i="6"/>
  <c r="D126" i="6"/>
  <c r="N125" i="6"/>
  <c r="P125" i="6" s="1"/>
  <c r="L125" i="6"/>
  <c r="D125" i="6"/>
  <c r="N124" i="6"/>
  <c r="P124" i="6" s="1"/>
  <c r="L124" i="6"/>
  <c r="D124" i="6"/>
  <c r="N123" i="6"/>
  <c r="P123" i="6" s="1"/>
  <c r="L123" i="6"/>
  <c r="D123" i="6"/>
  <c r="N122" i="6"/>
  <c r="P122" i="6" s="1"/>
  <c r="L122" i="6"/>
  <c r="D122" i="6"/>
  <c r="K118" i="6"/>
  <c r="D118" i="6"/>
  <c r="M118" i="6" s="1"/>
  <c r="P118" i="6" s="1"/>
  <c r="K117" i="6"/>
  <c r="D117" i="6"/>
  <c r="M117" i="6" s="1"/>
  <c r="P117" i="6" s="1"/>
  <c r="K116" i="6"/>
  <c r="D116" i="6"/>
  <c r="M116" i="6" s="1"/>
  <c r="P116" i="6" s="1"/>
  <c r="K115" i="6"/>
  <c r="D115" i="6"/>
  <c r="M115" i="6" s="1"/>
  <c r="P115" i="6" s="1"/>
  <c r="K114" i="6"/>
  <c r="D114" i="6"/>
  <c r="M114" i="6" s="1"/>
  <c r="P114" i="6" s="1"/>
  <c r="K113" i="6"/>
  <c r="D113" i="6"/>
  <c r="D110" i="6"/>
  <c r="K65" i="6"/>
  <c r="D65" i="6"/>
  <c r="L65" i="6" s="1"/>
  <c r="K64" i="6"/>
  <c r="D64" i="6"/>
  <c r="L64" i="6" s="1"/>
  <c r="K63" i="6"/>
  <c r="D63" i="6"/>
  <c r="L63" i="6" s="1"/>
  <c r="N62" i="6"/>
  <c r="K62" i="6"/>
  <c r="D62" i="6"/>
  <c r="L62" i="6" s="1"/>
  <c r="K61" i="6"/>
  <c r="D61" i="6"/>
  <c r="L61" i="6" s="1"/>
  <c r="N57" i="6"/>
  <c r="P57" i="6" s="1"/>
  <c r="M57" i="6"/>
  <c r="D57" i="6"/>
  <c r="N56" i="6"/>
  <c r="P56" i="6" s="1"/>
  <c r="M56" i="6"/>
  <c r="D56" i="6"/>
  <c r="N55" i="6"/>
  <c r="P55" i="6" s="1"/>
  <c r="M55" i="6"/>
  <c r="D55" i="6"/>
  <c r="N54" i="6"/>
  <c r="P54" i="6" s="1"/>
  <c r="M54" i="6"/>
  <c r="D54" i="6"/>
  <c r="N49" i="6"/>
  <c r="P49" i="6" s="1"/>
  <c r="L49" i="6"/>
  <c r="D49" i="6"/>
  <c r="N48" i="6"/>
  <c r="P48" i="6" s="1"/>
  <c r="L48" i="6"/>
  <c r="D48" i="6"/>
  <c r="N47" i="6"/>
  <c r="P47" i="6" s="1"/>
  <c r="L47" i="6"/>
  <c r="D47" i="6"/>
  <c r="N46" i="6"/>
  <c r="P46" i="6" s="1"/>
  <c r="L46" i="6"/>
  <c r="D46" i="6"/>
  <c r="N45" i="6"/>
  <c r="P45" i="6" s="1"/>
  <c r="L45" i="6"/>
  <c r="D45" i="6"/>
  <c r="N44" i="6"/>
  <c r="P44" i="6" s="1"/>
  <c r="L44" i="6"/>
  <c r="D44" i="6"/>
  <c r="N43" i="6"/>
  <c r="P43" i="6" s="1"/>
  <c r="L43" i="6"/>
  <c r="D43" i="6"/>
  <c r="N42" i="6"/>
  <c r="P42" i="6" s="1"/>
  <c r="L42" i="6"/>
  <c r="D42" i="6"/>
  <c r="N41" i="6"/>
  <c r="P41" i="6" s="1"/>
  <c r="L41" i="6"/>
  <c r="D41" i="6"/>
  <c r="N40" i="6"/>
  <c r="P40" i="6" s="1"/>
  <c r="L40" i="6"/>
  <c r="D40" i="6"/>
  <c r="N39" i="6"/>
  <c r="P39" i="6" s="1"/>
  <c r="L39" i="6"/>
  <c r="D39" i="6"/>
  <c r="N38" i="6"/>
  <c r="P38" i="6" s="1"/>
  <c r="L38" i="6"/>
  <c r="D38" i="6"/>
  <c r="N37" i="6"/>
  <c r="P37" i="6" s="1"/>
  <c r="L37" i="6"/>
  <c r="D37" i="6"/>
  <c r="N36" i="6"/>
  <c r="M36" i="6"/>
  <c r="L36" i="6"/>
  <c r="D36" i="6"/>
  <c r="K32" i="6"/>
  <c r="D32" i="6"/>
  <c r="M32" i="6" s="1"/>
  <c r="K31" i="6"/>
  <c r="D31" i="6"/>
  <c r="K30" i="6"/>
  <c r="D30" i="6"/>
  <c r="K29" i="6"/>
  <c r="D29" i="6"/>
  <c r="M29" i="6" s="1"/>
  <c r="P29" i="6" s="1"/>
  <c r="K28" i="6"/>
  <c r="D28" i="6"/>
  <c r="M28" i="6" s="1"/>
  <c r="K27" i="6"/>
  <c r="D27" i="6"/>
  <c r="K131" i="9" l="1"/>
  <c r="L132" i="9"/>
  <c r="K59" i="9"/>
  <c r="L60" i="9"/>
  <c r="P811" i="6"/>
  <c r="N825" i="6" s="1"/>
  <c r="P825" i="6" s="1"/>
  <c r="P826" i="6" s="1"/>
  <c r="P987" i="6"/>
  <c r="N999" i="6" s="1"/>
  <c r="P999" i="6" s="1"/>
  <c r="P1000" i="6" s="1"/>
  <c r="P806" i="6"/>
  <c r="M1097" i="6"/>
  <c r="P1097" i="6" s="1"/>
  <c r="M1098" i="6"/>
  <c r="P1098" i="6" s="1"/>
  <c r="M753" i="6"/>
  <c r="P753" i="6" s="1"/>
  <c r="M581" i="6"/>
  <c r="P581" i="6" s="1"/>
  <c r="P898" i="6"/>
  <c r="N912" i="6" s="1"/>
  <c r="P912" i="6" s="1"/>
  <c r="P913" i="6" s="1"/>
  <c r="M1010" i="6"/>
  <c r="P1010" i="6" s="1"/>
  <c r="M582" i="6"/>
  <c r="P582" i="6" s="1"/>
  <c r="P804" i="6"/>
  <c r="M665" i="6"/>
  <c r="P665" i="6" s="1"/>
  <c r="M837" i="6"/>
  <c r="P837" i="6" s="1"/>
  <c r="M1012" i="6"/>
  <c r="P1012" i="6" s="1"/>
  <c r="M494" i="6"/>
  <c r="P494" i="6" s="1"/>
  <c r="M666" i="6"/>
  <c r="P666" i="6" s="1"/>
  <c r="M751" i="6"/>
  <c r="P751" i="6" s="1"/>
  <c r="M838" i="6"/>
  <c r="P838" i="6" s="1"/>
  <c r="M1013" i="6"/>
  <c r="P1013" i="6" s="1"/>
  <c r="P1093" i="6"/>
  <c r="M495" i="6"/>
  <c r="P495" i="6" s="1"/>
  <c r="M578" i="6"/>
  <c r="P578" i="6" s="1"/>
  <c r="M1099" i="6"/>
  <c r="P1099" i="6" s="1"/>
  <c r="M840" i="6"/>
  <c r="P840" i="6" s="1"/>
  <c r="M580" i="6"/>
  <c r="P580" i="6" s="1"/>
  <c r="P920" i="6"/>
  <c r="M925" i="6"/>
  <c r="P925" i="6" s="1"/>
  <c r="P980" i="6"/>
  <c r="M1096" i="6"/>
  <c r="P1096" i="6" s="1"/>
  <c r="N1085" i="6"/>
  <c r="P1085" i="6" s="1"/>
  <c r="P1086" i="6" s="1"/>
  <c r="M1100" i="6"/>
  <c r="P1100" i="6" s="1"/>
  <c r="M1011" i="6"/>
  <c r="P1011" i="6" s="1"/>
  <c r="P1007" i="6"/>
  <c r="M1014" i="6"/>
  <c r="P1014" i="6" s="1"/>
  <c r="M978" i="6"/>
  <c r="P978" i="6" s="1"/>
  <c r="M923" i="6"/>
  <c r="P923" i="6" s="1"/>
  <c r="M924" i="6"/>
  <c r="P924" i="6" s="1"/>
  <c r="M926" i="6"/>
  <c r="P926" i="6" s="1"/>
  <c r="M927" i="6"/>
  <c r="P927" i="6" s="1"/>
  <c r="M893" i="6"/>
  <c r="P893" i="6" s="1"/>
  <c r="M890" i="6"/>
  <c r="P890" i="6" s="1"/>
  <c r="M894" i="6"/>
  <c r="P894" i="6" s="1"/>
  <c r="M836" i="6"/>
  <c r="P836" i="6" s="1"/>
  <c r="P833" i="6"/>
  <c r="M839" i="6"/>
  <c r="P839" i="6" s="1"/>
  <c r="M807" i="6"/>
  <c r="P807" i="6" s="1"/>
  <c r="P803" i="6"/>
  <c r="M749" i="6"/>
  <c r="P749" i="6" s="1"/>
  <c r="M750" i="6"/>
  <c r="P750" i="6" s="1"/>
  <c r="M752" i="6"/>
  <c r="P752" i="6" s="1"/>
  <c r="P746" i="6"/>
  <c r="N738" i="6"/>
  <c r="P738" i="6" s="1"/>
  <c r="P739" i="6" s="1"/>
  <c r="M716" i="6"/>
  <c r="P716" i="6" s="1"/>
  <c r="M720" i="6"/>
  <c r="P720" i="6" s="1"/>
  <c r="M719" i="6"/>
  <c r="P719" i="6" s="1"/>
  <c r="M663" i="6"/>
  <c r="P663" i="6" s="1"/>
  <c r="M664" i="6"/>
  <c r="P664" i="6" s="1"/>
  <c r="P660" i="6"/>
  <c r="N652" i="6"/>
  <c r="P652" i="6" s="1"/>
  <c r="P653" i="6" s="1"/>
  <c r="M667" i="6"/>
  <c r="P667" i="6" s="1"/>
  <c r="M633" i="6"/>
  <c r="P633" i="6" s="1"/>
  <c r="M579" i="6"/>
  <c r="P579" i="6" s="1"/>
  <c r="N567" i="6"/>
  <c r="P567" i="6" s="1"/>
  <c r="P568" i="6" s="1"/>
  <c r="P575" i="6"/>
  <c r="M548" i="6"/>
  <c r="P548" i="6" s="1"/>
  <c r="P545" i="6"/>
  <c r="P549" i="6"/>
  <c r="M492" i="6"/>
  <c r="P492" i="6" s="1"/>
  <c r="M493" i="6"/>
  <c r="P493" i="6" s="1"/>
  <c r="P489" i="6"/>
  <c r="N481" i="6"/>
  <c r="P481" i="6" s="1"/>
  <c r="P482" i="6" s="1"/>
  <c r="M496" i="6"/>
  <c r="P496" i="6" s="1"/>
  <c r="M462" i="6"/>
  <c r="P462" i="6" s="1"/>
  <c r="M406" i="6"/>
  <c r="P406" i="6" s="1"/>
  <c r="P36" i="6"/>
  <c r="N50" i="6" s="1"/>
  <c r="P50" i="6" s="1"/>
  <c r="P51" i="6" s="1"/>
  <c r="M319" i="6"/>
  <c r="P319" i="6" s="1"/>
  <c r="M322" i="6"/>
  <c r="P322" i="6" s="1"/>
  <c r="M31" i="6"/>
  <c r="P31" i="6" s="1"/>
  <c r="M408" i="6"/>
  <c r="P408" i="6" s="1"/>
  <c r="M409" i="6"/>
  <c r="P409" i="6" s="1"/>
  <c r="M405" i="6"/>
  <c r="P405" i="6" s="1"/>
  <c r="M407" i="6"/>
  <c r="P407" i="6" s="1"/>
  <c r="P402" i="6"/>
  <c r="N394" i="6"/>
  <c r="P394" i="6" s="1"/>
  <c r="P395" i="6" s="1"/>
  <c r="M375" i="6"/>
  <c r="P375" i="6" s="1"/>
  <c r="M318" i="6"/>
  <c r="P318" i="6" s="1"/>
  <c r="P315" i="6"/>
  <c r="M320" i="6"/>
  <c r="P320" i="6" s="1"/>
  <c r="M321" i="6"/>
  <c r="P321" i="6" s="1"/>
  <c r="N307" i="6"/>
  <c r="P307" i="6" s="1"/>
  <c r="P308" i="6" s="1"/>
  <c r="M288" i="6"/>
  <c r="P288" i="6" s="1"/>
  <c r="N221" i="6"/>
  <c r="P221" i="6" s="1"/>
  <c r="P222" i="6" s="1"/>
  <c r="M232" i="6"/>
  <c r="P232" i="6" s="1"/>
  <c r="M233" i="6"/>
  <c r="P233" i="6" s="1"/>
  <c r="P229" i="6"/>
  <c r="M234" i="6"/>
  <c r="P234" i="6" s="1"/>
  <c r="M235" i="6"/>
  <c r="P235" i="6" s="1"/>
  <c r="M236" i="6"/>
  <c r="P236" i="6" s="1"/>
  <c r="M202" i="6"/>
  <c r="P202" i="6" s="1"/>
  <c r="N136" i="6"/>
  <c r="P136" i="6" s="1"/>
  <c r="P137" i="6" s="1"/>
  <c r="M147" i="6"/>
  <c r="P147" i="6" s="1"/>
  <c r="M148" i="6"/>
  <c r="P148" i="6" s="1"/>
  <c r="P144" i="6"/>
  <c r="M149" i="6"/>
  <c r="P149" i="6" s="1"/>
  <c r="M150" i="6"/>
  <c r="P150" i="6" s="1"/>
  <c r="M151" i="6"/>
  <c r="P151" i="6" s="1"/>
  <c r="M61" i="6"/>
  <c r="P61" i="6" s="1"/>
  <c r="M62" i="6"/>
  <c r="P62" i="6" s="1"/>
  <c r="P58" i="6"/>
  <c r="M63" i="6"/>
  <c r="P63" i="6" s="1"/>
  <c r="M64" i="6"/>
  <c r="P64" i="6" s="1"/>
  <c r="M65" i="6"/>
  <c r="P65" i="6" s="1"/>
  <c r="P28" i="6"/>
  <c r="P32" i="6"/>
  <c r="M30" i="6"/>
  <c r="P30" i="6" s="1"/>
  <c r="L133" i="9" l="1"/>
  <c r="K132" i="9"/>
  <c r="K60" i="9"/>
  <c r="P1015" i="6"/>
  <c r="M976" i="6" s="1"/>
  <c r="P976" i="6" s="1"/>
  <c r="P982" i="6" s="1"/>
  <c r="P1017" i="6" s="1"/>
  <c r="P583" i="6"/>
  <c r="M544" i="6" s="1"/>
  <c r="P544" i="6" s="1"/>
  <c r="P550" i="6" s="1"/>
  <c r="P585" i="6" s="1"/>
  <c r="P1101" i="6"/>
  <c r="M1062" i="6" s="1"/>
  <c r="P1062" i="6" s="1"/>
  <c r="P1068" i="6" s="1"/>
  <c r="P928" i="6"/>
  <c r="P841" i="6"/>
  <c r="P754" i="6"/>
  <c r="P668" i="6"/>
  <c r="P497" i="6"/>
  <c r="P323" i="6"/>
  <c r="P410" i="6"/>
  <c r="M284" i="6"/>
  <c r="P284" i="6" s="1"/>
  <c r="P290" i="6" s="1"/>
  <c r="P325" i="6" s="1"/>
  <c r="P237" i="6"/>
  <c r="M198" i="6" s="1"/>
  <c r="P198" i="6" s="1"/>
  <c r="P204" i="6" s="1"/>
  <c r="P152" i="6"/>
  <c r="M113" i="6" s="1"/>
  <c r="P113" i="6" s="1"/>
  <c r="P119" i="6" s="1"/>
  <c r="P66" i="6"/>
  <c r="M27" i="6" s="1"/>
  <c r="P27" i="6" s="1"/>
  <c r="P33" i="6" s="1"/>
  <c r="K133" i="9" l="1"/>
  <c r="L134" i="9"/>
  <c r="K134" i="9" s="1"/>
  <c r="M889" i="6"/>
  <c r="P889" i="6" s="1"/>
  <c r="P895" i="6" s="1"/>
  <c r="P930" i="6" s="1"/>
  <c r="M802" i="6"/>
  <c r="P802" i="6" s="1"/>
  <c r="P808" i="6" s="1"/>
  <c r="P843" i="6" s="1"/>
  <c r="M715" i="6"/>
  <c r="P715" i="6" s="1"/>
  <c r="P721" i="6" s="1"/>
  <c r="P756" i="6" s="1"/>
  <c r="M629" i="6"/>
  <c r="P629" i="6" s="1"/>
  <c r="P635" i="6" s="1"/>
  <c r="P670" i="6" s="1"/>
  <c r="M458" i="6"/>
  <c r="P458" i="6" s="1"/>
  <c r="P464" i="6" s="1"/>
  <c r="P499" i="6" s="1"/>
  <c r="M371" i="6"/>
  <c r="P371" i="6" s="1"/>
  <c r="P377" i="6" s="1"/>
  <c r="P412" i="6" s="1"/>
  <c r="D24" i="6" l="1"/>
  <c r="M1550" i="6"/>
  <c r="E1550" i="6"/>
  <c r="M1549" i="6"/>
  <c r="E1549" i="6"/>
  <c r="M1548" i="6"/>
  <c r="E1548" i="6"/>
  <c r="L1547" i="6"/>
  <c r="D1547" i="6"/>
  <c r="M1539" i="6"/>
  <c r="M1538" i="6"/>
  <c r="M1537" i="6"/>
  <c r="A1494" i="6"/>
  <c r="A1495" i="6" s="1"/>
  <c r="A1496" i="6" s="1"/>
  <c r="A1497" i="6" s="1"/>
  <c r="A1498" i="6" s="1"/>
  <c r="A1499" i="6" s="1"/>
  <c r="A1500" i="6" s="1"/>
  <c r="A1501" i="6" s="1"/>
  <c r="A1502" i="6" s="1"/>
  <c r="A1503" i="6" s="1"/>
  <c r="A1504" i="6" s="1"/>
  <c r="A1505" i="6" s="1"/>
  <c r="A1506" i="6" s="1"/>
  <c r="A1507" i="6" s="1"/>
  <c r="A1508" i="6" s="1"/>
  <c r="A1509" i="6" s="1"/>
  <c r="A1510" i="6" s="1"/>
  <c r="A1511" i="6" s="1"/>
  <c r="A1512" i="6" s="1"/>
  <c r="A1513" i="6" s="1"/>
  <c r="A1514" i="6" s="1"/>
  <c r="A1515" i="6" s="1"/>
  <c r="A1516" i="6" s="1"/>
  <c r="A1517" i="6" s="1"/>
  <c r="A1518" i="6" s="1"/>
  <c r="A1519" i="6" s="1"/>
  <c r="A1520" i="6" s="1"/>
  <c r="A1521" i="6" s="1"/>
  <c r="A1522" i="6" s="1"/>
  <c r="A1523" i="6" s="1"/>
  <c r="A1524" i="6" s="1"/>
  <c r="A1525" i="6" s="1"/>
  <c r="A1526" i="6" s="1"/>
  <c r="A1527" i="6" s="1"/>
  <c r="A1528" i="6" s="1"/>
  <c r="A1529" i="6" s="1"/>
  <c r="A1530" i="6" s="1"/>
  <c r="A1531" i="6" s="1"/>
  <c r="A1532" i="6" s="1"/>
  <c r="A1533" i="6" s="1"/>
  <c r="A1493" i="6"/>
  <c r="P1483" i="6"/>
  <c r="O1483" i="6"/>
  <c r="N1483" i="6"/>
  <c r="O1476" i="6"/>
  <c r="H1470" i="6"/>
  <c r="G1470" i="6"/>
  <c r="E1470" i="6"/>
  <c r="D1469" i="6"/>
  <c r="M1463" i="6"/>
  <c r="E1463" i="6"/>
  <c r="M1462" i="6"/>
  <c r="E1462" i="6"/>
  <c r="M1461" i="6"/>
  <c r="E1461" i="6"/>
  <c r="L1460" i="6"/>
  <c r="D1460" i="6"/>
  <c r="M1452" i="6"/>
  <c r="M1451" i="6"/>
  <c r="M1450" i="6"/>
  <c r="A1407" i="6"/>
  <c r="A1408" i="6" s="1"/>
  <c r="A1409" i="6" s="1"/>
  <c r="A1410" i="6" s="1"/>
  <c r="A1411" i="6" s="1"/>
  <c r="A1412" i="6" s="1"/>
  <c r="A1413" i="6" s="1"/>
  <c r="A1414" i="6" s="1"/>
  <c r="A1415" i="6" s="1"/>
  <c r="A1416" i="6" s="1"/>
  <c r="A1417" i="6" s="1"/>
  <c r="A1418" i="6" s="1"/>
  <c r="A1419" i="6" s="1"/>
  <c r="A1420" i="6" s="1"/>
  <c r="A1421" i="6" s="1"/>
  <c r="A1422" i="6" s="1"/>
  <c r="A1423" i="6" s="1"/>
  <c r="A1424" i="6" s="1"/>
  <c r="A1425" i="6" s="1"/>
  <c r="A1426" i="6" s="1"/>
  <c r="A1427" i="6" s="1"/>
  <c r="A1428" i="6" s="1"/>
  <c r="A1429" i="6" s="1"/>
  <c r="A1430" i="6" s="1"/>
  <c r="A1431" i="6" s="1"/>
  <c r="A1432" i="6" s="1"/>
  <c r="A1433" i="6" s="1"/>
  <c r="A1434" i="6" s="1"/>
  <c r="A1435" i="6" s="1"/>
  <c r="A1436" i="6" s="1"/>
  <c r="A1437" i="6" s="1"/>
  <c r="A1438" i="6" s="1"/>
  <c r="A1439" i="6" s="1"/>
  <c r="A1440" i="6" s="1"/>
  <c r="A1441" i="6" s="1"/>
  <c r="A1442" i="6" s="1"/>
  <c r="A1443" i="6" s="1"/>
  <c r="A1444" i="6" s="1"/>
  <c r="A1445" i="6" s="1"/>
  <c r="A1446" i="6" s="1"/>
  <c r="A1406" i="6"/>
  <c r="P1396" i="6"/>
  <c r="O1396" i="6"/>
  <c r="N1396" i="6"/>
  <c r="O1389" i="6"/>
  <c r="H1383" i="6"/>
  <c r="G1383" i="6"/>
  <c r="E1383" i="6"/>
  <c r="D1382" i="6"/>
  <c r="M1376" i="6"/>
  <c r="E1376" i="6"/>
  <c r="M1375" i="6"/>
  <c r="E1375" i="6"/>
  <c r="M1374" i="6"/>
  <c r="E1374" i="6"/>
  <c r="L1373" i="6"/>
  <c r="D1373" i="6"/>
  <c r="M1365" i="6"/>
  <c r="M1364" i="6"/>
  <c r="M1363" i="6"/>
  <c r="A1320" i="6"/>
  <c r="A1321" i="6" s="1"/>
  <c r="A1322" i="6" s="1"/>
  <c r="A1323" i="6" s="1"/>
  <c r="A1324" i="6" s="1"/>
  <c r="A1325" i="6" s="1"/>
  <c r="A1326" i="6" s="1"/>
  <c r="A1327" i="6" s="1"/>
  <c r="A1328" i="6" s="1"/>
  <c r="A1329" i="6" s="1"/>
  <c r="A1330" i="6" s="1"/>
  <c r="A1331" i="6" s="1"/>
  <c r="A1332" i="6" s="1"/>
  <c r="A1333" i="6" s="1"/>
  <c r="A1334" i="6" s="1"/>
  <c r="A1335" i="6" s="1"/>
  <c r="A1336" i="6" s="1"/>
  <c r="A1337" i="6" s="1"/>
  <c r="A1338" i="6" s="1"/>
  <c r="A1339" i="6" s="1"/>
  <c r="A1340" i="6" s="1"/>
  <c r="A1341" i="6" s="1"/>
  <c r="A1342" i="6" s="1"/>
  <c r="A1343" i="6" s="1"/>
  <c r="A1344" i="6" s="1"/>
  <c r="A1345" i="6" s="1"/>
  <c r="A1346" i="6" s="1"/>
  <c r="A1347" i="6" s="1"/>
  <c r="A1348" i="6" s="1"/>
  <c r="A1349" i="6" s="1"/>
  <c r="A1350" i="6" s="1"/>
  <c r="A1351" i="6" s="1"/>
  <c r="A1352" i="6" s="1"/>
  <c r="A1353" i="6" s="1"/>
  <c r="A1354" i="6" s="1"/>
  <c r="A1355" i="6" s="1"/>
  <c r="A1356" i="6" s="1"/>
  <c r="A1357" i="6" s="1"/>
  <c r="A1358" i="6" s="1"/>
  <c r="A1359" i="6" s="1"/>
  <c r="A1319" i="6"/>
  <c r="P1309" i="6"/>
  <c r="O1309" i="6"/>
  <c r="N1309" i="6"/>
  <c r="O1302" i="6"/>
  <c r="H1296" i="6"/>
  <c r="G1296" i="6"/>
  <c r="E1296" i="6"/>
  <c r="D1295" i="6"/>
  <c r="M1290" i="6"/>
  <c r="E1290" i="6"/>
  <c r="M1289" i="6"/>
  <c r="E1289" i="6"/>
  <c r="M1288" i="6"/>
  <c r="E1288" i="6"/>
  <c r="L1287" i="6"/>
  <c r="D1287" i="6"/>
  <c r="M1279" i="6"/>
  <c r="M1278" i="6"/>
  <c r="M1277" i="6"/>
  <c r="A1234" i="6"/>
  <c r="A1235" i="6" s="1"/>
  <c r="A1236" i="6" s="1"/>
  <c r="A1237" i="6" s="1"/>
  <c r="A1238" i="6" s="1"/>
  <c r="A1239" i="6" s="1"/>
  <c r="A1240" i="6" s="1"/>
  <c r="A1241" i="6" s="1"/>
  <c r="A1242" i="6" s="1"/>
  <c r="A1243" i="6" s="1"/>
  <c r="A1244" i="6" s="1"/>
  <c r="A1245" i="6" s="1"/>
  <c r="A1246" i="6" s="1"/>
  <c r="A1247" i="6" s="1"/>
  <c r="A1248" i="6" s="1"/>
  <c r="A1249" i="6" s="1"/>
  <c r="A1250" i="6" s="1"/>
  <c r="A1251" i="6" s="1"/>
  <c r="A1252" i="6" s="1"/>
  <c r="A1253" i="6" s="1"/>
  <c r="A1254" i="6" s="1"/>
  <c r="A1255" i="6" s="1"/>
  <c r="A1256" i="6" s="1"/>
  <c r="A1257" i="6" s="1"/>
  <c r="A1258" i="6" s="1"/>
  <c r="A1259" i="6" s="1"/>
  <c r="A1260" i="6" s="1"/>
  <c r="A1261" i="6" s="1"/>
  <c r="A1262" i="6" s="1"/>
  <c r="A1263" i="6" s="1"/>
  <c r="A1264" i="6" s="1"/>
  <c r="A1265" i="6" s="1"/>
  <c r="A1266" i="6" s="1"/>
  <c r="A1267" i="6" s="1"/>
  <c r="A1268" i="6" s="1"/>
  <c r="A1269" i="6" s="1"/>
  <c r="A1270" i="6" s="1"/>
  <c r="A1271" i="6" s="1"/>
  <c r="A1272" i="6" s="1"/>
  <c r="A1273" i="6" s="1"/>
  <c r="A1233" i="6"/>
  <c r="P1223" i="6"/>
  <c r="O1223" i="6"/>
  <c r="N1223" i="6"/>
  <c r="O1216" i="6"/>
  <c r="H1210" i="6"/>
  <c r="G1210" i="6"/>
  <c r="E1210" i="6"/>
  <c r="D1209" i="6"/>
  <c r="M1205" i="6"/>
  <c r="E1205" i="6"/>
  <c r="M1204" i="6"/>
  <c r="E1204" i="6"/>
  <c r="M1203" i="6"/>
  <c r="E1203" i="6"/>
  <c r="L1202" i="6"/>
  <c r="D1202" i="6"/>
  <c r="M1194" i="6"/>
  <c r="M1193" i="6"/>
  <c r="M1192" i="6"/>
  <c r="A1149" i="6"/>
  <c r="A1150" i="6" s="1"/>
  <c r="A1151" i="6" s="1"/>
  <c r="A1152" i="6" s="1"/>
  <c r="A1153" i="6" s="1"/>
  <c r="A1154" i="6" s="1"/>
  <c r="A1155" i="6" s="1"/>
  <c r="A1156" i="6" s="1"/>
  <c r="A1157" i="6" s="1"/>
  <c r="A1158" i="6" s="1"/>
  <c r="A1159" i="6" s="1"/>
  <c r="A1160" i="6" s="1"/>
  <c r="A1161" i="6" s="1"/>
  <c r="A1162" i="6" s="1"/>
  <c r="A1163" i="6" s="1"/>
  <c r="A1164" i="6" s="1"/>
  <c r="A1165" i="6" s="1"/>
  <c r="A1166" i="6" s="1"/>
  <c r="A1167" i="6" s="1"/>
  <c r="A1168" i="6" s="1"/>
  <c r="A1169" i="6" s="1"/>
  <c r="A1170" i="6" s="1"/>
  <c r="A1171" i="6" s="1"/>
  <c r="A1172" i="6" s="1"/>
  <c r="A1173" i="6" s="1"/>
  <c r="A1174" i="6" s="1"/>
  <c r="A1175" i="6" s="1"/>
  <c r="A1176" i="6" s="1"/>
  <c r="A1177" i="6" s="1"/>
  <c r="A1178" i="6" s="1"/>
  <c r="A1179" i="6" s="1"/>
  <c r="A1180" i="6" s="1"/>
  <c r="A1181" i="6" s="1"/>
  <c r="A1182" i="6" s="1"/>
  <c r="A1183" i="6" s="1"/>
  <c r="A1184" i="6" s="1"/>
  <c r="A1185" i="6" s="1"/>
  <c r="A1186" i="6" s="1"/>
  <c r="A1187" i="6" s="1"/>
  <c r="A1188" i="6" s="1"/>
  <c r="A1148" i="6"/>
  <c r="P1138" i="6"/>
  <c r="O1138" i="6"/>
  <c r="N1138" i="6"/>
  <c r="O1131" i="6"/>
  <c r="H1125" i="6"/>
  <c r="G1125" i="6"/>
  <c r="E1125" i="6"/>
  <c r="D1124" i="6"/>
  <c r="M1119" i="6"/>
  <c r="E1119" i="6"/>
  <c r="M1118" i="6"/>
  <c r="E1118" i="6"/>
  <c r="M1117" i="6"/>
  <c r="E1117" i="6"/>
  <c r="L1116" i="6"/>
  <c r="D1116" i="6"/>
  <c r="M1108" i="6"/>
  <c r="M1107" i="6"/>
  <c r="M1106" i="6"/>
  <c r="A1072" i="6"/>
  <c r="A1073" i="6" s="1"/>
  <c r="A1074" i="6" s="1"/>
  <c r="A1075" i="6" s="1"/>
  <c r="A1076" i="6" s="1"/>
  <c r="A1077" i="6" s="1"/>
  <c r="A1078" i="6" s="1"/>
  <c r="A1079" i="6" s="1"/>
  <c r="A1080" i="6" s="1"/>
  <c r="A1081" i="6" s="1"/>
  <c r="A1082" i="6" s="1"/>
  <c r="A1083" i="6" s="1"/>
  <c r="A1084" i="6" s="1"/>
  <c r="A1085" i="6" s="1"/>
  <c r="A1086" i="6" s="1"/>
  <c r="A1087" i="6" s="1"/>
  <c r="A1088" i="6" s="1"/>
  <c r="A1089" i="6" s="1"/>
  <c r="A1090" i="6" s="1"/>
  <c r="A1091" i="6" s="1"/>
  <c r="A1092" i="6" s="1"/>
  <c r="A1093" i="6" s="1"/>
  <c r="A1094" i="6" s="1"/>
  <c r="A1095" i="6" s="1"/>
  <c r="A1096" i="6" s="1"/>
  <c r="A1097" i="6" s="1"/>
  <c r="A1098" i="6" s="1"/>
  <c r="A1099" i="6" s="1"/>
  <c r="A1100" i="6" s="1"/>
  <c r="A1101" i="6" s="1"/>
  <c r="A1102" i="6" s="1"/>
  <c r="A1063" i="6"/>
  <c r="A1064" i="6" s="1"/>
  <c r="P1052" i="6"/>
  <c r="O1052" i="6"/>
  <c r="N1052" i="6"/>
  <c r="O1045" i="6"/>
  <c r="H1039" i="6"/>
  <c r="G1039" i="6"/>
  <c r="E1039" i="6"/>
  <c r="D1038" i="6"/>
  <c r="M1033" i="6"/>
  <c r="E1033" i="6"/>
  <c r="M1032" i="6"/>
  <c r="E1032" i="6"/>
  <c r="M1031" i="6"/>
  <c r="E1031" i="6"/>
  <c r="L1030" i="6"/>
  <c r="D1030" i="6"/>
  <c r="M1022" i="6"/>
  <c r="M1021" i="6"/>
  <c r="M1020" i="6"/>
  <c r="A977" i="6"/>
  <c r="A978" i="6" s="1"/>
  <c r="A979" i="6" s="1"/>
  <c r="A980" i="6" s="1"/>
  <c r="A981" i="6" s="1"/>
  <c r="A982" i="6" s="1"/>
  <c r="A983" i="6" s="1"/>
  <c r="A984" i="6" s="1"/>
  <c r="A985" i="6" s="1"/>
  <c r="A986" i="6" s="1"/>
  <c r="A987" i="6" s="1"/>
  <c r="A988" i="6" s="1"/>
  <c r="A989" i="6" s="1"/>
  <c r="A990" i="6" s="1"/>
  <c r="A991" i="6" s="1"/>
  <c r="A992" i="6" s="1"/>
  <c r="A993" i="6" s="1"/>
  <c r="A994" i="6" s="1"/>
  <c r="A995" i="6" s="1"/>
  <c r="A996" i="6" s="1"/>
  <c r="A997" i="6" s="1"/>
  <c r="A998" i="6" s="1"/>
  <c r="A999" i="6" s="1"/>
  <c r="A1000" i="6" s="1"/>
  <c r="A1001" i="6" s="1"/>
  <c r="A1002" i="6" s="1"/>
  <c r="A1003" i="6" s="1"/>
  <c r="A1004" i="6" s="1"/>
  <c r="A1005" i="6" s="1"/>
  <c r="A1006" i="6" s="1"/>
  <c r="A1007" i="6" s="1"/>
  <c r="A1008" i="6" s="1"/>
  <c r="A1009" i="6" s="1"/>
  <c r="A1010" i="6" s="1"/>
  <c r="A1011" i="6" s="1"/>
  <c r="A1012" i="6" s="1"/>
  <c r="A1013" i="6" s="1"/>
  <c r="A1014" i="6" s="1"/>
  <c r="A1015" i="6" s="1"/>
  <c r="A1016" i="6" s="1"/>
  <c r="A976" i="6"/>
  <c r="P966" i="6"/>
  <c r="O966" i="6"/>
  <c r="N966" i="6"/>
  <c r="O959" i="6"/>
  <c r="H953" i="6"/>
  <c r="G953" i="6"/>
  <c r="E953" i="6"/>
  <c r="D952" i="6"/>
  <c r="M946" i="6"/>
  <c r="E946" i="6"/>
  <c r="M945" i="6"/>
  <c r="E945" i="6"/>
  <c r="M944" i="6"/>
  <c r="E944" i="6"/>
  <c r="L943" i="6"/>
  <c r="D943" i="6"/>
  <c r="M935" i="6"/>
  <c r="M934" i="6"/>
  <c r="M933" i="6"/>
  <c r="A890" i="6"/>
  <c r="A891" i="6" s="1"/>
  <c r="A892" i="6" s="1"/>
  <c r="A893" i="6" s="1"/>
  <c r="A894" i="6" s="1"/>
  <c r="A895" i="6" s="1"/>
  <c r="A896" i="6" s="1"/>
  <c r="A897" i="6" s="1"/>
  <c r="A898" i="6" s="1"/>
  <c r="A899" i="6" s="1"/>
  <c r="A900" i="6" s="1"/>
  <c r="A901" i="6" s="1"/>
  <c r="A902" i="6" s="1"/>
  <c r="A903" i="6" s="1"/>
  <c r="A904" i="6" s="1"/>
  <c r="A905" i="6" s="1"/>
  <c r="A906" i="6" s="1"/>
  <c r="A907" i="6" s="1"/>
  <c r="A908" i="6" s="1"/>
  <c r="A909" i="6" s="1"/>
  <c r="A910" i="6" s="1"/>
  <c r="A911" i="6" s="1"/>
  <c r="A912" i="6" s="1"/>
  <c r="A913" i="6" s="1"/>
  <c r="A914" i="6" s="1"/>
  <c r="A915" i="6" s="1"/>
  <c r="A916" i="6" s="1"/>
  <c r="A917" i="6" s="1"/>
  <c r="A918" i="6" s="1"/>
  <c r="A919" i="6" s="1"/>
  <c r="A920" i="6" s="1"/>
  <c r="A921" i="6" s="1"/>
  <c r="A922" i="6" s="1"/>
  <c r="A923" i="6" s="1"/>
  <c r="A924" i="6" s="1"/>
  <c r="A925" i="6" s="1"/>
  <c r="A926" i="6" s="1"/>
  <c r="A927" i="6" s="1"/>
  <c r="A928" i="6" s="1"/>
  <c r="A929" i="6" s="1"/>
  <c r="A889" i="6"/>
  <c r="P879" i="6"/>
  <c r="O879" i="6"/>
  <c r="N879" i="6"/>
  <c r="O872" i="6"/>
  <c r="H866" i="6"/>
  <c r="G866" i="6"/>
  <c r="E866" i="6"/>
  <c r="D865" i="6"/>
  <c r="M859" i="6"/>
  <c r="E859" i="6"/>
  <c r="M858" i="6"/>
  <c r="E858" i="6"/>
  <c r="M857" i="6"/>
  <c r="E857" i="6"/>
  <c r="L856" i="6"/>
  <c r="D856" i="6"/>
  <c r="M848" i="6"/>
  <c r="M847" i="6"/>
  <c r="M846" i="6"/>
  <c r="A803" i="6"/>
  <c r="A804" i="6" s="1"/>
  <c r="A805" i="6" s="1"/>
  <c r="A806" i="6" s="1"/>
  <c r="A807" i="6" s="1"/>
  <c r="A808" i="6" s="1"/>
  <c r="A809" i="6" s="1"/>
  <c r="A810" i="6" s="1"/>
  <c r="A811" i="6" s="1"/>
  <c r="A812" i="6" s="1"/>
  <c r="A813" i="6" s="1"/>
  <c r="A814" i="6" s="1"/>
  <c r="A815" i="6" s="1"/>
  <c r="A816" i="6" s="1"/>
  <c r="A817" i="6" s="1"/>
  <c r="A818" i="6" s="1"/>
  <c r="A819" i="6" s="1"/>
  <c r="A820" i="6" s="1"/>
  <c r="A821" i="6" s="1"/>
  <c r="A822" i="6" s="1"/>
  <c r="A823" i="6" s="1"/>
  <c r="A824" i="6" s="1"/>
  <c r="A825" i="6" s="1"/>
  <c r="A826" i="6" s="1"/>
  <c r="A827" i="6" s="1"/>
  <c r="A828" i="6" s="1"/>
  <c r="A829" i="6" s="1"/>
  <c r="A830" i="6" s="1"/>
  <c r="A831" i="6" s="1"/>
  <c r="A832" i="6" s="1"/>
  <c r="A833" i="6" s="1"/>
  <c r="A834" i="6" s="1"/>
  <c r="A835" i="6" s="1"/>
  <c r="A836" i="6" s="1"/>
  <c r="A837" i="6" s="1"/>
  <c r="A838" i="6" s="1"/>
  <c r="A839" i="6" s="1"/>
  <c r="A840" i="6" s="1"/>
  <c r="A841" i="6" s="1"/>
  <c r="A842" i="6" s="1"/>
  <c r="A802" i="6"/>
  <c r="P792" i="6"/>
  <c r="O792" i="6"/>
  <c r="N792" i="6"/>
  <c r="O785" i="6"/>
  <c r="H779" i="6"/>
  <c r="G779" i="6"/>
  <c r="E779" i="6"/>
  <c r="D778" i="6"/>
  <c r="M772" i="6"/>
  <c r="E772" i="6"/>
  <c r="M771" i="6"/>
  <c r="E771" i="6"/>
  <c r="M770" i="6"/>
  <c r="E770" i="6"/>
  <c r="L769" i="6"/>
  <c r="D769" i="6"/>
  <c r="M761" i="6"/>
  <c r="M760" i="6"/>
  <c r="M759" i="6"/>
  <c r="A716" i="6"/>
  <c r="A717" i="6" s="1"/>
  <c r="A718" i="6" s="1"/>
  <c r="A719" i="6" s="1"/>
  <c r="A720" i="6" s="1"/>
  <c r="A721" i="6" s="1"/>
  <c r="A722" i="6" s="1"/>
  <c r="A723" i="6" s="1"/>
  <c r="A724" i="6" s="1"/>
  <c r="A725" i="6" s="1"/>
  <c r="A726" i="6" s="1"/>
  <c r="A727" i="6" s="1"/>
  <c r="A728" i="6" s="1"/>
  <c r="A729" i="6" s="1"/>
  <c r="A730" i="6" s="1"/>
  <c r="A731" i="6" s="1"/>
  <c r="A732" i="6" s="1"/>
  <c r="A733" i="6" s="1"/>
  <c r="A734" i="6" s="1"/>
  <c r="A735" i="6" s="1"/>
  <c r="A736" i="6" s="1"/>
  <c r="A737" i="6" s="1"/>
  <c r="A738" i="6" s="1"/>
  <c r="A739" i="6" s="1"/>
  <c r="A740" i="6" s="1"/>
  <c r="A741" i="6" s="1"/>
  <c r="A742" i="6" s="1"/>
  <c r="A743" i="6" s="1"/>
  <c r="A744" i="6" s="1"/>
  <c r="A745" i="6" s="1"/>
  <c r="A746" i="6" s="1"/>
  <c r="A747" i="6" s="1"/>
  <c r="A748" i="6" s="1"/>
  <c r="A749" i="6" s="1"/>
  <c r="A750" i="6" s="1"/>
  <c r="A751" i="6" s="1"/>
  <c r="A752" i="6" s="1"/>
  <c r="A753" i="6" s="1"/>
  <c r="A754" i="6" s="1"/>
  <c r="A755" i="6" s="1"/>
  <c r="A715" i="6"/>
  <c r="P705" i="6"/>
  <c r="O705" i="6"/>
  <c r="N705" i="6"/>
  <c r="O698" i="6"/>
  <c r="H692" i="6"/>
  <c r="G692" i="6"/>
  <c r="E692" i="6"/>
  <c r="D691" i="6"/>
  <c r="M686" i="6"/>
  <c r="E686" i="6"/>
  <c r="M685" i="6"/>
  <c r="E685" i="6"/>
  <c r="M684" i="6"/>
  <c r="E684" i="6"/>
  <c r="L683" i="6"/>
  <c r="D683" i="6"/>
  <c r="M675" i="6"/>
  <c r="M674" i="6"/>
  <c r="M673" i="6"/>
  <c r="A630" i="6"/>
  <c r="A631" i="6" s="1"/>
  <c r="A632" i="6" s="1"/>
  <c r="A633" i="6" s="1"/>
  <c r="A634" i="6" s="1"/>
  <c r="A635" i="6" s="1"/>
  <c r="A636" i="6" s="1"/>
  <c r="A637" i="6" s="1"/>
  <c r="A638" i="6" s="1"/>
  <c r="A639" i="6" s="1"/>
  <c r="A640" i="6" s="1"/>
  <c r="A641" i="6" s="1"/>
  <c r="A642" i="6" s="1"/>
  <c r="A643" i="6" s="1"/>
  <c r="A644" i="6" s="1"/>
  <c r="A645" i="6" s="1"/>
  <c r="A646" i="6" s="1"/>
  <c r="A647" i="6" s="1"/>
  <c r="A648" i="6" s="1"/>
  <c r="A649" i="6" s="1"/>
  <c r="A650" i="6" s="1"/>
  <c r="A651" i="6" s="1"/>
  <c r="A652" i="6" s="1"/>
  <c r="A653" i="6" s="1"/>
  <c r="A654" i="6" s="1"/>
  <c r="A655" i="6" s="1"/>
  <c r="A656" i="6" s="1"/>
  <c r="A657" i="6" s="1"/>
  <c r="A658" i="6" s="1"/>
  <c r="A659" i="6" s="1"/>
  <c r="A660" i="6" s="1"/>
  <c r="A661" i="6" s="1"/>
  <c r="A662" i="6" s="1"/>
  <c r="A663" i="6" s="1"/>
  <c r="A664" i="6" s="1"/>
  <c r="A665" i="6" s="1"/>
  <c r="A666" i="6" s="1"/>
  <c r="A667" i="6" s="1"/>
  <c r="A668" i="6" s="1"/>
  <c r="A669" i="6" s="1"/>
  <c r="A629" i="6"/>
  <c r="P619" i="6"/>
  <c r="O619" i="6"/>
  <c r="N619" i="6"/>
  <c r="O612" i="6"/>
  <c r="H606" i="6"/>
  <c r="G606" i="6"/>
  <c r="E606" i="6"/>
  <c r="D605" i="6"/>
  <c r="M601" i="6"/>
  <c r="E601" i="6"/>
  <c r="M600" i="6"/>
  <c r="E600" i="6"/>
  <c r="M599" i="6"/>
  <c r="E599" i="6"/>
  <c r="L598" i="6"/>
  <c r="D598" i="6"/>
  <c r="M590" i="6"/>
  <c r="M589" i="6"/>
  <c r="M588" i="6"/>
  <c r="A545" i="6"/>
  <c r="A546" i="6" s="1"/>
  <c r="A547" i="6" s="1"/>
  <c r="A548" i="6" s="1"/>
  <c r="A549" i="6" s="1"/>
  <c r="A550" i="6" s="1"/>
  <c r="A551" i="6" s="1"/>
  <c r="A552" i="6" s="1"/>
  <c r="A553" i="6" s="1"/>
  <c r="A554" i="6" s="1"/>
  <c r="A555" i="6" s="1"/>
  <c r="A556" i="6" s="1"/>
  <c r="A557" i="6" s="1"/>
  <c r="A558" i="6" s="1"/>
  <c r="A559" i="6" s="1"/>
  <c r="A560" i="6" s="1"/>
  <c r="A561" i="6" s="1"/>
  <c r="A562" i="6" s="1"/>
  <c r="A563" i="6" s="1"/>
  <c r="A564" i="6" s="1"/>
  <c r="A565" i="6" s="1"/>
  <c r="A566" i="6" s="1"/>
  <c r="A567" i="6" s="1"/>
  <c r="A568" i="6" s="1"/>
  <c r="A569" i="6" s="1"/>
  <c r="A570" i="6" s="1"/>
  <c r="A571" i="6" s="1"/>
  <c r="A572" i="6" s="1"/>
  <c r="A573" i="6" s="1"/>
  <c r="A574" i="6" s="1"/>
  <c r="A575" i="6" s="1"/>
  <c r="A576" i="6" s="1"/>
  <c r="A577" i="6" s="1"/>
  <c r="A578" i="6" s="1"/>
  <c r="A579" i="6" s="1"/>
  <c r="A580" i="6" s="1"/>
  <c r="A581" i="6" s="1"/>
  <c r="A582" i="6" s="1"/>
  <c r="A583" i="6" s="1"/>
  <c r="A584" i="6" s="1"/>
  <c r="A544" i="6"/>
  <c r="P534" i="6"/>
  <c r="O534" i="6"/>
  <c r="N534" i="6"/>
  <c r="O527" i="6"/>
  <c r="H521" i="6"/>
  <c r="G521" i="6"/>
  <c r="E521" i="6"/>
  <c r="D520" i="6"/>
  <c r="M515" i="6"/>
  <c r="E515" i="6"/>
  <c r="M514" i="6"/>
  <c r="E514" i="6"/>
  <c r="M513" i="6"/>
  <c r="E513" i="6"/>
  <c r="L512" i="6"/>
  <c r="D512" i="6"/>
  <c r="M504" i="6"/>
  <c r="M503" i="6"/>
  <c r="M502" i="6"/>
  <c r="A468" i="6"/>
  <c r="A469" i="6" s="1"/>
  <c r="A470" i="6" s="1"/>
  <c r="A471" i="6" s="1"/>
  <c r="A472" i="6" s="1"/>
  <c r="A473" i="6" s="1"/>
  <c r="A474" i="6" s="1"/>
  <c r="A475" i="6" s="1"/>
  <c r="A476" i="6" s="1"/>
  <c r="A477" i="6" s="1"/>
  <c r="A478" i="6" s="1"/>
  <c r="A479" i="6" s="1"/>
  <c r="A480" i="6" s="1"/>
  <c r="A481" i="6" s="1"/>
  <c r="A482" i="6" s="1"/>
  <c r="A483" i="6" s="1"/>
  <c r="A484" i="6" s="1"/>
  <c r="A485" i="6" s="1"/>
  <c r="A486" i="6" s="1"/>
  <c r="A487" i="6" s="1"/>
  <c r="A488" i="6" s="1"/>
  <c r="A489" i="6" s="1"/>
  <c r="A490" i="6" s="1"/>
  <c r="A491" i="6" s="1"/>
  <c r="A492" i="6" s="1"/>
  <c r="A493" i="6" s="1"/>
  <c r="A494" i="6" s="1"/>
  <c r="A495" i="6" s="1"/>
  <c r="A496" i="6" s="1"/>
  <c r="A497" i="6" s="1"/>
  <c r="A498" i="6" s="1"/>
  <c r="A459" i="6"/>
  <c r="A460" i="6" s="1"/>
  <c r="P448" i="6"/>
  <c r="O448" i="6"/>
  <c r="N448" i="6"/>
  <c r="O441" i="6"/>
  <c r="H435" i="6"/>
  <c r="G435" i="6"/>
  <c r="E435" i="6"/>
  <c r="D434" i="6"/>
  <c r="M428" i="6"/>
  <c r="E428" i="6"/>
  <c r="M427" i="6"/>
  <c r="E427" i="6"/>
  <c r="M426" i="6"/>
  <c r="E426" i="6"/>
  <c r="L425" i="6"/>
  <c r="D425" i="6"/>
  <c r="M417" i="6"/>
  <c r="M416" i="6"/>
  <c r="M415" i="6"/>
  <c r="A372" i="6"/>
  <c r="A373" i="6" s="1"/>
  <c r="A374" i="6" s="1"/>
  <c r="A375" i="6" s="1"/>
  <c r="A376" i="6" s="1"/>
  <c r="A377" i="6" s="1"/>
  <c r="A378" i="6" s="1"/>
  <c r="A379" i="6" s="1"/>
  <c r="A380" i="6" s="1"/>
  <c r="A381" i="6" s="1"/>
  <c r="A382" i="6" s="1"/>
  <c r="A383" i="6" s="1"/>
  <c r="A384" i="6" s="1"/>
  <c r="A385" i="6" s="1"/>
  <c r="A386" i="6" s="1"/>
  <c r="A387" i="6" s="1"/>
  <c r="A388" i="6" s="1"/>
  <c r="A389" i="6" s="1"/>
  <c r="A390" i="6" s="1"/>
  <c r="A391" i="6" s="1"/>
  <c r="A392" i="6" s="1"/>
  <c r="A393" i="6" s="1"/>
  <c r="A394" i="6" s="1"/>
  <c r="A395" i="6" s="1"/>
  <c r="A396" i="6" s="1"/>
  <c r="A397" i="6" s="1"/>
  <c r="A398" i="6" s="1"/>
  <c r="A399" i="6" s="1"/>
  <c r="A400" i="6" s="1"/>
  <c r="A401" i="6" s="1"/>
  <c r="A402" i="6" s="1"/>
  <c r="A403" i="6" s="1"/>
  <c r="A404" i="6" s="1"/>
  <c r="A405" i="6" s="1"/>
  <c r="A406" i="6" s="1"/>
  <c r="A407" i="6" s="1"/>
  <c r="A408" i="6" s="1"/>
  <c r="A409" i="6" s="1"/>
  <c r="A410" i="6" s="1"/>
  <c r="A411" i="6" s="1"/>
  <c r="A371" i="6"/>
  <c r="P361" i="6"/>
  <c r="O361" i="6"/>
  <c r="N361" i="6"/>
  <c r="O354" i="6"/>
  <c r="H348" i="6"/>
  <c r="G348" i="6"/>
  <c r="E348" i="6"/>
  <c r="D347" i="6"/>
  <c r="M341" i="6"/>
  <c r="E341" i="6"/>
  <c r="M340" i="6"/>
  <c r="E340" i="6"/>
  <c r="M339" i="6"/>
  <c r="E339" i="6"/>
  <c r="L338" i="6"/>
  <c r="D338" i="6"/>
  <c r="M330" i="6"/>
  <c r="M329" i="6"/>
  <c r="M328" i="6"/>
  <c r="A285" i="6"/>
  <c r="A286" i="6" s="1"/>
  <c r="A287" i="6" s="1"/>
  <c r="A288" i="6" s="1"/>
  <c r="A289" i="6" s="1"/>
  <c r="A290" i="6" s="1"/>
  <c r="A291" i="6" s="1"/>
  <c r="A292" i="6" s="1"/>
  <c r="A293" i="6" s="1"/>
  <c r="A294" i="6" s="1"/>
  <c r="A295" i="6" s="1"/>
  <c r="A296" i="6" s="1"/>
  <c r="A297" i="6" s="1"/>
  <c r="A298" i="6" s="1"/>
  <c r="A299" i="6" s="1"/>
  <c r="A300" i="6" s="1"/>
  <c r="A301" i="6" s="1"/>
  <c r="A302" i="6" s="1"/>
  <c r="A303" i="6" s="1"/>
  <c r="A304" i="6" s="1"/>
  <c r="A305" i="6" s="1"/>
  <c r="A306" i="6" s="1"/>
  <c r="A307" i="6" s="1"/>
  <c r="A308" i="6" s="1"/>
  <c r="A309" i="6" s="1"/>
  <c r="A310" i="6" s="1"/>
  <c r="A311" i="6" s="1"/>
  <c r="A312" i="6" s="1"/>
  <c r="A313" i="6" s="1"/>
  <c r="A314" i="6" s="1"/>
  <c r="A315" i="6" s="1"/>
  <c r="A316" i="6" s="1"/>
  <c r="A317" i="6" s="1"/>
  <c r="A318" i="6" s="1"/>
  <c r="A319" i="6" s="1"/>
  <c r="A320" i="6" s="1"/>
  <c r="A321" i="6" s="1"/>
  <c r="A322" i="6" s="1"/>
  <c r="A323" i="6" s="1"/>
  <c r="A324" i="6" s="1"/>
  <c r="A284" i="6"/>
  <c r="P274" i="6"/>
  <c r="O274" i="6"/>
  <c r="N274" i="6"/>
  <c r="O267" i="6"/>
  <c r="H261" i="6"/>
  <c r="G261" i="6"/>
  <c r="E261" i="6"/>
  <c r="D260" i="6"/>
  <c r="M255" i="6"/>
  <c r="E255" i="6"/>
  <c r="M254" i="6"/>
  <c r="E254" i="6"/>
  <c r="M253" i="6"/>
  <c r="E253" i="6"/>
  <c r="L252" i="6"/>
  <c r="D252" i="6"/>
  <c r="M244" i="6"/>
  <c r="M243" i="6"/>
  <c r="M242" i="6"/>
  <c r="A199" i="6"/>
  <c r="A200" i="6" s="1"/>
  <c r="A201" i="6" s="1"/>
  <c r="A202" i="6" s="1"/>
  <c r="A203" i="6" s="1"/>
  <c r="A204" i="6" s="1"/>
  <c r="A205" i="6" s="1"/>
  <c r="A206" i="6" s="1"/>
  <c r="A207" i="6" s="1"/>
  <c r="A208" i="6" s="1"/>
  <c r="A209" i="6" s="1"/>
  <c r="A210" i="6" s="1"/>
  <c r="A211" i="6" s="1"/>
  <c r="A212" i="6" s="1"/>
  <c r="A213" i="6" s="1"/>
  <c r="A214" i="6" s="1"/>
  <c r="A215" i="6" s="1"/>
  <c r="A216" i="6" s="1"/>
  <c r="A217" i="6" s="1"/>
  <c r="A218" i="6" s="1"/>
  <c r="A219" i="6" s="1"/>
  <c r="A220" i="6" s="1"/>
  <c r="A221" i="6" s="1"/>
  <c r="A222" i="6" s="1"/>
  <c r="A223" i="6" s="1"/>
  <c r="A224" i="6" s="1"/>
  <c r="A225" i="6" s="1"/>
  <c r="A226" i="6" s="1"/>
  <c r="A227" i="6" s="1"/>
  <c r="A228" i="6" s="1"/>
  <c r="A229" i="6" s="1"/>
  <c r="A230" i="6" s="1"/>
  <c r="A231" i="6" s="1"/>
  <c r="A232" i="6" s="1"/>
  <c r="A233" i="6" s="1"/>
  <c r="A234" i="6" s="1"/>
  <c r="A235" i="6" s="1"/>
  <c r="A236" i="6" s="1"/>
  <c r="A237" i="6" s="1"/>
  <c r="A238" i="6" s="1"/>
  <c r="A198" i="6"/>
  <c r="P188" i="6"/>
  <c r="O188" i="6"/>
  <c r="N188" i="6"/>
  <c r="O181" i="6"/>
  <c r="H175" i="6"/>
  <c r="G175" i="6"/>
  <c r="E175" i="6"/>
  <c r="D174" i="6"/>
  <c r="M170" i="6"/>
  <c r="E170" i="6"/>
  <c r="M169" i="6"/>
  <c r="E169" i="6"/>
  <c r="M168" i="6"/>
  <c r="E168" i="6"/>
  <c r="L167" i="6"/>
  <c r="D167" i="6"/>
  <c r="M159" i="6"/>
  <c r="M158" i="6"/>
  <c r="M157" i="6"/>
  <c r="A114" i="6"/>
  <c r="A115" i="6" s="1"/>
  <c r="A116" i="6" s="1"/>
  <c r="A117" i="6" s="1"/>
  <c r="A118" i="6" s="1"/>
  <c r="A119" i="6" s="1"/>
  <c r="A120" i="6" s="1"/>
  <c r="A121" i="6" s="1"/>
  <c r="A122" i="6" s="1"/>
  <c r="A123" i="6" s="1"/>
  <c r="A124" i="6" s="1"/>
  <c r="A125" i="6" s="1"/>
  <c r="A126" i="6" s="1"/>
  <c r="A127" i="6" s="1"/>
  <c r="A128" i="6" s="1"/>
  <c r="A129" i="6" s="1"/>
  <c r="A130" i="6" s="1"/>
  <c r="A131" i="6" s="1"/>
  <c r="A132" i="6" s="1"/>
  <c r="A133" i="6" s="1"/>
  <c r="A134" i="6" s="1"/>
  <c r="A135" i="6" s="1"/>
  <c r="A136" i="6" s="1"/>
  <c r="A137" i="6" s="1"/>
  <c r="A138" i="6" s="1"/>
  <c r="A139" i="6" s="1"/>
  <c r="A140" i="6" s="1"/>
  <c r="A141" i="6" s="1"/>
  <c r="A142" i="6" s="1"/>
  <c r="A143" i="6" s="1"/>
  <c r="A144" i="6" s="1"/>
  <c r="A145" i="6" s="1"/>
  <c r="A146" i="6" s="1"/>
  <c r="A147" i="6" s="1"/>
  <c r="A148" i="6" s="1"/>
  <c r="A149" i="6" s="1"/>
  <c r="A150" i="6" s="1"/>
  <c r="A151" i="6" s="1"/>
  <c r="A152" i="6" s="1"/>
  <c r="A153" i="6" s="1"/>
  <c r="A113" i="6"/>
  <c r="P103" i="6"/>
  <c r="O103" i="6"/>
  <c r="N103" i="6"/>
  <c r="O96" i="6"/>
  <c r="H90" i="6"/>
  <c r="G90" i="6"/>
  <c r="E90" i="6"/>
  <c r="D89" i="6"/>
  <c r="M84" i="6"/>
  <c r="E84" i="6"/>
  <c r="M83" i="6"/>
  <c r="E83" i="6"/>
  <c r="M82" i="6"/>
  <c r="E82" i="6"/>
  <c r="L81" i="6"/>
  <c r="D81" i="6"/>
  <c r="M73" i="6"/>
  <c r="M72" i="6"/>
  <c r="M71" i="6"/>
  <c r="A28" i="6"/>
  <c r="A29" i="6" s="1"/>
  <c r="A30" i="6" s="1"/>
  <c r="A31" i="6" s="1"/>
  <c r="A32" i="6" s="1"/>
  <c r="A33" i="6" s="1"/>
  <c r="A34" i="6" s="1"/>
  <c r="A35" i="6" s="1"/>
  <c r="A36" i="6" s="1"/>
  <c r="A37" i="6" s="1"/>
  <c r="A38" i="6" s="1"/>
  <c r="A39" i="6" s="1"/>
  <c r="A40" i="6" s="1"/>
  <c r="A41" i="6" s="1"/>
  <c r="A42" i="6" s="1"/>
  <c r="A43" i="6" s="1"/>
  <c r="A44" i="6" s="1"/>
  <c r="A45" i="6" s="1"/>
  <c r="A46" i="6" s="1"/>
  <c r="A47" i="6" s="1"/>
  <c r="A48" i="6" s="1"/>
  <c r="A49" i="6" s="1"/>
  <c r="A50" i="6" s="1"/>
  <c r="A51" i="6" s="1"/>
  <c r="A52" i="6" s="1"/>
  <c r="A53" i="6" s="1"/>
  <c r="A54" i="6" s="1"/>
  <c r="A55" i="6" s="1"/>
  <c r="A56" i="6" s="1"/>
  <c r="A57" i="6" s="1"/>
  <c r="A58" i="6" s="1"/>
  <c r="A59" i="6" s="1"/>
  <c r="A60" i="6" s="1"/>
  <c r="A61" i="6" s="1"/>
  <c r="A62" i="6" s="1"/>
  <c r="A63" i="6" s="1"/>
  <c r="A64" i="6" s="1"/>
  <c r="A65" i="6" s="1"/>
  <c r="A66" i="6" s="1"/>
  <c r="A67" i="6" s="1"/>
  <c r="A27" i="6"/>
  <c r="P17" i="6"/>
  <c r="O17" i="6"/>
  <c r="N17" i="6"/>
  <c r="O10" i="6"/>
  <c r="H4" i="6"/>
  <c r="G4" i="6"/>
  <c r="E4" i="6"/>
  <c r="D3" i="6"/>
  <c r="K1275" i="1"/>
  <c r="D1275" i="1"/>
  <c r="L1275" i="1" s="1"/>
  <c r="K1274" i="1"/>
  <c r="D1274" i="1"/>
  <c r="L1274" i="1" s="1"/>
  <c r="K1273" i="1"/>
  <c r="D1273" i="1"/>
  <c r="L1273" i="1" s="1"/>
  <c r="N1272" i="1"/>
  <c r="K1272" i="1"/>
  <c r="D1272" i="1"/>
  <c r="L1272" i="1" s="1"/>
  <c r="K1271" i="1"/>
  <c r="D1271" i="1"/>
  <c r="L1271" i="1" s="1"/>
  <c r="N1267" i="1"/>
  <c r="P1267" i="1" s="1"/>
  <c r="M1267" i="1"/>
  <c r="D1267" i="1"/>
  <c r="N1266" i="1"/>
  <c r="P1266" i="1" s="1"/>
  <c r="M1266" i="1"/>
  <c r="D1266" i="1"/>
  <c r="N1265" i="1"/>
  <c r="P1265" i="1" s="1"/>
  <c r="M1265" i="1"/>
  <c r="D1265" i="1"/>
  <c r="N1264" i="1"/>
  <c r="P1264" i="1" s="1"/>
  <c r="M1264" i="1"/>
  <c r="D1264" i="1"/>
  <c r="N1259" i="1"/>
  <c r="P1259" i="1" s="1"/>
  <c r="L1259" i="1"/>
  <c r="D1259" i="1"/>
  <c r="N1258" i="1"/>
  <c r="P1258" i="1" s="1"/>
  <c r="L1258" i="1"/>
  <c r="D1258" i="1"/>
  <c r="N1257" i="1"/>
  <c r="P1257" i="1" s="1"/>
  <c r="L1257" i="1"/>
  <c r="D1257" i="1"/>
  <c r="N1256" i="1"/>
  <c r="P1256" i="1" s="1"/>
  <c r="L1256" i="1"/>
  <c r="D1256" i="1"/>
  <c r="N1255" i="1"/>
  <c r="P1255" i="1" s="1"/>
  <c r="L1255" i="1"/>
  <c r="D1255" i="1"/>
  <c r="N1254" i="1"/>
  <c r="P1254" i="1" s="1"/>
  <c r="L1254" i="1"/>
  <c r="D1254" i="1"/>
  <c r="N1253" i="1"/>
  <c r="P1253" i="1" s="1"/>
  <c r="L1253" i="1"/>
  <c r="D1253" i="1"/>
  <c r="N1252" i="1"/>
  <c r="P1252" i="1" s="1"/>
  <c r="L1252" i="1"/>
  <c r="D1252" i="1"/>
  <c r="N1251" i="1"/>
  <c r="P1251" i="1" s="1"/>
  <c r="L1251" i="1"/>
  <c r="D1251" i="1"/>
  <c r="N1250" i="1"/>
  <c r="P1250" i="1" s="1"/>
  <c r="L1250" i="1"/>
  <c r="D1250" i="1"/>
  <c r="N1249" i="1"/>
  <c r="P1249" i="1" s="1"/>
  <c r="L1249" i="1"/>
  <c r="D1249" i="1"/>
  <c r="N1246" i="1"/>
  <c r="P1246" i="1" s="1"/>
  <c r="L1246" i="1"/>
  <c r="D1246" i="1"/>
  <c r="K1242" i="1"/>
  <c r="D1242" i="1"/>
  <c r="M1242" i="1" s="1"/>
  <c r="K1241" i="1"/>
  <c r="D1241" i="1"/>
  <c r="M1241" i="1" s="1"/>
  <c r="P1241" i="1" s="1"/>
  <c r="K1240" i="1"/>
  <c r="D1240" i="1"/>
  <c r="K1239" i="1"/>
  <c r="D1239" i="1"/>
  <c r="M1239" i="1" s="1"/>
  <c r="P1239" i="1" s="1"/>
  <c r="N1238" i="1"/>
  <c r="D1238" i="1"/>
  <c r="M1238" i="1" s="1"/>
  <c r="K1237" i="1"/>
  <c r="D1237" i="1"/>
  <c r="D1234" i="1"/>
  <c r="M1294" i="1"/>
  <c r="E1294" i="1"/>
  <c r="M1293" i="1"/>
  <c r="E1293" i="1"/>
  <c r="M1292" i="1"/>
  <c r="E1292" i="1"/>
  <c r="L1291" i="1"/>
  <c r="D1291" i="1"/>
  <c r="M1283" i="1"/>
  <c r="M1282" i="1"/>
  <c r="M1281" i="1"/>
  <c r="A1238" i="1"/>
  <c r="A1239" i="1" s="1"/>
  <c r="A1240" i="1" s="1"/>
  <c r="A1241" i="1" s="1"/>
  <c r="A1242" i="1" s="1"/>
  <c r="A1243" i="1" s="1"/>
  <c r="A1244" i="1" s="1"/>
  <c r="A1245" i="1" s="1"/>
  <c r="A1246" i="1" s="1"/>
  <c r="A1247" i="1" s="1"/>
  <c r="A1248" i="1" s="1"/>
  <c r="A1249" i="1" s="1"/>
  <c r="A1250" i="1" s="1"/>
  <c r="A1251" i="1" s="1"/>
  <c r="A1252" i="1" s="1"/>
  <c r="A1253" i="1" s="1"/>
  <c r="A1254" i="1" s="1"/>
  <c r="A1255" i="1" s="1"/>
  <c r="A1256" i="1" s="1"/>
  <c r="A1257" i="1" s="1"/>
  <c r="A1258" i="1" s="1"/>
  <c r="A1259" i="1" s="1"/>
  <c r="A1260" i="1" s="1"/>
  <c r="A1261" i="1" s="1"/>
  <c r="A1262" i="1" s="1"/>
  <c r="A1263" i="1" s="1"/>
  <c r="A1264" i="1" s="1"/>
  <c r="A1265" i="1" s="1"/>
  <c r="A1266" i="1" s="1"/>
  <c r="A1267" i="1" s="1"/>
  <c r="A1268" i="1" s="1"/>
  <c r="A1269" i="1" s="1"/>
  <c r="A1270" i="1" s="1"/>
  <c r="A1271" i="1" s="1"/>
  <c r="A1272" i="1" s="1"/>
  <c r="A1273" i="1" s="1"/>
  <c r="A1274" i="1" s="1"/>
  <c r="A1275" i="1" s="1"/>
  <c r="A1276" i="1" s="1"/>
  <c r="A1277" i="1" s="1"/>
  <c r="A1237" i="1"/>
  <c r="P1227" i="1"/>
  <c r="O1227" i="1"/>
  <c r="N1227" i="1"/>
  <c r="O1220" i="1"/>
  <c r="H1214" i="1"/>
  <c r="G1214" i="1"/>
  <c r="E1214" i="1"/>
  <c r="D1213" i="1"/>
  <c r="K1188" i="1"/>
  <c r="D1188" i="1"/>
  <c r="L1188" i="1" s="1"/>
  <c r="K1187" i="1"/>
  <c r="D1187" i="1"/>
  <c r="L1187" i="1" s="1"/>
  <c r="K1186" i="1"/>
  <c r="D1186" i="1"/>
  <c r="L1186" i="1" s="1"/>
  <c r="K1185" i="1"/>
  <c r="D1185" i="1"/>
  <c r="L1185" i="1" s="1"/>
  <c r="K1184" i="1"/>
  <c r="D1184" i="1"/>
  <c r="L1184" i="1" s="1"/>
  <c r="N1180" i="1"/>
  <c r="P1180" i="1" s="1"/>
  <c r="M1180" i="1"/>
  <c r="D1180" i="1"/>
  <c r="N1179" i="1"/>
  <c r="P1179" i="1" s="1"/>
  <c r="M1179" i="1"/>
  <c r="D1179" i="1"/>
  <c r="N1178" i="1"/>
  <c r="P1178" i="1" s="1"/>
  <c r="M1178" i="1"/>
  <c r="D1178" i="1"/>
  <c r="N1177" i="1"/>
  <c r="P1177" i="1" s="1"/>
  <c r="M1177" i="1"/>
  <c r="D1177" i="1"/>
  <c r="N1172" i="1"/>
  <c r="P1172" i="1" s="1"/>
  <c r="L1172" i="1"/>
  <c r="D1172" i="1"/>
  <c r="N1171" i="1"/>
  <c r="P1171" i="1" s="1"/>
  <c r="L1171" i="1"/>
  <c r="D1171" i="1"/>
  <c r="N1170" i="1"/>
  <c r="P1170" i="1" s="1"/>
  <c r="L1170" i="1"/>
  <c r="D1170" i="1"/>
  <c r="N1169" i="1"/>
  <c r="P1169" i="1" s="1"/>
  <c r="L1169" i="1"/>
  <c r="D1169" i="1"/>
  <c r="N1168" i="1"/>
  <c r="P1168" i="1" s="1"/>
  <c r="L1168" i="1"/>
  <c r="D1168" i="1"/>
  <c r="N1167" i="1"/>
  <c r="P1167" i="1" s="1"/>
  <c r="L1167" i="1"/>
  <c r="D1167" i="1"/>
  <c r="N1166" i="1"/>
  <c r="P1166" i="1" s="1"/>
  <c r="L1166" i="1"/>
  <c r="D1166" i="1"/>
  <c r="N1165" i="1"/>
  <c r="P1165" i="1" s="1"/>
  <c r="L1165" i="1"/>
  <c r="D1165" i="1"/>
  <c r="N1164" i="1"/>
  <c r="P1164" i="1" s="1"/>
  <c r="L1164" i="1"/>
  <c r="D1164" i="1"/>
  <c r="N1163" i="1"/>
  <c r="P1163" i="1" s="1"/>
  <c r="L1163" i="1"/>
  <c r="D1163" i="1"/>
  <c r="N1162" i="1"/>
  <c r="P1162" i="1" s="1"/>
  <c r="L1162" i="1"/>
  <c r="D1162" i="1"/>
  <c r="N1161" i="1"/>
  <c r="P1161" i="1" s="1"/>
  <c r="L1161" i="1"/>
  <c r="D1161" i="1"/>
  <c r="N1160" i="1"/>
  <c r="P1160" i="1" s="1"/>
  <c r="L1160" i="1"/>
  <c r="D1160" i="1"/>
  <c r="P1159" i="1"/>
  <c r="L1159" i="1"/>
  <c r="K1155" i="1"/>
  <c r="D1155" i="1"/>
  <c r="M1155" i="1" s="1"/>
  <c r="P1155" i="1" s="1"/>
  <c r="K1154" i="1"/>
  <c r="D1154" i="1"/>
  <c r="K1153" i="1"/>
  <c r="D1153" i="1"/>
  <c r="M1153" i="1" s="1"/>
  <c r="P1153" i="1" s="1"/>
  <c r="K1152" i="1"/>
  <c r="D1152" i="1"/>
  <c r="M1152" i="1" s="1"/>
  <c r="K1151" i="1"/>
  <c r="D1151" i="1"/>
  <c r="M1151" i="1" s="1"/>
  <c r="P1151" i="1" s="1"/>
  <c r="K1150" i="1"/>
  <c r="D1150" i="1"/>
  <c r="D1147" i="1"/>
  <c r="K1101" i="1"/>
  <c r="D1101" i="1"/>
  <c r="L1101" i="1" s="1"/>
  <c r="K1100" i="1"/>
  <c r="D1100" i="1"/>
  <c r="L1100" i="1" s="1"/>
  <c r="K1099" i="1"/>
  <c r="D1099" i="1"/>
  <c r="L1099" i="1" s="1"/>
  <c r="K1098" i="1"/>
  <c r="D1098" i="1"/>
  <c r="L1098" i="1" s="1"/>
  <c r="K1097" i="1"/>
  <c r="D1097" i="1"/>
  <c r="L1097" i="1" s="1"/>
  <c r="N1093" i="1"/>
  <c r="P1093" i="1" s="1"/>
  <c r="M1093" i="1"/>
  <c r="D1093" i="1"/>
  <c r="N1092" i="1"/>
  <c r="P1092" i="1" s="1"/>
  <c r="M1092" i="1"/>
  <c r="D1092" i="1"/>
  <c r="N1091" i="1"/>
  <c r="P1091" i="1" s="1"/>
  <c r="M1091" i="1"/>
  <c r="D1091" i="1"/>
  <c r="N1090" i="1"/>
  <c r="P1090" i="1" s="1"/>
  <c r="M1090" i="1"/>
  <c r="D1090" i="1"/>
  <c r="N1085" i="1"/>
  <c r="P1085" i="1" s="1"/>
  <c r="L1085" i="1"/>
  <c r="D1085" i="1"/>
  <c r="N1084" i="1"/>
  <c r="P1084" i="1" s="1"/>
  <c r="L1084" i="1"/>
  <c r="D1084" i="1"/>
  <c r="N1083" i="1"/>
  <c r="P1083" i="1" s="1"/>
  <c r="L1083" i="1"/>
  <c r="D1083" i="1"/>
  <c r="N1082" i="1"/>
  <c r="P1082" i="1" s="1"/>
  <c r="L1082" i="1"/>
  <c r="D1082" i="1"/>
  <c r="N1081" i="1"/>
  <c r="P1081" i="1" s="1"/>
  <c r="L1081" i="1"/>
  <c r="D1081" i="1"/>
  <c r="N1080" i="1"/>
  <c r="P1080" i="1" s="1"/>
  <c r="L1080" i="1"/>
  <c r="D1080" i="1"/>
  <c r="N1079" i="1"/>
  <c r="P1079" i="1" s="1"/>
  <c r="L1079" i="1"/>
  <c r="D1079" i="1"/>
  <c r="N1078" i="1"/>
  <c r="P1078" i="1" s="1"/>
  <c r="L1078" i="1"/>
  <c r="D1078" i="1"/>
  <c r="N1077" i="1"/>
  <c r="P1077" i="1" s="1"/>
  <c r="L1077" i="1"/>
  <c r="D1077" i="1"/>
  <c r="N1076" i="1"/>
  <c r="P1076" i="1" s="1"/>
  <c r="L1076" i="1"/>
  <c r="D1076" i="1"/>
  <c r="N1075" i="1"/>
  <c r="P1075" i="1" s="1"/>
  <c r="L1075" i="1"/>
  <c r="D1075" i="1"/>
  <c r="N1074" i="1"/>
  <c r="P1074" i="1" s="1"/>
  <c r="L1074" i="1"/>
  <c r="D1074" i="1"/>
  <c r="N1073" i="1"/>
  <c r="P1073" i="1" s="1"/>
  <c r="L1073" i="1"/>
  <c r="D1073" i="1"/>
  <c r="N1072" i="1"/>
  <c r="P1072" i="1" s="1"/>
  <c r="L1072" i="1"/>
  <c r="D1072" i="1"/>
  <c r="K1068" i="1"/>
  <c r="D1068" i="1"/>
  <c r="M1068" i="1" s="1"/>
  <c r="P1068" i="1" s="1"/>
  <c r="K1067" i="1"/>
  <c r="D1067" i="1"/>
  <c r="M1067" i="1" s="1"/>
  <c r="P1067" i="1" s="1"/>
  <c r="K1066" i="1"/>
  <c r="D1066" i="1"/>
  <c r="M1066" i="1" s="1"/>
  <c r="P1066" i="1" s="1"/>
  <c r="K1065" i="1"/>
  <c r="D1065" i="1"/>
  <c r="K1064" i="1"/>
  <c r="D1064" i="1"/>
  <c r="M1064" i="1" s="1"/>
  <c r="P1064" i="1" s="1"/>
  <c r="K1063" i="1"/>
  <c r="D1063" i="1"/>
  <c r="D1060" i="1"/>
  <c r="K1015" i="1"/>
  <c r="D1015" i="1"/>
  <c r="L1015" i="1" s="1"/>
  <c r="K1014" i="1"/>
  <c r="D1014" i="1"/>
  <c r="L1014" i="1" s="1"/>
  <c r="K1013" i="1"/>
  <c r="D1013" i="1"/>
  <c r="L1013" i="1" s="1"/>
  <c r="K1012" i="1"/>
  <c r="D1012" i="1"/>
  <c r="L1012" i="1" s="1"/>
  <c r="K1011" i="1"/>
  <c r="D1011" i="1"/>
  <c r="L1011" i="1" s="1"/>
  <c r="N1007" i="1"/>
  <c r="P1007" i="1" s="1"/>
  <c r="M1007" i="1"/>
  <c r="D1007" i="1"/>
  <c r="N1006" i="1"/>
  <c r="P1006" i="1" s="1"/>
  <c r="M1006" i="1"/>
  <c r="D1006" i="1"/>
  <c r="N1005" i="1"/>
  <c r="P1005" i="1" s="1"/>
  <c r="M1005" i="1"/>
  <c r="D1005" i="1"/>
  <c r="N1004" i="1"/>
  <c r="P1004" i="1" s="1"/>
  <c r="M1004" i="1"/>
  <c r="D1004" i="1"/>
  <c r="N999" i="1"/>
  <c r="P999" i="1" s="1"/>
  <c r="L999" i="1"/>
  <c r="D999" i="1"/>
  <c r="N998" i="1"/>
  <c r="P998" i="1" s="1"/>
  <c r="L998" i="1"/>
  <c r="D998" i="1"/>
  <c r="N997" i="1"/>
  <c r="P997" i="1" s="1"/>
  <c r="L997" i="1"/>
  <c r="D997" i="1"/>
  <c r="N996" i="1"/>
  <c r="P996" i="1" s="1"/>
  <c r="L996" i="1"/>
  <c r="D996" i="1"/>
  <c r="N995" i="1"/>
  <c r="P995" i="1" s="1"/>
  <c r="L995" i="1"/>
  <c r="D995" i="1"/>
  <c r="N994" i="1"/>
  <c r="P994" i="1" s="1"/>
  <c r="L994" i="1"/>
  <c r="D994" i="1"/>
  <c r="N993" i="1"/>
  <c r="P993" i="1" s="1"/>
  <c r="L993" i="1"/>
  <c r="D993" i="1"/>
  <c r="N992" i="1"/>
  <c r="P992" i="1" s="1"/>
  <c r="L992" i="1"/>
  <c r="D992" i="1"/>
  <c r="N991" i="1"/>
  <c r="P991" i="1" s="1"/>
  <c r="L991" i="1"/>
  <c r="D991" i="1"/>
  <c r="N990" i="1"/>
  <c r="P990" i="1" s="1"/>
  <c r="L990" i="1"/>
  <c r="D990" i="1"/>
  <c r="N989" i="1"/>
  <c r="P989" i="1" s="1"/>
  <c r="L989" i="1"/>
  <c r="D989" i="1"/>
  <c r="N988" i="1"/>
  <c r="P988" i="1" s="1"/>
  <c r="L988" i="1"/>
  <c r="D988" i="1"/>
  <c r="N987" i="1"/>
  <c r="P987" i="1" s="1"/>
  <c r="L987" i="1"/>
  <c r="D987" i="1"/>
  <c r="N986" i="1"/>
  <c r="P986" i="1" s="1"/>
  <c r="L986" i="1"/>
  <c r="D986" i="1"/>
  <c r="K982" i="1"/>
  <c r="D982" i="1"/>
  <c r="M982" i="1" s="1"/>
  <c r="P982" i="1" s="1"/>
  <c r="K981" i="1"/>
  <c r="D981" i="1"/>
  <c r="K980" i="1"/>
  <c r="D980" i="1"/>
  <c r="M980" i="1" s="1"/>
  <c r="P980" i="1" s="1"/>
  <c r="K979" i="1"/>
  <c r="D979" i="1"/>
  <c r="M979" i="1" s="1"/>
  <c r="P979" i="1" s="1"/>
  <c r="K978" i="1"/>
  <c r="D978" i="1"/>
  <c r="M978" i="1" s="1"/>
  <c r="P978" i="1" s="1"/>
  <c r="K977" i="1"/>
  <c r="D977" i="1"/>
  <c r="D974" i="1"/>
  <c r="K930" i="1"/>
  <c r="D930" i="1"/>
  <c r="L930" i="1" s="1"/>
  <c r="K929" i="1"/>
  <c r="D929" i="1"/>
  <c r="L929" i="1" s="1"/>
  <c r="K928" i="1"/>
  <c r="D928" i="1"/>
  <c r="L928" i="1" s="1"/>
  <c r="K927" i="1"/>
  <c r="D927" i="1"/>
  <c r="L927" i="1" s="1"/>
  <c r="K926" i="1"/>
  <c r="D926" i="1"/>
  <c r="L926" i="1" s="1"/>
  <c r="N922" i="1"/>
  <c r="P922" i="1" s="1"/>
  <c r="M922" i="1"/>
  <c r="D922" i="1"/>
  <c r="N921" i="1"/>
  <c r="P921" i="1" s="1"/>
  <c r="M921" i="1"/>
  <c r="D921" i="1"/>
  <c r="N920" i="1"/>
  <c r="P920" i="1" s="1"/>
  <c r="M920" i="1"/>
  <c r="D920" i="1"/>
  <c r="N919" i="1"/>
  <c r="P919" i="1" s="1"/>
  <c r="M919" i="1"/>
  <c r="D919" i="1"/>
  <c r="N914" i="1"/>
  <c r="P914" i="1" s="1"/>
  <c r="L914" i="1"/>
  <c r="D914" i="1"/>
  <c r="N913" i="1"/>
  <c r="P913" i="1" s="1"/>
  <c r="L913" i="1"/>
  <c r="D913" i="1"/>
  <c r="N912" i="1"/>
  <c r="P912" i="1" s="1"/>
  <c r="L912" i="1"/>
  <c r="D912" i="1"/>
  <c r="N911" i="1"/>
  <c r="P911" i="1" s="1"/>
  <c r="L911" i="1"/>
  <c r="D911" i="1"/>
  <c r="N910" i="1"/>
  <c r="P910" i="1" s="1"/>
  <c r="L910" i="1"/>
  <c r="D910" i="1"/>
  <c r="N909" i="1"/>
  <c r="P909" i="1" s="1"/>
  <c r="L909" i="1"/>
  <c r="D909" i="1"/>
  <c r="N908" i="1"/>
  <c r="P908" i="1" s="1"/>
  <c r="L908" i="1"/>
  <c r="D908" i="1"/>
  <c r="N907" i="1"/>
  <c r="P907" i="1" s="1"/>
  <c r="L907" i="1"/>
  <c r="D907" i="1"/>
  <c r="N906" i="1"/>
  <c r="P906" i="1" s="1"/>
  <c r="L906" i="1"/>
  <c r="D906" i="1"/>
  <c r="N905" i="1"/>
  <c r="P905" i="1" s="1"/>
  <c r="L905" i="1"/>
  <c r="D905" i="1"/>
  <c r="N904" i="1"/>
  <c r="P904" i="1" s="1"/>
  <c r="L904" i="1"/>
  <c r="D904" i="1"/>
  <c r="N903" i="1"/>
  <c r="P903" i="1" s="1"/>
  <c r="L903" i="1"/>
  <c r="D903" i="1"/>
  <c r="N902" i="1"/>
  <c r="P902" i="1" s="1"/>
  <c r="L902" i="1"/>
  <c r="D902" i="1"/>
  <c r="N901" i="1"/>
  <c r="P901" i="1" s="1"/>
  <c r="L901" i="1"/>
  <c r="D901" i="1"/>
  <c r="K897" i="1"/>
  <c r="D897" i="1"/>
  <c r="K896" i="1"/>
  <c r="D896" i="1"/>
  <c r="K895" i="1"/>
  <c r="D895" i="1"/>
  <c r="K894" i="1"/>
  <c r="D894" i="1"/>
  <c r="M894" i="1" s="1"/>
  <c r="P894" i="1" s="1"/>
  <c r="K893" i="1"/>
  <c r="D893" i="1"/>
  <c r="K892" i="1"/>
  <c r="D892" i="1"/>
  <c r="D889" i="1"/>
  <c r="K844" i="1"/>
  <c r="D844" i="1"/>
  <c r="L844" i="1" s="1"/>
  <c r="K843" i="1"/>
  <c r="D843" i="1"/>
  <c r="L843" i="1" s="1"/>
  <c r="K842" i="1"/>
  <c r="D842" i="1"/>
  <c r="L842" i="1" s="1"/>
  <c r="K841" i="1"/>
  <c r="D841" i="1"/>
  <c r="L841" i="1" s="1"/>
  <c r="K840" i="1"/>
  <c r="D840" i="1"/>
  <c r="L840" i="1" s="1"/>
  <c r="N836" i="1"/>
  <c r="P836" i="1" s="1"/>
  <c r="M836" i="1"/>
  <c r="D836" i="1"/>
  <c r="N835" i="1"/>
  <c r="P835" i="1" s="1"/>
  <c r="M835" i="1"/>
  <c r="D835" i="1"/>
  <c r="N834" i="1"/>
  <c r="P834" i="1" s="1"/>
  <c r="M834" i="1"/>
  <c r="D834" i="1"/>
  <c r="N833" i="1"/>
  <c r="P833" i="1" s="1"/>
  <c r="M833" i="1"/>
  <c r="D833" i="1"/>
  <c r="N828" i="1"/>
  <c r="P828" i="1" s="1"/>
  <c r="L828" i="1"/>
  <c r="D828" i="1"/>
  <c r="N827" i="1"/>
  <c r="P827" i="1" s="1"/>
  <c r="L827" i="1"/>
  <c r="D827" i="1"/>
  <c r="N826" i="1"/>
  <c r="P826" i="1" s="1"/>
  <c r="L826" i="1"/>
  <c r="D826" i="1"/>
  <c r="N825" i="1"/>
  <c r="P825" i="1" s="1"/>
  <c r="L825" i="1"/>
  <c r="D825" i="1"/>
  <c r="N824" i="1"/>
  <c r="P824" i="1" s="1"/>
  <c r="L824" i="1"/>
  <c r="D824" i="1"/>
  <c r="N823" i="1"/>
  <c r="P823" i="1" s="1"/>
  <c r="L823" i="1"/>
  <c r="D823" i="1"/>
  <c r="N822" i="1"/>
  <c r="P822" i="1" s="1"/>
  <c r="L822" i="1"/>
  <c r="D822" i="1"/>
  <c r="N821" i="1"/>
  <c r="P821" i="1" s="1"/>
  <c r="L821" i="1"/>
  <c r="D821" i="1"/>
  <c r="N820" i="1"/>
  <c r="P820" i="1" s="1"/>
  <c r="L820" i="1"/>
  <c r="D820" i="1"/>
  <c r="N819" i="1"/>
  <c r="P819" i="1" s="1"/>
  <c r="L819" i="1"/>
  <c r="D819" i="1"/>
  <c r="N818" i="1"/>
  <c r="P818" i="1" s="1"/>
  <c r="L818" i="1"/>
  <c r="D818" i="1"/>
  <c r="N817" i="1"/>
  <c r="P817" i="1" s="1"/>
  <c r="L817" i="1"/>
  <c r="D817" i="1"/>
  <c r="N816" i="1"/>
  <c r="P816" i="1" s="1"/>
  <c r="L816" i="1"/>
  <c r="D816" i="1"/>
  <c r="N815" i="1"/>
  <c r="P815" i="1" s="1"/>
  <c r="L815" i="1"/>
  <c r="D815" i="1"/>
  <c r="K811" i="1"/>
  <c r="D811" i="1"/>
  <c r="K810" i="1"/>
  <c r="D810" i="1"/>
  <c r="M810" i="1" s="1"/>
  <c r="P810" i="1" s="1"/>
  <c r="K809" i="1"/>
  <c r="D809" i="1"/>
  <c r="M809" i="1" s="1"/>
  <c r="K808" i="1"/>
  <c r="D808" i="1"/>
  <c r="M808" i="1" s="1"/>
  <c r="P808" i="1" s="1"/>
  <c r="N807" i="1"/>
  <c r="M807" i="1"/>
  <c r="K807" i="1"/>
  <c r="K806" i="1"/>
  <c r="D806" i="1"/>
  <c r="D803" i="1"/>
  <c r="K758" i="1"/>
  <c r="D758" i="1"/>
  <c r="L758" i="1" s="1"/>
  <c r="K757" i="1"/>
  <c r="D757" i="1"/>
  <c r="L757" i="1" s="1"/>
  <c r="K756" i="1"/>
  <c r="D756" i="1"/>
  <c r="L756" i="1" s="1"/>
  <c r="N755" i="1"/>
  <c r="K755" i="1"/>
  <c r="D755" i="1"/>
  <c r="L755" i="1" s="1"/>
  <c r="N754" i="1"/>
  <c r="K754" i="1"/>
  <c r="D754" i="1"/>
  <c r="L754" i="1" s="1"/>
  <c r="N750" i="1"/>
  <c r="P750" i="1" s="1"/>
  <c r="M750" i="1"/>
  <c r="D750" i="1"/>
  <c r="N749" i="1"/>
  <c r="P749" i="1" s="1"/>
  <c r="M749" i="1"/>
  <c r="D749" i="1"/>
  <c r="N748" i="1"/>
  <c r="P748" i="1" s="1"/>
  <c r="M748" i="1"/>
  <c r="D748" i="1"/>
  <c r="N747" i="1"/>
  <c r="P747" i="1" s="1"/>
  <c r="M747" i="1"/>
  <c r="D747" i="1"/>
  <c r="N742" i="1"/>
  <c r="P742" i="1" s="1"/>
  <c r="L742" i="1"/>
  <c r="D742" i="1"/>
  <c r="N741" i="1"/>
  <c r="P741" i="1" s="1"/>
  <c r="L741" i="1"/>
  <c r="D741" i="1"/>
  <c r="N740" i="1"/>
  <c r="P740" i="1" s="1"/>
  <c r="L740" i="1"/>
  <c r="D740" i="1"/>
  <c r="N739" i="1"/>
  <c r="P739" i="1" s="1"/>
  <c r="L739" i="1"/>
  <c r="D739" i="1"/>
  <c r="N738" i="1"/>
  <c r="P738" i="1" s="1"/>
  <c r="L738" i="1"/>
  <c r="D738" i="1"/>
  <c r="N737" i="1"/>
  <c r="P737" i="1" s="1"/>
  <c r="L737" i="1"/>
  <c r="D737" i="1"/>
  <c r="N736" i="1"/>
  <c r="P736" i="1" s="1"/>
  <c r="L736" i="1"/>
  <c r="D736" i="1"/>
  <c r="N735" i="1"/>
  <c r="P735" i="1" s="1"/>
  <c r="L735" i="1"/>
  <c r="D735" i="1"/>
  <c r="N734" i="1"/>
  <c r="P734" i="1" s="1"/>
  <c r="L734" i="1"/>
  <c r="D734" i="1"/>
  <c r="N733" i="1"/>
  <c r="P733" i="1" s="1"/>
  <c r="L733" i="1"/>
  <c r="D733" i="1"/>
  <c r="N732" i="1"/>
  <c r="P732" i="1" s="1"/>
  <c r="L732" i="1"/>
  <c r="D732" i="1"/>
  <c r="N731" i="1"/>
  <c r="P731" i="1" s="1"/>
  <c r="L731" i="1"/>
  <c r="D731" i="1"/>
  <c r="N730" i="1"/>
  <c r="P730" i="1" s="1"/>
  <c r="L730" i="1"/>
  <c r="D730" i="1"/>
  <c r="N729" i="1"/>
  <c r="P729" i="1" s="1"/>
  <c r="L729" i="1"/>
  <c r="D729" i="1"/>
  <c r="K725" i="1"/>
  <c r="D725" i="1"/>
  <c r="K724" i="1"/>
  <c r="D724" i="1"/>
  <c r="M724" i="1" s="1"/>
  <c r="P724" i="1" s="1"/>
  <c r="K723" i="1"/>
  <c r="D723" i="1"/>
  <c r="M723" i="1" s="1"/>
  <c r="P723" i="1" s="1"/>
  <c r="K722" i="1"/>
  <c r="D722" i="1"/>
  <c r="M722" i="1" s="1"/>
  <c r="P722" i="1" s="1"/>
  <c r="K721" i="1"/>
  <c r="D721" i="1"/>
  <c r="K720" i="1"/>
  <c r="D720" i="1"/>
  <c r="D717" i="1"/>
  <c r="K634" i="1"/>
  <c r="K671" i="1"/>
  <c r="D671" i="1"/>
  <c r="L671" i="1" s="1"/>
  <c r="K670" i="1"/>
  <c r="D670" i="1"/>
  <c r="L670" i="1" s="1"/>
  <c r="K669" i="1"/>
  <c r="D669" i="1"/>
  <c r="L669" i="1" s="1"/>
  <c r="K668" i="1"/>
  <c r="D668" i="1"/>
  <c r="L668" i="1" s="1"/>
  <c r="K667" i="1"/>
  <c r="D667" i="1"/>
  <c r="L667" i="1" s="1"/>
  <c r="N663" i="1"/>
  <c r="P663" i="1" s="1"/>
  <c r="M663" i="1"/>
  <c r="D663" i="1"/>
  <c r="N662" i="1"/>
  <c r="P662" i="1" s="1"/>
  <c r="M662" i="1"/>
  <c r="D662" i="1"/>
  <c r="N661" i="1"/>
  <c r="P661" i="1" s="1"/>
  <c r="M661" i="1"/>
  <c r="D661" i="1"/>
  <c r="N660" i="1"/>
  <c r="P660" i="1" s="1"/>
  <c r="M660" i="1"/>
  <c r="D660" i="1"/>
  <c r="N655" i="1"/>
  <c r="P655" i="1" s="1"/>
  <c r="L655" i="1"/>
  <c r="D655" i="1"/>
  <c r="N654" i="1"/>
  <c r="P654" i="1" s="1"/>
  <c r="L654" i="1"/>
  <c r="D654" i="1"/>
  <c r="N653" i="1"/>
  <c r="P653" i="1" s="1"/>
  <c r="L653" i="1"/>
  <c r="D653" i="1"/>
  <c r="N652" i="1"/>
  <c r="P652" i="1" s="1"/>
  <c r="L652" i="1"/>
  <c r="D652" i="1"/>
  <c r="N651" i="1"/>
  <c r="P651" i="1" s="1"/>
  <c r="L651" i="1"/>
  <c r="D651" i="1"/>
  <c r="N650" i="1"/>
  <c r="P650" i="1" s="1"/>
  <c r="L650" i="1"/>
  <c r="D650" i="1"/>
  <c r="N649" i="1"/>
  <c r="P649" i="1" s="1"/>
  <c r="L649" i="1"/>
  <c r="D649" i="1"/>
  <c r="N648" i="1"/>
  <c r="P648" i="1" s="1"/>
  <c r="L648" i="1"/>
  <c r="D648" i="1"/>
  <c r="N647" i="1"/>
  <c r="P647" i="1" s="1"/>
  <c r="L647" i="1"/>
  <c r="D647" i="1"/>
  <c r="N646" i="1"/>
  <c r="P646" i="1" s="1"/>
  <c r="L646" i="1"/>
  <c r="D646" i="1"/>
  <c r="N645" i="1"/>
  <c r="P645" i="1" s="1"/>
  <c r="L645" i="1"/>
  <c r="D645" i="1"/>
  <c r="N642" i="1"/>
  <c r="P642" i="1" s="1"/>
  <c r="L642" i="1"/>
  <c r="D642" i="1"/>
  <c r="K638" i="1"/>
  <c r="D638" i="1"/>
  <c r="K637" i="1"/>
  <c r="D637" i="1"/>
  <c r="M637" i="1" s="1"/>
  <c r="P637" i="1" s="1"/>
  <c r="K635" i="1"/>
  <c r="D635" i="1"/>
  <c r="M635" i="1" s="1"/>
  <c r="D634" i="1"/>
  <c r="K633" i="1"/>
  <c r="D633" i="1"/>
  <c r="D630" i="1"/>
  <c r="M1207" i="1"/>
  <c r="E1207" i="1"/>
  <c r="M1206" i="1"/>
  <c r="E1206" i="1"/>
  <c r="M1205" i="1"/>
  <c r="E1205" i="1"/>
  <c r="L1204" i="1"/>
  <c r="D1204" i="1"/>
  <c r="M1196" i="1"/>
  <c r="M1195" i="1"/>
  <c r="M1194" i="1"/>
  <c r="A1151" i="1"/>
  <c r="A1152" i="1" s="1"/>
  <c r="A1153" i="1" s="1"/>
  <c r="A1154" i="1" s="1"/>
  <c r="A1155" i="1" s="1"/>
  <c r="A1156" i="1" s="1"/>
  <c r="A1157" i="1" s="1"/>
  <c r="A1158" i="1" s="1"/>
  <c r="A1159" i="1" s="1"/>
  <c r="A1160" i="1" s="1"/>
  <c r="A1161" i="1" s="1"/>
  <c r="A1162" i="1" s="1"/>
  <c r="A1163" i="1" s="1"/>
  <c r="A1164" i="1" s="1"/>
  <c r="A1165" i="1" s="1"/>
  <c r="A1166" i="1" s="1"/>
  <c r="A1167" i="1" s="1"/>
  <c r="A1168" i="1" s="1"/>
  <c r="A1169" i="1" s="1"/>
  <c r="A1170" i="1" s="1"/>
  <c r="A1171" i="1" s="1"/>
  <c r="A1172" i="1" s="1"/>
  <c r="A1173" i="1" s="1"/>
  <c r="A1174" i="1" s="1"/>
  <c r="A1175" i="1" s="1"/>
  <c r="A1176" i="1" s="1"/>
  <c r="A1177" i="1" s="1"/>
  <c r="A1178" i="1" s="1"/>
  <c r="A1179" i="1" s="1"/>
  <c r="A1180" i="1" s="1"/>
  <c r="A1181" i="1" s="1"/>
  <c r="A1182" i="1" s="1"/>
  <c r="A1183" i="1" s="1"/>
  <c r="A1184" i="1" s="1"/>
  <c r="A1185" i="1" s="1"/>
  <c r="A1186" i="1" s="1"/>
  <c r="A1187" i="1" s="1"/>
  <c r="A1188" i="1" s="1"/>
  <c r="A1189" i="1" s="1"/>
  <c r="A1190" i="1" s="1"/>
  <c r="A1150" i="1"/>
  <c r="P1140" i="1"/>
  <c r="O1140" i="1"/>
  <c r="N1140" i="1"/>
  <c r="O1133" i="1"/>
  <c r="H1127" i="1"/>
  <c r="G1127" i="1"/>
  <c r="E1127" i="1"/>
  <c r="D1126" i="1"/>
  <c r="M1120" i="1"/>
  <c r="E1120" i="1"/>
  <c r="M1119" i="1"/>
  <c r="E1119" i="1"/>
  <c r="M1118" i="1"/>
  <c r="E1118" i="1"/>
  <c r="L1117" i="1"/>
  <c r="D1117" i="1"/>
  <c r="M1109" i="1"/>
  <c r="M1108" i="1"/>
  <c r="M1107" i="1"/>
  <c r="A1064" i="1"/>
  <c r="A1065" i="1" s="1"/>
  <c r="A1066" i="1" s="1"/>
  <c r="A1067" i="1" s="1"/>
  <c r="A1068" i="1" s="1"/>
  <c r="A1069" i="1" s="1"/>
  <c r="A1070" i="1" s="1"/>
  <c r="A1071" i="1" s="1"/>
  <c r="A1072" i="1" s="1"/>
  <c r="A1073" i="1" s="1"/>
  <c r="A1074" i="1" s="1"/>
  <c r="A1075" i="1" s="1"/>
  <c r="A1076" i="1" s="1"/>
  <c r="A1077" i="1" s="1"/>
  <c r="A1078" i="1" s="1"/>
  <c r="A1079" i="1" s="1"/>
  <c r="A1080" i="1" s="1"/>
  <c r="A1081" i="1" s="1"/>
  <c r="A1082" i="1" s="1"/>
  <c r="A1083" i="1" s="1"/>
  <c r="A1084" i="1" s="1"/>
  <c r="A1085" i="1" s="1"/>
  <c r="A1086" i="1" s="1"/>
  <c r="A1087" i="1" s="1"/>
  <c r="A1088" i="1" s="1"/>
  <c r="A1089" i="1" s="1"/>
  <c r="A1090" i="1" s="1"/>
  <c r="A1091" i="1" s="1"/>
  <c r="A1092" i="1" s="1"/>
  <c r="A1093" i="1" s="1"/>
  <c r="A1094" i="1" s="1"/>
  <c r="A1095" i="1" s="1"/>
  <c r="A1096" i="1" s="1"/>
  <c r="A1097" i="1" s="1"/>
  <c r="A1098" i="1" s="1"/>
  <c r="A1099" i="1" s="1"/>
  <c r="A1100" i="1" s="1"/>
  <c r="A1101" i="1" s="1"/>
  <c r="A1102" i="1" s="1"/>
  <c r="A1103" i="1" s="1"/>
  <c r="A1063" i="1"/>
  <c r="P1053" i="1"/>
  <c r="O1053" i="1"/>
  <c r="N1053" i="1"/>
  <c r="O1046" i="1"/>
  <c r="H1040" i="1"/>
  <c r="G1040" i="1"/>
  <c r="E1040" i="1"/>
  <c r="D1039" i="1"/>
  <c r="M1034" i="1"/>
  <c r="E1034" i="1"/>
  <c r="M1033" i="1"/>
  <c r="E1033" i="1"/>
  <c r="M1032" i="1"/>
  <c r="E1032" i="1"/>
  <c r="L1031" i="1"/>
  <c r="D1031" i="1"/>
  <c r="M1023" i="1"/>
  <c r="M1022" i="1"/>
  <c r="M1021" i="1"/>
  <c r="A978" i="1"/>
  <c r="A979" i="1" s="1"/>
  <c r="A980" i="1" s="1"/>
  <c r="A981" i="1" s="1"/>
  <c r="A982" i="1" s="1"/>
  <c r="A983" i="1" s="1"/>
  <c r="A984" i="1" s="1"/>
  <c r="A985" i="1" s="1"/>
  <c r="A986" i="1" s="1"/>
  <c r="A987" i="1" s="1"/>
  <c r="A988" i="1" s="1"/>
  <c r="A989" i="1" s="1"/>
  <c r="A990" i="1" s="1"/>
  <c r="A991" i="1" s="1"/>
  <c r="A992" i="1" s="1"/>
  <c r="A993" i="1" s="1"/>
  <c r="A994" i="1" s="1"/>
  <c r="A995" i="1" s="1"/>
  <c r="A996" i="1" s="1"/>
  <c r="A997" i="1" s="1"/>
  <c r="A998" i="1" s="1"/>
  <c r="A999" i="1" s="1"/>
  <c r="A1000" i="1" s="1"/>
  <c r="A1001" i="1" s="1"/>
  <c r="A1002" i="1" s="1"/>
  <c r="A1003" i="1" s="1"/>
  <c r="A1004" i="1" s="1"/>
  <c r="A1005" i="1" s="1"/>
  <c r="A1006" i="1" s="1"/>
  <c r="A1007" i="1" s="1"/>
  <c r="A1008" i="1" s="1"/>
  <c r="A1009" i="1" s="1"/>
  <c r="A1010" i="1" s="1"/>
  <c r="A1011" i="1" s="1"/>
  <c r="A1012" i="1" s="1"/>
  <c r="A1013" i="1" s="1"/>
  <c r="A1014" i="1" s="1"/>
  <c r="A1015" i="1" s="1"/>
  <c r="A1016" i="1" s="1"/>
  <c r="A1017" i="1" s="1"/>
  <c r="A977" i="1"/>
  <c r="P967" i="1"/>
  <c r="O967" i="1"/>
  <c r="N967" i="1"/>
  <c r="O960" i="1"/>
  <c r="H954" i="1"/>
  <c r="G954" i="1"/>
  <c r="E954" i="1"/>
  <c r="D953" i="1"/>
  <c r="M949" i="1"/>
  <c r="E949" i="1"/>
  <c r="M948" i="1"/>
  <c r="E948" i="1"/>
  <c r="M947" i="1"/>
  <c r="E947" i="1"/>
  <c r="L946" i="1"/>
  <c r="D946" i="1"/>
  <c r="M938" i="1"/>
  <c r="M937" i="1"/>
  <c r="M936" i="1"/>
  <c r="A893" i="1"/>
  <c r="A894" i="1" s="1"/>
  <c r="A895" i="1" s="1"/>
  <c r="A896" i="1" s="1"/>
  <c r="A897" i="1" s="1"/>
  <c r="A898" i="1" s="1"/>
  <c r="A899" i="1" s="1"/>
  <c r="A900" i="1" s="1"/>
  <c r="A901" i="1" s="1"/>
  <c r="A902" i="1" s="1"/>
  <c r="A903" i="1" s="1"/>
  <c r="A904" i="1" s="1"/>
  <c r="A905" i="1" s="1"/>
  <c r="A906" i="1" s="1"/>
  <c r="A907" i="1" s="1"/>
  <c r="A908" i="1" s="1"/>
  <c r="A909" i="1" s="1"/>
  <c r="A910" i="1" s="1"/>
  <c r="A911" i="1" s="1"/>
  <c r="A912" i="1" s="1"/>
  <c r="A913" i="1" s="1"/>
  <c r="A914" i="1" s="1"/>
  <c r="A915" i="1" s="1"/>
  <c r="A916" i="1" s="1"/>
  <c r="A917" i="1" s="1"/>
  <c r="A918" i="1" s="1"/>
  <c r="A919" i="1" s="1"/>
  <c r="A920" i="1" s="1"/>
  <c r="A921" i="1" s="1"/>
  <c r="A922" i="1" s="1"/>
  <c r="A923" i="1" s="1"/>
  <c r="A924" i="1" s="1"/>
  <c r="A925" i="1" s="1"/>
  <c r="A926" i="1" s="1"/>
  <c r="A927" i="1" s="1"/>
  <c r="A928" i="1" s="1"/>
  <c r="A929" i="1" s="1"/>
  <c r="A930" i="1" s="1"/>
  <c r="A931" i="1" s="1"/>
  <c r="A932" i="1" s="1"/>
  <c r="A892" i="1"/>
  <c r="P882" i="1"/>
  <c r="O882" i="1"/>
  <c r="N882" i="1"/>
  <c r="O875" i="1"/>
  <c r="H869" i="1"/>
  <c r="G869" i="1"/>
  <c r="E869" i="1"/>
  <c r="D868" i="1"/>
  <c r="M863" i="1"/>
  <c r="E863" i="1"/>
  <c r="M862" i="1"/>
  <c r="E862" i="1"/>
  <c r="M861" i="1"/>
  <c r="E861" i="1"/>
  <c r="L860" i="1"/>
  <c r="D860" i="1"/>
  <c r="M852" i="1"/>
  <c r="M851" i="1"/>
  <c r="M850" i="1"/>
  <c r="A816" i="1"/>
  <c r="A817" i="1" s="1"/>
  <c r="A818" i="1" s="1"/>
  <c r="A819" i="1" s="1"/>
  <c r="A820" i="1" s="1"/>
  <c r="A821" i="1" s="1"/>
  <c r="A822" i="1" s="1"/>
  <c r="A823" i="1" s="1"/>
  <c r="A824" i="1" s="1"/>
  <c r="A825" i="1" s="1"/>
  <c r="A826" i="1" s="1"/>
  <c r="A827" i="1" s="1"/>
  <c r="A828" i="1" s="1"/>
  <c r="A829" i="1" s="1"/>
  <c r="A830" i="1" s="1"/>
  <c r="A831" i="1" s="1"/>
  <c r="A832" i="1" s="1"/>
  <c r="A833" i="1" s="1"/>
  <c r="A834" i="1" s="1"/>
  <c r="A835" i="1" s="1"/>
  <c r="A836" i="1" s="1"/>
  <c r="A837" i="1" s="1"/>
  <c r="A838" i="1" s="1"/>
  <c r="A839" i="1" s="1"/>
  <c r="A840" i="1" s="1"/>
  <c r="A841" i="1" s="1"/>
  <c r="A842" i="1" s="1"/>
  <c r="A843" i="1" s="1"/>
  <c r="A844" i="1" s="1"/>
  <c r="A845" i="1" s="1"/>
  <c r="A846" i="1" s="1"/>
  <c r="A807" i="1"/>
  <c r="A808" i="1" s="1"/>
  <c r="P796" i="1"/>
  <c r="O796" i="1"/>
  <c r="N796" i="1"/>
  <c r="O789" i="1"/>
  <c r="H783" i="1"/>
  <c r="G783" i="1"/>
  <c r="E783" i="1"/>
  <c r="D782" i="1"/>
  <c r="M777" i="1"/>
  <c r="E777" i="1"/>
  <c r="M776" i="1"/>
  <c r="E776" i="1"/>
  <c r="M775" i="1"/>
  <c r="E775" i="1"/>
  <c r="L774" i="1"/>
  <c r="D774" i="1"/>
  <c r="M766" i="1"/>
  <c r="M765" i="1"/>
  <c r="M764" i="1"/>
  <c r="A721" i="1"/>
  <c r="A722" i="1" s="1"/>
  <c r="A723" i="1" s="1"/>
  <c r="A724" i="1" s="1"/>
  <c r="A725" i="1" s="1"/>
  <c r="A726" i="1" s="1"/>
  <c r="A727" i="1" s="1"/>
  <c r="A728" i="1" s="1"/>
  <c r="A729" i="1" s="1"/>
  <c r="A730" i="1" s="1"/>
  <c r="A731" i="1" s="1"/>
  <c r="A732" i="1" s="1"/>
  <c r="A733" i="1" s="1"/>
  <c r="A734" i="1" s="1"/>
  <c r="A735" i="1" s="1"/>
  <c r="A736" i="1" s="1"/>
  <c r="A737" i="1" s="1"/>
  <c r="A738" i="1" s="1"/>
  <c r="A739" i="1" s="1"/>
  <c r="A740" i="1" s="1"/>
  <c r="A741" i="1" s="1"/>
  <c r="A742" i="1" s="1"/>
  <c r="A743" i="1" s="1"/>
  <c r="A744" i="1" s="1"/>
  <c r="A745" i="1" s="1"/>
  <c r="A746" i="1" s="1"/>
  <c r="A747" i="1" s="1"/>
  <c r="A748" i="1" s="1"/>
  <c r="A749" i="1" s="1"/>
  <c r="A750" i="1" s="1"/>
  <c r="A751" i="1" s="1"/>
  <c r="A752" i="1" s="1"/>
  <c r="A753" i="1" s="1"/>
  <c r="A754" i="1" s="1"/>
  <c r="A755" i="1" s="1"/>
  <c r="A756" i="1" s="1"/>
  <c r="A757" i="1" s="1"/>
  <c r="A758" i="1" s="1"/>
  <c r="A759" i="1" s="1"/>
  <c r="A760" i="1" s="1"/>
  <c r="A720" i="1"/>
  <c r="P710" i="1"/>
  <c r="O710" i="1"/>
  <c r="N710" i="1"/>
  <c r="O703" i="1"/>
  <c r="H697" i="1"/>
  <c r="G697" i="1"/>
  <c r="E697" i="1"/>
  <c r="D696" i="1"/>
  <c r="M690" i="1"/>
  <c r="E690" i="1"/>
  <c r="M689" i="1"/>
  <c r="E689" i="1"/>
  <c r="M688" i="1"/>
  <c r="E688" i="1"/>
  <c r="L687" i="1"/>
  <c r="D687" i="1"/>
  <c r="M679" i="1"/>
  <c r="M678" i="1"/>
  <c r="M677" i="1"/>
  <c r="A634" i="1"/>
  <c r="A635" i="1" s="1"/>
  <c r="A636" i="1" s="1"/>
  <c r="A637" i="1" s="1"/>
  <c r="A638" i="1" s="1"/>
  <c r="A639" i="1" s="1"/>
  <c r="A640" i="1" s="1"/>
  <c r="A641" i="1" s="1"/>
  <c r="A642" i="1" s="1"/>
  <c r="A643" i="1" s="1"/>
  <c r="A644" i="1" s="1"/>
  <c r="A645" i="1" s="1"/>
  <c r="A646" i="1" s="1"/>
  <c r="A647" i="1" s="1"/>
  <c r="A648" i="1" s="1"/>
  <c r="A649" i="1" s="1"/>
  <c r="A650" i="1" s="1"/>
  <c r="A651" i="1" s="1"/>
  <c r="A652" i="1" s="1"/>
  <c r="A653" i="1" s="1"/>
  <c r="A654" i="1" s="1"/>
  <c r="A655" i="1" s="1"/>
  <c r="A656" i="1" s="1"/>
  <c r="A657" i="1" s="1"/>
  <c r="A658" i="1" s="1"/>
  <c r="A659" i="1" s="1"/>
  <c r="A660" i="1" s="1"/>
  <c r="A661" i="1" s="1"/>
  <c r="A662" i="1" s="1"/>
  <c r="A663" i="1" s="1"/>
  <c r="A664" i="1" s="1"/>
  <c r="A665" i="1" s="1"/>
  <c r="A666" i="1" s="1"/>
  <c r="A667" i="1" s="1"/>
  <c r="A668" i="1" s="1"/>
  <c r="A669" i="1" s="1"/>
  <c r="A670" i="1" s="1"/>
  <c r="A671" i="1" s="1"/>
  <c r="A672" i="1" s="1"/>
  <c r="A673" i="1" s="1"/>
  <c r="A633" i="1"/>
  <c r="P623" i="1"/>
  <c r="O623" i="1"/>
  <c r="N623" i="1"/>
  <c r="O616" i="1"/>
  <c r="H610" i="1"/>
  <c r="G610" i="1"/>
  <c r="E610" i="1"/>
  <c r="D609" i="1"/>
  <c r="K584" i="1"/>
  <c r="D584" i="1"/>
  <c r="L584" i="1" s="1"/>
  <c r="K583" i="1"/>
  <c r="D583" i="1"/>
  <c r="L583" i="1" s="1"/>
  <c r="K582" i="1"/>
  <c r="D582" i="1"/>
  <c r="L582" i="1" s="1"/>
  <c r="K581" i="1"/>
  <c r="D581" i="1"/>
  <c r="L581" i="1" s="1"/>
  <c r="K580" i="1"/>
  <c r="D580" i="1"/>
  <c r="L580" i="1" s="1"/>
  <c r="N576" i="1"/>
  <c r="P576" i="1" s="1"/>
  <c r="M576" i="1"/>
  <c r="D576" i="1"/>
  <c r="N575" i="1"/>
  <c r="P575" i="1" s="1"/>
  <c r="M575" i="1"/>
  <c r="D575" i="1"/>
  <c r="N574" i="1"/>
  <c r="P574" i="1" s="1"/>
  <c r="M574" i="1"/>
  <c r="D574" i="1"/>
  <c r="N573" i="1"/>
  <c r="P573" i="1" s="1"/>
  <c r="M573" i="1"/>
  <c r="D573" i="1"/>
  <c r="N568" i="1"/>
  <c r="P568" i="1" s="1"/>
  <c r="L568" i="1"/>
  <c r="D568" i="1"/>
  <c r="N567" i="1"/>
  <c r="P567" i="1" s="1"/>
  <c r="L567" i="1"/>
  <c r="D567" i="1"/>
  <c r="N566" i="1"/>
  <c r="P566" i="1" s="1"/>
  <c r="L566" i="1"/>
  <c r="D566" i="1"/>
  <c r="N565" i="1"/>
  <c r="P565" i="1" s="1"/>
  <c r="L565" i="1"/>
  <c r="D565" i="1"/>
  <c r="N564" i="1"/>
  <c r="P564" i="1" s="1"/>
  <c r="L564" i="1"/>
  <c r="D564" i="1"/>
  <c r="N563" i="1"/>
  <c r="P563" i="1" s="1"/>
  <c r="L563" i="1"/>
  <c r="D563" i="1"/>
  <c r="N562" i="1"/>
  <c r="P562" i="1" s="1"/>
  <c r="L562" i="1"/>
  <c r="D562" i="1"/>
  <c r="N561" i="1"/>
  <c r="P561" i="1" s="1"/>
  <c r="L561" i="1"/>
  <c r="D561" i="1"/>
  <c r="N560" i="1"/>
  <c r="P560" i="1" s="1"/>
  <c r="L560" i="1"/>
  <c r="D560" i="1"/>
  <c r="N559" i="1"/>
  <c r="P559" i="1" s="1"/>
  <c r="L559" i="1"/>
  <c r="D559" i="1"/>
  <c r="N558" i="1"/>
  <c r="P558" i="1" s="1"/>
  <c r="L558" i="1"/>
  <c r="D558" i="1"/>
  <c r="N555" i="1"/>
  <c r="P555" i="1" s="1"/>
  <c r="L555" i="1"/>
  <c r="D555" i="1"/>
  <c r="K551" i="1"/>
  <c r="D551" i="1"/>
  <c r="M551" i="1" s="1"/>
  <c r="K550" i="1"/>
  <c r="D550" i="1"/>
  <c r="M550" i="1" s="1"/>
  <c r="P550" i="1" s="1"/>
  <c r="K549" i="1"/>
  <c r="D549" i="1"/>
  <c r="M549" i="1" s="1"/>
  <c r="P549" i="1" s="1"/>
  <c r="K548" i="1"/>
  <c r="D548" i="1"/>
  <c r="M548" i="1" s="1"/>
  <c r="K546" i="1"/>
  <c r="D546" i="1"/>
  <c r="D543" i="1"/>
  <c r="K497" i="1"/>
  <c r="D497" i="1"/>
  <c r="L497" i="1" s="1"/>
  <c r="K496" i="1"/>
  <c r="D496" i="1"/>
  <c r="L496" i="1" s="1"/>
  <c r="K495" i="1"/>
  <c r="D495" i="1"/>
  <c r="L495" i="1" s="1"/>
  <c r="K494" i="1"/>
  <c r="D494" i="1"/>
  <c r="L494" i="1" s="1"/>
  <c r="N493" i="1"/>
  <c r="K493" i="1"/>
  <c r="D493" i="1"/>
  <c r="L493" i="1" s="1"/>
  <c r="N489" i="1"/>
  <c r="P489" i="1" s="1"/>
  <c r="M489" i="1"/>
  <c r="D489" i="1"/>
  <c r="N488" i="1"/>
  <c r="P488" i="1" s="1"/>
  <c r="M488" i="1"/>
  <c r="D488" i="1"/>
  <c r="N487" i="1"/>
  <c r="P487" i="1" s="1"/>
  <c r="M487" i="1"/>
  <c r="D487" i="1"/>
  <c r="N486" i="1"/>
  <c r="M486" i="1"/>
  <c r="K486" i="1"/>
  <c r="D486" i="1"/>
  <c r="N481" i="1"/>
  <c r="P481" i="1" s="1"/>
  <c r="L481" i="1"/>
  <c r="D481" i="1"/>
  <c r="N480" i="1"/>
  <c r="P480" i="1" s="1"/>
  <c r="L480" i="1"/>
  <c r="D480" i="1"/>
  <c r="N479" i="1"/>
  <c r="P479" i="1" s="1"/>
  <c r="L479" i="1"/>
  <c r="D479" i="1"/>
  <c r="N478" i="1"/>
  <c r="P478" i="1" s="1"/>
  <c r="L478" i="1"/>
  <c r="D478" i="1"/>
  <c r="N477" i="1"/>
  <c r="P477" i="1" s="1"/>
  <c r="L477" i="1"/>
  <c r="D477" i="1"/>
  <c r="N476" i="1"/>
  <c r="P476" i="1" s="1"/>
  <c r="L476" i="1"/>
  <c r="D476" i="1"/>
  <c r="N475" i="1"/>
  <c r="P475" i="1" s="1"/>
  <c r="L475" i="1"/>
  <c r="D475" i="1"/>
  <c r="N474" i="1"/>
  <c r="P474" i="1" s="1"/>
  <c r="L474" i="1"/>
  <c r="D474" i="1"/>
  <c r="N473" i="1"/>
  <c r="P473" i="1" s="1"/>
  <c r="L473" i="1"/>
  <c r="D473" i="1"/>
  <c r="N472" i="1"/>
  <c r="P472" i="1" s="1"/>
  <c r="L472" i="1"/>
  <c r="D472" i="1"/>
  <c r="N471" i="1"/>
  <c r="P471" i="1" s="1"/>
  <c r="L471" i="1"/>
  <c r="D471" i="1"/>
  <c r="N470" i="1"/>
  <c r="P470" i="1" s="1"/>
  <c r="L470" i="1"/>
  <c r="D470" i="1"/>
  <c r="N469" i="1"/>
  <c r="P469" i="1" s="1"/>
  <c r="L469" i="1"/>
  <c r="D469" i="1"/>
  <c r="N468" i="1"/>
  <c r="P468" i="1" s="1"/>
  <c r="L468" i="1"/>
  <c r="D468" i="1"/>
  <c r="K464" i="1"/>
  <c r="D464" i="1"/>
  <c r="M464" i="1" s="1"/>
  <c r="P464" i="1" s="1"/>
  <c r="K463" i="1"/>
  <c r="D463" i="1"/>
  <c r="M463" i="1" s="1"/>
  <c r="P463" i="1" s="1"/>
  <c r="K462" i="1"/>
  <c r="D462" i="1"/>
  <c r="M462" i="1" s="1"/>
  <c r="P462" i="1" s="1"/>
  <c r="K461" i="1"/>
  <c r="D461" i="1"/>
  <c r="M461" i="1" s="1"/>
  <c r="P461" i="1" s="1"/>
  <c r="K460" i="1"/>
  <c r="D460" i="1"/>
  <c r="M460" i="1" s="1"/>
  <c r="P460" i="1" s="1"/>
  <c r="K459" i="1"/>
  <c r="D459" i="1"/>
  <c r="D456" i="1"/>
  <c r="K411" i="1"/>
  <c r="D411" i="1"/>
  <c r="L411" i="1" s="1"/>
  <c r="K410" i="1"/>
  <c r="D410" i="1"/>
  <c r="L410" i="1" s="1"/>
  <c r="K409" i="1"/>
  <c r="D409" i="1"/>
  <c r="L409" i="1" s="1"/>
  <c r="K408" i="1"/>
  <c r="D408" i="1"/>
  <c r="L408" i="1" s="1"/>
  <c r="N407" i="1"/>
  <c r="N408" i="1" s="1"/>
  <c r="K407" i="1"/>
  <c r="D407" i="1"/>
  <c r="L407" i="1" s="1"/>
  <c r="N403" i="1"/>
  <c r="P403" i="1" s="1"/>
  <c r="M403" i="1"/>
  <c r="D403" i="1"/>
  <c r="N402" i="1"/>
  <c r="P402" i="1" s="1"/>
  <c r="M402" i="1"/>
  <c r="D402" i="1"/>
  <c r="N401" i="1"/>
  <c r="P401" i="1" s="1"/>
  <c r="M401" i="1"/>
  <c r="D401" i="1"/>
  <c r="N400" i="1"/>
  <c r="M400" i="1"/>
  <c r="K400" i="1"/>
  <c r="D400" i="1"/>
  <c r="N395" i="1"/>
  <c r="P395" i="1" s="1"/>
  <c r="L395" i="1"/>
  <c r="D395" i="1"/>
  <c r="N394" i="1"/>
  <c r="P394" i="1" s="1"/>
  <c r="L394" i="1"/>
  <c r="D394" i="1"/>
  <c r="N393" i="1"/>
  <c r="P393" i="1" s="1"/>
  <c r="L393" i="1"/>
  <c r="D393" i="1"/>
  <c r="N392" i="1"/>
  <c r="P392" i="1" s="1"/>
  <c r="L392" i="1"/>
  <c r="D392" i="1"/>
  <c r="N391" i="1"/>
  <c r="P391" i="1" s="1"/>
  <c r="L391" i="1"/>
  <c r="D391" i="1"/>
  <c r="N390" i="1"/>
  <c r="P390" i="1" s="1"/>
  <c r="L390" i="1"/>
  <c r="D390" i="1"/>
  <c r="N389" i="1"/>
  <c r="P389" i="1" s="1"/>
  <c r="L389" i="1"/>
  <c r="D389" i="1"/>
  <c r="N388" i="1"/>
  <c r="P388" i="1" s="1"/>
  <c r="L388" i="1"/>
  <c r="D388" i="1"/>
  <c r="N387" i="1"/>
  <c r="P387" i="1" s="1"/>
  <c r="L387" i="1"/>
  <c r="D387" i="1"/>
  <c r="N386" i="1"/>
  <c r="P386" i="1" s="1"/>
  <c r="L386" i="1"/>
  <c r="D386" i="1"/>
  <c r="N385" i="1"/>
  <c r="P385" i="1" s="1"/>
  <c r="L385" i="1"/>
  <c r="D385" i="1"/>
  <c r="N384" i="1"/>
  <c r="P384" i="1" s="1"/>
  <c r="L384" i="1"/>
  <c r="D384" i="1"/>
  <c r="N383" i="1"/>
  <c r="P383" i="1" s="1"/>
  <c r="L383" i="1"/>
  <c r="D383" i="1"/>
  <c r="N382" i="1"/>
  <c r="P382" i="1" s="1"/>
  <c r="L382" i="1"/>
  <c r="D382" i="1"/>
  <c r="K378" i="1"/>
  <c r="D378" i="1"/>
  <c r="K377" i="1"/>
  <c r="D377" i="1"/>
  <c r="M377" i="1" s="1"/>
  <c r="K376" i="1"/>
  <c r="D376" i="1"/>
  <c r="M376" i="1" s="1"/>
  <c r="P376" i="1" s="1"/>
  <c r="K375" i="1"/>
  <c r="D375" i="1"/>
  <c r="K374" i="1"/>
  <c r="D374" i="1"/>
  <c r="K373" i="1"/>
  <c r="D373" i="1"/>
  <c r="D370" i="1"/>
  <c r="K324" i="1"/>
  <c r="D324" i="1"/>
  <c r="L324" i="1" s="1"/>
  <c r="K323" i="1"/>
  <c r="D323" i="1"/>
  <c r="L323" i="1" s="1"/>
  <c r="K322" i="1"/>
  <c r="D322" i="1"/>
  <c r="L322" i="1" s="1"/>
  <c r="K321" i="1"/>
  <c r="D321" i="1"/>
  <c r="L321" i="1" s="1"/>
  <c r="N320" i="1"/>
  <c r="N321" i="1" s="1"/>
  <c r="K320" i="1"/>
  <c r="D320" i="1"/>
  <c r="L320" i="1" s="1"/>
  <c r="N316" i="1"/>
  <c r="P316" i="1" s="1"/>
  <c r="M316" i="1"/>
  <c r="D316" i="1"/>
  <c r="N315" i="1"/>
  <c r="P315" i="1" s="1"/>
  <c r="M315" i="1"/>
  <c r="D315" i="1"/>
  <c r="N314" i="1"/>
  <c r="P314" i="1" s="1"/>
  <c r="M314" i="1"/>
  <c r="D314" i="1"/>
  <c r="N313" i="1"/>
  <c r="M313" i="1"/>
  <c r="K313" i="1"/>
  <c r="D313" i="1"/>
  <c r="N308" i="1"/>
  <c r="P308" i="1" s="1"/>
  <c r="L308" i="1"/>
  <c r="D308" i="1"/>
  <c r="N307" i="1"/>
  <c r="P307" i="1" s="1"/>
  <c r="L307" i="1"/>
  <c r="D307" i="1"/>
  <c r="N306" i="1"/>
  <c r="P306" i="1" s="1"/>
  <c r="L306" i="1"/>
  <c r="D306" i="1"/>
  <c r="N305" i="1"/>
  <c r="P305" i="1" s="1"/>
  <c r="L305" i="1"/>
  <c r="D305" i="1"/>
  <c r="N304" i="1"/>
  <c r="P304" i="1" s="1"/>
  <c r="L304" i="1"/>
  <c r="D304" i="1"/>
  <c r="N303" i="1"/>
  <c r="P303" i="1" s="1"/>
  <c r="L303" i="1"/>
  <c r="D303" i="1"/>
  <c r="N302" i="1"/>
  <c r="P302" i="1" s="1"/>
  <c r="L302" i="1"/>
  <c r="D302" i="1"/>
  <c r="N301" i="1"/>
  <c r="P301" i="1" s="1"/>
  <c r="L301" i="1"/>
  <c r="D301" i="1"/>
  <c r="N300" i="1"/>
  <c r="P300" i="1" s="1"/>
  <c r="L300" i="1"/>
  <c r="D300" i="1"/>
  <c r="N299" i="1"/>
  <c r="P299" i="1" s="1"/>
  <c r="L299" i="1"/>
  <c r="D299" i="1"/>
  <c r="N298" i="1"/>
  <c r="P298" i="1" s="1"/>
  <c r="L298" i="1"/>
  <c r="D298" i="1"/>
  <c r="N297" i="1"/>
  <c r="P297" i="1" s="1"/>
  <c r="L297" i="1"/>
  <c r="D297" i="1"/>
  <c r="N296" i="1"/>
  <c r="P296" i="1" s="1"/>
  <c r="L296" i="1"/>
  <c r="D296" i="1"/>
  <c r="N295" i="1"/>
  <c r="P295" i="1" s="1"/>
  <c r="L295" i="1"/>
  <c r="D295" i="1"/>
  <c r="K291" i="1"/>
  <c r="D291" i="1"/>
  <c r="M291" i="1" s="1"/>
  <c r="K290" i="1"/>
  <c r="D290" i="1"/>
  <c r="M290" i="1" s="1"/>
  <c r="P290" i="1" s="1"/>
  <c r="K289" i="1"/>
  <c r="D289" i="1"/>
  <c r="M289" i="1" s="1"/>
  <c r="P289" i="1" s="1"/>
  <c r="K288" i="1"/>
  <c r="D288" i="1"/>
  <c r="M288" i="1" s="1"/>
  <c r="P288" i="1" s="1"/>
  <c r="K287" i="1"/>
  <c r="D287" i="1"/>
  <c r="M287" i="1" s="1"/>
  <c r="K286" i="1"/>
  <c r="D286" i="1"/>
  <c r="D283" i="1"/>
  <c r="M1273" i="1" l="1"/>
  <c r="P1273" i="1" s="1"/>
  <c r="M496" i="1"/>
  <c r="P496" i="1" s="1"/>
  <c r="G57" i="5"/>
  <c r="M57" i="5" s="1"/>
  <c r="G55" i="5"/>
  <c r="M55" i="5" s="1"/>
  <c r="G56" i="5"/>
  <c r="M56" i="5" s="1"/>
  <c r="M1011" i="1"/>
  <c r="P1011" i="1" s="1"/>
  <c r="M1099" i="1"/>
  <c r="P1099" i="1" s="1"/>
  <c r="M1240" i="1"/>
  <c r="P1240" i="1" s="1"/>
  <c r="M667" i="1"/>
  <c r="P667" i="1" s="1"/>
  <c r="M1184" i="1"/>
  <c r="P1184" i="1" s="1"/>
  <c r="P1242" i="1"/>
  <c r="M1275" i="1"/>
  <c r="P1275" i="1" s="1"/>
  <c r="M670" i="1"/>
  <c r="P670" i="1" s="1"/>
  <c r="P1238" i="1"/>
  <c r="M1272" i="1"/>
  <c r="P1272" i="1" s="1"/>
  <c r="M926" i="1"/>
  <c r="P926" i="1" s="1"/>
  <c r="N1260" i="1"/>
  <c r="P1260" i="1" s="1"/>
  <c r="P1261" i="1" s="1"/>
  <c r="M1271" i="1"/>
  <c r="P1271" i="1" s="1"/>
  <c r="P1268" i="1"/>
  <c r="M1274" i="1"/>
  <c r="P1274" i="1" s="1"/>
  <c r="M1186" i="1"/>
  <c r="P1186" i="1" s="1"/>
  <c r="M928" i="1"/>
  <c r="P928" i="1" s="1"/>
  <c r="M756" i="1"/>
  <c r="P756" i="1" s="1"/>
  <c r="M322" i="1"/>
  <c r="P322" i="1" s="1"/>
  <c r="M1100" i="1"/>
  <c r="P1100" i="1" s="1"/>
  <c r="M844" i="1"/>
  <c r="P844" i="1" s="1"/>
  <c r="M411" i="1"/>
  <c r="P411" i="1" s="1"/>
  <c r="P807" i="1"/>
  <c r="M755" i="1"/>
  <c r="P755" i="1" s="1"/>
  <c r="M840" i="1"/>
  <c r="P840" i="1" s="1"/>
  <c r="M668" i="1"/>
  <c r="P668" i="1" s="1"/>
  <c r="M754" i="1"/>
  <c r="P754" i="1" s="1"/>
  <c r="P635" i="1"/>
  <c r="M669" i="1"/>
  <c r="P669" i="1" s="1"/>
  <c r="M1185" i="1"/>
  <c r="P1185" i="1" s="1"/>
  <c r="P751" i="1"/>
  <c r="M497" i="1"/>
  <c r="P497" i="1" s="1"/>
  <c r="M981" i="1"/>
  <c r="P981" i="1" s="1"/>
  <c r="M930" i="1"/>
  <c r="P930" i="1" s="1"/>
  <c r="P1008" i="1"/>
  <c r="M1013" i="1"/>
  <c r="P1013" i="1" s="1"/>
  <c r="P377" i="1"/>
  <c r="M757" i="1"/>
  <c r="P757" i="1" s="1"/>
  <c r="M1014" i="1"/>
  <c r="P1014" i="1" s="1"/>
  <c r="M638" i="1"/>
  <c r="P638" i="1" s="1"/>
  <c r="M758" i="1"/>
  <c r="P758" i="1" s="1"/>
  <c r="M842" i="1"/>
  <c r="P842" i="1" s="1"/>
  <c r="M324" i="1"/>
  <c r="P324" i="1" s="1"/>
  <c r="M494" i="1"/>
  <c r="P494" i="1" s="1"/>
  <c r="M896" i="1"/>
  <c r="P896" i="1" s="1"/>
  <c r="M1154" i="1"/>
  <c r="P1154" i="1" s="1"/>
  <c r="N1173" i="1"/>
  <c r="P1173" i="1" s="1"/>
  <c r="P1174" i="1" s="1"/>
  <c r="P1181" i="1"/>
  <c r="M1187" i="1"/>
  <c r="P1187" i="1" s="1"/>
  <c r="M1188" i="1"/>
  <c r="P1188" i="1" s="1"/>
  <c r="P1152" i="1"/>
  <c r="M1101" i="1"/>
  <c r="P1101" i="1" s="1"/>
  <c r="N1086" i="1"/>
  <c r="P1086" i="1" s="1"/>
  <c r="P1087" i="1" s="1"/>
  <c r="M1098" i="1"/>
  <c r="P1098" i="1" s="1"/>
  <c r="M1097" i="1"/>
  <c r="P1097" i="1" s="1"/>
  <c r="P1094" i="1"/>
  <c r="M1065" i="1"/>
  <c r="P1065" i="1" s="1"/>
  <c r="N1000" i="1"/>
  <c r="P1000" i="1" s="1"/>
  <c r="P1001" i="1" s="1"/>
  <c r="M1015" i="1"/>
  <c r="P1015" i="1" s="1"/>
  <c r="M1012" i="1"/>
  <c r="P1012" i="1" s="1"/>
  <c r="M927" i="1"/>
  <c r="P927" i="1" s="1"/>
  <c r="P923" i="1"/>
  <c r="N915" i="1"/>
  <c r="P915" i="1" s="1"/>
  <c r="P916" i="1" s="1"/>
  <c r="M929" i="1"/>
  <c r="P929" i="1" s="1"/>
  <c r="M893" i="1"/>
  <c r="P893" i="1" s="1"/>
  <c r="M897" i="1"/>
  <c r="P897" i="1" s="1"/>
  <c r="M895" i="1"/>
  <c r="P895" i="1" s="1"/>
  <c r="M841" i="1"/>
  <c r="P841" i="1" s="1"/>
  <c r="P837" i="1"/>
  <c r="N829" i="1"/>
  <c r="P829" i="1" s="1"/>
  <c r="P830" i="1" s="1"/>
  <c r="M843" i="1"/>
  <c r="P843" i="1" s="1"/>
  <c r="P809" i="1"/>
  <c r="M811" i="1"/>
  <c r="P811" i="1" s="1"/>
  <c r="N743" i="1"/>
  <c r="P743" i="1" s="1"/>
  <c r="P744" i="1" s="1"/>
  <c r="M725" i="1"/>
  <c r="P725" i="1" s="1"/>
  <c r="M721" i="1"/>
  <c r="P721" i="1" s="1"/>
  <c r="N656" i="1"/>
  <c r="P656" i="1" s="1"/>
  <c r="P657" i="1" s="1"/>
  <c r="P664" i="1"/>
  <c r="M671" i="1"/>
  <c r="P671" i="1" s="1"/>
  <c r="M634" i="1"/>
  <c r="P313" i="1"/>
  <c r="P317" i="1" s="1"/>
  <c r="M495" i="1"/>
  <c r="P495" i="1" s="1"/>
  <c r="M408" i="1"/>
  <c r="P408" i="1" s="1"/>
  <c r="P400" i="1"/>
  <c r="P404" i="1" s="1"/>
  <c r="M378" i="1"/>
  <c r="P378" i="1" s="1"/>
  <c r="M493" i="1"/>
  <c r="P493" i="1" s="1"/>
  <c r="M582" i="1"/>
  <c r="P582" i="1" s="1"/>
  <c r="P577" i="1"/>
  <c r="P486" i="1"/>
  <c r="P490" i="1" s="1"/>
  <c r="M580" i="1"/>
  <c r="P580" i="1" s="1"/>
  <c r="M581" i="1"/>
  <c r="P581" i="1" s="1"/>
  <c r="M583" i="1"/>
  <c r="P583" i="1" s="1"/>
  <c r="N569" i="1"/>
  <c r="P569" i="1" s="1"/>
  <c r="P570" i="1" s="1"/>
  <c r="M584" i="1"/>
  <c r="P584" i="1" s="1"/>
  <c r="P551" i="1"/>
  <c r="P548" i="1"/>
  <c r="N482" i="1"/>
  <c r="P482" i="1" s="1"/>
  <c r="P483" i="1" s="1"/>
  <c r="M407" i="1"/>
  <c r="P407" i="1" s="1"/>
  <c r="M409" i="1"/>
  <c r="P409" i="1" s="1"/>
  <c r="M410" i="1"/>
  <c r="P410" i="1" s="1"/>
  <c r="N396" i="1"/>
  <c r="P396" i="1" s="1"/>
  <c r="P397" i="1" s="1"/>
  <c r="M374" i="1"/>
  <c r="P374" i="1" s="1"/>
  <c r="M375" i="1"/>
  <c r="P375" i="1" s="1"/>
  <c r="M320" i="1"/>
  <c r="P320" i="1" s="1"/>
  <c r="M321" i="1"/>
  <c r="P321" i="1" s="1"/>
  <c r="N309" i="1"/>
  <c r="P309" i="1" s="1"/>
  <c r="P310" i="1" s="1"/>
  <c r="M323" i="1"/>
  <c r="P323" i="1" s="1"/>
  <c r="P287" i="1"/>
  <c r="P291" i="1"/>
  <c r="M603" i="1"/>
  <c r="E603" i="1"/>
  <c r="M602" i="1"/>
  <c r="E602" i="1"/>
  <c r="M601" i="1"/>
  <c r="E601" i="1"/>
  <c r="L600" i="1"/>
  <c r="D600" i="1"/>
  <c r="M592" i="1"/>
  <c r="M591" i="1"/>
  <c r="M590" i="1"/>
  <c r="A547" i="1"/>
  <c r="A548" i="1" s="1"/>
  <c r="A549" i="1" s="1"/>
  <c r="A550" i="1" s="1"/>
  <c r="A551" i="1" s="1"/>
  <c r="A552" i="1" s="1"/>
  <c r="A553" i="1" s="1"/>
  <c r="A554" i="1" s="1"/>
  <c r="A555" i="1" s="1"/>
  <c r="A556" i="1" s="1"/>
  <c r="A557" i="1" s="1"/>
  <c r="A558" i="1" s="1"/>
  <c r="A559" i="1" s="1"/>
  <c r="A560" i="1" s="1"/>
  <c r="A561" i="1" s="1"/>
  <c r="A562" i="1" s="1"/>
  <c r="A563" i="1" s="1"/>
  <c r="A564" i="1" s="1"/>
  <c r="A565" i="1" s="1"/>
  <c r="A566" i="1" s="1"/>
  <c r="A567" i="1" s="1"/>
  <c r="A568" i="1" s="1"/>
  <c r="A569" i="1" s="1"/>
  <c r="A570" i="1" s="1"/>
  <c r="A571" i="1" s="1"/>
  <c r="A572" i="1" s="1"/>
  <c r="A573" i="1" s="1"/>
  <c r="A574" i="1" s="1"/>
  <c r="A575" i="1" s="1"/>
  <c r="A576" i="1" s="1"/>
  <c r="A577" i="1" s="1"/>
  <c r="A578" i="1" s="1"/>
  <c r="A579" i="1" s="1"/>
  <c r="A580" i="1" s="1"/>
  <c r="A581" i="1" s="1"/>
  <c r="A582" i="1" s="1"/>
  <c r="A583" i="1" s="1"/>
  <c r="A584" i="1" s="1"/>
  <c r="A585" i="1" s="1"/>
  <c r="A586" i="1" s="1"/>
  <c r="A546" i="1"/>
  <c r="P536" i="1"/>
  <c r="O536" i="1"/>
  <c r="N536" i="1"/>
  <c r="O529" i="1"/>
  <c r="H523" i="1"/>
  <c r="G523" i="1"/>
  <c r="E523" i="1"/>
  <c r="D522" i="1"/>
  <c r="M516" i="1"/>
  <c r="E516" i="1"/>
  <c r="M515" i="1"/>
  <c r="E515" i="1"/>
  <c r="M514" i="1"/>
  <c r="E514" i="1"/>
  <c r="L513" i="1"/>
  <c r="D513" i="1"/>
  <c r="M505" i="1"/>
  <c r="M504" i="1"/>
  <c r="M503" i="1"/>
  <c r="A460" i="1"/>
  <c r="A461" i="1" s="1"/>
  <c r="A462" i="1" s="1"/>
  <c r="A463" i="1" s="1"/>
  <c r="A464" i="1" s="1"/>
  <c r="A465" i="1" s="1"/>
  <c r="A466" i="1" s="1"/>
  <c r="A467" i="1" s="1"/>
  <c r="A468" i="1" s="1"/>
  <c r="A469" i="1" s="1"/>
  <c r="A470" i="1" s="1"/>
  <c r="A471" i="1" s="1"/>
  <c r="A472" i="1" s="1"/>
  <c r="A473" i="1" s="1"/>
  <c r="A474" i="1" s="1"/>
  <c r="A475" i="1" s="1"/>
  <c r="A476" i="1" s="1"/>
  <c r="A477" i="1" s="1"/>
  <c r="A478" i="1" s="1"/>
  <c r="A479" i="1" s="1"/>
  <c r="A480" i="1" s="1"/>
  <c r="A481" i="1" s="1"/>
  <c r="A482" i="1" s="1"/>
  <c r="A483" i="1" s="1"/>
  <c r="A484" i="1" s="1"/>
  <c r="A485" i="1" s="1"/>
  <c r="A486" i="1" s="1"/>
  <c r="A487" i="1" s="1"/>
  <c r="A488" i="1" s="1"/>
  <c r="A489" i="1" s="1"/>
  <c r="A490" i="1" s="1"/>
  <c r="A491" i="1" s="1"/>
  <c r="A492" i="1" s="1"/>
  <c r="A493" i="1" s="1"/>
  <c r="A494" i="1" s="1"/>
  <c r="A495" i="1" s="1"/>
  <c r="A496" i="1" s="1"/>
  <c r="A497" i="1" s="1"/>
  <c r="A498" i="1" s="1"/>
  <c r="A499" i="1" s="1"/>
  <c r="A459" i="1"/>
  <c r="P449" i="1"/>
  <c r="O449" i="1"/>
  <c r="N449" i="1"/>
  <c r="O442" i="1"/>
  <c r="H436" i="1"/>
  <c r="G436" i="1"/>
  <c r="E436" i="1"/>
  <c r="D435" i="1"/>
  <c r="M430" i="1"/>
  <c r="E430" i="1"/>
  <c r="M429" i="1"/>
  <c r="E429" i="1"/>
  <c r="M428" i="1"/>
  <c r="E428" i="1"/>
  <c r="L427" i="1"/>
  <c r="D427" i="1"/>
  <c r="M419" i="1"/>
  <c r="M418" i="1"/>
  <c r="M417" i="1"/>
  <c r="A374" i="1"/>
  <c r="A375" i="1" s="1"/>
  <c r="A376" i="1" s="1"/>
  <c r="A377" i="1" s="1"/>
  <c r="A378" i="1" s="1"/>
  <c r="A379" i="1" s="1"/>
  <c r="A380" i="1" s="1"/>
  <c r="A381" i="1" s="1"/>
  <c r="A382" i="1" s="1"/>
  <c r="A383" i="1" s="1"/>
  <c r="A384" i="1" s="1"/>
  <c r="A385" i="1" s="1"/>
  <c r="A386" i="1" s="1"/>
  <c r="A387" i="1" s="1"/>
  <c r="A388" i="1" s="1"/>
  <c r="A389" i="1" s="1"/>
  <c r="A390" i="1" s="1"/>
  <c r="A391" i="1" s="1"/>
  <c r="A392" i="1" s="1"/>
  <c r="A393" i="1" s="1"/>
  <c r="A394" i="1" s="1"/>
  <c r="A395" i="1" s="1"/>
  <c r="A396" i="1" s="1"/>
  <c r="A397" i="1" s="1"/>
  <c r="A398" i="1" s="1"/>
  <c r="A399" i="1" s="1"/>
  <c r="A400" i="1" s="1"/>
  <c r="A401" i="1" s="1"/>
  <c r="A402" i="1" s="1"/>
  <c r="A403" i="1" s="1"/>
  <c r="A404" i="1" s="1"/>
  <c r="A405" i="1" s="1"/>
  <c r="A406" i="1" s="1"/>
  <c r="A407" i="1" s="1"/>
  <c r="A408" i="1" s="1"/>
  <c r="A409" i="1" s="1"/>
  <c r="A410" i="1" s="1"/>
  <c r="A411" i="1" s="1"/>
  <c r="A412" i="1" s="1"/>
  <c r="A413" i="1" s="1"/>
  <c r="A373" i="1"/>
  <c r="P363" i="1"/>
  <c r="O363" i="1"/>
  <c r="N363" i="1"/>
  <c r="O356" i="1"/>
  <c r="H350" i="1"/>
  <c r="G350" i="1"/>
  <c r="E350" i="1"/>
  <c r="D349" i="1"/>
  <c r="M343" i="1"/>
  <c r="E343" i="1"/>
  <c r="M342" i="1"/>
  <c r="E342" i="1"/>
  <c r="M341" i="1"/>
  <c r="E341" i="1"/>
  <c r="L340" i="1"/>
  <c r="D340" i="1"/>
  <c r="M332" i="1"/>
  <c r="M331" i="1"/>
  <c r="M330" i="1"/>
  <c r="A287" i="1"/>
  <c r="A288" i="1" s="1"/>
  <c r="A289" i="1" s="1"/>
  <c r="A290" i="1" s="1"/>
  <c r="A291" i="1" s="1"/>
  <c r="A292" i="1" s="1"/>
  <c r="A293" i="1" s="1"/>
  <c r="A294" i="1" s="1"/>
  <c r="A295" i="1" s="1"/>
  <c r="A296" i="1" s="1"/>
  <c r="A297" i="1" s="1"/>
  <c r="A298" i="1" s="1"/>
  <c r="A299" i="1" s="1"/>
  <c r="A300" i="1" s="1"/>
  <c r="A301" i="1" s="1"/>
  <c r="A302" i="1" s="1"/>
  <c r="A303" i="1" s="1"/>
  <c r="A304" i="1" s="1"/>
  <c r="A305" i="1" s="1"/>
  <c r="A306" i="1" s="1"/>
  <c r="A307" i="1" s="1"/>
  <c r="A308" i="1" s="1"/>
  <c r="A309" i="1" s="1"/>
  <c r="A310" i="1" s="1"/>
  <c r="A311" i="1" s="1"/>
  <c r="A312" i="1" s="1"/>
  <c r="A313" i="1" s="1"/>
  <c r="A314" i="1" s="1"/>
  <c r="A315" i="1" s="1"/>
  <c r="A316" i="1" s="1"/>
  <c r="A317" i="1" s="1"/>
  <c r="A318" i="1" s="1"/>
  <c r="A319" i="1" s="1"/>
  <c r="A320" i="1" s="1"/>
  <c r="A321" i="1" s="1"/>
  <c r="A322" i="1" s="1"/>
  <c r="A323" i="1" s="1"/>
  <c r="A324" i="1" s="1"/>
  <c r="A325" i="1" s="1"/>
  <c r="A326" i="1" s="1"/>
  <c r="A286" i="1"/>
  <c r="P276" i="1"/>
  <c r="O276" i="1"/>
  <c r="N276" i="1"/>
  <c r="O269" i="1"/>
  <c r="H263" i="1"/>
  <c r="G263" i="1"/>
  <c r="E263" i="1"/>
  <c r="D262" i="1"/>
  <c r="K237" i="1"/>
  <c r="D237" i="1"/>
  <c r="L237" i="1" s="1"/>
  <c r="K236" i="1"/>
  <c r="D236" i="1"/>
  <c r="L236" i="1" s="1"/>
  <c r="K235" i="1"/>
  <c r="D235" i="1"/>
  <c r="L235" i="1" s="1"/>
  <c r="K234" i="1"/>
  <c r="D234" i="1"/>
  <c r="L234" i="1" s="1"/>
  <c r="K233" i="1"/>
  <c r="D233" i="1"/>
  <c r="L233" i="1" s="1"/>
  <c r="N229" i="1"/>
  <c r="P229" i="1" s="1"/>
  <c r="M229" i="1"/>
  <c r="D229" i="1"/>
  <c r="N228" i="1"/>
  <c r="P228" i="1" s="1"/>
  <c r="M228" i="1"/>
  <c r="D228" i="1"/>
  <c r="N227" i="1"/>
  <c r="P227" i="1" s="1"/>
  <c r="M227" i="1"/>
  <c r="D227" i="1"/>
  <c r="N226" i="1"/>
  <c r="P226" i="1" s="1"/>
  <c r="M226" i="1"/>
  <c r="D226" i="1"/>
  <c r="N221" i="1"/>
  <c r="P221" i="1" s="1"/>
  <c r="L221" i="1"/>
  <c r="D221" i="1"/>
  <c r="N220" i="1"/>
  <c r="P220" i="1" s="1"/>
  <c r="L220" i="1"/>
  <c r="D220" i="1"/>
  <c r="N219" i="1"/>
  <c r="P219" i="1" s="1"/>
  <c r="L219" i="1"/>
  <c r="D219" i="1"/>
  <c r="N218" i="1"/>
  <c r="P218" i="1" s="1"/>
  <c r="L218" i="1"/>
  <c r="D218" i="1"/>
  <c r="N217" i="1"/>
  <c r="P217" i="1" s="1"/>
  <c r="L217" i="1"/>
  <c r="D217" i="1"/>
  <c r="N216" i="1"/>
  <c r="P216" i="1" s="1"/>
  <c r="L216" i="1"/>
  <c r="D216" i="1"/>
  <c r="N215" i="1"/>
  <c r="P215" i="1" s="1"/>
  <c r="L215" i="1"/>
  <c r="D215" i="1"/>
  <c r="N214" i="1"/>
  <c r="P214" i="1" s="1"/>
  <c r="L214" i="1"/>
  <c r="D214" i="1"/>
  <c r="N213" i="1"/>
  <c r="P213" i="1" s="1"/>
  <c r="L213" i="1"/>
  <c r="D213" i="1"/>
  <c r="N212" i="1"/>
  <c r="P212" i="1" s="1"/>
  <c r="L212" i="1"/>
  <c r="D212" i="1"/>
  <c r="N211" i="1"/>
  <c r="P211" i="1" s="1"/>
  <c r="L211" i="1"/>
  <c r="D211" i="1"/>
  <c r="N210" i="1"/>
  <c r="P210" i="1" s="1"/>
  <c r="L210" i="1"/>
  <c r="D210" i="1"/>
  <c r="N209" i="1"/>
  <c r="P209" i="1" s="1"/>
  <c r="L209" i="1"/>
  <c r="D209" i="1"/>
  <c r="N208" i="1"/>
  <c r="P208" i="1" s="1"/>
  <c r="L208" i="1"/>
  <c r="D208" i="1"/>
  <c r="K204" i="1"/>
  <c r="D204" i="1"/>
  <c r="M204" i="1" s="1"/>
  <c r="P204" i="1" s="1"/>
  <c r="K203" i="1"/>
  <c r="D203" i="1"/>
  <c r="K202" i="1"/>
  <c r="D202" i="1"/>
  <c r="M202" i="1" s="1"/>
  <c r="K201" i="1"/>
  <c r="D201" i="1"/>
  <c r="M201" i="1" s="1"/>
  <c r="K200" i="1"/>
  <c r="D200" i="1"/>
  <c r="K199" i="1"/>
  <c r="D199" i="1"/>
  <c r="D196" i="1"/>
  <c r="M256" i="1"/>
  <c r="E256" i="1"/>
  <c r="M255" i="1"/>
  <c r="E255" i="1"/>
  <c r="M254" i="1"/>
  <c r="E254" i="1"/>
  <c r="L253" i="1"/>
  <c r="D253" i="1"/>
  <c r="M245" i="1"/>
  <c r="M244" i="1"/>
  <c r="M243" i="1"/>
  <c r="A200" i="1"/>
  <c r="A201" i="1" s="1"/>
  <c r="A202" i="1" s="1"/>
  <c r="A203" i="1" s="1"/>
  <c r="A204" i="1" s="1"/>
  <c r="A205" i="1" s="1"/>
  <c r="A206" i="1" s="1"/>
  <c r="A207" i="1" s="1"/>
  <c r="A208" i="1" s="1"/>
  <c r="A209" i="1" s="1"/>
  <c r="A210" i="1" s="1"/>
  <c r="A211" i="1" s="1"/>
  <c r="A212" i="1" s="1"/>
  <c r="A213" i="1" s="1"/>
  <c r="A214" i="1" s="1"/>
  <c r="A215" i="1" s="1"/>
  <c r="A216" i="1" s="1"/>
  <c r="A217" i="1" s="1"/>
  <c r="A218" i="1" s="1"/>
  <c r="A219" i="1" s="1"/>
  <c r="A220" i="1" s="1"/>
  <c r="A221" i="1" s="1"/>
  <c r="A222" i="1" s="1"/>
  <c r="A223" i="1" s="1"/>
  <c r="A224" i="1" s="1"/>
  <c r="A225" i="1" s="1"/>
  <c r="A226" i="1" s="1"/>
  <c r="A227" i="1" s="1"/>
  <c r="A228" i="1" s="1"/>
  <c r="A229" i="1" s="1"/>
  <c r="A230" i="1" s="1"/>
  <c r="A231" i="1" s="1"/>
  <c r="A232" i="1" s="1"/>
  <c r="A233" i="1" s="1"/>
  <c r="A234" i="1" s="1"/>
  <c r="A235" i="1" s="1"/>
  <c r="A236" i="1" s="1"/>
  <c r="A237" i="1" s="1"/>
  <c r="A238" i="1" s="1"/>
  <c r="A239" i="1" s="1"/>
  <c r="A199" i="1"/>
  <c r="P189" i="1"/>
  <c r="O189" i="1"/>
  <c r="N189" i="1"/>
  <c r="O182" i="1"/>
  <c r="H176" i="1"/>
  <c r="G176" i="1"/>
  <c r="E176" i="1"/>
  <c r="D175" i="1"/>
  <c r="K151" i="1"/>
  <c r="D151" i="1"/>
  <c r="L151" i="1" s="1"/>
  <c r="K150" i="1"/>
  <c r="D150" i="1"/>
  <c r="L150" i="1" s="1"/>
  <c r="K149" i="1"/>
  <c r="D149" i="1"/>
  <c r="L149" i="1" s="1"/>
  <c r="N148" i="1"/>
  <c r="K148" i="1"/>
  <c r="D148" i="1"/>
  <c r="L148" i="1" s="1"/>
  <c r="K147" i="1"/>
  <c r="D147" i="1"/>
  <c r="L147" i="1" s="1"/>
  <c r="N143" i="1"/>
  <c r="P143" i="1" s="1"/>
  <c r="M143" i="1"/>
  <c r="D143" i="1"/>
  <c r="N142" i="1"/>
  <c r="P142" i="1" s="1"/>
  <c r="M142" i="1"/>
  <c r="D142" i="1"/>
  <c r="N141" i="1"/>
  <c r="P141" i="1" s="1"/>
  <c r="M141" i="1"/>
  <c r="D141" i="1"/>
  <c r="N135" i="1"/>
  <c r="P135" i="1" s="1"/>
  <c r="L135" i="1"/>
  <c r="D135" i="1"/>
  <c r="N134" i="1"/>
  <c r="P134" i="1" s="1"/>
  <c r="L134" i="1"/>
  <c r="D134" i="1"/>
  <c r="N133" i="1"/>
  <c r="P133" i="1" s="1"/>
  <c r="L133" i="1"/>
  <c r="D133" i="1"/>
  <c r="N132" i="1"/>
  <c r="P132" i="1" s="1"/>
  <c r="L132" i="1"/>
  <c r="D132" i="1"/>
  <c r="N131" i="1"/>
  <c r="P131" i="1" s="1"/>
  <c r="L131" i="1"/>
  <c r="D131" i="1"/>
  <c r="N130" i="1"/>
  <c r="P130" i="1" s="1"/>
  <c r="L130" i="1"/>
  <c r="D130" i="1"/>
  <c r="N129" i="1"/>
  <c r="P129" i="1" s="1"/>
  <c r="L129" i="1"/>
  <c r="D129" i="1"/>
  <c r="N128" i="1"/>
  <c r="P128" i="1" s="1"/>
  <c r="L128" i="1"/>
  <c r="D128" i="1"/>
  <c r="N127" i="1"/>
  <c r="P127" i="1" s="1"/>
  <c r="L127" i="1"/>
  <c r="D127" i="1"/>
  <c r="N126" i="1"/>
  <c r="P126" i="1" s="1"/>
  <c r="L126" i="1"/>
  <c r="D126" i="1"/>
  <c r="N125" i="1"/>
  <c r="P125" i="1" s="1"/>
  <c r="L125" i="1"/>
  <c r="D125" i="1"/>
  <c r="N124" i="1"/>
  <c r="P124" i="1" s="1"/>
  <c r="L124" i="1"/>
  <c r="D124" i="1"/>
  <c r="N123" i="1"/>
  <c r="P123" i="1" s="1"/>
  <c r="L123" i="1"/>
  <c r="D123" i="1"/>
  <c r="N122" i="1"/>
  <c r="P122" i="1" s="1"/>
  <c r="L122" i="1"/>
  <c r="D122" i="1"/>
  <c r="K118" i="1"/>
  <c r="D118" i="1"/>
  <c r="M118" i="1" s="1"/>
  <c r="P118" i="1" s="1"/>
  <c r="K117" i="1"/>
  <c r="D117" i="1"/>
  <c r="M117" i="1" s="1"/>
  <c r="P117" i="1" s="1"/>
  <c r="K116" i="1"/>
  <c r="D116" i="1"/>
  <c r="M116" i="1" s="1"/>
  <c r="P116" i="1" s="1"/>
  <c r="K115" i="1"/>
  <c r="D115" i="1"/>
  <c r="N114" i="1"/>
  <c r="K114" i="1"/>
  <c r="D114" i="1"/>
  <c r="K113" i="1"/>
  <c r="D113" i="1"/>
  <c r="D110" i="1"/>
  <c r="M170" i="1"/>
  <c r="M169" i="1"/>
  <c r="M168" i="1"/>
  <c r="M82" i="1"/>
  <c r="M83" i="1"/>
  <c r="M84" i="1"/>
  <c r="E170" i="1"/>
  <c r="E169" i="1"/>
  <c r="E168" i="1"/>
  <c r="L167" i="1"/>
  <c r="D167" i="1"/>
  <c r="M159" i="1"/>
  <c r="M158" i="1"/>
  <c r="M157" i="1"/>
  <c r="A114" i="1"/>
  <c r="A115" i="1" s="1"/>
  <c r="A116" i="1" s="1"/>
  <c r="A117" i="1" s="1"/>
  <c r="A118" i="1" s="1"/>
  <c r="A119" i="1" s="1"/>
  <c r="A120" i="1" s="1"/>
  <c r="A121" i="1" s="1"/>
  <c r="A122" i="1" s="1"/>
  <c r="A123" i="1" s="1"/>
  <c r="A124" i="1" s="1"/>
  <c r="A125" i="1" s="1"/>
  <c r="A126" i="1" s="1"/>
  <c r="A127" i="1" s="1"/>
  <c r="A128" i="1" s="1"/>
  <c r="A129" i="1" s="1"/>
  <c r="A130" i="1" s="1"/>
  <c r="A131" i="1" s="1"/>
  <c r="A132" i="1" s="1"/>
  <c r="A133" i="1" s="1"/>
  <c r="A134" i="1" s="1"/>
  <c r="A135" i="1" s="1"/>
  <c r="A136" i="1" s="1"/>
  <c r="A137" i="1" s="1"/>
  <c r="A138" i="1" s="1"/>
  <c r="A139" i="1" s="1"/>
  <c r="A140" i="1" s="1"/>
  <c r="A141" i="1" s="1"/>
  <c r="A142" i="1" s="1"/>
  <c r="A143" i="1" s="1"/>
  <c r="A144" i="1" s="1"/>
  <c r="A145" i="1" s="1"/>
  <c r="A146" i="1" s="1"/>
  <c r="A147" i="1" s="1"/>
  <c r="A148" i="1" s="1"/>
  <c r="A149" i="1" s="1"/>
  <c r="A150" i="1" s="1"/>
  <c r="A151" i="1" s="1"/>
  <c r="A152" i="1" s="1"/>
  <c r="A153" i="1" s="1"/>
  <c r="A113" i="1"/>
  <c r="P103" i="1"/>
  <c r="O103" i="1"/>
  <c r="N103" i="1"/>
  <c r="O96" i="1"/>
  <c r="H90" i="1"/>
  <c r="G90" i="1"/>
  <c r="E90" i="1"/>
  <c r="D89" i="1"/>
  <c r="M27" i="5"/>
  <c r="M28" i="5"/>
  <c r="M29" i="5"/>
  <c r="M35" i="5"/>
  <c r="M37" i="5"/>
  <c r="M38" i="5"/>
  <c r="M47" i="5"/>
  <c r="M48" i="5"/>
  <c r="M49" i="5"/>
  <c r="M58" i="5"/>
  <c r="M59" i="5"/>
  <c r="M60" i="5"/>
  <c r="M61" i="5"/>
  <c r="M62" i="5"/>
  <c r="M63" i="5"/>
  <c r="M64" i="5"/>
  <c r="M65" i="5"/>
  <c r="M66" i="5"/>
  <c r="M67" i="5"/>
  <c r="M68" i="5"/>
  <c r="M69" i="5"/>
  <c r="M70" i="5"/>
  <c r="M71" i="5"/>
  <c r="M72" i="5"/>
  <c r="M73" i="5"/>
  <c r="M74" i="5"/>
  <c r="M75" i="5"/>
  <c r="M76" i="5"/>
  <c r="M77" i="5"/>
  <c r="M78" i="5"/>
  <c r="M79" i="5"/>
  <c r="M80" i="5"/>
  <c r="M81" i="5"/>
  <c r="M82" i="5"/>
  <c r="M83" i="5"/>
  <c r="M84" i="5"/>
  <c r="M85" i="5"/>
  <c r="M86" i="5"/>
  <c r="M88" i="5"/>
  <c r="M89" i="5"/>
  <c r="M90" i="5"/>
  <c r="M91" i="5"/>
  <c r="M92" i="5"/>
  <c r="M93" i="5"/>
  <c r="M94" i="5"/>
  <c r="M95" i="5"/>
  <c r="M96" i="5"/>
  <c r="M97" i="5"/>
  <c r="M98" i="5"/>
  <c r="K65" i="1"/>
  <c r="D65" i="1"/>
  <c r="L65" i="1" s="1"/>
  <c r="K64" i="1"/>
  <c r="D64" i="1"/>
  <c r="L64" i="1" s="1"/>
  <c r="K63" i="1"/>
  <c r="D63" i="1"/>
  <c r="L63" i="1" s="1"/>
  <c r="K62" i="1"/>
  <c r="D62" i="1"/>
  <c r="L62" i="1" s="1"/>
  <c r="K61" i="1"/>
  <c r="D61" i="1"/>
  <c r="L61" i="1" s="1"/>
  <c r="N57" i="1"/>
  <c r="P57" i="1" s="1"/>
  <c r="M57" i="1"/>
  <c r="D57" i="1"/>
  <c r="N56" i="1"/>
  <c r="P56" i="1" s="1"/>
  <c r="M56" i="1"/>
  <c r="D56" i="1"/>
  <c r="N55" i="1"/>
  <c r="P55" i="1" s="1"/>
  <c r="M55" i="1"/>
  <c r="D55" i="1"/>
  <c r="N54" i="1"/>
  <c r="P54" i="1" s="1"/>
  <c r="M54" i="1"/>
  <c r="D54" i="1"/>
  <c r="N49" i="1"/>
  <c r="P49" i="1" s="1"/>
  <c r="L49" i="1"/>
  <c r="D49" i="1"/>
  <c r="N48" i="1"/>
  <c r="P48" i="1" s="1"/>
  <c r="L48" i="1"/>
  <c r="D48" i="1"/>
  <c r="N47" i="1"/>
  <c r="P47" i="1" s="1"/>
  <c r="L47" i="1"/>
  <c r="D47" i="1"/>
  <c r="N46" i="1"/>
  <c r="P46" i="1" s="1"/>
  <c r="L46" i="1"/>
  <c r="D46" i="1"/>
  <c r="N45" i="1"/>
  <c r="P45" i="1" s="1"/>
  <c r="L45" i="1"/>
  <c r="D45" i="1"/>
  <c r="N44" i="1"/>
  <c r="P44" i="1" s="1"/>
  <c r="L44" i="1"/>
  <c r="D44" i="1"/>
  <c r="N43" i="1"/>
  <c r="P43" i="1" s="1"/>
  <c r="L43" i="1"/>
  <c r="D43" i="1"/>
  <c r="N42" i="1"/>
  <c r="P42" i="1" s="1"/>
  <c r="L42" i="1"/>
  <c r="D42" i="1"/>
  <c r="N41" i="1"/>
  <c r="P41" i="1" s="1"/>
  <c r="L41" i="1"/>
  <c r="D41" i="1"/>
  <c r="N40" i="1"/>
  <c r="P40" i="1" s="1"/>
  <c r="L40" i="1"/>
  <c r="D40" i="1"/>
  <c r="N39" i="1"/>
  <c r="P39" i="1" s="1"/>
  <c r="L39" i="1"/>
  <c r="D39" i="1"/>
  <c r="N38" i="1"/>
  <c r="P38" i="1" s="1"/>
  <c r="L38" i="1"/>
  <c r="D38" i="1"/>
  <c r="N37" i="1"/>
  <c r="P37" i="1" s="1"/>
  <c r="L37" i="1"/>
  <c r="D37" i="1"/>
  <c r="N36" i="1"/>
  <c r="P36" i="1" s="1"/>
  <c r="L36" i="1"/>
  <c r="D36" i="1"/>
  <c r="K32" i="1"/>
  <c r="D32" i="1"/>
  <c r="M32" i="1" s="1"/>
  <c r="K31" i="1"/>
  <c r="D31" i="1"/>
  <c r="M31" i="1" s="1"/>
  <c r="P31" i="1" s="1"/>
  <c r="K30" i="1"/>
  <c r="D30" i="1"/>
  <c r="M30" i="1" s="1"/>
  <c r="P30" i="1" s="1"/>
  <c r="K29" i="1"/>
  <c r="D29" i="1"/>
  <c r="K28" i="1"/>
  <c r="D28" i="1"/>
  <c r="M28" i="1" s="1"/>
  <c r="P28" i="1" s="1"/>
  <c r="A28" i="1"/>
  <c r="A29" i="1" s="1"/>
  <c r="A30" i="1" s="1"/>
  <c r="A31" i="1" s="1"/>
  <c r="A32" i="1" s="1"/>
  <c r="A33" i="1" s="1"/>
  <c r="A34" i="1" s="1"/>
  <c r="A35" i="1" s="1"/>
  <c r="A36" i="1" s="1"/>
  <c r="A37" i="1" s="1"/>
  <c r="A38" i="1" s="1"/>
  <c r="A39" i="1" s="1"/>
  <c r="A40" i="1" s="1"/>
  <c r="A41" i="1" s="1"/>
  <c r="A42" i="1" s="1"/>
  <c r="A43" i="1" s="1"/>
  <c r="A44" i="1" s="1"/>
  <c r="A45" i="1" s="1"/>
  <c r="A46" i="1" s="1"/>
  <c r="A47" i="1" s="1"/>
  <c r="A48" i="1" s="1"/>
  <c r="A49" i="1" s="1"/>
  <c r="A50" i="1" s="1"/>
  <c r="A51" i="1" s="1"/>
  <c r="A52" i="1" s="1"/>
  <c r="A53" i="1" s="1"/>
  <c r="A54" i="1" s="1"/>
  <c r="A55" i="1" s="1"/>
  <c r="A56" i="1" s="1"/>
  <c r="A57" i="1" s="1"/>
  <c r="A58" i="1" s="1"/>
  <c r="A59" i="1" s="1"/>
  <c r="A60" i="1" s="1"/>
  <c r="A61" i="1" s="1"/>
  <c r="A62" i="1" s="1"/>
  <c r="A63" i="1" s="1"/>
  <c r="A64" i="1" s="1"/>
  <c r="A65" i="1" s="1"/>
  <c r="A66" i="1" s="1"/>
  <c r="A67" i="1" s="1"/>
  <c r="K27" i="1"/>
  <c r="D27" i="1"/>
  <c r="A27" i="1"/>
  <c r="P17" i="1"/>
  <c r="O17" i="1"/>
  <c r="N17" i="1"/>
  <c r="D24" i="1"/>
  <c r="P1103" i="6" l="1"/>
  <c r="P931" i="1"/>
  <c r="P68" i="6"/>
  <c r="P154" i="6"/>
  <c r="P239" i="6"/>
  <c r="P1276" i="1"/>
  <c r="P1016" i="1"/>
  <c r="M977" i="1" s="1"/>
  <c r="P977" i="1" s="1"/>
  <c r="P983" i="1" s="1"/>
  <c r="P1018" i="1" s="1"/>
  <c r="P759" i="1"/>
  <c r="M720" i="1" s="1"/>
  <c r="P720" i="1" s="1"/>
  <c r="P726" i="1" s="1"/>
  <c r="P761" i="1" s="1"/>
  <c r="P1189" i="1"/>
  <c r="M1150" i="1" s="1"/>
  <c r="P1150" i="1" s="1"/>
  <c r="P1156" i="1" s="1"/>
  <c r="P1191" i="1" s="1"/>
  <c r="P498" i="1"/>
  <c r="M459" i="1" s="1"/>
  <c r="P459" i="1" s="1"/>
  <c r="P465" i="1" s="1"/>
  <c r="P500" i="1" s="1"/>
  <c r="P672" i="1"/>
  <c r="M633" i="1" s="1"/>
  <c r="P633" i="1" s="1"/>
  <c r="P845" i="1"/>
  <c r="M806" i="1" s="1"/>
  <c r="P806" i="1" s="1"/>
  <c r="P812" i="1" s="1"/>
  <c r="P847" i="1" s="1"/>
  <c r="P1102" i="1"/>
  <c r="M892" i="1"/>
  <c r="P892" i="1" s="1"/>
  <c r="P898" i="1" s="1"/>
  <c r="P933" i="1" s="1"/>
  <c r="M236" i="1"/>
  <c r="P236" i="1" s="1"/>
  <c r="M237" i="1"/>
  <c r="P237" i="1" s="1"/>
  <c r="M61" i="1"/>
  <c r="P61" i="1" s="1"/>
  <c r="P585" i="1"/>
  <c r="P412" i="1"/>
  <c r="P325" i="1"/>
  <c r="M233" i="1"/>
  <c r="P233" i="1" s="1"/>
  <c r="P201" i="1"/>
  <c r="M235" i="1"/>
  <c r="P235" i="1" s="1"/>
  <c r="P202" i="1"/>
  <c r="M151" i="1"/>
  <c r="P151" i="1" s="1"/>
  <c r="M234" i="1"/>
  <c r="P234" i="1" s="1"/>
  <c r="P230" i="1"/>
  <c r="N222" i="1"/>
  <c r="P222" i="1" s="1"/>
  <c r="P223" i="1" s="1"/>
  <c r="M203" i="1"/>
  <c r="P203" i="1" s="1"/>
  <c r="M200" i="1"/>
  <c r="P200" i="1" s="1"/>
  <c r="M65" i="1"/>
  <c r="P65" i="1" s="1"/>
  <c r="M149" i="1"/>
  <c r="P149" i="1" s="1"/>
  <c r="P58" i="1"/>
  <c r="N136" i="1"/>
  <c r="P136" i="1" s="1"/>
  <c r="P137" i="1" s="1"/>
  <c r="M148" i="1"/>
  <c r="P148" i="1" s="1"/>
  <c r="M147" i="1"/>
  <c r="P147" i="1" s="1"/>
  <c r="P144" i="1"/>
  <c r="M150" i="1"/>
  <c r="P150" i="1" s="1"/>
  <c r="M114" i="1"/>
  <c r="P114" i="1" s="1"/>
  <c r="M115" i="1"/>
  <c r="P115" i="1" s="1"/>
  <c r="M62" i="1"/>
  <c r="P62" i="1" s="1"/>
  <c r="M63" i="1"/>
  <c r="P63" i="1" s="1"/>
  <c r="N50" i="1"/>
  <c r="P50" i="1" s="1"/>
  <c r="P51" i="1" s="1"/>
  <c r="M64" i="1"/>
  <c r="P64" i="1" s="1"/>
  <c r="P32" i="1"/>
  <c r="M29" i="1"/>
  <c r="P29" i="1" s="1"/>
  <c r="N1450" i="6" l="1"/>
  <c r="N759" i="6"/>
  <c r="N761" i="6"/>
  <c r="N760" i="6"/>
  <c r="N71" i="6"/>
  <c r="N73" i="6"/>
  <c r="N72" i="6"/>
  <c r="N504" i="6"/>
  <c r="N502" i="6"/>
  <c r="N503" i="6"/>
  <c r="N159" i="6"/>
  <c r="N157" i="6"/>
  <c r="N158" i="6"/>
  <c r="N675" i="6"/>
  <c r="N673" i="6"/>
  <c r="N674" i="6"/>
  <c r="N848" i="6"/>
  <c r="N847" i="6"/>
  <c r="N846" i="6"/>
  <c r="N1108" i="6"/>
  <c r="N1106" i="6"/>
  <c r="N1107" i="6"/>
  <c r="N1539" i="6"/>
  <c r="N1538" i="6"/>
  <c r="N1537" i="6"/>
  <c r="N415" i="6"/>
  <c r="N417" i="6"/>
  <c r="N416" i="6"/>
  <c r="N1279" i="6"/>
  <c r="N1277" i="6"/>
  <c r="N1278" i="6"/>
  <c r="N1022" i="6"/>
  <c r="N1020" i="6"/>
  <c r="N1021" i="6"/>
  <c r="N1364" i="6"/>
  <c r="N1365" i="6"/>
  <c r="N1363" i="6"/>
  <c r="N590" i="6"/>
  <c r="N588" i="6"/>
  <c r="N589" i="6"/>
  <c r="N1193" i="6"/>
  <c r="N1194" i="6"/>
  <c r="N1192" i="6"/>
  <c r="N242" i="6"/>
  <c r="N244" i="6"/>
  <c r="N243" i="6"/>
  <c r="M1237" i="1"/>
  <c r="P1237" i="1" s="1"/>
  <c r="P1243" i="1" s="1"/>
  <c r="P1278" i="1" s="1"/>
  <c r="M1063" i="1"/>
  <c r="P1063" i="1" s="1"/>
  <c r="P1069" i="1" s="1"/>
  <c r="P1104" i="1" s="1"/>
  <c r="N938" i="1"/>
  <c r="N936" i="1"/>
  <c r="N937" i="1"/>
  <c r="N1021" i="1"/>
  <c r="N1022" i="1"/>
  <c r="N1023" i="1"/>
  <c r="N1194" i="1"/>
  <c r="N1195" i="1"/>
  <c r="N1196" i="1"/>
  <c r="N852" i="1"/>
  <c r="N850" i="1"/>
  <c r="N851" i="1"/>
  <c r="N766" i="1"/>
  <c r="N764" i="1"/>
  <c r="N765" i="1"/>
  <c r="M546" i="1"/>
  <c r="P546" i="1" s="1"/>
  <c r="P552" i="1" s="1"/>
  <c r="P587" i="1" s="1"/>
  <c r="M373" i="1"/>
  <c r="P373" i="1" s="1"/>
  <c r="P379" i="1" s="1"/>
  <c r="P414" i="1" s="1"/>
  <c r="M286" i="1"/>
  <c r="P286" i="1" s="1"/>
  <c r="P292" i="1" s="1"/>
  <c r="P327" i="1" s="1"/>
  <c r="P238" i="1"/>
  <c r="M199" i="1" s="1"/>
  <c r="P199" i="1" s="1"/>
  <c r="P205" i="1" s="1"/>
  <c r="P240" i="1" s="1"/>
  <c r="P66" i="1"/>
  <c r="M27" i="1" s="1"/>
  <c r="P27" i="1" s="1"/>
  <c r="P33" i="1" s="1"/>
  <c r="P68" i="1" s="1"/>
  <c r="P152" i="1"/>
  <c r="N1451" i="6" l="1"/>
  <c r="P762" i="6"/>
  <c r="P764" i="6" s="1"/>
  <c r="R712" i="6" s="1"/>
  <c r="G42" i="5" s="1"/>
  <c r="N1452" i="6"/>
  <c r="P1023" i="6"/>
  <c r="P1025" i="6" s="1"/>
  <c r="R973" i="6" s="1"/>
  <c r="G45" i="5" s="1"/>
  <c r="P1540" i="6"/>
  <c r="P1542" i="6" s="1"/>
  <c r="R1490" i="6" s="1"/>
  <c r="G54" i="5" s="1"/>
  <c r="N330" i="6"/>
  <c r="N328" i="6"/>
  <c r="N329" i="6"/>
  <c r="P1195" i="6"/>
  <c r="P1197" i="6" s="1"/>
  <c r="R1145" i="6" s="1"/>
  <c r="G50" i="5" s="1"/>
  <c r="P245" i="6"/>
  <c r="P247" i="6" s="1"/>
  <c r="R195" i="6" s="1"/>
  <c r="G32" i="5" s="1"/>
  <c r="N934" i="6"/>
  <c r="N935" i="6"/>
  <c r="N933" i="6"/>
  <c r="P849" i="6"/>
  <c r="P851" i="6" s="1"/>
  <c r="R799" i="6" s="1"/>
  <c r="G43" i="5" s="1"/>
  <c r="P1280" i="6"/>
  <c r="P1282" i="6" s="1"/>
  <c r="R1230" i="6" s="1"/>
  <c r="G51" i="5" s="1"/>
  <c r="P676" i="6"/>
  <c r="P678" i="6" s="1"/>
  <c r="R626" i="6" s="1"/>
  <c r="G41" i="5" s="1"/>
  <c r="P160" i="6"/>
  <c r="P162" i="6" s="1"/>
  <c r="R110" i="6" s="1"/>
  <c r="G31" i="5" s="1"/>
  <c r="P505" i="6"/>
  <c r="P507" i="6" s="1"/>
  <c r="R455" i="6" s="1"/>
  <c r="G39" i="5" s="1"/>
  <c r="P418" i="6"/>
  <c r="P420" i="6" s="1"/>
  <c r="R368" i="6" s="1"/>
  <c r="G34" i="5" s="1"/>
  <c r="P591" i="6"/>
  <c r="P593" i="6" s="1"/>
  <c r="R541" i="6" s="1"/>
  <c r="G40" i="5" s="1"/>
  <c r="P1366" i="6"/>
  <c r="P1368" i="6" s="1"/>
  <c r="R1316" i="6" s="1"/>
  <c r="G52" i="5" s="1"/>
  <c r="P1109" i="6"/>
  <c r="P1111" i="6" s="1"/>
  <c r="R1059" i="6" s="1"/>
  <c r="G46" i="5" s="1"/>
  <c r="P74" i="6"/>
  <c r="P76" i="6" s="1"/>
  <c r="R24" i="6" s="1"/>
  <c r="G30" i="5" s="1"/>
  <c r="N1283" i="1"/>
  <c r="N1282" i="1"/>
  <c r="N1281" i="1"/>
  <c r="N1107" i="1"/>
  <c r="N1108" i="1"/>
  <c r="N1109" i="1"/>
  <c r="P1197" i="1"/>
  <c r="P1199" i="1" s="1"/>
  <c r="R1147" i="1" s="1"/>
  <c r="P767" i="1"/>
  <c r="P769" i="1" s="1"/>
  <c r="R717" i="1" s="1"/>
  <c r="P939" i="1"/>
  <c r="P941" i="1" s="1"/>
  <c r="R889" i="1" s="1"/>
  <c r="P853" i="1"/>
  <c r="P855" i="1" s="1"/>
  <c r="R803" i="1" s="1"/>
  <c r="P1024" i="1"/>
  <c r="P1026" i="1" s="1"/>
  <c r="R974" i="1" s="1"/>
  <c r="N505" i="1"/>
  <c r="N503" i="1"/>
  <c r="N504" i="1"/>
  <c r="N590" i="1"/>
  <c r="N591" i="1"/>
  <c r="N592" i="1"/>
  <c r="N243" i="1"/>
  <c r="N245" i="1"/>
  <c r="N244" i="1"/>
  <c r="M113" i="1"/>
  <c r="P113" i="1" s="1"/>
  <c r="P119" i="1" s="1"/>
  <c r="P154" i="1" s="1"/>
  <c r="P1284" i="1" l="1"/>
  <c r="P1286" i="1" s="1"/>
  <c r="R1234" i="1" s="1"/>
  <c r="M41" i="5"/>
  <c r="M51" i="5"/>
  <c r="M43" i="5"/>
  <c r="M52" i="5"/>
  <c r="M39" i="5"/>
  <c r="M31" i="5"/>
  <c r="H31" i="5"/>
  <c r="M42" i="5"/>
  <c r="M54" i="5"/>
  <c r="M50" i="5"/>
  <c r="M30" i="5"/>
  <c r="M46" i="5"/>
  <c r="M32" i="5"/>
  <c r="M45" i="5"/>
  <c r="M40" i="5"/>
  <c r="M34" i="5"/>
  <c r="P1453" i="6"/>
  <c r="P1455" i="6" s="1"/>
  <c r="R1403" i="6" s="1"/>
  <c r="G53" i="5" s="1"/>
  <c r="P331" i="6"/>
  <c r="P333" i="6" s="1"/>
  <c r="R281" i="6" s="1"/>
  <c r="G33" i="5" s="1"/>
  <c r="P936" i="6"/>
  <c r="P938" i="6" s="1"/>
  <c r="R886" i="6" s="1"/>
  <c r="G44" i="5" s="1"/>
  <c r="P1110" i="1"/>
  <c r="P1112" i="1" s="1"/>
  <c r="R1060" i="1" s="1"/>
  <c r="N417" i="1"/>
  <c r="N418" i="1"/>
  <c r="N419" i="1"/>
  <c r="N332" i="1"/>
  <c r="N330" i="1"/>
  <c r="N331" i="1"/>
  <c r="P593" i="1"/>
  <c r="P595" i="1" s="1"/>
  <c r="R543" i="1" s="1"/>
  <c r="P506" i="1"/>
  <c r="P508" i="1" s="1"/>
  <c r="R456" i="1" s="1"/>
  <c r="P246" i="1"/>
  <c r="P248" i="1" s="1"/>
  <c r="R196" i="1" s="1"/>
  <c r="N157" i="1"/>
  <c r="N158" i="1"/>
  <c r="N159" i="1"/>
  <c r="M44" i="5" l="1"/>
  <c r="M33" i="5"/>
  <c r="M53" i="5"/>
  <c r="P333" i="1"/>
  <c r="P335" i="1" s="1"/>
  <c r="R283" i="1" s="1"/>
  <c r="P420" i="1"/>
  <c r="P422" i="1" s="1"/>
  <c r="R370" i="1" s="1"/>
  <c r="P160" i="1"/>
  <c r="P162" i="1" s="1"/>
  <c r="R110" i="1" s="1"/>
  <c r="K111" i="5" l="1"/>
  <c r="Q11" i="5"/>
  <c r="U9" i="5"/>
  <c r="X7" i="5"/>
  <c r="W11" i="5" s="1"/>
  <c r="X11" i="5" s="1"/>
  <c r="T6" i="5"/>
  <c r="N195" i="8" l="1"/>
  <c r="N281" i="8"/>
  <c r="N184" i="8"/>
  <c r="E195" i="8"/>
  <c r="N530" i="8"/>
  <c r="N24" i="8"/>
  <c r="E24" i="8"/>
  <c r="E281" i="8"/>
  <c r="N110" i="8"/>
  <c r="N13" i="8"/>
  <c r="N368" i="8"/>
  <c r="E110" i="8"/>
  <c r="N357" i="8"/>
  <c r="N270" i="8"/>
  <c r="N99" i="8"/>
  <c r="N541" i="8"/>
  <c r="E541" i="8"/>
  <c r="E454" i="8"/>
  <c r="N443" i="8"/>
  <c r="N454" i="8"/>
  <c r="E368" i="8"/>
  <c r="N626" i="7"/>
  <c r="N1490" i="7"/>
  <c r="N1230" i="7"/>
  <c r="E1490" i="7"/>
  <c r="N1305" i="7"/>
  <c r="N701" i="7"/>
  <c r="N368" i="7"/>
  <c r="N1752" i="6"/>
  <c r="E1752" i="6"/>
  <c r="N1741" i="6"/>
  <c r="N1578" i="6"/>
  <c r="N357" i="7"/>
  <c r="N195" i="7"/>
  <c r="E1578" i="6"/>
  <c r="N1403" i="7"/>
  <c r="E1403" i="7"/>
  <c r="N1219" i="7"/>
  <c r="N1479" i="7"/>
  <c r="N1145" i="7"/>
  <c r="N1392" i="7"/>
  <c r="N1316" i="7"/>
  <c r="E1316" i="7"/>
  <c r="E712" i="7"/>
  <c r="N1059" i="7"/>
  <c r="E195" i="7"/>
  <c r="N1567" i="6"/>
  <c r="N1665" i="6"/>
  <c r="E1665" i="6"/>
  <c r="E110" i="7"/>
  <c r="N973" i="7"/>
  <c r="N541" i="7"/>
  <c r="E799" i="7"/>
  <c r="N1134" i="7"/>
  <c r="E886" i="7"/>
  <c r="N99" i="7"/>
  <c r="E973" i="7"/>
  <c r="N24" i="7"/>
  <c r="N1048" i="7"/>
  <c r="E24" i="7"/>
  <c r="N110" i="7"/>
  <c r="N281" i="7"/>
  <c r="N13" i="7"/>
  <c r="N788" i="7"/>
  <c r="N615" i="7"/>
  <c r="E281" i="7"/>
  <c r="E368" i="7"/>
  <c r="N184" i="7"/>
  <c r="N270" i="7"/>
  <c r="E626" i="7"/>
  <c r="N444" i="7"/>
  <c r="N1654" i="6"/>
  <c r="E541" i="7"/>
  <c r="N886" i="7"/>
  <c r="N530" i="7"/>
  <c r="E1059" i="7"/>
  <c r="N712" i="7"/>
  <c r="N962" i="7"/>
  <c r="E1145" i="7"/>
  <c r="N455" i="7"/>
  <c r="N799" i="7"/>
  <c r="N875" i="7"/>
  <c r="E455" i="7"/>
  <c r="E1230" i="7"/>
  <c r="E973" i="6"/>
  <c r="N110" i="6"/>
  <c r="N889" i="1"/>
  <c r="N270" i="6"/>
  <c r="E110" i="6"/>
  <c r="E626" i="6"/>
  <c r="E1316" i="6"/>
  <c r="N886" i="6"/>
  <c r="E886" i="6"/>
  <c r="N799" i="6"/>
  <c r="N701" i="6"/>
  <c r="N1048" i="6"/>
  <c r="E799" i="6"/>
  <c r="N184" i="6"/>
  <c r="N878" i="1"/>
  <c r="N962" i="6"/>
  <c r="N974" i="1"/>
  <c r="N541" i="6"/>
  <c r="N99" i="6"/>
  <c r="E889" i="1"/>
  <c r="E1145" i="6"/>
  <c r="N615" i="6"/>
  <c r="E541" i="6"/>
  <c r="E1147" i="1"/>
  <c r="N875" i="6"/>
  <c r="E24" i="6"/>
  <c r="N788" i="6"/>
  <c r="N13" i="6"/>
  <c r="E717" i="1"/>
  <c r="N712" i="6"/>
  <c r="N444" i="6"/>
  <c r="N1136" i="1"/>
  <c r="E712" i="6"/>
  <c r="N195" i="6"/>
  <c r="N1490" i="6"/>
  <c r="E1059" i="6"/>
  <c r="E195" i="6"/>
  <c r="P110" i="6"/>
  <c r="N357" i="6"/>
  <c r="E1403" i="6"/>
  <c r="N1060" i="1"/>
  <c r="N281" i="6"/>
  <c r="N1219" i="6"/>
  <c r="N368" i="6"/>
  <c r="E281" i="6"/>
  <c r="N1479" i="6"/>
  <c r="E1234" i="1"/>
  <c r="N619" i="1"/>
  <c r="E1490" i="6"/>
  <c r="N1223" i="1"/>
  <c r="N24" i="6"/>
  <c r="E455" i="6"/>
  <c r="N1403" i="6"/>
  <c r="N1059" i="6"/>
  <c r="N1234" i="1"/>
  <c r="N532" i="1"/>
  <c r="N359" i="1"/>
  <c r="N1145" i="6"/>
  <c r="N1134" i="6"/>
  <c r="N1230" i="6"/>
  <c r="N717" i="1"/>
  <c r="E974" i="1"/>
  <c r="E543" i="1"/>
  <c r="N370" i="1"/>
  <c r="N272" i="1"/>
  <c r="N626" i="6"/>
  <c r="N1316" i="6"/>
  <c r="E803" i="1"/>
  <c r="E1060" i="1"/>
  <c r="N1305" i="6"/>
  <c r="N630" i="1"/>
  <c r="N455" i="6"/>
  <c r="N973" i="6"/>
  <c r="N706" i="1"/>
  <c r="N803" i="1"/>
  <c r="N1147" i="1"/>
  <c r="E456" i="1"/>
  <c r="N1392" i="6"/>
  <c r="N283" i="1"/>
  <c r="E630" i="1"/>
  <c r="E1230" i="6"/>
  <c r="E283" i="1"/>
  <c r="N530" i="6"/>
  <c r="E368" i="6"/>
  <c r="N792" i="1"/>
  <c r="N1049" i="1"/>
  <c r="N963" i="1"/>
  <c r="N110" i="1"/>
  <c r="N99" i="1"/>
  <c r="N456" i="1"/>
  <c r="N185" i="1"/>
  <c r="E370" i="1"/>
  <c r="P543" i="1"/>
  <c r="N543" i="1"/>
  <c r="E196" i="1"/>
  <c r="N196" i="1"/>
  <c r="N445" i="1"/>
  <c r="E110" i="1"/>
  <c r="N13" i="1"/>
  <c r="N24" i="1"/>
  <c r="E24" i="1"/>
  <c r="Z6" i="5"/>
  <c r="Z7" i="5"/>
  <c r="C80" i="4" l="1"/>
  <c r="C79" i="4"/>
  <c r="C77" i="4"/>
  <c r="C76" i="4"/>
  <c r="C74" i="4"/>
  <c r="C73" i="4"/>
  <c r="C72" i="4"/>
  <c r="C71" i="4"/>
  <c r="C70" i="4"/>
  <c r="C69" i="4"/>
  <c r="C68" i="4"/>
  <c r="C67" i="4"/>
  <c r="C65" i="4"/>
  <c r="C64" i="4"/>
  <c r="C63" i="4"/>
  <c r="C62" i="4"/>
  <c r="C61" i="4"/>
  <c r="C59" i="4"/>
  <c r="C58" i="4"/>
  <c r="C57" i="4"/>
  <c r="C56" i="4"/>
  <c r="C55" i="4"/>
  <c r="C54" i="4"/>
  <c r="C53" i="4"/>
  <c r="C52" i="4"/>
  <c r="B49" i="4"/>
  <c r="C48" i="4"/>
  <c r="C47" i="4"/>
  <c r="C46" i="4"/>
  <c r="C45" i="4"/>
  <c r="C44" i="4"/>
  <c r="C43" i="4"/>
  <c r="C42" i="4"/>
  <c r="C40" i="4"/>
  <c r="C39" i="4"/>
  <c r="C38" i="4"/>
  <c r="C37" i="4"/>
  <c r="C36" i="4"/>
  <c r="C33" i="4"/>
  <c r="C32" i="4"/>
  <c r="C31" i="4"/>
  <c r="C30" i="4"/>
  <c r="C29" i="4"/>
  <c r="C28" i="4"/>
  <c r="C27" i="4"/>
  <c r="C26" i="4"/>
  <c r="C25" i="4"/>
  <c r="B24" i="4"/>
  <c r="C24" i="4" s="1"/>
  <c r="B23" i="4"/>
  <c r="C22" i="4"/>
  <c r="C21" i="4"/>
  <c r="C20" i="4"/>
  <c r="C19" i="4"/>
  <c r="C18" i="4"/>
  <c r="C17" i="4"/>
  <c r="C16" i="4"/>
  <c r="C15" i="4"/>
  <c r="C14" i="4"/>
  <c r="C13" i="4"/>
  <c r="C12" i="4"/>
  <c r="C11" i="4"/>
  <c r="C10" i="4"/>
  <c r="C9" i="4"/>
  <c r="C8" i="4"/>
  <c r="C7" i="4"/>
  <c r="C6" i="4"/>
  <c r="M71" i="1"/>
  <c r="M72" i="1"/>
  <c r="M73" i="1"/>
  <c r="E84" i="1"/>
  <c r="E83" i="1"/>
  <c r="E82" i="1"/>
  <c r="L81" i="1"/>
  <c r="D81" i="1"/>
  <c r="O10" i="1"/>
  <c r="H4" i="1"/>
  <c r="G4" i="1"/>
  <c r="E4" i="1"/>
  <c r="D3" i="1"/>
  <c r="G21" i="5" l="1"/>
  <c r="G22" i="5"/>
  <c r="G23" i="5"/>
  <c r="G24" i="5"/>
  <c r="G25" i="5"/>
  <c r="AE1007" i="9" s="1"/>
  <c r="G13" i="5"/>
  <c r="G26" i="5"/>
  <c r="M6" i="5"/>
  <c r="M7" i="5" s="1"/>
  <c r="G14" i="5"/>
  <c r="G15" i="5"/>
  <c r="G16" i="5"/>
  <c r="G17" i="5"/>
  <c r="G18" i="5"/>
  <c r="G20" i="5"/>
  <c r="C23" i="4"/>
  <c r="C49" i="4"/>
  <c r="M20" i="5" l="1"/>
  <c r="M18" i="5"/>
  <c r="H18" i="5"/>
  <c r="M17" i="5"/>
  <c r="M14" i="5"/>
  <c r="M16" i="5"/>
  <c r="M26" i="5"/>
  <c r="M15" i="5"/>
  <c r="M13" i="5"/>
  <c r="M25" i="5"/>
  <c r="M24" i="5"/>
  <c r="M23" i="5"/>
  <c r="M22" i="5"/>
  <c r="M21" i="5"/>
  <c r="N73" i="1"/>
  <c r="N71" i="1"/>
  <c r="N72" i="1"/>
  <c r="P74" i="1" l="1"/>
  <c r="P76" i="1" s="1"/>
  <c r="R24" i="1" s="1"/>
  <c r="G12" i="5" s="1"/>
  <c r="M12" i="5" l="1"/>
  <c r="P12" i="5"/>
  <c r="Y579" i="10" l="1"/>
  <c r="Y575" i="10"/>
  <c r="Y571" i="10"/>
  <c r="Y563" i="10"/>
  <c r="T1005" i="9"/>
  <c r="Z1005" i="9"/>
  <c r="Y554" i="10"/>
  <c r="T1016" i="9"/>
  <c r="Z1016" i="9"/>
  <c r="Y259" i="9"/>
  <c r="Y558" i="10"/>
  <c r="Y568" i="10"/>
  <c r="Y566" i="10"/>
  <c r="Y346" i="9"/>
  <c r="Z538" i="10"/>
  <c r="T996" i="9"/>
  <c r="Z996" i="9"/>
  <c r="Y565" i="10"/>
  <c r="Y544" i="10"/>
  <c r="Z544" i="10" s="1"/>
  <c r="Y261" i="9"/>
  <c r="Y470" i="10"/>
  <c r="Z470" i="10" s="1"/>
  <c r="Y560" i="10"/>
  <c r="Y262" i="9"/>
  <c r="Y327" i="9"/>
  <c r="Y561" i="10"/>
  <c r="Z561" i="10" s="1"/>
  <c r="Y572" i="10"/>
  <c r="Z572" i="10" s="1"/>
  <c r="T997" i="9"/>
  <c r="Z997" i="9"/>
  <c r="T1021" i="9"/>
  <c r="Z1021" i="9"/>
  <c r="Y580" i="10"/>
  <c r="Y576" i="10"/>
  <c r="Z576" i="10" l="1"/>
  <c r="Z565" i="10"/>
  <c r="Z560" i="10"/>
  <c r="Z580" i="10"/>
  <c r="Z558" i="10"/>
  <c r="Z571" i="10"/>
  <c r="Z579" i="10"/>
  <c r="Z566" i="10"/>
  <c r="Z568" i="10"/>
  <c r="Z563" i="10"/>
  <c r="Z554" i="10"/>
  <c r="Z575" i="10"/>
  <c r="P465" i="11" l="1"/>
  <c r="P687" i="11" l="1"/>
  <c r="Y1916" i="11" l="1"/>
  <c r="X1916" i="11"/>
  <c r="Y1918" i="11" l="1"/>
  <c r="Y1921" i="11" s="1"/>
  <c r="AA1916" i="11"/>
  <c r="Z1916" i="11"/>
  <c r="X1918" i="11"/>
  <c r="Z1918" i="11" s="1"/>
  <c r="P634" i="1" l="1"/>
  <c r="P639" i="1" l="1"/>
  <c r="P674" i="1" s="1"/>
  <c r="T634" i="1"/>
  <c r="U634" i="1" s="1"/>
  <c r="N677" i="1"/>
  <c r="N678" i="1"/>
  <c r="N679" i="1"/>
  <c r="P680" i="1" l="1"/>
  <c r="P682" i="1" s="1"/>
  <c r="R630" i="1" l="1"/>
  <c r="G19" i="5" s="1"/>
  <c r="S667" i="1"/>
  <c r="V639" i="1" l="1"/>
  <c r="U643" i="1"/>
  <c r="M19" i="5"/>
  <c r="S1808" i="11" l="1"/>
  <c r="S1066" i="11"/>
  <c r="T918" i="10"/>
  <c r="S1140" i="11"/>
  <c r="S251" i="11"/>
  <c r="T622" i="10"/>
  <c r="S1734" i="11"/>
  <c r="S1214" i="11"/>
  <c r="S1288" i="11"/>
  <c r="S177" i="11"/>
  <c r="R177" i="11" s="1"/>
  <c r="T548" i="10"/>
  <c r="S1660" i="11"/>
  <c r="S1363" i="11"/>
  <c r="R1363" i="11" s="1"/>
  <c r="R103" i="10"/>
  <c r="T696" i="10"/>
  <c r="S696" i="10" s="1"/>
  <c r="S103" i="11"/>
  <c r="R103" i="11" s="1"/>
  <c r="X103" i="11" s="1"/>
  <c r="Y103" i="11" s="1"/>
  <c r="T844" i="10"/>
  <c r="T474" i="10"/>
  <c r="T1214" i="10"/>
  <c r="S1214" i="10" s="1"/>
  <c r="S1586" i="11"/>
  <c r="R1586" i="11" s="1"/>
  <c r="S1512" i="11"/>
  <c r="R1512" i="11" s="1"/>
  <c r="S28" i="11"/>
  <c r="O28" i="11" s="1"/>
  <c r="X28" i="11" s="1"/>
  <c r="Y28" i="11" s="1"/>
  <c r="T1288" i="10"/>
  <c r="S1288" i="10" s="1"/>
  <c r="T400" i="10"/>
  <c r="T177" i="10"/>
  <c r="T1363" i="10"/>
  <c r="S1363" i="10" s="1"/>
  <c r="T1140" i="10"/>
  <c r="S1437" i="11"/>
  <c r="R1437" i="11" s="1"/>
  <c r="T1437" i="10"/>
  <c r="S1437" i="10" s="1"/>
  <c r="M28" i="10"/>
  <c r="T326" i="10"/>
  <c r="V326" i="10" s="1"/>
  <c r="S622" i="11"/>
  <c r="V622" i="11" s="1"/>
  <c r="T1512" i="10"/>
  <c r="S1512" i="10" s="1"/>
  <c r="T770" i="10"/>
  <c r="S770" i="10" s="1"/>
  <c r="T251" i="10"/>
  <c r="V251" i="10" s="1"/>
  <c r="S696" i="11"/>
  <c r="T1066" i="10"/>
  <c r="S1066" i="10" s="1"/>
  <c r="S770" i="11"/>
  <c r="S400" i="11"/>
  <c r="O400" i="11" s="1"/>
  <c r="S992" i="11"/>
  <c r="S1957" i="11"/>
  <c r="R1957" i="11" s="1"/>
  <c r="S844" i="11"/>
  <c r="S474" i="11"/>
  <c r="V474" i="11" s="1"/>
  <c r="O474" i="11" s="1"/>
  <c r="S326" i="11"/>
  <c r="S918" i="11"/>
  <c r="S548" i="11"/>
  <c r="V548" i="11" s="1"/>
  <c r="T992" i="10"/>
  <c r="V992" i="10" s="1"/>
  <c r="M1065" i="9"/>
  <c r="R843" i="9"/>
  <c r="T843" i="9" s="1"/>
  <c r="M250" i="9"/>
  <c r="R695" i="9"/>
  <c r="T695" i="9" s="1"/>
  <c r="M621" i="9"/>
  <c r="R547" i="9"/>
  <c r="R917" i="9"/>
  <c r="M399" i="9"/>
  <c r="R991" i="9"/>
  <c r="M325" i="9"/>
  <c r="M769" i="9"/>
  <c r="M176" i="9"/>
  <c r="M102" i="9"/>
  <c r="M28" i="9"/>
  <c r="M246" i="9"/>
  <c r="M1082" i="9"/>
  <c r="M29" i="9"/>
  <c r="S44" i="11"/>
  <c r="O44" i="11" s="1"/>
  <c r="X44" i="11" s="1"/>
  <c r="Y44" i="11" s="1"/>
  <c r="S191" i="11"/>
  <c r="R191" i="11" s="1"/>
  <c r="R127" i="10"/>
  <c r="T184" i="10"/>
  <c r="R106" i="10"/>
  <c r="R714" i="9"/>
  <c r="T714" i="9" s="1"/>
  <c r="M1093" i="9"/>
  <c r="R688" i="9"/>
  <c r="T688" i="9" s="1"/>
  <c r="S556" i="11"/>
  <c r="M118" i="9"/>
  <c r="M116" i="9"/>
  <c r="M173" i="9"/>
  <c r="S1838" i="11"/>
  <c r="O1838" i="11" l="1"/>
  <c r="R1838" i="11"/>
  <c r="T173" i="9"/>
  <c r="Z173" i="9"/>
  <c r="V556" i="11"/>
  <c r="O556" i="11"/>
  <c r="S29" i="9"/>
  <c r="T29" i="9" s="1"/>
  <c r="O29" i="9"/>
  <c r="Y29" i="9" s="1"/>
  <c r="Z29" i="9" s="1"/>
  <c r="R130" i="10"/>
  <c r="M780" i="9"/>
  <c r="M633" i="9"/>
  <c r="S352" i="11"/>
  <c r="M272" i="9"/>
  <c r="T420" i="10"/>
  <c r="M770" i="9"/>
  <c r="R692" i="9"/>
  <c r="T692" i="9" s="1"/>
  <c r="S29" i="11"/>
  <c r="O29" i="11" s="1"/>
  <c r="X29" i="11" s="1"/>
  <c r="Y29" i="11" s="1"/>
  <c r="M269" i="9"/>
  <c r="T935" i="10"/>
  <c r="M410" i="9"/>
  <c r="M338" i="9"/>
  <c r="S1682" i="11"/>
  <c r="S255" i="11"/>
  <c r="M1077" i="9"/>
  <c r="T202" i="10"/>
  <c r="T629" i="10"/>
  <c r="T728" i="10"/>
  <c r="S728" i="10" s="1"/>
  <c r="S411" i="11"/>
  <c r="O411" i="11" s="1"/>
  <c r="T1315" i="10"/>
  <c r="S1315" i="10" s="1"/>
  <c r="M183" i="9"/>
  <c r="M768" i="9"/>
  <c r="S282" i="11"/>
  <c r="T493" i="10"/>
  <c r="Q493" i="10" s="1"/>
  <c r="R493" i="10" s="1"/>
  <c r="S260" i="11"/>
  <c r="M132" i="9"/>
  <c r="M424" i="9"/>
  <c r="M134" i="9"/>
  <c r="M49" i="9"/>
  <c r="M321" i="9"/>
  <c r="T1237" i="10"/>
  <c r="S1237" i="10" s="1"/>
  <c r="T839" i="10"/>
  <c r="P839" i="10" s="1"/>
  <c r="T1097" i="10"/>
  <c r="S1097" i="10" s="1"/>
  <c r="T1095" i="10"/>
  <c r="S1095" i="10" s="1"/>
  <c r="S253" i="11"/>
  <c r="M394" i="9"/>
  <c r="S265" i="11"/>
  <c r="R727" i="9"/>
  <c r="T727" i="9" s="1"/>
  <c r="M169" i="9"/>
  <c r="R128" i="10"/>
  <c r="T575" i="10"/>
  <c r="T1306" i="10"/>
  <c r="S1306" i="10" s="1"/>
  <c r="T1468" i="10"/>
  <c r="S1468" i="10" s="1"/>
  <c r="M56" i="9"/>
  <c r="M36" i="10"/>
  <c r="T1091" i="10"/>
  <c r="S1091" i="10" s="1"/>
  <c r="S856" i="11"/>
  <c r="S1468" i="11"/>
  <c r="R1468" i="11" s="1"/>
  <c r="M38" i="9"/>
  <c r="S49" i="11"/>
  <c r="O49" i="11" s="1"/>
  <c r="X49" i="11" s="1"/>
  <c r="Y49" i="11" s="1"/>
  <c r="M171" i="9"/>
  <c r="M261" i="9"/>
  <c r="T432" i="10"/>
  <c r="R858" i="9"/>
  <c r="T858" i="9" s="1"/>
  <c r="S1531" i="11"/>
  <c r="R1531" i="11" s="1"/>
  <c r="M52" i="9"/>
  <c r="R872" i="9"/>
  <c r="T872" i="9" s="1"/>
  <c r="T727" i="10"/>
  <c r="S727" i="10" s="1"/>
  <c r="M191" i="9"/>
  <c r="S330" i="11"/>
  <c r="T192" i="10"/>
  <c r="T688" i="10"/>
  <c r="M108" i="9"/>
  <c r="M46" i="9"/>
  <c r="T491" i="10"/>
  <c r="M397" i="9"/>
  <c r="M341" i="9"/>
  <c r="T1540" i="10"/>
  <c r="S1540" i="10" s="1"/>
  <c r="R910" i="9"/>
  <c r="M97" i="9"/>
  <c r="S32" i="11"/>
  <c r="O32" i="11" s="1"/>
  <c r="X32" i="11" s="1"/>
  <c r="Y32" i="11" s="1"/>
  <c r="T1243" i="10"/>
  <c r="S1243" i="10" s="1"/>
  <c r="S1661" i="11"/>
  <c r="Z116" i="9"/>
  <c r="T116" i="9"/>
  <c r="Y1082" i="9"/>
  <c r="Z1082" i="9" s="1"/>
  <c r="T1082" i="9"/>
  <c r="S246" i="11"/>
  <c r="M1061" i="9"/>
  <c r="M1059" i="9"/>
  <c r="T613" i="10"/>
  <c r="M1066" i="9"/>
  <c r="T178" i="10"/>
  <c r="S121" i="11"/>
  <c r="R121" i="11" s="1"/>
  <c r="X121" i="11" s="1"/>
  <c r="Y121" i="11" s="1"/>
  <c r="T1464" i="10"/>
  <c r="S1464" i="10" s="1"/>
  <c r="R566" i="9"/>
  <c r="M256" i="9"/>
  <c r="T1216" i="10"/>
  <c r="S1216" i="10" s="1"/>
  <c r="T170" i="10"/>
  <c r="S176" i="11"/>
  <c r="R176" i="11" s="1"/>
  <c r="R719" i="9"/>
  <c r="T719" i="9" s="1"/>
  <c r="T176" i="10"/>
  <c r="T1080" i="10"/>
  <c r="S1080" i="10" s="1"/>
  <c r="T168" i="10"/>
  <c r="S1954" i="11"/>
  <c r="R1954" i="11" s="1"/>
  <c r="M652" i="9"/>
  <c r="S189" i="11"/>
  <c r="R189" i="11" s="1"/>
  <c r="S1438" i="11"/>
  <c r="R1438" i="11" s="1"/>
  <c r="M328" i="9"/>
  <c r="T1432" i="10"/>
  <c r="S1432" i="10" s="1"/>
  <c r="R134" i="10"/>
  <c r="T270" i="10"/>
  <c r="M104" i="9"/>
  <c r="R944" i="9"/>
  <c r="S264" i="11"/>
  <c r="S1097" i="11"/>
  <c r="M409" i="9"/>
  <c r="T546" i="10"/>
  <c r="Q546" i="10" s="1"/>
  <c r="R546" i="10" s="1"/>
  <c r="Z546" i="10" s="1"/>
  <c r="T1155" i="10"/>
  <c r="R562" i="9"/>
  <c r="S134" i="11"/>
  <c r="R134" i="11" s="1"/>
  <c r="X134" i="11" s="1"/>
  <c r="Y134" i="11" s="1"/>
  <c r="M326" i="9"/>
  <c r="M346" i="9"/>
  <c r="T264" i="10"/>
  <c r="V264" i="10" s="1"/>
  <c r="S46" i="11"/>
  <c r="O46" i="11" s="1"/>
  <c r="X46" i="11" s="1"/>
  <c r="Y46" i="11" s="1"/>
  <c r="M800" i="9"/>
  <c r="M611" i="9"/>
  <c r="T611" i="9" s="1"/>
  <c r="T1223" i="10"/>
  <c r="S1223" i="10" s="1"/>
  <c r="S857" i="11"/>
  <c r="O857" i="11" s="1"/>
  <c r="R545" i="9"/>
  <c r="T875" i="10"/>
  <c r="M1057" i="9"/>
  <c r="S1081" i="11"/>
  <c r="S632" i="11"/>
  <c r="M274" i="9"/>
  <c r="T949" i="10"/>
  <c r="R1015" i="9"/>
  <c r="T1369" i="10"/>
  <c r="S1369" i="10" s="1"/>
  <c r="M793" i="9"/>
  <c r="M784" i="9"/>
  <c r="S357" i="11"/>
  <c r="M197" i="9"/>
  <c r="S276" i="11"/>
  <c r="M347" i="9"/>
  <c r="M322" i="9"/>
  <c r="M208" i="9"/>
  <c r="R567" i="9"/>
  <c r="M776" i="9"/>
  <c r="T1077" i="10"/>
  <c r="S1077" i="10" s="1"/>
  <c r="T630" i="10"/>
  <c r="T715" i="10"/>
  <c r="M186" i="9"/>
  <c r="T541" i="10"/>
  <c r="Q541" i="10" s="1"/>
  <c r="R541" i="10" s="1"/>
  <c r="Z541" i="10" s="1"/>
  <c r="R116" i="10"/>
  <c r="T1134" i="10"/>
  <c r="P1134" i="10" s="1"/>
  <c r="M58" i="9"/>
  <c r="M402" i="9"/>
  <c r="M46" i="10"/>
  <c r="T1298" i="10"/>
  <c r="S1298" i="10" s="1"/>
  <c r="S1671" i="11"/>
  <c r="S1737" i="11"/>
  <c r="T246" i="9"/>
  <c r="Z246" i="9"/>
  <c r="T985" i="10"/>
  <c r="T1064" i="10"/>
  <c r="S1064" i="10" s="1"/>
  <c r="T687" i="10"/>
  <c r="M422" i="9"/>
  <c r="M788" i="9"/>
  <c r="M789" i="9"/>
  <c r="T1284" i="10"/>
  <c r="S1284" i="10" s="1"/>
  <c r="T1059" i="10"/>
  <c r="S1059" i="10" s="1"/>
  <c r="S1003" i="11"/>
  <c r="M785" i="9"/>
  <c r="M327" i="9"/>
  <c r="S332" i="11"/>
  <c r="T1204" i="10"/>
  <c r="M794" i="9"/>
  <c r="M247" i="9"/>
  <c r="T1005" i="10"/>
  <c r="T196" i="10"/>
  <c r="R702" i="9"/>
  <c r="T702" i="9" s="1"/>
  <c r="M1096" i="9"/>
  <c r="T797" i="10"/>
  <c r="S797" i="10" s="1"/>
  <c r="M786" i="9"/>
  <c r="M48" i="10"/>
  <c r="T1145" i="10"/>
  <c r="S1098" i="11"/>
  <c r="S1301" i="11"/>
  <c r="M426" i="9"/>
  <c r="M45" i="10"/>
  <c r="S45" i="11"/>
  <c r="O45" i="11" s="1"/>
  <c r="X45" i="11" s="1"/>
  <c r="Y45" i="11" s="1"/>
  <c r="S432" i="11"/>
  <c r="T1008" i="10"/>
  <c r="T418" i="10"/>
  <c r="M265" i="9"/>
  <c r="R938" i="9"/>
  <c r="S1469" i="11"/>
  <c r="R1469" i="11" s="1"/>
  <c r="M200" i="9"/>
  <c r="R921" i="9"/>
  <c r="S543" i="11"/>
  <c r="S110" i="11"/>
  <c r="R110" i="11" s="1"/>
  <c r="X110" i="11" s="1"/>
  <c r="Y110" i="11" s="1"/>
  <c r="R578" i="9"/>
  <c r="S570" i="11"/>
  <c r="V570" i="11" s="1"/>
  <c r="T1361" i="10"/>
  <c r="S1361" i="10" s="1"/>
  <c r="M351" i="9"/>
  <c r="M56" i="10"/>
  <c r="S59" i="11"/>
  <c r="O59" i="11" s="1"/>
  <c r="X59" i="11" s="1"/>
  <c r="Y59" i="11" s="1"/>
  <c r="T492" i="10"/>
  <c r="S1002" i="11"/>
  <c r="R859" i="9"/>
  <c r="T859" i="9" s="1"/>
  <c r="R109" i="10"/>
  <c r="T653" i="10"/>
  <c r="S337" i="11"/>
  <c r="S1006" i="11"/>
  <c r="M251" i="9"/>
  <c r="T1448" i="10"/>
  <c r="T1394" i="10"/>
  <c r="S1394" i="10" s="1"/>
  <c r="M57" i="10"/>
  <c r="M201" i="9"/>
  <c r="M783" i="9"/>
  <c r="S280" i="11"/>
  <c r="S1989" i="11"/>
  <c r="R1989" i="11" s="1"/>
  <c r="M112" i="9"/>
  <c r="M337" i="9"/>
  <c r="T1297" i="10"/>
  <c r="S1297" i="10" s="1"/>
  <c r="T711" i="10"/>
  <c r="S711" i="10" s="1"/>
  <c r="S1505" i="11"/>
  <c r="R1505" i="11" s="1"/>
  <c r="M123" i="9"/>
  <c r="M243" i="9"/>
  <c r="T1238" i="10"/>
  <c r="S1238" i="10" s="1"/>
  <c r="T1060" i="10"/>
  <c r="S1060" i="10" s="1"/>
  <c r="T1523" i="10"/>
  <c r="S1523" i="10" s="1"/>
  <c r="T982" i="10"/>
  <c r="T1022" i="10"/>
  <c r="M167" i="9"/>
  <c r="T430" i="10"/>
  <c r="P430" i="10" s="1"/>
  <c r="S628" i="11"/>
  <c r="V628" i="11" s="1"/>
  <c r="Y1093" i="9"/>
  <c r="Z1093" i="9" s="1"/>
  <c r="T1093" i="9"/>
  <c r="M428" i="9"/>
  <c r="T1096" i="10"/>
  <c r="S1096" i="10" s="1"/>
  <c r="S1666" i="11"/>
  <c r="M421" i="9"/>
  <c r="M275" i="9"/>
  <c r="M1064" i="9"/>
  <c r="T989" i="10"/>
  <c r="V989" i="10" s="1"/>
  <c r="T543" i="10"/>
  <c r="Q543" i="10" s="1"/>
  <c r="R543" i="10" s="1"/>
  <c r="Z543" i="10" s="1"/>
  <c r="S913" i="11"/>
  <c r="O913" i="11" s="1"/>
  <c r="X913" i="11" s="1"/>
  <c r="Y913" i="11" s="1"/>
  <c r="R864" i="9"/>
  <c r="T864" i="9" s="1"/>
  <c r="M30" i="10"/>
  <c r="T944" i="10"/>
  <c r="N944" i="10" s="1"/>
  <c r="S1309" i="11"/>
  <c r="M641" i="9"/>
  <c r="R123" i="10"/>
  <c r="M43" i="10"/>
  <c r="T1377" i="10"/>
  <c r="S1377" i="10" s="1"/>
  <c r="S1370" i="11"/>
  <c r="R1370" i="11" s="1"/>
  <c r="S431" i="11"/>
  <c r="R710" i="9"/>
  <c r="T710" i="9" s="1"/>
  <c r="S1286" i="11"/>
  <c r="M39" i="9"/>
  <c r="M355" i="9"/>
  <c r="R704" i="9"/>
  <c r="T704" i="9" s="1"/>
  <c r="T765" i="10"/>
  <c r="S34" i="11"/>
  <c r="O34" i="11" s="1"/>
  <c r="X34" i="11" s="1"/>
  <c r="Y34" i="11" s="1"/>
  <c r="T631" i="10"/>
  <c r="S1576" i="11"/>
  <c r="M21" i="9"/>
  <c r="S843" i="11"/>
  <c r="S1829" i="11"/>
  <c r="T1163" i="10"/>
  <c r="S1978" i="11"/>
  <c r="R1978" i="11" s="1"/>
  <c r="M133" i="9"/>
  <c r="T772" i="10"/>
  <c r="S772" i="10" s="1"/>
  <c r="M280" i="9"/>
  <c r="R558" i="9"/>
  <c r="T350" i="10"/>
  <c r="V350" i="10" s="1"/>
  <c r="R135" i="10"/>
  <c r="R1006" i="9"/>
  <c r="T1062" i="10"/>
  <c r="S1062" i="10" s="1"/>
  <c r="S355" i="11"/>
  <c r="R1014" i="9"/>
  <c r="T1098" i="10"/>
  <c r="S1098" i="10" s="1"/>
  <c r="S204" i="11"/>
  <c r="R204" i="11" s="1"/>
  <c r="R717" i="9"/>
  <c r="T717" i="9" s="1"/>
  <c r="M626" i="9"/>
  <c r="T1463" i="10"/>
  <c r="S1463" i="10" s="1"/>
  <c r="S1320" i="11"/>
  <c r="T243" i="10"/>
  <c r="M260" i="9"/>
  <c r="M254" i="9"/>
  <c r="S175" i="11"/>
  <c r="R175" i="11" s="1"/>
  <c r="S1617" i="11"/>
  <c r="R1617" i="11" s="1"/>
  <c r="T1287" i="10"/>
  <c r="S1287" i="10" s="1"/>
  <c r="M273" i="9"/>
  <c r="S104" i="11"/>
  <c r="R104" i="11" s="1"/>
  <c r="X104" i="11" s="1"/>
  <c r="Y104" i="11" s="1"/>
  <c r="T1161" i="10"/>
  <c r="S1765" i="11"/>
  <c r="T1446" i="10"/>
  <c r="S1446" i="10" s="1"/>
  <c r="M773" i="9"/>
  <c r="T169" i="10"/>
  <c r="S18" i="11"/>
  <c r="S876" i="11"/>
  <c r="M31" i="9"/>
  <c r="T562" i="10"/>
  <c r="Q562" i="10" s="1"/>
  <c r="M22" i="9"/>
  <c r="M401" i="9"/>
  <c r="S1246" i="11"/>
  <c r="M126" i="9"/>
  <c r="R937" i="9"/>
  <c r="T502" i="10"/>
  <c r="T710" i="10"/>
  <c r="T481" i="10"/>
  <c r="M30" i="9"/>
  <c r="T1458" i="10"/>
  <c r="S1458" i="10" s="1"/>
  <c r="M777" i="9"/>
  <c r="S1805" i="11"/>
  <c r="Z118" i="9"/>
  <c r="T118" i="9"/>
  <c r="R97" i="10"/>
  <c r="T1021" i="10"/>
  <c r="M32" i="9"/>
  <c r="M771" i="9"/>
  <c r="M772" i="9"/>
  <c r="T200" i="10"/>
  <c r="S1987" i="11"/>
  <c r="R1987" i="11" s="1"/>
  <c r="S1364" i="11"/>
  <c r="R1364" i="11" s="1"/>
  <c r="T802" i="10"/>
  <c r="S802" i="10" s="1"/>
  <c r="R699" i="9"/>
  <c r="T699" i="9" s="1"/>
  <c r="T1006" i="10"/>
  <c r="M131" i="9"/>
  <c r="M398" i="9"/>
  <c r="M59" i="9"/>
  <c r="R867" i="9"/>
  <c r="T867" i="9" s="1"/>
  <c r="T1317" i="10"/>
  <c r="M192" i="9"/>
  <c r="R912" i="9"/>
  <c r="T921" i="10"/>
  <c r="N921" i="10" s="1"/>
  <c r="T1225" i="10"/>
  <c r="S1225" i="10" s="1"/>
  <c r="R564" i="9"/>
  <c r="M417" i="9"/>
  <c r="S248" i="11"/>
  <c r="T861" i="10"/>
  <c r="M763" i="9"/>
  <c r="T1300" i="10"/>
  <c r="S1300" i="10" s="1"/>
  <c r="T842" i="10"/>
  <c r="M348" i="9"/>
  <c r="S187" i="11"/>
  <c r="R187" i="11" s="1"/>
  <c r="M317" i="9"/>
  <c r="S348" i="11"/>
  <c r="T1218" i="10"/>
  <c r="S1218" i="10" s="1"/>
  <c r="R840" i="9"/>
  <c r="T840" i="9" s="1"/>
  <c r="S1024" i="11"/>
  <c r="S933" i="11"/>
  <c r="R908" i="9"/>
  <c r="T186" i="10"/>
  <c r="S1018" i="11"/>
  <c r="S728" i="11"/>
  <c r="T1240" i="10"/>
  <c r="S1240" i="10" s="1"/>
  <c r="T843" i="10"/>
  <c r="M781" i="9"/>
  <c r="R722" i="9"/>
  <c r="T722" i="9" s="1"/>
  <c r="R926" i="9"/>
  <c r="T1353" i="10"/>
  <c r="M240" i="9"/>
  <c r="T240" i="9" s="1"/>
  <c r="T704" i="10"/>
  <c r="T1074" i="10"/>
  <c r="S1074" i="10" s="1"/>
  <c r="M638" i="9"/>
  <c r="T269" i="10"/>
  <c r="V269" i="10" s="1"/>
  <c r="R691" i="9"/>
  <c r="T691" i="9" s="1"/>
  <c r="T1150" i="10"/>
  <c r="S131" i="11"/>
  <c r="R131" i="11" s="1"/>
  <c r="X131" i="11" s="1"/>
  <c r="Y131" i="11" s="1"/>
  <c r="T1246" i="10"/>
  <c r="S1246" i="10" s="1"/>
  <c r="M166" i="9"/>
  <c r="M49" i="10"/>
  <c r="T1236" i="10"/>
  <c r="S1236" i="10" s="1"/>
  <c r="S835" i="11"/>
  <c r="S1766" i="11"/>
  <c r="M187" i="9"/>
  <c r="R119" i="10"/>
  <c r="S331" i="11"/>
  <c r="S862" i="11"/>
  <c r="S1395" i="11"/>
  <c r="R1395" i="11" s="1"/>
  <c r="M390" i="9"/>
  <c r="T330" i="10"/>
  <c r="V330" i="10" s="1"/>
  <c r="R839" i="9"/>
  <c r="T839" i="9" s="1"/>
  <c r="R846" i="9"/>
  <c r="T846" i="9" s="1"/>
  <c r="T1320" i="10"/>
  <c r="S1320" i="10" s="1"/>
  <c r="M128" i="9"/>
  <c r="T1078" i="10"/>
  <c r="S1078" i="10" s="1"/>
  <c r="M199" i="9"/>
  <c r="R915" i="9"/>
  <c r="S208" i="11"/>
  <c r="R208" i="11" s="1"/>
  <c r="M19" i="9"/>
  <c r="M23" i="10"/>
  <c r="M354" i="9"/>
  <c r="T1136" i="10"/>
  <c r="T1430" i="10"/>
  <c r="S168" i="11"/>
  <c r="R168" i="11" s="1"/>
  <c r="M331" i="9"/>
  <c r="T777" i="10"/>
  <c r="M778" i="9"/>
  <c r="T475" i="10"/>
  <c r="M96" i="9"/>
  <c r="M774" i="9"/>
  <c r="T801" i="10"/>
  <c r="S801" i="10" s="1"/>
  <c r="M651" i="9"/>
  <c r="T1442" i="10"/>
  <c r="S1442" i="10" s="1"/>
  <c r="R836" i="9"/>
  <c r="T836" i="9" s="1"/>
  <c r="R121" i="10"/>
  <c r="S1988" i="11"/>
  <c r="R1988" i="11" s="1"/>
  <c r="M762" i="9"/>
  <c r="T179" i="10"/>
  <c r="R574" i="9"/>
  <c r="R118" i="10"/>
  <c r="M21" i="10"/>
  <c r="T1386" i="10"/>
  <c r="S1386" i="10" s="1"/>
  <c r="R1007" i="9"/>
  <c r="R862" i="9"/>
  <c r="T862" i="9" s="1"/>
  <c r="T644" i="10"/>
  <c r="R716" i="9"/>
  <c r="T716" i="9" s="1"/>
  <c r="M253" i="9"/>
  <c r="T693" i="10"/>
  <c r="S693" i="10" s="1"/>
  <c r="M43" i="9"/>
  <c r="R863" i="9"/>
  <c r="T863" i="9" s="1"/>
  <c r="R713" i="9"/>
  <c r="T713" i="9" s="1"/>
  <c r="R848" i="9"/>
  <c r="T848" i="9" s="1"/>
  <c r="T942" i="10"/>
  <c r="M124" i="9"/>
  <c r="M408" i="9"/>
  <c r="M263" i="9"/>
  <c r="S1509" i="11"/>
  <c r="R1509" i="11" s="1"/>
  <c r="T633" i="10"/>
  <c r="T1206" i="10"/>
  <c r="S1206" i="10" s="1"/>
  <c r="M100" i="9"/>
  <c r="T654" i="10"/>
  <c r="T1444" i="10"/>
  <c r="S1444" i="10" s="1"/>
  <c r="R907" i="9"/>
  <c r="R994" i="9"/>
  <c r="T775" i="10"/>
  <c r="S775" i="10" s="1"/>
  <c r="R540" i="9"/>
  <c r="M40" i="9"/>
  <c r="S93" i="11"/>
  <c r="T646" i="10"/>
  <c r="M106" i="9"/>
  <c r="M266" i="9"/>
  <c r="M23" i="9"/>
  <c r="S1813" i="11"/>
  <c r="T1076" i="10"/>
  <c r="S1076" i="10" s="1"/>
  <c r="M101" i="9"/>
  <c r="R726" i="9"/>
  <c r="T726" i="9" s="1"/>
  <c r="M766" i="9"/>
  <c r="T577" i="10"/>
  <c r="Q577" i="10" s="1"/>
  <c r="S784" i="11"/>
  <c r="N784" i="11" s="1"/>
  <c r="R869" i="9"/>
  <c r="T869" i="9" s="1"/>
  <c r="T1024" i="10"/>
  <c r="V1024" i="10" s="1"/>
  <c r="T206" i="10"/>
  <c r="T990" i="10"/>
  <c r="M181" i="9"/>
  <c r="R575" i="9"/>
  <c r="R1022" i="9"/>
  <c r="M36" i="9"/>
  <c r="M205" i="9"/>
  <c r="M391" i="9"/>
  <c r="T273" i="10"/>
  <c r="V273" i="10" s="1"/>
  <c r="T283" i="10"/>
  <c r="V283" i="10" s="1"/>
  <c r="R551" i="9"/>
  <c r="T859" i="10"/>
  <c r="M416" i="9"/>
  <c r="M637" i="9"/>
  <c r="R875" i="9"/>
  <c r="T875" i="9" s="1"/>
  <c r="M119" i="9"/>
  <c r="T1443" i="10"/>
  <c r="S1443" i="10" s="1"/>
  <c r="R941" i="9"/>
  <c r="S1077" i="11"/>
  <c r="M282" i="9"/>
  <c r="S329" i="11"/>
  <c r="R868" i="9"/>
  <c r="T868" i="9" s="1"/>
  <c r="M767" i="9"/>
  <c r="T716" i="10"/>
  <c r="S716" i="10" s="1"/>
  <c r="M130" i="9"/>
  <c r="T643" i="10"/>
  <c r="M344" i="9"/>
  <c r="M35" i="10"/>
  <c r="S875" i="11"/>
  <c r="M26" i="9"/>
  <c r="R842" i="9"/>
  <c r="T842" i="9" s="1"/>
  <c r="M18" i="10"/>
  <c r="S18" i="10" s="1"/>
  <c r="T18" i="10" s="1"/>
  <c r="T717" i="10"/>
  <c r="M653" i="9"/>
  <c r="M33" i="9"/>
  <c r="M403" i="9"/>
  <c r="R96" i="10"/>
  <c r="T1131" i="10"/>
  <c r="P1131" i="10" s="1"/>
  <c r="R693" i="9"/>
  <c r="T693" i="9" s="1"/>
  <c r="T280" i="10"/>
  <c r="T617" i="10"/>
  <c r="T247" i="10"/>
  <c r="V247" i="10" s="1"/>
  <c r="R686" i="9"/>
  <c r="T686" i="9" s="1"/>
  <c r="M1063" i="9"/>
  <c r="S781" i="11"/>
  <c r="N781" i="11" s="1"/>
  <c r="R984" i="9"/>
  <c r="R931" i="9"/>
  <c r="T334" i="10"/>
  <c r="M1060" i="9"/>
  <c r="T563" i="10"/>
  <c r="R701" i="9"/>
  <c r="T701" i="9" s="1"/>
  <c r="R577" i="9"/>
  <c r="T863" i="10"/>
  <c r="S541" i="11"/>
  <c r="R857" i="9"/>
  <c r="T857" i="9" s="1"/>
  <c r="T489" i="10"/>
  <c r="T572" i="10"/>
  <c r="R546" i="9"/>
  <c r="R563" i="9"/>
  <c r="S928" i="11"/>
  <c r="M639" i="9"/>
  <c r="T241" i="10"/>
  <c r="T542" i="10"/>
  <c r="Q542" i="10" s="1"/>
  <c r="R542" i="10" s="1"/>
  <c r="Z542" i="10" s="1"/>
  <c r="M117" i="9"/>
  <c r="M1083" i="9"/>
  <c r="T1299" i="10"/>
  <c r="S1299" i="10" s="1"/>
  <c r="T641" i="10"/>
  <c r="M646" i="9"/>
  <c r="R687" i="9"/>
  <c r="T687" i="9" s="1"/>
  <c r="M792" i="9"/>
  <c r="S244" i="11"/>
  <c r="T624" i="10"/>
  <c r="M258" i="9"/>
  <c r="T1172" i="10"/>
  <c r="T1007" i="10"/>
  <c r="V1007" i="10" s="1"/>
  <c r="T627" i="10"/>
  <c r="R565" i="9"/>
  <c r="M19" i="10"/>
  <c r="T431" i="10"/>
  <c r="T1318" i="10"/>
  <c r="S1318" i="10" s="1"/>
  <c r="T1383" i="10"/>
  <c r="S1383" i="10" s="1"/>
  <c r="R1017" i="9"/>
  <c r="R102" i="10"/>
  <c r="T580" i="10"/>
  <c r="T1460" i="10"/>
  <c r="S1460" i="10" s="1"/>
  <c r="M429" i="9"/>
  <c r="T616" i="10"/>
  <c r="S1318" i="11"/>
  <c r="M60" i="10"/>
  <c r="M628" i="9"/>
  <c r="R721" i="9"/>
  <c r="T721" i="9" s="1"/>
  <c r="R988" i="9"/>
  <c r="T791" i="10"/>
  <c r="M1097" i="9"/>
  <c r="R1019" i="9"/>
  <c r="R573" i="9"/>
  <c r="S281" i="11"/>
  <c r="T485" i="10"/>
  <c r="M1073" i="9"/>
  <c r="S539" i="11"/>
  <c r="R100" i="10"/>
  <c r="T263" i="10"/>
  <c r="V263" i="10" s="1"/>
  <c r="T800" i="10"/>
  <c r="S800" i="10" s="1"/>
  <c r="M206" i="9"/>
  <c r="M334" i="9"/>
  <c r="T199" i="10"/>
  <c r="T246" i="10"/>
  <c r="S950" i="11"/>
  <c r="M34" i="9"/>
  <c r="M324" i="9"/>
  <c r="T1061" i="10"/>
  <c r="S1061" i="10" s="1"/>
  <c r="T1018" i="10"/>
  <c r="V1018" i="10" s="1"/>
  <c r="M281" i="9"/>
  <c r="M18" i="9"/>
  <c r="R924" i="9"/>
  <c r="T1222" i="10"/>
  <c r="S1222" i="10" s="1"/>
  <c r="S27" i="11"/>
  <c r="O27" i="11" s="1"/>
  <c r="X27" i="11" s="1"/>
  <c r="Y27" i="11" s="1"/>
  <c r="M50" i="10"/>
  <c r="R835" i="9"/>
  <c r="T835" i="9" s="1"/>
  <c r="T473" i="10"/>
  <c r="S559" i="11"/>
  <c r="M316" i="9"/>
  <c r="S571" i="11"/>
  <c r="V571" i="11" s="1"/>
  <c r="S277" i="11"/>
  <c r="M623" i="9"/>
  <c r="R552" i="9"/>
  <c r="T1058" i="10"/>
  <c r="S1058" i="10" s="1"/>
  <c r="S350" i="11"/>
  <c r="T331" i="10"/>
  <c r="V331" i="10" s="1"/>
  <c r="M267" i="9"/>
  <c r="M1072" i="9"/>
  <c r="S115" i="11"/>
  <c r="R115" i="11" s="1"/>
  <c r="X115" i="11" s="1"/>
  <c r="Y115" i="11" s="1"/>
  <c r="M1076" i="9"/>
  <c r="R570" i="9"/>
  <c r="S1529" i="11"/>
  <c r="R1529" i="11" s="1"/>
  <c r="M198" i="9"/>
  <c r="R922" i="9"/>
  <c r="R1012" i="9"/>
  <c r="S1951" i="11"/>
  <c r="R1951" i="11" s="1"/>
  <c r="T1149" i="10"/>
  <c r="S395" i="11"/>
  <c r="O395" i="11" s="1"/>
  <c r="M47" i="9"/>
  <c r="T1374" i="10"/>
  <c r="S1374" i="10" s="1"/>
  <c r="M622" i="9"/>
  <c r="S1833" i="11"/>
  <c r="M177" i="9"/>
  <c r="M40" i="10"/>
  <c r="T1372" i="10"/>
  <c r="S1372" i="10" s="1"/>
  <c r="M353" i="9"/>
  <c r="M35" i="9"/>
  <c r="M20" i="9"/>
  <c r="T204" i="10"/>
  <c r="S1543" i="11"/>
  <c r="R1543" i="11" s="1"/>
  <c r="T760" i="10"/>
  <c r="R871" i="9"/>
  <c r="T871" i="9" s="1"/>
  <c r="R849" i="9"/>
  <c r="T849" i="9" s="1"/>
  <c r="T272" i="10"/>
  <c r="R948" i="9"/>
  <c r="T1522" i="10"/>
  <c r="S1522" i="10" s="1"/>
  <c r="M330" i="9"/>
  <c r="R571" i="9"/>
  <c r="T701" i="10"/>
  <c r="R949" i="9"/>
  <c r="M619" i="9"/>
  <c r="M27" i="10"/>
  <c r="T488" i="10"/>
  <c r="M178" i="9"/>
  <c r="T209" i="10"/>
  <c r="S405" i="11"/>
  <c r="O405" i="11" s="1"/>
  <c r="R943" i="9"/>
  <c r="T1132" i="10"/>
  <c r="P1132" i="10" s="1"/>
  <c r="T558" i="10"/>
  <c r="T1171" i="10"/>
  <c r="M333" i="9"/>
  <c r="T650" i="10"/>
  <c r="T1309" i="10"/>
  <c r="S638" i="11"/>
  <c r="M189" i="9"/>
  <c r="M174" i="9"/>
  <c r="T1093" i="10"/>
  <c r="S1093" i="10" s="1"/>
  <c r="S542" i="11"/>
  <c r="M405" i="9"/>
  <c r="M188" i="9"/>
  <c r="M759" i="9"/>
  <c r="T647" i="10"/>
  <c r="T258" i="10"/>
  <c r="T579" i="10"/>
  <c r="T167" i="10"/>
  <c r="S1612" i="11"/>
  <c r="R1612" i="11" s="1"/>
  <c r="T1281" i="10"/>
  <c r="S1281" i="10" s="1"/>
  <c r="M634" i="9"/>
  <c r="T1245" i="10"/>
  <c r="S1245" i="10" s="1"/>
  <c r="T1224" i="10"/>
  <c r="S1224" i="10" s="1"/>
  <c r="T649" i="10"/>
  <c r="T486" i="10"/>
  <c r="Q486" i="10" s="1"/>
  <c r="R486" i="10" s="1"/>
  <c r="M1085" i="9"/>
  <c r="T477" i="10"/>
  <c r="R112" i="10"/>
  <c r="S1299" i="11"/>
  <c r="M352" i="9"/>
  <c r="T505" i="10"/>
  <c r="R108" i="10"/>
  <c r="T1453" i="10"/>
  <c r="T1133" i="10"/>
  <c r="P1133" i="10" s="1"/>
  <c r="T702" i="10"/>
  <c r="S702" i="10" s="1"/>
  <c r="M332" i="9"/>
  <c r="S1384" i="11"/>
  <c r="R1384" i="11" s="1"/>
  <c r="S1611" i="11"/>
  <c r="R1611" i="11" s="1"/>
  <c r="S120" i="11"/>
  <c r="R120" i="11" s="1"/>
  <c r="X120" i="11" s="1"/>
  <c r="Y120" i="11" s="1"/>
  <c r="T1526" i="10"/>
  <c r="S1526" i="10" s="1"/>
  <c r="R932" i="9"/>
  <c r="M55" i="10"/>
  <c r="T1079" i="10"/>
  <c r="S1079" i="10" s="1"/>
  <c r="M244" i="9"/>
  <c r="R1013" i="9"/>
  <c r="T1447" i="10"/>
  <c r="S1447" i="10" s="1"/>
  <c r="M195" i="9"/>
  <c r="M648" i="9"/>
  <c r="T1004" i="10"/>
  <c r="V1004" i="10" s="1"/>
  <c r="T1441" i="10"/>
  <c r="S1441" i="10" s="1"/>
  <c r="R998" i="9"/>
  <c r="T1302" i="10"/>
  <c r="S1381" i="11"/>
  <c r="R1381" i="11" s="1"/>
  <c r="M389" i="9"/>
  <c r="M414" i="9"/>
  <c r="T349" i="10"/>
  <c r="V349" i="10" s="1"/>
  <c r="T1429" i="10"/>
  <c r="T578" i="10"/>
  <c r="Q578" i="10" s="1"/>
  <c r="R946" i="9"/>
  <c r="R928" i="9"/>
  <c r="T790" i="10"/>
  <c r="S790" i="10" s="1"/>
  <c r="M25" i="10"/>
  <c r="T787" i="10"/>
  <c r="S787" i="10" s="1"/>
  <c r="M423" i="9"/>
  <c r="S193" i="11"/>
  <c r="R193" i="11" s="1"/>
  <c r="T242" i="10"/>
  <c r="S408" i="11"/>
  <c r="O408" i="11" s="1"/>
  <c r="T1506" i="10"/>
  <c r="S1506" i="10" s="1"/>
  <c r="R1020" i="9"/>
  <c r="T248" i="10"/>
  <c r="T1002" i="10"/>
  <c r="V1002" i="10" s="1"/>
  <c r="S1692" i="11"/>
  <c r="R126" i="10"/>
  <c r="T1301" i="10"/>
  <c r="R537" i="9"/>
  <c r="R1011" i="9"/>
  <c r="M207" i="9"/>
  <c r="M418" i="9"/>
  <c r="R94" i="10"/>
  <c r="T1019" i="10"/>
  <c r="V1019" i="10" s="1"/>
  <c r="M336" i="9"/>
  <c r="S209" i="11"/>
  <c r="R209" i="11" s="1"/>
  <c r="M109" i="9"/>
  <c r="T490" i="10"/>
  <c r="T1090" i="10"/>
  <c r="S1090" i="10" s="1"/>
  <c r="S353" i="11"/>
  <c r="T1279" i="10"/>
  <c r="S1279" i="10" s="1"/>
  <c r="S561" i="11"/>
  <c r="S715" i="11"/>
  <c r="O715" i="11" s="1"/>
  <c r="T799" i="10"/>
  <c r="T1539" i="10"/>
  <c r="S1539" i="10" s="1"/>
  <c r="T470" i="10"/>
  <c r="S1211" i="11"/>
  <c r="S1156" i="11"/>
  <c r="T265" i="10"/>
  <c r="S117" i="11"/>
  <c r="R117" i="11" s="1"/>
  <c r="X117" i="11" s="1"/>
  <c r="Y117" i="11" s="1"/>
  <c r="T253" i="10"/>
  <c r="V253" i="10" s="1"/>
  <c r="T874" i="10"/>
  <c r="S566" i="11"/>
  <c r="V566" i="11" s="1"/>
  <c r="S574" i="11"/>
  <c r="V574" i="11" s="1"/>
  <c r="T1380" i="10"/>
  <c r="S1380" i="10" s="1"/>
  <c r="S495" i="11"/>
  <c r="V495" i="11" s="1"/>
  <c r="O495" i="11" s="1"/>
  <c r="S1139" i="11"/>
  <c r="S1093" i="11"/>
  <c r="S1147" i="11"/>
  <c r="T849" i="10"/>
  <c r="S641" i="11"/>
  <c r="S565" i="11"/>
  <c r="V565" i="11" s="1"/>
  <c r="S550" i="11"/>
  <c r="V550" i="11" s="1"/>
  <c r="T413" i="10"/>
  <c r="T245" i="10"/>
  <c r="S479" i="11"/>
  <c r="V479" i="11" s="1"/>
  <c r="O479" i="11" s="1"/>
  <c r="S194" i="11"/>
  <c r="R194" i="11" s="1"/>
  <c r="T252" i="10"/>
  <c r="V252" i="10" s="1"/>
  <c r="S1673" i="11"/>
  <c r="T994" i="10"/>
  <c r="V994" i="10" s="1"/>
  <c r="S625" i="11"/>
  <c r="S619" i="11"/>
  <c r="S1828" i="11"/>
  <c r="S767" i="11"/>
  <c r="N767" i="11" s="1"/>
  <c r="S406" i="11"/>
  <c r="T394" i="10"/>
  <c r="P394" i="10" s="1"/>
  <c r="S1208" i="11"/>
  <c r="S1732" i="11"/>
  <c r="S1159" i="11"/>
  <c r="S1986" i="11"/>
  <c r="R1986" i="11" s="1"/>
  <c r="S102" i="11"/>
  <c r="R102" i="11" s="1"/>
  <c r="X102" i="11" s="1"/>
  <c r="Y102" i="11" s="1"/>
  <c r="S1744" i="11"/>
  <c r="S1804" i="11"/>
  <c r="S1742" i="11"/>
  <c r="T712" i="10"/>
  <c r="T333" i="10"/>
  <c r="T640" i="10"/>
  <c r="S626" i="11"/>
  <c r="S1606" i="11"/>
  <c r="R1606" i="11" s="1"/>
  <c r="T412" i="10"/>
  <c r="S99" i="11"/>
  <c r="R99" i="11" s="1"/>
  <c r="X99" i="11" s="1"/>
  <c r="Y99" i="11" s="1"/>
  <c r="S1690" i="11"/>
  <c r="S1664" i="11"/>
  <c r="S1726" i="11"/>
  <c r="S1307" i="11"/>
  <c r="R129" i="10"/>
  <c r="S1353" i="11"/>
  <c r="T570" i="10"/>
  <c r="Q570" i="10" s="1"/>
  <c r="T697" i="10"/>
  <c r="S697" i="10" s="1"/>
  <c r="S1973" i="11"/>
  <c r="R1973" i="11" s="1"/>
  <c r="S25" i="11"/>
  <c r="O25" i="11" s="1"/>
  <c r="X25" i="11" s="1"/>
  <c r="Y25" i="11" s="1"/>
  <c r="S1674" i="11"/>
  <c r="T338" i="10"/>
  <c r="V338" i="10" s="1"/>
  <c r="T467" i="10"/>
  <c r="S1508" i="11"/>
  <c r="R1508" i="11" s="1"/>
  <c r="T1307" i="10"/>
  <c r="S1307" i="10" s="1"/>
  <c r="T1088" i="10"/>
  <c r="S1088" i="10" s="1"/>
  <c r="S773" i="11"/>
  <c r="N773" i="11" s="1"/>
  <c r="S1739" i="11"/>
  <c r="T1439" i="10"/>
  <c r="S1439" i="10" s="1"/>
  <c r="S466" i="11"/>
  <c r="V466" i="11" s="1"/>
  <c r="O466" i="11" s="1"/>
  <c r="S1063" i="11"/>
  <c r="T1068" i="10"/>
  <c r="S1068" i="10" s="1"/>
  <c r="S1369" i="11"/>
  <c r="R1369" i="11" s="1"/>
  <c r="S1608" i="11"/>
  <c r="R1608" i="11" s="1"/>
  <c r="S551" i="11"/>
  <c r="T780" i="10"/>
  <c r="S780" i="10" s="1"/>
  <c r="T945" i="10"/>
  <c r="S1975" i="11"/>
  <c r="R1975" i="11" s="1"/>
  <c r="S356" i="11"/>
  <c r="T1510" i="10"/>
  <c r="S1510" i="10" s="1"/>
  <c r="M54" i="10"/>
  <c r="M1071" i="9"/>
  <c r="M111" i="9"/>
  <c r="S94" i="11"/>
  <c r="R94" i="11" s="1"/>
  <c r="X94" i="11" s="1"/>
  <c r="Y94" i="11" s="1"/>
  <c r="S690" i="11"/>
  <c r="O690" i="11" s="1"/>
  <c r="S497" i="11"/>
  <c r="V497" i="11" s="1"/>
  <c r="O497" i="11" s="1"/>
  <c r="S1207" i="11"/>
  <c r="S399" i="11"/>
  <c r="O399" i="11" s="1"/>
  <c r="T1389" i="10"/>
  <c r="S1389" i="10" s="1"/>
  <c r="S1355" i="11"/>
  <c r="R1355" i="11" s="1"/>
  <c r="S1232" i="11"/>
  <c r="T1168" i="10"/>
  <c r="S1762" i="11"/>
  <c r="S336" i="11"/>
  <c r="S274" i="11"/>
  <c r="S1834" i="11"/>
  <c r="S1810" i="11"/>
  <c r="S112" i="11"/>
  <c r="R112" i="11" s="1"/>
  <c r="X112" i="11" s="1"/>
  <c r="Y112" i="11" s="1"/>
  <c r="T1524" i="10"/>
  <c r="S1524" i="10" s="1"/>
  <c r="S484" i="11"/>
  <c r="V484" i="11" s="1"/>
  <c r="O484" i="11" s="1"/>
  <c r="T778" i="10"/>
  <c r="S778" i="10" s="1"/>
  <c r="T1152" i="10"/>
  <c r="S994" i="11"/>
  <c r="R834" i="9"/>
  <c r="T834" i="9" s="1"/>
  <c r="S1440" i="11"/>
  <c r="R1440" i="11" s="1"/>
  <c r="S1825" i="11"/>
  <c r="S555" i="11"/>
  <c r="S562" i="11"/>
  <c r="T424" i="10"/>
  <c r="S468" i="11"/>
  <c r="V468" i="11" s="1"/>
  <c r="O468" i="11" s="1"/>
  <c r="S39" i="11"/>
  <c r="O39" i="11" s="1"/>
  <c r="X39" i="11" s="1"/>
  <c r="Y39" i="11" s="1"/>
  <c r="S169" i="11"/>
  <c r="R169" i="11" s="1"/>
  <c r="S1592" i="11"/>
  <c r="R1592" i="11" s="1"/>
  <c r="T798" i="10"/>
  <c r="S798" i="10" s="1"/>
  <c r="S1537" i="11"/>
  <c r="R1537" i="11" s="1"/>
  <c r="T1450" i="10"/>
  <c r="S1450" i="10" s="1"/>
  <c r="S54" i="11"/>
  <c r="O54" i="11" s="1"/>
  <c r="X54" i="11" s="1"/>
  <c r="Y54" i="11" s="1"/>
  <c r="S709" i="11"/>
  <c r="T565" i="10"/>
  <c r="S939" i="11"/>
  <c r="O939" i="11" s="1"/>
  <c r="X939" i="11" s="1"/>
  <c r="Y939" i="11" s="1"/>
  <c r="S1087" i="11"/>
  <c r="S1676" i="11"/>
  <c r="T498" i="10"/>
  <c r="S1603" i="11"/>
  <c r="R1603" i="11" s="1"/>
  <c r="R131" i="10"/>
  <c r="S564" i="11"/>
  <c r="S1798" i="11"/>
  <c r="T1229" i="10"/>
  <c r="S1229" i="10" s="1"/>
  <c r="S1585" i="11"/>
  <c r="R1585" i="11" s="1"/>
  <c r="R105" i="10"/>
  <c r="S687" i="11"/>
  <c r="O687" i="11" s="1"/>
  <c r="S1457" i="11"/>
  <c r="R1457" i="11" s="1"/>
  <c r="S612" i="11"/>
  <c r="S1302" i="11"/>
  <c r="S263" i="11"/>
  <c r="S1961" i="11"/>
  <c r="R1961" i="11" s="1"/>
  <c r="T1137" i="10"/>
  <c r="T1213" i="10"/>
  <c r="S1213" i="10" s="1"/>
  <c r="S1312" i="11"/>
  <c r="M614" i="9"/>
  <c r="T851" i="10"/>
  <c r="P851" i="10" s="1"/>
  <c r="S1686" i="11"/>
  <c r="S1748" i="11"/>
  <c r="T996" i="10"/>
  <c r="V996" i="10" s="1"/>
  <c r="T714" i="10"/>
  <c r="S714" i="10" s="1"/>
  <c r="S1609" i="11"/>
  <c r="R1609" i="11" s="1"/>
  <c r="S343" i="11"/>
  <c r="T268" i="10"/>
  <c r="V268" i="10" s="1"/>
  <c r="S858" i="11"/>
  <c r="O858" i="11" s="1"/>
  <c r="T1141" i="10"/>
  <c r="S847" i="11"/>
  <c r="S999" i="11"/>
  <c r="T353" i="10"/>
  <c r="V353" i="10" s="1"/>
  <c r="S911" i="11"/>
  <c r="S1513" i="11"/>
  <c r="R1513" i="11" s="1"/>
  <c r="T427" i="10"/>
  <c r="T931" i="10"/>
  <c r="N931" i="10" s="1"/>
  <c r="S1229" i="11"/>
  <c r="S1727" i="11"/>
  <c r="S1432" i="11"/>
  <c r="R1432" i="11" s="1"/>
  <c r="T571" i="10"/>
  <c r="S798" i="11"/>
  <c r="S717" i="11"/>
  <c r="O717" i="11" s="1"/>
  <c r="S1526" i="11"/>
  <c r="R1526" i="11" s="1"/>
  <c r="M1056" i="9"/>
  <c r="T1367" i="10"/>
  <c r="S1367" i="10" s="1"/>
  <c r="S711" i="11"/>
  <c r="S502" i="11"/>
  <c r="V502" i="11" s="1"/>
  <c r="S200" i="11"/>
  <c r="R200" i="11" s="1"/>
  <c r="S420" i="11"/>
  <c r="S1467" i="11"/>
  <c r="R1467" i="11" s="1"/>
  <c r="S1168" i="11"/>
  <c r="S1812" i="11"/>
  <c r="T855" i="10"/>
  <c r="S1735" i="11"/>
  <c r="R992" i="9"/>
  <c r="S1654" i="11"/>
  <c r="S1753" i="11"/>
  <c r="T620" i="10"/>
  <c r="S721" i="11"/>
  <c r="O721" i="11" s="1"/>
  <c r="T1433" i="10"/>
  <c r="S1433" i="10" s="1"/>
  <c r="S266" i="11"/>
  <c r="T553" i="10"/>
  <c r="Q553" i="10" s="1"/>
  <c r="S627" i="11"/>
  <c r="S1220" i="11"/>
  <c r="R550" i="9"/>
  <c r="S1445" i="11"/>
  <c r="R1445" i="11" s="1"/>
  <c r="T321" i="10"/>
  <c r="T722" i="10"/>
  <c r="S403" i="11"/>
  <c r="O403" i="11" s="1"/>
  <c r="M315" i="9"/>
  <c r="S250" i="11"/>
  <c r="S1452" i="11"/>
  <c r="R1452" i="11" s="1"/>
  <c r="S1453" i="11"/>
  <c r="R1453" i="11" s="1"/>
  <c r="T188" i="10"/>
  <c r="T873" i="10"/>
  <c r="P873" i="10" s="1"/>
  <c r="S1429" i="11"/>
  <c r="R1429" i="11" s="1"/>
  <c r="T998" i="10"/>
  <c r="V998" i="10" s="1"/>
  <c r="T1359" i="10"/>
  <c r="S1359" i="10" s="1"/>
  <c r="S761" i="11"/>
  <c r="N761" i="11" s="1"/>
  <c r="T341" i="10"/>
  <c r="V341" i="10" s="1"/>
  <c r="S1082" i="11"/>
  <c r="S1092" i="11"/>
  <c r="S623" i="11"/>
  <c r="V623" i="11" s="1"/>
  <c r="S1209" i="11"/>
  <c r="S1974" i="11"/>
  <c r="R1974" i="11" s="1"/>
  <c r="S800" i="11"/>
  <c r="O800" i="11" s="1"/>
  <c r="S500" i="11"/>
  <c r="V500" i="11" s="1"/>
  <c r="O500" i="11" s="1"/>
  <c r="T337" i="10"/>
  <c r="T1457" i="10"/>
  <c r="S1457" i="10" s="1"/>
  <c r="S1955" i="11"/>
  <c r="R1955" i="11" s="1"/>
  <c r="R837" i="9"/>
  <c r="T837" i="9" s="1"/>
  <c r="S1456" i="11"/>
  <c r="R1456" i="11" s="1"/>
  <c r="S620" i="11"/>
  <c r="T911" i="10"/>
  <c r="N911" i="10" s="1"/>
  <c r="S865" i="11"/>
  <c r="O865" i="11" s="1"/>
  <c r="M53" i="10"/>
  <c r="T426" i="10"/>
  <c r="P426" i="10" s="1"/>
  <c r="T914" i="10"/>
  <c r="N914" i="10" s="1"/>
  <c r="S707" i="11"/>
  <c r="O707" i="11" s="1"/>
  <c r="S424" i="11"/>
  <c r="M204" i="9"/>
  <c r="S863" i="11"/>
  <c r="S1736" i="11"/>
  <c r="S1590" i="11"/>
  <c r="R1590" i="11" s="1"/>
  <c r="S1516" i="11"/>
  <c r="R1516" i="11" s="1"/>
  <c r="T937" i="10"/>
  <c r="N937" i="10" s="1"/>
  <c r="T410" i="10"/>
  <c r="S706" i="11"/>
  <c r="S691" i="11"/>
  <c r="O691" i="11" s="1"/>
  <c r="T551" i="10"/>
  <c r="Q551" i="10" s="1"/>
  <c r="R551" i="10" s="1"/>
  <c r="Z551" i="10" s="1"/>
  <c r="T181" i="10"/>
  <c r="S694" i="11"/>
  <c r="O694" i="11" s="1"/>
  <c r="S196" i="11"/>
  <c r="R196" i="11" s="1"/>
  <c r="S342" i="11"/>
  <c r="S932" i="11"/>
  <c r="O932" i="11" s="1"/>
  <c r="X932" i="11" s="1"/>
  <c r="Y932" i="11" s="1"/>
  <c r="T926" i="10"/>
  <c r="N926" i="10" s="1"/>
  <c r="S986" i="11"/>
  <c r="S398" i="11"/>
  <c r="O398" i="11" s="1"/>
  <c r="S1281" i="11"/>
  <c r="S95" i="11"/>
  <c r="R95" i="11" s="1"/>
  <c r="X95" i="11" s="1"/>
  <c r="Y95" i="11" s="1"/>
  <c r="T852" i="10"/>
  <c r="S613" i="11"/>
  <c r="S708" i="11"/>
  <c r="T943" i="10"/>
  <c r="N943" i="10" s="1"/>
  <c r="T699" i="10"/>
  <c r="R561" i="9"/>
  <c r="M190" i="9"/>
  <c r="T1239" i="10"/>
  <c r="S1239" i="10" s="1"/>
  <c r="S1427" i="11"/>
  <c r="S1095" i="11"/>
  <c r="T706" i="10"/>
  <c r="S706" i="10" s="1"/>
  <c r="S786" i="11"/>
  <c r="N786" i="11" s="1"/>
  <c r="S1595" i="11"/>
  <c r="R1595" i="11" s="1"/>
  <c r="S1521" i="11"/>
  <c r="R1521" i="11" s="1"/>
  <c r="S1741" i="11"/>
  <c r="S38" i="11"/>
  <c r="O38" i="11" s="1"/>
  <c r="X38" i="11" s="1"/>
  <c r="Y38" i="11" s="1"/>
  <c r="S1084" i="11"/>
  <c r="S1663" i="11"/>
  <c r="S1019" i="11"/>
  <c r="S1822" i="11"/>
  <c r="S1465" i="11"/>
  <c r="R1465" i="11" s="1"/>
  <c r="T414" i="10"/>
  <c r="P414" i="10" s="1"/>
  <c r="S1458" i="11"/>
  <c r="R1458" i="11" s="1"/>
  <c r="R572" i="9"/>
  <c r="S126" i="11"/>
  <c r="R126" i="11" s="1"/>
  <c r="X126" i="11" s="1"/>
  <c r="Y126" i="11" s="1"/>
  <c r="T329" i="10"/>
  <c r="S1507" i="11"/>
  <c r="R1507" i="11" s="1"/>
  <c r="T1244" i="10"/>
  <c r="S1244" i="10" s="1"/>
  <c r="T872" i="10"/>
  <c r="T1391" i="10"/>
  <c r="S1391" i="10" s="1"/>
  <c r="S490" i="11"/>
  <c r="V490" i="11" s="1"/>
  <c r="O490" i="11" s="1"/>
  <c r="S1068" i="11"/>
  <c r="S1967" i="11"/>
  <c r="R1967" i="11" s="1"/>
  <c r="R920" i="9"/>
  <c r="S1145" i="11"/>
  <c r="S1441" i="11"/>
  <c r="R1441" i="11" s="1"/>
  <c r="S1956" i="11"/>
  <c r="R1956" i="11" s="1"/>
  <c r="S199" i="11"/>
  <c r="R199" i="11" s="1"/>
  <c r="S190" i="11"/>
  <c r="R190" i="11" s="1"/>
  <c r="T1375" i="10"/>
  <c r="S1375" i="10" s="1"/>
  <c r="S1020" i="11"/>
  <c r="S1021" i="11"/>
  <c r="T1211" i="10"/>
  <c r="S1211" i="10" s="1"/>
  <c r="S258" i="11"/>
  <c r="S945" i="11"/>
  <c r="O945" i="11" s="1"/>
  <c r="X945" i="11" s="1"/>
  <c r="Y945" i="11" s="1"/>
  <c r="T762" i="10"/>
  <c r="S762" i="10" s="1"/>
  <c r="T997" i="10"/>
  <c r="V997" i="10" s="1"/>
  <c r="S1151" i="11"/>
  <c r="S427" i="11"/>
  <c r="S648" i="11"/>
  <c r="S178" i="11"/>
  <c r="R178" i="11" s="1"/>
  <c r="S577" i="11"/>
  <c r="S1244" i="11"/>
  <c r="S780" i="11"/>
  <c r="S1242" i="11"/>
  <c r="S1461" i="11"/>
  <c r="R1461" i="11" s="1"/>
  <c r="S107" i="11"/>
  <c r="R107" i="11" s="1"/>
  <c r="X107" i="11" s="1"/>
  <c r="Y107" i="11" s="1"/>
  <c r="S1613" i="11"/>
  <c r="R1613" i="11" s="1"/>
  <c r="S870" i="11"/>
  <c r="M242" i="9"/>
  <c r="S503" i="11"/>
  <c r="V503" i="11" s="1"/>
  <c r="O503" i="11" s="1"/>
  <c r="S1067" i="11"/>
  <c r="S775" i="11"/>
  <c r="N775" i="11" s="1"/>
  <c r="S254" i="11"/>
  <c r="T1160" i="10"/>
  <c r="S710" i="11"/>
  <c r="S700" i="11"/>
  <c r="S639" i="11"/>
  <c r="V639" i="11" s="1"/>
  <c r="S1602" i="11"/>
  <c r="R1602" i="11" s="1"/>
  <c r="M798" i="9"/>
  <c r="S1305" i="11"/>
  <c r="S774" i="11"/>
  <c r="S712" i="11"/>
  <c r="O712" i="11" s="1"/>
  <c r="S924" i="11"/>
  <c r="T422" i="10"/>
  <c r="P422" i="10" s="1"/>
  <c r="S920" i="11"/>
  <c r="T1295" i="10"/>
  <c r="S275" i="11"/>
  <c r="S1300" i="11"/>
  <c r="S1451" i="11"/>
  <c r="R1451" i="11" s="1"/>
  <c r="S429" i="11"/>
  <c r="O429" i="11" s="1"/>
  <c r="S1278" i="11"/>
  <c r="T721" i="10"/>
  <c r="S1614" i="11"/>
  <c r="R1614" i="11" s="1"/>
  <c r="S1085" i="11"/>
  <c r="S618" i="11"/>
  <c r="V618" i="11" s="1"/>
  <c r="S713" i="11"/>
  <c r="S783" i="11"/>
  <c r="O783" i="11" s="1"/>
  <c r="S937" i="11"/>
  <c r="O937" i="11" s="1"/>
  <c r="X937" i="11" s="1"/>
  <c r="Y937" i="11" s="1"/>
  <c r="S633" i="11"/>
  <c r="T339" i="10"/>
  <c r="V339" i="10" s="1"/>
  <c r="T500" i="10"/>
  <c r="Q500" i="10" s="1"/>
  <c r="S838" i="11"/>
  <c r="T1355" i="10"/>
  <c r="S1355" i="10" s="1"/>
  <c r="S1542" i="11"/>
  <c r="R1542" i="11" s="1"/>
  <c r="T1515" i="10"/>
  <c r="S1515" i="10" s="1"/>
  <c r="T1382" i="10"/>
  <c r="S1382" i="10" s="1"/>
  <c r="S931" i="11"/>
  <c r="O931" i="11" s="1"/>
  <c r="X931" i="11" s="1"/>
  <c r="Y931" i="11" s="1"/>
  <c r="T566" i="10"/>
  <c r="S929" i="11"/>
  <c r="S1464" i="11"/>
  <c r="R1464" i="11" s="1"/>
  <c r="T1084" i="10"/>
  <c r="S1084" i="10" s="1"/>
  <c r="S493" i="11"/>
  <c r="V493" i="11" s="1"/>
  <c r="O493" i="11" s="1"/>
  <c r="S794" i="11"/>
  <c r="R986" i="9"/>
  <c r="T1360" i="10"/>
  <c r="S1360" i="10" s="1"/>
  <c r="S629" i="11"/>
  <c r="S699" i="11"/>
  <c r="O699" i="11" s="1"/>
  <c r="T1519" i="10"/>
  <c r="S1519" i="10" s="1"/>
  <c r="T789" i="10"/>
  <c r="S789" i="10" s="1"/>
  <c r="T1069" i="10"/>
  <c r="S1069" i="10" s="1"/>
  <c r="S243" i="11"/>
  <c r="S915" i="11"/>
  <c r="O915" i="11" s="1"/>
  <c r="X915" i="11" s="1"/>
  <c r="Y915" i="11" s="1"/>
  <c r="T1012" i="10"/>
  <c r="V1012" i="10" s="1"/>
  <c r="S26" i="11"/>
  <c r="O26" i="11" s="1"/>
  <c r="X26" i="11" s="1"/>
  <c r="Y26" i="11" s="1"/>
  <c r="S1008" i="11"/>
  <c r="S1462" i="11"/>
  <c r="R1462" i="11" s="1"/>
  <c r="S637" i="11"/>
  <c r="V637" i="11" s="1"/>
  <c r="S1503" i="11"/>
  <c r="R1503" i="11" s="1"/>
  <c r="R95" i="10"/>
  <c r="S1799" i="11"/>
  <c r="S993" i="11"/>
  <c r="S868" i="11"/>
  <c r="T1455" i="10"/>
  <c r="S1455" i="10" s="1"/>
  <c r="T1462" i="10"/>
  <c r="S1462" i="10" s="1"/>
  <c r="S1013" i="11"/>
  <c r="T612" i="10"/>
  <c r="T841" i="10"/>
  <c r="S1235" i="11"/>
  <c r="S127" i="11"/>
  <c r="R127" i="11" s="1"/>
  <c r="X127" i="11" s="1"/>
  <c r="Y127" i="11" s="1"/>
  <c r="S873" i="11"/>
  <c r="O873" i="11" s="1"/>
  <c r="S23" i="11"/>
  <c r="O23" i="11" s="1"/>
  <c r="X23" i="11" s="1"/>
  <c r="Y23" i="11" s="1"/>
  <c r="S259" i="11"/>
  <c r="S1280" i="11"/>
  <c r="T853" i="10"/>
  <c r="S1089" i="11"/>
  <c r="T1434" i="10"/>
  <c r="S1434" i="10" s="1"/>
  <c r="T1310" i="10"/>
  <c r="S1310" i="10" s="1"/>
  <c r="S1672" i="11"/>
  <c r="S1238" i="11"/>
  <c r="M122" i="9"/>
  <c r="S1161" i="11"/>
  <c r="S1009" i="11"/>
  <c r="S1143" i="11"/>
  <c r="T1234" i="10"/>
  <c r="S1234" i="10" s="1"/>
  <c r="T1431" i="10"/>
  <c r="S936" i="11"/>
  <c r="T796" i="10"/>
  <c r="S796" i="10" s="1"/>
  <c r="T1013" i="10"/>
  <c r="S1607" i="11"/>
  <c r="R1607" i="11" s="1"/>
  <c r="M1055" i="9"/>
  <c r="T1055" i="9" s="1"/>
  <c r="S1152" i="11"/>
  <c r="S1142" i="11"/>
  <c r="S1096" i="11"/>
  <c r="S834" i="11"/>
  <c r="M1089" i="9"/>
  <c r="S268" i="11"/>
  <c r="S1164" i="11"/>
  <c r="S1212" i="11"/>
  <c r="S575" i="11"/>
  <c r="V575" i="11" s="1"/>
  <c r="S116" i="11"/>
  <c r="R116" i="11" s="1"/>
  <c r="X116" i="11" s="1"/>
  <c r="Y116" i="11" s="1"/>
  <c r="S402" i="11"/>
  <c r="O402" i="11" s="1"/>
  <c r="S1680" i="11"/>
  <c r="T499" i="10"/>
  <c r="S1587" i="11"/>
  <c r="R1587" i="11" s="1"/>
  <c r="S1137" i="11"/>
  <c r="S1017" i="11"/>
  <c r="T1502" i="10"/>
  <c r="S725" i="11"/>
  <c r="O725" i="11" s="1"/>
  <c r="S132" i="11"/>
  <c r="R132" i="11" s="1"/>
  <c r="X132" i="11" s="1"/>
  <c r="Y132" i="11" s="1"/>
  <c r="T1205" i="10"/>
  <c r="S1205" i="10" s="1"/>
  <c r="S538" i="11"/>
  <c r="R870" i="9"/>
  <c r="T870" i="9" s="1"/>
  <c r="S1016" i="11"/>
  <c r="S344" i="11"/>
  <c r="S1303" i="11"/>
  <c r="S1206" i="11"/>
  <c r="T1305" i="10"/>
  <c r="S1305" i="10" s="1"/>
  <c r="T1393" i="10"/>
  <c r="S1393" i="10" s="1"/>
  <c r="T1000" i="10"/>
  <c r="S1534" i="11"/>
  <c r="R1534" i="11" s="1"/>
  <c r="S1157" i="11"/>
  <c r="T281" i="10"/>
  <c r="S997" i="11"/>
  <c r="T764" i="10"/>
  <c r="S764" i="10" s="1"/>
  <c r="T947" i="10"/>
  <c r="N947" i="10" s="1"/>
  <c r="S1376" i="11"/>
  <c r="R1376" i="11" s="1"/>
  <c r="S323" i="11"/>
  <c r="T538" i="10"/>
  <c r="S644" i="11"/>
  <c r="V644" i="11" s="1"/>
  <c r="S634" i="11"/>
  <c r="V634" i="11" s="1"/>
  <c r="S860" i="11"/>
  <c r="S1163" i="11"/>
  <c r="T865" i="10"/>
  <c r="P865" i="10" s="1"/>
  <c r="T948" i="10"/>
  <c r="N948" i="10" s="1"/>
  <c r="S1149" i="11"/>
  <c r="S1141" i="11"/>
  <c r="T784" i="10"/>
  <c r="T261" i="10"/>
  <c r="S1060" i="11"/>
  <c r="S195" i="11"/>
  <c r="R195" i="11" s="1"/>
  <c r="S1434" i="11"/>
  <c r="R1434" i="11" s="1"/>
  <c r="S1524" i="11"/>
  <c r="R1524" i="11" s="1"/>
  <c r="R696" i="9"/>
  <c r="T696" i="9" s="1"/>
  <c r="S480" i="11"/>
  <c r="V480" i="11" s="1"/>
  <c r="S1014" i="11"/>
  <c r="S1094" i="11"/>
  <c r="S927" i="11"/>
  <c r="O927" i="11" s="1"/>
  <c r="X927" i="11" s="1"/>
  <c r="Y927" i="11" s="1"/>
  <c r="R133" i="10"/>
  <c r="T940" i="10"/>
  <c r="N940" i="10" s="1"/>
  <c r="S492" i="11"/>
  <c r="V492" i="11" s="1"/>
  <c r="O492" i="11" s="1"/>
  <c r="S430" i="11"/>
  <c r="O430" i="11" s="1"/>
  <c r="T995" i="10"/>
  <c r="T1073" i="10"/>
  <c r="S1073" i="10" s="1"/>
  <c r="S252" i="11"/>
  <c r="S1831" i="11"/>
  <c r="S645" i="11"/>
  <c r="S1144" i="11"/>
  <c r="S846" i="11"/>
  <c r="S1811" i="11"/>
  <c r="T1085" i="10"/>
  <c r="S1085" i="10" s="1"/>
  <c r="T1384" i="10"/>
  <c r="S1384" i="10" s="1"/>
  <c r="S1650" i="11"/>
  <c r="T428" i="10"/>
  <c r="T986" i="10"/>
  <c r="S1071" i="11"/>
  <c r="S1061" i="11"/>
  <c r="T482" i="10"/>
  <c r="S1357" i="11"/>
  <c r="R1357" i="11" s="1"/>
  <c r="M24" i="10"/>
  <c r="S241" i="11"/>
  <c r="T469" i="10"/>
  <c r="S1228" i="11"/>
  <c r="T1226" i="10"/>
  <c r="S1226" i="10" s="1"/>
  <c r="M37" i="9"/>
  <c r="S1725" i="11"/>
  <c r="T355" i="10"/>
  <c r="S1597" i="11"/>
  <c r="R1597" i="11" s="1"/>
  <c r="S839" i="11"/>
  <c r="O839" i="11" s="1"/>
  <c r="M631" i="9"/>
  <c r="S1763" i="11"/>
  <c r="S1216" i="11"/>
  <c r="S1217" i="11"/>
  <c r="S412" i="11"/>
  <c r="O412" i="11" s="1"/>
  <c r="S1504" i="11"/>
  <c r="R1504" i="11" s="1"/>
  <c r="S407" i="11"/>
  <c r="O407" i="11" s="1"/>
  <c r="T1153" i="10"/>
  <c r="S1162" i="11"/>
  <c r="S1981" i="11"/>
  <c r="R1981" i="11" s="1"/>
  <c r="S472" i="11"/>
  <c r="V472" i="11" s="1"/>
  <c r="O472" i="11" s="1"/>
  <c r="T638" i="10"/>
  <c r="S1668" i="11"/>
  <c r="S777" i="11"/>
  <c r="N777" i="11" s="1"/>
  <c r="T411" i="10"/>
  <c r="P411" i="10" s="1"/>
  <c r="S1133" i="11"/>
  <c r="S1213" i="11"/>
  <c r="T396" i="10"/>
  <c r="T260" i="10"/>
  <c r="T1139" i="10"/>
  <c r="S1148" i="11"/>
  <c r="S1963" i="11"/>
  <c r="R1963" i="11" s="1"/>
  <c r="T1212" i="10"/>
  <c r="S1212" i="10" s="1"/>
  <c r="S1601" i="11"/>
  <c r="R1601" i="11" s="1"/>
  <c r="T924" i="10"/>
  <c r="N924" i="10" s="1"/>
  <c r="T555" i="10"/>
  <c r="Q555" i="10" s="1"/>
  <c r="S1005" i="11"/>
  <c r="S1980" i="11"/>
  <c r="R1980" i="11" s="1"/>
  <c r="S128" i="11"/>
  <c r="R128" i="11" s="1"/>
  <c r="X128" i="11" s="1"/>
  <c r="Y128" i="11" s="1"/>
  <c r="S544" i="11"/>
  <c r="V544" i="11" s="1"/>
  <c r="S695" i="11"/>
  <c r="S1064" i="11"/>
  <c r="S184" i="11"/>
  <c r="R184" i="11" s="1"/>
  <c r="S1010" i="11"/>
  <c r="R850" i="9"/>
  <c r="T850" i="9" s="1"/>
  <c r="S1132" i="11"/>
  <c r="S1154" i="11"/>
  <c r="S53" i="11"/>
  <c r="O53" i="11" s="1"/>
  <c r="X53" i="11" s="1"/>
  <c r="Y53" i="11" s="1"/>
  <c r="S1801" i="11"/>
  <c r="T320" i="10"/>
  <c r="T850" i="10"/>
  <c r="T1294" i="10"/>
  <c r="S1294" i="10" s="1"/>
  <c r="S477" i="11"/>
  <c r="V477" i="11" s="1"/>
  <c r="O477" i="11" s="1"/>
  <c r="S874" i="11"/>
  <c r="M406" i="9"/>
  <c r="S501" i="11"/>
  <c r="V501" i="11" s="1"/>
  <c r="O501" i="11" s="1"/>
  <c r="T1514" i="10"/>
  <c r="S1514" i="10" s="1"/>
  <c r="S37" i="11"/>
  <c r="O37" i="11" s="1"/>
  <c r="X37" i="11" s="1"/>
  <c r="Y37" i="11" s="1"/>
  <c r="S948" i="11"/>
  <c r="M1079" i="9"/>
  <c r="S1517" i="11"/>
  <c r="R1517" i="11" s="1"/>
  <c r="S465" i="11"/>
  <c r="V465" i="11" s="1"/>
  <c r="O465" i="11" s="1"/>
  <c r="S1310" i="11"/>
  <c r="T767" i="10"/>
  <c r="S767" i="10" s="1"/>
  <c r="T862" i="10"/>
  <c r="S57" i="11"/>
  <c r="O57" i="11" s="1"/>
  <c r="X57" i="11" s="1"/>
  <c r="Y57" i="11" s="1"/>
  <c r="S549" i="11"/>
  <c r="V549" i="11" s="1"/>
  <c r="S650" i="11"/>
  <c r="V650" i="11" s="1"/>
  <c r="S325" i="11"/>
  <c r="S788" i="11"/>
  <c r="T1354" i="10"/>
  <c r="S1354" i="10" s="1"/>
  <c r="S1436" i="11"/>
  <c r="R1436" i="11" s="1"/>
  <c r="S1165" i="11"/>
  <c r="S51" i="11"/>
  <c r="O51" i="11" s="1"/>
  <c r="X51" i="11" s="1"/>
  <c r="Y51" i="11" s="1"/>
  <c r="S1304" i="11"/>
  <c r="S1731" i="11"/>
  <c r="S1076" i="11"/>
  <c r="T1530" i="10"/>
  <c r="S1530" i="10" s="1"/>
  <c r="S861" i="11"/>
  <c r="S1362" i="11"/>
  <c r="R1362" i="11" s="1"/>
  <c r="M630" i="9"/>
  <c r="T1232" i="10"/>
  <c r="S1232" i="10" s="1"/>
  <c r="S545" i="11"/>
  <c r="V545" i="11" s="1"/>
  <c r="S1233" i="11"/>
  <c r="T1454" i="10"/>
  <c r="S1454" i="10" s="1"/>
  <c r="T628" i="10"/>
  <c r="T1452" i="10"/>
  <c r="S1452" i="10" s="1"/>
  <c r="S257" i="11"/>
  <c r="S1656" i="11"/>
  <c r="T1065" i="10"/>
  <c r="S1065" i="10" s="1"/>
  <c r="M24" i="9"/>
  <c r="S1806" i="11"/>
  <c r="S557" i="11"/>
  <c r="V557" i="11" s="1"/>
  <c r="S558" i="11"/>
  <c r="V558" i="11" s="1"/>
  <c r="S1358" i="11"/>
  <c r="R1358" i="11" s="1"/>
  <c r="S1525" i="11"/>
  <c r="R1525" i="11" s="1"/>
  <c r="T763" i="10"/>
  <c r="S763" i="10" s="1"/>
  <c r="T930" i="10"/>
  <c r="N930" i="10" s="1"/>
  <c r="S1135" i="11"/>
  <c r="S1160" i="11"/>
  <c r="S197" i="11"/>
  <c r="R197" i="11" s="1"/>
  <c r="T416" i="10"/>
  <c r="P416" i="10" s="1"/>
  <c r="S1750" i="11"/>
  <c r="T1227" i="10"/>
  <c r="S1227" i="10" s="1"/>
  <c r="S547" i="11"/>
  <c r="V547" i="11" s="1"/>
  <c r="S1138" i="11"/>
  <c r="S1234" i="11"/>
  <c r="S1225" i="11"/>
  <c r="T407" i="10"/>
  <c r="P407" i="10" s="1"/>
  <c r="T916" i="10"/>
  <c r="N916" i="10" s="1"/>
  <c r="S1169" i="11"/>
  <c r="S621" i="11"/>
  <c r="V621" i="11" s="1"/>
  <c r="T1456" i="10"/>
  <c r="S1456" i="10" s="1"/>
  <c r="S1949" i="11"/>
  <c r="R1949" i="11" s="1"/>
  <c r="T709" i="10"/>
  <c r="S1802" i="11"/>
  <c r="S852" i="11"/>
  <c r="T1056" i="10"/>
  <c r="S912" i="11"/>
  <c r="S417" i="11"/>
  <c r="S1079" i="11"/>
  <c r="T552" i="10"/>
  <c r="Q552" i="10" s="1"/>
  <c r="S1977" i="11"/>
  <c r="R1977" i="11" s="1"/>
  <c r="S1236" i="11"/>
  <c r="S1965" i="11"/>
  <c r="R1965" i="11" s="1"/>
  <c r="S1153" i="11"/>
  <c r="S473" i="11"/>
  <c r="V473" i="11" s="1"/>
  <c r="T1440" i="10"/>
  <c r="S419" i="11"/>
  <c r="O419" i="11" s="1"/>
  <c r="M255" i="9"/>
  <c r="T623" i="10"/>
  <c r="S1667" i="11"/>
  <c r="S1360" i="11"/>
  <c r="R1360" i="11" s="1"/>
  <c r="T567" i="10"/>
  <c r="Q567" i="10" s="1"/>
  <c r="T769" i="10"/>
  <c r="S769" i="10" s="1"/>
  <c r="T393" i="10"/>
  <c r="P393" i="10" s="1"/>
  <c r="T913" i="10"/>
  <c r="N913" i="10" s="1"/>
  <c r="S1985" i="11"/>
  <c r="R1985" i="11" s="1"/>
  <c r="S1316" i="11"/>
  <c r="M110" i="9"/>
  <c r="S1506" i="11"/>
  <c r="R1506" i="11" s="1"/>
  <c r="S470" i="11"/>
  <c r="V470" i="11" s="1"/>
  <c r="S1594" i="11"/>
  <c r="R1594" i="11" s="1"/>
  <c r="S1372" i="11"/>
  <c r="R1372" i="11" s="1"/>
  <c r="M31" i="10"/>
  <c r="S560" i="11"/>
  <c r="V560" i="11" s="1"/>
  <c r="S1809" i="11"/>
  <c r="S1080" i="11"/>
  <c r="S1730" i="11"/>
  <c r="S840" i="11"/>
  <c r="T1071" i="10"/>
  <c r="S1071" i="10" s="1"/>
  <c r="S1538" i="11"/>
  <c r="R1538" i="11" s="1"/>
  <c r="S1170" i="11"/>
  <c r="T1356" i="10"/>
  <c r="S1356" i="10" s="1"/>
  <c r="S1293" i="11"/>
  <c r="S498" i="11"/>
  <c r="V498" i="11" s="1"/>
  <c r="T866" i="10"/>
  <c r="T929" i="10"/>
  <c r="N929" i="10" s="1"/>
  <c r="S771" i="11"/>
  <c r="O771" i="11" s="1"/>
  <c r="S572" i="11"/>
  <c r="V572" i="11" s="1"/>
  <c r="M180" i="9"/>
  <c r="S1815" i="11"/>
  <c r="S481" i="11"/>
  <c r="V481" i="11" s="1"/>
  <c r="O481" i="11" s="1"/>
  <c r="S797" i="11"/>
  <c r="S1532" i="11"/>
  <c r="R1532" i="11" s="1"/>
  <c r="T847" i="10"/>
  <c r="T984" i="10"/>
  <c r="S1518" i="11"/>
  <c r="R1518" i="11" s="1"/>
  <c r="S1677" i="11"/>
  <c r="T766" i="10"/>
  <c r="S766" i="10" s="1"/>
  <c r="T197" i="10"/>
  <c r="S1448" i="11"/>
  <c r="R1448" i="11" s="1"/>
  <c r="S22" i="11"/>
  <c r="O22" i="11" s="1"/>
  <c r="X22" i="11" s="1"/>
  <c r="Y22" i="11" s="1"/>
  <c r="S845" i="11"/>
  <c r="S1379" i="11"/>
  <c r="R1379" i="11" s="1"/>
  <c r="S859" i="11"/>
  <c r="T554" i="10"/>
  <c r="S642" i="11"/>
  <c r="V642" i="11" s="1"/>
  <c r="S1219" i="11"/>
  <c r="S111" i="11"/>
  <c r="R111" i="11" s="1"/>
  <c r="X111" i="11" s="1"/>
  <c r="Y111" i="11" s="1"/>
  <c r="T1280" i="10"/>
  <c r="S1280" i="10" s="1"/>
  <c r="S1584" i="11"/>
  <c r="R1584" i="11" s="1"/>
  <c r="S1662" i="11"/>
  <c r="T1427" i="10"/>
  <c r="T761" i="10"/>
  <c r="S761" i="10" s="1"/>
  <c r="R549" i="9"/>
  <c r="R689" i="9"/>
  <c r="T689" i="9" s="1"/>
  <c r="S552" i="11"/>
  <c r="V552" i="11" s="1"/>
  <c r="S426" i="11"/>
  <c r="O426" i="11" s="1"/>
  <c r="T705" i="10"/>
  <c r="S1167" i="11"/>
  <c r="R709" i="9"/>
  <c r="T709" i="9" s="1"/>
  <c r="S1069" i="11"/>
  <c r="S504" i="11"/>
  <c r="V504" i="11" s="1"/>
  <c r="O504" i="11" s="1"/>
  <c r="T173" i="10"/>
  <c r="S1291" i="11"/>
  <c r="S796" i="11"/>
  <c r="N796" i="11" s="1"/>
  <c r="T487" i="10"/>
  <c r="S1823" i="11"/>
  <c r="S1078" i="11"/>
  <c r="S1959" i="11"/>
  <c r="R1959" i="11" s="1"/>
  <c r="S917" i="11"/>
  <c r="S469" i="11"/>
  <c r="V469" i="11" s="1"/>
  <c r="O469" i="11" s="1"/>
  <c r="T323" i="10"/>
  <c r="V323" i="10" s="1"/>
  <c r="T328" i="10"/>
  <c r="V328" i="10" s="1"/>
  <c r="S1605" i="11"/>
  <c r="R1605" i="11" s="1"/>
  <c r="T1291" i="10"/>
  <c r="S1291" i="10" s="1"/>
  <c r="S1976" i="11"/>
  <c r="R1976" i="11" s="1"/>
  <c r="S488" i="11"/>
  <c r="V488" i="11" s="1"/>
  <c r="O488" i="11" s="1"/>
  <c r="S1450" i="11"/>
  <c r="R1450" i="11" s="1"/>
  <c r="S864" i="11"/>
  <c r="S1947" i="11"/>
  <c r="R936" i="9"/>
  <c r="T401" i="10"/>
  <c r="S1835" i="11"/>
  <c r="S1610" i="11"/>
  <c r="R1610" i="11" s="1"/>
  <c r="T316" i="10"/>
  <c r="S206" i="11"/>
  <c r="R206" i="11" s="1"/>
  <c r="S1466" i="11"/>
  <c r="R1466" i="11" s="1"/>
  <c r="S766" i="11"/>
  <c r="S1589" i="11"/>
  <c r="R1589" i="11" s="1"/>
  <c r="S324" i="11"/>
  <c r="S170" i="11"/>
  <c r="R170" i="11" s="1"/>
  <c r="S1527" i="11"/>
  <c r="R1527" i="11" s="1"/>
  <c r="T795" i="10"/>
  <c r="T1067" i="10"/>
  <c r="S1067" i="10" s="1"/>
  <c r="S1393" i="11"/>
  <c r="R1393" i="11" s="1"/>
  <c r="M644" i="9"/>
  <c r="S464" i="11"/>
  <c r="T425" i="10"/>
  <c r="P425" i="10" s="1"/>
  <c r="T568" i="10"/>
  <c r="S1821" i="11"/>
  <c r="T1290" i="10"/>
  <c r="S1290" i="10" s="1"/>
  <c r="S1952" i="11"/>
  <c r="R1952" i="11" s="1"/>
  <c r="S1446" i="11"/>
  <c r="R1446" i="11" s="1"/>
  <c r="S489" i="11"/>
  <c r="V489" i="11" s="1"/>
  <c r="S689" i="11"/>
  <c r="O689" i="11" s="1"/>
  <c r="S1314" i="11"/>
  <c r="S1502" i="11"/>
  <c r="T639" i="10"/>
  <c r="S1683" i="11"/>
  <c r="S776" i="11"/>
  <c r="S270" i="11"/>
  <c r="T390" i="10"/>
  <c r="S496" i="11"/>
  <c r="V496" i="11" s="1"/>
  <c r="S486" i="11"/>
  <c r="V486" i="11" s="1"/>
  <c r="S576" i="11"/>
  <c r="V576" i="11" s="1"/>
  <c r="S1984" i="11"/>
  <c r="R1984" i="11" s="1"/>
  <c r="R690" i="9"/>
  <c r="T690" i="9" s="1"/>
  <c r="S1533" i="11"/>
  <c r="R1533" i="11" s="1"/>
  <c r="S1969" i="11"/>
  <c r="R1969" i="11" s="1"/>
  <c r="S35" i="11"/>
  <c r="O35" i="11" s="1"/>
  <c r="X35" i="11" s="1"/>
  <c r="Y35" i="11" s="1"/>
  <c r="S940" i="11"/>
  <c r="T318" i="10"/>
  <c r="T868" i="10"/>
  <c r="T1366" i="10"/>
  <c r="S1366" i="10" s="1"/>
  <c r="S724" i="11"/>
  <c r="T651" i="10"/>
  <c r="T781" i="10"/>
  <c r="S781" i="10" s="1"/>
  <c r="S1371" i="11"/>
  <c r="R1371" i="11" s="1"/>
  <c r="S615" i="11"/>
  <c r="T1082" i="10"/>
  <c r="S1082" i="10" s="1"/>
  <c r="S1535" i="11"/>
  <c r="R1535" i="11" s="1"/>
  <c r="S1615" i="11"/>
  <c r="R1615" i="11" s="1"/>
  <c r="S1752" i="11"/>
  <c r="T250" i="10"/>
  <c r="V250" i="10" s="1"/>
  <c r="S799" i="11"/>
  <c r="N799" i="11" s="1"/>
  <c r="M271" i="9"/>
  <c r="S1669" i="11"/>
  <c r="T686" i="10"/>
  <c r="R697" i="9"/>
  <c r="T697" i="9" s="1"/>
  <c r="S1514" i="11"/>
  <c r="R1514" i="11" s="1"/>
  <c r="S1966" i="11"/>
  <c r="R1966" i="11" s="1"/>
  <c r="S704" i="11"/>
  <c r="O704" i="11" s="1"/>
  <c r="S1282" i="11"/>
  <c r="M262" i="9"/>
  <c r="S1090" i="11"/>
  <c r="S125" i="11"/>
  <c r="R125" i="11" s="1"/>
  <c r="X125" i="11" s="1"/>
  <c r="Y125" i="11" s="1"/>
  <c r="S272" i="11"/>
  <c r="S1296" i="11"/>
  <c r="T869" i="10"/>
  <c r="P869" i="10" s="1"/>
  <c r="S494" i="11"/>
  <c r="V494" i="11" s="1"/>
  <c r="S1433" i="11"/>
  <c r="R1433" i="11" s="1"/>
  <c r="S21" i="11"/>
  <c r="O21" i="11" s="1"/>
  <c r="X21" i="11" s="1"/>
  <c r="Y21" i="11" s="1"/>
  <c r="S1688" i="11"/>
  <c r="S1285" i="11"/>
  <c r="T479" i="10"/>
  <c r="S328" i="11"/>
  <c r="S414" i="11"/>
  <c r="O414" i="11" s="1"/>
  <c r="S842" i="11"/>
  <c r="T1535" i="10"/>
  <c r="S1535" i="10" s="1"/>
  <c r="S1948" i="11"/>
  <c r="R1948" i="11" s="1"/>
  <c r="S109" i="11"/>
  <c r="R109" i="11" s="1"/>
  <c r="X109" i="11" s="1"/>
  <c r="Y109" i="11" s="1"/>
  <c r="S98" i="11"/>
  <c r="R98" i="11" s="1"/>
  <c r="X98" i="11" s="1"/>
  <c r="Y98" i="11" s="1"/>
  <c r="S916" i="11"/>
  <c r="T910" i="10"/>
  <c r="N910" i="10" s="1"/>
  <c r="T1156" i="10"/>
  <c r="P1156" i="10" s="1"/>
  <c r="S563" i="11"/>
  <c r="V563" i="11" s="1"/>
  <c r="S1738" i="11"/>
  <c r="T1083" i="10"/>
  <c r="S1083" i="10" s="1"/>
  <c r="S1519" i="11"/>
  <c r="R1519" i="11" s="1"/>
  <c r="R114" i="10"/>
  <c r="S540" i="11"/>
  <c r="S646" i="11"/>
  <c r="V646" i="11" s="1"/>
  <c r="S795" i="11"/>
  <c r="N795" i="11" s="1"/>
  <c r="S129" i="11"/>
  <c r="R129" i="11" s="1"/>
  <c r="X129" i="11" s="1"/>
  <c r="Y129" i="11" s="1"/>
  <c r="T1509" i="10"/>
  <c r="S1509" i="10" s="1"/>
  <c r="S354" i="11"/>
  <c r="T468" i="10"/>
  <c r="S848" i="11"/>
  <c r="S1681" i="11"/>
  <c r="M175" i="9"/>
  <c r="S485" i="11"/>
  <c r="V485" i="11" s="1"/>
  <c r="O485" i="11" s="1"/>
  <c r="S1239" i="11"/>
  <c r="T344" i="10"/>
  <c r="V344" i="10" s="1"/>
  <c r="S1740" i="11"/>
  <c r="T1534" i="10"/>
  <c r="S1534" i="10" s="1"/>
  <c r="S1950" i="11"/>
  <c r="R1950" i="11" s="1"/>
  <c r="S179" i="11"/>
  <c r="R179" i="11" s="1"/>
  <c r="S1223" i="11"/>
  <c r="S1539" i="11"/>
  <c r="R1539" i="11" s="1"/>
  <c r="T925" i="10"/>
  <c r="N925" i="10" s="1"/>
  <c r="T836" i="10"/>
  <c r="S1004" i="11"/>
  <c r="S1733" i="11"/>
  <c r="T1151" i="10"/>
  <c r="P1151" i="10" s="1"/>
  <c r="S1653" i="11"/>
  <c r="S1454" i="11"/>
  <c r="R1454" i="11" s="1"/>
  <c r="S554" i="11"/>
  <c r="V554" i="11" s="1"/>
  <c r="T690" i="10"/>
  <c r="S1385" i="11"/>
  <c r="R1385" i="11" s="1"/>
  <c r="S1968" i="11"/>
  <c r="R1968" i="11" s="1"/>
  <c r="R982" i="9"/>
  <c r="S1522" i="11"/>
  <c r="R1522" i="11" s="1"/>
  <c r="S1463" i="11"/>
  <c r="R1463" i="11" s="1"/>
  <c r="T1379" i="10"/>
  <c r="S1379" i="10" s="1"/>
  <c r="S850" i="11"/>
  <c r="R989" i="9"/>
  <c r="T539" i="10"/>
  <c r="Q539" i="10" s="1"/>
  <c r="R539" i="10" s="1"/>
  <c r="Z539" i="10" s="1"/>
  <c r="S989" i="11"/>
  <c r="S760" i="11"/>
  <c r="T429" i="10"/>
  <c r="P429" i="10" s="1"/>
  <c r="T556" i="10"/>
  <c r="Q556" i="10" s="1"/>
  <c r="S1215" i="11"/>
  <c r="S636" i="11"/>
  <c r="T871" i="10"/>
  <c r="P871" i="10" s="1"/>
  <c r="S1443" i="11"/>
  <c r="R1443" i="11" s="1"/>
  <c r="S1588" i="11"/>
  <c r="R1588" i="11" s="1"/>
  <c r="S716" i="11"/>
  <c r="S271" i="11"/>
  <c r="S772" i="11"/>
  <c r="R844" i="9"/>
  <c r="T844" i="9" s="1"/>
  <c r="T1220" i="10"/>
  <c r="S1220" i="10" s="1"/>
  <c r="T1138" i="10"/>
  <c r="P1138" i="10" s="1"/>
  <c r="S202" i="11"/>
  <c r="R202" i="11" s="1"/>
  <c r="S647" i="11"/>
  <c r="T1011" i="10"/>
  <c r="V1011" i="10" s="1"/>
  <c r="T1010" i="10"/>
  <c r="V1010" i="10" s="1"/>
  <c r="S425" i="11"/>
  <c r="O425" i="11" s="1"/>
  <c r="S1651" i="11"/>
  <c r="S1652" i="11"/>
  <c r="S1354" i="11"/>
  <c r="R1354" i="11" s="1"/>
  <c r="T340" i="10"/>
  <c r="V340" i="10" s="1"/>
  <c r="S499" i="11"/>
  <c r="V499" i="11" s="1"/>
  <c r="O499" i="11" s="1"/>
  <c r="T1170" i="10"/>
  <c r="P1170" i="10" s="1"/>
  <c r="T1381" i="10"/>
  <c r="S1381" i="10" s="1"/>
  <c r="S1591" i="11"/>
  <c r="R1591" i="11" s="1"/>
  <c r="T324" i="10"/>
  <c r="T254" i="10"/>
  <c r="S1455" i="11"/>
  <c r="R1455" i="11" s="1"/>
  <c r="S1294" i="11"/>
  <c r="T637" i="10"/>
  <c r="S1373" i="11"/>
  <c r="R1373" i="11" s="1"/>
  <c r="S322" i="11"/>
  <c r="T1296" i="10"/>
  <c r="S1296" i="10" s="1"/>
  <c r="S1600" i="11"/>
  <c r="R1600" i="11" s="1"/>
  <c r="S1284" i="11"/>
  <c r="S1435" i="11"/>
  <c r="R1435" i="11" s="1"/>
  <c r="S909" i="11"/>
  <c r="S1807" i="11"/>
  <c r="S106" i="11"/>
  <c r="R106" i="11" s="1"/>
  <c r="X106" i="11" s="1"/>
  <c r="Y106" i="11" s="1"/>
  <c r="T856" i="10"/>
  <c r="S1540" i="11"/>
  <c r="R1540" i="11" s="1"/>
  <c r="R712" i="9"/>
  <c r="T712" i="9" s="1"/>
  <c r="S1439" i="11"/>
  <c r="R1439" i="11" s="1"/>
  <c r="S651" i="11"/>
  <c r="T621" i="10"/>
  <c r="S943" i="11"/>
  <c r="O943" i="11" s="1"/>
  <c r="X943" i="11" s="1"/>
  <c r="Y943" i="11" s="1"/>
  <c r="M44" i="10"/>
  <c r="T1215" i="10"/>
  <c r="S1215" i="10" s="1"/>
  <c r="S1240" i="11"/>
  <c r="S869" i="11"/>
  <c r="O869" i="11" s="1"/>
  <c r="T1362" i="10"/>
  <c r="S1362" i="10" s="1"/>
  <c r="T1089" i="10"/>
  <c r="S1089" i="10" s="1"/>
  <c r="T495" i="10"/>
  <c r="S1958" i="11"/>
  <c r="R1958" i="11" s="1"/>
  <c r="S1616" i="11"/>
  <c r="R1616" i="11" s="1"/>
  <c r="T652" i="10"/>
  <c r="T503" i="10"/>
  <c r="S1511" i="11"/>
  <c r="R1511" i="11" s="1"/>
  <c r="T1278" i="10"/>
  <c r="S114" i="11"/>
  <c r="R114" i="11" s="1"/>
  <c r="X114" i="11" s="1"/>
  <c r="Y114" i="11" s="1"/>
  <c r="S762" i="11"/>
  <c r="N762" i="11" s="1"/>
  <c r="T694" i="10"/>
  <c r="T625" i="10"/>
  <c r="S946" i="11"/>
  <c r="S1754" i="11"/>
  <c r="T854" i="10"/>
  <c r="S1751" i="11"/>
  <c r="S617" i="11"/>
  <c r="T409" i="10"/>
  <c r="P409" i="10" s="1"/>
  <c r="T484" i="10"/>
  <c r="Q484" i="10" s="1"/>
  <c r="R484" i="10" s="1"/>
  <c r="S1292" i="11"/>
  <c r="T1242" i="10"/>
  <c r="S1242" i="10" s="1"/>
  <c r="S1022" i="11"/>
  <c r="S1430" i="11"/>
  <c r="R1430" i="11" s="1"/>
  <c r="T277" i="10"/>
  <c r="S1684" i="11"/>
  <c r="S855" i="11"/>
  <c r="M647" i="9"/>
  <c r="S988" i="11"/>
  <c r="S836" i="11"/>
  <c r="T1135" i="10"/>
  <c r="S428" i="11"/>
  <c r="S1289" i="11"/>
  <c r="S1757" i="11"/>
  <c r="S123" i="11"/>
  <c r="R123" i="11" s="1"/>
  <c r="X123" i="11" s="1"/>
  <c r="Y123" i="11" s="1"/>
  <c r="S1356" i="11"/>
  <c r="R1356" i="11" s="1"/>
  <c r="S944" i="11"/>
  <c r="O944" i="11" s="1"/>
  <c r="X944" i="11" s="1"/>
  <c r="Y944" i="11" s="1"/>
  <c r="S1528" i="11"/>
  <c r="R1528" i="11" s="1"/>
  <c r="T691" i="10"/>
  <c r="S1832" i="11"/>
  <c r="S793" i="11"/>
  <c r="S58" i="11"/>
  <c r="O58" i="11" s="1"/>
  <c r="X58" i="11" s="1"/>
  <c r="Y58" i="11" s="1"/>
  <c r="S192" i="11"/>
  <c r="R192" i="11" s="1"/>
  <c r="M33" i="10"/>
  <c r="T1001" i="10"/>
  <c r="V1001" i="10" s="1"/>
  <c r="S722" i="11"/>
  <c r="S698" i="11"/>
  <c r="T783" i="10"/>
  <c r="T182" i="10"/>
  <c r="S181" i="11"/>
  <c r="R181" i="11" s="1"/>
  <c r="S1819" i="11"/>
  <c r="S1836" i="11"/>
  <c r="S341" i="11"/>
  <c r="S101" i="11"/>
  <c r="R101" i="11" s="1"/>
  <c r="X101" i="11" s="1"/>
  <c r="Y101" i="11" s="1"/>
  <c r="S1953" i="11"/>
  <c r="R1953" i="11" s="1"/>
  <c r="S719" i="11"/>
  <c r="S688" i="11"/>
  <c r="O688" i="11" s="1"/>
  <c r="T1210" i="10"/>
  <c r="S1210" i="10" s="1"/>
  <c r="S56" i="11"/>
  <c r="O56" i="11" s="1"/>
  <c r="X56" i="11" s="1"/>
  <c r="Y56" i="11" s="1"/>
  <c r="S1315" i="11"/>
  <c r="S1460" i="11"/>
  <c r="R1460" i="11" s="1"/>
  <c r="S1578" i="11"/>
  <c r="R1578" i="11" s="1"/>
  <c r="S908" i="11"/>
  <c r="S1378" i="11"/>
  <c r="R1378" i="11" s="1"/>
  <c r="S40" i="11"/>
  <c r="O40" i="11" s="1"/>
  <c r="X40" i="11" s="1"/>
  <c r="Y40" i="11" s="1"/>
  <c r="S1086" i="11"/>
  <c r="S1659" i="11"/>
  <c r="S1743" i="11"/>
  <c r="S1970" i="11"/>
  <c r="R1970" i="11" s="1"/>
  <c r="S851" i="11"/>
  <c r="O851" i="11" s="1"/>
  <c r="S1530" i="11"/>
  <c r="R1530" i="11" s="1"/>
  <c r="T1230" i="10"/>
  <c r="S1230" i="10" s="1"/>
  <c r="S1306" i="11"/>
  <c r="S921" i="11"/>
  <c r="S1386" i="11"/>
  <c r="R1386" i="11" s="1"/>
  <c r="S1444" i="11"/>
  <c r="R1444" i="11" s="1"/>
  <c r="T1513" i="10"/>
  <c r="S1513" i="10" s="1"/>
  <c r="T415" i="10"/>
  <c r="S995" i="11"/>
  <c r="M1095" i="9"/>
  <c r="T1282" i="10"/>
  <c r="S1282" i="10" s="1"/>
  <c r="S1150" i="11"/>
  <c r="S1237" i="11"/>
  <c r="T1536" i="10"/>
  <c r="S1536" i="10" s="1"/>
  <c r="T774" i="10"/>
  <c r="S774" i="10" s="1"/>
  <c r="S941" i="11"/>
  <c r="O941" i="11" s="1"/>
  <c r="X941" i="11" s="1"/>
  <c r="Y941" i="11" s="1"/>
  <c r="S1983" i="11"/>
  <c r="R1983" i="11" s="1"/>
  <c r="S1675" i="11"/>
  <c r="T342" i="10"/>
  <c r="T317" i="10"/>
  <c r="S338" i="11"/>
  <c r="S942" i="11"/>
  <c r="S785" i="11"/>
  <c r="S471" i="11"/>
  <c r="V471" i="11" s="1"/>
  <c r="O471" i="11" s="1"/>
  <c r="S203" i="11"/>
  <c r="R203" i="11" s="1"/>
  <c r="U203" i="11" s="1"/>
  <c r="S925" i="11"/>
  <c r="O925" i="11" s="1"/>
  <c r="X925" i="11" s="1"/>
  <c r="Y925" i="11" s="1"/>
  <c r="S998" i="11"/>
  <c r="S122" i="11"/>
  <c r="R122" i="11" s="1"/>
  <c r="X122" i="11" s="1"/>
  <c r="Y122" i="11" s="1"/>
  <c r="S1131" i="11"/>
  <c r="S1679" i="11"/>
  <c r="S1000" i="11"/>
  <c r="S923" i="11"/>
  <c r="O923" i="11" s="1"/>
  <c r="X923" i="11" s="1"/>
  <c r="Y923" i="11" s="1"/>
  <c r="S782" i="11"/>
  <c r="S1297" i="11"/>
  <c r="T1428" i="10"/>
  <c r="S1074" i="11"/>
  <c r="S267" i="11"/>
  <c r="S256" i="11"/>
  <c r="S1657" i="11"/>
  <c r="T1081" i="10"/>
  <c r="S1081" i="10" s="1"/>
  <c r="M54" i="9"/>
  <c r="S930" i="11"/>
  <c r="S1062" i="11"/>
  <c r="T838" i="10"/>
  <c r="S1374" i="11"/>
  <c r="R1374" i="11" s="1"/>
  <c r="S1136" i="11"/>
  <c r="T1531" i="10"/>
  <c r="S1531" i="10" s="1"/>
  <c r="T1364" i="10"/>
  <c r="S1364" i="10" s="1"/>
  <c r="S910" i="11"/>
  <c r="S790" i="11"/>
  <c r="S36" i="11"/>
  <c r="O36" i="11" s="1"/>
  <c r="X36" i="11" s="1"/>
  <c r="Y36" i="11" s="1"/>
  <c r="S1241" i="11"/>
  <c r="T423" i="10"/>
  <c r="S1536" i="11"/>
  <c r="R1536" i="11" s="1"/>
  <c r="S1824" i="11"/>
  <c r="S1755" i="11"/>
  <c r="S1746" i="11"/>
  <c r="S320" i="11"/>
  <c r="T1532" i="10"/>
  <c r="S1532" i="10" s="1"/>
  <c r="S630" i="11"/>
  <c r="S631" i="11"/>
  <c r="T1438" i="10"/>
  <c r="S1438" i="10" s="1"/>
  <c r="T1508" i="10"/>
  <c r="S1508" i="10" s="1"/>
  <c r="S1520" i="11"/>
  <c r="R1520" i="11" s="1"/>
  <c r="S1001" i="11"/>
  <c r="T1169" i="10"/>
  <c r="S787" i="11"/>
  <c r="S321" i="11"/>
  <c r="T1219" i="10"/>
  <c r="S1219" i="10" s="1"/>
  <c r="S1091" i="11"/>
  <c r="S763" i="11"/>
  <c r="N763" i="11" s="1"/>
  <c r="S396" i="11"/>
  <c r="S1510" i="11"/>
  <c r="R1510" i="11" s="1"/>
  <c r="S872" i="11"/>
  <c r="T1154" i="10"/>
  <c r="T1521" i="10"/>
  <c r="S1521" i="10" s="1"/>
  <c r="S1361" i="11"/>
  <c r="R1361" i="11" s="1"/>
  <c r="T465" i="10"/>
  <c r="S1359" i="11"/>
  <c r="R1359" i="11" s="1"/>
  <c r="S985" i="11"/>
  <c r="T912" i="10"/>
  <c r="N912" i="10" s="1"/>
  <c r="S1655" i="11"/>
  <c r="S1366" i="11"/>
  <c r="R1366" i="11" s="1"/>
  <c r="M125" i="9"/>
  <c r="S1070" i="11"/>
  <c r="S1155" i="11"/>
  <c r="T190" i="10"/>
  <c r="S1388" i="11"/>
  <c r="R1388" i="11" s="1"/>
  <c r="M47" i="10"/>
  <c r="S914" i="11"/>
  <c r="S1447" i="11"/>
  <c r="R1447" i="11" s="1"/>
  <c r="S779" i="11"/>
  <c r="N779" i="11" s="1"/>
  <c r="S1687" i="11"/>
  <c r="T201" i="10"/>
  <c r="S413" i="11"/>
  <c r="O413" i="11" s="1"/>
  <c r="S789" i="11"/>
  <c r="N789" i="11" s="1"/>
  <c r="S853" i="11"/>
  <c r="S96" i="11"/>
  <c r="R96" i="11" s="1"/>
  <c r="X96" i="11" s="1"/>
  <c r="Y96" i="11" s="1"/>
  <c r="S247" i="11"/>
  <c r="S867" i="11"/>
  <c r="T1467" i="10"/>
  <c r="T1293" i="10"/>
  <c r="S1293" i="10" s="1"/>
  <c r="S947" i="11"/>
  <c r="O947" i="11" s="1"/>
  <c r="X947" i="11" s="1"/>
  <c r="Y947" i="11" s="1"/>
  <c r="T480" i="10"/>
  <c r="T395" i="10"/>
  <c r="P395" i="10" s="1"/>
  <c r="S476" i="11"/>
  <c r="V476" i="11" s="1"/>
  <c r="S692" i="11"/>
  <c r="T619" i="10"/>
  <c r="S768" i="11"/>
  <c r="N768" i="11" s="1"/>
  <c r="S409" i="11"/>
  <c r="O409" i="11" s="1"/>
  <c r="T1231" i="10"/>
  <c r="S1231" i="10" s="1"/>
  <c r="S1287" i="11"/>
  <c r="S1678" i="11"/>
  <c r="T782" i="10"/>
  <c r="S782" i="10" s="1"/>
  <c r="S478" i="11"/>
  <c r="V478" i="11" s="1"/>
  <c r="O478" i="11" s="1"/>
  <c r="S982" i="11"/>
  <c r="S124" i="11"/>
  <c r="R124" i="11" s="1"/>
  <c r="X124" i="11" s="1"/>
  <c r="Y124" i="11" s="1"/>
  <c r="S720" i="11"/>
  <c r="S390" i="11"/>
  <c r="S1827" i="11"/>
  <c r="T1016" i="10"/>
  <c r="V1016" i="10" s="1"/>
  <c r="S1581" i="11"/>
  <c r="R1581" i="11" s="1"/>
  <c r="S1665" i="11"/>
  <c r="S1317" i="11"/>
  <c r="S327" i="11"/>
  <c r="S1083" i="11"/>
  <c r="S1826" i="11"/>
  <c r="T1518" i="10"/>
  <c r="S1518" i="10" s="1"/>
  <c r="T352" i="10"/>
  <c r="S1814" i="11"/>
  <c r="S726" i="11"/>
  <c r="O726" i="11" s="1"/>
  <c r="S1158" i="11"/>
  <c r="T1357" i="10"/>
  <c r="S1357" i="10" s="1"/>
  <c r="S1230" i="11"/>
  <c r="R725" i="9"/>
  <c r="T725" i="9" s="1"/>
  <c r="S1428" i="11"/>
  <c r="R1428" i="11" s="1"/>
  <c r="S167" i="11"/>
  <c r="T276" i="10"/>
  <c r="S1837" i="11"/>
  <c r="M1092" i="9"/>
  <c r="S1007" i="11"/>
  <c r="S635" i="11"/>
  <c r="V635" i="11" s="1"/>
  <c r="S652" i="11"/>
  <c r="S705" i="11"/>
  <c r="O705" i="11" s="1"/>
  <c r="T1390" i="10"/>
  <c r="S1390" i="10" s="1"/>
  <c r="S1541" i="11"/>
  <c r="R1541" i="11" s="1"/>
  <c r="T724" i="10"/>
  <c r="S724" i="10" s="1"/>
  <c r="T946" i="10"/>
  <c r="S792" i="11"/>
  <c r="S182" i="11"/>
  <c r="R182" i="11" s="1"/>
  <c r="S991" i="11"/>
  <c r="S410" i="11"/>
  <c r="O410" i="11" s="1"/>
  <c r="T707" i="10"/>
  <c r="S1308" i="11"/>
  <c r="T1289" i="10"/>
  <c r="S1289" i="10" s="1"/>
  <c r="T1376" i="10"/>
  <c r="S1376" i="10" s="1"/>
  <c r="S1760" i="11"/>
  <c r="S769" i="11"/>
  <c r="S1758" i="11"/>
  <c r="S987" i="11"/>
  <c r="S1380" i="11"/>
  <c r="R1380" i="11" s="1"/>
  <c r="T708" i="10"/>
  <c r="S708" i="10" s="1"/>
  <c r="T786" i="10"/>
  <c r="S786" i="10" s="1"/>
  <c r="S1982" i="11"/>
  <c r="R1982" i="11" s="1"/>
  <c r="S340" i="11"/>
  <c r="S1685" i="11"/>
  <c r="S1075" i="11"/>
  <c r="T794" i="10"/>
  <c r="S794" i="10" s="1"/>
  <c r="S201" i="11"/>
  <c r="R201" i="11" s="1"/>
  <c r="S404" i="11"/>
  <c r="O404" i="11" s="1"/>
  <c r="R543" i="9"/>
  <c r="S935" i="11"/>
  <c r="T354" i="10"/>
  <c r="V354" i="10" s="1"/>
  <c r="T723" i="10"/>
  <c r="S723" i="10" s="1"/>
  <c r="S1962" i="11"/>
  <c r="R1962" i="11" s="1"/>
  <c r="R945" i="9"/>
  <c r="S1391" i="11"/>
  <c r="R1391" i="11" s="1"/>
  <c r="S1015" i="11"/>
  <c r="S1221" i="11"/>
  <c r="S849" i="11"/>
  <c r="M37" i="10"/>
  <c r="S919" i="11"/>
  <c r="O919" i="11" s="1"/>
  <c r="X919" i="11" s="1"/>
  <c r="Y919" i="11" s="1"/>
  <c r="T1015" i="10"/>
  <c r="V1015" i="10" s="1"/>
  <c r="T1537" i="10"/>
  <c r="S1537" i="10" s="1"/>
  <c r="S1204" i="11"/>
  <c r="T255" i="10"/>
  <c r="T194" i="10"/>
  <c r="S418" i="11"/>
  <c r="S697" i="11"/>
  <c r="T397" i="10"/>
  <c r="P397" i="10" s="1"/>
  <c r="S616" i="11"/>
  <c r="S269" i="11"/>
  <c r="S1971" i="11"/>
  <c r="R1971" i="11" s="1"/>
  <c r="S1166" i="11"/>
  <c r="T172" i="10"/>
  <c r="S1210" i="11"/>
  <c r="S483" i="11"/>
  <c r="V483" i="11" s="1"/>
  <c r="O483" i="11" s="1"/>
  <c r="T1451" i="10"/>
  <c r="S1451" i="10" s="1"/>
  <c r="T1365" i="10"/>
  <c r="S1365" i="10" s="1"/>
  <c r="S693" i="11"/>
  <c r="O693" i="11" s="1"/>
  <c r="T549" i="10"/>
  <c r="Z549" i="10" s="1"/>
  <c r="T1436" i="10"/>
  <c r="S1436" i="10" s="1"/>
  <c r="S1818" i="11"/>
  <c r="S1749" i="11"/>
  <c r="T1308" i="10"/>
  <c r="S1308" i="10" s="1"/>
  <c r="T356" i="10"/>
  <c r="S1670" i="11"/>
  <c r="S1056" i="11"/>
  <c r="T636" i="10"/>
  <c r="S990" i="11"/>
  <c r="S416" i="11"/>
  <c r="O416" i="11" s="1"/>
  <c r="S983" i="11"/>
  <c r="T278" i="10"/>
  <c r="V278" i="10" s="1"/>
  <c r="S643" i="11"/>
  <c r="S1298" i="11"/>
  <c r="M278" i="9"/>
  <c r="S938" i="11"/>
  <c r="S55" i="11"/>
  <c r="O55" i="11" s="1"/>
  <c r="X55" i="11" s="1"/>
  <c r="Y55" i="11" s="1"/>
  <c r="S1146" i="11"/>
  <c r="S1756" i="11"/>
  <c r="R703" i="9"/>
  <c r="T703" i="9" s="1"/>
  <c r="S1059" i="11"/>
  <c r="T1466" i="10"/>
  <c r="S1466" i="10" s="1"/>
  <c r="S20" i="11"/>
  <c r="O20" i="11" s="1"/>
  <c r="X20" i="11" s="1"/>
  <c r="Y20" i="11" s="1"/>
  <c r="S1442" i="11"/>
  <c r="R1442" i="11" s="1"/>
  <c r="R556" i="9"/>
  <c r="S922" i="11"/>
  <c r="S1224" i="11"/>
  <c r="S1130" i="11"/>
  <c r="T1167" i="10"/>
  <c r="T840" i="10"/>
  <c r="S1012" i="11"/>
  <c r="S1759" i="11"/>
  <c r="T501" i="10"/>
  <c r="S1313" i="11"/>
  <c r="T1517" i="10"/>
  <c r="S1517" i="10" s="1"/>
  <c r="T1070" i="10"/>
  <c r="S1070" i="10" s="1"/>
  <c r="S1803" i="11"/>
  <c r="S837" i="11"/>
  <c r="T1292" i="10"/>
  <c r="S1292" i="10" s="1"/>
  <c r="S866" i="11"/>
  <c r="T835" i="10"/>
  <c r="S703" i="11"/>
  <c r="O703" i="11" s="1"/>
  <c r="S1227" i="11"/>
  <c r="S701" i="11"/>
  <c r="O701" i="11" s="1"/>
  <c r="S475" i="11"/>
  <c r="V475" i="11" s="1"/>
  <c r="S1658" i="11"/>
  <c r="S394" i="11"/>
  <c r="O394" i="11" s="1"/>
  <c r="T569" i="10"/>
  <c r="Q569" i="10" s="1"/>
  <c r="S723" i="11"/>
  <c r="S1579" i="11"/>
  <c r="R1579" i="11" s="1"/>
  <c r="M105" i="9"/>
  <c r="T1435" i="10"/>
  <c r="S316" i="11"/>
  <c r="S1290" i="11"/>
  <c r="S764" i="11"/>
  <c r="N764" i="11" s="1"/>
  <c r="M94" i="9"/>
  <c r="S391" i="11"/>
  <c r="O391" i="11" s="1"/>
  <c r="L391" i="11" s="1"/>
  <c r="Y391" i="11" s="1"/>
  <c r="S108" i="11"/>
  <c r="R108" i="11" s="1"/>
  <c r="X108" i="11" s="1"/>
  <c r="Y108" i="11" s="1"/>
  <c r="T174" i="10"/>
  <c r="S854" i="11"/>
  <c r="M345" i="9"/>
  <c r="T1392" i="10"/>
  <c r="S1392" i="10" s="1"/>
  <c r="S1387" i="11"/>
  <c r="R1387" i="11" s="1"/>
  <c r="S1243" i="11"/>
  <c r="T1228" i="10"/>
  <c r="S1228" i="10" s="1"/>
  <c r="T1144" i="10"/>
  <c r="S397" i="11"/>
  <c r="O397" i="11" s="1"/>
  <c r="S423" i="11"/>
  <c r="O423" i="11" s="1"/>
  <c r="T1529" i="10"/>
  <c r="S1529" i="10" s="1"/>
  <c r="S546" i="11"/>
  <c r="S841" i="11"/>
  <c r="T1217" i="10"/>
  <c r="S1217" i="10" s="1"/>
  <c r="S1604" i="11"/>
  <c r="R1604" i="11" s="1"/>
  <c r="S1218" i="11"/>
  <c r="S183" i="11"/>
  <c r="R183" i="11" s="1"/>
  <c r="S1057" i="11"/>
  <c r="S1960" i="11"/>
  <c r="R1960" i="11" s="1"/>
  <c r="T999" i="10"/>
  <c r="S1761" i="11"/>
  <c r="S714" i="11"/>
  <c r="T325" i="10"/>
  <c r="V325" i="10" s="1"/>
  <c r="S421" i="11"/>
  <c r="O421" i="11" s="1"/>
  <c r="S180" i="11"/>
  <c r="R180" i="11" s="1"/>
  <c r="S273" i="11"/>
  <c r="S1523" i="11"/>
  <c r="R1523" i="11" s="1"/>
  <c r="T909" i="10"/>
  <c r="N909" i="10" s="1"/>
  <c r="S401" i="11"/>
  <c r="O401" i="11" s="1"/>
  <c r="T692" i="10"/>
  <c r="T1505" i="10"/>
  <c r="S1505" i="10" s="1"/>
  <c r="S1088" i="11"/>
  <c r="T550" i="10"/>
  <c r="Z550" i="10" s="1"/>
  <c r="T279" i="10"/>
  <c r="V279" i="10" s="1"/>
  <c r="S1383" i="11"/>
  <c r="R1383" i="11" s="1"/>
  <c r="T1014" i="10"/>
  <c r="V1014" i="10" s="1"/>
  <c r="S1816" i="11"/>
  <c r="S778" i="11"/>
  <c r="N778" i="11" s="1"/>
  <c r="M1086" i="9"/>
  <c r="S1728" i="11"/>
  <c r="S1134" i="11"/>
  <c r="S1072" i="11"/>
  <c r="T870" i="10"/>
  <c r="T773" i="10"/>
  <c r="S773" i="10" s="1"/>
  <c r="S1367" i="11"/>
  <c r="R1367" i="11" s="1"/>
  <c r="S1729" i="11"/>
  <c r="S1800" i="11"/>
  <c r="T635" i="10"/>
  <c r="S113" i="11"/>
  <c r="R113" i="11" s="1"/>
  <c r="X113" i="11" s="1"/>
  <c r="Y113" i="11" s="1"/>
  <c r="S1830" i="11"/>
  <c r="S553" i="11"/>
  <c r="V553" i="11" s="1"/>
  <c r="S1205" i="11"/>
  <c r="S1582" i="11"/>
  <c r="R1582" i="11" s="1"/>
  <c r="S871" i="11"/>
  <c r="O871" i="11" s="1"/>
  <c r="T726" i="10"/>
  <c r="S614" i="11"/>
  <c r="S1279" i="11"/>
  <c r="T927" i="10"/>
  <c r="N927" i="10" s="1"/>
  <c r="S1390" i="11"/>
  <c r="R1390" i="11" s="1"/>
  <c r="S1593" i="11"/>
  <c r="R1593" i="11" s="1"/>
  <c r="T175" i="10"/>
  <c r="T345" i="10"/>
  <c r="S791" i="11"/>
  <c r="N791" i="11" s="1"/>
  <c r="T1378" i="10"/>
  <c r="S1378" i="10" s="1"/>
  <c r="T785" i="10"/>
  <c r="S785" i="10" s="1"/>
  <c r="T983" i="10"/>
  <c r="S1745" i="11"/>
  <c r="S1311" i="11"/>
  <c r="T837" i="10"/>
  <c r="T417" i="10"/>
  <c r="T867" i="10"/>
  <c r="T1311" i="10"/>
  <c r="S1311" i="10" s="1"/>
  <c r="S1764" i="11"/>
  <c r="S1222" i="11"/>
  <c r="M95" i="9"/>
  <c r="S1599" i="11"/>
  <c r="R1599" i="11" s="1"/>
  <c r="S1231" i="11"/>
  <c r="S1295" i="11"/>
  <c r="T1503" i="10"/>
  <c r="S1503" i="10" s="1"/>
  <c r="T1388" i="10"/>
  <c r="S1388" i="10" s="1"/>
  <c r="S1375" i="11"/>
  <c r="R1375" i="11" s="1"/>
  <c r="T779" i="10"/>
  <c r="S779" i="10" s="1"/>
  <c r="T928" i="10"/>
  <c r="N928" i="10" s="1"/>
  <c r="S1392" i="11"/>
  <c r="R1392" i="11" s="1"/>
  <c r="S339" i="11"/>
  <c r="S1583" i="11"/>
  <c r="R1583" i="11" s="1"/>
  <c r="S1431" i="11"/>
  <c r="R1431" i="11" s="1"/>
  <c r="T689" i="10"/>
  <c r="S1964" i="11"/>
  <c r="R1964" i="11" s="1"/>
  <c r="S1283" i="11"/>
  <c r="T1516" i="10"/>
  <c r="S1516" i="10" s="1"/>
  <c r="S926" i="11"/>
  <c r="S1820" i="11"/>
  <c r="S52" i="11"/>
  <c r="O52" i="11" s="1"/>
  <c r="X52" i="11" s="1"/>
  <c r="Y52" i="11" s="1"/>
  <c r="S1817" i="11"/>
  <c r="S649" i="11"/>
  <c r="S1449" i="11"/>
  <c r="R1449" i="11" s="1"/>
  <c r="S19" i="11"/>
  <c r="O19" i="11" s="1"/>
  <c r="X19" i="11" s="1"/>
  <c r="Y19" i="11" s="1"/>
  <c r="T991" i="10"/>
  <c r="V991" i="10" s="1"/>
  <c r="M343" i="9"/>
  <c r="T1313" i="10"/>
  <c r="M115" i="9"/>
  <c r="R866" i="9"/>
  <c r="T866" i="9" s="1"/>
  <c r="R990" i="9"/>
  <c r="S50" i="11"/>
  <c r="O50" i="11" s="1"/>
  <c r="X50" i="11" s="1"/>
  <c r="Y50" i="11" s="1"/>
  <c r="T858" i="10"/>
  <c r="P858" i="10" s="1"/>
  <c r="R1018" i="9"/>
  <c r="M59" i="10"/>
  <c r="T392" i="10"/>
  <c r="P392" i="10" s="1"/>
  <c r="S245" i="11"/>
  <c r="M113" i="9"/>
  <c r="R909" i="9"/>
  <c r="S506" i="11"/>
  <c r="T923" i="10"/>
  <c r="N923" i="10" s="1"/>
  <c r="T403" i="10"/>
  <c r="P403" i="10" s="1"/>
  <c r="M121" i="9"/>
  <c r="M640" i="9"/>
  <c r="M425" i="9"/>
  <c r="S349" i="11"/>
  <c r="M797" i="9"/>
  <c r="M643" i="9"/>
  <c r="S1172" i="11"/>
  <c r="T391" i="10"/>
  <c r="P391" i="10" s="1"/>
  <c r="M396" i="9"/>
  <c r="T988" i="10"/>
  <c r="V988" i="10" s="1"/>
  <c r="T574" i="10"/>
  <c r="Q574" i="10" s="1"/>
  <c r="R916" i="9"/>
  <c r="T421" i="10"/>
  <c r="P421" i="10" s="1"/>
  <c r="R993" i="9"/>
  <c r="T1283" i="10"/>
  <c r="T987" i="10"/>
  <c r="M323" i="9"/>
  <c r="S205" i="11"/>
  <c r="R205" i="11" s="1"/>
  <c r="T860" i="10"/>
  <c r="M799" i="9"/>
  <c r="M22" i="10"/>
  <c r="S186" i="11"/>
  <c r="R186" i="11" s="1"/>
  <c r="R111" i="10"/>
  <c r="M1090" i="9"/>
  <c r="S482" i="11"/>
  <c r="V482" i="11" s="1"/>
  <c r="O482" i="11" s="1"/>
  <c r="M127" i="9"/>
  <c r="R706" i="9"/>
  <c r="T706" i="9" s="1"/>
  <c r="M98" i="9"/>
  <c r="S172" i="11"/>
  <c r="R172" i="11" s="1"/>
  <c r="R1004" i="9"/>
  <c r="M32" i="10"/>
  <c r="T768" i="10"/>
  <c r="S768" i="10" s="1"/>
  <c r="R913" i="9"/>
  <c r="T346" i="10"/>
  <c r="V346" i="10" s="1"/>
  <c r="T205" i="10"/>
  <c r="M29" i="10"/>
  <c r="S487" i="11"/>
  <c r="V487" i="11" s="1"/>
  <c r="T494" i="10"/>
  <c r="Q494" i="10" s="1"/>
  <c r="R494" i="10" s="1"/>
  <c r="M44" i="9"/>
  <c r="T648" i="10"/>
  <c r="T1221" i="10"/>
  <c r="S1221" i="10" s="1"/>
  <c r="M184" i="9"/>
  <c r="T476" i="10"/>
  <c r="M170" i="9"/>
  <c r="T1164" i="10"/>
  <c r="S567" i="11"/>
  <c r="V567" i="11" s="1"/>
  <c r="M182" i="9"/>
  <c r="T506" i="10"/>
  <c r="S334" i="11"/>
  <c r="T257" i="10"/>
  <c r="M649" i="9"/>
  <c r="R98" i="10"/>
  <c r="S1691" i="11"/>
  <c r="M34" i="10"/>
  <c r="S333" i="11"/>
  <c r="M53" i="9"/>
  <c r="M627" i="9"/>
  <c r="T357" i="10"/>
  <c r="V357" i="10" s="1"/>
  <c r="M51" i="9"/>
  <c r="T266" i="10"/>
  <c r="V266" i="10" s="1"/>
  <c r="R860" i="9"/>
  <c r="T860" i="9" s="1"/>
  <c r="T322" i="10"/>
  <c r="M41" i="9"/>
  <c r="T189" i="10"/>
  <c r="M264" i="9"/>
  <c r="R1001" i="9"/>
  <c r="T1449" i="10"/>
  <c r="S1449" i="10" s="1"/>
  <c r="M41" i="10"/>
  <c r="T1316" i="10"/>
  <c r="S1316" i="10" s="1"/>
  <c r="M48" i="9"/>
  <c r="M411" i="9"/>
  <c r="S505" i="11"/>
  <c r="T348" i="10"/>
  <c r="V348" i="10" s="1"/>
  <c r="T497" i="10"/>
  <c r="M400" i="9"/>
  <c r="S249" i="11"/>
  <c r="S1023" i="11"/>
  <c r="T845" i="10"/>
  <c r="S984" i="11"/>
  <c r="R914" i="9"/>
  <c r="T335" i="10"/>
  <c r="V335" i="10" s="1"/>
  <c r="M791" i="9"/>
  <c r="T1072" i="10"/>
  <c r="S1072" i="10" s="1"/>
  <c r="R1010" i="9"/>
  <c r="M42" i="10"/>
  <c r="M279" i="9"/>
  <c r="T464" i="10"/>
  <c r="T564" i="10"/>
  <c r="Q564" i="10" s="1"/>
  <c r="S1073" i="11"/>
  <c r="R833" i="9"/>
  <c r="T833" i="9" s="1"/>
  <c r="M356" i="9"/>
  <c r="T347" i="10"/>
  <c r="T993" i="10"/>
  <c r="V993" i="10" s="1"/>
  <c r="S1226" i="11"/>
  <c r="M319" i="9"/>
  <c r="S358" i="11"/>
  <c r="S318" i="11"/>
  <c r="S467" i="11"/>
  <c r="V467" i="11" s="1"/>
  <c r="O467" i="11" s="1"/>
  <c r="T185" i="10"/>
  <c r="S207" i="11"/>
  <c r="R207" i="11" s="1"/>
  <c r="M339" i="9"/>
  <c r="T1241" i="10"/>
  <c r="S1241" i="10" s="1"/>
  <c r="T1208" i="10"/>
  <c r="S1208" i="10" s="1"/>
  <c r="R855" i="9"/>
  <c r="T855" i="9" s="1"/>
  <c r="M790" i="9"/>
  <c r="S279" i="11"/>
  <c r="S97" i="11"/>
  <c r="R97" i="11" s="1"/>
  <c r="X97" i="11" s="1"/>
  <c r="Y97" i="11" s="1"/>
  <c r="M419" i="9"/>
  <c r="T1148" i="10"/>
  <c r="P1148" i="10" s="1"/>
  <c r="T615" i="10"/>
  <c r="M392" i="9"/>
  <c r="R942" i="9"/>
  <c r="R841" i="9"/>
  <c r="T841" i="9" s="1"/>
  <c r="S48" i="11"/>
  <c r="O48" i="11" s="1"/>
  <c r="X48" i="11" s="1"/>
  <c r="Y48" i="11" s="1"/>
  <c r="T1147" i="10"/>
  <c r="T848" i="10"/>
  <c r="M615" i="9"/>
  <c r="M259" i="9"/>
  <c r="T402" i="10"/>
  <c r="T1533" i="10"/>
  <c r="S1533" i="10" s="1"/>
  <c r="R853" i="9"/>
  <c r="T853" i="9" s="1"/>
  <c r="M612" i="9"/>
  <c r="M775" i="9"/>
  <c r="T933" i="10"/>
  <c r="T496" i="10"/>
  <c r="R559" i="9"/>
  <c r="S579" i="11"/>
  <c r="V579" i="11" s="1"/>
  <c r="S171" i="11"/>
  <c r="R171" i="11" s="1"/>
  <c r="R838" i="9"/>
  <c r="T838" i="9" s="1"/>
  <c r="M1075" i="9"/>
  <c r="T1541" i="10"/>
  <c r="S1541" i="10" s="1"/>
  <c r="T1469" i="10"/>
  <c r="S1469" i="10" s="1"/>
  <c r="T405" i="10"/>
  <c r="P405" i="10" s="1"/>
  <c r="T1158" i="10"/>
  <c r="M1068" i="9"/>
  <c r="M26" i="10"/>
  <c r="S653" i="11"/>
  <c r="V653" i="11" s="1"/>
  <c r="R553" i="9"/>
  <c r="M257" i="9"/>
  <c r="M1062" i="9"/>
  <c r="S1747" i="11"/>
  <c r="M620" i="9"/>
  <c r="T1371" i="10"/>
  <c r="S1371" i="10" s="1"/>
  <c r="R541" i="9"/>
  <c r="R555" i="9"/>
  <c r="T198" i="10"/>
  <c r="S278" i="11"/>
  <c r="T725" i="10"/>
  <c r="R947" i="9"/>
  <c r="T1465" i="10"/>
  <c r="S1465" i="10" s="1"/>
  <c r="R874" i="9"/>
  <c r="T874" i="9" s="1"/>
  <c r="S185" i="11"/>
  <c r="R185" i="11" s="1"/>
  <c r="R927" i="9"/>
  <c r="M1088" i="9"/>
  <c r="S30" i="11"/>
  <c r="O30" i="11" s="1"/>
  <c r="X30" i="11" s="1"/>
  <c r="Y30" i="11" s="1"/>
  <c r="R1023" i="9"/>
  <c r="T1157" i="10"/>
  <c r="R557" i="9"/>
  <c r="M38" i="10"/>
  <c r="S702" i="11"/>
  <c r="M107" i="9"/>
  <c r="R933" i="9"/>
  <c r="T171" i="10"/>
  <c r="S31" i="11"/>
  <c r="O31" i="11" s="1"/>
  <c r="X31" i="11" s="1"/>
  <c r="Y31" i="11" s="1"/>
  <c r="M431" i="9"/>
  <c r="R120" i="10"/>
  <c r="T404" i="10"/>
  <c r="M248" i="9"/>
  <c r="M1078" i="9"/>
  <c r="S654" i="11"/>
  <c r="V654" i="11" s="1"/>
  <c r="T922" i="10"/>
  <c r="N922" i="10" s="1"/>
  <c r="T919" i="10"/>
  <c r="M764" i="9"/>
  <c r="M787" i="9"/>
  <c r="S949" i="11"/>
  <c r="T244" i="10"/>
  <c r="R694" i="9"/>
  <c r="T694" i="9" s="1"/>
  <c r="S347" i="11"/>
  <c r="T1130" i="10"/>
  <c r="R939" i="9"/>
  <c r="T857" i="10"/>
  <c r="P857" i="10" s="1"/>
  <c r="T1385" i="10"/>
  <c r="S1385" i="10" s="1"/>
  <c r="M407" i="9"/>
  <c r="M51" i="10"/>
  <c r="S42" i="11"/>
  <c r="O42" i="11" s="1"/>
  <c r="X42" i="11" s="1"/>
  <c r="Y42" i="11" s="1"/>
  <c r="S174" i="11"/>
  <c r="R174" i="11" s="1"/>
  <c r="R940" i="9"/>
  <c r="T917" i="10"/>
  <c r="T932" i="10"/>
  <c r="N932" i="10" s="1"/>
  <c r="T938" i="10"/>
  <c r="N938" i="10" s="1"/>
  <c r="M93" i="9"/>
  <c r="R554" i="9"/>
  <c r="T1314" i="10"/>
  <c r="S1314" i="10" s="1"/>
  <c r="S43" i="11"/>
  <c r="O43" i="11" s="1"/>
  <c r="X43" i="11" s="1"/>
  <c r="Y43" i="11" s="1"/>
  <c r="T1303" i="10"/>
  <c r="S1303" i="10" s="1"/>
  <c r="T1461" i="10"/>
  <c r="S1461" i="10" s="1"/>
  <c r="R845" i="9"/>
  <c r="T845" i="9" s="1"/>
  <c r="M194" i="9"/>
  <c r="M249" i="9"/>
  <c r="R124" i="10"/>
  <c r="T1057" i="10"/>
  <c r="S1057" i="10" s="1"/>
  <c r="M39" i="10"/>
  <c r="M796" i="9"/>
  <c r="M765" i="9"/>
  <c r="T195" i="10"/>
  <c r="S262" i="11"/>
  <c r="S346" i="11"/>
  <c r="R110" i="10"/>
  <c r="T703" i="10"/>
  <c r="S130" i="11"/>
  <c r="R130" i="11" s="1"/>
  <c r="X130" i="11" s="1"/>
  <c r="Y130" i="11" s="1"/>
  <c r="T1395" i="10"/>
  <c r="S1395" i="10" s="1"/>
  <c r="T573" i="10"/>
  <c r="Q573" i="10" s="1"/>
  <c r="M629" i="9"/>
  <c r="R708" i="9"/>
  <c r="T708" i="9" s="1"/>
  <c r="S118" i="11"/>
  <c r="R118" i="11" s="1"/>
  <c r="X118" i="11" s="1"/>
  <c r="Y118" i="11" s="1"/>
  <c r="M357" i="9"/>
  <c r="M415" i="9"/>
  <c r="T561" i="10"/>
  <c r="S1580" i="11"/>
  <c r="R1580" i="11" s="1"/>
  <c r="S242" i="11"/>
  <c r="R981" i="9"/>
  <c r="S640" i="11"/>
  <c r="T618" i="10"/>
  <c r="T274" i="10"/>
  <c r="V274" i="10" s="1"/>
  <c r="M99" i="9"/>
  <c r="T915" i="10"/>
  <c r="N915" i="10" s="1"/>
  <c r="M413" i="9"/>
  <c r="R568" i="9"/>
  <c r="T1146" i="10"/>
  <c r="T406" i="10"/>
  <c r="S624" i="11"/>
  <c r="V624" i="11" s="1"/>
  <c r="T207" i="10"/>
  <c r="T1542" i="10"/>
  <c r="S1542" i="10" s="1"/>
  <c r="S198" i="11"/>
  <c r="R198" i="11" s="1"/>
  <c r="T271" i="10"/>
  <c r="V271" i="10" s="1"/>
  <c r="T1358" i="10"/>
  <c r="S1358" i="10" s="1"/>
  <c r="T634" i="10"/>
  <c r="S119" i="11"/>
  <c r="R119" i="11" s="1"/>
  <c r="X119" i="11" s="1"/>
  <c r="Y119" i="11" s="1"/>
  <c r="S573" i="11"/>
  <c r="M25" i="9"/>
  <c r="R538" i="9"/>
  <c r="S568" i="11"/>
  <c r="V568" i="11" s="1"/>
  <c r="T642" i="10"/>
  <c r="T876" i="10"/>
  <c r="M342" i="9"/>
  <c r="T256" i="10"/>
  <c r="M642" i="9"/>
  <c r="T275" i="10"/>
  <c r="V275" i="10" s="1"/>
  <c r="S60" i="11"/>
  <c r="O60" i="11" s="1"/>
  <c r="X60" i="11" s="1"/>
  <c r="Y60" i="11" s="1"/>
  <c r="M393" i="9"/>
  <c r="S41" i="11"/>
  <c r="O41" i="11" s="1"/>
  <c r="X41" i="11" s="1"/>
  <c r="Y41" i="11" s="1"/>
  <c r="M270" i="9"/>
  <c r="T793" i="10"/>
  <c r="S793" i="10" s="1"/>
  <c r="R700" i="9"/>
  <c r="T700" i="9" s="1"/>
  <c r="S24" i="11"/>
  <c r="O24" i="11" s="1"/>
  <c r="X24" i="11" s="1"/>
  <c r="Y24" i="11" s="1"/>
  <c r="T1209" i="10"/>
  <c r="S1209" i="10" s="1"/>
  <c r="M203" i="9"/>
  <c r="R919" i="9"/>
  <c r="M430" i="9"/>
  <c r="S173" i="11"/>
  <c r="R173" i="11" s="1"/>
  <c r="S415" i="11"/>
  <c r="T632" i="10"/>
  <c r="T262" i="10"/>
  <c r="R847" i="9"/>
  <c r="T847" i="9" s="1"/>
  <c r="R929" i="9"/>
  <c r="T547" i="10"/>
  <c r="Z547" i="10" s="1"/>
  <c r="M318" i="9"/>
  <c r="R985" i="9"/>
  <c r="T208" i="10"/>
  <c r="R983" i="9"/>
  <c r="T1063" i="10"/>
  <c r="S1063" i="10" s="1"/>
  <c r="M57" i="9"/>
  <c r="M617" i="9"/>
  <c r="S1245" i="11"/>
  <c r="S345" i="11"/>
  <c r="T1094" i="10"/>
  <c r="S1094" i="10" s="1"/>
  <c r="M613" i="9"/>
  <c r="R542" i="9"/>
  <c r="T1525" i="10"/>
  <c r="S1525" i="10" s="1"/>
  <c r="S188" i="11"/>
  <c r="R188" i="11" s="1"/>
  <c r="T1286" i="10"/>
  <c r="S1286" i="10" s="1"/>
  <c r="M241" i="9"/>
  <c r="M1094" i="9"/>
  <c r="T183" i="10"/>
  <c r="T332" i="10"/>
  <c r="V332" i="10" s="1"/>
  <c r="M179" i="9"/>
  <c r="T1207" i="10"/>
  <c r="S1207" i="10" s="1"/>
  <c r="T559" i="10"/>
  <c r="Q559" i="10" s="1"/>
  <c r="M114" i="9"/>
  <c r="T259" i="10"/>
  <c r="T557" i="10"/>
  <c r="Q557" i="10" s="1"/>
  <c r="M20" i="10"/>
  <c r="T1511" i="10"/>
  <c r="S1511" i="10" s="1"/>
  <c r="T626" i="10"/>
  <c r="S1544" i="11"/>
  <c r="R1544" i="11" s="1"/>
  <c r="R101" i="10"/>
  <c r="R911" i="9"/>
  <c r="S133" i="11"/>
  <c r="R133" i="11" s="1"/>
  <c r="X133" i="11" s="1"/>
  <c r="Y133" i="11" s="1"/>
  <c r="S996" i="11"/>
  <c r="M349" i="9"/>
  <c r="R544" i="9"/>
  <c r="T560" i="10"/>
  <c r="S392" i="11"/>
  <c r="O392" i="11" s="1"/>
  <c r="S934" i="11"/>
  <c r="T1017" i="10"/>
  <c r="R132" i="10"/>
  <c r="T718" i="10"/>
  <c r="S718" i="10" s="1"/>
  <c r="T1086" i="10"/>
  <c r="S1086" i="10" s="1"/>
  <c r="M782" i="9"/>
  <c r="R987" i="9"/>
  <c r="S317" i="11"/>
  <c r="T1003" i="10"/>
  <c r="M618" i="9"/>
  <c r="T939" i="10"/>
  <c r="N939" i="10" s="1"/>
  <c r="R720" i="9"/>
  <c r="T720" i="9" s="1"/>
  <c r="T576" i="10"/>
  <c r="T1235" i="10"/>
  <c r="S1235" i="10" s="1"/>
  <c r="M1069" i="9"/>
  <c r="T1387" i="10"/>
  <c r="S1387" i="10" s="1"/>
  <c r="T1165" i="10"/>
  <c r="T1504" i="10"/>
  <c r="S1504" i="10" s="1"/>
  <c r="R718" i="9"/>
  <c r="T718" i="9" s="1"/>
  <c r="T1023" i="10"/>
  <c r="V1023" i="10" s="1"/>
  <c r="M635" i="9"/>
  <c r="M616" i="9"/>
  <c r="T720" i="10"/>
  <c r="S720" i="10" s="1"/>
  <c r="S718" i="11"/>
  <c r="T1543" i="10"/>
  <c r="S1543" i="10" s="1"/>
  <c r="R873" i="9"/>
  <c r="T873" i="9" s="1"/>
  <c r="M276" i="9"/>
  <c r="T1166" i="10"/>
  <c r="T614" i="10"/>
  <c r="S580" i="11"/>
  <c r="V580" i="11" s="1"/>
  <c r="T846" i="10"/>
  <c r="T1370" i="10"/>
  <c r="S1370" i="10" s="1"/>
  <c r="M404" i="9"/>
  <c r="M427" i="9"/>
  <c r="T698" i="10"/>
  <c r="S698" i="10" s="1"/>
  <c r="T1087" i="10"/>
  <c r="S1087" i="10" s="1"/>
  <c r="M340" i="9"/>
  <c r="T504" i="10"/>
  <c r="T180" i="10"/>
  <c r="R569" i="9"/>
  <c r="T466" i="10"/>
  <c r="T419" i="10"/>
  <c r="P419" i="10" s="1"/>
  <c r="R548" i="9"/>
  <c r="R539" i="9"/>
  <c r="T950" i="10"/>
  <c r="R576" i="9"/>
  <c r="T934" i="10"/>
  <c r="N934" i="10" s="1"/>
  <c r="M1084" i="9"/>
  <c r="M268" i="9"/>
  <c r="R579" i="9"/>
  <c r="M92" i="9"/>
  <c r="T771" i="10"/>
  <c r="S771" i="10" s="1"/>
  <c r="R125" i="10"/>
  <c r="M58" i="10"/>
  <c r="S422" i="11"/>
  <c r="O422" i="11" s="1"/>
  <c r="M795" i="9"/>
  <c r="T1459" i="10"/>
  <c r="S1459" i="10" s="1"/>
  <c r="R122" i="10"/>
  <c r="T249" i="10"/>
  <c r="S491" i="11"/>
  <c r="V491" i="11" s="1"/>
  <c r="M625" i="9"/>
  <c r="R560" i="9"/>
  <c r="T1368" i="10"/>
  <c r="S1368" i="10" s="1"/>
  <c r="S1577" i="11"/>
  <c r="R1577" i="11" s="1"/>
  <c r="R995" i="9"/>
  <c r="T1538" i="10"/>
  <c r="S1538" i="10" s="1"/>
  <c r="M196" i="9"/>
  <c r="S765" i="11"/>
  <c r="N765" i="11" s="1"/>
  <c r="T1075" i="10"/>
  <c r="S1075" i="10" s="1"/>
  <c r="M320" i="9"/>
  <c r="T1319" i="10"/>
  <c r="S1319" i="10" s="1"/>
  <c r="T936" i="10"/>
  <c r="T187" i="10"/>
  <c r="M42" i="9"/>
  <c r="S1689" i="11"/>
  <c r="R715" i="9"/>
  <c r="T715" i="9" s="1"/>
  <c r="M52" i="10"/>
  <c r="T327" i="10"/>
  <c r="V327" i="10" s="1"/>
  <c r="T941" i="10"/>
  <c r="S283" i="11"/>
  <c r="M636" i="9"/>
  <c r="T1285" i="10"/>
  <c r="S1285" i="10" s="1"/>
  <c r="T472" i="10"/>
  <c r="R1002" i="9"/>
  <c r="T471" i="10"/>
  <c r="Q471" i="10" s="1"/>
  <c r="R471" i="10" s="1"/>
  <c r="M412" i="9"/>
  <c r="T1142" i="10"/>
  <c r="M45" i="9"/>
  <c r="R1008" i="9"/>
  <c r="S319" i="11"/>
  <c r="R1009" i="9"/>
  <c r="T343" i="10"/>
  <c r="V343" i="10" s="1"/>
  <c r="M120" i="9"/>
  <c r="M624" i="9"/>
  <c r="T1304" i="10"/>
  <c r="S1304" i="10" s="1"/>
  <c r="T1020" i="10"/>
  <c r="V1020" i="10" s="1"/>
  <c r="M193" i="9"/>
  <c r="M252" i="9"/>
  <c r="S802" i="11"/>
  <c r="M50" i="9"/>
  <c r="M1058" i="9"/>
  <c r="T544" i="10"/>
  <c r="T1233" i="10"/>
  <c r="S1233" i="10" s="1"/>
  <c r="S135" i="11"/>
  <c r="R135" i="11" s="1"/>
  <c r="X135" i="11" s="1"/>
  <c r="Y135" i="11" s="1"/>
  <c r="R1003" i="9"/>
  <c r="R707" i="9"/>
  <c r="T707" i="9" s="1"/>
  <c r="T1092" i="10"/>
  <c r="S1092" i="10" s="1"/>
  <c r="T695" i="10"/>
  <c r="S695" i="10" s="1"/>
  <c r="S1394" i="11"/>
  <c r="R1394" i="11" s="1"/>
  <c r="T193" i="10"/>
  <c r="T483" i="10"/>
  <c r="Q483" i="10" s="1"/>
  <c r="R483" i="10" s="1"/>
  <c r="R865" i="9"/>
  <c r="T865" i="9" s="1"/>
  <c r="T1528" i="10"/>
  <c r="S1528" i="10" s="1"/>
  <c r="S1839" i="11"/>
  <c r="M27" i="9"/>
  <c r="S1979" i="11"/>
  <c r="R1979" i="11" s="1"/>
  <c r="R705" i="9"/>
  <c r="T705" i="9" s="1"/>
  <c r="M650" i="9"/>
  <c r="T408" i="10"/>
  <c r="P408" i="10" s="1"/>
  <c r="T920" i="10"/>
  <c r="S393" i="11"/>
  <c r="O393" i="11" s="1"/>
  <c r="M1091" i="9"/>
  <c r="T351" i="10"/>
  <c r="V351" i="10" s="1"/>
  <c r="S1171" i="11"/>
  <c r="T834" i="10"/>
  <c r="S1058" i="11"/>
  <c r="R724" i="9"/>
  <c r="T724" i="9" s="1"/>
  <c r="T792" i="10"/>
  <c r="S792" i="10" s="1"/>
  <c r="M801" i="9"/>
  <c r="M103" i="9"/>
  <c r="M632" i="9"/>
  <c r="S1515" i="11"/>
  <c r="R1515" i="11" s="1"/>
  <c r="S47" i="11"/>
  <c r="O47" i="11" s="1"/>
  <c r="X47" i="11" s="1"/>
  <c r="Y47" i="11" s="1"/>
  <c r="T1373" i="10"/>
  <c r="S1373" i="10" s="1"/>
  <c r="R999" i="9"/>
  <c r="M1067" i="9"/>
  <c r="T545" i="10"/>
  <c r="Q545" i="10" s="1"/>
  <c r="R545" i="10" s="1"/>
  <c r="Z545" i="10" s="1"/>
  <c r="S1365" i="11"/>
  <c r="R1365" i="11" s="1"/>
  <c r="S351" i="11"/>
  <c r="M202" i="9"/>
  <c r="T203" i="10"/>
  <c r="M168" i="9"/>
  <c r="M335" i="9"/>
  <c r="T191" i="10"/>
  <c r="R861" i="9"/>
  <c r="T861" i="9" s="1"/>
  <c r="M1080" i="9"/>
  <c r="S686" i="11"/>
  <c r="S1724" i="11"/>
  <c r="R685" i="9"/>
  <c r="T282" i="10"/>
  <c r="V282" i="10" s="1"/>
  <c r="T1159" i="10"/>
  <c r="T1520" i="10"/>
  <c r="S1520" i="10" s="1"/>
  <c r="S1382" i="11"/>
  <c r="R1382" i="11" s="1"/>
  <c r="S1598" i="11"/>
  <c r="R1598" i="11" s="1"/>
  <c r="M1087" i="9"/>
  <c r="S1368" i="11"/>
  <c r="R1368" i="11" s="1"/>
  <c r="M185" i="9"/>
  <c r="M1081" i="9"/>
  <c r="T908" i="10"/>
  <c r="R851" i="9"/>
  <c r="T851" i="9" s="1"/>
  <c r="T267" i="10"/>
  <c r="R1000" i="9"/>
  <c r="M395" i="9"/>
  <c r="M172" i="9"/>
  <c r="T478" i="10"/>
  <c r="Q478" i="10" s="1"/>
  <c r="R478" i="10" s="1"/>
  <c r="M420" i="9"/>
  <c r="M277" i="9"/>
  <c r="T319" i="10"/>
  <c r="M779" i="9"/>
  <c r="T1009" i="10"/>
  <c r="V1009" i="10" s="1"/>
  <c r="R934" i="9"/>
  <c r="M761" i="9"/>
  <c r="T864" i="10"/>
  <c r="T1445" i="10"/>
  <c r="S1459" i="11"/>
  <c r="R1459" i="11" s="1"/>
  <c r="R698" i="9"/>
  <c r="T698" i="9" s="1"/>
  <c r="T776" i="10"/>
  <c r="S776" i="10" s="1"/>
  <c r="S801" i="11"/>
  <c r="S100" i="11"/>
  <c r="R100" i="11" s="1"/>
  <c r="X100" i="11" s="1"/>
  <c r="Y100" i="11" s="1"/>
  <c r="S33" i="11"/>
  <c r="O33" i="11" s="1"/>
  <c r="X33" i="11" s="1"/>
  <c r="Y33" i="11" s="1"/>
  <c r="T399" i="10"/>
  <c r="M245" i="9"/>
  <c r="S1618" i="11"/>
  <c r="S1389" i="11"/>
  <c r="R1389" i="11" s="1"/>
  <c r="S1596" i="11"/>
  <c r="R1596" i="11" s="1"/>
  <c r="T398" i="10"/>
  <c r="P398" i="10" s="1"/>
  <c r="R856" i="9"/>
  <c r="T856" i="9" s="1"/>
  <c r="S1840" i="11"/>
  <c r="M329" i="9"/>
  <c r="M760" i="9"/>
  <c r="S105" i="11"/>
  <c r="R105" i="11" s="1"/>
  <c r="X105" i="11" s="1"/>
  <c r="Y105" i="11" s="1"/>
  <c r="T1162" i="10"/>
  <c r="T358" i="10"/>
  <c r="V358" i="10" s="1"/>
  <c r="T788" i="10"/>
  <c r="S788" i="10" s="1"/>
  <c r="S261" i="11"/>
  <c r="R918" i="9"/>
  <c r="R925" i="9"/>
  <c r="M60" i="9"/>
  <c r="R923" i="9"/>
  <c r="R854" i="9"/>
  <c r="T854" i="9" s="1"/>
  <c r="T719" i="10"/>
  <c r="S719" i="10" s="1"/>
  <c r="S1065" i="11"/>
  <c r="T1544" i="10"/>
  <c r="S1544" i="10" s="1"/>
  <c r="R117" i="10"/>
  <c r="M645" i="9"/>
  <c r="T1527" i="10"/>
  <c r="S1527" i="10" s="1"/>
  <c r="T645" i="10"/>
  <c r="S727" i="11"/>
  <c r="M350" i="9"/>
  <c r="M1074" i="9"/>
  <c r="S1972" i="11"/>
  <c r="R1972" i="11" s="1"/>
  <c r="T540" i="10"/>
  <c r="Q540" i="10" s="1"/>
  <c r="R540" i="10" s="1"/>
  <c r="Z540" i="10" s="1"/>
  <c r="S335" i="11"/>
  <c r="M55" i="9"/>
  <c r="R723" i="9"/>
  <c r="T723" i="9" s="1"/>
  <c r="T713" i="10"/>
  <c r="S713" i="10" s="1"/>
  <c r="T1312" i="10"/>
  <c r="S1312" i="10" s="1"/>
  <c r="T1507" i="10"/>
  <c r="S1507" i="10" s="1"/>
  <c r="S578" i="11"/>
  <c r="S569" i="11"/>
  <c r="R852" i="9"/>
  <c r="T852" i="9" s="1"/>
  <c r="R711" i="9"/>
  <c r="T711" i="9" s="1"/>
  <c r="T700" i="10"/>
  <c r="S700" i="10" s="1"/>
  <c r="M1070" i="9"/>
  <c r="R104" i="10"/>
  <c r="M129" i="9"/>
  <c r="R935" i="9"/>
  <c r="T336" i="10"/>
  <c r="V336" i="10" s="1"/>
  <c r="S1319" i="11"/>
  <c r="T1143" i="10"/>
  <c r="P1143" i="10" s="1"/>
  <c r="R930" i="9"/>
  <c r="S1011" i="11"/>
  <c r="S1377" i="11"/>
  <c r="R1377" i="11" s="1"/>
  <c r="T1065" i="9"/>
  <c r="Y1065" i="9"/>
  <c r="Z1065" i="9" s="1"/>
  <c r="T28" i="10"/>
  <c r="Z28" i="10"/>
  <c r="T28" i="9"/>
  <c r="Z28" i="9"/>
  <c r="T102" i="9"/>
  <c r="Z102" i="9"/>
  <c r="R326" i="11"/>
  <c r="U326" i="11"/>
  <c r="L1660" i="11"/>
  <c r="X1660" i="11" s="1"/>
  <c r="Y1660" i="11" s="1"/>
  <c r="N1660" i="11"/>
  <c r="R1660" i="11"/>
  <c r="T176" i="9"/>
  <c r="Z176" i="9"/>
  <c r="X474" i="11"/>
  <c r="L474" i="11"/>
  <c r="U474" i="11"/>
  <c r="T769" i="9"/>
  <c r="Z769" i="9"/>
  <c r="T325" i="9"/>
  <c r="Z325" i="9"/>
  <c r="O1288" i="11"/>
  <c r="R1288" i="11"/>
  <c r="Z991" i="9"/>
  <c r="T991" i="9"/>
  <c r="O992" i="11"/>
  <c r="R992" i="11"/>
  <c r="U992" i="11"/>
  <c r="O1214" i="11"/>
  <c r="R1214" i="11"/>
  <c r="T399" i="9"/>
  <c r="Z399" i="9"/>
  <c r="L400" i="11"/>
  <c r="X400" i="11"/>
  <c r="Y400" i="11" s="1"/>
  <c r="P1734" i="11"/>
  <c r="L1734" i="11"/>
  <c r="X1734" i="11" s="1"/>
  <c r="Y1734" i="11" s="1"/>
  <c r="N1734" i="11"/>
  <c r="R1734" i="11"/>
  <c r="T917" i="9"/>
  <c r="Z917" i="9"/>
  <c r="P622" i="10"/>
  <c r="Y622" i="10" s="1"/>
  <c r="Z622" i="10" s="1"/>
  <c r="S622" i="10"/>
  <c r="T547" i="9"/>
  <c r="Z547" i="9"/>
  <c r="R251" i="11"/>
  <c r="U251" i="11"/>
  <c r="T621" i="9"/>
  <c r="Z621" i="9"/>
  <c r="R1140" i="11"/>
  <c r="O1140" i="11"/>
  <c r="T250" i="9"/>
  <c r="Z250" i="9"/>
  <c r="R1066" i="11"/>
  <c r="O1066" i="11"/>
  <c r="R1808" i="11"/>
  <c r="O1808" i="11"/>
  <c r="Y474" i="11" l="1"/>
  <c r="S730" i="11"/>
  <c r="S732" i="11" s="1"/>
  <c r="V684" i="11" s="1"/>
  <c r="S645" i="10"/>
  <c r="P645" i="10"/>
  <c r="Y645" i="10" s="1"/>
  <c r="Z645" i="10" s="1"/>
  <c r="N908" i="10"/>
  <c r="T952" i="10"/>
  <c r="T954" i="10" s="1"/>
  <c r="W906" i="10" s="1"/>
  <c r="Z335" i="9"/>
  <c r="T335" i="9"/>
  <c r="Y1069" i="9"/>
  <c r="Z1069" i="9" s="1"/>
  <c r="T1069" i="9"/>
  <c r="T179" i="9"/>
  <c r="Z179" i="9"/>
  <c r="Z983" i="9"/>
  <c r="T983" i="9"/>
  <c r="O640" i="11"/>
  <c r="V640" i="11"/>
  <c r="R262" i="11"/>
  <c r="U262" i="11"/>
  <c r="T787" i="9"/>
  <c r="Z787" i="9"/>
  <c r="T557" i="9"/>
  <c r="Z557" i="9"/>
  <c r="T620" i="9"/>
  <c r="Z620" i="9"/>
  <c r="Z559" i="9"/>
  <c r="T559" i="9"/>
  <c r="P615" i="10"/>
  <c r="Y615" i="10" s="1"/>
  <c r="Z615" i="10" s="1"/>
  <c r="S615" i="10"/>
  <c r="R1226" i="11"/>
  <c r="O1226" i="11"/>
  <c r="L1226" i="11" s="1"/>
  <c r="X1226" i="11" s="1"/>
  <c r="Y1226" i="11" s="1"/>
  <c r="P322" i="10"/>
  <c r="V322" i="10"/>
  <c r="T1004" i="9"/>
  <c r="Z1004" i="9"/>
  <c r="T993" i="9"/>
  <c r="Z993" i="9"/>
  <c r="V506" i="11"/>
  <c r="O506" i="11"/>
  <c r="R1227" i="11"/>
  <c r="O1227" i="11"/>
  <c r="O1224" i="11"/>
  <c r="L1224" i="11" s="1"/>
  <c r="X1224" i="11" s="1"/>
  <c r="Y1224" i="11" s="1"/>
  <c r="R1224" i="11"/>
  <c r="O983" i="11"/>
  <c r="U983" i="11"/>
  <c r="R983" i="11"/>
  <c r="O1210" i="11"/>
  <c r="L1210" i="11" s="1"/>
  <c r="X1210" i="11" s="1"/>
  <c r="Y1210" i="11" s="1"/>
  <c r="R1210" i="11"/>
  <c r="O1158" i="11"/>
  <c r="R1158" i="11"/>
  <c r="R982" i="11"/>
  <c r="O982" i="11"/>
  <c r="X982" i="11" s="1"/>
  <c r="Y982" i="11" s="1"/>
  <c r="U982" i="11"/>
  <c r="S1026" i="11"/>
  <c r="S1028" i="11" s="1"/>
  <c r="V980" i="11" s="1"/>
  <c r="T125" i="9"/>
  <c r="Z125" i="9"/>
  <c r="R321" i="11"/>
  <c r="U321" i="11"/>
  <c r="R1241" i="11"/>
  <c r="O1241" i="11"/>
  <c r="R1074" i="11"/>
  <c r="O1074" i="11"/>
  <c r="P317" i="10"/>
  <c r="V317" i="10"/>
  <c r="N1684" i="11"/>
  <c r="R1684" i="11"/>
  <c r="L1684" i="11"/>
  <c r="X1684" i="11" s="1"/>
  <c r="Y1684" i="11" s="1"/>
  <c r="V651" i="11"/>
  <c r="O651" i="11"/>
  <c r="T989" i="9"/>
  <c r="Z989" i="9"/>
  <c r="X704" i="11"/>
  <c r="L704" i="11"/>
  <c r="P651" i="10"/>
  <c r="Y651" i="10" s="1"/>
  <c r="Z651" i="10" s="1"/>
  <c r="S651" i="10"/>
  <c r="L504" i="11"/>
  <c r="U504" i="11"/>
  <c r="X504" i="11"/>
  <c r="R1815" i="11"/>
  <c r="O1815" i="11"/>
  <c r="P255" i="9"/>
  <c r="Y255" i="9" s="1"/>
  <c r="Z255" i="9" s="1"/>
  <c r="T255" i="9"/>
  <c r="P320" i="10"/>
  <c r="V320" i="10"/>
  <c r="S285" i="11"/>
  <c r="S287" i="11" s="1"/>
  <c r="V239" i="11" s="1"/>
  <c r="F64" i="5" s="1"/>
  <c r="R241" i="11"/>
  <c r="U241" i="11"/>
  <c r="R252" i="11"/>
  <c r="U252" i="11"/>
  <c r="P261" i="10"/>
  <c r="V261" i="10"/>
  <c r="P281" i="10"/>
  <c r="V281" i="10"/>
  <c r="O1017" i="11"/>
  <c r="R1017" i="11"/>
  <c r="U1017" i="11"/>
  <c r="U493" i="11"/>
  <c r="L493" i="11"/>
  <c r="X493" i="11"/>
  <c r="O1305" i="11"/>
  <c r="R1305" i="11"/>
  <c r="R1242" i="11"/>
  <c r="O1242" i="11"/>
  <c r="L1242" i="11" s="1"/>
  <c r="X1242" i="11" s="1"/>
  <c r="Y1242" i="11" s="1"/>
  <c r="T190" i="9"/>
  <c r="Z190" i="9"/>
  <c r="L865" i="11"/>
  <c r="X865" i="11"/>
  <c r="L761" i="11"/>
  <c r="X761" i="11"/>
  <c r="O627" i="11"/>
  <c r="V627" i="11"/>
  <c r="U999" i="11"/>
  <c r="O999" i="11"/>
  <c r="R999" i="11"/>
  <c r="L399" i="11"/>
  <c r="X399" i="11"/>
  <c r="R1353" i="11"/>
  <c r="S1397" i="11"/>
  <c r="S1399" i="11" s="1"/>
  <c r="V1351" i="11" s="1"/>
  <c r="V245" i="10"/>
  <c r="P245" i="10"/>
  <c r="P265" i="10"/>
  <c r="V265" i="10"/>
  <c r="Z195" i="9"/>
  <c r="T195" i="9"/>
  <c r="S647" i="10"/>
  <c r="P647" i="10"/>
  <c r="Y647" i="10" s="1"/>
  <c r="Z647" i="10" s="1"/>
  <c r="X405" i="11"/>
  <c r="L405" i="11"/>
  <c r="T922" i="9"/>
  <c r="Z922" i="9"/>
  <c r="V559" i="11"/>
  <c r="O559" i="11"/>
  <c r="T334" i="9"/>
  <c r="Z334" i="9"/>
  <c r="T60" i="10"/>
  <c r="Z60" i="10"/>
  <c r="Z258" i="9"/>
  <c r="T258" i="9"/>
  <c r="P617" i="10"/>
  <c r="Y617" i="10" s="1"/>
  <c r="Z617" i="10" s="1"/>
  <c r="S617" i="10"/>
  <c r="T130" i="9"/>
  <c r="Z130" i="9"/>
  <c r="P633" i="10"/>
  <c r="Y633" i="10" s="1"/>
  <c r="Z633" i="10" s="1"/>
  <c r="S633" i="10"/>
  <c r="S777" i="10"/>
  <c r="P777" i="10"/>
  <c r="O1024" i="11"/>
  <c r="U1024" i="11"/>
  <c r="R1024" i="11"/>
  <c r="T912" i="9"/>
  <c r="Z912" i="9"/>
  <c r="P1021" i="10"/>
  <c r="V1021" i="10"/>
  <c r="Y562" i="10"/>
  <c r="R562" i="10"/>
  <c r="P243" i="10"/>
  <c r="V243" i="10"/>
  <c r="T133" i="9"/>
  <c r="Z133" i="9"/>
  <c r="O1002" i="11"/>
  <c r="R1002" i="11"/>
  <c r="U1002" i="11"/>
  <c r="P1008" i="10"/>
  <c r="V1008" i="10"/>
  <c r="T794" i="9"/>
  <c r="Z794" i="9"/>
  <c r="P1737" i="11"/>
  <c r="N1737" i="11" s="1"/>
  <c r="L1737" i="11" s="1"/>
  <c r="X1737" i="11" s="1"/>
  <c r="Y1737" i="11" s="1"/>
  <c r="R1737" i="11"/>
  <c r="T322" i="9"/>
  <c r="O322" i="9"/>
  <c r="Y322" i="9" s="1"/>
  <c r="Z322" i="9" s="1"/>
  <c r="L857" i="11"/>
  <c r="X857" i="11"/>
  <c r="O104" i="9"/>
  <c r="Y104" i="9" s="1"/>
  <c r="Z104" i="9" s="1"/>
  <c r="T104" i="9"/>
  <c r="T256" i="9"/>
  <c r="Z256" i="9"/>
  <c r="T169" i="9"/>
  <c r="Z169" i="9"/>
  <c r="R282" i="11"/>
  <c r="U282" i="11"/>
  <c r="Z760" i="9"/>
  <c r="T760" i="9"/>
  <c r="P1445" i="10"/>
  <c r="S1445" i="10"/>
  <c r="T1081" i="9"/>
  <c r="Y1081" i="9"/>
  <c r="Z1081" i="9" s="1"/>
  <c r="T168" i="9"/>
  <c r="Z168" i="9"/>
  <c r="R1058" i="11"/>
  <c r="O1058" i="11"/>
  <c r="T624" i="9"/>
  <c r="Z624" i="9"/>
  <c r="T560" i="9"/>
  <c r="Z560" i="9"/>
  <c r="T576" i="9"/>
  <c r="Z576" i="9"/>
  <c r="T544" i="9"/>
  <c r="Z544" i="9"/>
  <c r="P634" i="10"/>
  <c r="Y634" i="10" s="1"/>
  <c r="Z634" i="10" s="1"/>
  <c r="S634" i="10"/>
  <c r="T981" i="9"/>
  <c r="Z981" i="9"/>
  <c r="Z764" i="9"/>
  <c r="T764" i="9"/>
  <c r="N1747" i="11"/>
  <c r="P1747" i="11"/>
  <c r="R1747" i="11"/>
  <c r="L1747" i="11"/>
  <c r="R1023" i="11"/>
  <c r="U1023" i="11"/>
  <c r="O1023" i="11"/>
  <c r="Y421" i="10"/>
  <c r="Z421" i="10" s="1"/>
  <c r="R421" i="10"/>
  <c r="T909" i="9"/>
  <c r="Z909" i="9"/>
  <c r="O649" i="11"/>
  <c r="V649" i="11"/>
  <c r="P635" i="10"/>
  <c r="Y635" i="10" s="1"/>
  <c r="Z635" i="10" s="1"/>
  <c r="S635" i="10"/>
  <c r="O1088" i="11"/>
  <c r="R1088" i="11"/>
  <c r="O1218" i="11"/>
  <c r="L1218" i="11" s="1"/>
  <c r="X1218" i="11" s="1"/>
  <c r="Y1218" i="11" s="1"/>
  <c r="R1218" i="11"/>
  <c r="L703" i="11"/>
  <c r="X703" i="11"/>
  <c r="Y703" i="11" s="1"/>
  <c r="L416" i="11"/>
  <c r="X416" i="11"/>
  <c r="R1221" i="11"/>
  <c r="O1221" i="11"/>
  <c r="L1221" i="11" s="1"/>
  <c r="X1221" i="11" s="1"/>
  <c r="Y1221" i="11" s="1"/>
  <c r="L726" i="11"/>
  <c r="X726" i="11"/>
  <c r="Y726" i="11" s="1"/>
  <c r="X478" i="11"/>
  <c r="L478" i="11"/>
  <c r="U478" i="11"/>
  <c r="R247" i="11"/>
  <c r="U247" i="11"/>
  <c r="P1428" i="10"/>
  <c r="S1428" i="10"/>
  <c r="P342" i="10"/>
  <c r="V342" i="10"/>
  <c r="R1306" i="11"/>
  <c r="O1306" i="11"/>
  <c r="L688" i="11"/>
  <c r="X688" i="11"/>
  <c r="Y688" i="11" s="1"/>
  <c r="V277" i="10"/>
  <c r="P277" i="10"/>
  <c r="S1278" i="10"/>
  <c r="T1322" i="10"/>
  <c r="T1324" i="10" s="1"/>
  <c r="W1276" i="10" s="1"/>
  <c r="P254" i="10"/>
  <c r="V254" i="10"/>
  <c r="X795" i="11"/>
  <c r="L795" i="11"/>
  <c r="X414" i="11"/>
  <c r="L414" i="11"/>
  <c r="L1683" i="11"/>
  <c r="X1683" i="11" s="1"/>
  <c r="Y1683" i="11" s="1"/>
  <c r="R1683" i="11"/>
  <c r="N1683" i="11"/>
  <c r="P795" i="10"/>
  <c r="S795" i="10"/>
  <c r="U488" i="11"/>
  <c r="L488" i="11"/>
  <c r="X488" i="11"/>
  <c r="R1069" i="11"/>
  <c r="O1069" i="11"/>
  <c r="Z180" i="9"/>
  <c r="T180" i="9"/>
  <c r="T31" i="10"/>
  <c r="Z31" i="10"/>
  <c r="L419" i="11"/>
  <c r="X419" i="11"/>
  <c r="Y419" i="11" s="1"/>
  <c r="T630" i="9"/>
  <c r="Z630" i="9"/>
  <c r="O1801" i="11"/>
  <c r="R1801" i="11"/>
  <c r="L407" i="11"/>
  <c r="X407" i="11"/>
  <c r="Y407" i="11" s="1"/>
  <c r="T24" i="10"/>
  <c r="Z24" i="10"/>
  <c r="P784" i="10"/>
  <c r="S784" i="10"/>
  <c r="R1157" i="11"/>
  <c r="O1157" i="11"/>
  <c r="R1137" i="11"/>
  <c r="O1137" i="11"/>
  <c r="O1280" i="11"/>
  <c r="R1280" i="11"/>
  <c r="Z798" i="9"/>
  <c r="T798" i="9"/>
  <c r="R414" i="10"/>
  <c r="Y414" i="10"/>
  <c r="Z414" i="10" s="1"/>
  <c r="Z561" i="9"/>
  <c r="T561" i="9"/>
  <c r="Y553" i="10"/>
  <c r="R553" i="10"/>
  <c r="R263" i="11"/>
  <c r="U263" i="11"/>
  <c r="R994" i="11"/>
  <c r="O994" i="11"/>
  <c r="U994" i="11"/>
  <c r="R1207" i="11"/>
  <c r="O1207" i="11"/>
  <c r="L1207" i="11" s="1"/>
  <c r="X1207" i="11" s="1"/>
  <c r="Y1207" i="11" s="1"/>
  <c r="R1063" i="11"/>
  <c r="O1063" i="11"/>
  <c r="R1156" i="11"/>
  <c r="O1156" i="11"/>
  <c r="T418" i="9"/>
  <c r="Z418" i="9"/>
  <c r="S25" i="10"/>
  <c r="T25" i="10" s="1"/>
  <c r="O25" i="10"/>
  <c r="Y25" i="10" s="1"/>
  <c r="Z25" i="10" s="1"/>
  <c r="T352" i="9"/>
  <c r="Z352" i="9"/>
  <c r="Z759" i="9"/>
  <c r="T759" i="9"/>
  <c r="Z198" i="9"/>
  <c r="T198" i="9"/>
  <c r="Z206" i="9"/>
  <c r="T206" i="9"/>
  <c r="O1318" i="11"/>
  <c r="R1318" i="11"/>
  <c r="S624" i="10"/>
  <c r="P624" i="10"/>
  <c r="Y624" i="10" s="1"/>
  <c r="Z624" i="10" s="1"/>
  <c r="V280" i="10"/>
  <c r="P280" i="10"/>
  <c r="T391" i="9"/>
  <c r="Z391" i="9"/>
  <c r="O1813" i="11"/>
  <c r="R1813" i="11"/>
  <c r="Z21" i="10"/>
  <c r="T21" i="10"/>
  <c r="T331" i="9"/>
  <c r="Z331" i="9"/>
  <c r="T390" i="9"/>
  <c r="Z390" i="9"/>
  <c r="O638" i="9"/>
  <c r="Y638" i="9" s="1"/>
  <c r="Z638" i="9" s="1"/>
  <c r="T638" i="9"/>
  <c r="T192" i="9"/>
  <c r="Z192" i="9"/>
  <c r="O31" i="9"/>
  <c r="Y31" i="9" s="1"/>
  <c r="Z31" i="9" s="1"/>
  <c r="S31" i="9"/>
  <c r="T31" i="9" s="1"/>
  <c r="R1320" i="11"/>
  <c r="O1320" i="11"/>
  <c r="T428" i="9"/>
  <c r="Z428" i="9"/>
  <c r="Z337" i="9"/>
  <c r="T337" i="9"/>
  <c r="S1204" i="10"/>
  <c r="T1248" i="10"/>
  <c r="T1250" i="10" s="1"/>
  <c r="W1202" i="10" s="1"/>
  <c r="N1671" i="11"/>
  <c r="L1671" i="11" s="1"/>
  <c r="X1671" i="11" s="1"/>
  <c r="Y1671" i="11" s="1"/>
  <c r="R1671" i="11"/>
  <c r="T347" i="9"/>
  <c r="Z347" i="9"/>
  <c r="P270" i="10"/>
  <c r="V270" i="10"/>
  <c r="Z566" i="9"/>
  <c r="T566" i="9"/>
  <c r="O97" i="9"/>
  <c r="Y97" i="9" s="1"/>
  <c r="Z97" i="9" s="1"/>
  <c r="T97" i="9"/>
  <c r="T768" i="9"/>
  <c r="Z768" i="9"/>
  <c r="T770" i="9"/>
  <c r="Z770" i="9"/>
  <c r="Z645" i="9"/>
  <c r="T645" i="9"/>
  <c r="P329" i="9"/>
  <c r="Y329" i="9" s="1"/>
  <c r="Z329" i="9" s="1"/>
  <c r="T329" i="9"/>
  <c r="T185" i="9"/>
  <c r="Z185" i="9"/>
  <c r="T878" i="10"/>
  <c r="T880" i="10" s="1"/>
  <c r="W832" i="10" s="1"/>
  <c r="T120" i="9"/>
  <c r="Z120" i="9"/>
  <c r="T52" i="10"/>
  <c r="Z52" i="10"/>
  <c r="T625" i="9"/>
  <c r="Z625" i="9"/>
  <c r="P614" i="10"/>
  <c r="Y614" i="10" s="1"/>
  <c r="Z614" i="10" s="1"/>
  <c r="S614" i="10"/>
  <c r="T349" i="9"/>
  <c r="Z349" i="9"/>
  <c r="T985" i="9"/>
  <c r="Z985" i="9"/>
  <c r="T270" i="9"/>
  <c r="Z270" i="9"/>
  <c r="R242" i="11"/>
  <c r="U242" i="11"/>
  <c r="T765" i="9"/>
  <c r="Z765" i="9"/>
  <c r="T1023" i="9"/>
  <c r="Z1023" i="9"/>
  <c r="T1062" i="9"/>
  <c r="Y1062" i="9"/>
  <c r="Z1062" i="9" s="1"/>
  <c r="Z419" i="9"/>
  <c r="T419" i="9"/>
  <c r="P347" i="10"/>
  <c r="V347" i="10"/>
  <c r="U249" i="11"/>
  <c r="R249" i="11"/>
  <c r="Z170" i="9"/>
  <c r="T170" i="9"/>
  <c r="O98" i="9"/>
  <c r="Y98" i="9" s="1"/>
  <c r="Z98" i="9" s="1"/>
  <c r="T98" i="9"/>
  <c r="T916" i="9"/>
  <c r="Z916" i="9"/>
  <c r="T113" i="9"/>
  <c r="Z113" i="9"/>
  <c r="R1817" i="11"/>
  <c r="O1817" i="11"/>
  <c r="X791" i="11"/>
  <c r="L791" i="11"/>
  <c r="R1800" i="11"/>
  <c r="O1800" i="11"/>
  <c r="T556" i="9"/>
  <c r="Z556" i="9"/>
  <c r="O990" i="11"/>
  <c r="R990" i="11"/>
  <c r="U990" i="11"/>
  <c r="O1166" i="11"/>
  <c r="R1166" i="11"/>
  <c r="R1015" i="11"/>
  <c r="O1015" i="11"/>
  <c r="U1015" i="11"/>
  <c r="O1814" i="11"/>
  <c r="V1814" i="11" s="1"/>
  <c r="R1814" i="11"/>
  <c r="L1655" i="11"/>
  <c r="X1655" i="11" s="1"/>
  <c r="Y1655" i="11" s="1"/>
  <c r="R1655" i="11"/>
  <c r="N1655" i="11"/>
  <c r="O1297" i="11"/>
  <c r="R1297" i="11"/>
  <c r="L1675" i="11"/>
  <c r="X1675" i="11" s="1"/>
  <c r="Y1675" i="11" s="1"/>
  <c r="R1675" i="11"/>
  <c r="N1675" i="11"/>
  <c r="R1832" i="11"/>
  <c r="O1832" i="11"/>
  <c r="P324" i="10"/>
  <c r="V324" i="10"/>
  <c r="R1223" i="11"/>
  <c r="O1223" i="11"/>
  <c r="L1223" i="11" s="1"/>
  <c r="X1223" i="11" s="1"/>
  <c r="Y1223" i="11" s="1"/>
  <c r="U328" i="11"/>
  <c r="R328" i="11"/>
  <c r="S639" i="10"/>
  <c r="P639" i="10"/>
  <c r="Y639" i="10" s="1"/>
  <c r="Z639" i="10" s="1"/>
  <c r="P1440" i="10"/>
  <c r="S1440" i="10"/>
  <c r="V995" i="10"/>
  <c r="P995" i="10"/>
  <c r="O1141" i="11"/>
  <c r="R1141" i="11"/>
  <c r="V1013" i="10"/>
  <c r="P1013" i="10"/>
  <c r="R259" i="11"/>
  <c r="U259" i="11"/>
  <c r="O1085" i="11"/>
  <c r="R1085" i="11"/>
  <c r="R1244" i="11"/>
  <c r="O1244" i="11"/>
  <c r="L1244" i="11" s="1"/>
  <c r="X1244" i="11" s="1"/>
  <c r="Y1244" i="11" s="1"/>
  <c r="S699" i="10"/>
  <c r="O699" i="10"/>
  <c r="X691" i="11"/>
  <c r="Y691" i="11" s="1"/>
  <c r="L691" i="11"/>
  <c r="V620" i="11"/>
  <c r="O620" i="11"/>
  <c r="R266" i="11"/>
  <c r="U266" i="11"/>
  <c r="O1302" i="11"/>
  <c r="R1302" i="11"/>
  <c r="L497" i="11"/>
  <c r="U497" i="11"/>
  <c r="X497" i="11"/>
  <c r="X466" i="11"/>
  <c r="U466" i="11"/>
  <c r="L466" i="11"/>
  <c r="O1307" i="11"/>
  <c r="R1307" i="11"/>
  <c r="R1159" i="11"/>
  <c r="O1159" i="11"/>
  <c r="R1211" i="11"/>
  <c r="O1211" i="11"/>
  <c r="L1211" i="11" s="1"/>
  <c r="X1211" i="11" s="1"/>
  <c r="Y1211" i="11" s="1"/>
  <c r="T207" i="9"/>
  <c r="Z207" i="9"/>
  <c r="T1013" i="9"/>
  <c r="Z1013" i="9"/>
  <c r="O1299" i="11"/>
  <c r="R1299" i="11"/>
  <c r="T188" i="9"/>
  <c r="Z188" i="9"/>
  <c r="Z178" i="9"/>
  <c r="T178" i="9"/>
  <c r="S20" i="9"/>
  <c r="T20" i="9" s="1"/>
  <c r="O20" i="9"/>
  <c r="Y20" i="9" s="1"/>
  <c r="Z20" i="9" s="1"/>
  <c r="P616" i="10"/>
  <c r="Y616" i="10" s="1"/>
  <c r="Z616" i="10" s="1"/>
  <c r="S616" i="10"/>
  <c r="R244" i="11"/>
  <c r="U244" i="11"/>
  <c r="T767" i="9"/>
  <c r="Z767" i="9"/>
  <c r="T205" i="9"/>
  <c r="Z205" i="9"/>
  <c r="S23" i="9"/>
  <c r="T23" i="9" s="1"/>
  <c r="Z23" i="9"/>
  <c r="Z263" i="9"/>
  <c r="T263" i="9"/>
  <c r="P1317" i="10"/>
  <c r="S1317" i="10"/>
  <c r="T43" i="10"/>
  <c r="Z43" i="10"/>
  <c r="T112" i="9"/>
  <c r="Z112" i="9"/>
  <c r="R332" i="11"/>
  <c r="U332" i="11"/>
  <c r="U276" i="11"/>
  <c r="R276" i="11"/>
  <c r="T910" i="9"/>
  <c r="Z910" i="9"/>
  <c r="R265" i="11"/>
  <c r="U265" i="11"/>
  <c r="T183" i="9"/>
  <c r="Z183" i="9"/>
  <c r="V569" i="11"/>
  <c r="O569" i="11"/>
  <c r="O1840" i="11"/>
  <c r="R1840" i="11"/>
  <c r="T761" i="9"/>
  <c r="Z761" i="9"/>
  <c r="O202" i="9"/>
  <c r="Y202" i="9" s="1"/>
  <c r="Z202" i="9" s="1"/>
  <c r="T202" i="9"/>
  <c r="R1171" i="11"/>
  <c r="O1171" i="11"/>
  <c r="Z539" i="9"/>
  <c r="T539" i="9"/>
  <c r="O996" i="11"/>
  <c r="R996" i="11"/>
  <c r="U996" i="11"/>
  <c r="T1094" i="9"/>
  <c r="Y1094" i="9"/>
  <c r="Z1094" i="9" s="1"/>
  <c r="T318" i="9"/>
  <c r="Z318" i="9"/>
  <c r="T796" i="9"/>
  <c r="Z796" i="9"/>
  <c r="Z940" i="9"/>
  <c r="T940" i="9"/>
  <c r="Z257" i="9"/>
  <c r="T257" i="9"/>
  <c r="T775" i="9"/>
  <c r="Z775" i="9"/>
  <c r="Z356" i="9"/>
  <c r="T356" i="9"/>
  <c r="T400" i="9"/>
  <c r="Z400" i="9"/>
  <c r="S51" i="9"/>
  <c r="T51" i="9" s="1"/>
  <c r="Z51" i="9"/>
  <c r="Y574" i="10"/>
  <c r="R574" i="10"/>
  <c r="R245" i="11"/>
  <c r="U245" i="11"/>
  <c r="O1295" i="11"/>
  <c r="R1295" i="11"/>
  <c r="P345" i="10"/>
  <c r="V345" i="10"/>
  <c r="R1729" i="11"/>
  <c r="P1729" i="11"/>
  <c r="N1729" i="11" s="1"/>
  <c r="L1729" i="11" s="1"/>
  <c r="X1729" i="11" s="1"/>
  <c r="Y1729" i="11" s="1"/>
  <c r="M692" i="10"/>
  <c r="O692" i="10" s="1"/>
  <c r="Y692" i="10" s="1"/>
  <c r="Z692" i="10" s="1"/>
  <c r="S692" i="10"/>
  <c r="Z94" i="9"/>
  <c r="T94" i="9"/>
  <c r="P636" i="10"/>
  <c r="Y636" i="10" s="1"/>
  <c r="Z636" i="10" s="1"/>
  <c r="S636" i="10"/>
  <c r="P352" i="10"/>
  <c r="V352" i="10"/>
  <c r="R1678" i="11"/>
  <c r="N1678" i="11"/>
  <c r="L1678" i="11" s="1"/>
  <c r="X1678" i="11" s="1"/>
  <c r="Y1678" i="11" s="1"/>
  <c r="O1001" i="11"/>
  <c r="U1001" i="11"/>
  <c r="R1001" i="11"/>
  <c r="O691" i="10"/>
  <c r="S691" i="10"/>
  <c r="O1022" i="11"/>
  <c r="R1022" i="11"/>
  <c r="U1022" i="11"/>
  <c r="V540" i="11"/>
  <c r="O540" i="11"/>
  <c r="R1502" i="11"/>
  <c r="S1546" i="11"/>
  <c r="S1548" i="11" s="1"/>
  <c r="V1500" i="11" s="1"/>
  <c r="R1167" i="11"/>
  <c r="O1167" i="11"/>
  <c r="X771" i="11"/>
  <c r="L771" i="11"/>
  <c r="R1169" i="11"/>
  <c r="O1169" i="11"/>
  <c r="O1310" i="11"/>
  <c r="R1310" i="11"/>
  <c r="R1154" i="11"/>
  <c r="O1154" i="11"/>
  <c r="R1148" i="11"/>
  <c r="O1148" i="11"/>
  <c r="L412" i="11"/>
  <c r="X412" i="11"/>
  <c r="Y412" i="11" s="1"/>
  <c r="L430" i="11"/>
  <c r="X430" i="11"/>
  <c r="O1149" i="11"/>
  <c r="R1149" i="11"/>
  <c r="V1000" i="10"/>
  <c r="P1000" i="10"/>
  <c r="R1008" i="11"/>
  <c r="O1008" i="11"/>
  <c r="U1008" i="11"/>
  <c r="O577" i="11"/>
  <c r="V577" i="11"/>
  <c r="R1822" i="11"/>
  <c r="O1822" i="11"/>
  <c r="T1056" i="9"/>
  <c r="Y1056" i="9"/>
  <c r="Z1056" i="9" s="1"/>
  <c r="X858" i="11"/>
  <c r="L858" i="11"/>
  <c r="V612" i="11"/>
  <c r="S656" i="11"/>
  <c r="S658" i="11" s="1"/>
  <c r="V610" i="11" s="1"/>
  <c r="X690" i="11"/>
  <c r="L690" i="11"/>
  <c r="R1726" i="11"/>
  <c r="P1726" i="11"/>
  <c r="N1726" i="11" s="1"/>
  <c r="L1726" i="11" s="1"/>
  <c r="X1726" i="11" s="1"/>
  <c r="Y1726" i="11" s="1"/>
  <c r="P1732" i="11"/>
  <c r="N1732" i="11" s="1"/>
  <c r="L1732" i="11" s="1"/>
  <c r="X1732" i="11" s="1"/>
  <c r="Y1732" i="11" s="1"/>
  <c r="R1732" i="11"/>
  <c r="T1011" i="9"/>
  <c r="Z1011" i="9"/>
  <c r="T928" i="9"/>
  <c r="Z928" i="9"/>
  <c r="Z244" i="9"/>
  <c r="T244" i="9"/>
  <c r="T405" i="9"/>
  <c r="Z405" i="9"/>
  <c r="S35" i="9"/>
  <c r="T35" i="9" s="1"/>
  <c r="Z35" i="9"/>
  <c r="T570" i="9"/>
  <c r="Z570" i="9"/>
  <c r="T50" i="10"/>
  <c r="Z50" i="10"/>
  <c r="T429" i="9"/>
  <c r="Z429" i="9"/>
  <c r="Z792" i="9"/>
  <c r="T792" i="9"/>
  <c r="V541" i="11"/>
  <c r="O541" i="11"/>
  <c r="S36" i="9"/>
  <c r="T36" i="9" s="1"/>
  <c r="O36" i="9"/>
  <c r="Y36" i="9" s="1"/>
  <c r="Z36" i="9" s="1"/>
  <c r="Z266" i="9"/>
  <c r="T266" i="9"/>
  <c r="Z408" i="9"/>
  <c r="T408" i="9"/>
  <c r="Z574" i="9"/>
  <c r="T574" i="9"/>
  <c r="P1430" i="10"/>
  <c r="S1430" i="10"/>
  <c r="O704" i="10"/>
  <c r="S704" i="10"/>
  <c r="R348" i="11"/>
  <c r="U348" i="11"/>
  <c r="O18" i="11"/>
  <c r="X18" i="11" s="1"/>
  <c r="S62" i="11"/>
  <c r="S64" i="11" s="1"/>
  <c r="V16" i="11" s="1"/>
  <c r="F61" i="5" s="1"/>
  <c r="Z626" i="9"/>
  <c r="T626" i="9"/>
  <c r="R1829" i="11"/>
  <c r="O1829" i="11"/>
  <c r="T56" i="10"/>
  <c r="Z56" i="10"/>
  <c r="T45" i="10"/>
  <c r="Z45" i="10"/>
  <c r="T327" i="9"/>
  <c r="Z327" i="9"/>
  <c r="T46" i="10"/>
  <c r="Z46" i="10"/>
  <c r="T197" i="9"/>
  <c r="Z197" i="9"/>
  <c r="Z800" i="9"/>
  <c r="T800" i="9"/>
  <c r="T261" i="9"/>
  <c r="Z261" i="9"/>
  <c r="T394" i="9"/>
  <c r="Z394" i="9"/>
  <c r="Z272" i="9"/>
  <c r="T272" i="9"/>
  <c r="O578" i="11"/>
  <c r="V578" i="11"/>
  <c r="T934" i="9"/>
  <c r="Z934" i="9"/>
  <c r="Y1087" i="9"/>
  <c r="Z1087" i="9" s="1"/>
  <c r="T1087" i="9"/>
  <c r="R351" i="11"/>
  <c r="U351" i="11"/>
  <c r="T1009" i="9"/>
  <c r="Z1009" i="9"/>
  <c r="L1689" i="11"/>
  <c r="X1689" i="11" s="1"/>
  <c r="Y1689" i="11" s="1"/>
  <c r="R1689" i="11"/>
  <c r="N1689" i="11"/>
  <c r="V249" i="10"/>
  <c r="P249" i="10"/>
  <c r="Z548" i="9"/>
  <c r="T548" i="9"/>
  <c r="T276" i="9"/>
  <c r="Z276" i="9"/>
  <c r="Z241" i="9"/>
  <c r="T241" i="9"/>
  <c r="T393" i="9"/>
  <c r="Z393" i="9"/>
  <c r="T39" i="10"/>
  <c r="Z39" i="10"/>
  <c r="T1088" i="9"/>
  <c r="Y1088" i="9"/>
  <c r="Z1088" i="9" s="1"/>
  <c r="T553" i="9"/>
  <c r="Z553" i="9"/>
  <c r="Z612" i="9"/>
  <c r="T612" i="9"/>
  <c r="R279" i="11"/>
  <c r="U279" i="11"/>
  <c r="T877" i="9"/>
  <c r="T879" i="9" s="1"/>
  <c r="W831" i="9" s="1"/>
  <c r="F23" i="5" s="1"/>
  <c r="Z184" i="9"/>
  <c r="T184" i="9"/>
  <c r="Z127" i="9"/>
  <c r="T127" i="9"/>
  <c r="R392" i="10"/>
  <c r="Y392" i="10"/>
  <c r="Z392" i="10" s="1"/>
  <c r="R1820" i="11"/>
  <c r="O1820" i="11"/>
  <c r="R1231" i="11"/>
  <c r="O1231" i="11"/>
  <c r="L1231" i="11" s="1"/>
  <c r="X1231" i="11" s="1"/>
  <c r="Y1231" i="11" s="1"/>
  <c r="L401" i="11"/>
  <c r="X401" i="11"/>
  <c r="X764" i="11"/>
  <c r="L764" i="11"/>
  <c r="R1056" i="11"/>
  <c r="S1100" i="11"/>
  <c r="S1102" i="11" s="1"/>
  <c r="V1054" i="11" s="1"/>
  <c r="O1056" i="11"/>
  <c r="X1056" i="11" s="1"/>
  <c r="Y1056" i="11" s="1"/>
  <c r="R269" i="11"/>
  <c r="U269" i="11"/>
  <c r="Z945" i="9"/>
  <c r="T945" i="9"/>
  <c r="O987" i="11"/>
  <c r="U987" i="11"/>
  <c r="R987" i="11"/>
  <c r="L705" i="11"/>
  <c r="X705" i="11"/>
  <c r="O1287" i="11"/>
  <c r="R1287" i="11"/>
  <c r="X789" i="11"/>
  <c r="L789" i="11"/>
  <c r="U985" i="11"/>
  <c r="O985" i="11"/>
  <c r="R985" i="11"/>
  <c r="L851" i="11"/>
  <c r="X851" i="11"/>
  <c r="S652" i="10"/>
  <c r="P652" i="10"/>
  <c r="Y652" i="10" s="1"/>
  <c r="Z652" i="10" s="1"/>
  <c r="U271" i="11"/>
  <c r="R271" i="11"/>
  <c r="R1285" i="11"/>
  <c r="O1285" i="11"/>
  <c r="S686" i="10"/>
  <c r="T730" i="10"/>
  <c r="T732" i="10" s="1"/>
  <c r="W684" i="10" s="1"/>
  <c r="P318" i="10"/>
  <c r="V318" i="10"/>
  <c r="O1314" i="11"/>
  <c r="R1314" i="11"/>
  <c r="R324" i="11"/>
  <c r="U324" i="11"/>
  <c r="S705" i="10"/>
  <c r="O705" i="10"/>
  <c r="O1153" i="11"/>
  <c r="R1153" i="11"/>
  <c r="X465" i="11"/>
  <c r="U465" i="11"/>
  <c r="L465" i="11"/>
  <c r="R1132" i="11"/>
  <c r="O1132" i="11"/>
  <c r="R1217" i="11"/>
  <c r="O1217" i="11"/>
  <c r="L1217" i="11" s="1"/>
  <c r="X1217" i="11" s="1"/>
  <c r="Y1217" i="11" s="1"/>
  <c r="O1061" i="11"/>
  <c r="R1061" i="11"/>
  <c r="U492" i="11"/>
  <c r="X492" i="11"/>
  <c r="Y492" i="11" s="1"/>
  <c r="L492" i="11"/>
  <c r="L1680" i="11"/>
  <c r="X1680" i="11" s="1"/>
  <c r="Y1680" i="11" s="1"/>
  <c r="N1680" i="11"/>
  <c r="R1680" i="11"/>
  <c r="L873" i="11"/>
  <c r="X873" i="11"/>
  <c r="O721" i="10"/>
  <c r="S721" i="10"/>
  <c r="R1145" i="11"/>
  <c r="O1145" i="11"/>
  <c r="R1019" i="11"/>
  <c r="U1019" i="11"/>
  <c r="O1019" i="11"/>
  <c r="Y873" i="10"/>
  <c r="Z873" i="10" s="1"/>
  <c r="M873" i="10"/>
  <c r="X721" i="11"/>
  <c r="Y721" i="11" s="1"/>
  <c r="L721" i="11"/>
  <c r="U484" i="11"/>
  <c r="L484" i="11"/>
  <c r="X484" i="11"/>
  <c r="R1739" i="11"/>
  <c r="P1739" i="11"/>
  <c r="N1739" i="11" s="1"/>
  <c r="L1739" i="11" s="1"/>
  <c r="X1739" i="11" s="1"/>
  <c r="Y1739" i="11" s="1"/>
  <c r="L1664" i="11"/>
  <c r="X1664" i="11" s="1"/>
  <c r="Y1664" i="11" s="1"/>
  <c r="R1664" i="11"/>
  <c r="N1664" i="11"/>
  <c r="O1208" i="11"/>
  <c r="L1208" i="11" s="1"/>
  <c r="X1208" i="11" s="1"/>
  <c r="Y1208" i="11" s="1"/>
  <c r="R1208" i="11"/>
  <c r="O641" i="11"/>
  <c r="V641" i="11"/>
  <c r="T537" i="9"/>
  <c r="Z537" i="9"/>
  <c r="Z946" i="9"/>
  <c r="T946" i="9"/>
  <c r="V542" i="11"/>
  <c r="O542" i="11"/>
  <c r="T27" i="10"/>
  <c r="Z27" i="10"/>
  <c r="T353" i="9"/>
  <c r="Z353" i="9"/>
  <c r="Y1076" i="9"/>
  <c r="Z1076" i="9" s="1"/>
  <c r="T1076" i="9"/>
  <c r="R329" i="11"/>
  <c r="U329" i="11"/>
  <c r="T1022" i="9"/>
  <c r="Z1022" i="9"/>
  <c r="Z106" i="9"/>
  <c r="T106" i="9"/>
  <c r="T124" i="9"/>
  <c r="Z124" i="9"/>
  <c r="U331" i="11"/>
  <c r="R331" i="11"/>
  <c r="T317" i="9"/>
  <c r="Z317" i="9"/>
  <c r="T59" i="9"/>
  <c r="Z59" i="9"/>
  <c r="R1805" i="11"/>
  <c r="O1805" i="11"/>
  <c r="T641" i="9"/>
  <c r="Z641" i="9"/>
  <c r="R280" i="11"/>
  <c r="U280" i="11"/>
  <c r="T351" i="9"/>
  <c r="O351" i="9"/>
  <c r="Y351" i="9" s="1"/>
  <c r="Z351" i="9" s="1"/>
  <c r="T426" i="9"/>
  <c r="Z426" i="9"/>
  <c r="T785" i="9"/>
  <c r="Z785" i="9"/>
  <c r="T402" i="9"/>
  <c r="Z402" i="9"/>
  <c r="R357" i="11"/>
  <c r="U357" i="11"/>
  <c r="T328" i="9"/>
  <c r="Z328" i="9"/>
  <c r="T341" i="9"/>
  <c r="Z341" i="9"/>
  <c r="T171" i="9"/>
  <c r="Z171" i="9"/>
  <c r="R253" i="11"/>
  <c r="U253" i="11"/>
  <c r="X411" i="11"/>
  <c r="L411" i="11"/>
  <c r="R352" i="11"/>
  <c r="U352" i="11"/>
  <c r="R1065" i="11"/>
  <c r="O1065" i="11"/>
  <c r="Y398" i="10"/>
  <c r="Z398" i="10" s="1"/>
  <c r="R398" i="10"/>
  <c r="T1091" i="9"/>
  <c r="Y1091" i="9"/>
  <c r="Z1091" i="9" s="1"/>
  <c r="U319" i="11"/>
  <c r="R319" i="11"/>
  <c r="S42" i="9"/>
  <c r="T42" i="9" s="1"/>
  <c r="O42" i="9"/>
  <c r="Y42" i="9" s="1"/>
  <c r="Z42" i="9" s="1"/>
  <c r="Y419" i="10"/>
  <c r="Z419" i="10" s="1"/>
  <c r="R419" i="10"/>
  <c r="Z618" i="9"/>
  <c r="T618" i="9"/>
  <c r="T911" i="9"/>
  <c r="Z911" i="9"/>
  <c r="T929" i="9"/>
  <c r="Z929" i="9"/>
  <c r="T415" i="9"/>
  <c r="Z415" i="9"/>
  <c r="T1078" i="9"/>
  <c r="Y1078" i="9"/>
  <c r="Z1078" i="9" s="1"/>
  <c r="Z927" i="9"/>
  <c r="T927" i="9"/>
  <c r="Z790" i="9"/>
  <c r="T790" i="9"/>
  <c r="R1073" i="11"/>
  <c r="O1073" i="11"/>
  <c r="T627" i="9"/>
  <c r="Z627" i="9"/>
  <c r="X482" i="11"/>
  <c r="U482" i="11"/>
  <c r="L482" i="11"/>
  <c r="T396" i="9"/>
  <c r="Z396" i="9"/>
  <c r="T59" i="10"/>
  <c r="Z59" i="10"/>
  <c r="O546" i="11"/>
  <c r="V546" i="11"/>
  <c r="O1290" i="11"/>
  <c r="R1290" i="11"/>
  <c r="L1670" i="11"/>
  <c r="X1670" i="11" s="1"/>
  <c r="Y1670" i="11" s="1"/>
  <c r="N1670" i="11"/>
  <c r="R1670" i="11"/>
  <c r="V616" i="11"/>
  <c r="O616" i="11"/>
  <c r="P1758" i="11"/>
  <c r="N1758" i="11"/>
  <c r="R1758" i="11"/>
  <c r="L1758" i="11"/>
  <c r="X1758" i="11" s="1"/>
  <c r="Y1758" i="11" s="1"/>
  <c r="O652" i="11"/>
  <c r="V652" i="11"/>
  <c r="O1826" i="11"/>
  <c r="R1826" i="11"/>
  <c r="X413" i="11"/>
  <c r="Y413" i="11" s="1"/>
  <c r="L413" i="11"/>
  <c r="R1000" i="11"/>
  <c r="U1000" i="11"/>
  <c r="O1000" i="11"/>
  <c r="R341" i="11"/>
  <c r="U341" i="11"/>
  <c r="R1292" i="11"/>
  <c r="O1292" i="11"/>
  <c r="T982" i="9"/>
  <c r="Z982" i="9"/>
  <c r="N1688" i="11"/>
  <c r="L1688" i="11"/>
  <c r="X1688" i="11" s="1"/>
  <c r="Y1688" i="11" s="1"/>
  <c r="R1688" i="11"/>
  <c r="N1669" i="11"/>
  <c r="L1669" i="11" s="1"/>
  <c r="X1669" i="11" s="1"/>
  <c r="Y1669" i="11" s="1"/>
  <c r="R1669" i="11"/>
  <c r="L689" i="11"/>
  <c r="X689" i="11"/>
  <c r="L426" i="11"/>
  <c r="X426" i="11"/>
  <c r="Y426" i="11" s="1"/>
  <c r="R407" i="10"/>
  <c r="Y407" i="10"/>
  <c r="Z407" i="10" s="1"/>
  <c r="O1076" i="11"/>
  <c r="R1076" i="11"/>
  <c r="P260" i="10"/>
  <c r="V260" i="10"/>
  <c r="R1216" i="11"/>
  <c r="O1216" i="11"/>
  <c r="L1216" i="11" s="1"/>
  <c r="X1216" i="11" s="1"/>
  <c r="Y1216" i="11" s="1"/>
  <c r="R1071" i="11"/>
  <c r="O1071" i="11"/>
  <c r="Y865" i="10"/>
  <c r="Z865" i="10" s="1"/>
  <c r="M865" i="10"/>
  <c r="L402" i="11"/>
  <c r="X402" i="11"/>
  <c r="P1431" i="10"/>
  <c r="S1431" i="10"/>
  <c r="S1322" i="11"/>
  <c r="S1324" i="11" s="1"/>
  <c r="V1276" i="11" s="1"/>
  <c r="O1278" i="11"/>
  <c r="X1278" i="11" s="1"/>
  <c r="Y1278" i="11" s="1"/>
  <c r="R1278" i="11"/>
  <c r="V648" i="11"/>
  <c r="O648" i="11"/>
  <c r="T920" i="9"/>
  <c r="Z920" i="9"/>
  <c r="N1663" i="11"/>
  <c r="L1663" i="11" s="1"/>
  <c r="X1663" i="11" s="1"/>
  <c r="Y1663" i="11" s="1"/>
  <c r="R1663" i="11"/>
  <c r="V613" i="11"/>
  <c r="O613" i="11"/>
  <c r="S620" i="10"/>
  <c r="P620" i="10"/>
  <c r="Y620" i="10" s="1"/>
  <c r="Z620" i="10" s="1"/>
  <c r="L717" i="11"/>
  <c r="X717" i="11"/>
  <c r="R343" i="11"/>
  <c r="U343" i="11"/>
  <c r="X687" i="11"/>
  <c r="L687" i="11"/>
  <c r="Z111" i="9"/>
  <c r="T111" i="9"/>
  <c r="X773" i="11"/>
  <c r="L773" i="11"/>
  <c r="N1690" i="11"/>
  <c r="L1690" i="11" s="1"/>
  <c r="X1690" i="11" s="1"/>
  <c r="Y1690" i="11" s="1"/>
  <c r="R1690" i="11"/>
  <c r="R394" i="10"/>
  <c r="Y394" i="10"/>
  <c r="Z394" i="10" s="1"/>
  <c r="P799" i="10"/>
  <c r="S799" i="10"/>
  <c r="S1301" i="10"/>
  <c r="P1301" i="10"/>
  <c r="R578" i="10"/>
  <c r="Y578" i="10"/>
  <c r="T55" i="10"/>
  <c r="Z55" i="10"/>
  <c r="T1085" i="9"/>
  <c r="Y1085" i="9"/>
  <c r="Z1085" i="9" s="1"/>
  <c r="T619" i="9"/>
  <c r="Z619" i="9"/>
  <c r="V539" i="11"/>
  <c r="O539" i="11"/>
  <c r="T646" i="9"/>
  <c r="Z646" i="9"/>
  <c r="Z577" i="9"/>
  <c r="T577" i="9"/>
  <c r="T403" i="9"/>
  <c r="Z403" i="9"/>
  <c r="T282" i="9"/>
  <c r="Z282" i="9"/>
  <c r="T575" i="9"/>
  <c r="Z575" i="9"/>
  <c r="S646" i="10"/>
  <c r="P646" i="10"/>
  <c r="Y646" i="10" s="1"/>
  <c r="Z646" i="10" s="1"/>
  <c r="Z762" i="9"/>
  <c r="T762" i="9"/>
  <c r="T354" i="9"/>
  <c r="Z354" i="9"/>
  <c r="T1397" i="10"/>
  <c r="T1399" i="10" s="1"/>
  <c r="W1351" i="10" s="1"/>
  <c r="S1353" i="10"/>
  <c r="Z398" i="9"/>
  <c r="T398" i="9"/>
  <c r="Z777" i="9"/>
  <c r="T777" i="9"/>
  <c r="T773" i="9"/>
  <c r="Z773" i="9"/>
  <c r="S21" i="9"/>
  <c r="T21" i="9" s="1"/>
  <c r="O21" i="9"/>
  <c r="Y21" i="9" s="1"/>
  <c r="Z21" i="9" s="1"/>
  <c r="R1309" i="11"/>
  <c r="O1309" i="11"/>
  <c r="R430" i="10"/>
  <c r="Y430" i="10"/>
  <c r="Z430" i="10" s="1"/>
  <c r="Z783" i="9"/>
  <c r="T783" i="9"/>
  <c r="O1301" i="11"/>
  <c r="R1301" i="11"/>
  <c r="U1003" i="11"/>
  <c r="R1003" i="11"/>
  <c r="O1003" i="11"/>
  <c r="S58" i="9"/>
  <c r="T58" i="9" s="1"/>
  <c r="O58" i="9"/>
  <c r="Y58" i="9" s="1"/>
  <c r="Z58" i="9" s="1"/>
  <c r="Z784" i="9"/>
  <c r="T784" i="9"/>
  <c r="T1066" i="9"/>
  <c r="Y1066" i="9"/>
  <c r="Z1066" i="9" s="1"/>
  <c r="T397" i="9"/>
  <c r="Z397" i="9"/>
  <c r="Z633" i="9"/>
  <c r="T633" i="9"/>
  <c r="T779" i="9"/>
  <c r="Z779" i="9"/>
  <c r="L393" i="11"/>
  <c r="X393" i="11"/>
  <c r="T1003" i="9"/>
  <c r="Z1003" i="9"/>
  <c r="T1008" i="9"/>
  <c r="Z1008" i="9"/>
  <c r="V1003" i="10"/>
  <c r="P1003" i="10"/>
  <c r="T357" i="9"/>
  <c r="Z357" i="9"/>
  <c r="T51" i="10"/>
  <c r="Z51" i="10"/>
  <c r="Z248" i="9"/>
  <c r="T248" i="9"/>
  <c r="T26" i="10"/>
  <c r="Z26" i="10"/>
  <c r="Y564" i="10"/>
  <c r="R564" i="10"/>
  <c r="V505" i="11"/>
  <c r="O505" i="11"/>
  <c r="S53" i="9"/>
  <c r="T53" i="9" s="1"/>
  <c r="Z53" i="9"/>
  <c r="P648" i="10"/>
  <c r="Y648" i="10" s="1"/>
  <c r="Z648" i="10" s="1"/>
  <c r="S648" i="10"/>
  <c r="T1090" i="9"/>
  <c r="Y1090" i="9"/>
  <c r="Z1090" i="9" s="1"/>
  <c r="R391" i="10"/>
  <c r="Y391" i="10"/>
  <c r="Z391" i="10" s="1"/>
  <c r="T1018" i="9"/>
  <c r="Z1018" i="9"/>
  <c r="Z95" i="9"/>
  <c r="T95" i="9"/>
  <c r="S360" i="11"/>
  <c r="S362" i="11" s="1"/>
  <c r="V314" i="11" s="1"/>
  <c r="R316" i="11"/>
  <c r="U316" i="11"/>
  <c r="R1803" i="11"/>
  <c r="O1803" i="11"/>
  <c r="R1059" i="11"/>
  <c r="O1059" i="11"/>
  <c r="P356" i="10"/>
  <c r="V356" i="10"/>
  <c r="R397" i="10"/>
  <c r="Y397" i="10"/>
  <c r="Z397" i="10" s="1"/>
  <c r="R1083" i="11"/>
  <c r="O1083" i="11"/>
  <c r="L409" i="11"/>
  <c r="X409" i="11"/>
  <c r="Y409" i="11" s="1"/>
  <c r="R1136" i="11"/>
  <c r="O1136" i="11"/>
  <c r="N1679" i="11"/>
  <c r="L1679" i="11" s="1"/>
  <c r="X1679" i="11" s="1"/>
  <c r="Y1679" i="11" s="1"/>
  <c r="R1679" i="11"/>
  <c r="P1743" i="11"/>
  <c r="N1743" i="11" s="1"/>
  <c r="L1743" i="11" s="1"/>
  <c r="X1743" i="11" s="1"/>
  <c r="Y1743" i="11" s="1"/>
  <c r="R1743" i="11"/>
  <c r="R1836" i="11"/>
  <c r="O1836" i="11"/>
  <c r="R1807" i="11"/>
  <c r="O1807" i="11"/>
  <c r="L499" i="11"/>
  <c r="U499" i="11"/>
  <c r="X499" i="11"/>
  <c r="P1740" i="11"/>
  <c r="R1740" i="11"/>
  <c r="N1740" i="11"/>
  <c r="L1740" i="11"/>
  <c r="X1740" i="11" s="1"/>
  <c r="Y1740" i="11" s="1"/>
  <c r="Z271" i="9"/>
  <c r="T271" i="9"/>
  <c r="Z110" i="9"/>
  <c r="T110" i="9"/>
  <c r="O1236" i="11"/>
  <c r="L1236" i="11" s="1"/>
  <c r="X1236" i="11" s="1"/>
  <c r="Y1236" i="11" s="1"/>
  <c r="R1236" i="11"/>
  <c r="R1225" i="11"/>
  <c r="O1225" i="11"/>
  <c r="L1225" i="11" s="1"/>
  <c r="X1225" i="11" s="1"/>
  <c r="Y1225" i="11" s="1"/>
  <c r="O1806" i="11"/>
  <c r="R1806" i="11"/>
  <c r="P1731" i="11"/>
  <c r="N1731" i="11" s="1"/>
  <c r="L1731" i="11" s="1"/>
  <c r="X1731" i="11" s="1"/>
  <c r="Y1731" i="11" s="1"/>
  <c r="R1731" i="11"/>
  <c r="Y1079" i="9"/>
  <c r="Z1079" i="9" s="1"/>
  <c r="T1079" i="9"/>
  <c r="U1010" i="11"/>
  <c r="R1010" i="11"/>
  <c r="O1010" i="11"/>
  <c r="R1763" i="11"/>
  <c r="P1763" i="11"/>
  <c r="N1763" i="11" s="1"/>
  <c r="L1763" i="11" s="1"/>
  <c r="X1763" i="11" s="1"/>
  <c r="Y1763" i="11" s="1"/>
  <c r="V986" i="10"/>
  <c r="P986" i="10"/>
  <c r="R1163" i="11"/>
  <c r="O1163" i="11"/>
  <c r="O1206" i="11"/>
  <c r="L1206" i="11" s="1"/>
  <c r="X1206" i="11" s="1"/>
  <c r="Y1206" i="11" s="1"/>
  <c r="R1206" i="11"/>
  <c r="R1235" i="11"/>
  <c r="O1235" i="11"/>
  <c r="L1235" i="11" s="1"/>
  <c r="X1235" i="11" s="1"/>
  <c r="Y1235" i="11" s="1"/>
  <c r="L429" i="11"/>
  <c r="X429" i="11"/>
  <c r="Y429" i="11" s="1"/>
  <c r="O1084" i="11"/>
  <c r="R1084" i="11"/>
  <c r="P1753" i="11"/>
  <c r="N1753" i="11" s="1"/>
  <c r="L1753" i="11" s="1"/>
  <c r="X1753" i="11" s="1"/>
  <c r="Y1753" i="11" s="1"/>
  <c r="R1753" i="11"/>
  <c r="T1071" i="9"/>
  <c r="Y1071" i="9"/>
  <c r="Z1071" i="9" s="1"/>
  <c r="R1147" i="11"/>
  <c r="O1147" i="11"/>
  <c r="X715" i="11"/>
  <c r="L715" i="11"/>
  <c r="S1429" i="10"/>
  <c r="P1429" i="10"/>
  <c r="T932" i="9"/>
  <c r="Z932" i="9"/>
  <c r="Z174" i="9"/>
  <c r="T174" i="9"/>
  <c r="T949" i="9"/>
  <c r="Z949" i="9"/>
  <c r="T40" i="10"/>
  <c r="Z40" i="10"/>
  <c r="T1072" i="9"/>
  <c r="Y1072" i="9"/>
  <c r="Z1072" i="9" s="1"/>
  <c r="Z924" i="9"/>
  <c r="T924" i="9"/>
  <c r="T1073" i="9"/>
  <c r="Y1073" i="9"/>
  <c r="Z1073" i="9" s="1"/>
  <c r="S641" i="10"/>
  <c r="P641" i="10"/>
  <c r="Y641" i="10" s="1"/>
  <c r="Z641" i="10" s="1"/>
  <c r="S33" i="9"/>
  <c r="T33" i="9" s="1"/>
  <c r="O33" i="9"/>
  <c r="Y33" i="9" s="1"/>
  <c r="Z33" i="9" s="1"/>
  <c r="O1077" i="11"/>
  <c r="R1077" i="11"/>
  <c r="Z181" i="9"/>
  <c r="T181" i="9"/>
  <c r="S137" i="11"/>
  <c r="S139" i="11" s="1"/>
  <c r="V91" i="11" s="1"/>
  <c r="F62" i="5" s="1"/>
  <c r="R93" i="11"/>
  <c r="X93" i="11" s="1"/>
  <c r="Y93" i="11" s="1"/>
  <c r="Z23" i="10"/>
  <c r="T23" i="10"/>
  <c r="Z187" i="9"/>
  <c r="T187" i="9"/>
  <c r="Z926" i="9"/>
  <c r="T926" i="9"/>
  <c r="Z348" i="9"/>
  <c r="T348" i="9"/>
  <c r="O131" i="9"/>
  <c r="Y131" i="9" s="1"/>
  <c r="Z131" i="9" s="1"/>
  <c r="T131" i="9"/>
  <c r="R1576" i="11"/>
  <c r="S1620" i="11"/>
  <c r="S1622" i="11" s="1"/>
  <c r="V1574" i="11" s="1"/>
  <c r="T167" i="9"/>
  <c r="Z167" i="9"/>
  <c r="Z201" i="9"/>
  <c r="T201" i="9"/>
  <c r="R1098" i="11"/>
  <c r="O1098" i="11"/>
  <c r="Z793" i="9"/>
  <c r="T793" i="9"/>
  <c r="T346" i="9"/>
  <c r="Z346" i="9"/>
  <c r="S613" i="10"/>
  <c r="P613" i="10"/>
  <c r="Y613" i="10" s="1"/>
  <c r="Z613" i="10" s="1"/>
  <c r="S38" i="9"/>
  <c r="T38" i="9" s="1"/>
  <c r="Z38" i="9"/>
  <c r="S629" i="10"/>
  <c r="P629" i="10"/>
  <c r="Y629" i="10" s="1"/>
  <c r="Z629" i="10" s="1"/>
  <c r="T780" i="9"/>
  <c r="Z780" i="9"/>
  <c r="U1011" i="11"/>
  <c r="O1011" i="11"/>
  <c r="R1011" i="11"/>
  <c r="V319" i="10"/>
  <c r="P319" i="10"/>
  <c r="Y1067" i="9"/>
  <c r="Z1067" i="9" s="1"/>
  <c r="T1067" i="9"/>
  <c r="S45" i="9"/>
  <c r="T45" i="9" s="1"/>
  <c r="O45" i="9"/>
  <c r="Y45" i="9" s="1"/>
  <c r="Z45" i="9" s="1"/>
  <c r="T795" i="9"/>
  <c r="Z795" i="9"/>
  <c r="T569" i="9"/>
  <c r="Z569" i="9"/>
  <c r="R317" i="11"/>
  <c r="U317" i="11"/>
  <c r="V262" i="10"/>
  <c r="P262" i="10"/>
  <c r="Z642" i="9"/>
  <c r="T642" i="9"/>
  <c r="Z249" i="9"/>
  <c r="T249" i="9"/>
  <c r="T407" i="9"/>
  <c r="Z407" i="9"/>
  <c r="Y1068" i="9"/>
  <c r="Z1068" i="9" s="1"/>
  <c r="T1068" i="9"/>
  <c r="T508" i="10"/>
  <c r="T510" i="10" s="1"/>
  <c r="W462" i="10" s="1"/>
  <c r="Z411" i="9"/>
  <c r="T411" i="9"/>
  <c r="R333" i="11"/>
  <c r="U333" i="11"/>
  <c r="S44" i="9"/>
  <c r="T44" i="9" s="1"/>
  <c r="O44" i="9"/>
  <c r="Y44" i="9" s="1"/>
  <c r="Z44" i="9" s="1"/>
  <c r="R1172" i="11"/>
  <c r="O1172" i="11"/>
  <c r="M858" i="10"/>
  <c r="Y858" i="10"/>
  <c r="Z858" i="10" s="1"/>
  <c r="R1283" i="11"/>
  <c r="O1283" i="11"/>
  <c r="R1222" i="11"/>
  <c r="O1222" i="11"/>
  <c r="L1222" i="11" s="1"/>
  <c r="X1222" i="11" s="1"/>
  <c r="Y1222" i="11" s="1"/>
  <c r="R1072" i="11"/>
  <c r="O1072" i="11"/>
  <c r="V1072" i="11" s="1"/>
  <c r="U273" i="11"/>
  <c r="R273" i="11"/>
  <c r="X423" i="11"/>
  <c r="L423" i="11"/>
  <c r="P1435" i="10"/>
  <c r="S1435" i="10"/>
  <c r="P1760" i="11"/>
  <c r="N1760" i="11" s="1"/>
  <c r="L1760" i="11" s="1"/>
  <c r="X1760" i="11" s="1"/>
  <c r="Y1760" i="11" s="1"/>
  <c r="R1760" i="11"/>
  <c r="R1007" i="11"/>
  <c r="O1007" i="11"/>
  <c r="U1007" i="11"/>
  <c r="R327" i="11"/>
  <c r="U327" i="11"/>
  <c r="L768" i="11"/>
  <c r="X768" i="11"/>
  <c r="Y768" i="11" s="1"/>
  <c r="N1687" i="11"/>
  <c r="R1687" i="11"/>
  <c r="L1687" i="11"/>
  <c r="X1687" i="11" s="1"/>
  <c r="Y1687" i="11" s="1"/>
  <c r="V631" i="11"/>
  <c r="O631" i="11"/>
  <c r="R1131" i="11"/>
  <c r="O1131" i="11"/>
  <c r="O1237" i="11"/>
  <c r="R1237" i="11"/>
  <c r="L1659" i="11"/>
  <c r="X1659" i="11" s="1"/>
  <c r="Y1659" i="11" s="1"/>
  <c r="R1659" i="11"/>
  <c r="N1659" i="11"/>
  <c r="R1819" i="11"/>
  <c r="O1819" i="11"/>
  <c r="Y409" i="10"/>
  <c r="Z409" i="10" s="1"/>
  <c r="R409" i="10"/>
  <c r="R1738" i="11"/>
  <c r="N1738" i="11"/>
  <c r="L1738" i="11"/>
  <c r="X1738" i="11" s="1"/>
  <c r="Y1738" i="11" s="1"/>
  <c r="P1738" i="11"/>
  <c r="X799" i="11"/>
  <c r="Y799" i="11" s="1"/>
  <c r="L799" i="11"/>
  <c r="U469" i="11"/>
  <c r="X469" i="11"/>
  <c r="Y469" i="11" s="1"/>
  <c r="L469" i="11"/>
  <c r="R1293" i="11"/>
  <c r="O1293" i="11"/>
  <c r="O1316" i="11"/>
  <c r="R1316" i="11"/>
  <c r="O1234" i="11"/>
  <c r="L1234" i="11" s="1"/>
  <c r="X1234" i="11" s="1"/>
  <c r="Y1234" i="11" s="1"/>
  <c r="R1234" i="11"/>
  <c r="S24" i="9"/>
  <c r="T24" i="9" s="1"/>
  <c r="O24" i="9"/>
  <c r="Y24" i="9" s="1"/>
  <c r="Z24" i="9" s="1"/>
  <c r="R1304" i="11"/>
  <c r="O1304" i="11"/>
  <c r="O1213" i="11"/>
  <c r="L1213" i="11" s="1"/>
  <c r="X1213" i="11" s="1"/>
  <c r="Y1213" i="11" s="1"/>
  <c r="R1213" i="11"/>
  <c r="T631" i="9"/>
  <c r="Z631" i="9"/>
  <c r="R1303" i="11"/>
  <c r="O1303" i="11"/>
  <c r="O1143" i="11"/>
  <c r="R1143" i="11"/>
  <c r="U243" i="11"/>
  <c r="R243" i="11"/>
  <c r="U254" i="11"/>
  <c r="R254" i="11"/>
  <c r="R1151" i="11"/>
  <c r="O1151" i="11"/>
  <c r="O1068" i="11"/>
  <c r="R1068" i="11"/>
  <c r="P337" i="10"/>
  <c r="V337" i="10"/>
  <c r="R1654" i="11"/>
  <c r="N1654" i="11"/>
  <c r="L1654" i="11" s="1"/>
  <c r="X1654" i="11" s="1"/>
  <c r="Y1654" i="11" s="1"/>
  <c r="O1810" i="11"/>
  <c r="R1810" i="11"/>
  <c r="T54" i="10"/>
  <c r="Z54" i="10"/>
  <c r="X767" i="11"/>
  <c r="L767" i="11"/>
  <c r="R1093" i="11"/>
  <c r="O1093" i="11"/>
  <c r="V561" i="11"/>
  <c r="O561" i="11"/>
  <c r="L1692" i="11"/>
  <c r="X1692" i="11" s="1"/>
  <c r="Y1692" i="11" s="1"/>
  <c r="R1692" i="11"/>
  <c r="N1692" i="11"/>
  <c r="P649" i="10"/>
  <c r="Y649" i="10" s="1"/>
  <c r="Z649" i="10" s="1"/>
  <c r="S649" i="10"/>
  <c r="Z189" i="9"/>
  <c r="T189" i="9"/>
  <c r="S701" i="10"/>
  <c r="O701" i="10"/>
  <c r="T177" i="9"/>
  <c r="Z177" i="9"/>
  <c r="Z267" i="9"/>
  <c r="T267" i="9"/>
  <c r="S18" i="9"/>
  <c r="T18" i="9" s="1"/>
  <c r="P18" i="9"/>
  <c r="Y18" i="9" s="1"/>
  <c r="T1017" i="9"/>
  <c r="Z1017" i="9"/>
  <c r="T653" i="9"/>
  <c r="Z653" i="9"/>
  <c r="T941" i="9"/>
  <c r="Z941" i="9"/>
  <c r="V990" i="10"/>
  <c r="P990" i="10"/>
  <c r="S40" i="9"/>
  <c r="T40" i="9" s="1"/>
  <c r="O40" i="9"/>
  <c r="Y40" i="9" s="1"/>
  <c r="Z40" i="9" s="1"/>
  <c r="S19" i="9"/>
  <c r="T19" i="9" s="1"/>
  <c r="O19" i="9"/>
  <c r="Y19" i="9" s="1"/>
  <c r="Z19" i="9" s="1"/>
  <c r="P1766" i="11"/>
  <c r="N1766" i="11"/>
  <c r="L1766" i="11"/>
  <c r="X1766" i="11" s="1"/>
  <c r="Y1766" i="11" s="1"/>
  <c r="R1766" i="11"/>
  <c r="V1006" i="10"/>
  <c r="P1006" i="10"/>
  <c r="S30" i="9"/>
  <c r="T30" i="9" s="1"/>
  <c r="O30" i="9"/>
  <c r="Y30" i="9" s="1"/>
  <c r="Z30" i="9" s="1"/>
  <c r="N1765" i="11"/>
  <c r="P1765" i="11"/>
  <c r="L1765" i="11"/>
  <c r="X1765" i="11" s="1"/>
  <c r="Y1765" i="11" s="1"/>
  <c r="R1765" i="11"/>
  <c r="T1014" i="9"/>
  <c r="Z1014" i="9"/>
  <c r="S631" i="10"/>
  <c r="P631" i="10"/>
  <c r="Y631" i="10" s="1"/>
  <c r="Z631" i="10" s="1"/>
  <c r="T30" i="10"/>
  <c r="Z30" i="10"/>
  <c r="P1022" i="10"/>
  <c r="V1022" i="10"/>
  <c r="Z57" i="10"/>
  <c r="T57" i="10"/>
  <c r="T578" i="9"/>
  <c r="Z578" i="9"/>
  <c r="Z326" i="9"/>
  <c r="T326" i="9"/>
  <c r="T652" i="9"/>
  <c r="Z652" i="9"/>
  <c r="T1059" i="9"/>
  <c r="Y1059" i="9"/>
  <c r="Z1059" i="9" s="1"/>
  <c r="T46" i="9"/>
  <c r="Z46" i="9"/>
  <c r="Y839" i="10"/>
  <c r="M839" i="10"/>
  <c r="T930" i="9"/>
  <c r="Z930" i="9"/>
  <c r="Z923" i="9"/>
  <c r="T923" i="9"/>
  <c r="R1618" i="11"/>
  <c r="O1618" i="11"/>
  <c r="T277" i="9"/>
  <c r="Z277" i="9"/>
  <c r="Z999" i="9"/>
  <c r="T999" i="9"/>
  <c r="R408" i="10"/>
  <c r="Y408" i="10"/>
  <c r="Z408" i="10" s="1"/>
  <c r="L422" i="11"/>
  <c r="X422" i="11"/>
  <c r="Y422" i="11" s="1"/>
  <c r="T987" i="9"/>
  <c r="Z987" i="9"/>
  <c r="S626" i="10"/>
  <c r="P626" i="10"/>
  <c r="Y626" i="10" s="1"/>
  <c r="Z626" i="10" s="1"/>
  <c r="T542" i="9"/>
  <c r="Z542" i="9"/>
  <c r="P632" i="10"/>
  <c r="Y632" i="10" s="1"/>
  <c r="Z632" i="10" s="1"/>
  <c r="S632" i="10"/>
  <c r="P256" i="10"/>
  <c r="V256" i="10"/>
  <c r="T194" i="9"/>
  <c r="Z194" i="9"/>
  <c r="T259" i="9"/>
  <c r="Z259" i="9"/>
  <c r="Z279" i="9"/>
  <c r="T279" i="9"/>
  <c r="S48" i="9"/>
  <c r="T48" i="9" s="1"/>
  <c r="Z48" i="9"/>
  <c r="Z34" i="10"/>
  <c r="T34" i="10"/>
  <c r="T643" i="9"/>
  <c r="Z643" i="9"/>
  <c r="R1764" i="11"/>
  <c r="P1764" i="11"/>
  <c r="N1764" i="11" s="1"/>
  <c r="L1764" i="11" s="1"/>
  <c r="X1764" i="11" s="1"/>
  <c r="Y1764" i="11" s="1"/>
  <c r="R1279" i="11"/>
  <c r="O1279" i="11"/>
  <c r="R1134" i="11"/>
  <c r="O1134" i="11"/>
  <c r="X397" i="11"/>
  <c r="Y397" i="11" s="1"/>
  <c r="L397" i="11"/>
  <c r="Z105" i="9"/>
  <c r="T105" i="9"/>
  <c r="L1756" i="11"/>
  <c r="R1756" i="11"/>
  <c r="P1756" i="11"/>
  <c r="N1756" i="11"/>
  <c r="R1749" i="11"/>
  <c r="P1749" i="11"/>
  <c r="N1749" i="11"/>
  <c r="L1749" i="11"/>
  <c r="X1749" i="11" s="1"/>
  <c r="Y1749" i="11" s="1"/>
  <c r="T1092" i="9"/>
  <c r="Y1092" i="9"/>
  <c r="Z1092" i="9" s="1"/>
  <c r="O1317" i="11"/>
  <c r="R1317" i="11"/>
  <c r="S619" i="10"/>
  <c r="P619" i="10"/>
  <c r="Y619" i="10" s="1"/>
  <c r="Z619" i="10" s="1"/>
  <c r="L779" i="11"/>
  <c r="X779" i="11"/>
  <c r="Y779" i="11" s="1"/>
  <c r="V630" i="11"/>
  <c r="O630" i="11"/>
  <c r="O1150" i="11"/>
  <c r="R1150" i="11"/>
  <c r="R1086" i="11"/>
  <c r="O1086" i="11"/>
  <c r="P1757" i="11"/>
  <c r="R1757" i="11"/>
  <c r="N1757" i="11"/>
  <c r="L1757" i="11"/>
  <c r="X1757" i="11" s="1"/>
  <c r="Y1757" i="11" s="1"/>
  <c r="V617" i="11"/>
  <c r="O617" i="11"/>
  <c r="M871" i="10"/>
  <c r="Y871" i="10"/>
  <c r="O690" i="10"/>
  <c r="S690" i="10"/>
  <c r="O1239" i="11"/>
  <c r="R1239" i="11"/>
  <c r="T549" i="9"/>
  <c r="Z549" i="9"/>
  <c r="Y552" i="10"/>
  <c r="R552" i="10"/>
  <c r="O1138" i="11"/>
  <c r="R1138" i="11"/>
  <c r="R1064" i="11"/>
  <c r="O1064" i="11"/>
  <c r="R1133" i="11"/>
  <c r="O1133" i="11"/>
  <c r="L839" i="11"/>
  <c r="X839" i="11"/>
  <c r="S1694" i="11"/>
  <c r="S1696" i="11" s="1"/>
  <c r="V1648" i="11" s="1"/>
  <c r="R1650" i="11"/>
  <c r="L1650" i="11"/>
  <c r="R1094" i="11"/>
  <c r="O1094" i="11"/>
  <c r="R344" i="11"/>
  <c r="U344" i="11"/>
  <c r="O1212" i="11"/>
  <c r="L1212" i="11" s="1"/>
  <c r="X1212" i="11" s="1"/>
  <c r="Y1212" i="11" s="1"/>
  <c r="R1212" i="11"/>
  <c r="R1009" i="11"/>
  <c r="O1009" i="11"/>
  <c r="U1009" i="11"/>
  <c r="S612" i="10"/>
  <c r="P612" i="10"/>
  <c r="Y612" i="10" s="1"/>
  <c r="Z612" i="10" s="1"/>
  <c r="T656" i="10"/>
  <c r="T658" i="10" s="1"/>
  <c r="W610" i="10" s="1"/>
  <c r="O1300" i="11"/>
  <c r="R1300" i="11"/>
  <c r="X775" i="11"/>
  <c r="Y775" i="11" s="1"/>
  <c r="L775" i="11"/>
  <c r="U490" i="11"/>
  <c r="X490" i="11"/>
  <c r="L490" i="11"/>
  <c r="P1741" i="11"/>
  <c r="N1741" i="11" s="1"/>
  <c r="L1741" i="11" s="1"/>
  <c r="X1741" i="11" s="1"/>
  <c r="Y1741" i="11" s="1"/>
  <c r="R1741" i="11"/>
  <c r="R1281" i="11"/>
  <c r="O1281" i="11"/>
  <c r="P1736" i="11"/>
  <c r="R1736" i="11"/>
  <c r="L1736" i="11"/>
  <c r="N1736" i="11"/>
  <c r="X500" i="11"/>
  <c r="Y500" i="11" s="1"/>
  <c r="U500" i="11"/>
  <c r="L500" i="11"/>
  <c r="U250" i="11"/>
  <c r="R250" i="11"/>
  <c r="Z992" i="9"/>
  <c r="T992" i="9"/>
  <c r="R1834" i="11"/>
  <c r="O1834" i="11"/>
  <c r="O1828" i="11"/>
  <c r="R1828" i="11"/>
  <c r="R1139" i="11"/>
  <c r="O1139" i="11"/>
  <c r="T414" i="9"/>
  <c r="Z414" i="9"/>
  <c r="O638" i="11"/>
  <c r="V638" i="11"/>
  <c r="T571" i="9"/>
  <c r="Z571" i="9"/>
  <c r="R1833" i="11"/>
  <c r="O1833" i="11"/>
  <c r="Z281" i="9"/>
  <c r="T281" i="9"/>
  <c r="R281" i="11"/>
  <c r="U281" i="11"/>
  <c r="Y1083" i="9"/>
  <c r="Z1083" i="9" s="1"/>
  <c r="T1083" i="9"/>
  <c r="T1060" i="9"/>
  <c r="Y1060" i="9"/>
  <c r="Z1060" i="9" s="1"/>
  <c r="O717" i="10"/>
  <c r="S717" i="10"/>
  <c r="T540" i="9"/>
  <c r="Z540" i="9"/>
  <c r="T781" i="9"/>
  <c r="Z781" i="9"/>
  <c r="U355" i="11"/>
  <c r="R355" i="11"/>
  <c r="V982" i="10"/>
  <c r="T1026" i="10"/>
  <c r="T1028" i="10" s="1"/>
  <c r="W980" i="10" s="1"/>
  <c r="S48" i="10"/>
  <c r="T48" i="10" s="1"/>
  <c r="Z48" i="10"/>
  <c r="Z789" i="9"/>
  <c r="T789" i="9"/>
  <c r="T1015" i="9"/>
  <c r="Z1015" i="9"/>
  <c r="T1061" i="9"/>
  <c r="Y1061" i="9"/>
  <c r="Z1061" i="9" s="1"/>
  <c r="T108" i="9"/>
  <c r="Z108" i="9"/>
  <c r="T1077" i="9"/>
  <c r="Y1077" i="9"/>
  <c r="Z1077" i="9" s="1"/>
  <c r="T55" i="9"/>
  <c r="Z55" i="9"/>
  <c r="S60" i="9"/>
  <c r="T60" i="9" s="1"/>
  <c r="O60" i="9"/>
  <c r="Y60" i="9" s="1"/>
  <c r="Z60" i="9" s="1"/>
  <c r="T245" i="9"/>
  <c r="Z245" i="9"/>
  <c r="T420" i="9"/>
  <c r="Z420" i="9"/>
  <c r="T650" i="9"/>
  <c r="Z650" i="9"/>
  <c r="T412" i="9"/>
  <c r="Z412" i="9"/>
  <c r="T320" i="9"/>
  <c r="Z320" i="9"/>
  <c r="T58" i="10"/>
  <c r="Z58" i="10"/>
  <c r="T616" i="9"/>
  <c r="Z616" i="9"/>
  <c r="T782" i="9"/>
  <c r="Z782" i="9"/>
  <c r="Z613" i="9"/>
  <c r="T613" i="9"/>
  <c r="T342" i="9"/>
  <c r="Z342" i="9"/>
  <c r="T629" i="9"/>
  <c r="Z629" i="9"/>
  <c r="Y857" i="10"/>
  <c r="M857" i="10"/>
  <c r="T431" i="9"/>
  <c r="Z431" i="9"/>
  <c r="T947" i="9"/>
  <c r="Z947" i="9"/>
  <c r="R405" i="10"/>
  <c r="Y405" i="10"/>
  <c r="Z405" i="10" s="1"/>
  <c r="T615" i="9"/>
  <c r="Z615" i="9"/>
  <c r="T339" i="9"/>
  <c r="O339" i="9"/>
  <c r="Y339" i="9" s="1"/>
  <c r="Z339" i="9" s="1"/>
  <c r="S42" i="10"/>
  <c r="T42" i="10" s="1"/>
  <c r="P42" i="10"/>
  <c r="Y42" i="10" s="1"/>
  <c r="Z42" i="10" s="1"/>
  <c r="R1691" i="11"/>
  <c r="L1691" i="11"/>
  <c r="X1691" i="11" s="1"/>
  <c r="Y1691" i="11" s="1"/>
  <c r="N1691" i="11"/>
  <c r="T22" i="10"/>
  <c r="Z22" i="10"/>
  <c r="T797" i="9"/>
  <c r="Z797" i="9"/>
  <c r="T990" i="9"/>
  <c r="Z990" i="9"/>
  <c r="O689" i="10"/>
  <c r="S689" i="10"/>
  <c r="V614" i="11"/>
  <c r="O614" i="11"/>
  <c r="P1728" i="11"/>
  <c r="N1728" i="11" s="1"/>
  <c r="L1728" i="11" s="1"/>
  <c r="X1728" i="11" s="1"/>
  <c r="Y1728" i="11" s="1"/>
  <c r="R1728" i="11"/>
  <c r="X421" i="11"/>
  <c r="L421" i="11"/>
  <c r="O1313" i="11"/>
  <c r="R1313" i="11"/>
  <c r="O1146" i="11"/>
  <c r="V1146" i="11" s="1"/>
  <c r="R1146" i="11"/>
  <c r="R1818" i="11"/>
  <c r="O1818" i="11"/>
  <c r="T543" i="9"/>
  <c r="Z543" i="9"/>
  <c r="R1837" i="11"/>
  <c r="O1837" i="11"/>
  <c r="N1665" i="11"/>
  <c r="L1665" i="11" s="1"/>
  <c r="X1665" i="11" s="1"/>
  <c r="Y1665" i="11" s="1"/>
  <c r="R1665" i="11"/>
  <c r="R1062" i="11"/>
  <c r="O1062" i="11"/>
  <c r="R998" i="11"/>
  <c r="U998" i="11"/>
  <c r="O998" i="11"/>
  <c r="V998" i="11" s="1"/>
  <c r="R1289" i="11"/>
  <c r="O1289" i="11"/>
  <c r="P1751" i="11"/>
  <c r="N1751" i="11" s="1"/>
  <c r="L1751" i="11" s="1"/>
  <c r="X1751" i="11" s="1"/>
  <c r="Y1751" i="11" s="1"/>
  <c r="R1751" i="11"/>
  <c r="O1284" i="11"/>
  <c r="R1284" i="11"/>
  <c r="N1652" i="11"/>
  <c r="L1652" i="11" s="1"/>
  <c r="X1652" i="11" s="1"/>
  <c r="Y1652" i="11" s="1"/>
  <c r="R1652" i="11"/>
  <c r="V636" i="11"/>
  <c r="O636" i="11"/>
  <c r="U485" i="11"/>
  <c r="L485" i="11"/>
  <c r="X485" i="11"/>
  <c r="M869" i="10"/>
  <c r="Y869" i="10"/>
  <c r="Z869" i="10" s="1"/>
  <c r="P1752" i="11"/>
  <c r="N1752" i="11" s="1"/>
  <c r="R1752" i="11"/>
  <c r="V316" i="10"/>
  <c r="T360" i="10"/>
  <c r="T362" i="10" s="1"/>
  <c r="W314" i="10" s="1"/>
  <c r="N1677" i="11"/>
  <c r="L1677" i="11" s="1"/>
  <c r="X1677" i="11" s="1"/>
  <c r="Y1677" i="11" s="1"/>
  <c r="R1677" i="11"/>
  <c r="R1170" i="11"/>
  <c r="O1170" i="11"/>
  <c r="R1079" i="11"/>
  <c r="O1079" i="11"/>
  <c r="L1656" i="11"/>
  <c r="X1656" i="11" s="1"/>
  <c r="Y1656" i="11" s="1"/>
  <c r="R1656" i="11"/>
  <c r="N1656" i="11"/>
  <c r="O1165" i="11"/>
  <c r="R1165" i="11"/>
  <c r="Y411" i="10"/>
  <c r="Z411" i="10" s="1"/>
  <c r="R411" i="10"/>
  <c r="O1014" i="11"/>
  <c r="U1014" i="11"/>
  <c r="R1014" i="11"/>
  <c r="O1016" i="11"/>
  <c r="R1016" i="11"/>
  <c r="U1016" i="11"/>
  <c r="O1164" i="11"/>
  <c r="R1164" i="11"/>
  <c r="O1161" i="11"/>
  <c r="R1161" i="11"/>
  <c r="O1013" i="11"/>
  <c r="U1013" i="11"/>
  <c r="R1013" i="11"/>
  <c r="R275" i="11"/>
  <c r="U275" i="11"/>
  <c r="R1067" i="11"/>
  <c r="O1067" i="11"/>
  <c r="X398" i="11"/>
  <c r="L398" i="11"/>
  <c r="X800" i="11"/>
  <c r="L800" i="11"/>
  <c r="T315" i="9"/>
  <c r="Z315" i="9"/>
  <c r="P1735" i="11"/>
  <c r="R1735" i="11"/>
  <c r="L1735" i="11"/>
  <c r="X1735" i="11" s="1"/>
  <c r="Y1735" i="11" s="1"/>
  <c r="N1735" i="11"/>
  <c r="P1727" i="11"/>
  <c r="N1727" i="11" s="1"/>
  <c r="L1727" i="11" s="1"/>
  <c r="X1727" i="11" s="1"/>
  <c r="Y1727" i="11" s="1"/>
  <c r="R1727" i="11"/>
  <c r="P1748" i="11"/>
  <c r="N1748" i="11" s="1"/>
  <c r="L1748" i="11" s="1"/>
  <c r="X1748" i="11" s="1"/>
  <c r="Y1748" i="11" s="1"/>
  <c r="R1748" i="11"/>
  <c r="O1798" i="11"/>
  <c r="X1798" i="11" s="1"/>
  <c r="Y1798" i="11" s="1"/>
  <c r="R1798" i="11"/>
  <c r="S1842" i="11"/>
  <c r="S1844" i="11" s="1"/>
  <c r="V1796" i="11" s="1"/>
  <c r="R274" i="11"/>
  <c r="U274" i="11"/>
  <c r="U356" i="11"/>
  <c r="R356" i="11"/>
  <c r="O626" i="11"/>
  <c r="V626" i="11"/>
  <c r="O619" i="11"/>
  <c r="V619" i="11"/>
  <c r="L495" i="11"/>
  <c r="X495" i="11"/>
  <c r="Y495" i="11" s="1"/>
  <c r="U495" i="11"/>
  <c r="U353" i="11"/>
  <c r="R353" i="11"/>
  <c r="P248" i="10"/>
  <c r="V248" i="10"/>
  <c r="T389" i="9"/>
  <c r="Z389" i="9"/>
  <c r="P1309" i="10"/>
  <c r="S1309" i="10"/>
  <c r="T330" i="9"/>
  <c r="O330" i="9"/>
  <c r="Y330" i="9" s="1"/>
  <c r="Z330" i="9" s="1"/>
  <c r="T622" i="9"/>
  <c r="Z622" i="9"/>
  <c r="U350" i="11"/>
  <c r="R350" i="11"/>
  <c r="T573" i="9"/>
  <c r="Z573" i="9"/>
  <c r="O117" i="9"/>
  <c r="Y117" i="9" s="1"/>
  <c r="Z117" i="9" s="1"/>
  <c r="T117" i="9"/>
  <c r="P334" i="10"/>
  <c r="V334" i="10"/>
  <c r="O119" i="9"/>
  <c r="Y119" i="9" s="1"/>
  <c r="Z119" i="9" s="1"/>
  <c r="T119" i="9"/>
  <c r="S43" i="9"/>
  <c r="T43" i="9" s="1"/>
  <c r="O43" i="9"/>
  <c r="Y43" i="9" s="1"/>
  <c r="Z43" i="9" s="1"/>
  <c r="T915" i="9"/>
  <c r="Z915" i="9"/>
  <c r="Z763" i="9"/>
  <c r="T763" i="9"/>
  <c r="O710" i="10"/>
  <c r="S710" i="10"/>
  <c r="S765" i="10"/>
  <c r="P765" i="10"/>
  <c r="S1448" i="10"/>
  <c r="P1448" i="10"/>
  <c r="O543" i="11"/>
  <c r="V543" i="11"/>
  <c r="T786" i="9"/>
  <c r="Z786" i="9"/>
  <c r="O788" i="9"/>
  <c r="Y788" i="9" s="1"/>
  <c r="Z788" i="9" s="1"/>
  <c r="T788" i="9"/>
  <c r="Z186" i="9"/>
  <c r="T186" i="9"/>
  <c r="Z562" i="9"/>
  <c r="T562" i="9"/>
  <c r="R246" i="11"/>
  <c r="U246" i="11"/>
  <c r="O688" i="10"/>
  <c r="S688" i="10"/>
  <c r="T321" i="9"/>
  <c r="O321" i="9"/>
  <c r="Y321" i="9" s="1"/>
  <c r="Z321" i="9" s="1"/>
  <c r="R255" i="11"/>
  <c r="U255" i="11"/>
  <c r="R1319" i="11"/>
  <c r="O1319" i="11"/>
  <c r="T925" i="9"/>
  <c r="Z925" i="9"/>
  <c r="T685" i="9"/>
  <c r="T729" i="9" s="1"/>
  <c r="T731" i="9" s="1"/>
  <c r="W683" i="9" s="1"/>
  <c r="F21" i="5" s="1"/>
  <c r="Z685" i="9"/>
  <c r="T1058" i="9"/>
  <c r="Y1058" i="9"/>
  <c r="Z1058" i="9" s="1"/>
  <c r="Z340" i="9"/>
  <c r="T340" i="9"/>
  <c r="Z635" i="9"/>
  <c r="T635" i="9"/>
  <c r="T20" i="10"/>
  <c r="Z20" i="10"/>
  <c r="Z568" i="9"/>
  <c r="T568" i="9"/>
  <c r="R573" i="10"/>
  <c r="Y573" i="10"/>
  <c r="Z939" i="9"/>
  <c r="T939" i="9"/>
  <c r="M725" i="10"/>
  <c r="Z725" i="10" s="1"/>
  <c r="S725" i="10"/>
  <c r="T1010" i="9"/>
  <c r="Z1010" i="9"/>
  <c r="T41" i="10"/>
  <c r="Z41" i="10"/>
  <c r="T29" i="10"/>
  <c r="Z29" i="10"/>
  <c r="T799" i="9"/>
  <c r="Z799" i="9"/>
  <c r="U349" i="11"/>
  <c r="R349" i="11"/>
  <c r="P726" i="10"/>
  <c r="S726" i="10"/>
  <c r="Y1086" i="9"/>
  <c r="Z1086" i="9" s="1"/>
  <c r="T1086" i="9"/>
  <c r="P255" i="10"/>
  <c r="V255" i="10"/>
  <c r="L404" i="11"/>
  <c r="X404" i="11"/>
  <c r="Y404" i="11" s="1"/>
  <c r="O1308" i="11"/>
  <c r="R1308" i="11"/>
  <c r="V276" i="10"/>
  <c r="P276" i="10"/>
  <c r="R320" i="11"/>
  <c r="U320" i="11"/>
  <c r="Y1095" i="9"/>
  <c r="Z1095" i="9" s="1"/>
  <c r="T1095" i="9"/>
  <c r="S783" i="10"/>
  <c r="P783" i="10"/>
  <c r="L869" i="11"/>
  <c r="X869" i="11"/>
  <c r="Y869" i="11" s="1"/>
  <c r="R1651" i="11"/>
  <c r="N1651" i="11"/>
  <c r="L1651" i="11" s="1"/>
  <c r="X1651" i="11" s="1"/>
  <c r="Y1651" i="11" s="1"/>
  <c r="O1215" i="11"/>
  <c r="L1215" i="11" s="1"/>
  <c r="X1215" i="11" s="1"/>
  <c r="Y1215" i="11" s="1"/>
  <c r="R1215" i="11"/>
  <c r="T175" i="9"/>
  <c r="Z175" i="9"/>
  <c r="O1296" i="11"/>
  <c r="R1296" i="11"/>
  <c r="O1821" i="11"/>
  <c r="R1821" i="11"/>
  <c r="R1078" i="11"/>
  <c r="O1078" i="11"/>
  <c r="S1427" i="10"/>
  <c r="T1471" i="10"/>
  <c r="T1473" i="10" s="1"/>
  <c r="W1425" i="10" s="1"/>
  <c r="R393" i="10"/>
  <c r="Y393" i="10"/>
  <c r="Z393" i="10" s="1"/>
  <c r="R257" i="11"/>
  <c r="U257" i="11"/>
  <c r="X501" i="11"/>
  <c r="L501" i="11"/>
  <c r="U501" i="11"/>
  <c r="X777" i="11"/>
  <c r="L777" i="11"/>
  <c r="V355" i="10"/>
  <c r="P355" i="10"/>
  <c r="T582" i="10"/>
  <c r="T584" i="10" s="1"/>
  <c r="W536" i="10" s="1"/>
  <c r="U268" i="11"/>
  <c r="R268" i="11"/>
  <c r="O122" i="9"/>
  <c r="Y122" i="9" s="1"/>
  <c r="Z122" i="9" s="1"/>
  <c r="T122" i="9"/>
  <c r="S1295" i="10"/>
  <c r="P1295" i="10"/>
  <c r="X503" i="11"/>
  <c r="Y503" i="11" s="1"/>
  <c r="L503" i="11"/>
  <c r="U503" i="11"/>
  <c r="R986" i="11"/>
  <c r="O986" i="11"/>
  <c r="U986" i="11"/>
  <c r="Z204" i="9"/>
  <c r="T204" i="9"/>
  <c r="X403" i="11"/>
  <c r="L403" i="11"/>
  <c r="O1229" i="11"/>
  <c r="L1229" i="11" s="1"/>
  <c r="X1229" i="11" s="1"/>
  <c r="Y1229" i="11" s="1"/>
  <c r="R1229" i="11"/>
  <c r="N1686" i="11"/>
  <c r="L1686" i="11" s="1"/>
  <c r="X1686" i="11" s="1"/>
  <c r="Y1686" i="11" s="1"/>
  <c r="R1686" i="11"/>
  <c r="V564" i="11"/>
  <c r="O564" i="11"/>
  <c r="L468" i="11"/>
  <c r="U468" i="11"/>
  <c r="X468" i="11"/>
  <c r="R336" i="11"/>
  <c r="U336" i="11"/>
  <c r="S640" i="10"/>
  <c r="P640" i="10"/>
  <c r="Y640" i="10" s="1"/>
  <c r="Z640" i="10" s="1"/>
  <c r="O625" i="11"/>
  <c r="V625" i="11"/>
  <c r="T1020" i="9"/>
  <c r="Z1020" i="9"/>
  <c r="T634" i="9"/>
  <c r="Z634" i="9"/>
  <c r="P650" i="10"/>
  <c r="Y650" i="10" s="1"/>
  <c r="Z650" i="10" s="1"/>
  <c r="S650" i="10"/>
  <c r="T1019" i="9"/>
  <c r="Z1019" i="9"/>
  <c r="Z931" i="9"/>
  <c r="T931" i="9"/>
  <c r="T994" i="9"/>
  <c r="Z994" i="9"/>
  <c r="T651" i="9"/>
  <c r="Z651" i="9"/>
  <c r="Z199" i="9"/>
  <c r="T199" i="9"/>
  <c r="T49" i="10"/>
  <c r="Z49" i="10"/>
  <c r="T273" i="9"/>
  <c r="Z273" i="9"/>
  <c r="T1006" i="9"/>
  <c r="Z1006" i="9"/>
  <c r="T251" i="9"/>
  <c r="Z251" i="9"/>
  <c r="T921" i="9"/>
  <c r="Z921" i="9"/>
  <c r="T422" i="9"/>
  <c r="P422" i="9"/>
  <c r="Y422" i="9" s="1"/>
  <c r="Z422" i="9" s="1"/>
  <c r="O715" i="10"/>
  <c r="S715" i="10"/>
  <c r="T274" i="9"/>
  <c r="Z274" i="9"/>
  <c r="T36" i="10"/>
  <c r="Z36" i="10"/>
  <c r="S49" i="9"/>
  <c r="T49" i="9" s="1"/>
  <c r="Z49" i="9"/>
  <c r="N1682" i="11"/>
  <c r="R1682" i="11"/>
  <c r="L1682" i="11"/>
  <c r="X1682" i="11" s="1"/>
  <c r="Y1682" i="11" s="1"/>
  <c r="L556" i="11"/>
  <c r="U556" i="11"/>
  <c r="X556" i="11"/>
  <c r="Y556" i="11" s="1"/>
  <c r="R335" i="11"/>
  <c r="U335" i="11"/>
  <c r="Z918" i="9"/>
  <c r="T918" i="9"/>
  <c r="T172" i="9"/>
  <c r="Z172" i="9"/>
  <c r="P1724" i="11"/>
  <c r="X1724" i="11" s="1"/>
  <c r="Y1724" i="11" s="1"/>
  <c r="L1724" i="11"/>
  <c r="R1724" i="11"/>
  <c r="S1768" i="11"/>
  <c r="S1770" i="11" s="1"/>
  <c r="V1722" i="11" s="1"/>
  <c r="Z50" i="9"/>
  <c r="S50" i="9"/>
  <c r="T50" i="9" s="1"/>
  <c r="T1002" i="9"/>
  <c r="Z1002" i="9"/>
  <c r="L765" i="11"/>
  <c r="X765" i="11"/>
  <c r="Y765" i="11" s="1"/>
  <c r="Y557" i="10"/>
  <c r="Z557" i="10" s="1"/>
  <c r="R557" i="10"/>
  <c r="R345" i="11"/>
  <c r="U345" i="11"/>
  <c r="T430" i="9"/>
  <c r="Z430" i="9"/>
  <c r="S642" i="10"/>
  <c r="P642" i="10"/>
  <c r="Y642" i="10" s="1"/>
  <c r="Z642" i="10" s="1"/>
  <c r="T413" i="9"/>
  <c r="Z413" i="9"/>
  <c r="T1174" i="10"/>
  <c r="T1176" i="10" s="1"/>
  <c r="W1128" i="10" s="1"/>
  <c r="R278" i="11"/>
  <c r="U278" i="11"/>
  <c r="Z649" i="9"/>
  <c r="T649" i="9"/>
  <c r="T425" i="9"/>
  <c r="Z425" i="9"/>
  <c r="Z115" i="9"/>
  <c r="T115" i="9"/>
  <c r="L871" i="11"/>
  <c r="X871" i="11"/>
  <c r="L778" i="11"/>
  <c r="X778" i="11"/>
  <c r="R1243" i="11"/>
  <c r="O1243" i="11"/>
  <c r="L1243" i="11" s="1"/>
  <c r="X1243" i="11" s="1"/>
  <c r="Y1243" i="11" s="1"/>
  <c r="Y569" i="10"/>
  <c r="R569" i="10"/>
  <c r="P1759" i="11"/>
  <c r="N1759" i="11" s="1"/>
  <c r="L1759" i="11" s="1"/>
  <c r="X1759" i="11" s="1"/>
  <c r="Y1759" i="11" s="1"/>
  <c r="R1759" i="11"/>
  <c r="O1204" i="11"/>
  <c r="R1204" i="11"/>
  <c r="S1248" i="11"/>
  <c r="S1250" i="11" s="1"/>
  <c r="V1202" i="11" s="1"/>
  <c r="O707" i="10"/>
  <c r="S707" i="10"/>
  <c r="R167" i="11"/>
  <c r="S211" i="11"/>
  <c r="S213" i="11" s="1"/>
  <c r="V165" i="11" s="1"/>
  <c r="F63" i="5" s="1"/>
  <c r="R395" i="10"/>
  <c r="Y395" i="10"/>
  <c r="Z395" i="10" s="1"/>
  <c r="T47" i="10"/>
  <c r="Z47" i="10"/>
  <c r="N1746" i="11"/>
  <c r="R1746" i="11"/>
  <c r="P1746" i="11"/>
  <c r="L1746" i="11"/>
  <c r="S54" i="9"/>
  <c r="T54" i="9" s="1"/>
  <c r="O54" i="9"/>
  <c r="Y54" i="9" s="1"/>
  <c r="Z54" i="9" s="1"/>
  <c r="R995" i="11"/>
  <c r="O995" i="11"/>
  <c r="U995" i="11"/>
  <c r="S952" i="11"/>
  <c r="S954" i="11" s="1"/>
  <c r="V906" i="11" s="1"/>
  <c r="R1754" i="11"/>
  <c r="N1754" i="11"/>
  <c r="L1754" i="11"/>
  <c r="P1754" i="11"/>
  <c r="O1240" i="11"/>
  <c r="L1240" i="11" s="1"/>
  <c r="X1240" i="11" s="1"/>
  <c r="Y1240" i="11" s="1"/>
  <c r="R1240" i="11"/>
  <c r="L425" i="11"/>
  <c r="X425" i="11"/>
  <c r="Y425" i="11" s="1"/>
  <c r="R556" i="10"/>
  <c r="Y556" i="10"/>
  <c r="N1653" i="11"/>
  <c r="L1653" i="11" s="1"/>
  <c r="X1653" i="11" s="1"/>
  <c r="Y1653" i="11" s="1"/>
  <c r="R1653" i="11"/>
  <c r="L1681" i="11"/>
  <c r="X1681" i="11" s="1"/>
  <c r="Y1681" i="11" s="1"/>
  <c r="N1681" i="11"/>
  <c r="R1681" i="11"/>
  <c r="U272" i="11"/>
  <c r="R272" i="11"/>
  <c r="R1835" i="11"/>
  <c r="O1835" i="11"/>
  <c r="R1823" i="11"/>
  <c r="O1823" i="11"/>
  <c r="R1662" i="11"/>
  <c r="N1662" i="11"/>
  <c r="L1662" i="11"/>
  <c r="X1662" i="11" s="1"/>
  <c r="Y1662" i="11" s="1"/>
  <c r="P984" i="10"/>
  <c r="V984" i="10"/>
  <c r="R1750" i="11"/>
  <c r="P1750" i="11"/>
  <c r="N1750" i="11" s="1"/>
  <c r="L1750" i="11" s="1"/>
  <c r="X1750" i="11" s="1"/>
  <c r="Y1750" i="11" s="1"/>
  <c r="T406" i="9"/>
  <c r="Z406" i="9"/>
  <c r="N1668" i="11"/>
  <c r="L1668" i="11" s="1"/>
  <c r="X1668" i="11" s="1"/>
  <c r="Y1668" i="11" s="1"/>
  <c r="R1668" i="11"/>
  <c r="P1725" i="11"/>
  <c r="N1725" i="11" s="1"/>
  <c r="L1725" i="11" s="1"/>
  <c r="X1725" i="11" s="1"/>
  <c r="Y1725" i="11" s="1"/>
  <c r="R1725" i="11"/>
  <c r="O1811" i="11"/>
  <c r="R1811" i="11"/>
  <c r="R323" i="11"/>
  <c r="U323" i="11"/>
  <c r="S582" i="11"/>
  <c r="S584" i="11" s="1"/>
  <c r="V536" i="11" s="1"/>
  <c r="T1089" i="9"/>
  <c r="Y1089" i="9"/>
  <c r="Z1089" i="9" s="1"/>
  <c r="O1238" i="11"/>
  <c r="L1238" i="11" s="1"/>
  <c r="X1238" i="11" s="1"/>
  <c r="Y1238" i="11" s="1"/>
  <c r="R1238" i="11"/>
  <c r="X699" i="11"/>
  <c r="Y699" i="11" s="1"/>
  <c r="L699" i="11"/>
  <c r="Y500" i="10"/>
  <c r="Z500" i="10" s="1"/>
  <c r="R500" i="10"/>
  <c r="T242" i="9"/>
  <c r="Z242" i="9"/>
  <c r="R258" i="11"/>
  <c r="U258" i="11"/>
  <c r="X786" i="11"/>
  <c r="L786" i="11"/>
  <c r="O1209" i="11"/>
  <c r="L1209" i="11" s="1"/>
  <c r="X1209" i="11" s="1"/>
  <c r="Y1209" i="11" s="1"/>
  <c r="R1209" i="11"/>
  <c r="O722" i="10"/>
  <c r="S722" i="10"/>
  <c r="R1812" i="11"/>
  <c r="O1812" i="11"/>
  <c r="M851" i="10"/>
  <c r="Y851" i="10"/>
  <c r="P1762" i="11"/>
  <c r="N1762" i="11"/>
  <c r="R1762" i="11"/>
  <c r="L1762" i="11"/>
  <c r="X1762" i="11" s="1"/>
  <c r="Y1762" i="11" s="1"/>
  <c r="N1674" i="11"/>
  <c r="L1674" i="11" s="1"/>
  <c r="X1674" i="11" s="1"/>
  <c r="Y1674" i="11" s="1"/>
  <c r="R1674" i="11"/>
  <c r="P333" i="10"/>
  <c r="V333" i="10"/>
  <c r="P1302" i="10"/>
  <c r="S1302" i="10"/>
  <c r="T332" i="9"/>
  <c r="Z332" i="9"/>
  <c r="T333" i="9"/>
  <c r="Z333" i="9"/>
  <c r="Z948" i="9"/>
  <c r="T948" i="9"/>
  <c r="O47" i="9"/>
  <c r="Y47" i="9" s="1"/>
  <c r="Z47" i="9" s="1"/>
  <c r="S47" i="9"/>
  <c r="T47" i="9" s="1"/>
  <c r="T552" i="9"/>
  <c r="Z552" i="9"/>
  <c r="T324" i="9"/>
  <c r="Z324" i="9"/>
  <c r="T1097" i="9"/>
  <c r="Y1097" i="9"/>
  <c r="Z1097" i="9" s="1"/>
  <c r="T19" i="10"/>
  <c r="Z19" i="10"/>
  <c r="V241" i="10"/>
  <c r="T285" i="10"/>
  <c r="T287" i="10" s="1"/>
  <c r="W239" i="10" s="1"/>
  <c r="F33" i="5" s="1"/>
  <c r="Z984" i="9"/>
  <c r="T984" i="9"/>
  <c r="S26" i="9"/>
  <c r="T26" i="9" s="1"/>
  <c r="O26" i="9"/>
  <c r="Y26" i="9" s="1"/>
  <c r="Z26" i="9" s="1"/>
  <c r="T637" i="9"/>
  <c r="Z637" i="9"/>
  <c r="X784" i="11"/>
  <c r="L784" i="11"/>
  <c r="T907" i="9"/>
  <c r="Z907" i="9"/>
  <c r="T253" i="9"/>
  <c r="Z253" i="9"/>
  <c r="T166" i="9"/>
  <c r="Z166" i="9"/>
  <c r="U248" i="11"/>
  <c r="R248" i="11"/>
  <c r="T937" i="9"/>
  <c r="Z937" i="9"/>
  <c r="Z355" i="9"/>
  <c r="T355" i="9"/>
  <c r="U1006" i="11"/>
  <c r="R1006" i="11"/>
  <c r="O1006" i="11"/>
  <c r="T200" i="9"/>
  <c r="Z200" i="9"/>
  <c r="O1096" i="9"/>
  <c r="Y1096" i="9"/>
  <c r="Z1096" i="9" s="1"/>
  <c r="T1096" i="9"/>
  <c r="O687" i="10"/>
  <c r="S687" i="10"/>
  <c r="S630" i="10"/>
  <c r="P630" i="10"/>
  <c r="Y630" i="10" s="1"/>
  <c r="Z630" i="10" s="1"/>
  <c r="O632" i="11"/>
  <c r="V632" i="11"/>
  <c r="R330" i="11"/>
  <c r="U330" i="11"/>
  <c r="S56" i="9"/>
  <c r="T56" i="9" s="1"/>
  <c r="O56" i="9"/>
  <c r="Y56" i="9" s="1"/>
  <c r="Z56" i="9" s="1"/>
  <c r="T134" i="9"/>
  <c r="Z134" i="9"/>
  <c r="T338" i="9"/>
  <c r="O338" i="9"/>
  <c r="Y338" i="9" s="1"/>
  <c r="Z338" i="9" s="1"/>
  <c r="T935" i="9"/>
  <c r="Z935" i="9"/>
  <c r="R261" i="11"/>
  <c r="U261" i="11"/>
  <c r="T395" i="9"/>
  <c r="Z395" i="9"/>
  <c r="T632" i="9"/>
  <c r="Z632" i="9"/>
  <c r="S27" i="9"/>
  <c r="T27" i="9" s="1"/>
  <c r="O27" i="9"/>
  <c r="Y27" i="9" s="1"/>
  <c r="Z27" i="9" s="1"/>
  <c r="Z196" i="9"/>
  <c r="T196" i="9"/>
  <c r="T92" i="9"/>
  <c r="O92" i="9"/>
  <c r="Y92" i="9" s="1"/>
  <c r="Z92" i="9" s="1"/>
  <c r="P259" i="10"/>
  <c r="V259" i="10"/>
  <c r="R1245" i="11"/>
  <c r="O1245" i="11"/>
  <c r="L1245" i="11" s="1"/>
  <c r="X1245" i="11" s="1"/>
  <c r="Y1245" i="11" s="1"/>
  <c r="T919" i="9"/>
  <c r="Z919" i="9"/>
  <c r="R347" i="11"/>
  <c r="U347" i="11"/>
  <c r="T933" i="9"/>
  <c r="Z933" i="9"/>
  <c r="Y1075" i="9"/>
  <c r="Z1075" i="9" s="1"/>
  <c r="T1075" i="9"/>
  <c r="U467" i="11"/>
  <c r="X467" i="11"/>
  <c r="Y467" i="11" s="1"/>
  <c r="L467" i="11"/>
  <c r="T791" i="9"/>
  <c r="Z791" i="9"/>
  <c r="T1001" i="9"/>
  <c r="Z1001" i="9"/>
  <c r="P257" i="10"/>
  <c r="V257" i="10"/>
  <c r="Z640" i="9"/>
  <c r="T640" i="9"/>
  <c r="P1313" i="10"/>
  <c r="S1313" i="10"/>
  <c r="R339" i="11"/>
  <c r="U339" i="11"/>
  <c r="O1816" i="11"/>
  <c r="R1816" i="11"/>
  <c r="L1761" i="11"/>
  <c r="R1761" i="11"/>
  <c r="N1761" i="11"/>
  <c r="P1761" i="11"/>
  <c r="X394" i="11"/>
  <c r="L394" i="11"/>
  <c r="R1012" i="11"/>
  <c r="O1012" i="11"/>
  <c r="U1012" i="11"/>
  <c r="T278" i="9"/>
  <c r="Z278" i="9"/>
  <c r="L693" i="11"/>
  <c r="X693" i="11"/>
  <c r="Y693" i="11" s="1"/>
  <c r="L410" i="11"/>
  <c r="X410" i="11"/>
  <c r="O1827" i="11"/>
  <c r="R1827" i="11"/>
  <c r="P1755" i="11"/>
  <c r="N1755" i="11" s="1"/>
  <c r="L1755" i="11" s="1"/>
  <c r="X1755" i="11" s="1"/>
  <c r="Y1755" i="11" s="1"/>
  <c r="R1755" i="11"/>
  <c r="U471" i="11"/>
  <c r="L471" i="11"/>
  <c r="X471" i="11"/>
  <c r="Y471" i="11" s="1"/>
  <c r="R322" i="11"/>
  <c r="U322" i="11"/>
  <c r="Y429" i="10"/>
  <c r="Z429" i="10" s="1"/>
  <c r="R429" i="10"/>
  <c r="R425" i="10"/>
  <c r="Y425" i="10"/>
  <c r="Z425" i="10" s="1"/>
  <c r="R567" i="10"/>
  <c r="Y567" i="10"/>
  <c r="Z567" i="10" s="1"/>
  <c r="T1100" i="10"/>
  <c r="T1102" i="10" s="1"/>
  <c r="W1054" i="10" s="1"/>
  <c r="S1056" i="10"/>
  <c r="Y416" i="10"/>
  <c r="Z416" i="10" s="1"/>
  <c r="R416" i="10"/>
  <c r="S628" i="10"/>
  <c r="P628" i="10"/>
  <c r="Y628" i="10" s="1"/>
  <c r="Z628" i="10" s="1"/>
  <c r="S638" i="10"/>
  <c r="P638" i="10"/>
  <c r="Y638" i="10" s="1"/>
  <c r="Z638" i="10" s="1"/>
  <c r="S37" i="9"/>
  <c r="T37" i="9" s="1"/>
  <c r="O37" i="9"/>
  <c r="Y37" i="9" s="1"/>
  <c r="Z37" i="9" s="1"/>
  <c r="S878" i="11"/>
  <c r="S880" i="11" s="1"/>
  <c r="V832" i="11" s="1"/>
  <c r="L1672" i="11"/>
  <c r="X1672" i="11" s="1"/>
  <c r="Y1672" i="11" s="1"/>
  <c r="N1672" i="11"/>
  <c r="R1672" i="11"/>
  <c r="V629" i="11"/>
  <c r="O629" i="11"/>
  <c r="R422" i="10"/>
  <c r="Y422" i="10"/>
  <c r="Z422" i="10" s="1"/>
  <c r="L707" i="11"/>
  <c r="X707" i="11"/>
  <c r="P321" i="10"/>
  <c r="V321" i="10"/>
  <c r="R1168" i="11"/>
  <c r="O1168" i="11"/>
  <c r="T614" i="9"/>
  <c r="Z614" i="9"/>
  <c r="O562" i="11"/>
  <c r="V562" i="11"/>
  <c r="O712" i="10"/>
  <c r="S712" i="10"/>
  <c r="N1673" i="11"/>
  <c r="R1673" i="11"/>
  <c r="L1673" i="11"/>
  <c r="X1673" i="11" s="1"/>
  <c r="Y1673" i="11" s="1"/>
  <c r="O109" i="9"/>
  <c r="Y109" i="9" s="1"/>
  <c r="Z109" i="9" s="1"/>
  <c r="T109" i="9"/>
  <c r="L408" i="11"/>
  <c r="X408" i="11"/>
  <c r="Y408" i="11" s="1"/>
  <c r="T998" i="9"/>
  <c r="Z998" i="9"/>
  <c r="V272" i="10"/>
  <c r="P272" i="10"/>
  <c r="L395" i="11"/>
  <c r="X395" i="11"/>
  <c r="T623" i="9"/>
  <c r="Z623" i="9"/>
  <c r="S34" i="9"/>
  <c r="T34" i="9" s="1"/>
  <c r="Z34" i="9"/>
  <c r="P791" i="10"/>
  <c r="S791" i="10"/>
  <c r="T565" i="9"/>
  <c r="Z565" i="9"/>
  <c r="T639" i="9"/>
  <c r="Z639" i="9"/>
  <c r="X781" i="11"/>
  <c r="Y781" i="11" s="1"/>
  <c r="L781" i="11"/>
  <c r="T416" i="9"/>
  <c r="Z416" i="9"/>
  <c r="Y577" i="10"/>
  <c r="R577" i="10"/>
  <c r="Z774" i="9"/>
  <c r="T774" i="9"/>
  <c r="O128" i="9"/>
  <c r="Y128" i="9" s="1"/>
  <c r="Z128" i="9" s="1"/>
  <c r="T128" i="9"/>
  <c r="O1018" i="11"/>
  <c r="U1018" i="11"/>
  <c r="R1018" i="11"/>
  <c r="Z417" i="9"/>
  <c r="T417" i="9"/>
  <c r="T126" i="9"/>
  <c r="Z126" i="9"/>
  <c r="S39" i="9"/>
  <c r="T39" i="9" s="1"/>
  <c r="O39" i="9"/>
  <c r="Y39" i="9" s="1"/>
  <c r="Z39" i="9" s="1"/>
  <c r="T1064" i="9"/>
  <c r="P1064" i="9"/>
  <c r="Y1064" i="9"/>
  <c r="Z1064" i="9" s="1"/>
  <c r="T243" i="9"/>
  <c r="Z243" i="9"/>
  <c r="R337" i="11"/>
  <c r="U337" i="11"/>
  <c r="O1081" i="11"/>
  <c r="R1081" i="11"/>
  <c r="Z409" i="9"/>
  <c r="T409" i="9"/>
  <c r="T191" i="9"/>
  <c r="Z191" i="9"/>
  <c r="Z424" i="9"/>
  <c r="T424" i="9"/>
  <c r="T410" i="9"/>
  <c r="Z410" i="9"/>
  <c r="T129" i="9"/>
  <c r="Z129" i="9"/>
  <c r="T1074" i="9"/>
  <c r="Y1074" i="9"/>
  <c r="Z1074" i="9" s="1"/>
  <c r="T1000" i="9"/>
  <c r="Z1000" i="9"/>
  <c r="Y1080" i="9"/>
  <c r="Z1080" i="9" s="1"/>
  <c r="T1080" i="9"/>
  <c r="T103" i="9"/>
  <c r="O103" i="9"/>
  <c r="Y103" i="9" s="1"/>
  <c r="Z103" i="9" s="1"/>
  <c r="R1839" i="11"/>
  <c r="O1839" i="11"/>
  <c r="T252" i="9"/>
  <c r="Z252" i="9"/>
  <c r="T579" i="9"/>
  <c r="Z579" i="9"/>
  <c r="Z427" i="9"/>
  <c r="T427" i="9"/>
  <c r="P1017" i="10"/>
  <c r="V1017" i="10"/>
  <c r="T114" i="9"/>
  <c r="Z114" i="9"/>
  <c r="T617" i="9"/>
  <c r="Z617" i="9"/>
  <c r="Z203" i="9"/>
  <c r="T203" i="9"/>
  <c r="T538" i="9"/>
  <c r="Z538" i="9"/>
  <c r="O99" i="9"/>
  <c r="Y99" i="9" s="1"/>
  <c r="Z99" i="9" s="1"/>
  <c r="T99" i="9"/>
  <c r="S703" i="10"/>
  <c r="O703" i="10"/>
  <c r="T107" i="9"/>
  <c r="Z107" i="9"/>
  <c r="T555" i="9"/>
  <c r="Z555" i="9"/>
  <c r="U318" i="11"/>
  <c r="R318" i="11"/>
  <c r="T264" i="9"/>
  <c r="Z264" i="9"/>
  <c r="R334" i="11"/>
  <c r="U334" i="11"/>
  <c r="T913" i="9"/>
  <c r="Z913" i="9"/>
  <c r="Z323" i="9"/>
  <c r="T323" i="9"/>
  <c r="Z121" i="9"/>
  <c r="T121" i="9"/>
  <c r="T343" i="9"/>
  <c r="Z343" i="9"/>
  <c r="R1311" i="11"/>
  <c r="O1311" i="11"/>
  <c r="R1205" i="11"/>
  <c r="O1205" i="11"/>
  <c r="L1205" i="11" s="1"/>
  <c r="X1205" i="11" s="1"/>
  <c r="Y1205" i="11" s="1"/>
  <c r="V999" i="10"/>
  <c r="P999" i="10"/>
  <c r="N1658" i="11"/>
  <c r="L1658" i="11" s="1"/>
  <c r="X1658" i="11" s="1"/>
  <c r="Y1658" i="11" s="1"/>
  <c r="R1658" i="11"/>
  <c r="R1298" i="11"/>
  <c r="O1298" i="11"/>
  <c r="O1075" i="11"/>
  <c r="R1075" i="11"/>
  <c r="U991" i="11"/>
  <c r="O991" i="11"/>
  <c r="R991" i="11"/>
  <c r="S434" i="11"/>
  <c r="S436" i="11" s="1"/>
  <c r="V388" i="11" s="1"/>
  <c r="X763" i="11"/>
  <c r="L763" i="11"/>
  <c r="R1824" i="11"/>
  <c r="O1824" i="11"/>
  <c r="R1657" i="11"/>
  <c r="N1657" i="11"/>
  <c r="L1657" i="11" s="1"/>
  <c r="X1657" i="11" s="1"/>
  <c r="Y1657" i="11" s="1"/>
  <c r="R988" i="11"/>
  <c r="U988" i="11"/>
  <c r="O988" i="11"/>
  <c r="S625" i="10"/>
  <c r="P625" i="10"/>
  <c r="Y625" i="10" s="1"/>
  <c r="Z625" i="10" s="1"/>
  <c r="T44" i="10"/>
  <c r="Z44" i="10"/>
  <c r="S804" i="11"/>
  <c r="S806" i="11" s="1"/>
  <c r="V758" i="11" s="1"/>
  <c r="N1733" i="11"/>
  <c r="P1733" i="11"/>
  <c r="R1733" i="11"/>
  <c r="L1733" i="11"/>
  <c r="X1733" i="11" s="1"/>
  <c r="Y1733" i="11" s="1"/>
  <c r="O1090" i="11"/>
  <c r="R1090" i="11"/>
  <c r="V615" i="11"/>
  <c r="O615" i="11"/>
  <c r="V464" i="11"/>
  <c r="S508" i="11"/>
  <c r="S510" i="11" s="1"/>
  <c r="V462" i="11" s="1"/>
  <c r="T936" i="9"/>
  <c r="Z936" i="9"/>
  <c r="X796" i="11"/>
  <c r="Y796" i="11" s="1"/>
  <c r="L796" i="11"/>
  <c r="P1730" i="11"/>
  <c r="R1730" i="11"/>
  <c r="L1730" i="11"/>
  <c r="X1730" i="11" s="1"/>
  <c r="Y1730" i="11" s="1"/>
  <c r="N1730" i="11"/>
  <c r="U325" i="11"/>
  <c r="R325" i="11"/>
  <c r="U477" i="11"/>
  <c r="L477" i="11"/>
  <c r="X477" i="11"/>
  <c r="Y477" i="11" s="1"/>
  <c r="R1005" i="11"/>
  <c r="O1005" i="11"/>
  <c r="U1005" i="11"/>
  <c r="U472" i="11"/>
  <c r="L472" i="11"/>
  <c r="X472" i="11"/>
  <c r="Y472" i="11" s="1"/>
  <c r="R1144" i="11"/>
  <c r="O1144" i="11"/>
  <c r="R1096" i="11"/>
  <c r="O1096" i="11"/>
  <c r="O993" i="11"/>
  <c r="R993" i="11"/>
  <c r="U993" i="11"/>
  <c r="V633" i="11"/>
  <c r="O633" i="11"/>
  <c r="O1021" i="11"/>
  <c r="R1021" i="11"/>
  <c r="U1021" i="11"/>
  <c r="P329" i="10"/>
  <c r="V329" i="10"/>
  <c r="O1095" i="11"/>
  <c r="R1095" i="11"/>
  <c r="U342" i="11"/>
  <c r="R342" i="11"/>
  <c r="R1092" i="11"/>
  <c r="O1092" i="11"/>
  <c r="R1312" i="11"/>
  <c r="O1312" i="11"/>
  <c r="O555" i="11"/>
  <c r="V555" i="11"/>
  <c r="R1232" i="11"/>
  <c r="O1232" i="11"/>
  <c r="V551" i="11"/>
  <c r="O551" i="11"/>
  <c r="P1742" i="11"/>
  <c r="N1742" i="11" s="1"/>
  <c r="L1742" i="11" s="1"/>
  <c r="X1742" i="11" s="1"/>
  <c r="Y1742" i="11" s="1"/>
  <c r="R1742" i="11"/>
  <c r="P242" i="10"/>
  <c r="V242" i="10"/>
  <c r="T211" i="10"/>
  <c r="T213" i="10" s="1"/>
  <c r="W165" i="10" s="1"/>
  <c r="F32" i="5" s="1"/>
  <c r="R277" i="11"/>
  <c r="U277" i="11"/>
  <c r="T988" i="9"/>
  <c r="Z988" i="9"/>
  <c r="S627" i="10"/>
  <c r="P627" i="10"/>
  <c r="Y627" i="10" s="1"/>
  <c r="Z627" i="10" s="1"/>
  <c r="T1063" i="9"/>
  <c r="Y1063" i="9"/>
  <c r="Z1063" i="9" s="1"/>
  <c r="T35" i="10"/>
  <c r="Z35" i="10"/>
  <c r="Z766" i="9"/>
  <c r="T766" i="9"/>
  <c r="P654" i="10"/>
  <c r="Y654" i="10" s="1"/>
  <c r="Z654" i="10" s="1"/>
  <c r="S654" i="10"/>
  <c r="S644" i="10"/>
  <c r="P644" i="10"/>
  <c r="Y644" i="10" s="1"/>
  <c r="Z644" i="10" s="1"/>
  <c r="Z96" i="9"/>
  <c r="T96" i="9"/>
  <c r="Z564" i="9"/>
  <c r="T564" i="9"/>
  <c r="T772" i="9"/>
  <c r="Z772" i="9"/>
  <c r="R1246" i="11"/>
  <c r="O1246" i="11"/>
  <c r="L1246" i="11" s="1"/>
  <c r="X1246" i="11" s="1"/>
  <c r="Y1246" i="11" s="1"/>
  <c r="T558" i="9"/>
  <c r="Z558" i="9"/>
  <c r="O1286" i="11"/>
  <c r="R1286" i="11"/>
  <c r="T275" i="9"/>
  <c r="Z275" i="9"/>
  <c r="O123" i="9"/>
  <c r="Y123" i="9" s="1"/>
  <c r="Z123" i="9" s="1"/>
  <c r="T123" i="9"/>
  <c r="S653" i="10"/>
  <c r="P653" i="10"/>
  <c r="Y653" i="10" s="1"/>
  <c r="Z653" i="10" s="1"/>
  <c r="Z938" i="9"/>
  <c r="T938" i="9"/>
  <c r="P985" i="10"/>
  <c r="V985" i="10"/>
  <c r="T776" i="9"/>
  <c r="P776" i="9"/>
  <c r="Y776" i="9" s="1"/>
  <c r="Z776" i="9" s="1"/>
  <c r="T1057" i="9"/>
  <c r="Y1057" i="9"/>
  <c r="Z1057" i="9" s="1"/>
  <c r="O1097" i="11"/>
  <c r="R1097" i="11"/>
  <c r="Z132" i="9"/>
  <c r="T132" i="9"/>
  <c r="T350" i="9"/>
  <c r="Z350" i="9"/>
  <c r="V267" i="10"/>
  <c r="P267" i="10"/>
  <c r="Z801" i="9"/>
  <c r="T801" i="9"/>
  <c r="T193" i="9"/>
  <c r="Z193" i="9"/>
  <c r="T636" i="9"/>
  <c r="Z636" i="9"/>
  <c r="Z995" i="9"/>
  <c r="T995" i="9"/>
  <c r="T268" i="9"/>
  <c r="Z268" i="9"/>
  <c r="T404" i="9"/>
  <c r="Z404" i="9"/>
  <c r="R559" i="10"/>
  <c r="Y559" i="10"/>
  <c r="S57" i="9"/>
  <c r="T57" i="9" s="1"/>
  <c r="Z57" i="9"/>
  <c r="S25" i="9"/>
  <c r="T25" i="9" s="1"/>
  <c r="O25" i="9"/>
  <c r="Y25" i="9" s="1"/>
  <c r="Z25" i="9" s="1"/>
  <c r="T554" i="9"/>
  <c r="Z554" i="9"/>
  <c r="P244" i="10"/>
  <c r="V244" i="10"/>
  <c r="T541" i="9"/>
  <c r="Z541" i="9"/>
  <c r="T942" i="9"/>
  <c r="Z942" i="9"/>
  <c r="U358" i="11"/>
  <c r="R358" i="11"/>
  <c r="Z914" i="9"/>
  <c r="T914" i="9"/>
  <c r="P987" i="10"/>
  <c r="V987" i="10"/>
  <c r="Y403" i="10"/>
  <c r="Z403" i="10" s="1"/>
  <c r="R403" i="10"/>
  <c r="P1745" i="11"/>
  <c r="N1745" i="11" s="1"/>
  <c r="L1745" i="11" s="1"/>
  <c r="X1745" i="11" s="1"/>
  <c r="Y1745" i="11" s="1"/>
  <c r="R1745" i="11"/>
  <c r="T345" i="9"/>
  <c r="Z345" i="9"/>
  <c r="O643" i="11"/>
  <c r="V643" i="11"/>
  <c r="N1685" i="11"/>
  <c r="L1685" i="11"/>
  <c r="X1685" i="11" s="1"/>
  <c r="Y1685" i="11" s="1"/>
  <c r="R1685" i="11"/>
  <c r="R1230" i="11"/>
  <c r="O1230" i="11"/>
  <c r="R1155" i="11"/>
  <c r="O1155" i="11"/>
  <c r="R1091" i="11"/>
  <c r="O1091" i="11"/>
  <c r="R256" i="11"/>
  <c r="U256" i="11"/>
  <c r="F69" i="5" s="1"/>
  <c r="R1315" i="11"/>
  <c r="O1315" i="11"/>
  <c r="S33" i="10"/>
  <c r="T33" i="10" s="1"/>
  <c r="Z33" i="10"/>
  <c r="T647" i="9"/>
  <c r="Z647" i="9"/>
  <c r="O694" i="10"/>
  <c r="S694" i="10"/>
  <c r="S637" i="10"/>
  <c r="P637" i="10"/>
  <c r="Y637" i="10" s="1"/>
  <c r="Z637" i="10" s="1"/>
  <c r="O647" i="11"/>
  <c r="V647" i="11"/>
  <c r="O989" i="11"/>
  <c r="R989" i="11"/>
  <c r="U989" i="11"/>
  <c r="O1004" i="11"/>
  <c r="U1004" i="11"/>
  <c r="R1004" i="11"/>
  <c r="R354" i="11"/>
  <c r="U354" i="11"/>
  <c r="Z262" i="9"/>
  <c r="T262" i="9"/>
  <c r="T434" i="10"/>
  <c r="T436" i="10" s="1"/>
  <c r="W388" i="10" s="1"/>
  <c r="Z644" i="9"/>
  <c r="T644" i="9"/>
  <c r="R1947" i="11"/>
  <c r="S1991" i="11"/>
  <c r="S1993" i="11" s="1"/>
  <c r="V1945" i="11" s="1"/>
  <c r="R1291" i="11"/>
  <c r="O1291" i="11"/>
  <c r="R1080" i="11"/>
  <c r="O1080" i="11"/>
  <c r="L1667" i="11"/>
  <c r="X1667" i="11" s="1"/>
  <c r="Y1667" i="11" s="1"/>
  <c r="N1667" i="11"/>
  <c r="R1667" i="11"/>
  <c r="R1802" i="11"/>
  <c r="O1802" i="11"/>
  <c r="R1160" i="11"/>
  <c r="O1160" i="11"/>
  <c r="R1233" i="11"/>
  <c r="O1233" i="11"/>
  <c r="L1233" i="11" s="1"/>
  <c r="X1233" i="11" s="1"/>
  <c r="Y1233" i="11" s="1"/>
  <c r="Y555" i="10"/>
  <c r="R555" i="10"/>
  <c r="R1228" i="11"/>
  <c r="O1228" i="11"/>
  <c r="O645" i="11"/>
  <c r="V645" i="11"/>
  <c r="X725" i="11"/>
  <c r="L725" i="11"/>
  <c r="R1142" i="11"/>
  <c r="O1142" i="11"/>
  <c r="O1799" i="11"/>
  <c r="R1799" i="11"/>
  <c r="T986" i="9"/>
  <c r="Z986" i="9"/>
  <c r="L712" i="11"/>
  <c r="X712" i="11"/>
  <c r="O1020" i="11"/>
  <c r="U1020" i="11"/>
  <c r="R1020" i="11"/>
  <c r="S1471" i="11"/>
  <c r="S1473" i="11" s="1"/>
  <c r="V1425" i="11" s="1"/>
  <c r="R1427" i="11"/>
  <c r="Y426" i="10"/>
  <c r="Z426" i="10" s="1"/>
  <c r="R426" i="10"/>
  <c r="R1082" i="11"/>
  <c r="O1082" i="11"/>
  <c r="Z550" i="9"/>
  <c r="T550" i="9"/>
  <c r="N1676" i="11"/>
  <c r="L1676" i="11" s="1"/>
  <c r="X1676" i="11" s="1"/>
  <c r="Y1676" i="11" s="1"/>
  <c r="R1676" i="11"/>
  <c r="O1825" i="11"/>
  <c r="R1825" i="11"/>
  <c r="R1804" i="11"/>
  <c r="O1804" i="11"/>
  <c r="T336" i="9"/>
  <c r="Z336" i="9"/>
  <c r="P1453" i="10"/>
  <c r="S1453" i="10"/>
  <c r="V246" i="10"/>
  <c r="P246" i="10"/>
  <c r="T563" i="9"/>
  <c r="Z563" i="9"/>
  <c r="T344" i="9"/>
  <c r="Z344" i="9"/>
  <c r="T551" i="9"/>
  <c r="Z551" i="9"/>
  <c r="T100" i="9"/>
  <c r="Z100" i="9"/>
  <c r="T908" i="9"/>
  <c r="Z908" i="9"/>
  <c r="T771" i="9"/>
  <c r="Z771" i="9"/>
  <c r="Z401" i="9"/>
  <c r="T401" i="9"/>
  <c r="Z254" i="9"/>
  <c r="T254" i="9"/>
  <c r="Z280" i="9"/>
  <c r="T280" i="9"/>
  <c r="T421" i="9"/>
  <c r="Z421" i="9"/>
  <c r="Z265" i="9"/>
  <c r="T265" i="9"/>
  <c r="V1005" i="10"/>
  <c r="P1005" i="10"/>
  <c r="Z567" i="9"/>
  <c r="T567" i="9"/>
  <c r="U264" i="11"/>
  <c r="R264" i="11"/>
  <c r="R1661" i="11"/>
  <c r="N1661" i="11"/>
  <c r="L1661" i="11"/>
  <c r="X1661" i="11" s="1"/>
  <c r="Y1661" i="11" s="1"/>
  <c r="R260" i="11"/>
  <c r="U260" i="11"/>
  <c r="T269" i="9"/>
  <c r="Z269" i="9"/>
  <c r="T1070" i="9"/>
  <c r="Y1070" i="9"/>
  <c r="Z1070" i="9" s="1"/>
  <c r="R283" i="11"/>
  <c r="U283" i="11"/>
  <c r="T1084" i="9"/>
  <c r="Y1084" i="9"/>
  <c r="Z1084" i="9" s="1"/>
  <c r="L392" i="11"/>
  <c r="X392" i="11"/>
  <c r="Y392" i="11" s="1"/>
  <c r="V573" i="11"/>
  <c r="O573" i="11"/>
  <c r="S618" i="10"/>
  <c r="P618" i="10"/>
  <c r="Y618" i="10" s="1"/>
  <c r="Z618" i="10" s="1"/>
  <c r="U346" i="11"/>
  <c r="R346" i="11"/>
  <c r="T93" i="9"/>
  <c r="Z93" i="9"/>
  <c r="S38" i="10"/>
  <c r="T38" i="10" s="1"/>
  <c r="Z38" i="10"/>
  <c r="T392" i="9"/>
  <c r="Z392" i="9"/>
  <c r="Z319" i="9"/>
  <c r="T319" i="9"/>
  <c r="R984" i="11"/>
  <c r="O984" i="11"/>
  <c r="U984" i="11"/>
  <c r="S41" i="9"/>
  <c r="T41" i="9" s="1"/>
  <c r="O41" i="9"/>
  <c r="Y41" i="9" s="1"/>
  <c r="Z41" i="9" s="1"/>
  <c r="Z182" i="9"/>
  <c r="T182" i="9"/>
  <c r="S32" i="10"/>
  <c r="T32" i="10" s="1"/>
  <c r="Z32" i="10"/>
  <c r="P1283" i="10"/>
  <c r="S1283" i="10"/>
  <c r="P983" i="10"/>
  <c r="V983" i="10"/>
  <c r="R1830" i="11"/>
  <c r="O1830" i="11"/>
  <c r="R1057" i="11"/>
  <c r="O1057" i="11"/>
  <c r="L701" i="11"/>
  <c r="X701" i="11"/>
  <c r="O1130" i="11"/>
  <c r="X1130" i="11" s="1"/>
  <c r="Y1130" i="11" s="1"/>
  <c r="R1130" i="11"/>
  <c r="S1174" i="11"/>
  <c r="S1176" i="11" s="1"/>
  <c r="V1128" i="11" s="1"/>
  <c r="U483" i="11"/>
  <c r="X483" i="11"/>
  <c r="L483" i="11"/>
  <c r="T37" i="10"/>
  <c r="Z37" i="10"/>
  <c r="R340" i="11"/>
  <c r="U340" i="11"/>
  <c r="P1467" i="10"/>
  <c r="S1467" i="10"/>
  <c r="R1070" i="11"/>
  <c r="O1070" i="11"/>
  <c r="R267" i="11"/>
  <c r="U267" i="11"/>
  <c r="U338" i="11"/>
  <c r="R338" i="11"/>
  <c r="X762" i="11"/>
  <c r="Y762" i="11" s="1"/>
  <c r="L762" i="11"/>
  <c r="S621" i="10"/>
  <c r="P621" i="10"/>
  <c r="Y621" i="10" s="1"/>
  <c r="Z621" i="10" s="1"/>
  <c r="R1294" i="11"/>
  <c r="O1294" i="11"/>
  <c r="V1294" i="11" s="1"/>
  <c r="O1282" i="11"/>
  <c r="R1282" i="11"/>
  <c r="R270" i="11"/>
  <c r="U270" i="11"/>
  <c r="R1219" i="11"/>
  <c r="O1219" i="11"/>
  <c r="U481" i="11"/>
  <c r="X481" i="11"/>
  <c r="L481" i="11"/>
  <c r="O1809" i="11"/>
  <c r="R1809" i="11"/>
  <c r="S623" i="10"/>
  <c r="P623" i="10"/>
  <c r="Y623" i="10" s="1"/>
  <c r="Z623" i="10" s="1"/>
  <c r="P709" i="10"/>
  <c r="S709" i="10"/>
  <c r="O1135" i="11"/>
  <c r="R1135" i="11"/>
  <c r="O1162" i="11"/>
  <c r="R1162" i="11"/>
  <c r="O1831" i="11"/>
  <c r="R1831" i="11"/>
  <c r="R1060" i="11"/>
  <c r="O1060" i="11"/>
  <c r="O997" i="11"/>
  <c r="R997" i="11"/>
  <c r="U997" i="11"/>
  <c r="S1502" i="10"/>
  <c r="T1546" i="10"/>
  <c r="T1548" i="10" s="1"/>
  <c r="W1500" i="10" s="1"/>
  <c r="R1152" i="11"/>
  <c r="O1152" i="11"/>
  <c r="O1089" i="11"/>
  <c r="R1089" i="11"/>
  <c r="X783" i="11"/>
  <c r="Y783" i="11" s="1"/>
  <c r="L783" i="11"/>
  <c r="Z572" i="9"/>
  <c r="T572" i="9"/>
  <c r="L694" i="11"/>
  <c r="X694" i="11"/>
  <c r="Y694" i="11" s="1"/>
  <c r="T53" i="10"/>
  <c r="Z53" i="10"/>
  <c r="O1220" i="11"/>
  <c r="V1220" i="11" s="1"/>
  <c r="R1220" i="11"/>
  <c r="O1087" i="11"/>
  <c r="R1087" i="11"/>
  <c r="Y570" i="10"/>
  <c r="R570" i="10"/>
  <c r="P1744" i="11"/>
  <c r="N1744" i="11"/>
  <c r="R1744" i="11"/>
  <c r="L1744" i="11"/>
  <c r="X1744" i="11" s="1"/>
  <c r="Y1744" i="11" s="1"/>
  <c r="U479" i="11"/>
  <c r="L479" i="11"/>
  <c r="X479" i="11"/>
  <c r="T423" i="9"/>
  <c r="Z423" i="9"/>
  <c r="T648" i="9"/>
  <c r="Z648" i="9"/>
  <c r="V258" i="10"/>
  <c r="P258" i="10"/>
  <c r="Z943" i="9"/>
  <c r="T943" i="9"/>
  <c r="S760" i="10"/>
  <c r="T804" i="10"/>
  <c r="T806" i="10" s="1"/>
  <c r="W758" i="10" s="1"/>
  <c r="Z1012" i="9"/>
  <c r="T1012" i="9"/>
  <c r="Z316" i="9"/>
  <c r="T316" i="9"/>
  <c r="T628" i="9"/>
  <c r="Z628" i="9"/>
  <c r="Z546" i="9"/>
  <c r="T546" i="9"/>
  <c r="S643" i="10"/>
  <c r="P643" i="10"/>
  <c r="Y643" i="10" s="1"/>
  <c r="Z643" i="10" s="1"/>
  <c r="O101" i="9"/>
  <c r="Y101" i="9" s="1"/>
  <c r="Z101" i="9" s="1"/>
  <c r="T101" i="9"/>
  <c r="Z1007" i="9"/>
  <c r="T1007" i="9"/>
  <c r="O778" i="9"/>
  <c r="Y778" i="9" s="1"/>
  <c r="Z778" i="9" s="1"/>
  <c r="T778" i="9"/>
  <c r="S32" i="9"/>
  <c r="T32" i="9" s="1"/>
  <c r="O32" i="9"/>
  <c r="Y32" i="9" s="1"/>
  <c r="Z32" i="9" s="1"/>
  <c r="S22" i="9"/>
  <c r="T22" i="9" s="1"/>
  <c r="O22" i="9"/>
  <c r="Y22" i="9" s="1"/>
  <c r="Z22" i="9" s="1"/>
  <c r="Z260" i="9"/>
  <c r="T260" i="9"/>
  <c r="L1666" i="11"/>
  <c r="X1666" i="11" s="1"/>
  <c r="Y1666" i="11" s="1"/>
  <c r="R1666" i="11"/>
  <c r="N1666" i="11"/>
  <c r="V1666" i="11" s="1"/>
  <c r="T247" i="9"/>
  <c r="Z247" i="9"/>
  <c r="T208" i="9"/>
  <c r="Z208" i="9"/>
  <c r="T545" i="9"/>
  <c r="Z545" i="9"/>
  <c r="T944" i="9"/>
  <c r="Z944" i="9"/>
  <c r="S52" i="9"/>
  <c r="T52" i="9" s="1"/>
  <c r="Z52" i="9"/>
  <c r="X1746" i="11" l="1"/>
  <c r="Y1746" i="11" s="1"/>
  <c r="Y761" i="11"/>
  <c r="Z577" i="10"/>
  <c r="Y484" i="11"/>
  <c r="Y795" i="11"/>
  <c r="Y865" i="11"/>
  <c r="Y403" i="11"/>
  <c r="Y485" i="11"/>
  <c r="Y771" i="11"/>
  <c r="Y687" i="11"/>
  <c r="Y791" i="11"/>
  <c r="Y479" i="11"/>
  <c r="Y488" i="11"/>
  <c r="Y717" i="11"/>
  <c r="Y466" i="11"/>
  <c r="Y399" i="11"/>
  <c r="Y858" i="11"/>
  <c r="Z564" i="10"/>
  <c r="Z569" i="10"/>
  <c r="T62" i="10"/>
  <c r="T64" i="10" s="1"/>
  <c r="W16" i="10" s="1"/>
  <c r="F30" i="5" s="1"/>
  <c r="H30" i="5" s="1"/>
  <c r="Z574" i="10"/>
  <c r="T1099" i="9"/>
  <c r="T1101" i="9" s="1"/>
  <c r="W1053" i="9" s="1"/>
  <c r="F26" i="5" s="1"/>
  <c r="H26" i="5" s="1"/>
  <c r="T284" i="9"/>
  <c r="T286" i="9" s="1"/>
  <c r="W238" i="9" s="1"/>
  <c r="F15" i="5" s="1"/>
  <c r="H15" i="5" s="1"/>
  <c r="T655" i="9"/>
  <c r="T657" i="9" s="1"/>
  <c r="W609" i="9" s="1"/>
  <c r="F20" i="5" s="1"/>
  <c r="H20" i="5" s="1"/>
  <c r="H69" i="5"/>
  <c r="P455" i="7"/>
  <c r="P24" i="6"/>
  <c r="P283" i="1"/>
  <c r="R259" i="10"/>
  <c r="Y259" i="10"/>
  <c r="Z259" i="10" s="1"/>
  <c r="T951" i="9"/>
  <c r="T953" i="9" s="1"/>
  <c r="W905" i="9" s="1"/>
  <c r="F24" i="5" s="1"/>
  <c r="Y726" i="10"/>
  <c r="M726" i="10"/>
  <c r="L613" i="11"/>
  <c r="U613" i="11"/>
  <c r="X613" i="11"/>
  <c r="Y795" i="10"/>
  <c r="M795" i="10"/>
  <c r="Y777" i="10"/>
  <c r="M777" i="10"/>
  <c r="R320" i="10"/>
  <c r="Y320" i="10"/>
  <c r="Z320" i="10" s="1"/>
  <c r="Z555" i="10"/>
  <c r="AB242" i="10"/>
  <c r="Y242" i="10"/>
  <c r="Z242" i="10" s="1"/>
  <c r="R242" i="10"/>
  <c r="R321" i="10"/>
  <c r="Y321" i="10"/>
  <c r="Z321" i="10" s="1"/>
  <c r="T433" i="9"/>
  <c r="T435" i="9" s="1"/>
  <c r="W387" i="9" s="1"/>
  <c r="F17" i="5" s="1"/>
  <c r="Y398" i="11"/>
  <c r="L638" i="11"/>
  <c r="X638" i="11"/>
  <c r="U638" i="11"/>
  <c r="X617" i="11"/>
  <c r="U617" i="11"/>
  <c r="L617" i="11"/>
  <c r="R262" i="10"/>
  <c r="Y262" i="10"/>
  <c r="Z262" i="10" s="1"/>
  <c r="H62" i="5"/>
  <c r="P110" i="7"/>
  <c r="P24" i="7"/>
  <c r="H61" i="5"/>
  <c r="U541" i="11"/>
  <c r="X541" i="11"/>
  <c r="Y541" i="11" s="1"/>
  <c r="L541" i="11"/>
  <c r="Y324" i="10"/>
  <c r="Z324" i="10" s="1"/>
  <c r="R324" i="10"/>
  <c r="X555" i="11"/>
  <c r="Y555" i="11" s="1"/>
  <c r="U555" i="11"/>
  <c r="L555" i="11"/>
  <c r="Y712" i="11"/>
  <c r="Y707" i="11"/>
  <c r="T136" i="9"/>
  <c r="T138" i="9" s="1"/>
  <c r="W90" i="9" s="1"/>
  <c r="F13" i="5" s="1"/>
  <c r="Y784" i="11"/>
  <c r="X543" i="11"/>
  <c r="Y543" i="11" s="1"/>
  <c r="U543" i="11"/>
  <c r="L543" i="11"/>
  <c r="L1752" i="11"/>
  <c r="X1752" i="11" s="1"/>
  <c r="Y1752" i="11" s="1"/>
  <c r="X1736" i="11"/>
  <c r="Y1736" i="11" s="1"/>
  <c r="L539" i="11"/>
  <c r="X539" i="11"/>
  <c r="Y539" i="11" s="1"/>
  <c r="U539" i="11"/>
  <c r="L652" i="11"/>
  <c r="X652" i="11"/>
  <c r="U652" i="11"/>
  <c r="M721" i="10"/>
  <c r="Y721" i="10"/>
  <c r="Z721" i="10" s="1"/>
  <c r="R270" i="10"/>
  <c r="Y270" i="10"/>
  <c r="Z270" i="10" s="1"/>
  <c r="X1747" i="11"/>
  <c r="Y1747" i="11" s="1"/>
  <c r="Y694" i="10"/>
  <c r="M694" i="10"/>
  <c r="Y329" i="10"/>
  <c r="Z329" i="10" s="1"/>
  <c r="R329" i="10"/>
  <c r="X1761" i="11"/>
  <c r="Y1761" i="11" s="1"/>
  <c r="Y778" i="11"/>
  <c r="Y334" i="10"/>
  <c r="Z334" i="10" s="1"/>
  <c r="R334" i="10"/>
  <c r="R248" i="10"/>
  <c r="Y248" i="10"/>
  <c r="Z248" i="10" s="1"/>
  <c r="Z857" i="10"/>
  <c r="M717" i="10"/>
  <c r="Y717" i="10"/>
  <c r="Z717" i="10" s="1"/>
  <c r="Y873" i="11"/>
  <c r="Y465" i="11"/>
  <c r="Y342" i="10"/>
  <c r="Z342" i="10" s="1"/>
  <c r="R342" i="10"/>
  <c r="Y405" i="11"/>
  <c r="R322" i="10"/>
  <c r="Y322" i="10"/>
  <c r="Z322" i="10" s="1"/>
  <c r="X640" i="11"/>
  <c r="Y640" i="11" s="1"/>
  <c r="U640" i="11"/>
  <c r="L640" i="11"/>
  <c r="U551" i="11"/>
  <c r="X551" i="11"/>
  <c r="Y551" i="11" s="1"/>
  <c r="L551" i="11"/>
  <c r="Y355" i="10"/>
  <c r="Z355" i="10" s="1"/>
  <c r="R355" i="10"/>
  <c r="R256" i="10"/>
  <c r="Y256" i="10"/>
  <c r="Z256" i="10" s="1"/>
  <c r="L631" i="11"/>
  <c r="X631" i="11"/>
  <c r="U631" i="11"/>
  <c r="V1740" i="11"/>
  <c r="L577" i="11"/>
  <c r="U577" i="11"/>
  <c r="X577" i="11"/>
  <c r="Y577" i="11" s="1"/>
  <c r="Y691" i="10"/>
  <c r="M691" i="10"/>
  <c r="L627" i="11"/>
  <c r="X627" i="11"/>
  <c r="Y627" i="11" s="1"/>
  <c r="U627" i="11"/>
  <c r="Y317" i="10"/>
  <c r="Z317" i="10" s="1"/>
  <c r="R317" i="10"/>
  <c r="X615" i="11"/>
  <c r="U615" i="11"/>
  <c r="L615" i="11"/>
  <c r="Y410" i="11"/>
  <c r="Z851" i="10"/>
  <c r="Y871" i="11"/>
  <c r="U625" i="11"/>
  <c r="L625" i="11"/>
  <c r="X625" i="11"/>
  <c r="Y625" i="11" s="1"/>
  <c r="R276" i="10"/>
  <c r="Y276" i="10"/>
  <c r="Z276" i="10" s="1"/>
  <c r="Y765" i="10"/>
  <c r="M765" i="10"/>
  <c r="Y337" i="10"/>
  <c r="Z337" i="10" s="1"/>
  <c r="R337" i="10"/>
  <c r="Y423" i="11"/>
  <c r="Y499" i="11"/>
  <c r="Y773" i="11"/>
  <c r="R345" i="10"/>
  <c r="Y345" i="10"/>
  <c r="Z345" i="10" s="1"/>
  <c r="Y414" i="11"/>
  <c r="Y504" i="11"/>
  <c r="L643" i="11"/>
  <c r="X643" i="11"/>
  <c r="U643" i="11"/>
  <c r="Y791" i="10"/>
  <c r="M791" i="10"/>
  <c r="U629" i="11"/>
  <c r="L629" i="11"/>
  <c r="X629" i="11"/>
  <c r="H63" i="5"/>
  <c r="P195" i="7"/>
  <c r="Y688" i="10"/>
  <c r="M688" i="10"/>
  <c r="Y421" i="11"/>
  <c r="L648" i="11"/>
  <c r="U648" i="11"/>
  <c r="X648" i="11"/>
  <c r="R260" i="10"/>
  <c r="Y260" i="10"/>
  <c r="Z260" i="10" s="1"/>
  <c r="Y482" i="11"/>
  <c r="L542" i="11"/>
  <c r="X542" i="11"/>
  <c r="Y542" i="11" s="1"/>
  <c r="U542" i="11"/>
  <c r="Y705" i="10"/>
  <c r="Z705" i="10" s="1"/>
  <c r="M705" i="10"/>
  <c r="Y851" i="11"/>
  <c r="Y704" i="10"/>
  <c r="M704" i="10"/>
  <c r="L620" i="11"/>
  <c r="U620" i="11"/>
  <c r="X620" i="11"/>
  <c r="Y857" i="11"/>
  <c r="Y243" i="10"/>
  <c r="Z243" i="10" s="1"/>
  <c r="R243" i="10"/>
  <c r="Y712" i="10"/>
  <c r="M712" i="10"/>
  <c r="U633" i="11"/>
  <c r="L633" i="11"/>
  <c r="X633" i="11"/>
  <c r="M715" i="10"/>
  <c r="Y715" i="10"/>
  <c r="Y777" i="11"/>
  <c r="L616" i="11"/>
  <c r="U616" i="11"/>
  <c r="X616" i="11"/>
  <c r="Y281" i="10"/>
  <c r="Z281" i="10" s="1"/>
  <c r="R281" i="10"/>
  <c r="Y244" i="10"/>
  <c r="Z244" i="10" s="1"/>
  <c r="R244" i="10"/>
  <c r="X632" i="11"/>
  <c r="U632" i="11"/>
  <c r="L632" i="11"/>
  <c r="Z556" i="10"/>
  <c r="M710" i="10"/>
  <c r="Y710" i="10"/>
  <c r="Z552" i="10"/>
  <c r="U561" i="11"/>
  <c r="X561" i="11"/>
  <c r="Y561" i="11" s="1"/>
  <c r="L561" i="11"/>
  <c r="Y411" i="11"/>
  <c r="Z562" i="10"/>
  <c r="H33" i="5"/>
  <c r="P281" i="6"/>
  <c r="Y707" i="10"/>
  <c r="M707" i="10"/>
  <c r="X614" i="11"/>
  <c r="U614" i="11"/>
  <c r="L614" i="11"/>
  <c r="R356" i="10"/>
  <c r="Y356" i="10"/>
  <c r="Z356" i="10" s="1"/>
  <c r="H23" i="5"/>
  <c r="P974" i="1"/>
  <c r="Y347" i="10"/>
  <c r="Z347" i="10" s="1"/>
  <c r="R347" i="10"/>
  <c r="T803" i="9"/>
  <c r="T805" i="9" s="1"/>
  <c r="W757" i="9" s="1"/>
  <c r="F22" i="5" s="1"/>
  <c r="Y254" i="10"/>
  <c r="Z254" i="10" s="1"/>
  <c r="R254" i="10"/>
  <c r="T1025" i="9"/>
  <c r="T1027" i="9" s="1"/>
  <c r="W979" i="9" s="1"/>
  <c r="F25" i="5" s="1"/>
  <c r="R265" i="10"/>
  <c r="Y265" i="10"/>
  <c r="Z265" i="10" s="1"/>
  <c r="R261" i="10"/>
  <c r="Y261" i="10"/>
  <c r="Z261" i="10" s="1"/>
  <c r="Y483" i="11"/>
  <c r="Y763" i="11"/>
  <c r="F52" i="5"/>
  <c r="F50" i="5"/>
  <c r="F43" i="5"/>
  <c r="F44" i="5"/>
  <c r="F53" i="5"/>
  <c r="F39" i="5"/>
  <c r="F45" i="5"/>
  <c r="F46" i="5"/>
  <c r="F54" i="5"/>
  <c r="F51" i="5"/>
  <c r="F56" i="5"/>
  <c r="F40" i="5"/>
  <c r="F41" i="5"/>
  <c r="F34" i="5"/>
  <c r="F42" i="5"/>
  <c r="F57" i="5"/>
  <c r="F55" i="5"/>
  <c r="M722" i="10"/>
  <c r="Y722" i="10"/>
  <c r="F70" i="5"/>
  <c r="Y468" i="11"/>
  <c r="Y501" i="11"/>
  <c r="L619" i="11"/>
  <c r="X619" i="11"/>
  <c r="U619" i="11"/>
  <c r="L636" i="11"/>
  <c r="X636" i="11"/>
  <c r="U636" i="11"/>
  <c r="Y490" i="11"/>
  <c r="T62" i="9"/>
  <c r="T64" i="9" s="1"/>
  <c r="W16" i="9" s="1"/>
  <c r="F12" i="5" s="1"/>
  <c r="Z578" i="10"/>
  <c r="U578" i="11"/>
  <c r="X578" i="11"/>
  <c r="Y578" i="11" s="1"/>
  <c r="L578" i="11"/>
  <c r="Y690" i="11"/>
  <c r="Y699" i="10"/>
  <c r="Z699" i="10" s="1"/>
  <c r="M699" i="10"/>
  <c r="Y478" i="11"/>
  <c r="U649" i="11"/>
  <c r="X649" i="11"/>
  <c r="L649" i="11"/>
  <c r="R245" i="10"/>
  <c r="Y245" i="10"/>
  <c r="Z245" i="10" s="1"/>
  <c r="Z570" i="10"/>
  <c r="R246" i="10"/>
  <c r="Y246" i="10"/>
  <c r="Z246" i="10" s="1"/>
  <c r="Y725" i="11"/>
  <c r="Y395" i="11"/>
  <c r="L562" i="11"/>
  <c r="X562" i="11"/>
  <c r="Y562" i="11" s="1"/>
  <c r="U562" i="11"/>
  <c r="F65" i="5"/>
  <c r="U630" i="11"/>
  <c r="X630" i="11"/>
  <c r="L630" i="11"/>
  <c r="Y715" i="11"/>
  <c r="T581" i="9"/>
  <c r="T583" i="9" s="1"/>
  <c r="W535" i="9" s="1"/>
  <c r="F19" i="5" s="1"/>
  <c r="Y352" i="10"/>
  <c r="Z352" i="10" s="1"/>
  <c r="R352" i="10"/>
  <c r="L569" i="11"/>
  <c r="U569" i="11"/>
  <c r="X569" i="11"/>
  <c r="Y569" i="11" s="1"/>
  <c r="Y784" i="10"/>
  <c r="M784" i="10"/>
  <c r="Y704" i="11"/>
  <c r="M709" i="10"/>
  <c r="Y709" i="10"/>
  <c r="Z709" i="10" s="1"/>
  <c r="M687" i="10"/>
  <c r="Y687" i="10"/>
  <c r="Z687" i="10" s="1"/>
  <c r="T210" i="9"/>
  <c r="T212" i="9" s="1"/>
  <c r="W164" i="9" s="1"/>
  <c r="F14" i="5" s="1"/>
  <c r="X1204" i="11"/>
  <c r="Y1204" i="11" s="1"/>
  <c r="L1204" i="11"/>
  <c r="Y255" i="10"/>
  <c r="Z255" i="10" s="1"/>
  <c r="R255" i="10"/>
  <c r="P803" i="1"/>
  <c r="H21" i="5"/>
  <c r="X626" i="11"/>
  <c r="U626" i="11"/>
  <c r="L626" i="11"/>
  <c r="M689" i="10"/>
  <c r="Y689" i="10"/>
  <c r="X1756" i="11"/>
  <c r="Y1756" i="11" s="1"/>
  <c r="Z839" i="10"/>
  <c r="Y789" i="11"/>
  <c r="Y764" i="11"/>
  <c r="Y249" i="10"/>
  <c r="Z249" i="10" s="1"/>
  <c r="R249" i="10"/>
  <c r="Y430" i="11"/>
  <c r="Y277" i="10"/>
  <c r="Z277" i="10" s="1"/>
  <c r="R277" i="10"/>
  <c r="U506" i="11"/>
  <c r="L506" i="11"/>
  <c r="X506" i="11"/>
  <c r="Y506" i="11" s="1"/>
  <c r="L645" i="11"/>
  <c r="U645" i="11"/>
  <c r="X645" i="11"/>
  <c r="R267" i="10"/>
  <c r="Y267" i="10"/>
  <c r="Z267" i="10" s="1"/>
  <c r="M703" i="10"/>
  <c r="Y703" i="10"/>
  <c r="R272" i="10"/>
  <c r="Y272" i="10"/>
  <c r="Z272" i="10" s="1"/>
  <c r="R257" i="10"/>
  <c r="Y257" i="10"/>
  <c r="Z257" i="10" s="1"/>
  <c r="X564" i="11"/>
  <c r="Y564" i="11" s="1"/>
  <c r="U564" i="11"/>
  <c r="L564" i="11"/>
  <c r="T359" i="9"/>
  <c r="T361" i="9" s="1"/>
  <c r="W313" i="9" s="1"/>
  <c r="F16" i="5" s="1"/>
  <c r="Y767" i="11"/>
  <c r="Y319" i="10"/>
  <c r="Z319" i="10" s="1"/>
  <c r="R319" i="10"/>
  <c r="U505" i="11"/>
  <c r="X505" i="11"/>
  <c r="L505" i="11"/>
  <c r="Y402" i="11"/>
  <c r="Y689" i="11"/>
  <c r="U641" i="11"/>
  <c r="L641" i="11"/>
  <c r="X641" i="11"/>
  <c r="Y641" i="11" s="1"/>
  <c r="R318" i="10"/>
  <c r="Y318" i="10"/>
  <c r="Z318" i="10" s="1"/>
  <c r="Y401" i="11"/>
  <c r="Z553" i="10"/>
  <c r="L573" i="11"/>
  <c r="U573" i="11"/>
  <c r="X573" i="11"/>
  <c r="Y573" i="11" s="1"/>
  <c r="R333" i="10"/>
  <c r="Y333" i="10"/>
  <c r="Z333" i="10" s="1"/>
  <c r="Y786" i="11"/>
  <c r="M690" i="10"/>
  <c r="Y690" i="10"/>
  <c r="Z690" i="10" s="1"/>
  <c r="U540" i="11"/>
  <c r="L540" i="11"/>
  <c r="X540" i="11"/>
  <c r="Y540" i="11" s="1"/>
  <c r="X559" i="11"/>
  <c r="Y559" i="11" s="1"/>
  <c r="L559" i="11"/>
  <c r="U559" i="11"/>
  <c r="F82" i="5" s="1"/>
  <c r="P281" i="7"/>
  <c r="H64" i="5"/>
  <c r="L651" i="11"/>
  <c r="X651" i="11"/>
  <c r="Y651" i="11" s="1"/>
  <c r="U651" i="11"/>
  <c r="R258" i="10"/>
  <c r="Y258" i="10"/>
  <c r="Z258" i="10" s="1"/>
  <c r="Y481" i="11"/>
  <c r="Y701" i="11"/>
  <c r="L647" i="11"/>
  <c r="U647" i="11"/>
  <c r="X647" i="11"/>
  <c r="Z559" i="10"/>
  <c r="P195" i="6"/>
  <c r="H32" i="5"/>
  <c r="Y394" i="11"/>
  <c r="X1754" i="11"/>
  <c r="Y1754" i="11" s="1"/>
  <c r="Y783" i="10"/>
  <c r="M783" i="10"/>
  <c r="Z573" i="10"/>
  <c r="Y800" i="11"/>
  <c r="Y839" i="11"/>
  <c r="Z871" i="10"/>
  <c r="M701" i="10"/>
  <c r="Y701" i="10"/>
  <c r="Z701" i="10" s="1"/>
  <c r="Y393" i="11"/>
  <c r="M799" i="10"/>
  <c r="Y799" i="10"/>
  <c r="Z799" i="10" s="1"/>
  <c r="L546" i="11"/>
  <c r="X546" i="11"/>
  <c r="Y546" i="11" s="1"/>
  <c r="U546" i="11"/>
  <c r="F81" i="5" s="1"/>
  <c r="Y705" i="11"/>
  <c r="Y497" i="11"/>
  <c r="R280" i="10"/>
  <c r="Y280" i="10"/>
  <c r="Z280" i="10" s="1"/>
  <c r="Y416" i="11"/>
  <c r="Y493" i="11"/>
  <c r="F72" i="5" l="1"/>
  <c r="H72" i="5" s="1"/>
  <c r="Y631" i="11"/>
  <c r="Z688" i="10"/>
  <c r="Y630" i="11"/>
  <c r="Y647" i="11"/>
  <c r="Y617" i="11"/>
  <c r="Y652" i="11"/>
  <c r="Y505" i="11"/>
  <c r="Z689" i="10"/>
  <c r="Z691" i="10"/>
  <c r="Z777" i="10"/>
  <c r="Z703" i="10"/>
  <c r="P717" i="1"/>
  <c r="P1234" i="1"/>
  <c r="P712" i="7"/>
  <c r="P541" i="7"/>
  <c r="H70" i="5"/>
  <c r="P1403" i="6"/>
  <c r="H53" i="5"/>
  <c r="F92" i="5"/>
  <c r="H44" i="5"/>
  <c r="P886" i="6"/>
  <c r="P1060" i="1"/>
  <c r="H24" i="5"/>
  <c r="H81" i="5"/>
  <c r="P1230" i="7"/>
  <c r="Y645" i="11"/>
  <c r="Z722" i="10"/>
  <c r="P799" i="6"/>
  <c r="H43" i="5"/>
  <c r="Z710" i="10"/>
  <c r="Z715" i="10"/>
  <c r="Z704" i="10"/>
  <c r="Z694" i="10"/>
  <c r="H50" i="5"/>
  <c r="P1145" i="6"/>
  <c r="F90" i="5"/>
  <c r="H52" i="5"/>
  <c r="P1316" i="6"/>
  <c r="F102" i="5"/>
  <c r="F89" i="5"/>
  <c r="F74" i="5"/>
  <c r="Y615" i="11"/>
  <c r="H55" i="5"/>
  <c r="P1578" i="6"/>
  <c r="Z783" i="10"/>
  <c r="F73" i="5"/>
  <c r="F76" i="5"/>
  <c r="P110" i="1"/>
  <c r="H13" i="5"/>
  <c r="P370" i="1"/>
  <c r="H16" i="5"/>
  <c r="Y626" i="11"/>
  <c r="P24" i="1"/>
  <c r="H12" i="5"/>
  <c r="H42" i="5"/>
  <c r="P712" i="6"/>
  <c r="Y633" i="11"/>
  <c r="Y629" i="11"/>
  <c r="P1752" i="6"/>
  <c r="H57" i="5"/>
  <c r="H34" i="5"/>
  <c r="H35" i="5" s="1"/>
  <c r="N28" i="5" s="1"/>
  <c r="P28" i="5" s="1"/>
  <c r="P368" i="6"/>
  <c r="Y614" i="11"/>
  <c r="F71" i="5"/>
  <c r="F91" i="5"/>
  <c r="P626" i="6"/>
  <c r="H41" i="5"/>
  <c r="Z765" i="10"/>
  <c r="F84" i="5"/>
  <c r="H82" i="5"/>
  <c r="P1316" i="7"/>
  <c r="Z784" i="10"/>
  <c r="F83" i="5"/>
  <c r="Y636" i="11"/>
  <c r="H40" i="5"/>
  <c r="P541" i="6"/>
  <c r="Z707" i="10"/>
  <c r="Y632" i="11"/>
  <c r="P630" i="1"/>
  <c r="H19" i="5"/>
  <c r="P1665" i="6"/>
  <c r="H56" i="5"/>
  <c r="Z712" i="10"/>
  <c r="Z791" i="10"/>
  <c r="Y638" i="11"/>
  <c r="Z795" i="10"/>
  <c r="H51" i="5"/>
  <c r="P1230" i="6"/>
  <c r="H25" i="5"/>
  <c r="P1147" i="1"/>
  <c r="Y613" i="11"/>
  <c r="F96" i="5"/>
  <c r="Y649" i="11"/>
  <c r="Y619" i="11"/>
  <c r="H54" i="5"/>
  <c r="P1490" i="6"/>
  <c r="Y648" i="11"/>
  <c r="Y643" i="11"/>
  <c r="H14" i="5"/>
  <c r="P196" i="1"/>
  <c r="H46" i="5"/>
  <c r="P1059" i="6"/>
  <c r="F80" i="5"/>
  <c r="H17" i="5"/>
  <c r="P456" i="1"/>
  <c r="F98" i="5"/>
  <c r="P973" i="6"/>
  <c r="H45" i="5"/>
  <c r="P889" i="1"/>
  <c r="H22" i="5"/>
  <c r="Y616" i="11"/>
  <c r="Y620" i="11"/>
  <c r="F75" i="5"/>
  <c r="F97" i="5"/>
  <c r="H65" i="5"/>
  <c r="H66" i="5" s="1"/>
  <c r="N31" i="5" s="1"/>
  <c r="P31" i="5" s="1"/>
  <c r="P368" i="7"/>
  <c r="H39" i="5"/>
  <c r="P455" i="6"/>
  <c r="Z726" i="10"/>
  <c r="H96" i="5" l="1"/>
  <c r="P368" i="8"/>
  <c r="P541" i="8"/>
  <c r="H98" i="5"/>
  <c r="H74" i="5"/>
  <c r="P886" i="7"/>
  <c r="H89" i="5"/>
  <c r="P24" i="8"/>
  <c r="P628" i="8"/>
  <c r="H102" i="5"/>
  <c r="H47" i="5"/>
  <c r="N29" i="5" s="1"/>
  <c r="P29" i="5" s="1"/>
  <c r="P1490" i="7"/>
  <c r="H84" i="5"/>
  <c r="P110" i="8"/>
  <c r="H90" i="5"/>
  <c r="H92" i="5"/>
  <c r="P281" i="8"/>
  <c r="H75" i="5"/>
  <c r="P973" i="7"/>
  <c r="H58" i="5"/>
  <c r="N30" i="5" s="1"/>
  <c r="P30" i="5" s="1"/>
  <c r="P195" i="8"/>
  <c r="H91" i="5"/>
  <c r="P1403" i="7"/>
  <c r="H83" i="5"/>
  <c r="H71" i="5"/>
  <c r="P626" i="7"/>
  <c r="P1059" i="7"/>
  <c r="H76" i="5"/>
  <c r="P454" i="8"/>
  <c r="H97" i="5"/>
  <c r="H27" i="5"/>
  <c r="N27" i="5" s="1"/>
  <c r="P799" i="7"/>
  <c r="H73" i="5"/>
  <c r="P1145" i="7"/>
  <c r="H80" i="5"/>
  <c r="H93" i="5" l="1"/>
  <c r="N34" i="5" s="1"/>
  <c r="P34" i="5" s="1"/>
  <c r="H77" i="5"/>
  <c r="N32" i="5" s="1"/>
  <c r="P32" i="5" s="1"/>
  <c r="H103" i="5"/>
  <c r="M102" i="5"/>
  <c r="P27" i="5"/>
  <c r="H85" i="5"/>
  <c r="N33" i="5" s="1"/>
  <c r="P33" i="5" s="1"/>
  <c r="H99" i="5"/>
  <c r="N37" i="5" l="1"/>
  <c r="P37" i="5" s="1"/>
  <c r="P7" i="5"/>
  <c r="Q7" i="5" s="1"/>
  <c r="N35" i="5"/>
  <c r="P35" i="5" s="1"/>
  <c r="H105" i="5"/>
  <c r="N38" i="5"/>
  <c r="P38" i="5" s="1"/>
  <c r="O104" i="5" l="1"/>
  <c r="O107" i="5" s="1"/>
  <c r="Q107" i="5" s="1"/>
  <c r="R108" i="5" s="1"/>
  <c r="G141" i="5"/>
  <c r="H141" i="5" s="1"/>
  <c r="H144" i="5" s="1"/>
  <c r="K105" i="5"/>
  <c r="K112" i="5"/>
  <c r="Q113" i="5" s="1"/>
  <c r="P114" i="5"/>
  <c r="R115" i="5" s="1"/>
  <c r="K104" i="5"/>
  <c r="N99" i="5"/>
</calcChain>
</file>

<file path=xl/sharedStrings.xml><?xml version="1.0" encoding="utf-8"?>
<sst xmlns="http://schemas.openxmlformats.org/spreadsheetml/2006/main" count="10078" uniqueCount="483">
  <si>
    <t>Código</t>
  </si>
  <si>
    <t>MUNICIPIO DE CUBARÁ</t>
  </si>
  <si>
    <t>VERSIÓN</t>
  </si>
  <si>
    <t>PAGINA</t>
  </si>
  <si>
    <t>DE</t>
  </si>
  <si>
    <t>ANÁLISIS DE PRECIOS UNITARIOS</t>
  </si>
  <si>
    <t>FECHA</t>
  </si>
  <si>
    <t>DD</t>
  </si>
  <si>
    <t>MM</t>
  </si>
  <si>
    <t>AA</t>
  </si>
  <si>
    <t>DATOS ESPECÍFICOS</t>
  </si>
  <si>
    <t>APU-ID</t>
  </si>
  <si>
    <t>INS-ID</t>
  </si>
  <si>
    <t>ÍTEM</t>
  </si>
  <si>
    <t>DESCRIPCIÓN</t>
  </si>
  <si>
    <t>UNIDAD</t>
  </si>
  <si>
    <t>CANTIDAD</t>
  </si>
  <si>
    <t>I. EQUIPO</t>
  </si>
  <si>
    <t>MARCA</t>
  </si>
  <si>
    <t>TIPO</t>
  </si>
  <si>
    <t>TARIFA</t>
  </si>
  <si>
    <t>RENDIMIENTO</t>
  </si>
  <si>
    <t>Vr. UNITARIO</t>
  </si>
  <si>
    <t>EQ00001</t>
  </si>
  <si>
    <t>SUBTOTAL</t>
  </si>
  <si>
    <t>II. MATERIALES</t>
  </si>
  <si>
    <t>PRECIO UNITARIO</t>
  </si>
  <si>
    <t>MA00025</t>
  </si>
  <si>
    <t>DESPERDICIO</t>
  </si>
  <si>
    <t>%</t>
  </si>
  <si>
    <t>III. TRANSPORTES</t>
  </si>
  <si>
    <t>MATERIAL</t>
  </si>
  <si>
    <t>VOL. o PESO</t>
  </si>
  <si>
    <t>DISTANCIA</t>
  </si>
  <si>
    <t>M3 o Ton/Km</t>
  </si>
  <si>
    <t>TR00001</t>
  </si>
  <si>
    <t>IV. MANO DE OBRA</t>
  </si>
  <si>
    <t>TRABAJADOR</t>
  </si>
  <si>
    <t>JORNAL</t>
  </si>
  <si>
    <t>PRESTACIONES</t>
  </si>
  <si>
    <t>JORNAL TOTAL</t>
  </si>
  <si>
    <t>MO00002</t>
  </si>
  <si>
    <t>MO00004</t>
  </si>
  <si>
    <t>TOTAL COSTO DIRECTO $</t>
  </si>
  <si>
    <t>Porcentaje</t>
  </si>
  <si>
    <t>Valor Total</t>
  </si>
  <si>
    <t>Precio Unitario Total Aproximado al peso $</t>
  </si>
  <si>
    <t>Análisis de Precios Unitarios- Secretaria de Planeación y Obras Publicas de Cubará, Boyacá.</t>
  </si>
  <si>
    <t>CCE-EICP-FM-14</t>
  </si>
  <si>
    <t>M3</t>
  </si>
  <si>
    <t>KG</t>
  </si>
  <si>
    <t>Proyectó:</t>
  </si>
  <si>
    <t>Aprobó:</t>
  </si>
  <si>
    <t>JESÚS IVÁN QUIÑONES RUEDA</t>
  </si>
  <si>
    <t>APOYO SEC. DE PLANEACIÓN Y OBRAS PÚBLICAS</t>
  </si>
  <si>
    <t>SECRETARIO DE PLANEACIÓN Y OBRAS PUBLICAS</t>
  </si>
  <si>
    <t>DATOS DEL PROYECTO</t>
  </si>
  <si>
    <t>ENTIDAD</t>
  </si>
  <si>
    <t>DÍA</t>
  </si>
  <si>
    <t>MES</t>
  </si>
  <si>
    <t>AÑO</t>
  </si>
  <si>
    <t>CÓDIGO</t>
  </si>
  <si>
    <t>TIPO DE FORMULARIO</t>
  </si>
  <si>
    <t>OBJETO</t>
  </si>
  <si>
    <t>A</t>
  </si>
  <si>
    <t>ADMINISTRACIÓN</t>
  </si>
  <si>
    <t>I</t>
  </si>
  <si>
    <t>IMPREVISTOS</t>
  </si>
  <si>
    <t>U</t>
  </si>
  <si>
    <t>UTILIDAD</t>
  </si>
  <si>
    <t>NOMBRE:</t>
  </si>
  <si>
    <t>CARGO:</t>
  </si>
  <si>
    <t xml:space="preserve">MATRICULA P: </t>
  </si>
  <si>
    <t>Descripcion</t>
  </si>
  <si>
    <t>HELMER EDUARDO BECERRA SANTANDER</t>
  </si>
  <si>
    <t>123769-0701671 NTS</t>
  </si>
  <si>
    <t>A21382020-1090480860</t>
  </si>
  <si>
    <t>MA00146</t>
  </si>
  <si>
    <t>MA00098</t>
  </si>
  <si>
    <t>MA00094</t>
  </si>
  <si>
    <t>MA00058</t>
  </si>
  <si>
    <t>MO00003</t>
  </si>
  <si>
    <t>VALOR UNITARIO</t>
  </si>
  <si>
    <t>VALOR TOTAL ($)</t>
  </si>
  <si>
    <t>OBRAS PRELIMINARES</t>
  </si>
  <si>
    <t>LOCALIZACIÓN Y REPLANTEO DE OBRA ARQUITECTÓNICA (NO INCLUYE COMISIÓN TOPOGRÁFICA)</t>
  </si>
  <si>
    <t>DESMONTE DE CUBIERTA DE ZINC + ENTRAMADO. (INCLUYE RETIRO Y ACARREO LIBRE HASTA 5 KM.)</t>
  </si>
  <si>
    <t>DESMONTE CUBIERTAS TEJA DE ASBESTO Y/ O ASBESTO CEMENTO. (INCLUYE RETIRO - ACARREO LIBRE HASTA 5 KM.)</t>
  </si>
  <si>
    <t>DESMONTE DE CORREAS METÁLICAS  (INCLUYE RETIRO Y ACARREO LIBRE HASTA 5 KM.)</t>
  </si>
  <si>
    <t>DESMONTE DE ESTRUCTURA METÁLICA PERFILES - VIGAS.</t>
  </si>
  <si>
    <t>DEMOLICIÓN DE MESÓN EN CONCRETO. (INCLUYE RETIRO Y ACARREO LIBRE HASTA 5 KM.)</t>
  </si>
  <si>
    <t>DEMOLICIÓN DE MUROS EN MAMPOSTERÍA DE LADRILLO E = 0.25 M. (INCLUYE RETIRO Y ACARREO LIBRE HASTA 5 KM.)</t>
  </si>
  <si>
    <t>DEMOLICIÓN DE ENCHAPE CERÁMICO, (INCLUYE RETIRO Y ACARREO LIBRE HASTA 5 KM.)</t>
  </si>
  <si>
    <t>DESMONTE DE DIVISIÓN - PISO A TECHO. (INCLUYE RETIRO Y ACARREO LIBRE HASTA 5 KM.)</t>
  </si>
  <si>
    <t>ASEO GENERAL PARA ENTREGA FINAL DE EDIFICACIONES INCLUYE MUROS, FACHADAS, VENTANAS PUERTAS Y CIELO RASOS</t>
  </si>
  <si>
    <t>LIMPIEZA DE MUROS CON HIDROLAVADORA</t>
  </si>
  <si>
    <t>REGATAS SOBRE MUROS EN CONCRETO, MAMPOSTERÍA DE LADRILLO O DE BLOQUE</t>
  </si>
  <si>
    <t>DEMOLICIÓN DE MURO EN CONCRETO REFORZADO, (INCLUYE RETIRO Y ACARREO LIBRE HASTA 5 KM.)</t>
  </si>
  <si>
    <t>DEMOLICIÓN DE MUROS EN MAMPOSTERÍA DE LADRILLO E = 0.15 M. (INCLUYE RETIRO Y ACARREO LIBRE HASTA 5 KM.)</t>
  </si>
  <si>
    <t>DEMOLICIÓN DE PAÑETES. (INCLUYE RETIRO Y ACARREO LIBRE HASTA 5 KM.)</t>
  </si>
  <si>
    <t>DEMOLICIÓN DE PLACA DE PISO EN CONCRETO DE E = 10 CM. (INCLUYE RETIRO Y ACARREO LIBRE HASTA 5 KM.)</t>
  </si>
  <si>
    <t>DEMOLICIÓN DE PISO EN CERÁMICA + MORTERO. (INCLUYE RETIRO Y ACARREO LIBRE HASTA 5 KM.)</t>
  </si>
  <si>
    <t>DESMONTE DE MARCOS, PUERTAS Y VENTANAS.</t>
  </si>
  <si>
    <t>DEMOLICIÓN DE CIELO FALSO EN ESTRUCTURA DE ALUMINIO, (INCLUYE RETIRO Y ACARREO LIBRE HASTA 5 KM.)</t>
  </si>
  <si>
    <t>RELLENO CON MATERIAL DE EXCAVACION COMPACTADO MANUALMENTE CON PISON</t>
  </si>
  <si>
    <t>DESCAPOTE MANUAL HASTA 20 CM (INCLUYE RETIRO Y ACARREO LIBRE HASTA 5 KM)</t>
  </si>
  <si>
    <t>EXCAVACIÓN MANUAL EN MATERIAL COMÚN</t>
  </si>
  <si>
    <t>EXCAVACIÓN MANUAL EN MATERIAL CONGLOMERADO</t>
  </si>
  <si>
    <t>SUMINISTRO, EXTENDIDA Y COMPACTACIÓN DE MATERIAL PARA AFIRMADO HASTA UN DIÁMETRO DE 2", (IP ≤ 9%), COMPACTADO AL 95% PROCTOR MODIFICADO</t>
  </si>
  <si>
    <t>DESMONTE DE CUBIERTA EN LÁMINA</t>
  </si>
  <si>
    <t>CIMENTACIONES</t>
  </si>
  <si>
    <t>SOLADO CONCRETO f'c = 2000 psi (14 MPa), ESPESOR 0.05 M</t>
  </si>
  <si>
    <t>ZAPATA CUADRADA EN CONCRETO f'c = 3000 PSI (21MPa), Dimensiones 0,9x0,9x0,25 m</t>
  </si>
  <si>
    <t>PEDESTAL EN CONCRETO f'c = 3000 PSI (21MPa), Dimensiones 0,25x0,25x0,50 m</t>
  </si>
  <si>
    <t xml:space="preserve">VIGA DE CIMENTACIÓN EN CONCRETO f'c = 3000 PSI (21MPa), Sección 0,20x0,30 m </t>
  </si>
  <si>
    <t>SUMINISTRO E INSTALACIÓN DE CONCRETO CICLÓPEO 21 MPA (60C/40P) PARA BASES DE ESTRUCTURAS DE DRENAJE Y CONTENCIÓN</t>
  </si>
  <si>
    <t>ESTRUCTURAS EN CONCRETO</t>
  </si>
  <si>
    <t>COLUMNA EN CONCRETO f'c = 3000 PSI (21MPa), Dimensiones 0,12x0,20 m</t>
  </si>
  <si>
    <t>COLUMNA EN CONCRETO f'c = 3000 PSI (21MPa), Dimensiones 0,15x0,20 m</t>
  </si>
  <si>
    <t>VIGA DE AMARRE SOBRE MURO EN CONCRETO f'c = 3000 PSI (21MPa), Dimensiones 0,15X0,20 m</t>
  </si>
  <si>
    <t>COLUMNA EN TUBO ESTRUCTURAL HR50 4mm, Dimensiones 0,10 X 0,10 M</t>
  </si>
  <si>
    <t xml:space="preserve">PLACA BASE E= 8 CM EN CONCRETO f'c = 2500 PSI (17.5 Mpa), Incluye malla electrosoldada </t>
  </si>
  <si>
    <t>PLACA BASE E= 5 CM EN CONCRETO f'c = 2500 PSI (17.5 Mpa)</t>
  </si>
  <si>
    <t>MESONES EN CONCRETO A = 0.60 M. 17.5 MPa - (2500 PSI) INCLUYE REFUERZO, E = 0.05 M.</t>
  </si>
  <si>
    <t>INSTALACIONES HIDRAHULICAS Y SANITARIAS</t>
  </si>
  <si>
    <t>SUMINISTRO E INSTALACIÓN DE TUBERÍA PVC DE 1/2" T.P, PARA RED DE SUMINISTRO INTERNA.</t>
  </si>
  <si>
    <t>SUMINISTRO E INSTALACIÓN DE SALIDA DE AGUA FRÍA EN TUBERÍA PVC DE 1/2" T.P.</t>
  </si>
  <si>
    <t>SUMINISTRO E INSTALACIÓN DE TUBERÍA PVC SANITARIA D = 2"</t>
  </si>
  <si>
    <t>SUMINISTRO E INSTALACIÓN DE SIFÓN SANITARIO DE 2" PVC</t>
  </si>
  <si>
    <t>SUMINISTRO E INSTALACIÓN DE TUBERÍA PVC SANITARIA D = 3"</t>
  </si>
  <si>
    <t>SUMINISTRO E INSTALACIÓN DE SIFÓN SANITARIO DE 3" PVC</t>
  </si>
  <si>
    <t>SUMINISTRO E INSTALACIÓN DE TUBERÍA PVC SANITARIA DE Ø=4"</t>
  </si>
  <si>
    <t>SUMINISTRO E INSTALACIÓN DE SIFÓN SANITARIO DE 4" PVC</t>
  </si>
  <si>
    <t>INSTALACIONES ELECTRICAS</t>
  </si>
  <si>
    <t>SUMINISTRO E INSTALACIÓN DE ALIMENTADOR PARCIAL MONOFÁSICO EN CABLE DE COBRE No.12 AWG ( F,N,T). (INCLUYE TUBO PVC DE 1/2")</t>
  </si>
  <si>
    <t xml:space="preserve">SUMINISTRO E INSTALACION DE INTERRUPTOR SENCILLO </t>
  </si>
  <si>
    <t xml:space="preserve">SUMINISTRO E INSTALACION DE INTERRUPTOR DOBLE </t>
  </si>
  <si>
    <t>SUMINISTRO E INSTALACION DE PLAFON Y BOMBILLO DE 40W</t>
  </si>
  <si>
    <t>SUMINISTRO E INSTALACIÓN DE TOMACORRIENTE DOBLE MONOFÁSICA</t>
  </si>
  <si>
    <t>MAMPOSTERIA, ENCHAPES Y PISOS</t>
  </si>
  <si>
    <t>MURO EN BLOQUE No 4</t>
  </si>
  <si>
    <t>PAÑETE LISO SOBRE MURO E=1,5 CM</t>
  </si>
  <si>
    <t>ENCHAPE EN CERÁMICA PARA MURO</t>
  </si>
  <si>
    <t>SUMINISTRO E INSTALACIÓN DE VINILO TIPO I SOBRE PAÑETE O ESTUCO A TRES MANOS (INTERIORES)</t>
  </si>
  <si>
    <t>SUMINISTRO E INSTALACIÓN DE PINTURA KORAZA O SIMILAR PARA FACHADAS TRES MANOS (EXTERIORES)</t>
  </si>
  <si>
    <t>ENCHAPE EN CERÁMICA PARA PISO</t>
  </si>
  <si>
    <t>ENCHAPE CERÁMICO EN MESÓN DE COCINA</t>
  </si>
  <si>
    <t>GUARDA ESCOBA EN CERÁMICA E = 8.0 CM.</t>
  </si>
  <si>
    <t>CUBIERTA</t>
  </si>
  <si>
    <t>SUMINISTRO E INSTALACIÓN DE TUBO RECTANGULAR DE 3 X 1 1/2" CAL. 18</t>
  </si>
  <si>
    <t>SUMINISTRO E INSTALACIÓN DE TUBO RECTANGULAR DE 4X 2" CAL. 14</t>
  </si>
  <si>
    <t>MANTENIMIENTO DE TUBO RECTANGULAR DE 3 X 1 1/2" CAL. 18</t>
  </si>
  <si>
    <t>SUMINISTRO E INSTALACIÓN DE CUBIERTA EN TEJA MASTER 1000 CAL.28 1,00 X 3,05 M</t>
  </si>
  <si>
    <t>SUMINISTRO E INSTALACIÓN DE CABALLETE EN TEJA MASTER 1000</t>
  </si>
  <si>
    <t>APARATOS SANITARIOS Y DE COCINA</t>
  </si>
  <si>
    <t>SUMINISTRO E INSTALACIÓN DE SANITARIO SENCILLO BLANCO</t>
  </si>
  <si>
    <t>UND</t>
  </si>
  <si>
    <t>SUMINISTRO E INSTALACIÓN DE LAVAMANOS COLOR BLANCO DE COLGAR INCLUYE ELEMENTOS DE FIJACIÓN</t>
  </si>
  <si>
    <t>SUMINISTRO E INSTALACIÓN GRIFERÍA PARA DUCHA SENCILLA</t>
  </si>
  <si>
    <t>SUMINISTRO E INSTALACIÓN LAVAPLATOS ACERO INOXIDABLE 0.6 X 0.40 M</t>
  </si>
  <si>
    <t>CARPINTERIA METALICA</t>
  </si>
  <si>
    <t>SUMINISTRO E INSTALACIÓN DE PUERTA EN LÁMINA CAL. 18.</t>
  </si>
  <si>
    <t>M2</t>
  </si>
  <si>
    <t>SUMINISTRO E INSTALACIÓN DE VENTANA EN LÁMINA COLD ROLLED CAL.18 CON VIDRIO. (INCLUYE ANTICORROSIVO).</t>
  </si>
  <si>
    <t>CERRAMIENTO EN MALLA ESLABONADA CAL 10 (INCLUYE TUBO AGUA NEGRA DE 2" Y ANGULO 1" X 1" X1/8")</t>
  </si>
  <si>
    <t>SUMINISTRO E INSTALACIÓN DE CANAL EN LÁMINA GALVANIZADA CAL.20 DESARROLLO HASTA 0.50 M</t>
  </si>
  <si>
    <t>ML</t>
  </si>
  <si>
    <t>TOTAL OBRA</t>
  </si>
  <si>
    <t>CUPO POR VIVIENDA</t>
  </si>
  <si>
    <t>FORMULARIO 1</t>
  </si>
  <si>
    <t>PRESUPUESTO OFICIAL</t>
  </si>
  <si>
    <t>Nº</t>
  </si>
  <si>
    <t>UND.</t>
  </si>
  <si>
    <t>M</t>
  </si>
  <si>
    <t>1</t>
  </si>
  <si>
    <t>2</t>
  </si>
  <si>
    <t>5</t>
  </si>
  <si>
    <t>7</t>
  </si>
  <si>
    <t>8</t>
  </si>
  <si>
    <t>9</t>
  </si>
  <si>
    <t>Subtotal</t>
  </si>
  <si>
    <t>VALOR TOTAL</t>
  </si>
  <si>
    <r>
      <rPr>
        <b/>
        <sz val="12"/>
        <rFont val="Arial Narrow"/>
        <family val="2"/>
      </rPr>
      <t xml:space="preserve">NOTA 1: </t>
    </r>
    <r>
      <rPr>
        <sz val="12"/>
        <rFont val="Arial Narrow"/>
        <family val="2"/>
      </rPr>
      <t xml:space="preserve"> Se debe tener en cuenta que el PRECIO UNITARIO incluye el valor de A.I.U. </t>
    </r>
  </si>
  <si>
    <t>DESCRIPCION</t>
  </si>
  <si>
    <t>PORCENTAJE</t>
  </si>
  <si>
    <r>
      <rPr>
        <b/>
        <sz val="12"/>
        <rFont val="Arial Narrow"/>
        <family val="2"/>
      </rPr>
      <t>NOTA 2</t>
    </r>
    <r>
      <rPr>
        <sz val="12"/>
        <rFont val="Arial Narrow"/>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</si>
  <si>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t>
  </si>
  <si>
    <r>
      <rPr>
        <b/>
        <sz val="12"/>
        <rFont val="Arial Narrow"/>
        <family val="2"/>
      </rPr>
      <t>NOTA 3:</t>
    </r>
    <r>
      <rPr>
        <sz val="12"/>
        <rFont val="Arial Narrow"/>
        <family val="2"/>
      </rPr>
      <t xml:space="preserve"> El A.I.U y su discriminación deben estar en porcentaje (%). </t>
    </r>
  </si>
  <si>
    <t>IMPREVISTO</t>
  </si>
  <si>
    <t>I=</t>
  </si>
  <si>
    <t>U=</t>
  </si>
  <si>
    <t>TOTAL A.I.U</t>
  </si>
  <si>
    <t>A.I.U.=</t>
  </si>
  <si>
    <t>__________________________________________________</t>
  </si>
  <si>
    <t>Nombre: HELMER EDUARDO BECERRA SANTANDER</t>
  </si>
  <si>
    <t>Nombre: JESUS IVAN QUIÑONES RUEDA</t>
  </si>
  <si>
    <t>Apoyo Sec. Planeacion y Obras Publicas</t>
  </si>
  <si>
    <t>Secretario de Planeacion y Obras Publicas</t>
  </si>
  <si>
    <t>Matricula No. :123769-0701671 NTS</t>
  </si>
  <si>
    <t>Matricula No. :    A21382020-1090480860</t>
  </si>
  <si>
    <t>REVISAR TRASPORTE VEHICULAR</t>
  </si>
  <si>
    <t>DEMOLICIÓN DE ESTRUCTURAS DE CONCRETO CICLOPEO, (INCLUYE RETIRO Y ACARREO LIBRE
HASTA 5 KM.)</t>
  </si>
  <si>
    <t xml:space="preserve">DEMOLICIÓN OBRAS EN CONCRETO REFORZADO, INCLUYE CARGUE Y RETIRO DE SOBRANTES CON ACARREO LIBRE HASTA 5 KM.). </t>
  </si>
  <si>
    <t>SUMINISTRO, FIGURADA Y AMARRE DE ACERO 60,000 PSI (420 Mpa)</t>
  </si>
  <si>
    <t>CUBIERTAS</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</si>
  <si>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</si>
  <si>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</si>
  <si>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</si>
  <si>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</si>
  <si>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</si>
  <si>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</si>
  <si>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</si>
  <si>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</si>
  <si>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</si>
  <si>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</si>
  <si>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</si>
  <si>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</si>
  <si>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</si>
  <si>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</si>
  <si>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</si>
  <si>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</si>
  <si>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</si>
  <si>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</si>
  <si>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</si>
  <si>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</si>
  <si>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</si>
  <si>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</si>
  <si>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</si>
  <si>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</si>
  <si>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</si>
  <si>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</si>
  <si>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</si>
  <si>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</si>
  <si>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</si>
  <si>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</si>
  <si>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</si>
  <si>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</si>
  <si>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</si>
  <si>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</si>
  <si>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</si>
  <si>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</si>
  <si>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</si>
  <si>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</si>
  <si>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</si>
  <si>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</si>
  <si>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</si>
  <si>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</si>
  <si>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</si>
  <si>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</si>
  <si>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</si>
  <si>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</si>
  <si>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</si>
  <si>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</si>
  <si>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</si>
  <si>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</si>
  <si>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</si>
  <si>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</si>
  <si>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</si>
  <si>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EQ00028</t>
  </si>
  <si>
    <t>TR00002</t>
  </si>
  <si>
    <t>EQ00027</t>
  </si>
  <si>
    <t>APU-00024</t>
  </si>
  <si>
    <t>EQ00024</t>
  </si>
  <si>
    <t>EQ00033</t>
  </si>
  <si>
    <t>EQ00020</t>
  </si>
  <si>
    <t>EQ00007</t>
  </si>
  <si>
    <t>EQ00023</t>
  </si>
  <si>
    <t>MA00018</t>
  </si>
  <si>
    <t>MATERIAL DE AFIRMADO SEGÚN NORMA INVIAS</t>
  </si>
  <si>
    <t>SUMINISTRO, EXTENDIDA Y COMPACTACIÓN DE MATERIAL PARA AFIRMADO HASTA UN DIÁMETRO DE 2".</t>
  </si>
  <si>
    <t>MA00034</t>
  </si>
  <si>
    <t>EQ00029</t>
  </si>
  <si>
    <t>MA00036</t>
  </si>
  <si>
    <t>MA00150</t>
  </si>
  <si>
    <t>MA00148</t>
  </si>
  <si>
    <t>MA00095</t>
  </si>
  <si>
    <t>MA00004</t>
  </si>
  <si>
    <t>MA00021</t>
  </si>
  <si>
    <t>EQ00025</t>
  </si>
  <si>
    <t>MA00161</t>
  </si>
  <si>
    <t>MA00187</t>
  </si>
  <si>
    <t>MA00068</t>
  </si>
  <si>
    <t>MA00072</t>
  </si>
  <si>
    <t>MA00167</t>
  </si>
  <si>
    <t>MA00169</t>
  </si>
  <si>
    <t>MO00010</t>
  </si>
  <si>
    <t>MO00005</t>
  </si>
  <si>
    <t>MA00035</t>
  </si>
  <si>
    <t>MA00197</t>
  </si>
  <si>
    <t>MA00003</t>
  </si>
  <si>
    <t>MA00109</t>
  </si>
  <si>
    <t>MA00111</t>
  </si>
  <si>
    <t>MA00107</t>
  </si>
  <si>
    <t>MA00101</t>
  </si>
  <si>
    <t>MA00188</t>
  </si>
  <si>
    <t>MA00143</t>
  </si>
  <si>
    <t>MA00099</t>
  </si>
  <si>
    <t>MA00105</t>
  </si>
  <si>
    <t>MA00057</t>
  </si>
  <si>
    <t>MA00136</t>
  </si>
  <si>
    <t>MA00139</t>
  </si>
  <si>
    <t>MA00115</t>
  </si>
  <si>
    <t>MA00132</t>
  </si>
  <si>
    <t>MA00129</t>
  </si>
  <si>
    <t>MA00137</t>
  </si>
  <si>
    <t>MA00140</t>
  </si>
  <si>
    <t>MA00116</t>
  </si>
  <si>
    <t>MA00133</t>
  </si>
  <si>
    <t>MA00130</t>
  </si>
  <si>
    <t>MA00138</t>
  </si>
  <si>
    <t>MA00141</t>
  </si>
  <si>
    <t>MA00117</t>
  </si>
  <si>
    <t>MA00134</t>
  </si>
  <si>
    <t>MA00131</t>
  </si>
  <si>
    <t>MA00087</t>
  </si>
  <si>
    <t>MA00080</t>
  </si>
  <si>
    <t>MA00088</t>
  </si>
  <si>
    <t>MA00073</t>
  </si>
  <si>
    <t>MA00075</t>
  </si>
  <si>
    <t>MA00144</t>
  </si>
  <si>
    <t>MA00142</t>
  </si>
  <si>
    <t>MO00009</t>
  </si>
  <si>
    <t>MA00082</t>
  </si>
  <si>
    <t>MA00081</t>
  </si>
  <si>
    <t>MA00083</t>
  </si>
  <si>
    <t>MA00245</t>
  </si>
  <si>
    <t>MA00085</t>
  </si>
  <si>
    <t>MA00151</t>
  </si>
  <si>
    <t>MA00043</t>
  </si>
  <si>
    <t>MA00194</t>
  </si>
  <si>
    <t>MA00054</t>
  </si>
  <si>
    <t>MA00047</t>
  </si>
  <si>
    <t>MA00053</t>
  </si>
  <si>
    <t>MA00052</t>
  </si>
  <si>
    <t>MA00170</t>
  </si>
  <si>
    <t>MA00193</t>
  </si>
  <si>
    <t>MA00192</t>
  </si>
  <si>
    <t>MA00049</t>
  </si>
  <si>
    <t>MA00048</t>
  </si>
  <si>
    <t>EQ00026</t>
  </si>
  <si>
    <t>MA00162</t>
  </si>
  <si>
    <t>MA00208</t>
  </si>
  <si>
    <t>EQ00019</t>
  </si>
  <si>
    <t>MA00066</t>
  </si>
  <si>
    <t>MA00067</t>
  </si>
  <si>
    <t>MA00175</t>
  </si>
  <si>
    <t>MA00063</t>
  </si>
  <si>
    <t>MA00128</t>
  </si>
  <si>
    <t>MA00114</t>
  </si>
  <si>
    <t>MA00176</t>
  </si>
  <si>
    <t>MA00120</t>
  </si>
  <si>
    <t>MA00119</t>
  </si>
  <si>
    <t>MA00122</t>
  </si>
  <si>
    <t>MA00157</t>
  </si>
  <si>
    <t>MA00158</t>
  </si>
  <si>
    <t>MA00160</t>
  </si>
  <si>
    <t>MA00090</t>
  </si>
  <si>
    <t>MA00092</t>
  </si>
  <si>
    <t>MA00002</t>
  </si>
  <si>
    <t>MA00163</t>
  </si>
  <si>
    <t>MA00041</t>
  </si>
  <si>
    <t>MA00154</t>
  </si>
  <si>
    <t>MA00089</t>
  </si>
  <si>
    <t>MA00091</t>
  </si>
  <si>
    <t>MA00190</t>
  </si>
  <si>
    <t>MA00156</t>
  </si>
  <si>
    <t>MA00186</t>
  </si>
  <si>
    <t>SUMINISTRO E INSTALACIÓN DE CANAL EN LÁMINA GALVANIZADA CAL.20 DESARROLLO HASTA 0.60 M</t>
  </si>
  <si>
    <t>CAMION CON CAPACIDAD DE CARGA DE 3.5 TON.</t>
  </si>
  <si>
    <t>HORA</t>
  </si>
  <si>
    <t>DIA</t>
  </si>
  <si>
    <t>Formato Memoria de Cantidades de Obra</t>
  </si>
  <si>
    <r>
      <t>Entidad Proponente:</t>
    </r>
    <r>
      <rPr>
        <sz val="10"/>
        <color indexed="8"/>
        <rFont val="Arial"/>
        <family val="2"/>
      </rPr>
      <t xml:space="preserve"> </t>
    </r>
  </si>
  <si>
    <t>Alcaldía de Cubara</t>
  </si>
  <si>
    <t xml:space="preserve">Entidad Ejecutora: </t>
  </si>
  <si>
    <t>SECRETARÍA DE PLANEACIÓN Y OBRAS PUBLICAS</t>
  </si>
  <si>
    <t>Fecha:</t>
  </si>
  <si>
    <t xml:space="preserve">Departamento: </t>
  </si>
  <si>
    <t>BOYACÁ</t>
  </si>
  <si>
    <t>Etapa:</t>
  </si>
  <si>
    <t>Año Calendario:</t>
  </si>
  <si>
    <t>Año del Proyectó:</t>
  </si>
  <si>
    <t>Municipio:</t>
  </si>
  <si>
    <t>CUBARA</t>
  </si>
  <si>
    <t>MEMORIAS DE CANTIDADES DE OBRA</t>
  </si>
  <si>
    <t>Ítem</t>
  </si>
  <si>
    <t>Actividad</t>
  </si>
  <si>
    <t>Und.</t>
  </si>
  <si>
    <t>Localización de los Elementos</t>
  </si>
  <si>
    <t>Formula de Cálculo</t>
  </si>
  <si>
    <t>Dimensiones</t>
  </si>
  <si>
    <t>Cantidades</t>
  </si>
  <si>
    <t>A (m2) Area</t>
  </si>
  <si>
    <t>P(m) Perímetro</t>
  </si>
  <si>
    <t>a (m)
Ancho</t>
  </si>
  <si>
    <t>L (m)
Largo</t>
  </si>
  <si>
    <t>h (m)
Alto - Espesor</t>
  </si>
  <si>
    <t>V (m3) Volumen</t>
  </si>
  <si>
    <t>C (Und)
Cant. De elementos</t>
  </si>
  <si>
    <t>Cant. Parcial</t>
  </si>
  <si>
    <t>BANEFICIARIO 1</t>
  </si>
  <si>
    <t>BANEFICIARIO 2</t>
  </si>
  <si>
    <t>BANEFICIARIO 3</t>
  </si>
  <si>
    <t>BANEFICIARIO 4</t>
  </si>
  <si>
    <t>A=(Ancho x Largo)* Cant</t>
  </si>
  <si>
    <t>BANEFICIARIO 5</t>
  </si>
  <si>
    <t>V=(Ancho x Largo x Alto)* Cant</t>
  </si>
  <si>
    <t>BANEFICIARIO 6</t>
  </si>
  <si>
    <t>M=(Largo) x Cant</t>
  </si>
  <si>
    <t>BANEFICIARIO 7</t>
  </si>
  <si>
    <t>UND= Cant de elementos</t>
  </si>
  <si>
    <t>BANEFICIARIO 8</t>
  </si>
  <si>
    <t>BANEFICIARIO 9</t>
  </si>
  <si>
    <t>BANEFICIARIO 10</t>
  </si>
  <si>
    <t>BANEFICIARIO 11</t>
  </si>
  <si>
    <t>BANEFICIARIO 12</t>
  </si>
  <si>
    <t>BANEFICIARIO 13</t>
  </si>
  <si>
    <t>BANEFICIARIO 14</t>
  </si>
  <si>
    <t>BANEFICIARIO 15</t>
  </si>
  <si>
    <t>BANEFICIARIO 16</t>
  </si>
  <si>
    <t>BANEFICIARIO 17</t>
  </si>
  <si>
    <t>Cantidad Parcial Hoja1de1</t>
  </si>
  <si>
    <t>Cantidad Total</t>
  </si>
  <si>
    <t>Proyectó</t>
  </si>
  <si>
    <t>Vo. Bo. Secretario</t>
  </si>
  <si>
    <t>__________________________________</t>
  </si>
  <si>
    <t>_________________________________________</t>
  </si>
  <si>
    <t>CARLOS ANDRES SANABRIA RODRIGUEZ</t>
  </si>
  <si>
    <t>Apoyo a la Secretaria de Planeacion y Obras Publicas</t>
  </si>
  <si>
    <t>BANEFICIARIO 18</t>
  </si>
  <si>
    <t>BANEFICIARIO 19</t>
  </si>
  <si>
    <t>BANEFICIARIO 20</t>
  </si>
  <si>
    <t>BANEFICIARIO 21</t>
  </si>
  <si>
    <t>BANEFICIARIO 22</t>
  </si>
  <si>
    <t>BANEFICIARIO 23</t>
  </si>
  <si>
    <t>BANEFICIARIO 24</t>
  </si>
  <si>
    <t>BANEFICIARIO 25</t>
  </si>
  <si>
    <t>BANEFICIARIO 26</t>
  </si>
  <si>
    <t>BANEFICIARIO 27</t>
  </si>
  <si>
    <t>BANEFICIARIO 28</t>
  </si>
  <si>
    <t>BANEFICIARIO 29</t>
  </si>
  <si>
    <t>BANEFICIARIO 30</t>
  </si>
  <si>
    <t>BANEFICIARIO 31</t>
  </si>
  <si>
    <t>BANEFICIARIO 32</t>
  </si>
  <si>
    <t>BANEFICIARIO 33</t>
  </si>
  <si>
    <t>BANEFICIARIO 34</t>
  </si>
  <si>
    <t>BANEFICIARIO 35</t>
  </si>
  <si>
    <t>BANEFICIARIO 36</t>
  </si>
  <si>
    <t>BANEFICIARIO 37</t>
  </si>
  <si>
    <t>BANEFICIARIO 38</t>
  </si>
  <si>
    <t>BANEFICIARIO 39</t>
  </si>
  <si>
    <t>BANEFICIARIO 40</t>
  </si>
  <si>
    <t>BANEFICIARIO 41</t>
  </si>
  <si>
    <t>BANEFICIARIO 42</t>
  </si>
  <si>
    <t>BANEFICIARIO 43</t>
  </si>
  <si>
    <t>Cantidad Parcial Hoja 1 de 1</t>
  </si>
  <si>
    <t>APOYO SEC. DE PLANEACION Y OBRAS PÚBLICAS</t>
  </si>
  <si>
    <t>SECRETARIO DE PLANEACION Y OBRAS PÚBLICAS</t>
  </si>
  <si>
    <t>Kilogramos x Cant. Elementos</t>
  </si>
  <si>
    <t>K(KG) Kilogramos</t>
  </si>
  <si>
    <t>TIEMPO TRASPORTE</t>
  </si>
  <si>
    <t>TIEMPO CARGUE Y DESCARGUE</t>
  </si>
  <si>
    <t>TIEMPO HORA</t>
  </si>
  <si>
    <t>H(Hr) Hora</t>
  </si>
  <si>
    <t>D (DD) Dia</t>
  </si>
  <si>
    <t>COLUMNA EN TUBO ESTRUCTURAL HR50, Dimensiones 0,10 X 0,10 M</t>
  </si>
  <si>
    <t>ESCOMBROS / SOBRANTES HASTA 5 KM</t>
  </si>
  <si>
    <t>M3/KM</t>
  </si>
  <si>
    <t>3</t>
  </si>
  <si>
    <t>4</t>
  </si>
  <si>
    <t>6</t>
  </si>
  <si>
    <t>MEJORAMIENTO DE VIVIENDA CON ENFOQUE DIFERENCIAL PARA POBLACIÓN VULNERABLE EN EL MUNICIPIO DE CUBARÁ, BOYACÁ (2026).</t>
  </si>
  <si>
    <t>ZAPATA CUADRADA EN CONCRETO f'c = 3000 PSI (21MPa).</t>
  </si>
  <si>
    <t>PEDESTAL EN CONCRETO f'c = 3000 PSI (21MPa).</t>
  </si>
  <si>
    <t>SUMINISTRO E INSTALACIÓN DE CONCRETO CICLÓPEO 21 MPA (60C/40P) PARA BASES.</t>
  </si>
  <si>
    <t>ESTRUCTURAS EN CONCRETO REFORZADO</t>
  </si>
  <si>
    <t>VIGA DE AMARRE SOBRE MURO EN CONCRETO f'c = 3000 PSI (21MPa).</t>
  </si>
  <si>
    <t>TUBO CUADRADO ESTRUCTURAL HR50 cal. 12 0,10X0,10 M</t>
  </si>
  <si>
    <t>TRANSPORTE DE MATERIALES LIVIANOS</t>
  </si>
  <si>
    <t>TRANSPORTE EN CAMIÓN CON CAPACIDAD DE CARGA DE 3.5 TON (INCLUYE CARGUE Y DESCARGUE).</t>
  </si>
  <si>
    <t>CANTIDAD PARCIAL</t>
  </si>
  <si>
    <t>NUMERO</t>
  </si>
  <si>
    <t>ITEM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</si>
</sst>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7">
    <numFmt numFmtId="6" formatCode="&quot;$&quot;\ #,##0;[Red]\-&quot;$&quot;\ #,##0"/>
    <numFmt numFmtId="8" formatCode="&quot;$&quot;\ #,##0.00;[Red]\-&quot;$&quot;\ #,##0.00"/>
    <numFmt numFmtId="42" formatCode="_-&quot;$&quot;\ * #,##0_-;\-&quot;$&quot;\ * #,##0_-;_-&quot;$&quot;\ * &quot;-&quot;_-;_-@_-"/>
    <numFmt numFmtId="44" formatCode="_-&quot;$&quot;\ * #,##0.00_-;\-&quot;$&quot;\ * #,##0.00_-;_-&quot;$&quot;\ * &quot;-&quot;??_-;_-@_-"/>
    <numFmt numFmtId="43" formatCode="_-* #,##0.00_-;\-* #,##0.00_-;_-* &quot;-&quot;??_-;_-@_-"/>
    <numFmt numFmtId="164" formatCode="_-* #,##0.00\ &quot;€&quot;_-;\-* #,##0.00\ &quot;€&quot;_-;_-* &quot;-&quot;??\ &quot;€&quot;_-;_-@_-"/>
    <numFmt numFmtId="165" formatCode="&quot;$&quot;\ #,##0.00"/>
    <numFmt numFmtId="166" formatCode="_ * #,##0.00_ ;_ * \-#,##0.00_ ;_ * &quot;-&quot;??_ ;_ @_ "/>
    <numFmt numFmtId="167" formatCode="_-* #,##0.00\ _€_-;\-* #,##0.00\ _€_-;_-* &quot;-&quot;??\ _€_-;_-@_-"/>
    <numFmt numFmtId="168" formatCode="0.000"/>
    <numFmt numFmtId="169" formatCode="_-[$$-240A]* #,##0.00_-;\-[$$-240A]* #,##0.00_-;_-[$$-240A]* &quot;-&quot;??_-;_-@_-"/>
    <numFmt numFmtId="170" formatCode="0.0000"/>
    <numFmt numFmtId="171" formatCode="0.0"/>
    <numFmt numFmtId="172" formatCode="_ &quot;$&quot;\ * #,##0_ ;_ &quot;$&quot;\ * \-#,##0_ ;_ &quot;$&quot;\ * &quot;-&quot;_ ;_ @_ "/>
    <numFmt numFmtId="173" formatCode="&quot;$&quot;\ #,##0.00;[Red]&quot;$&quot;\ \-#,##0.00"/>
    <numFmt numFmtId="174" formatCode="_-[$$-240A]\ * #,##0.00_ ;_-[$$-240A]\ * \-#,##0.00\ ;_-[$$-240A]\ * &quot;-&quot;??_ ;_-@_ "/>
    <numFmt numFmtId="175" formatCode="_-[$$-240A]\ * #,##0.00_-;\-[$$-240A]\ * #,##0.00_-;_-[$$-240A]\ * &quot;-&quot;??_-;_-@_-"/>
    <numFmt numFmtId="176" formatCode="_-* #,##0.00\ &quot;Pts&quot;_-;\-* #,##0.00\ &quot;Pts&quot;_-;_-* &quot;-&quot;??\ &quot;Pts&quot;_-;_-@_-"/>
    <numFmt numFmtId="177" formatCode="_([$$-240A]\ * #,##0.00_);_([$$-240A]\ * \(#,##0.00\);_([$$-240A]\ * &quot;-&quot;??_);_(@_)"/>
    <numFmt numFmtId="178" formatCode="_([$$-240A]\ * #,##0_);_([$$-240A]\ * \(#,##0\);_([$$-240A]\ * &quot;-&quot;??_);_(@_)"/>
    <numFmt numFmtId="179" formatCode="0#.00\ \L\t"/>
    <numFmt numFmtId="180" formatCode="_ [$$-240A]\ * #,##0.00_ ;_ [$$-240A]\ * \-#,##0.00_ ;_ [$$-240A]\ * &quot;-&quot;??_ ;_ @_ "/>
    <numFmt numFmtId="181" formatCode="_ * #,##0_ ;_ * \-#,##0_ ;_ * &quot;-&quot;??_ ;_ @_ "/>
    <numFmt numFmtId="182" formatCode="_-&quot;$&quot;* #,##0.00_-;\-&quot;$&quot;* #,##0.00_-;_-&quot;$&quot;* &quot;-&quot;??_-;_-@_-"/>
    <numFmt numFmtId="183" formatCode="_-* #,##0.000_-;\-* #,##0.000_-;_-* &quot;-&quot;??_-;_-@_-"/>
    <numFmt numFmtId="184" formatCode="_-* #,##0.000_-;\-* #,##0.000_-;_-* &quot;-&quot;???_-;_-@_-"/>
    <numFmt numFmtId="185" formatCode="_(&quot;$&quot;\ * #,##0.00_);_(&quot;$&quot;\ * \(#,##0.00\);_(&quot;$&quot;\ * &quot;-&quot;??_);_(@_)"/>
    <numFmt numFmtId="186" formatCode="_ &quot;$&quot;\ * #,##0.00_ ;_ &quot;$&quot;\ * \-#,##0.00_ ;_ &quot;$&quot;\ * &quot;-&quot;??_ ;_ @_ "/>
    <numFmt numFmtId="187" formatCode="#,##0.000"/>
    <numFmt numFmtId="188" formatCode="#,##0.0"/>
    <numFmt numFmtId="189" formatCode="#,##0.0000"/>
    <numFmt numFmtId="190" formatCode="_-* #,##0.00\ [$€]_-;\-* #,##0.00\ [$€]_-;_-* &quot;-&quot;??\ [$€]_-;_-@_-"/>
    <numFmt numFmtId="191" formatCode="##0"/>
    <numFmt numFmtId="192" formatCode="_-* #,##0\ _P_t_s_-;\-* #,##0\ _P_t_s_-;_-* &quot;-&quot;??\ _P_t_s_-;_-@_-"/>
    <numFmt numFmtId="193" formatCode="0.00%;\-0.00%;&quot;&quot;"/>
    <numFmt numFmtId="194" formatCode="&quot;$&quot;#,##0\ ;\(&quot;$&quot;#,##0\)"/>
    <numFmt numFmtId="195" formatCode="\(0%\)"/>
    <numFmt numFmtId="196" formatCode=";;"/>
    <numFmt numFmtId="197" formatCode="d\ \d\e\ mmmm\ \d\e\ yyyy"/>
    <numFmt numFmtId="198" formatCode="0%;\-0%;&quot;&quot;"/>
    <numFmt numFmtId="199" formatCode="#0&quot;.&quot;000&quot;´&quot;000&quot;.&quot;000"/>
    <numFmt numFmtId="200" formatCode="##0&quot;.&quot;000"/>
    <numFmt numFmtId="201" formatCode="##0&quot;´&quot;000&quot;.&quot;000"/>
    <numFmt numFmtId="202" formatCode="_(&quot;$&quot;\ * #,##0_);_(&quot;$&quot;\ * \(#,##0\);_(&quot;$&quot;\ * &quot;-&quot;??_);_(@_)"/>
    <numFmt numFmtId="203" formatCode="#0&quot;.&quot;"/>
    <numFmt numFmtId="204" formatCode="0.0%;\-0.0%;&quot;&quot;"/>
    <numFmt numFmtId="205" formatCode="_(* #.##0.00_);_(* \(#.##0.00\);_(* &quot;-&quot;??_);_(@_)"/>
  </numFmts>
  <fonts count="61">
    <font>
      <sz val="11"/>
      <color theme="1"/>
      <name val="Calibri"/>
      <family val="2"/>
      <scheme val="minor"/>
    </font>
    <font>
      <sz val="11"/>
      <color theme="1"/>
      <name val="Calibri"/>
      <family val="2"/>
      <scheme val="minor"/>
    </font>
    <font>
      <sz val="11"/>
      <color theme="1"/>
      <name val="Arial"/>
      <family val="2"/>
    </font>
    <font>
      <sz val="11"/>
      <color theme="0"/>
      <name val="Arial"/>
      <family val="2"/>
    </font>
    <font>
      <sz val="10"/>
      <color theme="0"/>
      <name val="Arial"/>
      <family val="2"/>
    </font>
    <font>
      <sz val="10"/>
      <name val="Arial"/>
      <family val="2"/>
    </font>
    <font>
      <sz val="9"/>
      <name val="Arial"/>
      <family val="2"/>
    </font>
    <font>
      <b/>
      <sz val="9"/>
      <name val="Arial"/>
      <family val="2"/>
    </font>
    <font>
      <sz val="8"/>
      <name val="Arial"/>
      <family val="2"/>
    </font>
    <font>
      <b/>
      <sz val="8"/>
      <color rgb="FF595959"/>
      <name val="Arial"/>
      <family val="2"/>
    </font>
    <font>
      <sz val="8"/>
      <color rgb="FF595959"/>
      <name val="Arial"/>
      <family val="2"/>
    </font>
    <font>
      <sz val="11"/>
      <name val="Arial"/>
      <family val="2"/>
    </font>
    <font>
      <u/>
      <sz val="10"/>
      <color indexed="12"/>
      <name val="Arial"/>
      <family val="2"/>
    </font>
    <font>
      <u/>
      <sz val="11"/>
      <name val="Arial"/>
      <family val="2"/>
    </font>
    <font>
      <b/>
      <sz val="11"/>
      <name val="Arial"/>
      <family val="2"/>
    </font>
    <font>
      <sz val="10"/>
      <name val="Geneva"/>
    </font>
    <font>
      <b/>
      <sz val="8"/>
      <name val="Arial"/>
      <family val="2"/>
    </font>
    <font>
      <b/>
      <sz val="12"/>
      <name val="Arial"/>
      <family val="2"/>
    </font>
    <font>
      <sz val="12"/>
      <name val="Arial"/>
      <family val="2"/>
    </font>
    <font>
      <b/>
      <sz val="14"/>
      <color theme="1"/>
      <name val="Arial"/>
      <family val="2"/>
    </font>
    <font>
      <sz val="12"/>
      <color theme="1"/>
      <name val="Arial"/>
      <family val="2"/>
    </font>
    <font>
      <b/>
      <sz val="12"/>
      <name val="Arial Narrow"/>
      <family val="2"/>
    </font>
    <font>
      <b/>
      <sz val="12"/>
      <color theme="1"/>
      <name val="Arial Narrow"/>
      <family val="2"/>
    </font>
    <font>
      <sz val="12"/>
      <name val="Arial Narrow"/>
      <family val="2"/>
    </font>
    <font>
      <sz val="12"/>
      <color theme="1"/>
      <name val="Arial Narrow"/>
      <family val="2"/>
    </font>
    <font>
      <sz val="12"/>
      <color rgb="FF000000"/>
      <name val="Arial Narrow"/>
      <family val="2"/>
    </font>
    <font>
      <sz val="12"/>
      <color rgb="FFFF0000"/>
      <name val="Arial Narrow"/>
      <family val="2"/>
    </font>
    <font>
      <b/>
      <sz val="12"/>
      <color rgb="FF000000"/>
      <name val="Arial Narrow"/>
      <family val="2"/>
    </font>
    <font>
      <sz val="8"/>
      <name val="Calibri"/>
      <family val="2"/>
      <scheme val="minor"/>
    </font>
    <font>
      <sz val="10"/>
      <name val="Arial"/>
      <family val="2"/>
    </font>
    <font>
      <sz val="10"/>
      <color theme="1"/>
      <name val="Arial"/>
      <family val="2"/>
    </font>
    <font>
      <b/>
      <sz val="10"/>
      <color theme="1"/>
      <name val="Arial"/>
      <family val="2"/>
    </font>
    <font>
      <sz val="10"/>
      <color indexed="8"/>
      <name val="Arial"/>
      <family val="2"/>
    </font>
    <font>
      <b/>
      <sz val="10"/>
      <color rgb="FF00000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1"/>
      <color theme="1"/>
      <name val="Arial Narrow"/>
      <family val="2"/>
    </font>
    <font>
      <sz val="12"/>
      <color indexed="8"/>
      <name val="Verdana"/>
      <family val="2"/>
    </font>
  </fonts>
  <fills count="36">
    <fill>
      <patternFill patternType="none"/>
    </fill>
    <fill>
      <patternFill patternType="gray125"/>
    </fill>
    <fill>
      <patternFill patternType="solid">
        <fgColor theme="0"/>
        <bgColor indexed="64"/>
      </patternFill>
    </fill>
    <fill>
      <patternFill patternType="solid">
        <fgColor theme="0" tint="-0.499984740745262"/>
        <bgColor indexed="64"/>
      </patternFill>
    </fill>
    <fill>
      <patternFill patternType="solid">
        <fgColor theme="8" tint="0.39997558519241921"/>
        <bgColor indexed="64"/>
      </patternFill>
    </fill>
    <fill>
      <patternFill patternType="solid">
        <fgColor theme="9" tint="0.79998168889431442"/>
        <bgColor indexed="64"/>
      </patternFill>
    </fill>
    <fill>
      <patternFill patternType="solid">
        <fgColor theme="0" tint="-0.249977111117893"/>
        <bgColor indexed="64"/>
      </patternFill>
    </fill>
    <fill>
      <patternFill patternType="solid">
        <fgColor rgb="FFFFFF00"/>
        <bgColor indexed="64"/>
      </patternFill>
    </fill>
    <fill>
      <patternFill patternType="solid">
        <fgColor theme="5" tint="0.39997558519241921"/>
        <bgColor indexed="64"/>
      </patternFill>
    </fill>
    <fill>
      <patternFill patternType="solid">
        <fgColor theme="0" tint="-0.14999847407452621"/>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theme="6" tint="0.39997558519241921"/>
        <bgColor indexed="64"/>
      </patternFill>
    </fill>
    <fill>
      <patternFill patternType="solid">
        <fgColor rgb="FF80808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s>
  <borders count="119">
    <border>
      <left/>
      <right/>
      <top/>
      <bottom/>
      <diagonal/>
    </border>
    <border>
      <left style="double">
        <color indexed="64"/>
      </left>
      <right/>
      <top style="double">
        <color indexed="64"/>
      </top>
      <bottom/>
      <diagonal/>
    </border>
    <border>
      <left/>
      <right/>
      <top style="double">
        <color auto="1"/>
      </top>
      <bottom/>
      <diagonal/>
    </border>
    <border>
      <left/>
      <right style="double">
        <color indexed="64"/>
      </right>
      <top style="double">
        <color indexed="64"/>
      </top>
      <bottom/>
      <diagonal/>
    </border>
    <border>
      <left style="double">
        <color indexed="64"/>
      </left>
      <right/>
      <top/>
      <bottom/>
      <diagonal/>
    </border>
    <border>
      <left style="dotted">
        <color indexed="64"/>
      </left>
      <right/>
      <top style="dotted">
        <color indexed="64"/>
      </top>
      <bottom/>
      <diagonal/>
    </border>
    <border>
      <left/>
      <right/>
      <top style="dotted">
        <color indexed="64"/>
      </top>
      <bottom/>
      <diagonal/>
    </border>
    <border>
      <left/>
      <right style="dotted">
        <color indexed="64"/>
      </right>
      <top style="dotted">
        <color indexed="64"/>
      </top>
      <bottom/>
      <diagonal/>
    </border>
    <border>
      <left/>
      <right style="double">
        <color indexed="64"/>
      </right>
      <top/>
      <bottom/>
      <diagonal/>
    </border>
    <border>
      <left style="dotted">
        <color indexed="64"/>
      </left>
      <right style="hair">
        <color indexed="64"/>
      </right>
      <top style="hair">
        <color indexed="64"/>
      </top>
      <bottom style="dotted">
        <color indexed="64"/>
      </bottom>
      <diagonal/>
    </border>
    <border>
      <left style="hair">
        <color indexed="64"/>
      </left>
      <right/>
      <top style="hair">
        <color indexed="64"/>
      </top>
      <bottom style="dotted">
        <color indexed="64"/>
      </bottom>
      <diagonal/>
    </border>
    <border>
      <left/>
      <right style="hair">
        <color indexed="64"/>
      </right>
      <top style="hair">
        <color indexed="64"/>
      </top>
      <bottom style="dotted">
        <color indexed="64"/>
      </bottom>
      <diagonal/>
    </border>
    <border>
      <left style="hair">
        <color indexed="64"/>
      </left>
      <right style="hair">
        <color indexed="64"/>
      </right>
      <top style="hair">
        <color indexed="64"/>
      </top>
      <bottom style="dotted">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diagonal/>
    </border>
    <border>
      <left/>
      <right style="medium">
        <color indexed="64"/>
      </right>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top style="thin">
        <color indexed="64"/>
      </top>
      <bottom/>
      <diagonal/>
    </border>
    <border>
      <left style="medium">
        <color indexed="64"/>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right style="thin">
        <color indexed="64"/>
      </right>
      <top/>
      <bottom style="thin">
        <color indexed="64"/>
      </bottom>
      <diagonal/>
    </border>
    <border>
      <left/>
      <right style="thin">
        <color indexed="64"/>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diagonal/>
    </border>
    <border>
      <left style="medium">
        <color indexed="64"/>
      </left>
      <right/>
      <top/>
      <bottom style="thin">
        <color indexed="64"/>
      </bottom>
      <diagonal/>
    </border>
    <border>
      <left style="medium">
        <color indexed="64"/>
      </left>
      <right style="thin">
        <color indexed="64"/>
      </right>
      <top/>
      <bottom style="thin">
        <color indexed="64"/>
      </bottom>
      <diagonal/>
    </border>
    <border>
      <left style="medium">
        <color indexed="64"/>
      </left>
      <right/>
      <top style="hair">
        <color indexed="64"/>
      </top>
      <bottom style="hair">
        <color indexed="64"/>
      </bottom>
      <diagonal/>
    </border>
    <border>
      <left/>
      <right/>
      <top style="hair">
        <color indexed="64"/>
      </top>
      <bottom/>
      <diagonal/>
    </border>
    <border>
      <left/>
      <right/>
      <top style="hair">
        <color indexed="64"/>
      </top>
      <bottom style="hair">
        <color indexed="64"/>
      </bottom>
      <diagonal/>
    </border>
    <border>
      <left/>
      <right style="medium">
        <color auto="1"/>
      </right>
      <top style="hair">
        <color indexed="64"/>
      </top>
      <bottom style="hair">
        <color indexed="64"/>
      </bottom>
      <diagonal/>
    </border>
    <border>
      <left style="dotted">
        <color indexed="64"/>
      </left>
      <right style="dotted">
        <color indexed="64"/>
      </right>
      <top style="dotted">
        <color indexed="64"/>
      </top>
      <bottom/>
      <diagonal/>
    </border>
    <border>
      <left style="dotted">
        <color indexed="64"/>
      </left>
      <right style="dotted">
        <color indexed="64"/>
      </right>
      <top style="hair">
        <color indexed="64"/>
      </top>
      <bottom style="dotted">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dotted">
        <color indexed="64"/>
      </left>
      <right style="dotted">
        <color indexed="64"/>
      </right>
      <top style="dotted">
        <color indexed="64"/>
      </top>
      <bottom style="dotted">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right/>
      <top style="thin">
        <color indexed="64"/>
      </top>
      <bottom style="double">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hair">
        <color indexed="64"/>
      </top>
      <bottom style="medium">
        <color indexed="64"/>
      </bottom>
      <diagonal/>
    </border>
    <border>
      <left style="dotted">
        <color indexed="64"/>
      </left>
      <right style="dotted">
        <color indexed="64"/>
      </right>
      <top style="dotted">
        <color indexed="64"/>
      </top>
      <bottom style="medium">
        <color indexed="64"/>
      </bottom>
      <diagonal/>
    </border>
    <border>
      <left style="dotted">
        <color indexed="64"/>
      </left>
      <right style="dotted">
        <color indexed="64"/>
      </right>
      <top style="hair">
        <color indexed="64"/>
      </top>
      <bottom style="medium">
        <color indexed="64"/>
      </bottom>
      <diagonal/>
    </border>
    <border>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double">
        <color indexed="64"/>
      </left>
      <right/>
      <top/>
      <bottom style="double">
        <color indexed="64"/>
      </bottom>
      <diagonal/>
    </border>
    <border>
      <left/>
      <right/>
      <top style="medium">
        <color indexed="64"/>
      </top>
      <bottom style="double">
        <color indexed="64"/>
      </bottom>
      <diagonal/>
    </border>
    <border>
      <left/>
      <right style="double">
        <color indexed="64"/>
      </right>
      <top/>
      <bottom style="double">
        <color indexed="64"/>
      </bottom>
      <diagonal/>
    </border>
    <border>
      <left/>
      <right/>
      <top/>
      <bottom style="double">
        <color indexed="64"/>
      </bottom>
      <diagonal/>
    </border>
  </borders>
  <cellStyleXfs count="297">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2" fillId="0" borderId="0" applyNumberFormat="0" applyFill="0" applyBorder="0" applyAlignment="0" applyProtection="0">
      <alignment vertical="top"/>
      <protection locked="0"/>
    </xf>
    <xf numFmtId="0" fontId="15" fillId="0" borderId="0"/>
    <xf numFmtId="0" fontId="1" fillId="0" borderId="0"/>
    <xf numFmtId="0" fontId="5" fillId="0" borderId="0"/>
    <xf numFmtId="0" fontId="1" fillId="0" borderId="0"/>
    <xf numFmtId="44" fontId="5" fillId="0" borderId="0" applyFont="0" applyFill="0" applyBorder="0" applyAlignment="0" applyProtection="0"/>
    <xf numFmtId="0" fontId="5" fillId="0" borderId="0"/>
    <xf numFmtId="172" fontId="5" fillId="0" borderId="0" applyFont="0" applyFill="0" applyBorder="0" applyAlignment="0" applyProtection="0"/>
    <xf numFmtId="173" fontId="5" fillId="0" borderId="0" applyFont="0" applyFill="0" applyBorder="0" applyAlignment="0" applyProtection="0"/>
    <xf numFmtId="166" fontId="5" fillId="0" borderId="0" applyFont="0" applyFill="0" applyBorder="0" applyAlignment="0" applyProtection="0"/>
    <xf numFmtId="0" fontId="5" fillId="0" borderId="0"/>
    <xf numFmtId="0" fontId="5" fillId="0" borderId="0"/>
    <xf numFmtId="0" fontId="5" fillId="0" borderId="0"/>
    <xf numFmtId="176" fontId="5" fillId="0" borderId="0" applyFont="0" applyFill="0" applyBorder="0" applyAlignment="0" applyProtection="0"/>
    <xf numFmtId="0" fontId="5" fillId="0" borderId="0"/>
    <xf numFmtId="179" fontId="5" fillId="0" borderId="0" applyFont="0" applyFill="0" applyBorder="0" applyAlignment="0" applyProtection="0"/>
    <xf numFmtId="9" fontId="5" fillId="0" borderId="0" applyFont="0" applyFill="0" applyBorder="0" applyAlignment="0" applyProtection="0"/>
    <xf numFmtId="0" fontId="29" fillId="0" borderId="0"/>
    <xf numFmtId="0" fontId="1" fillId="0" borderId="0"/>
    <xf numFmtId="0" fontId="5" fillId="0" borderId="0"/>
    <xf numFmtId="0" fontId="1" fillId="0" borderId="0"/>
    <xf numFmtId="43" fontId="1" fillId="0" borderId="0" applyFont="0" applyFill="0" applyBorder="0" applyAlignment="0" applyProtection="0"/>
    <xf numFmtId="182"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0" fontId="5" fillId="0" borderId="0"/>
    <xf numFmtId="0" fontId="24" fillId="0" borderId="0"/>
    <xf numFmtId="44" fontId="24" fillId="0" borderId="0" applyFont="0" applyFill="0" applyBorder="0" applyAlignment="0" applyProtection="0"/>
    <xf numFmtId="44" fontId="5" fillId="0" borderId="0" applyFont="0" applyFill="0" applyBorder="0" applyAlignment="0" applyProtection="0"/>
    <xf numFmtId="9" fontId="24" fillId="0" borderId="0" applyFont="0" applyFill="0" applyBorder="0" applyAlignment="0" applyProtection="0"/>
    <xf numFmtId="0" fontId="5" fillId="0" borderId="0"/>
    <xf numFmtId="0" fontId="5" fillId="0" borderId="0"/>
    <xf numFmtId="0" fontId="34" fillId="14" borderId="0" applyNumberFormat="0" applyBorder="0" applyAlignment="0" applyProtection="0"/>
    <xf numFmtId="0" fontId="34" fillId="15" borderId="0" applyNumberFormat="0" applyBorder="0" applyAlignment="0" applyProtection="0"/>
    <xf numFmtId="0" fontId="34" fillId="16" borderId="0" applyNumberFormat="0" applyBorder="0" applyAlignment="0" applyProtection="0"/>
    <xf numFmtId="0" fontId="34" fillId="17" borderId="0" applyNumberFormat="0" applyBorder="0" applyAlignment="0" applyProtection="0"/>
    <xf numFmtId="0" fontId="34" fillId="18" borderId="0" applyNumberFormat="0" applyBorder="0" applyAlignment="0" applyProtection="0"/>
    <xf numFmtId="0" fontId="34" fillId="19" borderId="0" applyNumberFormat="0" applyBorder="0" applyAlignment="0" applyProtection="0"/>
    <xf numFmtId="0" fontId="34" fillId="20" borderId="0" applyNumberFormat="0" applyBorder="0" applyAlignment="0" applyProtection="0"/>
    <xf numFmtId="0" fontId="34" fillId="21" borderId="0" applyNumberFormat="0" applyBorder="0" applyAlignment="0" applyProtection="0"/>
    <xf numFmtId="0" fontId="34" fillId="22" borderId="0" applyNumberFormat="0" applyBorder="0" applyAlignment="0" applyProtection="0"/>
    <xf numFmtId="0" fontId="34" fillId="17" borderId="0" applyNumberFormat="0" applyBorder="0" applyAlignment="0" applyProtection="0"/>
    <xf numFmtId="0" fontId="34" fillId="20" borderId="0" applyNumberFormat="0" applyBorder="0" applyAlignment="0" applyProtection="0"/>
    <xf numFmtId="0" fontId="34" fillId="23" borderId="0" applyNumberFormat="0" applyBorder="0" applyAlignment="0" applyProtection="0"/>
    <xf numFmtId="0" fontId="35" fillId="24" borderId="0" applyNumberFormat="0" applyBorder="0" applyAlignment="0" applyProtection="0"/>
    <xf numFmtId="0" fontId="35" fillId="21" borderId="0" applyNumberFormat="0" applyBorder="0" applyAlignment="0" applyProtection="0"/>
    <xf numFmtId="0" fontId="35" fillId="22" borderId="0" applyNumberFormat="0" applyBorder="0" applyAlignment="0" applyProtection="0"/>
    <xf numFmtId="0" fontId="35" fillId="25" borderId="0" applyNumberFormat="0" applyBorder="0" applyAlignment="0" applyProtection="0"/>
    <xf numFmtId="0" fontId="35" fillId="26" borderId="0" applyNumberFormat="0" applyBorder="0" applyAlignment="0" applyProtection="0"/>
    <xf numFmtId="0" fontId="35" fillId="27" borderId="0" applyNumberFormat="0" applyBorder="0" applyAlignment="0" applyProtection="0"/>
    <xf numFmtId="0" fontId="36" fillId="16" borderId="0" applyNumberFormat="0" applyBorder="0" applyAlignment="0" applyProtection="0"/>
    <xf numFmtId="0" fontId="37" fillId="28" borderId="95" applyNumberFormat="0" applyAlignment="0" applyProtection="0"/>
    <xf numFmtId="0" fontId="38" fillId="29" borderId="96" applyNumberFormat="0" applyAlignment="0" applyProtection="0"/>
    <xf numFmtId="0" fontId="39" fillId="0" borderId="97" applyNumberFormat="0" applyFill="0" applyAlignment="0" applyProtection="0"/>
    <xf numFmtId="0" fontId="40" fillId="0" borderId="0" applyNumberFormat="0" applyFill="0" applyBorder="0" applyAlignment="0" applyProtection="0"/>
    <xf numFmtId="0" fontId="35" fillId="30" borderId="0" applyNumberFormat="0" applyBorder="0" applyAlignment="0" applyProtection="0"/>
    <xf numFmtId="0" fontId="35" fillId="31" borderId="0" applyNumberFormat="0" applyBorder="0" applyAlignment="0" applyProtection="0"/>
    <xf numFmtId="0" fontId="35" fillId="32" borderId="0" applyNumberFormat="0" applyBorder="0" applyAlignment="0" applyProtection="0"/>
    <xf numFmtId="0" fontId="35" fillId="25" borderId="0" applyNumberFormat="0" applyBorder="0" applyAlignment="0" applyProtection="0"/>
    <xf numFmtId="0" fontId="35" fillId="26" borderId="0" applyNumberFormat="0" applyBorder="0" applyAlignment="0" applyProtection="0"/>
    <xf numFmtId="0" fontId="35" fillId="33" borderId="0" applyNumberFormat="0" applyBorder="0" applyAlignment="0" applyProtection="0"/>
    <xf numFmtId="0" fontId="41" fillId="19" borderId="95" applyNumberFormat="0" applyAlignment="0" applyProtection="0"/>
    <xf numFmtId="0" fontId="32" fillId="0" borderId="0">
      <alignment vertical="top"/>
    </xf>
    <xf numFmtId="190" fontId="5" fillId="0" borderId="0" applyFont="0" applyFill="0" applyBorder="0" applyAlignment="0" applyProtection="0"/>
    <xf numFmtId="0" fontId="42" fillId="15" borderId="0" applyNumberFormat="0" applyBorder="0" applyAlignment="0" applyProtection="0"/>
    <xf numFmtId="166" fontId="5" fillId="0" borderId="0" applyFont="0" applyFill="0" applyBorder="0" applyAlignment="0" applyProtection="0"/>
    <xf numFmtId="2" fontId="8" fillId="0" borderId="98" applyFont="0" applyBorder="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72" fontId="5" fillId="0" borderId="0" applyFont="0" applyFill="0" applyBorder="0" applyAlignment="0" applyProtection="0"/>
    <xf numFmtId="166" fontId="5" fillId="0" borderId="0" applyFont="0" applyFill="0" applyBorder="0" applyAlignment="0" applyProtection="0"/>
    <xf numFmtId="43" fontId="5" fillId="0" borderId="0" applyFont="0" applyFill="0" applyBorder="0" applyAlignment="0" applyProtection="0"/>
    <xf numFmtId="189" fontId="5" fillId="0" borderId="0" applyFont="0" applyFill="0" applyBorder="0" applyAlignment="0" applyProtection="0"/>
    <xf numFmtId="188" fontId="5" fillId="0" borderId="0" applyFont="0" applyFill="0" applyBorder="0" applyAlignment="0" applyProtection="0"/>
    <xf numFmtId="188" fontId="5" fillId="0" borderId="0" applyFont="0" applyFill="0" applyBorder="0" applyAlignment="0" applyProtection="0"/>
    <xf numFmtId="188" fontId="5" fillId="0" borderId="0" applyFont="0" applyFill="0" applyBorder="0" applyAlignment="0" applyProtection="0"/>
    <xf numFmtId="189" fontId="5" fillId="0" borderId="0" applyFont="0" applyFill="0" applyBorder="0" applyAlignment="0" applyProtection="0"/>
    <xf numFmtId="187" fontId="5" fillId="0" borderId="0" applyFont="0" applyFill="0" applyBorder="0" applyAlignment="0" applyProtection="0"/>
    <xf numFmtId="43" fontId="34" fillId="0" borderId="0" applyFont="0" applyFill="0" applyBorder="0" applyAlignment="0" applyProtection="0"/>
    <xf numFmtId="187"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6"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85" fontId="34"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3" fontId="5" fillId="0" borderId="0" applyFont="0" applyFill="0" applyBorder="0" applyAlignment="0" applyProtection="0"/>
    <xf numFmtId="186" fontId="5" fillId="0" borderId="0" applyFont="0" applyFill="0" applyBorder="0" applyAlignment="0" applyProtection="0"/>
    <xf numFmtId="186" fontId="5" fillId="0" borderId="0" applyFont="0" applyFill="0" applyBorder="0" applyAlignment="0" applyProtection="0"/>
    <xf numFmtId="0" fontId="43" fillId="34" borderId="0" applyNumberFormat="0" applyBorder="0" applyAlignment="0" applyProtection="0"/>
    <xf numFmtId="0" fontId="43" fillId="34" borderId="0" applyNumberFormat="0" applyBorder="0" applyAlignment="0" applyProtection="0"/>
    <xf numFmtId="0" fontId="5" fillId="0" borderId="0"/>
    <xf numFmtId="0" fontId="5" fillId="0" borderId="0"/>
    <xf numFmtId="0" fontId="5" fillId="0" borderId="0"/>
    <xf numFmtId="0" fontId="1"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34" fillId="0" borderId="0"/>
    <xf numFmtId="0" fontId="1" fillId="0" borderId="0"/>
    <xf numFmtId="0" fontId="5" fillId="0" borderId="0"/>
    <xf numFmtId="0" fontId="5" fillId="35" borderId="99" applyNumberFormat="0" applyFont="0" applyAlignment="0" applyProtection="0"/>
    <xf numFmtId="9" fontId="34" fillId="0" borderId="0" applyFont="0" applyFill="0" applyBorder="0" applyAlignment="0" applyProtection="0"/>
    <xf numFmtId="9" fontId="5" fillId="0" borderId="0" applyFont="0" applyFill="0" applyBorder="0" applyAlignment="0" applyProtection="0"/>
    <xf numFmtId="9" fontId="1"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44" fillId="28" borderId="100" applyNumberFormat="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8" fillId="0" borderId="101" applyNumberFormat="0" applyFill="0" applyAlignment="0" applyProtection="0"/>
    <xf numFmtId="0" fontId="49" fillId="0" borderId="102" applyNumberFormat="0" applyFill="0" applyAlignment="0" applyProtection="0"/>
    <xf numFmtId="0" fontId="40" fillId="0" borderId="103" applyNumberFormat="0" applyFill="0" applyAlignment="0" applyProtection="0"/>
    <xf numFmtId="0" fontId="47" fillId="0" borderId="0" applyNumberFormat="0" applyFill="0" applyBorder="0" applyAlignment="0" applyProtection="0"/>
    <xf numFmtId="0" fontId="50" fillId="0" borderId="104" applyNumberFormat="0" applyFill="0" applyAlignment="0" applyProtection="0"/>
    <xf numFmtId="0" fontId="50" fillId="0" borderId="104" applyNumberFormat="0" applyFill="0" applyAlignment="0" applyProtection="0"/>
    <xf numFmtId="166" fontId="5" fillId="0" borderId="0" applyFont="0" applyFill="0" applyBorder="0" applyAlignment="0" applyProtection="0"/>
    <xf numFmtId="9" fontId="5" fillId="0" borderId="0" applyFont="0" applyFill="0" applyBorder="0" applyAlignment="0" applyProtection="0"/>
    <xf numFmtId="0" fontId="5" fillId="0" borderId="0"/>
    <xf numFmtId="0" fontId="1" fillId="0" borderId="0"/>
    <xf numFmtId="43" fontId="1" fillId="0" borderId="0" applyFont="0" applyFill="0" applyBorder="0" applyAlignment="0" applyProtection="0"/>
    <xf numFmtId="0" fontId="5" fillId="0" borderId="0"/>
    <xf numFmtId="0" fontId="34" fillId="14" borderId="0" applyNumberFormat="0" applyBorder="0" applyAlignment="0" applyProtection="0"/>
    <xf numFmtId="0" fontId="34" fillId="15" borderId="0" applyNumberFormat="0" applyBorder="0" applyAlignment="0" applyProtection="0"/>
    <xf numFmtId="0" fontId="34" fillId="16" borderId="0" applyNumberFormat="0" applyBorder="0" applyAlignment="0" applyProtection="0"/>
    <xf numFmtId="0" fontId="34" fillId="17" borderId="0" applyNumberFormat="0" applyBorder="0" applyAlignment="0" applyProtection="0"/>
    <xf numFmtId="0" fontId="34" fillId="18" borderId="0" applyNumberFormat="0" applyBorder="0" applyAlignment="0" applyProtection="0"/>
    <xf numFmtId="0" fontId="34" fillId="19" borderId="0" applyNumberFormat="0" applyBorder="0" applyAlignment="0" applyProtection="0"/>
    <xf numFmtId="0" fontId="34" fillId="20" borderId="0" applyNumberFormat="0" applyBorder="0" applyAlignment="0" applyProtection="0"/>
    <xf numFmtId="0" fontId="34" fillId="21" borderId="0" applyNumberFormat="0" applyBorder="0" applyAlignment="0" applyProtection="0"/>
    <xf numFmtId="0" fontId="34" fillId="22" borderId="0" applyNumberFormat="0" applyBorder="0" applyAlignment="0" applyProtection="0"/>
    <xf numFmtId="0" fontId="34" fillId="17" borderId="0" applyNumberFormat="0" applyBorder="0" applyAlignment="0" applyProtection="0"/>
    <xf numFmtId="0" fontId="34" fillId="20" borderId="0" applyNumberFormat="0" applyBorder="0" applyAlignment="0" applyProtection="0"/>
    <xf numFmtId="0" fontId="34" fillId="23" borderId="0" applyNumberFormat="0" applyBorder="0" applyAlignment="0" applyProtection="0"/>
    <xf numFmtId="0" fontId="35" fillId="24" borderId="0" applyNumberFormat="0" applyBorder="0" applyAlignment="0" applyProtection="0"/>
    <xf numFmtId="0" fontId="35" fillId="21" borderId="0" applyNumberFormat="0" applyBorder="0" applyAlignment="0" applyProtection="0"/>
    <xf numFmtId="0" fontId="35" fillId="22" borderId="0" applyNumberFormat="0" applyBorder="0" applyAlignment="0" applyProtection="0"/>
    <xf numFmtId="0" fontId="35" fillId="25" borderId="0" applyNumberFormat="0" applyBorder="0" applyAlignment="0" applyProtection="0"/>
    <xf numFmtId="0" fontId="35" fillId="26" borderId="0" applyNumberFormat="0" applyBorder="0" applyAlignment="0" applyProtection="0"/>
    <xf numFmtId="0" fontId="35" fillId="27" borderId="0" applyNumberFormat="0" applyBorder="0" applyAlignment="0" applyProtection="0"/>
    <xf numFmtId="0" fontId="36" fillId="16" borderId="0" applyNumberFormat="0" applyBorder="0" applyAlignment="0" applyProtection="0"/>
    <xf numFmtId="0" fontId="37" fillId="28" borderId="95" applyNumberFormat="0" applyAlignment="0" applyProtection="0"/>
    <xf numFmtId="0" fontId="5" fillId="0" borderId="0"/>
    <xf numFmtId="0" fontId="38" fillId="29" borderId="96" applyNumberFormat="0" applyAlignment="0" applyProtection="0"/>
    <xf numFmtId="0" fontId="39" fillId="0" borderId="97" applyNumberFormat="0" applyFill="0" applyAlignment="0" applyProtection="0"/>
    <xf numFmtId="191" fontId="8" fillId="0" borderId="28">
      <alignment horizontal="right"/>
    </xf>
    <xf numFmtId="191" fontId="8" fillId="0" borderId="28">
      <alignment horizontal="right"/>
    </xf>
    <xf numFmtId="2" fontId="8" fillId="0" borderId="0"/>
    <xf numFmtId="2" fontId="8" fillId="0" borderId="0"/>
    <xf numFmtId="2" fontId="8" fillId="0" borderId="0"/>
    <xf numFmtId="168" fontId="8" fillId="0" borderId="0"/>
    <xf numFmtId="168" fontId="8" fillId="0" borderId="0"/>
    <xf numFmtId="168" fontId="8" fillId="0" borderId="0"/>
    <xf numFmtId="170" fontId="16" fillId="0" borderId="0"/>
    <xf numFmtId="170" fontId="16" fillId="0" borderId="0"/>
    <xf numFmtId="170" fontId="16" fillId="0" borderId="0"/>
    <xf numFmtId="191" fontId="8" fillId="0" borderId="28">
      <alignment horizontal="right"/>
    </xf>
    <xf numFmtId="192" fontId="5" fillId="0" borderId="0">
      <protection locked="0"/>
    </xf>
    <xf numFmtId="3" fontId="51" fillId="0" borderId="0" applyFont="0" applyFill="0" applyBorder="0" applyAlignment="0" applyProtection="0"/>
    <xf numFmtId="193" fontId="5" fillId="0" borderId="0">
      <protection locked="0"/>
    </xf>
    <xf numFmtId="194" fontId="51" fillId="0" borderId="0" applyFont="0" applyFill="0" applyBorder="0" applyAlignment="0" applyProtection="0"/>
    <xf numFmtId="195" fontId="5" fillId="0" borderId="0">
      <protection locked="0"/>
    </xf>
    <xf numFmtId="0" fontId="40" fillId="0" borderId="0" applyNumberFormat="0" applyFill="0" applyBorder="0" applyAlignment="0" applyProtection="0"/>
    <xf numFmtId="0" fontId="35" fillId="30" borderId="0" applyNumberFormat="0" applyBorder="0" applyAlignment="0" applyProtection="0"/>
    <xf numFmtId="0" fontId="35" fillId="31" borderId="0" applyNumberFormat="0" applyBorder="0" applyAlignment="0" applyProtection="0"/>
    <xf numFmtId="0" fontId="35" fillId="32" borderId="0" applyNumberFormat="0" applyBorder="0" applyAlignment="0" applyProtection="0"/>
    <xf numFmtId="0" fontId="35" fillId="25" borderId="0" applyNumberFormat="0" applyBorder="0" applyAlignment="0" applyProtection="0"/>
    <xf numFmtId="0" fontId="35" fillId="26" borderId="0" applyNumberFormat="0" applyBorder="0" applyAlignment="0" applyProtection="0"/>
    <xf numFmtId="0" fontId="35" fillId="33" borderId="0" applyNumberFormat="0" applyBorder="0" applyAlignment="0" applyProtection="0"/>
    <xf numFmtId="0" fontId="41" fillId="19" borderId="95" applyNumberFormat="0" applyAlignment="0" applyProtection="0"/>
    <xf numFmtId="196" fontId="52" fillId="0" borderId="0">
      <protection locked="0"/>
    </xf>
    <xf numFmtId="196" fontId="52" fillId="0" borderId="0">
      <protection locked="0"/>
    </xf>
    <xf numFmtId="196" fontId="52" fillId="0" borderId="0">
      <protection locked="0"/>
    </xf>
    <xf numFmtId="196" fontId="52" fillId="0" borderId="0">
      <protection locked="0"/>
    </xf>
    <xf numFmtId="196" fontId="52" fillId="0" borderId="0">
      <protection locked="0"/>
    </xf>
    <xf numFmtId="196" fontId="52" fillId="0" borderId="0">
      <protection locked="0"/>
    </xf>
    <xf numFmtId="196" fontId="52" fillId="0" borderId="0">
      <protection locked="0"/>
    </xf>
    <xf numFmtId="197" fontId="5" fillId="0" borderId="0">
      <protection locked="0"/>
    </xf>
    <xf numFmtId="0" fontId="53" fillId="0" borderId="0" applyNumberFormat="0" applyFill="0" applyBorder="0" applyAlignment="0" applyProtection="0"/>
    <xf numFmtId="0" fontId="54" fillId="0" borderId="0" applyNumberFormat="0" applyFill="0" applyBorder="0" applyAlignment="0" applyProtection="0"/>
    <xf numFmtId="198" fontId="5" fillId="0" borderId="0">
      <protection locked="0"/>
    </xf>
    <xf numFmtId="198" fontId="5" fillId="0" borderId="0">
      <protection locked="0"/>
    </xf>
    <xf numFmtId="0" fontId="42" fillId="15" borderId="0" applyNumberFormat="0" applyBorder="0" applyAlignment="0" applyProtection="0"/>
    <xf numFmtId="199" fontId="8" fillId="0" borderId="0">
      <alignment horizontal="right"/>
    </xf>
    <xf numFmtId="199" fontId="8" fillId="0" borderId="0">
      <alignment horizontal="right"/>
    </xf>
    <xf numFmtId="199" fontId="8" fillId="0" borderId="0">
      <alignment horizontal="right"/>
    </xf>
    <xf numFmtId="200" fontId="8" fillId="0" borderId="0" applyFont="0" applyFill="0" applyBorder="0" applyAlignment="0">
      <alignment horizontal="center"/>
    </xf>
    <xf numFmtId="200" fontId="8" fillId="0" borderId="0" applyFont="0" applyFill="0" applyBorder="0" applyAlignment="0">
      <alignment horizontal="center"/>
    </xf>
    <xf numFmtId="2" fontId="8" fillId="0" borderId="98" applyFont="0" applyBorder="0"/>
    <xf numFmtId="43" fontId="34" fillId="0" borderId="0" applyFont="0" applyFill="0" applyBorder="0" applyAlignment="0" applyProtection="0"/>
    <xf numFmtId="166" fontId="5" fillId="0" borderId="0" applyFont="0" applyFill="0" applyBorder="0" applyAlignment="0" applyProtection="0"/>
    <xf numFmtId="43" fontId="5" fillId="0" borderId="0" applyFont="0" applyFill="0" applyBorder="0" applyAlignment="0" applyProtection="0"/>
    <xf numFmtId="43" fontId="55" fillId="0" borderId="0" applyFont="0" applyFill="0" applyBorder="0" applyAlignment="0" applyProtection="0"/>
    <xf numFmtId="43" fontId="55" fillId="0" borderId="0" applyFont="0" applyFill="0" applyBorder="0" applyAlignment="0" applyProtection="0"/>
    <xf numFmtId="43" fontId="55" fillId="0" borderId="0" applyFont="0" applyFill="0" applyBorder="0" applyAlignment="0" applyProtection="0"/>
    <xf numFmtId="201" fontId="8" fillId="0" borderId="0">
      <alignment horizontal="right"/>
    </xf>
    <xf numFmtId="201" fontId="8" fillId="0" borderId="0">
      <alignment horizontal="right"/>
    </xf>
    <xf numFmtId="201" fontId="8" fillId="0" borderId="0">
      <alignment horizontal="right"/>
    </xf>
    <xf numFmtId="202" fontId="5" fillId="0" borderId="0" applyFont="0" applyFill="0" applyBorder="0" applyAlignment="0" applyProtection="0"/>
    <xf numFmtId="202" fontId="5" fillId="0" borderId="0" applyFont="0" applyFill="0" applyBorder="0" applyAlignment="0" applyProtection="0"/>
    <xf numFmtId="182" fontId="5" fillId="0" borderId="0" applyFont="0" applyFill="0" applyBorder="0" applyAlignment="0" applyProtection="0"/>
    <xf numFmtId="185" fontId="5" fillId="0" borderId="0" applyFont="0" applyFill="0" applyBorder="0" applyAlignment="0" applyProtection="0"/>
    <xf numFmtId="202" fontId="5" fillId="0" borderId="0" applyFont="0" applyFill="0" applyBorder="0" applyAlignment="0" applyProtection="0"/>
    <xf numFmtId="202" fontId="5" fillId="0" borderId="0" applyFont="0" applyFill="0" applyBorder="0" applyAlignment="0" applyProtection="0"/>
    <xf numFmtId="202" fontId="5" fillId="0" borderId="0" applyFont="0" applyFill="0" applyBorder="0" applyAlignment="0" applyProtection="0"/>
    <xf numFmtId="202" fontId="5" fillId="0" borderId="0" applyFont="0" applyFill="0" applyBorder="0" applyAlignment="0" applyProtection="0"/>
    <xf numFmtId="202" fontId="5" fillId="0" borderId="0" applyFont="0" applyFill="0" applyBorder="0" applyAlignment="0" applyProtection="0"/>
    <xf numFmtId="202" fontId="5" fillId="0" borderId="0" applyFont="0" applyFill="0" applyBorder="0" applyAlignment="0" applyProtection="0"/>
    <xf numFmtId="182" fontId="5" fillId="0" borderId="0" applyFont="0" applyFill="0" applyBorder="0" applyAlignment="0" applyProtection="0"/>
    <xf numFmtId="185" fontId="34" fillId="0" borderId="0" applyFont="0" applyFill="0" applyBorder="0" applyAlignment="0" applyProtection="0"/>
    <xf numFmtId="194" fontId="56" fillId="0" borderId="0" applyFont="0" applyFill="0" applyBorder="0" applyAlignment="0" applyProtection="0"/>
    <xf numFmtId="0" fontId="43" fillId="34" borderId="0" applyNumberFormat="0" applyBorder="0" applyAlignment="0" applyProtection="0"/>
    <xf numFmtId="203" fontId="8" fillId="0" borderId="0" applyFont="0" applyFill="0" applyBorder="0" applyAlignment="0">
      <alignment horizontal="center"/>
    </xf>
    <xf numFmtId="203" fontId="8" fillId="0" borderId="0" applyFont="0" applyFill="0" applyBorder="0" applyAlignment="0">
      <alignment horizontal="center"/>
    </xf>
    <xf numFmtId="0" fontId="5" fillId="0" borderId="0"/>
    <xf numFmtId="0" fontId="5" fillId="0" borderId="0"/>
    <xf numFmtId="0" fontId="55" fillId="0" borderId="0"/>
    <xf numFmtId="0" fontId="1" fillId="0" borderId="0"/>
    <xf numFmtId="0" fontId="55" fillId="0" borderId="0"/>
    <xf numFmtId="0" fontId="5" fillId="0" borderId="0"/>
    <xf numFmtId="0" fontId="5" fillId="0" borderId="0"/>
    <xf numFmtId="0" fontId="5" fillId="0" borderId="0"/>
    <xf numFmtId="0" fontId="57" fillId="0" borderId="0"/>
    <xf numFmtId="0" fontId="5" fillId="0" borderId="0"/>
    <xf numFmtId="0" fontId="5" fillId="35" borderId="99" applyNumberFormat="0" applyFont="0" applyAlignment="0" applyProtection="0"/>
    <xf numFmtId="204"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5" fillId="0" borderId="0" applyFont="0" applyFill="0" applyBorder="0" applyAlignment="0" applyProtection="0"/>
    <xf numFmtId="0" fontId="58" fillId="0" borderId="0">
      <alignment vertical="top"/>
    </xf>
    <xf numFmtId="0" fontId="44" fillId="28" borderId="100" applyNumberFormat="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8" fillId="0" borderId="101" applyNumberFormat="0" applyFill="0" applyAlignment="0" applyProtection="0"/>
    <xf numFmtId="0" fontId="49" fillId="0" borderId="102" applyNumberFormat="0" applyFill="0" applyAlignment="0" applyProtection="0"/>
    <xf numFmtId="0" fontId="40" fillId="0" borderId="103" applyNumberFormat="0" applyFill="0" applyAlignment="0" applyProtection="0"/>
    <xf numFmtId="0" fontId="47" fillId="0" borderId="0" applyNumberFormat="0" applyFill="0" applyBorder="0" applyAlignment="0" applyProtection="0"/>
    <xf numFmtId="198" fontId="5" fillId="0" borderId="105">
      <protection locked="0"/>
    </xf>
    <xf numFmtId="44" fontId="5" fillId="0" borderId="0" applyFont="0" applyFill="0" applyBorder="0" applyAlignment="0" applyProtection="0"/>
    <xf numFmtId="44" fontId="24" fillId="0" borderId="0" applyFont="0" applyFill="0" applyBorder="0" applyAlignment="0" applyProtection="0"/>
    <xf numFmtId="0" fontId="24" fillId="0" borderId="0"/>
    <xf numFmtId="43" fontId="1" fillId="0" borderId="0" applyFont="0" applyFill="0" applyBorder="0" applyAlignment="0" applyProtection="0"/>
    <xf numFmtId="0" fontId="1" fillId="0" borderId="0"/>
    <xf numFmtId="0" fontId="59" fillId="0" borderId="0"/>
    <xf numFmtId="182" fontId="1" fillId="0" borderId="0" applyFont="0" applyFill="0" applyBorder="0" applyAlignment="0" applyProtection="0"/>
    <xf numFmtId="44" fontId="5" fillId="0" borderId="0" applyFont="0" applyFill="0" applyBorder="0" applyAlignment="0" applyProtection="0"/>
    <xf numFmtId="166" fontId="5"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177" fontId="1" fillId="0" borderId="0"/>
    <xf numFmtId="182" fontId="1" fillId="0" borderId="0" applyFont="0" applyFill="0" applyBorder="0" applyAlignment="0" applyProtection="0"/>
    <xf numFmtId="0" fontId="60" fillId="0" borderId="0" applyNumberFormat="0" applyFill="0" applyBorder="0" applyProtection="0">
      <alignment vertical="top"/>
    </xf>
    <xf numFmtId="0" fontId="59" fillId="0" borderId="0"/>
    <xf numFmtId="43" fontId="5" fillId="0" borderId="0" applyFont="0" applyFill="0" applyBorder="0" applyAlignment="0" applyProtection="0"/>
    <xf numFmtId="205" fontId="5" fillId="0" borderId="0" applyFont="0" applyFill="0" applyBorder="0" applyAlignment="0" applyProtection="0"/>
    <xf numFmtId="185" fontId="34" fillId="0" borderId="0" applyFont="0" applyFill="0" applyBorder="0" applyAlignment="0" applyProtection="0"/>
    <xf numFmtId="42" fontId="1" fillId="0" borderId="0" applyFont="0" applyFill="0" applyBorder="0" applyAlignment="0" applyProtection="0"/>
    <xf numFmtId="186" fontId="5" fillId="0" borderId="0" applyFont="0" applyFill="0" applyBorder="0" applyAlignment="0" applyProtection="0"/>
    <xf numFmtId="185" fontId="34" fillId="0" borderId="0" applyFont="0" applyFill="0" applyBorder="0" applyAlignment="0" applyProtection="0"/>
    <xf numFmtId="185" fontId="59" fillId="0" borderId="0" applyFont="0" applyFill="0" applyBorder="0" applyAlignment="0" applyProtection="0"/>
    <xf numFmtId="0" fontId="1" fillId="0" borderId="0"/>
  </cellStyleXfs>
  <cellXfs count="688">
    <xf numFmtId="0" fontId="0" fillId="0" borderId="0" xfId="0"/>
    <xf numFmtId="0" fontId="2" fillId="2" borderId="0" xfId="0" applyFont="1" applyFill="1" applyAlignment="1">
      <alignment horizontal="center" vertical="center"/>
    </xf>
    <xf numFmtId="0" fontId="2" fillId="0" borderId="0" xfId="0" applyFont="1" applyAlignment="1">
      <alignment horizontal="center" vertical="center"/>
    </xf>
    <xf numFmtId="0" fontId="3" fillId="0" borderId="0" xfId="0" applyFont="1"/>
    <xf numFmtId="0" fontId="2" fillId="0" borderId="0" xfId="0" applyFont="1"/>
    <xf numFmtId="0" fontId="4" fillId="0" borderId="1" xfId="0" applyFont="1" applyBorder="1"/>
    <xf numFmtId="0" fontId="5" fillId="0" borderId="2" xfId="0" applyFont="1" applyBorder="1" applyAlignment="1">
      <alignment vertical="center"/>
    </xf>
    <xf numFmtId="0" fontId="5" fillId="0" borderId="3" xfId="0" applyFont="1" applyBorder="1"/>
    <xf numFmtId="0" fontId="4" fillId="0" borderId="4" xfId="0" applyFont="1" applyBorder="1"/>
    <xf numFmtId="0" fontId="6" fillId="0" borderId="5" xfId="0" applyFont="1" applyBorder="1" applyAlignment="1">
      <alignment horizontal="centerContinuous" vertical="center" wrapText="1"/>
    </xf>
    <xf numFmtId="0" fontId="7" fillId="0" borderId="6" xfId="0" applyFont="1" applyBorder="1" applyAlignment="1">
      <alignment horizontal="centerContinuous" vertical="center" wrapText="1"/>
    </xf>
    <xf numFmtId="0" fontId="7" fillId="0" borderId="7" xfId="0" applyFont="1" applyBorder="1" applyAlignment="1">
      <alignment horizontal="centerContinuous" vertical="center" wrapText="1"/>
    </xf>
    <xf numFmtId="0" fontId="5" fillId="0" borderId="0" xfId="0" applyFont="1" applyAlignment="1">
      <alignment vertical="center"/>
    </xf>
    <xf numFmtId="0" fontId="5" fillId="0" borderId="8" xfId="0" applyFont="1" applyBorder="1"/>
    <xf numFmtId="0" fontId="8" fillId="0" borderId="9" xfId="0" applyFont="1" applyBorder="1" applyAlignment="1">
      <alignment horizontal="center" vertical="center"/>
    </xf>
    <xf numFmtId="0" fontId="8" fillId="0" borderId="10" xfId="0" applyFont="1" applyBorder="1" applyAlignment="1">
      <alignment horizontal="centerContinuous" vertical="center"/>
    </xf>
    <xf numFmtId="0" fontId="8" fillId="0" borderId="11" xfId="0" applyFont="1" applyBorder="1" applyAlignment="1">
      <alignment horizontal="centerContinuous" vertical="center"/>
    </xf>
    <xf numFmtId="0" fontId="8" fillId="0" borderId="12" xfId="0" applyFont="1" applyBorder="1" applyAlignment="1">
      <alignment horizontal="center" vertical="center"/>
    </xf>
    <xf numFmtId="0" fontId="9" fillId="0" borderId="0" xfId="0" applyFont="1" applyAlignment="1">
      <alignment vertical="center"/>
    </xf>
    <xf numFmtId="0" fontId="10" fillId="0" borderId="0" xfId="0" applyFont="1" applyAlignment="1">
      <alignment vertical="center"/>
    </xf>
    <xf numFmtId="0" fontId="11" fillId="0" borderId="0" xfId="0" applyFont="1" applyAlignment="1">
      <alignment vertical="center"/>
    </xf>
    <xf numFmtId="0" fontId="13" fillId="0" borderId="13" xfId="4" applyFont="1" applyBorder="1" applyAlignment="1" applyProtection="1">
      <alignment vertical="center"/>
    </xf>
    <xf numFmtId="0" fontId="14" fillId="0" borderId="14" xfId="0" applyFont="1" applyBorder="1" applyAlignment="1">
      <alignment vertical="center"/>
    </xf>
    <xf numFmtId="0" fontId="14" fillId="0" borderId="15" xfId="0" applyFont="1" applyBorder="1" applyAlignment="1">
      <alignment vertical="center"/>
    </xf>
    <xf numFmtId="0" fontId="14" fillId="0" borderId="16" xfId="0" applyFont="1" applyBorder="1" applyAlignment="1">
      <alignment vertical="center"/>
    </xf>
    <xf numFmtId="0" fontId="11" fillId="0" borderId="14" xfId="5" applyFont="1" applyBorder="1" applyAlignment="1">
      <alignment vertical="center"/>
    </xf>
    <xf numFmtId="0" fontId="11" fillId="0" borderId="15" xfId="5" applyFont="1" applyBorder="1" applyAlignment="1">
      <alignment vertical="center"/>
    </xf>
    <xf numFmtId="0" fontId="11" fillId="0" borderId="17" xfId="5" applyFont="1" applyBorder="1" applyAlignment="1">
      <alignment vertical="center"/>
    </xf>
    <xf numFmtId="0" fontId="6" fillId="0" borderId="8" xfId="5" applyFont="1" applyBorder="1" applyAlignment="1">
      <alignment horizontal="center" vertical="center"/>
    </xf>
    <xf numFmtId="0" fontId="13" fillId="0" borderId="18" xfId="4" applyFont="1" applyBorder="1" applyAlignment="1" applyProtection="1">
      <alignment vertical="center"/>
    </xf>
    <xf numFmtId="0" fontId="14" fillId="0" borderId="19" xfId="0" applyFont="1" applyBorder="1" applyAlignment="1">
      <alignment horizontal="centerContinuous" vertical="center"/>
    </xf>
    <xf numFmtId="0" fontId="14" fillId="0" borderId="0" xfId="0" applyFont="1" applyAlignment="1">
      <alignment horizontal="centerContinuous" vertical="center"/>
    </xf>
    <xf numFmtId="0" fontId="14" fillId="0" borderId="20" xfId="0" applyFont="1" applyBorder="1" applyAlignment="1">
      <alignment horizontal="centerContinuous" vertical="center"/>
    </xf>
    <xf numFmtId="0" fontId="11" fillId="0" borderId="21" xfId="5" applyFont="1" applyBorder="1" applyAlignment="1">
      <alignment vertical="center"/>
    </xf>
    <xf numFmtId="0" fontId="11" fillId="0" borderId="22" xfId="5" applyFont="1" applyBorder="1" applyAlignment="1">
      <alignment vertical="center"/>
    </xf>
    <xf numFmtId="0" fontId="11" fillId="0" borderId="23" xfId="5" applyFont="1" applyBorder="1" applyAlignment="1">
      <alignment vertical="center"/>
    </xf>
    <xf numFmtId="0" fontId="14" fillId="0" borderId="19" xfId="0" applyFont="1" applyBorder="1" applyAlignment="1">
      <alignment vertical="center"/>
    </xf>
    <xf numFmtId="0" fontId="14" fillId="0" borderId="0" xfId="0" applyFont="1" applyAlignment="1">
      <alignment vertical="center"/>
    </xf>
    <xf numFmtId="0" fontId="14" fillId="0" borderId="20" xfId="0" applyFont="1" applyBorder="1" applyAlignment="1">
      <alignment vertical="center"/>
    </xf>
    <xf numFmtId="0" fontId="11" fillId="0" borderId="24" xfId="5" applyFont="1" applyBorder="1" applyAlignment="1">
      <alignment horizontal="center" vertical="center"/>
    </xf>
    <xf numFmtId="0" fontId="11" fillId="0" borderId="25" xfId="5" applyFont="1" applyBorder="1" applyAlignment="1">
      <alignment vertical="center"/>
    </xf>
    <xf numFmtId="0" fontId="11" fillId="0" borderId="26" xfId="5" applyFont="1" applyBorder="1" applyAlignment="1">
      <alignment vertical="center"/>
    </xf>
    <xf numFmtId="0" fontId="11" fillId="0" borderId="27" xfId="5" applyFont="1" applyBorder="1" applyAlignment="1">
      <alignment vertical="center"/>
    </xf>
    <xf numFmtId="0" fontId="11" fillId="0" borderId="28" xfId="5" applyFont="1" applyBorder="1" applyAlignment="1">
      <alignment horizontal="center" vertical="center"/>
    </xf>
    <xf numFmtId="0" fontId="11" fillId="0" borderId="19" xfId="5" applyFont="1" applyBorder="1" applyAlignment="1">
      <alignment vertical="center"/>
    </xf>
    <xf numFmtId="0" fontId="11" fillId="0" borderId="0" xfId="5" applyFont="1" applyAlignment="1">
      <alignment vertical="center"/>
    </xf>
    <xf numFmtId="0" fontId="11" fillId="0" borderId="29" xfId="5" applyFont="1" applyBorder="1" applyAlignment="1">
      <alignment vertical="center"/>
    </xf>
    <xf numFmtId="0" fontId="11" fillId="0" borderId="30" xfId="0" applyFont="1" applyBorder="1" applyAlignment="1">
      <alignment horizontal="center" vertical="center"/>
    </xf>
    <xf numFmtId="0" fontId="11" fillId="0" borderId="21" xfId="0" applyFont="1" applyBorder="1" applyAlignment="1">
      <alignment vertical="center"/>
    </xf>
    <xf numFmtId="0" fontId="11" fillId="0" borderId="22" xfId="0" applyFont="1" applyBorder="1" applyAlignment="1">
      <alignment vertical="center"/>
    </xf>
    <xf numFmtId="0" fontId="11" fillId="0" borderId="23" xfId="0" applyFont="1" applyBorder="1" applyAlignment="1">
      <alignment vertical="center"/>
    </xf>
    <xf numFmtId="0" fontId="6" fillId="0" borderId="8" xfId="0" applyFont="1" applyBorder="1" applyAlignment="1">
      <alignment horizontal="center" vertical="center"/>
    </xf>
    <xf numFmtId="0" fontId="14" fillId="0" borderId="19" xfId="0" applyFont="1" applyBorder="1" applyAlignment="1">
      <alignment vertical="center" wrapText="1"/>
    </xf>
    <xf numFmtId="0" fontId="14" fillId="0" borderId="0" xfId="0" applyFont="1" applyAlignment="1">
      <alignment vertical="center" wrapText="1"/>
    </xf>
    <xf numFmtId="0" fontId="14" fillId="0" borderId="20" xfId="0" applyFont="1" applyBorder="1" applyAlignment="1">
      <alignment vertical="center" wrapText="1"/>
    </xf>
    <xf numFmtId="0" fontId="11" fillId="0" borderId="24" xfId="5" applyFont="1" applyBorder="1" applyAlignment="1">
      <alignment vertical="center"/>
    </xf>
    <xf numFmtId="0" fontId="11" fillId="0" borderId="31" xfId="5" applyFont="1" applyBorder="1" applyAlignment="1">
      <alignment vertical="center"/>
    </xf>
    <xf numFmtId="0" fontId="11" fillId="0" borderId="28" xfId="5" applyFont="1" applyBorder="1" applyAlignment="1">
      <alignment vertical="center"/>
    </xf>
    <xf numFmtId="0" fontId="11" fillId="0" borderId="32" xfId="5" applyFont="1" applyBorder="1" applyAlignment="1">
      <alignment vertical="center"/>
    </xf>
    <xf numFmtId="0" fontId="11" fillId="0" borderId="33" xfId="0" applyFont="1" applyBorder="1" applyAlignment="1">
      <alignment horizontal="center" vertical="center"/>
    </xf>
    <xf numFmtId="0" fontId="14" fillId="0" borderId="26" xfId="0" applyFont="1" applyBorder="1" applyAlignment="1">
      <alignment horizontal="center" vertical="center"/>
    </xf>
    <xf numFmtId="0" fontId="11" fillId="0" borderId="26" xfId="0" applyFont="1" applyBorder="1" applyAlignment="1">
      <alignment vertical="center"/>
    </xf>
    <xf numFmtId="0" fontId="11" fillId="0" borderId="27" xfId="0" applyFont="1" applyBorder="1" applyAlignment="1">
      <alignment vertical="center"/>
    </xf>
    <xf numFmtId="0" fontId="6" fillId="0" borderId="8" xfId="0" applyFont="1" applyBorder="1" applyAlignment="1">
      <alignment vertical="center"/>
    </xf>
    <xf numFmtId="0" fontId="11" fillId="0" borderId="34" xfId="0" applyFont="1" applyBorder="1" applyAlignment="1">
      <alignment horizontal="center" vertical="center"/>
    </xf>
    <xf numFmtId="0" fontId="14" fillId="0" borderId="15" xfId="0" applyFont="1" applyBorder="1" applyAlignment="1">
      <alignment horizontal="center" vertical="center"/>
    </xf>
    <xf numFmtId="0" fontId="11" fillId="0" borderId="35" xfId="0" applyFont="1" applyBorder="1" applyAlignment="1">
      <alignment horizontal="center" vertical="center"/>
    </xf>
    <xf numFmtId="0" fontId="11" fillId="0" borderId="36" xfId="0" applyFont="1" applyBorder="1" applyAlignment="1">
      <alignment horizontal="center" vertical="center"/>
    </xf>
    <xf numFmtId="0" fontId="11" fillId="0" borderId="37" xfId="0" applyFont="1" applyBorder="1" applyAlignment="1">
      <alignment horizontal="center" vertical="center"/>
    </xf>
    <xf numFmtId="0" fontId="14" fillId="0" borderId="0" xfId="0" applyFont="1" applyAlignment="1">
      <alignment horizontal="center" vertical="center"/>
    </xf>
    <xf numFmtId="0" fontId="11" fillId="0" borderId="38" xfId="0" applyFont="1" applyBorder="1" applyAlignment="1">
      <alignment vertical="center"/>
    </xf>
    <xf numFmtId="1" fontId="11" fillId="0" borderId="38" xfId="0" applyNumberFormat="1" applyFont="1" applyBorder="1" applyAlignment="1">
      <alignment horizontal="center" vertical="center"/>
    </xf>
    <xf numFmtId="1" fontId="11" fillId="0" borderId="39" xfId="0" applyNumberFormat="1" applyFont="1" applyBorder="1" applyAlignment="1">
      <alignment horizontal="center" vertical="center"/>
    </xf>
    <xf numFmtId="1" fontId="6" fillId="0" borderId="8" xfId="0" applyNumberFormat="1" applyFont="1" applyBorder="1" applyAlignment="1">
      <alignment horizontal="center" vertical="center"/>
    </xf>
    <xf numFmtId="0" fontId="14" fillId="0" borderId="37" xfId="0" applyFont="1" applyBorder="1" applyAlignment="1">
      <alignment vertical="center"/>
    </xf>
    <xf numFmtId="0" fontId="11" fillId="0" borderId="0" xfId="0" applyFont="1" applyAlignment="1">
      <alignment horizontal="right" vertical="center"/>
    </xf>
    <xf numFmtId="1" fontId="11" fillId="0" borderId="29" xfId="0" applyNumberFormat="1" applyFont="1" applyBorder="1" applyAlignment="1">
      <alignment horizontal="center" vertical="center"/>
    </xf>
    <xf numFmtId="0" fontId="11" fillId="0" borderId="40" xfId="0" applyFont="1" applyBorder="1" applyAlignment="1">
      <alignment vertical="center"/>
    </xf>
    <xf numFmtId="0" fontId="11" fillId="0" borderId="41" xfId="0" applyFont="1" applyBorder="1" applyAlignment="1">
      <alignment vertical="center"/>
    </xf>
    <xf numFmtId="0" fontId="11" fillId="0" borderId="42" xfId="0" applyFont="1" applyBorder="1" applyAlignment="1">
      <alignment vertical="center"/>
    </xf>
    <xf numFmtId="0" fontId="11" fillId="0" borderId="34" xfId="0" applyFont="1" applyBorder="1" applyAlignment="1">
      <alignment vertical="center"/>
    </xf>
    <xf numFmtId="0" fontId="11" fillId="0" borderId="15" xfId="0" applyFont="1" applyBorder="1" applyAlignment="1">
      <alignment vertical="center"/>
    </xf>
    <xf numFmtId="0" fontId="11" fillId="0" borderId="17" xfId="0" applyFont="1" applyBorder="1" applyAlignment="1">
      <alignment vertical="center"/>
    </xf>
    <xf numFmtId="0" fontId="14" fillId="0" borderId="34" xfId="0" applyFont="1" applyBorder="1" applyAlignment="1" applyProtection="1">
      <alignment horizontal="centerContinuous" vertical="center"/>
      <protection locked="0"/>
    </xf>
    <xf numFmtId="0" fontId="14" fillId="0" borderId="15" xfId="0" applyFont="1" applyBorder="1" applyAlignment="1" applyProtection="1">
      <alignment horizontal="centerContinuous" vertical="center"/>
      <protection locked="0"/>
    </xf>
    <xf numFmtId="0" fontId="14" fillId="0" borderId="17" xfId="0" applyFont="1" applyBorder="1" applyAlignment="1" applyProtection="1">
      <alignment horizontal="centerContinuous" vertical="center"/>
      <protection locked="0"/>
    </xf>
    <xf numFmtId="0" fontId="16" fillId="0" borderId="8" xfId="0" applyFont="1" applyBorder="1" applyAlignment="1" applyProtection="1">
      <alignment horizontal="center"/>
      <protection locked="0"/>
    </xf>
    <xf numFmtId="0" fontId="11" fillId="0" borderId="37" xfId="0" applyFont="1" applyBorder="1" applyAlignment="1">
      <alignment vertical="center"/>
    </xf>
    <xf numFmtId="0" fontId="11" fillId="0" borderId="29" xfId="0" applyFont="1" applyBorder="1" applyAlignment="1">
      <alignment vertical="center"/>
    </xf>
    <xf numFmtId="0" fontId="14" fillId="3" borderId="43" xfId="0" applyFont="1" applyFill="1" applyBorder="1" applyAlignment="1">
      <alignment horizontal="center" vertical="center"/>
    </xf>
    <xf numFmtId="0" fontId="14" fillId="3" borderId="15" xfId="0" applyFont="1" applyFill="1" applyBorder="1" applyAlignment="1">
      <alignment horizontal="centerContinuous" vertical="center" wrapText="1"/>
    </xf>
    <xf numFmtId="0" fontId="14" fillId="3" borderId="35" xfId="0" applyFont="1" applyFill="1" applyBorder="1" applyAlignment="1">
      <alignment horizontal="centerContinuous" vertical="center"/>
    </xf>
    <xf numFmtId="0" fontId="14" fillId="3" borderId="44" xfId="0" applyFont="1" applyFill="1" applyBorder="1" applyAlignment="1">
      <alignment horizontal="center" vertical="center"/>
    </xf>
    <xf numFmtId="0" fontId="16" fillId="0" borderId="8" xfId="0" applyFont="1" applyBorder="1" applyAlignment="1">
      <alignment horizontal="center" vertical="center"/>
    </xf>
    <xf numFmtId="0" fontId="11" fillId="3" borderId="45" xfId="4" applyFont="1" applyFill="1" applyBorder="1" applyAlignment="1" applyProtection="1">
      <alignment horizontal="centerContinuous" vertical="center" wrapText="1"/>
    </xf>
    <xf numFmtId="0" fontId="11" fillId="3" borderId="45" xfId="0" applyFont="1" applyFill="1" applyBorder="1" applyAlignment="1">
      <alignment horizontal="centerContinuous" vertical="center"/>
    </xf>
    <xf numFmtId="4" fontId="11" fillId="3" borderId="42" xfId="0" applyNumberFormat="1" applyFont="1" applyFill="1" applyBorder="1" applyAlignment="1">
      <alignment horizontal="center" vertical="center"/>
    </xf>
    <xf numFmtId="4" fontId="5" fillId="0" borderId="8" xfId="0" applyNumberFormat="1" applyFont="1" applyBorder="1" applyAlignment="1">
      <alignment horizontal="center" vertical="center"/>
    </xf>
    <xf numFmtId="165" fontId="2" fillId="0" borderId="0" xfId="0" applyNumberFormat="1" applyFont="1"/>
    <xf numFmtId="0" fontId="14" fillId="0" borderId="29" xfId="0" applyFont="1" applyBorder="1" applyAlignment="1">
      <alignment vertical="center"/>
    </xf>
    <xf numFmtId="0" fontId="16" fillId="0" borderId="8" xfId="0" applyFont="1" applyBorder="1" applyAlignment="1">
      <alignment horizontal="left" vertical="center"/>
    </xf>
    <xf numFmtId="0" fontId="14" fillId="3" borderId="46" xfId="0" applyFont="1" applyFill="1" applyBorder="1" applyAlignment="1">
      <alignment horizontal="centerContinuous" vertical="center"/>
    </xf>
    <xf numFmtId="0" fontId="11" fillId="3" borderId="47" xfId="0" applyFont="1" applyFill="1" applyBorder="1" applyAlignment="1">
      <alignment horizontal="centerContinuous" vertical="center"/>
    </xf>
    <xf numFmtId="0" fontId="11" fillId="3" borderId="48" xfId="0" applyFont="1" applyFill="1" applyBorder="1" applyAlignment="1">
      <alignment horizontal="centerContinuous" vertical="center"/>
    </xf>
    <xf numFmtId="0" fontId="14" fillId="3" borderId="49" xfId="0" applyFont="1" applyFill="1" applyBorder="1" applyAlignment="1">
      <alignment horizontal="centerContinuous" vertical="center"/>
    </xf>
    <xf numFmtId="0" fontId="14" fillId="3" borderId="48" xfId="0" applyFont="1" applyFill="1" applyBorder="1" applyAlignment="1">
      <alignment horizontal="centerContinuous" vertical="center"/>
    </xf>
    <xf numFmtId="0" fontId="14" fillId="3" borderId="35" xfId="0" applyFont="1" applyFill="1" applyBorder="1" applyAlignment="1">
      <alignment horizontal="center" vertical="center"/>
    </xf>
    <xf numFmtId="0" fontId="14" fillId="3" borderId="36" xfId="0" applyFont="1" applyFill="1" applyBorder="1" applyAlignment="1">
      <alignment horizontal="center" vertical="center"/>
    </xf>
    <xf numFmtId="0" fontId="16" fillId="0" borderId="8" xfId="0" applyFont="1" applyBorder="1" applyAlignment="1">
      <alignment horizontal="center"/>
    </xf>
    <xf numFmtId="0" fontId="11" fillId="0" borderId="50" xfId="0" applyFont="1" applyBorder="1" applyAlignment="1">
      <alignment vertical="center"/>
    </xf>
    <xf numFmtId="0" fontId="11" fillId="0" borderId="51" xfId="0" applyFont="1" applyBorder="1" applyAlignment="1">
      <alignment vertical="center"/>
    </xf>
    <xf numFmtId="0" fontId="11" fillId="0" borderId="52" xfId="0" applyFont="1" applyBorder="1" applyAlignment="1">
      <alignment vertical="center"/>
    </xf>
    <xf numFmtId="0" fontId="11" fillId="0" borderId="53" xfId="0" applyFont="1" applyBorder="1" applyAlignment="1">
      <alignment vertical="center"/>
    </xf>
    <xf numFmtId="0" fontId="11" fillId="0" borderId="53" xfId="0" applyFont="1" applyBorder="1" applyAlignment="1">
      <alignment horizontal="centerContinuous" vertical="center"/>
    </xf>
    <xf numFmtId="0" fontId="11" fillId="0" borderId="52" xfId="0" applyFont="1" applyBorder="1" applyAlignment="1">
      <alignment horizontal="centerContinuous" vertical="center"/>
    </xf>
    <xf numFmtId="165" fontId="11" fillId="0" borderId="38" xfId="2" applyNumberFormat="1" applyFont="1" applyBorder="1" applyAlignment="1">
      <alignment vertical="center"/>
    </xf>
    <xf numFmtId="2" fontId="11" fillId="0" borderId="53" xfId="0" applyNumberFormat="1" applyFont="1" applyBorder="1" applyAlignment="1">
      <alignment horizontal="centerContinuous" vertical="center"/>
    </xf>
    <xf numFmtId="2" fontId="11" fillId="0" borderId="52" xfId="0" applyNumberFormat="1" applyFont="1" applyBorder="1" applyAlignment="1">
      <alignment horizontal="centerContinuous" vertical="center"/>
    </xf>
    <xf numFmtId="165" fontId="11" fillId="0" borderId="39" xfId="2" applyNumberFormat="1" applyFont="1" applyBorder="1" applyAlignment="1">
      <alignment vertical="center"/>
    </xf>
    <xf numFmtId="43" fontId="5" fillId="0" borderId="8" xfId="1" applyFont="1" applyFill="1" applyBorder="1"/>
    <xf numFmtId="0" fontId="11" fillId="0" borderId="53" xfId="0" applyFont="1" applyBorder="1" applyAlignment="1">
      <alignment horizontal="center" vertical="center"/>
    </xf>
    <xf numFmtId="0" fontId="11" fillId="0" borderId="52" xfId="0" applyFont="1" applyBorder="1" applyAlignment="1">
      <alignment horizontal="center" vertical="center"/>
    </xf>
    <xf numFmtId="0" fontId="11" fillId="0" borderId="54" xfId="0" applyFont="1" applyBorder="1" applyAlignment="1">
      <alignment vertical="center"/>
    </xf>
    <xf numFmtId="0" fontId="11" fillId="0" borderId="55" xfId="0" applyFont="1" applyBorder="1" applyAlignment="1">
      <alignment vertical="center"/>
    </xf>
    <xf numFmtId="0" fontId="11" fillId="0" borderId="54" xfId="0" applyFont="1" applyBorder="1" applyAlignment="1">
      <alignment horizontal="centerContinuous" vertical="center"/>
    </xf>
    <xf numFmtId="2" fontId="11" fillId="0" borderId="55" xfId="0" applyNumberFormat="1" applyFont="1" applyBorder="1" applyAlignment="1">
      <alignment horizontal="centerContinuous" vertical="center"/>
    </xf>
    <xf numFmtId="2" fontId="11" fillId="0" borderId="54" xfId="0" applyNumberFormat="1" applyFont="1" applyBorder="1" applyAlignment="1">
      <alignment horizontal="centerContinuous" vertical="center"/>
    </xf>
    <xf numFmtId="165" fontId="11" fillId="0" borderId="56" xfId="2" applyNumberFormat="1" applyFont="1" applyBorder="1" applyAlignment="1">
      <alignment vertical="center"/>
    </xf>
    <xf numFmtId="0" fontId="14" fillId="0" borderId="57" xfId="0" applyFont="1" applyBorder="1" applyAlignment="1">
      <alignment horizontal="left" vertical="center" indent="85"/>
    </xf>
    <xf numFmtId="0" fontId="14" fillId="0" borderId="58" xfId="0" applyFont="1" applyBorder="1" applyAlignment="1">
      <alignment horizontal="left" vertical="center" indent="85"/>
    </xf>
    <xf numFmtId="0" fontId="14" fillId="0" borderId="59" xfId="0" applyFont="1" applyBorder="1" applyAlignment="1">
      <alignment horizontal="left" vertical="center" indent="85"/>
    </xf>
    <xf numFmtId="165" fontId="11" fillId="0" borderId="60" xfId="2" applyNumberFormat="1" applyFont="1" applyBorder="1" applyAlignment="1">
      <alignment vertical="center"/>
    </xf>
    <xf numFmtId="166" fontId="5" fillId="0" borderId="8" xfId="0" applyNumberFormat="1" applyFont="1" applyBorder="1"/>
    <xf numFmtId="0" fontId="14" fillId="3" borderId="47" xfId="0" applyFont="1" applyFill="1" applyBorder="1" applyAlignment="1">
      <alignment horizontal="centerContinuous" vertical="center"/>
    </xf>
    <xf numFmtId="0" fontId="14" fillId="3" borderId="49" xfId="0" applyFont="1" applyFill="1" applyBorder="1" applyAlignment="1">
      <alignment horizontal="center" vertical="center"/>
    </xf>
    <xf numFmtId="4" fontId="11" fillId="0" borderId="51" xfId="0" applyNumberFormat="1" applyFont="1" applyBorder="1" applyAlignment="1">
      <alignment vertical="center"/>
    </xf>
    <xf numFmtId="4" fontId="11" fillId="0" borderId="52" xfId="0" applyNumberFormat="1" applyFont="1" applyBorder="1" applyAlignment="1">
      <alignment vertical="center"/>
    </xf>
    <xf numFmtId="0" fontId="11" fillId="0" borderId="51" xfId="0" applyFont="1" applyBorder="1" applyAlignment="1">
      <alignment horizontal="center" vertical="center"/>
    </xf>
    <xf numFmtId="2" fontId="11" fillId="0" borderId="38" xfId="1" applyNumberFormat="1" applyFont="1" applyBorder="1" applyAlignment="1">
      <alignment horizontal="center" vertical="center"/>
    </xf>
    <xf numFmtId="165" fontId="11" fillId="0" borderId="53" xfId="2" applyNumberFormat="1" applyFont="1" applyBorder="1" applyAlignment="1">
      <alignment horizontal="centerContinuous" vertical="center"/>
    </xf>
    <xf numFmtId="165" fontId="11" fillId="0" borderId="52" xfId="2" applyNumberFormat="1" applyFont="1" applyBorder="1" applyAlignment="1">
      <alignment horizontal="centerContinuous" vertical="center"/>
    </xf>
    <xf numFmtId="0" fontId="14" fillId="3" borderId="47" xfId="0" applyFont="1" applyFill="1" applyBorder="1" applyAlignment="1">
      <alignment horizontal="center" vertical="center"/>
    </xf>
    <xf numFmtId="0" fontId="11" fillId="0" borderId="50" xfId="0" applyFont="1" applyBorder="1" applyAlignment="1">
      <alignment horizontal="left" vertical="center"/>
    </xf>
    <xf numFmtId="0" fontId="11" fillId="0" borderId="51" xfId="0" applyFont="1" applyBorder="1" applyAlignment="1">
      <alignment horizontal="left" vertical="center"/>
    </xf>
    <xf numFmtId="2" fontId="11" fillId="0" borderId="38" xfId="0" applyNumberFormat="1" applyFont="1" applyBorder="1" applyAlignment="1">
      <alignment horizontal="center" vertical="center"/>
    </xf>
    <xf numFmtId="2" fontId="11" fillId="0" borderId="51" xfId="0" applyNumberFormat="1" applyFont="1" applyBorder="1" applyAlignment="1">
      <alignment horizontal="center" vertical="center"/>
    </xf>
    <xf numFmtId="0" fontId="11" fillId="0" borderId="38" xfId="2" applyNumberFormat="1" applyFont="1" applyBorder="1" applyAlignment="1">
      <alignment horizontal="center" vertical="center"/>
    </xf>
    <xf numFmtId="44" fontId="11" fillId="0" borderId="52" xfId="2" applyFont="1" applyBorder="1" applyAlignment="1">
      <alignment horizontal="centerContinuous" vertical="center"/>
    </xf>
    <xf numFmtId="165" fontId="11" fillId="0" borderId="39" xfId="1" applyNumberFormat="1" applyFont="1" applyBorder="1" applyAlignment="1">
      <alignment vertical="center"/>
    </xf>
    <xf numFmtId="0" fontId="11" fillId="0" borderId="61" xfId="0" applyFont="1" applyBorder="1" applyAlignment="1">
      <alignment vertical="center"/>
    </xf>
    <xf numFmtId="0" fontId="11" fillId="0" borderId="62" xfId="0" applyFont="1" applyBorder="1" applyAlignment="1">
      <alignment vertical="center"/>
    </xf>
    <xf numFmtId="165" fontId="11" fillId="0" borderId="60" xfId="0" applyNumberFormat="1" applyFont="1" applyBorder="1" applyAlignment="1">
      <alignment vertical="center"/>
    </xf>
    <xf numFmtId="0" fontId="14" fillId="3" borderId="47" xfId="0" applyFont="1" applyFill="1" applyBorder="1" applyAlignment="1">
      <alignment horizontal="center" vertical="center" wrapText="1"/>
    </xf>
    <xf numFmtId="0" fontId="14" fillId="3" borderId="35" xfId="0" applyFont="1" applyFill="1" applyBorder="1" applyAlignment="1">
      <alignment horizontal="center" vertical="center" wrapText="1"/>
    </xf>
    <xf numFmtId="0" fontId="14" fillId="3" borderId="36" xfId="0" applyFont="1" applyFill="1" applyBorder="1" applyAlignment="1">
      <alignment horizontal="center" vertical="center" wrapText="1"/>
    </xf>
    <xf numFmtId="0" fontId="16" fillId="0" borderId="8" xfId="0" applyFont="1" applyBorder="1" applyAlignment="1">
      <alignment horizontal="center" wrapText="1"/>
    </xf>
    <xf numFmtId="165" fontId="11" fillId="0" borderId="38" xfId="2" applyNumberFormat="1" applyFont="1" applyBorder="1" applyAlignment="1">
      <alignment horizontal="center" vertical="center"/>
    </xf>
    <xf numFmtId="0" fontId="11" fillId="0" borderId="51" xfId="3" applyNumberFormat="1" applyFont="1" applyBorder="1" applyAlignment="1">
      <alignment horizontal="center" vertical="center"/>
    </xf>
    <xf numFmtId="165" fontId="11" fillId="0" borderId="30" xfId="2" applyNumberFormat="1" applyFont="1" applyBorder="1" applyAlignment="1">
      <alignment horizontal="center" vertical="center" wrapText="1"/>
    </xf>
    <xf numFmtId="2" fontId="11" fillId="0" borderId="53" xfId="0" applyNumberFormat="1" applyFont="1" applyBorder="1" applyAlignment="1">
      <alignment horizontal="centerContinuous" vertical="center" wrapText="1"/>
    </xf>
    <xf numFmtId="2" fontId="11" fillId="0" borderId="52" xfId="0" applyNumberFormat="1" applyFont="1" applyBorder="1" applyAlignment="1">
      <alignment horizontal="centerContinuous" vertical="center" wrapText="1"/>
    </xf>
    <xf numFmtId="165" fontId="11" fillId="0" borderId="63" xfId="2" applyNumberFormat="1" applyFont="1" applyBorder="1" applyAlignment="1">
      <alignment horizontal="center" vertical="center" wrapText="1"/>
    </xf>
    <xf numFmtId="43" fontId="5" fillId="0" borderId="8" xfId="1" applyFont="1" applyFill="1" applyBorder="1" applyAlignment="1">
      <alignment horizontal="center" wrapText="1"/>
    </xf>
    <xf numFmtId="0" fontId="14" fillId="3" borderId="57" xfId="0" applyFont="1" applyFill="1" applyBorder="1" applyAlignment="1">
      <alignment horizontal="left" vertical="center" indent="75"/>
    </xf>
    <xf numFmtId="0" fontId="14" fillId="3" borderId="58" xfId="0" applyFont="1" applyFill="1" applyBorder="1" applyAlignment="1">
      <alignment horizontal="left" vertical="center" indent="75"/>
    </xf>
    <xf numFmtId="0" fontId="14" fillId="3" borderId="59" xfId="0" applyFont="1" applyFill="1" applyBorder="1" applyAlignment="1">
      <alignment horizontal="left" vertical="center" indent="75"/>
    </xf>
    <xf numFmtId="165" fontId="11" fillId="3" borderId="60" xfId="2" applyNumberFormat="1" applyFont="1" applyFill="1" applyBorder="1" applyAlignment="1">
      <alignment vertical="center"/>
    </xf>
    <xf numFmtId="167" fontId="5" fillId="0" borderId="8" xfId="0" applyNumberFormat="1" applyFont="1" applyBorder="1"/>
    <xf numFmtId="44" fontId="2" fillId="0" borderId="0" xfId="2" applyFont="1"/>
    <xf numFmtId="0" fontId="14" fillId="0" borderId="64" xfId="0" applyFont="1" applyBorder="1" applyAlignment="1">
      <alignment vertical="center"/>
    </xf>
    <xf numFmtId="0" fontId="14" fillId="0" borderId="62" xfId="0" applyFont="1" applyBorder="1" applyAlignment="1">
      <alignment vertical="center"/>
    </xf>
    <xf numFmtId="0" fontId="14" fillId="0" borderId="65" xfId="0" applyFont="1" applyBorder="1" applyAlignment="1">
      <alignment vertical="center"/>
    </xf>
    <xf numFmtId="0" fontId="14" fillId="3" borderId="46" xfId="0" applyFont="1" applyFill="1" applyBorder="1" applyAlignment="1">
      <alignment vertical="center"/>
    </xf>
    <xf numFmtId="0" fontId="14" fillId="3" borderId="47" xfId="0" applyFont="1" applyFill="1" applyBorder="1" applyAlignment="1">
      <alignment vertical="center"/>
    </xf>
    <xf numFmtId="0" fontId="14" fillId="3" borderId="48" xfId="0" applyFont="1" applyFill="1" applyBorder="1" applyAlignment="1">
      <alignment horizontal="center" vertical="center" wrapText="1"/>
    </xf>
    <xf numFmtId="0" fontId="14" fillId="3" borderId="49" xfId="0" applyFont="1" applyFill="1" applyBorder="1" applyAlignment="1">
      <alignment horizontal="centerContinuous" vertical="center" wrapText="1"/>
    </xf>
    <xf numFmtId="0" fontId="14" fillId="3" borderId="48" xfId="0" applyFont="1" applyFill="1" applyBorder="1" applyAlignment="1">
      <alignment horizontal="centerContinuous" vertical="center" wrapText="1"/>
    </xf>
    <xf numFmtId="43" fontId="11" fillId="0" borderId="51" xfId="1" applyFont="1" applyBorder="1" applyAlignment="1">
      <alignment vertical="center"/>
    </xf>
    <xf numFmtId="9" fontId="11" fillId="0" borderId="52" xfId="3" applyFont="1" applyBorder="1" applyAlignment="1">
      <alignment vertical="center"/>
    </xf>
    <xf numFmtId="9" fontId="11" fillId="0" borderId="38" xfId="3" applyFont="1" applyBorder="1" applyAlignment="1">
      <alignment horizontal="center" vertical="center"/>
    </xf>
    <xf numFmtId="165" fontId="11" fillId="0" borderId="53" xfId="1" applyNumberFormat="1" applyFont="1" applyBorder="1" applyAlignment="1">
      <alignment horizontal="centerContinuous" vertical="center"/>
    </xf>
    <xf numFmtId="43" fontId="11" fillId="0" borderId="52" xfId="1" applyFont="1" applyBorder="1" applyAlignment="1">
      <alignment horizontal="centerContinuous" vertical="center"/>
    </xf>
    <xf numFmtId="43" fontId="11" fillId="0" borderId="39" xfId="1" applyFont="1" applyBorder="1" applyAlignment="1">
      <alignment vertical="center"/>
    </xf>
    <xf numFmtId="0" fontId="11" fillId="0" borderId="33" xfId="0" applyFont="1" applyBorder="1" applyAlignment="1">
      <alignment vertical="center"/>
    </xf>
    <xf numFmtId="43" fontId="11" fillId="0" borderId="41" xfId="1" applyFont="1" applyBorder="1" applyAlignment="1">
      <alignment vertical="center"/>
    </xf>
    <xf numFmtId="9" fontId="11" fillId="0" borderId="54" xfId="3" applyFont="1" applyBorder="1" applyAlignment="1">
      <alignment vertical="center"/>
    </xf>
    <xf numFmtId="43" fontId="5" fillId="0" borderId="8" xfId="0" applyNumberFormat="1" applyFont="1" applyBorder="1"/>
    <xf numFmtId="0" fontId="14" fillId="3" borderId="57" xfId="0" applyFont="1" applyFill="1" applyBorder="1" applyAlignment="1">
      <alignment horizontal="left" vertical="center" indent="65"/>
    </xf>
    <xf numFmtId="0" fontId="14" fillId="3" borderId="58" xfId="0" applyFont="1" applyFill="1" applyBorder="1" applyAlignment="1">
      <alignment horizontal="left" vertical="center" indent="65"/>
    </xf>
    <xf numFmtId="0" fontId="14" fillId="3" borderId="59" xfId="0" applyFont="1" applyFill="1" applyBorder="1" applyAlignment="1">
      <alignment horizontal="left" vertical="center" indent="65"/>
    </xf>
    <xf numFmtId="0" fontId="8" fillId="0" borderId="8" xfId="0" applyFont="1" applyBorder="1"/>
    <xf numFmtId="0" fontId="11" fillId="0" borderId="0" xfId="0" applyFont="1" applyAlignment="1">
      <alignment horizontal="center" vertical="center"/>
    </xf>
    <xf numFmtId="0" fontId="11" fillId="0" borderId="0" xfId="0" applyFont="1" applyAlignment="1">
      <alignment horizontal="left" vertical="center"/>
    </xf>
    <xf numFmtId="0" fontId="11" fillId="0" borderId="29" xfId="0" applyFont="1" applyBorder="1" applyAlignment="1">
      <alignment horizontal="center" vertical="center"/>
    </xf>
    <xf numFmtId="0" fontId="5" fillId="0" borderId="8" xfId="0" applyFont="1" applyBorder="1" applyAlignment="1">
      <alignment horizontal="center"/>
    </xf>
    <xf numFmtId="0" fontId="11" fillId="0" borderId="64" xfId="0" applyFont="1" applyBorder="1" applyAlignment="1">
      <alignment vertical="center"/>
    </xf>
    <xf numFmtId="0" fontId="11" fillId="0" borderId="65" xfId="0" applyFont="1" applyBorder="1" applyAlignment="1">
      <alignment vertical="center"/>
    </xf>
    <xf numFmtId="0" fontId="18" fillId="0" borderId="8" xfId="0" applyFont="1" applyBorder="1" applyAlignment="1">
      <alignment horizontal="right"/>
    </xf>
    <xf numFmtId="0" fontId="4" fillId="0" borderId="66" xfId="0" applyFont="1" applyBorder="1"/>
    <xf numFmtId="0" fontId="5" fillId="0" borderId="67" xfId="0" applyFont="1" applyBorder="1" applyAlignment="1">
      <alignment vertical="center"/>
    </xf>
    <xf numFmtId="0" fontId="5" fillId="0" borderId="68" xfId="0" applyFont="1" applyBorder="1"/>
    <xf numFmtId="0" fontId="17" fillId="0" borderId="72" xfId="0" applyFont="1" applyBorder="1" applyAlignment="1">
      <alignment horizontal="center" vertical="center"/>
    </xf>
    <xf numFmtId="0" fontId="17" fillId="0" borderId="73" xfId="0" applyFont="1" applyBorder="1" applyAlignment="1">
      <alignment horizontal="center" vertical="center"/>
    </xf>
    <xf numFmtId="0" fontId="20" fillId="0" borderId="48" xfId="0" applyFont="1" applyBorder="1" applyAlignment="1">
      <alignment horizontal="center" vertical="center"/>
    </xf>
    <xf numFmtId="0" fontId="20" fillId="0" borderId="35" xfId="0" applyFont="1" applyBorder="1" applyAlignment="1">
      <alignment horizontal="center" vertical="center"/>
    </xf>
    <xf numFmtId="0" fontId="17" fillId="0" borderId="74" xfId="0" applyFont="1" applyBorder="1" applyAlignment="1">
      <alignment horizontal="center" vertical="center"/>
    </xf>
    <xf numFmtId="0" fontId="20" fillId="0" borderId="54" xfId="0" applyFont="1" applyBorder="1" applyAlignment="1">
      <alignment horizontal="center" vertical="center"/>
    </xf>
    <xf numFmtId="0" fontId="20" fillId="0" borderId="45" xfId="0" applyFont="1" applyBorder="1" applyAlignment="1">
      <alignment horizontal="center" vertical="center"/>
    </xf>
    <xf numFmtId="0" fontId="17" fillId="0" borderId="60" xfId="0" applyFont="1" applyBorder="1" applyAlignment="1">
      <alignment horizontal="center" vertical="center"/>
    </xf>
    <xf numFmtId="9" fontId="18" fillId="0" borderId="36" xfId="3" applyFont="1" applyFill="1" applyBorder="1" applyAlignment="1">
      <alignment horizontal="center" vertical="center" wrapText="1"/>
    </xf>
    <xf numFmtId="0" fontId="17" fillId="0" borderId="76" xfId="0" applyFont="1" applyBorder="1" applyAlignment="1">
      <alignment horizontal="center" vertical="center"/>
    </xf>
    <xf numFmtId="9" fontId="18" fillId="0" borderId="39" xfId="3" applyFont="1" applyFill="1" applyBorder="1" applyAlignment="1">
      <alignment horizontal="center" vertical="center" wrapText="1"/>
    </xf>
    <xf numFmtId="9" fontId="18" fillId="0" borderId="56" xfId="3" applyFont="1" applyFill="1" applyBorder="1" applyAlignment="1">
      <alignment horizontal="center" vertical="center" wrapText="1"/>
    </xf>
    <xf numFmtId="0" fontId="17" fillId="0" borderId="52" xfId="0" applyFont="1" applyBorder="1" applyAlignment="1">
      <alignment vertical="center"/>
    </xf>
    <xf numFmtId="0" fontId="17" fillId="0" borderId="54" xfId="0" applyFont="1" applyBorder="1" applyAlignment="1">
      <alignment vertical="center"/>
    </xf>
    <xf numFmtId="0" fontId="17" fillId="0" borderId="78" xfId="0" applyFont="1" applyBorder="1" applyAlignment="1">
      <alignment horizontal="left" vertical="center"/>
    </xf>
    <xf numFmtId="0" fontId="17" fillId="5" borderId="48" xfId="0" applyFont="1" applyFill="1" applyBorder="1" applyAlignment="1">
      <alignment horizontal="left" vertical="center"/>
    </xf>
    <xf numFmtId="0" fontId="17" fillId="5" borderId="52" xfId="0" applyFont="1" applyFill="1" applyBorder="1" applyAlignment="1">
      <alignment vertical="center"/>
    </xf>
    <xf numFmtId="0" fontId="17" fillId="5" borderId="54" xfId="0" applyFont="1" applyFill="1" applyBorder="1" applyAlignment="1">
      <alignment vertical="center"/>
    </xf>
    <xf numFmtId="0" fontId="14" fillId="0" borderId="37" xfId="0" applyFont="1" applyBorder="1" applyAlignment="1">
      <alignment horizontal="center" vertical="center"/>
    </xf>
    <xf numFmtId="168" fontId="11" fillId="0" borderId="38" xfId="0" applyNumberFormat="1" applyFont="1" applyBorder="1" applyAlignment="1">
      <alignment horizontal="center" vertical="center"/>
    </xf>
    <xf numFmtId="0" fontId="21" fillId="0" borderId="38" xfId="0" applyFont="1" applyBorder="1" applyAlignment="1">
      <alignment horizontal="center" vertical="center"/>
    </xf>
    <xf numFmtId="0" fontId="21" fillId="0" borderId="53" xfId="0" applyFont="1" applyBorder="1" applyAlignment="1">
      <alignment horizontal="center" vertical="center"/>
    </xf>
    <xf numFmtId="0" fontId="21" fillId="6" borderId="53" xfId="0" applyFont="1" applyFill="1" applyBorder="1" applyAlignment="1">
      <alignment horizontal="left" vertical="center"/>
    </xf>
    <xf numFmtId="0" fontId="22" fillId="6" borderId="38" xfId="0" applyFont="1" applyFill="1" applyBorder="1" applyAlignment="1">
      <alignment horizontal="center" vertical="center"/>
    </xf>
    <xf numFmtId="44" fontId="22" fillId="6" borderId="53" xfId="2" applyFont="1" applyFill="1" applyBorder="1" applyAlignment="1">
      <alignment horizontal="center" vertical="center"/>
    </xf>
    <xf numFmtId="4" fontId="23" fillId="5" borderId="53" xfId="0" applyNumberFormat="1" applyFont="1" applyFill="1" applyBorder="1" applyAlignment="1">
      <alignment horizontal="left"/>
    </xf>
    <xf numFmtId="0" fontId="23" fillId="0" borderId="38" xfId="0" applyFont="1" applyBorder="1" applyAlignment="1">
      <alignment horizontal="center" vertical="center"/>
    </xf>
    <xf numFmtId="4" fontId="23" fillId="0" borderId="38" xfId="2" applyNumberFormat="1" applyFont="1" applyFill="1" applyBorder="1" applyAlignment="1">
      <alignment horizontal="right" vertical="center"/>
    </xf>
    <xf numFmtId="44" fontId="24" fillId="0" borderId="38" xfId="2" applyFont="1" applyBorder="1" applyAlignment="1">
      <alignment horizontal="center" vertical="center"/>
    </xf>
    <xf numFmtId="44" fontId="25" fillId="0" borderId="53" xfId="2" applyFont="1" applyFill="1" applyBorder="1" applyAlignment="1">
      <alignment horizontal="center" vertical="center"/>
    </xf>
    <xf numFmtId="4" fontId="26" fillId="0" borderId="53" xfId="0" applyNumberFormat="1" applyFont="1" applyBorder="1" applyAlignment="1">
      <alignment horizontal="left"/>
    </xf>
    <xf numFmtId="44" fontId="24" fillId="8" borderId="38" xfId="2" applyFont="1" applyFill="1" applyBorder="1" applyAlignment="1">
      <alignment horizontal="center" vertical="center"/>
    </xf>
    <xf numFmtId="4" fontId="23" fillId="0" borderId="53" xfId="0" applyNumberFormat="1" applyFont="1" applyBorder="1" applyAlignment="1">
      <alignment horizontal="left"/>
    </xf>
    <xf numFmtId="4" fontId="23" fillId="0" borderId="53" xfId="0" applyNumberFormat="1" applyFont="1" applyBorder="1" applyAlignment="1">
      <alignment horizontal="center" vertical="center"/>
    </xf>
    <xf numFmtId="4" fontId="21" fillId="6" borderId="53" xfId="0" applyNumberFormat="1" applyFont="1" applyFill="1" applyBorder="1" applyAlignment="1">
      <alignment horizontal="left"/>
    </xf>
    <xf numFmtId="0" fontId="21" fillId="6" borderId="38" xfId="0" applyFont="1" applyFill="1" applyBorder="1" applyAlignment="1">
      <alignment horizontal="center" vertical="center"/>
    </xf>
    <xf numFmtId="4" fontId="21" fillId="6" borderId="38" xfId="2" applyNumberFormat="1" applyFont="1" applyFill="1" applyBorder="1" applyAlignment="1">
      <alignment horizontal="right" vertical="center"/>
    </xf>
    <xf numFmtId="44" fontId="22" fillId="6" borderId="38" xfId="2" applyFont="1" applyFill="1" applyBorder="1" applyAlignment="1">
      <alignment horizontal="center" vertical="center"/>
    </xf>
    <xf numFmtId="44" fontId="27" fillId="6" borderId="53" xfId="2" applyFont="1" applyFill="1" applyBorder="1" applyAlignment="1">
      <alignment horizontal="center" vertical="center"/>
    </xf>
    <xf numFmtId="4" fontId="23" fillId="0" borderId="38" xfId="0" applyNumberFormat="1" applyFont="1" applyBorder="1" applyAlignment="1">
      <alignment horizontal="left" vertical="center"/>
    </xf>
    <xf numFmtId="4" fontId="23" fillId="0" borderId="53" xfId="0" applyNumberFormat="1" applyFont="1" applyBorder="1" applyAlignment="1">
      <alignment horizontal="left" vertical="center"/>
    </xf>
    <xf numFmtId="4" fontId="21" fillId="6" borderId="53" xfId="0" applyNumberFormat="1" applyFont="1" applyFill="1" applyBorder="1" applyAlignment="1">
      <alignment horizontal="left" vertical="center"/>
    </xf>
    <xf numFmtId="2" fontId="23" fillId="6" borderId="38" xfId="0" applyNumberFormat="1" applyFont="1" applyFill="1" applyBorder="1" applyAlignment="1">
      <alignment horizontal="center" vertical="center"/>
    </xf>
    <xf numFmtId="4" fontId="23" fillId="6" borderId="38" xfId="2" applyNumberFormat="1" applyFont="1" applyFill="1" applyBorder="1" applyAlignment="1">
      <alignment horizontal="right" vertical="center"/>
    </xf>
    <xf numFmtId="44" fontId="24" fillId="6" borderId="38" xfId="2" applyFont="1" applyFill="1" applyBorder="1" applyAlignment="1">
      <alignment horizontal="center" vertical="center"/>
    </xf>
    <xf numFmtId="44" fontId="25" fillId="0" borderId="25" xfId="2" applyFont="1" applyFill="1" applyBorder="1" applyAlignment="1">
      <alignment horizontal="center" vertical="center"/>
    </xf>
    <xf numFmtId="4" fontId="23" fillId="7" borderId="38" xfId="0" applyNumberFormat="1" applyFont="1" applyFill="1" applyBorder="1" applyAlignment="1">
      <alignment horizontal="left" vertical="center"/>
    </xf>
    <xf numFmtId="4" fontId="21" fillId="6" borderId="38" xfId="0" applyNumberFormat="1" applyFont="1" applyFill="1" applyBorder="1" applyAlignment="1">
      <alignment horizontal="left" vertical="center"/>
    </xf>
    <xf numFmtId="0" fontId="23" fillId="7" borderId="38" xfId="0" applyFont="1" applyFill="1" applyBorder="1" applyAlignment="1">
      <alignment horizontal="center" vertical="center"/>
    </xf>
    <xf numFmtId="44" fontId="24" fillId="7" borderId="38" xfId="2" applyFont="1" applyFill="1" applyBorder="1" applyAlignment="1">
      <alignment horizontal="center" vertical="center"/>
    </xf>
    <xf numFmtId="2" fontId="23" fillId="0" borderId="38" xfId="0" applyNumberFormat="1" applyFont="1" applyBorder="1" applyAlignment="1">
      <alignment horizontal="center" vertical="center"/>
    </xf>
    <xf numFmtId="44" fontId="27" fillId="0" borderId="25" xfId="2" applyFont="1" applyFill="1" applyBorder="1" applyAlignment="1">
      <alignment horizontal="center" vertical="center"/>
    </xf>
    <xf numFmtId="44" fontId="21" fillId="0" borderId="55" xfId="2" applyFont="1" applyFill="1" applyBorder="1" applyAlignment="1">
      <alignment horizontal="center"/>
    </xf>
    <xf numFmtId="0" fontId="0" fillId="0" borderId="57" xfId="0" applyBorder="1"/>
    <xf numFmtId="44" fontId="0" fillId="0" borderId="59" xfId="2" applyFont="1" applyBorder="1"/>
    <xf numFmtId="0" fontId="0" fillId="0" borderId="60" xfId="0" applyBorder="1"/>
    <xf numFmtId="44" fontId="0" fillId="0" borderId="60" xfId="2" applyFont="1" applyBorder="1" applyAlignment="1"/>
    <xf numFmtId="0" fontId="23" fillId="0" borderId="0" xfId="6" applyFont="1" applyAlignment="1">
      <alignment vertical="center"/>
    </xf>
    <xf numFmtId="0" fontId="23" fillId="0" borderId="1" xfId="6" applyFont="1" applyBorder="1" applyAlignment="1">
      <alignment vertical="center"/>
    </xf>
    <xf numFmtId="0" fontId="23" fillId="0" borderId="2" xfId="6" applyFont="1" applyBorder="1" applyAlignment="1">
      <alignment vertical="center"/>
    </xf>
    <xf numFmtId="0" fontId="23" fillId="0" borderId="3" xfId="6" applyFont="1" applyBorder="1" applyAlignment="1">
      <alignment vertical="center"/>
    </xf>
    <xf numFmtId="0" fontId="23" fillId="0" borderId="4" xfId="6" applyFont="1" applyBorder="1" applyAlignment="1">
      <alignment vertical="center"/>
    </xf>
    <xf numFmtId="0" fontId="23" fillId="0" borderId="0" xfId="6" applyFont="1" applyAlignment="1">
      <alignment horizontal="center" vertical="center"/>
    </xf>
    <xf numFmtId="0" fontId="23" fillId="0" borderId="8" xfId="6" applyFont="1" applyBorder="1" applyAlignment="1">
      <alignment vertical="center"/>
    </xf>
    <xf numFmtId="0" fontId="21" fillId="0" borderId="0" xfId="7" applyFont="1" applyAlignment="1">
      <alignment horizontal="left" vertical="center"/>
    </xf>
    <xf numFmtId="44" fontId="23" fillId="0" borderId="0" xfId="6" applyNumberFormat="1" applyFont="1" applyAlignment="1">
      <alignment vertical="center"/>
    </xf>
    <xf numFmtId="169" fontId="23" fillId="0" borderId="0" xfId="6" applyNumberFormat="1" applyFont="1" applyAlignment="1">
      <alignment vertical="center"/>
    </xf>
    <xf numFmtId="170" fontId="23" fillId="0" borderId="0" xfId="6" applyNumberFormat="1" applyFont="1" applyAlignment="1">
      <alignment vertical="center"/>
    </xf>
    <xf numFmtId="4" fontId="23" fillId="7" borderId="0" xfId="6" applyNumberFormat="1" applyFont="1" applyFill="1" applyAlignment="1">
      <alignment vertical="center"/>
    </xf>
    <xf numFmtId="8" fontId="23" fillId="7" borderId="0" xfId="6" applyNumberFormat="1" applyFont="1" applyFill="1" applyAlignment="1">
      <alignment vertical="center"/>
    </xf>
    <xf numFmtId="3" fontId="23" fillId="0" borderId="0" xfId="6" applyNumberFormat="1" applyFont="1" applyAlignment="1">
      <alignment vertical="center"/>
    </xf>
    <xf numFmtId="2" fontId="23" fillId="0" borderId="0" xfId="6" applyNumberFormat="1" applyFont="1" applyAlignment="1">
      <alignment horizontal="center" vertical="center"/>
    </xf>
    <xf numFmtId="0" fontId="21" fillId="7" borderId="0" xfId="6" applyFont="1" applyFill="1" applyAlignment="1">
      <alignment horizontal="center" vertical="center"/>
    </xf>
    <xf numFmtId="0" fontId="23" fillId="7" borderId="0" xfId="6" applyFont="1" applyFill="1" applyAlignment="1">
      <alignment vertical="center"/>
    </xf>
    <xf numFmtId="2" fontId="21" fillId="9" borderId="72" xfId="7" applyNumberFormat="1" applyFont="1" applyFill="1" applyBorder="1" applyAlignment="1">
      <alignment horizontal="center" vertical="center"/>
    </xf>
    <xf numFmtId="0" fontId="21" fillId="9" borderId="15" xfId="7" applyFont="1" applyFill="1" applyBorder="1" applyAlignment="1">
      <alignment horizontal="center" vertical="center"/>
    </xf>
    <xf numFmtId="0" fontId="21" fillId="9" borderId="15" xfId="7" applyFont="1" applyFill="1" applyBorder="1" applyAlignment="1">
      <alignment vertical="center"/>
    </xf>
    <xf numFmtId="0" fontId="21" fillId="9" borderId="17" xfId="7" applyFont="1" applyFill="1" applyBorder="1" applyAlignment="1">
      <alignment vertical="center"/>
    </xf>
    <xf numFmtId="0" fontId="21" fillId="0" borderId="0" xfId="6" applyFont="1" applyAlignment="1">
      <alignment horizontal="center" vertical="center"/>
    </xf>
    <xf numFmtId="0" fontId="21" fillId="0" borderId="0" xfId="6" applyFont="1" applyAlignment="1">
      <alignment vertical="center"/>
    </xf>
    <xf numFmtId="44" fontId="23" fillId="7" borderId="0" xfId="9" applyFont="1" applyFill="1" applyAlignment="1">
      <alignment horizontal="center" vertical="center"/>
    </xf>
    <xf numFmtId="2" fontId="23" fillId="0" borderId="80" xfId="7" applyNumberFormat="1" applyFont="1" applyBorder="1" applyAlignment="1">
      <alignment horizontal="center" vertical="center"/>
    </xf>
    <xf numFmtId="0" fontId="23" fillId="0" borderId="38" xfId="10" applyFont="1" applyBorder="1" applyAlignment="1">
      <alignment horizontal="left" vertical="center" wrapText="1"/>
    </xf>
    <xf numFmtId="0" fontId="23" fillId="0" borderId="38" xfId="10" applyFont="1" applyBorder="1" applyAlignment="1">
      <alignment horizontal="center" vertical="center"/>
    </xf>
    <xf numFmtId="44" fontId="23" fillId="0" borderId="39" xfId="9" applyFont="1" applyFill="1" applyBorder="1" applyAlignment="1">
      <alignment horizontal="right" vertical="center"/>
    </xf>
    <xf numFmtId="49" fontId="23" fillId="0" borderId="0" xfId="13" applyNumberFormat="1" applyFont="1" applyFill="1" applyBorder="1" applyAlignment="1">
      <alignment horizontal="center" vertical="center"/>
    </xf>
    <xf numFmtId="44" fontId="23" fillId="0" borderId="0" xfId="9" applyFont="1" applyFill="1" applyBorder="1" applyAlignment="1">
      <alignment horizontal="center" vertical="center"/>
    </xf>
    <xf numFmtId="0" fontId="23" fillId="0" borderId="4" xfId="14" applyFont="1" applyBorder="1" applyAlignment="1">
      <alignment vertical="center"/>
    </xf>
    <xf numFmtId="169" fontId="21" fillId="9" borderId="59" xfId="7" applyNumberFormat="1" applyFont="1" applyFill="1" applyBorder="1" applyAlignment="1">
      <alignment vertical="center"/>
    </xf>
    <xf numFmtId="0" fontId="23" fillId="0" borderId="8" xfId="14" applyFont="1" applyBorder="1" applyAlignment="1">
      <alignment vertical="center"/>
    </xf>
    <xf numFmtId="0" fontId="23" fillId="0" borderId="0" xfId="14" applyFont="1" applyAlignment="1">
      <alignment vertical="center"/>
    </xf>
    <xf numFmtId="44" fontId="23" fillId="0" borderId="0" xfId="9" applyFont="1" applyAlignment="1">
      <alignment vertical="center"/>
    </xf>
    <xf numFmtId="49" fontId="21" fillId="0" borderId="0" xfId="15" applyNumberFormat="1" applyFont="1" applyAlignment="1">
      <alignment horizontal="right" vertical="center"/>
    </xf>
    <xf numFmtId="174" fontId="21" fillId="0" borderId="0" xfId="15" applyNumberFormat="1" applyFont="1" applyAlignment="1">
      <alignment vertical="center"/>
    </xf>
    <xf numFmtId="2" fontId="23" fillId="0" borderId="0" xfId="14" applyNumberFormat="1" applyFont="1" applyAlignment="1">
      <alignment vertical="center"/>
    </xf>
    <xf numFmtId="0" fontId="23" fillId="0" borderId="0" xfId="16" applyFont="1" applyAlignment="1">
      <alignment vertical="center"/>
    </xf>
    <xf numFmtId="44" fontId="23" fillId="0" borderId="0" xfId="9" applyFont="1" applyBorder="1" applyAlignment="1">
      <alignment vertical="center"/>
    </xf>
    <xf numFmtId="0" fontId="23" fillId="0" borderId="0" xfId="9" applyNumberFormat="1" applyFont="1" applyBorder="1" applyAlignment="1">
      <alignment vertical="center"/>
    </xf>
    <xf numFmtId="175" fontId="23" fillId="0" borderId="0" xfId="14" applyNumberFormat="1" applyFont="1" applyAlignment="1">
      <alignment vertical="center"/>
    </xf>
    <xf numFmtId="6" fontId="23" fillId="0" borderId="0" xfId="14" applyNumberFormat="1" applyFont="1" applyAlignment="1">
      <alignment vertical="center"/>
    </xf>
    <xf numFmtId="2" fontId="23" fillId="0" borderId="0" xfId="16" applyNumberFormat="1" applyFont="1" applyAlignment="1">
      <alignment vertical="center"/>
    </xf>
    <xf numFmtId="177" fontId="23" fillId="0" borderId="0" xfId="17" applyNumberFormat="1" applyFont="1" applyAlignment="1">
      <alignment vertical="center"/>
    </xf>
    <xf numFmtId="39" fontId="21" fillId="0" borderId="0" xfId="17" applyNumberFormat="1" applyFont="1" applyAlignment="1">
      <alignment vertical="center"/>
    </xf>
    <xf numFmtId="0" fontId="21" fillId="0" borderId="46" xfId="18" applyFont="1" applyBorder="1" applyAlignment="1">
      <alignment vertical="center"/>
    </xf>
    <xf numFmtId="178" fontId="23" fillId="0" borderId="8" xfId="14" applyNumberFormat="1" applyFont="1" applyBorder="1" applyAlignment="1">
      <alignment vertical="center"/>
    </xf>
    <xf numFmtId="44" fontId="23" fillId="0" borderId="0" xfId="14" applyNumberFormat="1" applyFont="1" applyAlignment="1">
      <alignment vertical="center"/>
    </xf>
    <xf numFmtId="174" fontId="21" fillId="0" borderId="63" xfId="19" applyNumberFormat="1" applyFont="1" applyFill="1" applyBorder="1" applyAlignment="1">
      <alignment horizontal="center" vertical="center"/>
    </xf>
    <xf numFmtId="180" fontId="23" fillId="0" borderId="8" xfId="14" applyNumberFormat="1" applyFont="1" applyBorder="1" applyAlignment="1">
      <alignment vertical="center"/>
    </xf>
    <xf numFmtId="174" fontId="21" fillId="0" borderId="38" xfId="19" applyNumberFormat="1" applyFont="1" applyFill="1" applyBorder="1" applyAlignment="1">
      <alignment horizontal="center" vertical="center"/>
    </xf>
    <xf numFmtId="9" fontId="23" fillId="0" borderId="39" xfId="20" applyFont="1" applyFill="1" applyBorder="1" applyAlignment="1">
      <alignment horizontal="center" vertical="center"/>
    </xf>
    <xf numFmtId="0" fontId="23" fillId="0" borderId="33" xfId="7" applyFont="1" applyBorder="1" applyAlignment="1">
      <alignment vertical="center"/>
    </xf>
    <xf numFmtId="0" fontId="23" fillId="0" borderId="82" xfId="7" applyFont="1" applyBorder="1" applyAlignment="1">
      <alignment vertical="center"/>
    </xf>
    <xf numFmtId="0" fontId="23" fillId="0" borderId="64" xfId="7" applyFont="1" applyBorder="1" applyAlignment="1">
      <alignment vertical="center"/>
    </xf>
    <xf numFmtId="0" fontId="23" fillId="0" borderId="79" xfId="7" applyFont="1" applyBorder="1" applyAlignment="1">
      <alignment vertical="center"/>
    </xf>
    <xf numFmtId="174" fontId="21" fillId="0" borderId="45" xfId="19" applyNumberFormat="1" applyFont="1" applyFill="1" applyBorder="1" applyAlignment="1">
      <alignment horizontal="center" vertical="center"/>
    </xf>
    <xf numFmtId="9" fontId="23" fillId="0" borderId="56" xfId="20" applyFont="1" applyFill="1" applyBorder="1" applyAlignment="1">
      <alignment horizontal="center" vertical="center"/>
    </xf>
    <xf numFmtId="43" fontId="23" fillId="0" borderId="0" xfId="6" applyNumberFormat="1" applyFont="1" applyAlignment="1">
      <alignment vertical="center"/>
    </xf>
    <xf numFmtId="0" fontId="23" fillId="0" borderId="0" xfId="7" applyFont="1" applyAlignment="1">
      <alignment vertical="center"/>
    </xf>
    <xf numFmtId="0" fontId="23" fillId="2" borderId="0" xfId="8" applyFont="1" applyFill="1" applyAlignment="1">
      <alignment horizontal="center" vertical="center"/>
    </xf>
    <xf numFmtId="0" fontId="23" fillId="0" borderId="22" xfId="7" applyFont="1" applyBorder="1" applyAlignment="1">
      <alignment vertical="center"/>
    </xf>
    <xf numFmtId="0" fontId="23" fillId="0" borderId="0" xfId="7" applyFont="1" applyAlignment="1">
      <alignment horizontal="center" vertical="center"/>
    </xf>
    <xf numFmtId="175" fontId="23" fillId="0" borderId="0" xfId="6" applyNumberFormat="1" applyFont="1" applyAlignment="1">
      <alignment vertical="center"/>
    </xf>
    <xf numFmtId="0" fontId="23" fillId="0" borderId="0" xfId="7" applyFont="1" applyAlignment="1">
      <alignment horizontal="left" vertical="center"/>
    </xf>
    <xf numFmtId="0" fontId="23" fillId="0" borderId="66" xfId="14" applyFont="1" applyBorder="1" applyAlignment="1">
      <alignment vertical="center"/>
    </xf>
    <xf numFmtId="0" fontId="23" fillId="0" borderId="67" xfId="6" applyFont="1" applyBorder="1" applyAlignment="1">
      <alignment vertical="center"/>
    </xf>
    <xf numFmtId="181" fontId="23" fillId="0" borderId="67" xfId="13" applyNumberFormat="1" applyFont="1" applyBorder="1" applyAlignment="1">
      <alignment vertical="center"/>
    </xf>
    <xf numFmtId="0" fontId="23" fillId="0" borderId="68" xfId="6" applyFont="1" applyBorder="1" applyAlignment="1">
      <alignment vertical="center"/>
    </xf>
    <xf numFmtId="0" fontId="23" fillId="8" borderId="0" xfId="6" applyFont="1" applyFill="1" applyAlignment="1">
      <alignment vertical="center"/>
    </xf>
    <xf numFmtId="167" fontId="23" fillId="0" borderId="0" xfId="6" applyNumberFormat="1" applyFont="1" applyAlignment="1">
      <alignment vertical="center"/>
    </xf>
    <xf numFmtId="0" fontId="23" fillId="0" borderId="30" xfId="10" applyFont="1" applyBorder="1" applyAlignment="1">
      <alignment horizontal="left" vertical="center" wrapText="1"/>
    </xf>
    <xf numFmtId="44" fontId="23" fillId="0" borderId="31" xfId="9" applyFont="1" applyFill="1" applyBorder="1" applyAlignment="1">
      <alignment horizontal="right" vertical="center"/>
    </xf>
    <xf numFmtId="2" fontId="23" fillId="0" borderId="83" xfId="7" applyNumberFormat="1" applyFont="1" applyBorder="1" applyAlignment="1">
      <alignment horizontal="center" vertical="center"/>
    </xf>
    <xf numFmtId="0" fontId="23" fillId="0" borderId="62" xfId="10" applyFont="1" applyBorder="1" applyAlignment="1">
      <alignment horizontal="left" vertical="center" wrapText="1"/>
    </xf>
    <xf numFmtId="0" fontId="23" fillId="0" borderId="62" xfId="10" applyFont="1" applyBorder="1" applyAlignment="1">
      <alignment horizontal="center" vertical="center"/>
    </xf>
    <xf numFmtId="4" fontId="23" fillId="0" borderId="62" xfId="11" applyNumberFormat="1" applyFont="1" applyFill="1" applyBorder="1" applyAlignment="1">
      <alignment horizontal="center" vertical="center"/>
    </xf>
    <xf numFmtId="44" fontId="23" fillId="0" borderId="63" xfId="9" applyFont="1" applyFill="1" applyBorder="1" applyAlignment="1">
      <alignment horizontal="right" vertical="center"/>
    </xf>
    <xf numFmtId="0" fontId="21" fillId="0" borderId="57" xfId="7" applyFont="1" applyBorder="1" applyAlignment="1">
      <alignment vertical="center"/>
    </xf>
    <xf numFmtId="0" fontId="21" fillId="0" borderId="58" xfId="7" applyFont="1" applyBorder="1" applyAlignment="1">
      <alignment vertical="center"/>
    </xf>
    <xf numFmtId="0" fontId="21" fillId="0" borderId="75" xfId="7" applyFont="1" applyBorder="1" applyAlignment="1">
      <alignment vertical="center"/>
    </xf>
    <xf numFmtId="44" fontId="21" fillId="0" borderId="71" xfId="9" applyFont="1" applyBorder="1" applyAlignment="1">
      <alignment horizontal="right" vertical="center"/>
    </xf>
    <xf numFmtId="44" fontId="23" fillId="0" borderId="62" xfId="12" applyNumberFormat="1" applyFont="1" applyFill="1" applyBorder="1" applyAlignment="1">
      <alignment horizontal="right" vertical="center"/>
    </xf>
    <xf numFmtId="44" fontId="23" fillId="0" borderId="59" xfId="9" applyFont="1" applyFill="1" applyBorder="1" applyAlignment="1">
      <alignment horizontal="right" vertical="center"/>
    </xf>
    <xf numFmtId="2" fontId="23" fillId="0" borderId="84" xfId="7" applyNumberFormat="1" applyFont="1" applyBorder="1" applyAlignment="1">
      <alignment horizontal="center" vertical="center"/>
    </xf>
    <xf numFmtId="0" fontId="23" fillId="0" borderId="30" xfId="10" applyFont="1" applyBorder="1" applyAlignment="1">
      <alignment horizontal="center" vertical="center"/>
    </xf>
    <xf numFmtId="2" fontId="21" fillId="9" borderId="60" xfId="7" applyNumberFormat="1" applyFont="1" applyFill="1" applyBorder="1" applyAlignment="1">
      <alignment horizontal="center" vertical="center"/>
    </xf>
    <xf numFmtId="0" fontId="21" fillId="9" borderId="58" xfId="7" applyFont="1" applyFill="1" applyBorder="1" applyAlignment="1">
      <alignment horizontal="center" vertical="center"/>
    </xf>
    <xf numFmtId="0" fontId="21" fillId="9" borderId="58" xfId="7" applyFont="1" applyFill="1" applyBorder="1" applyAlignment="1">
      <alignment vertical="center"/>
    </xf>
    <xf numFmtId="0" fontId="21" fillId="9" borderId="59" xfId="7" applyFont="1" applyFill="1" applyBorder="1" applyAlignment="1">
      <alignment vertical="center"/>
    </xf>
    <xf numFmtId="2" fontId="11" fillId="3" borderId="40" xfId="0" applyNumberFormat="1" applyFont="1" applyFill="1" applyBorder="1" applyAlignment="1">
      <alignment horizontal="centerContinuous" vertical="center"/>
    </xf>
    <xf numFmtId="0" fontId="23" fillId="0" borderId="0" xfId="13" applyNumberFormat="1" applyFont="1" applyFill="1" applyBorder="1" applyAlignment="1">
      <alignment horizontal="center" vertical="center"/>
    </xf>
    <xf numFmtId="0" fontId="23" fillId="0" borderId="0" xfId="9" applyNumberFormat="1" applyFont="1" applyAlignment="1">
      <alignment vertical="center"/>
    </xf>
    <xf numFmtId="168" fontId="11" fillId="0" borderId="38" xfId="1" applyNumberFormat="1" applyFont="1" applyBorder="1" applyAlignment="1">
      <alignment horizontal="center" vertical="center"/>
    </xf>
    <xf numFmtId="2" fontId="11" fillId="0" borderId="38" xfId="1" applyNumberFormat="1" applyFont="1" applyFill="1" applyBorder="1" applyAlignment="1">
      <alignment horizontal="center" vertical="center"/>
    </xf>
    <xf numFmtId="165" fontId="11" fillId="0" borderId="53" xfId="2" applyNumberFormat="1" applyFont="1" applyFill="1" applyBorder="1" applyAlignment="1">
      <alignment horizontal="centerContinuous" vertical="center"/>
    </xf>
    <xf numFmtId="165" fontId="11" fillId="0" borderId="52" xfId="2" applyNumberFormat="1" applyFont="1" applyFill="1" applyBorder="1" applyAlignment="1">
      <alignment horizontal="centerContinuous" vertical="center"/>
    </xf>
    <xf numFmtId="165" fontId="11" fillId="0" borderId="39" xfId="2" applyNumberFormat="1" applyFont="1" applyFill="1" applyBorder="1" applyAlignment="1">
      <alignment vertical="center"/>
    </xf>
    <xf numFmtId="165" fontId="11" fillId="0" borderId="38" xfId="2" applyNumberFormat="1" applyFont="1" applyFill="1" applyBorder="1" applyAlignment="1">
      <alignment horizontal="center" vertical="center"/>
    </xf>
    <xf numFmtId="0" fontId="11" fillId="0" borderId="51" xfId="3" applyNumberFormat="1" applyFont="1" applyFill="1" applyBorder="1" applyAlignment="1">
      <alignment horizontal="center" vertical="center"/>
    </xf>
    <xf numFmtId="165" fontId="11" fillId="0" borderId="30" xfId="2" applyNumberFormat="1" applyFont="1" applyFill="1" applyBorder="1" applyAlignment="1">
      <alignment horizontal="center" vertical="center" wrapText="1"/>
    </xf>
    <xf numFmtId="165" fontId="11" fillId="0" borderId="63" xfId="2" applyNumberFormat="1" applyFont="1" applyFill="1" applyBorder="1" applyAlignment="1">
      <alignment horizontal="center" vertical="center" wrapText="1"/>
    </xf>
    <xf numFmtId="0" fontId="4" fillId="0" borderId="0" xfId="0" applyFont="1"/>
    <xf numFmtId="0" fontId="5" fillId="0" borderId="0" xfId="0" applyFont="1"/>
    <xf numFmtId="49" fontId="23" fillId="10" borderId="0" xfId="13" applyNumberFormat="1" applyFont="1" applyFill="1" applyBorder="1" applyAlignment="1">
      <alignment horizontal="center" vertical="center"/>
    </xf>
    <xf numFmtId="49" fontId="23" fillId="11" borderId="0" xfId="13" applyNumberFormat="1" applyFont="1" applyFill="1" applyBorder="1" applyAlignment="1">
      <alignment horizontal="center" vertical="center"/>
    </xf>
    <xf numFmtId="0" fontId="2" fillId="2" borderId="0" xfId="0" applyFont="1" applyFill="1" applyAlignment="1">
      <alignment horizontal="center" vertical="center" wrapText="1"/>
    </xf>
    <xf numFmtId="0" fontId="2" fillId="0" borderId="0" xfId="0" applyFont="1" applyAlignment="1">
      <alignment horizontal="center" vertical="center" wrapText="1"/>
    </xf>
    <xf numFmtId="0" fontId="4" fillId="0" borderId="4" xfId="0" applyFont="1" applyBorder="1" applyAlignment="1">
      <alignment wrapText="1"/>
    </xf>
    <xf numFmtId="2" fontId="11" fillId="3" borderId="40" xfId="0" applyNumberFormat="1" applyFont="1" applyFill="1" applyBorder="1" applyAlignment="1">
      <alignment horizontal="centerContinuous" vertical="center" wrapText="1"/>
    </xf>
    <xf numFmtId="0" fontId="11" fillId="3" borderId="45" xfId="0" applyFont="1" applyFill="1" applyBorder="1" applyAlignment="1">
      <alignment horizontal="centerContinuous" vertical="center" wrapText="1"/>
    </xf>
    <xf numFmtId="4" fontId="11" fillId="3" borderId="42" xfId="0" applyNumberFormat="1" applyFont="1" applyFill="1" applyBorder="1" applyAlignment="1">
      <alignment horizontal="center" vertical="center" wrapText="1"/>
    </xf>
    <xf numFmtId="4" fontId="5" fillId="0" borderId="8" xfId="0" applyNumberFormat="1" applyFont="1" applyBorder="1" applyAlignment="1">
      <alignment horizontal="center" vertical="center" wrapText="1"/>
    </xf>
    <xf numFmtId="165" fontId="2" fillId="0" borderId="0" xfId="0" applyNumberFormat="1" applyFont="1" applyAlignment="1">
      <alignment wrapText="1"/>
    </xf>
    <xf numFmtId="0" fontId="0" fillId="0" borderId="0" xfId="0" applyAlignment="1">
      <alignment wrapText="1"/>
    </xf>
    <xf numFmtId="44" fontId="0" fillId="0" borderId="0" xfId="2" applyFont="1"/>
    <xf numFmtId="0" fontId="0" fillId="0" borderId="34" xfId="0" applyBorder="1"/>
    <xf numFmtId="0" fontId="0" fillId="0" borderId="15" xfId="0" applyBorder="1"/>
    <xf numFmtId="0" fontId="0" fillId="0" borderId="17" xfId="0" applyBorder="1"/>
    <xf numFmtId="0" fontId="0" fillId="0" borderId="64" xfId="0" applyBorder="1"/>
    <xf numFmtId="44" fontId="0" fillId="0" borderId="62" xfId="2" applyFont="1" applyBorder="1"/>
    <xf numFmtId="0" fontId="0" fillId="0" borderId="65" xfId="0" applyBorder="1"/>
    <xf numFmtId="44" fontId="21" fillId="0" borderId="59" xfId="9" applyFont="1" applyBorder="1" applyAlignment="1">
      <alignment horizontal="right" vertical="center"/>
    </xf>
    <xf numFmtId="2" fontId="21" fillId="0" borderId="60" xfId="7" applyNumberFormat="1" applyFont="1" applyBorder="1" applyAlignment="1">
      <alignment horizontal="center" vertical="center"/>
    </xf>
    <xf numFmtId="0" fontId="29" fillId="0" borderId="0" xfId="21"/>
    <xf numFmtId="0" fontId="30" fillId="0" borderId="34" xfId="22" applyFont="1" applyBorder="1"/>
    <xf numFmtId="0" fontId="30" fillId="0" borderId="15" xfId="22" applyFont="1" applyBorder="1"/>
    <xf numFmtId="0" fontId="30" fillId="0" borderId="17" xfId="22" applyFont="1" applyBorder="1"/>
    <xf numFmtId="0" fontId="30" fillId="0" borderId="37" xfId="22" applyFont="1" applyBorder="1"/>
    <xf numFmtId="0" fontId="5" fillId="0" borderId="0" xfId="23"/>
    <xf numFmtId="0" fontId="30" fillId="0" borderId="29" xfId="22" applyFont="1" applyBorder="1"/>
    <xf numFmtId="14" fontId="30" fillId="2" borderId="53" xfId="24" applyNumberFormat="1" applyFont="1" applyFill="1" applyBorder="1" applyAlignment="1">
      <alignment vertical="center" wrapText="1"/>
    </xf>
    <xf numFmtId="0" fontId="31" fillId="2" borderId="51" xfId="24" applyFont="1" applyFill="1" applyBorder="1" applyAlignment="1">
      <alignment vertical="center" wrapText="1"/>
    </xf>
    <xf numFmtId="0" fontId="30" fillId="0" borderId="38" xfId="22" applyFont="1" applyBorder="1" applyAlignment="1">
      <alignment horizontal="center" vertical="center"/>
    </xf>
    <xf numFmtId="182" fontId="31" fillId="2" borderId="53" xfId="26" applyFont="1" applyFill="1" applyBorder="1" applyAlignment="1">
      <alignment vertical="center" wrapText="1"/>
    </xf>
    <xf numFmtId="0" fontId="30" fillId="2" borderId="53" xfId="27" applyNumberFormat="1" applyFont="1" applyFill="1" applyBorder="1" applyAlignment="1">
      <alignment vertical="center" wrapText="1"/>
    </xf>
    <xf numFmtId="0" fontId="30" fillId="2" borderId="51" xfId="27" applyNumberFormat="1" applyFont="1" applyFill="1" applyBorder="1" applyAlignment="1">
      <alignment vertical="center" wrapText="1"/>
    </xf>
    <xf numFmtId="0" fontId="30" fillId="2" borderId="37" xfId="22" applyFont="1" applyFill="1" applyBorder="1" applyAlignment="1">
      <alignment vertical="center" wrapText="1"/>
    </xf>
    <xf numFmtId="0" fontId="30" fillId="2" borderId="0" xfId="22" applyFont="1" applyFill="1" applyAlignment="1">
      <alignment vertical="center" wrapText="1"/>
    </xf>
    <xf numFmtId="43" fontId="30" fillId="2" borderId="0" xfId="25" applyFont="1" applyFill="1" applyBorder="1" applyAlignment="1">
      <alignment vertical="center" wrapText="1"/>
    </xf>
    <xf numFmtId="43" fontId="30" fillId="2" borderId="29" xfId="25" applyFont="1" applyFill="1" applyBorder="1" applyAlignment="1">
      <alignment vertical="center" wrapText="1"/>
    </xf>
    <xf numFmtId="0" fontId="31" fillId="12" borderId="80" xfId="22" applyFont="1" applyFill="1" applyBorder="1" applyAlignment="1">
      <alignment horizontal="center" vertical="center" wrapText="1"/>
    </xf>
    <xf numFmtId="43" fontId="31" fillId="12" borderId="38" xfId="25" applyFont="1" applyFill="1" applyBorder="1" applyAlignment="1">
      <alignment horizontal="center" vertical="center" wrapText="1"/>
    </xf>
    <xf numFmtId="43" fontId="31" fillId="12" borderId="39" xfId="25" applyFont="1" applyFill="1" applyBorder="1" applyAlignment="1">
      <alignment horizontal="center" vertical="center" wrapText="1"/>
    </xf>
    <xf numFmtId="4" fontId="30" fillId="12" borderId="80" xfId="22" applyNumberFormat="1" applyFont="1" applyFill="1" applyBorder="1" applyAlignment="1">
      <alignment horizontal="center" vertical="center" wrapText="1"/>
    </xf>
    <xf numFmtId="4" fontId="29" fillId="0" borderId="0" xfId="21" applyNumberFormat="1" applyAlignment="1">
      <alignment horizontal="center" vertical="center"/>
    </xf>
    <xf numFmtId="43" fontId="29" fillId="0" borderId="0" xfId="21" applyNumberFormat="1" applyAlignment="1">
      <alignment horizontal="center" vertical="center"/>
    </xf>
    <xf numFmtId="0" fontId="31" fillId="2" borderId="37" xfId="22" applyFont="1" applyFill="1" applyBorder="1" applyAlignment="1">
      <alignment vertical="center" wrapText="1"/>
    </xf>
    <xf numFmtId="0" fontId="31" fillId="2" borderId="0" xfId="22" applyFont="1" applyFill="1" applyAlignment="1">
      <alignment vertical="center" wrapText="1"/>
    </xf>
    <xf numFmtId="0" fontId="30" fillId="2" borderId="85" xfId="22" applyFont="1" applyFill="1" applyBorder="1" applyAlignment="1">
      <alignment vertical="center" wrapText="1"/>
    </xf>
    <xf numFmtId="0" fontId="30" fillId="2" borderId="89" xfId="22" applyFont="1" applyFill="1" applyBorder="1" applyAlignment="1">
      <alignment vertical="center" wrapText="1"/>
    </xf>
    <xf numFmtId="43" fontId="30" fillId="12" borderId="90" xfId="22" applyNumberFormat="1" applyFont="1" applyFill="1" applyBorder="1" applyAlignment="1">
      <alignment vertical="center" wrapText="1"/>
    </xf>
    <xf numFmtId="167" fontId="30" fillId="2" borderId="91" xfId="22" applyNumberFormat="1" applyFont="1" applyFill="1" applyBorder="1" applyAlignment="1">
      <alignment vertical="center" wrapText="1"/>
    </xf>
    <xf numFmtId="0" fontId="31" fillId="2" borderId="92" xfId="22" applyFont="1" applyFill="1" applyBorder="1" applyAlignment="1">
      <alignment vertical="center" wrapText="1"/>
    </xf>
    <xf numFmtId="43" fontId="30" fillId="2" borderId="92" xfId="25" applyFont="1" applyFill="1" applyBorder="1" applyAlignment="1">
      <alignment vertical="center" wrapText="1"/>
    </xf>
    <xf numFmtId="4" fontId="30" fillId="12" borderId="93" xfId="25" applyNumberFormat="1" applyFont="1" applyFill="1" applyBorder="1" applyAlignment="1">
      <alignment horizontal="center" vertical="center" wrapText="1"/>
    </xf>
    <xf numFmtId="0" fontId="29" fillId="0" borderId="94" xfId="21" applyBorder="1"/>
    <xf numFmtId="0" fontId="29" fillId="7" borderId="0" xfId="21" applyFill="1"/>
    <xf numFmtId="0" fontId="31" fillId="2" borderId="64" xfId="22" applyFont="1" applyFill="1" applyBorder="1" applyAlignment="1">
      <alignment vertical="center" wrapText="1"/>
    </xf>
    <xf numFmtId="0" fontId="31" fillId="2" borderId="62" xfId="22" applyFont="1" applyFill="1" applyBorder="1" applyAlignment="1">
      <alignment vertical="center" wrapText="1"/>
    </xf>
    <xf numFmtId="0" fontId="30" fillId="2" borderId="15" xfId="22" applyFont="1" applyFill="1" applyBorder="1" applyAlignment="1">
      <alignment vertical="center" wrapText="1"/>
    </xf>
    <xf numFmtId="0" fontId="30" fillId="2" borderId="15" xfId="22" applyFont="1" applyFill="1" applyBorder="1" applyAlignment="1">
      <alignment vertical="center"/>
    </xf>
    <xf numFmtId="43" fontId="30" fillId="2" borderId="15" xfId="25" applyFont="1" applyFill="1" applyBorder="1" applyAlignment="1">
      <alignment vertical="center"/>
    </xf>
    <xf numFmtId="43" fontId="30" fillId="2" borderId="15" xfId="25" applyFont="1" applyFill="1" applyBorder="1" applyAlignment="1">
      <alignment vertical="center" wrapText="1"/>
    </xf>
    <xf numFmtId="43" fontId="30" fillId="2" borderId="17" xfId="25" applyFont="1" applyFill="1" applyBorder="1" applyAlignment="1">
      <alignment vertical="center" wrapText="1"/>
    </xf>
    <xf numFmtId="0" fontId="30" fillId="2" borderId="0" xfId="22" applyFont="1" applyFill="1" applyAlignment="1">
      <alignment vertical="center"/>
    </xf>
    <xf numFmtId="43" fontId="30" fillId="2" borderId="0" xfId="25" applyFont="1" applyFill="1" applyBorder="1" applyAlignment="1">
      <alignment vertical="center"/>
    </xf>
    <xf numFmtId="43" fontId="31" fillId="12" borderId="53" xfId="25" applyFont="1" applyFill="1" applyBorder="1" applyAlignment="1">
      <alignment vertical="center" wrapText="1"/>
    </xf>
    <xf numFmtId="43" fontId="31" fillId="12" borderId="39" xfId="25" applyFont="1" applyFill="1" applyBorder="1" applyAlignment="1">
      <alignment vertical="center" wrapText="1"/>
    </xf>
    <xf numFmtId="43" fontId="31" fillId="2" borderId="0" xfId="25" applyFont="1" applyFill="1" applyBorder="1" applyAlignment="1">
      <alignment horizontal="center" vertical="center"/>
    </xf>
    <xf numFmtId="43" fontId="31" fillId="2" borderId="0" xfId="25" applyFont="1" applyFill="1" applyBorder="1" applyAlignment="1">
      <alignment vertical="center"/>
    </xf>
    <xf numFmtId="43" fontId="31" fillId="2" borderId="0" xfId="25" applyFont="1" applyFill="1" applyBorder="1" applyAlignment="1">
      <alignment horizontal="center" vertical="center" wrapText="1"/>
    </xf>
    <xf numFmtId="43" fontId="31" fillId="2" borderId="29" xfId="25" applyFont="1" applyFill="1" applyBorder="1" applyAlignment="1">
      <alignment horizontal="center" vertical="center" wrapText="1"/>
    </xf>
    <xf numFmtId="43" fontId="31" fillId="2" borderId="29" xfId="25" applyFont="1" applyFill="1" applyBorder="1" applyAlignment="1">
      <alignment vertical="center"/>
    </xf>
    <xf numFmtId="0" fontId="30" fillId="2" borderId="26" xfId="22" applyFont="1" applyFill="1" applyBorder="1" applyAlignment="1">
      <alignment horizontal="left"/>
    </xf>
    <xf numFmtId="0" fontId="31" fillId="2" borderId="26" xfId="22" applyFont="1" applyFill="1" applyBorder="1" applyAlignment="1">
      <alignment vertical="center" wrapText="1"/>
    </xf>
    <xf numFmtId="0" fontId="31" fillId="2" borderId="27" xfId="22" applyFont="1" applyFill="1" applyBorder="1" applyAlignment="1">
      <alignment vertical="center" wrapText="1"/>
    </xf>
    <xf numFmtId="0" fontId="30" fillId="2" borderId="0" xfId="22" applyFont="1" applyFill="1"/>
    <xf numFmtId="0" fontId="31" fillId="2" borderId="29" xfId="22" applyFont="1" applyFill="1" applyBorder="1" applyAlignment="1">
      <alignment vertical="center" wrapText="1"/>
    </xf>
    <xf numFmtId="0" fontId="31" fillId="2" borderId="65" xfId="22" applyFont="1" applyFill="1" applyBorder="1" applyAlignment="1">
      <alignment vertical="center" wrapText="1"/>
    </xf>
    <xf numFmtId="43" fontId="29" fillId="0" borderId="0" xfId="21" applyNumberFormat="1"/>
    <xf numFmtId="0" fontId="31" fillId="0" borderId="0" xfId="22" applyFont="1" applyAlignment="1">
      <alignment vertical="center" wrapText="1"/>
    </xf>
    <xf numFmtId="2" fontId="30" fillId="2" borderId="92" xfId="22" applyNumberFormat="1" applyFont="1" applyFill="1" applyBorder="1" applyAlignment="1">
      <alignment horizontal="center" vertical="center" wrapText="1"/>
    </xf>
    <xf numFmtId="2" fontId="30" fillId="2" borderId="92" xfId="25" applyNumberFormat="1" applyFont="1" applyFill="1" applyBorder="1" applyAlignment="1">
      <alignment horizontal="center" vertical="center" wrapText="1"/>
    </xf>
    <xf numFmtId="2" fontId="31" fillId="2" borderId="92" xfId="22" applyNumberFormat="1" applyFont="1" applyFill="1" applyBorder="1" applyAlignment="1">
      <alignment horizontal="center" vertical="center" wrapText="1"/>
    </xf>
    <xf numFmtId="0" fontId="29" fillId="0" borderId="0" xfId="21" applyAlignment="1">
      <alignment wrapText="1"/>
    </xf>
    <xf numFmtId="0" fontId="30" fillId="0" borderId="15" xfId="22" applyFont="1" applyBorder="1" applyAlignment="1">
      <alignment wrapText="1"/>
    </xf>
    <xf numFmtId="0" fontId="5" fillId="0" borderId="0" xfId="23" applyAlignment="1">
      <alignment wrapText="1"/>
    </xf>
    <xf numFmtId="0" fontId="30" fillId="2" borderId="20" xfId="22" applyFont="1" applyFill="1" applyBorder="1" applyAlignment="1">
      <alignment wrapText="1"/>
    </xf>
    <xf numFmtId="0" fontId="30" fillId="2" borderId="92" xfId="22" applyFont="1" applyFill="1" applyBorder="1" applyAlignment="1">
      <alignment vertical="center" wrapText="1"/>
    </xf>
    <xf numFmtId="2" fontId="30" fillId="2" borderId="92" xfId="22" applyNumberFormat="1" applyFont="1" applyFill="1" applyBorder="1" applyAlignment="1">
      <alignment vertical="center" wrapText="1"/>
    </xf>
    <xf numFmtId="2" fontId="31" fillId="2" borderId="92" xfId="22" applyNumberFormat="1" applyFont="1" applyFill="1" applyBorder="1" applyAlignment="1">
      <alignment vertical="center" wrapText="1"/>
    </xf>
    <xf numFmtId="183" fontId="30" fillId="2" borderId="92" xfId="25" applyNumberFormat="1" applyFont="1" applyFill="1" applyBorder="1" applyAlignment="1">
      <alignment vertical="center" wrapText="1"/>
    </xf>
    <xf numFmtId="184" fontId="29" fillId="0" borderId="0" xfId="21" applyNumberFormat="1"/>
    <xf numFmtId="4" fontId="29" fillId="0" borderId="0" xfId="21" applyNumberFormat="1"/>
    <xf numFmtId="43" fontId="30" fillId="2" borderId="92" xfId="25" applyFont="1" applyFill="1" applyBorder="1" applyAlignment="1">
      <alignment horizontal="center" vertical="center" wrapText="1"/>
    </xf>
    <xf numFmtId="0" fontId="5" fillId="0" borderId="0" xfId="21" applyFont="1"/>
    <xf numFmtId="4" fontId="31" fillId="2" borderId="92" xfId="22" applyNumberFormat="1" applyFont="1" applyFill="1" applyBorder="1" applyAlignment="1">
      <alignment vertical="center" wrapText="1"/>
    </xf>
    <xf numFmtId="167" fontId="30" fillId="2" borderId="92" xfId="25" applyNumberFormat="1" applyFont="1" applyFill="1" applyBorder="1" applyAlignment="1">
      <alignment horizontal="center" vertical="center" wrapText="1"/>
    </xf>
    <xf numFmtId="164" fontId="29" fillId="0" borderId="0" xfId="21" applyNumberFormat="1"/>
    <xf numFmtId="167" fontId="31" fillId="2" borderId="92" xfId="22" applyNumberFormat="1" applyFont="1" applyFill="1" applyBorder="1" applyAlignment="1">
      <alignment vertical="center" wrapText="1"/>
    </xf>
    <xf numFmtId="167" fontId="30" fillId="2" borderId="92" xfId="25" applyNumberFormat="1" applyFont="1" applyFill="1" applyBorder="1" applyAlignment="1">
      <alignment vertical="center" wrapText="1"/>
    </xf>
    <xf numFmtId="167" fontId="29" fillId="0" borderId="0" xfId="21" applyNumberFormat="1"/>
    <xf numFmtId="167" fontId="29" fillId="0" borderId="0" xfId="21" applyNumberFormat="1" applyAlignment="1">
      <alignment horizontal="center" vertical="center"/>
    </xf>
    <xf numFmtId="0" fontId="31" fillId="0" borderId="92" xfId="22" applyFont="1" applyBorder="1" applyAlignment="1">
      <alignment vertical="center" wrapText="1"/>
    </xf>
    <xf numFmtId="169" fontId="21" fillId="0" borderId="59" xfId="7" applyNumberFormat="1" applyFont="1" applyBorder="1" applyAlignment="1">
      <alignment vertical="center"/>
    </xf>
    <xf numFmtId="44" fontId="23" fillId="0" borderId="0" xfId="13" applyNumberFormat="1" applyFont="1" applyFill="1" applyBorder="1" applyAlignment="1">
      <alignment horizontal="center" vertical="center"/>
    </xf>
    <xf numFmtId="169" fontId="23" fillId="0" borderId="0" xfId="13" applyNumberFormat="1" applyFont="1" applyFill="1" applyBorder="1" applyAlignment="1">
      <alignment horizontal="center" vertical="center"/>
    </xf>
    <xf numFmtId="44" fontId="23" fillId="0" borderId="0" xfId="2" applyFont="1" applyFill="1" applyBorder="1" applyAlignment="1">
      <alignment horizontal="center" vertical="center"/>
    </xf>
    <xf numFmtId="43" fontId="30" fillId="2" borderId="89" xfId="22" applyNumberFormat="1" applyFont="1" applyFill="1" applyBorder="1" applyAlignment="1">
      <alignment vertical="center" wrapText="1"/>
    </xf>
    <xf numFmtId="167" fontId="30" fillId="2" borderId="92" xfId="22" applyNumberFormat="1" applyFont="1" applyFill="1" applyBorder="1" applyAlignment="1">
      <alignment vertical="center" wrapText="1"/>
    </xf>
    <xf numFmtId="13" fontId="29" fillId="0" borderId="0" xfId="21" applyNumberFormat="1"/>
    <xf numFmtId="2" fontId="29" fillId="0" borderId="0" xfId="21" applyNumberFormat="1"/>
    <xf numFmtId="2" fontId="30" fillId="12" borderId="93" xfId="25" applyNumberFormat="1" applyFont="1" applyFill="1" applyBorder="1" applyAlignment="1">
      <alignment horizontal="center" vertical="center" wrapText="1"/>
    </xf>
    <xf numFmtId="2" fontId="5" fillId="0" borderId="0" xfId="21" applyNumberFormat="1" applyFont="1"/>
    <xf numFmtId="2" fontId="29" fillId="0" borderId="15" xfId="21" applyNumberFormat="1" applyBorder="1"/>
    <xf numFmtId="2" fontId="29" fillId="0" borderId="17" xfId="21" applyNumberFormat="1" applyBorder="1"/>
    <xf numFmtId="2" fontId="29" fillId="0" borderId="29" xfId="21" applyNumberFormat="1" applyBorder="1"/>
    <xf numFmtId="2" fontId="29" fillId="0" borderId="62" xfId="21" applyNumberFormat="1" applyBorder="1"/>
    <xf numFmtId="2" fontId="29" fillId="0" borderId="65" xfId="21" applyNumberFormat="1" applyBorder="1"/>
    <xf numFmtId="2" fontId="5" fillId="0" borderId="0" xfId="21" applyNumberFormat="1" applyFont="1" applyAlignment="1">
      <alignment wrapText="1"/>
    </xf>
    <xf numFmtId="44" fontId="29" fillId="0" borderId="0" xfId="2" applyFont="1"/>
    <xf numFmtId="9" fontId="29" fillId="0" borderId="0" xfId="3" applyFont="1"/>
    <xf numFmtId="164" fontId="29" fillId="0" borderId="34" xfId="21" applyNumberFormat="1" applyBorder="1"/>
    <xf numFmtId="164" fontId="29" fillId="0" borderId="37" xfId="21" applyNumberFormat="1" applyBorder="1"/>
    <xf numFmtId="164" fontId="29" fillId="0" borderId="64" xfId="21" applyNumberFormat="1" applyBorder="1"/>
    <xf numFmtId="13" fontId="5" fillId="0" borderId="0" xfId="21" applyNumberFormat="1" applyFont="1"/>
    <xf numFmtId="167" fontId="30" fillId="2" borderId="92" xfId="2" applyNumberFormat="1" applyFont="1" applyFill="1" applyBorder="1" applyAlignment="1">
      <alignment vertical="center" wrapText="1"/>
    </xf>
    <xf numFmtId="44" fontId="23" fillId="0" borderId="0" xfId="2" applyFont="1" applyBorder="1" applyAlignment="1">
      <alignment vertical="center"/>
    </xf>
    <xf numFmtId="2" fontId="30" fillId="2" borderId="92" xfId="2" applyNumberFormat="1" applyFont="1" applyFill="1" applyBorder="1" applyAlignment="1">
      <alignment vertical="center" wrapText="1"/>
    </xf>
    <xf numFmtId="164" fontId="23" fillId="0" borderId="0" xfId="6" applyNumberFormat="1" applyFont="1" applyAlignment="1">
      <alignment vertical="center"/>
    </xf>
    <xf numFmtId="164" fontId="33" fillId="13" borderId="65" xfId="0" applyNumberFormat="1" applyFont="1" applyFill="1" applyBorder="1" applyAlignment="1">
      <alignment horizontal="right" vertical="center"/>
    </xf>
    <xf numFmtId="164" fontId="23" fillId="0" borderId="0" xfId="9" applyNumberFormat="1" applyFont="1" applyAlignment="1">
      <alignment vertical="center"/>
    </xf>
    <xf numFmtId="9" fontId="23" fillId="0" borderId="0" xfId="3" applyFont="1" applyAlignment="1">
      <alignment vertical="center"/>
    </xf>
    <xf numFmtId="4" fontId="30" fillId="2" borderId="92" xfId="22" applyNumberFormat="1" applyFont="1" applyFill="1" applyBorder="1" applyAlignment="1">
      <alignment vertical="center" wrapText="1"/>
    </xf>
    <xf numFmtId="171" fontId="23" fillId="0" borderId="0" xfId="6" applyNumberFormat="1" applyFont="1" applyAlignment="1">
      <alignment horizontal="center" vertical="center"/>
    </xf>
    <xf numFmtId="167" fontId="29" fillId="0" borderId="92" xfId="21" applyNumberFormat="1" applyBorder="1" applyAlignment="1">
      <alignment horizontal="center" vertical="center"/>
    </xf>
    <xf numFmtId="43" fontId="31" fillId="12" borderId="24" xfId="25" applyFont="1" applyFill="1" applyBorder="1" applyAlignment="1">
      <alignment horizontal="center" vertical="center" wrapText="1"/>
    </xf>
    <xf numFmtId="43" fontId="31" fillId="12" borderId="31" xfId="25" applyFont="1" applyFill="1" applyBorder="1" applyAlignment="1">
      <alignment horizontal="center" vertical="center" wrapText="1"/>
    </xf>
    <xf numFmtId="0" fontId="30" fillId="2" borderId="109" xfId="22" applyFont="1" applyFill="1" applyBorder="1" applyAlignment="1">
      <alignment vertical="center" wrapText="1"/>
    </xf>
    <xf numFmtId="0" fontId="30" fillId="2" borderId="110" xfId="22" applyFont="1" applyFill="1" applyBorder="1" applyAlignment="1">
      <alignment vertical="center" wrapText="1"/>
    </xf>
    <xf numFmtId="43" fontId="30" fillId="12" borderId="111" xfId="22" applyNumberFormat="1" applyFont="1" applyFill="1" applyBorder="1" applyAlignment="1">
      <alignment vertical="center" wrapText="1"/>
    </xf>
    <xf numFmtId="167" fontId="30" fillId="2" borderId="112" xfId="22" applyNumberFormat="1" applyFont="1" applyFill="1" applyBorder="1" applyAlignment="1">
      <alignment vertical="center" wrapText="1"/>
    </xf>
    <xf numFmtId="167" fontId="31" fillId="2" borderId="113" xfId="22" applyNumberFormat="1" applyFont="1" applyFill="1" applyBorder="1" applyAlignment="1">
      <alignment vertical="center" wrapText="1"/>
    </xf>
    <xf numFmtId="167" fontId="30" fillId="2" borderId="113" xfId="25" applyNumberFormat="1" applyFont="1" applyFill="1" applyBorder="1" applyAlignment="1">
      <alignment horizontal="center" vertical="center" wrapText="1"/>
    </xf>
    <xf numFmtId="167" fontId="29" fillId="0" borderId="113" xfId="21" applyNumberFormat="1" applyBorder="1" applyAlignment="1">
      <alignment horizontal="center" vertical="center"/>
    </xf>
    <xf numFmtId="167" fontId="30" fillId="2" borderId="113" xfId="25" applyNumberFormat="1" applyFont="1" applyFill="1" applyBorder="1" applyAlignment="1">
      <alignment vertical="center" wrapText="1"/>
    </xf>
    <xf numFmtId="4" fontId="30" fillId="12" borderId="114" xfId="25" applyNumberFormat="1" applyFont="1" applyFill="1" applyBorder="1" applyAlignment="1">
      <alignment horizontal="center" vertical="center" wrapText="1"/>
    </xf>
    <xf numFmtId="49" fontId="23" fillId="0" borderId="0" xfId="6" applyNumberFormat="1" applyFont="1" applyAlignment="1">
      <alignment vertical="center"/>
    </xf>
    <xf numFmtId="49" fontId="11" fillId="0" borderId="32" xfId="5" applyNumberFormat="1" applyFont="1" applyBorder="1" applyAlignment="1">
      <alignment horizontal="center" vertical="center"/>
    </xf>
    <xf numFmtId="0" fontId="21" fillId="2" borderId="37" xfId="7" applyFont="1" applyFill="1" applyBorder="1" applyAlignment="1">
      <alignment horizontal="center" vertical="center"/>
    </xf>
    <xf numFmtId="0" fontId="21" fillId="2" borderId="0" xfId="7" applyFont="1" applyFill="1" applyAlignment="1">
      <alignment horizontal="center" vertical="center"/>
    </xf>
    <xf numFmtId="4" fontId="21" fillId="2" borderId="0" xfId="7" applyNumberFormat="1" applyFont="1" applyFill="1" applyAlignment="1">
      <alignment horizontal="center" vertical="center"/>
    </xf>
    <xf numFmtId="4" fontId="21" fillId="2" borderId="29" xfId="7" applyNumberFormat="1" applyFont="1" applyFill="1" applyBorder="1" applyAlignment="1">
      <alignment horizontal="center" vertical="center"/>
    </xf>
    <xf numFmtId="44" fontId="23" fillId="0" borderId="62" xfId="9" applyFont="1" applyFill="1" applyBorder="1" applyAlignment="1">
      <alignment horizontal="right" vertical="center"/>
    </xf>
    <xf numFmtId="2" fontId="23" fillId="0" borderId="62" xfId="7" applyNumberFormat="1" applyFont="1" applyBorder="1" applyAlignment="1">
      <alignment horizontal="center" vertical="center"/>
    </xf>
    <xf numFmtId="0" fontId="23" fillId="0" borderId="115" xfId="6" applyFont="1" applyBorder="1" applyAlignment="1">
      <alignment vertical="center"/>
    </xf>
    <xf numFmtId="2" fontId="23" fillId="0" borderId="116" xfId="7" applyNumberFormat="1" applyFont="1" applyBorder="1" applyAlignment="1">
      <alignment horizontal="center" vertical="center"/>
    </xf>
    <xf numFmtId="0" fontId="23" fillId="0" borderId="116" xfId="10" applyFont="1" applyBorder="1" applyAlignment="1">
      <alignment horizontal="left" vertical="center" wrapText="1"/>
    </xf>
    <xf numFmtId="0" fontId="23" fillId="0" borderId="116" xfId="10" applyFont="1" applyBorder="1" applyAlignment="1">
      <alignment horizontal="center" vertical="center"/>
    </xf>
    <xf numFmtId="4" fontId="23" fillId="0" borderId="116" xfId="11" applyNumberFormat="1" applyFont="1" applyFill="1" applyBorder="1" applyAlignment="1">
      <alignment horizontal="center" vertical="center"/>
    </xf>
    <xf numFmtId="44" fontId="23" fillId="0" borderId="116" xfId="12" applyNumberFormat="1" applyFont="1" applyFill="1" applyBorder="1" applyAlignment="1">
      <alignment horizontal="right" vertical="center"/>
    </xf>
    <xf numFmtId="44" fontId="23" fillId="0" borderId="116" xfId="9" applyFont="1" applyFill="1" applyBorder="1" applyAlignment="1">
      <alignment horizontal="right" vertical="center"/>
    </xf>
    <xf numFmtId="0" fontId="23" fillId="0" borderId="117" xfId="6" applyFont="1" applyBorder="1" applyAlignment="1">
      <alignment vertical="center"/>
    </xf>
    <xf numFmtId="0" fontId="21" fillId="0" borderId="116" xfId="7" applyFont="1" applyBorder="1" applyAlignment="1">
      <alignment vertical="center"/>
    </xf>
    <xf numFmtId="0" fontId="21" fillId="0" borderId="118" xfId="7" applyFont="1" applyBorder="1" applyAlignment="1">
      <alignment vertical="center"/>
    </xf>
    <xf numFmtId="44" fontId="21" fillId="0" borderId="116" xfId="9" applyFont="1" applyBorder="1" applyAlignment="1">
      <alignment horizontal="right" vertical="center"/>
    </xf>
    <xf numFmtId="4" fontId="23" fillId="0" borderId="38" xfId="11" applyNumberFormat="1" applyFont="1" applyFill="1" applyBorder="1" applyAlignment="1">
      <alignment horizontal="center" vertical="center"/>
    </xf>
    <xf numFmtId="44" fontId="23" fillId="0" borderId="30" xfId="12" applyNumberFormat="1" applyFont="1" applyFill="1" applyBorder="1" applyAlignment="1">
      <alignment horizontal="right" vertical="center"/>
    </xf>
    <xf numFmtId="44" fontId="23" fillId="0" borderId="38" xfId="12" applyNumberFormat="1" applyFont="1" applyFill="1" applyBorder="1" applyAlignment="1">
      <alignment horizontal="right" vertical="center"/>
    </xf>
    <xf numFmtId="0" fontId="23" fillId="0" borderId="24" xfId="10" applyFont="1" applyBorder="1" applyAlignment="1">
      <alignment horizontal="left" vertical="center" wrapText="1"/>
    </xf>
    <xf numFmtId="0" fontId="23" fillId="0" borderId="24" xfId="10" applyFont="1" applyBorder="1" applyAlignment="1">
      <alignment horizontal="center" vertical="center"/>
    </xf>
    <xf numFmtId="165" fontId="0" fillId="0" borderId="0" xfId="0" applyNumberFormat="1"/>
    <xf numFmtId="2" fontId="0" fillId="0" borderId="0" xfId="0" applyNumberFormat="1"/>
    <xf numFmtId="44" fontId="0" fillId="0" borderId="0" xfId="0" applyNumberFormat="1"/>
    <xf numFmtId="44" fontId="23" fillId="0" borderId="0" xfId="2" applyFont="1" applyAlignment="1">
      <alignment vertical="center"/>
    </xf>
    <xf numFmtId="175" fontId="23" fillId="0" borderId="0" xfId="13" applyNumberFormat="1" applyFont="1" applyFill="1" applyBorder="1" applyAlignment="1">
      <alignment horizontal="center" vertical="center"/>
    </xf>
    <xf numFmtId="1" fontId="0" fillId="0" borderId="0" xfId="0" applyNumberFormat="1" applyAlignment="1">
      <alignment horizontal="center" vertical="center"/>
    </xf>
    <xf numFmtId="0" fontId="0" fillId="0" borderId="0" xfId="0" applyAlignment="1">
      <alignment horizontal="center" vertical="center"/>
    </xf>
    <xf numFmtId="0" fontId="5" fillId="0" borderId="0" xfId="21" applyFont="1" applyAlignment="1">
      <alignment horizontal="right"/>
    </xf>
    <xf numFmtId="164" fontId="5" fillId="0" borderId="0" xfId="21" applyNumberFormat="1" applyFont="1" applyAlignment="1">
      <alignment horizontal="center" wrapText="1"/>
    </xf>
    <xf numFmtId="2" fontId="5" fillId="0" borderId="0" xfId="21" applyNumberFormat="1" applyFont="1" applyAlignment="1">
      <alignment horizontal="center"/>
    </xf>
    <xf numFmtId="2" fontId="29" fillId="0" borderId="0" xfId="21" applyNumberFormat="1" applyAlignment="1">
      <alignment horizontal="center"/>
    </xf>
    <xf numFmtId="0" fontId="5" fillId="2" borderId="37" xfId="22" applyFont="1" applyFill="1" applyBorder="1" applyAlignment="1">
      <alignment horizontal="center"/>
    </xf>
    <xf numFmtId="0" fontId="5" fillId="2" borderId="0" xfId="22" applyFont="1" applyFill="1" applyAlignment="1">
      <alignment horizontal="center"/>
    </xf>
    <xf numFmtId="0" fontId="5" fillId="2" borderId="20" xfId="22" applyFont="1" applyFill="1" applyBorder="1" applyAlignment="1">
      <alignment horizontal="center"/>
    </xf>
    <xf numFmtId="0" fontId="30" fillId="2" borderId="19" xfId="22" applyFont="1" applyFill="1" applyBorder="1" applyAlignment="1">
      <alignment horizontal="center"/>
    </xf>
    <xf numFmtId="0" fontId="30" fillId="2" borderId="0" xfId="22" applyFont="1" applyFill="1" applyAlignment="1">
      <alignment horizontal="center"/>
    </xf>
    <xf numFmtId="0" fontId="30" fillId="2" borderId="29" xfId="22" applyFont="1" applyFill="1" applyBorder="1" applyAlignment="1">
      <alignment horizontal="center"/>
    </xf>
    <xf numFmtId="0" fontId="31" fillId="2" borderId="37" xfId="22" applyFont="1" applyFill="1" applyBorder="1" applyAlignment="1">
      <alignment horizontal="center"/>
    </xf>
    <xf numFmtId="0" fontId="31" fillId="2" borderId="0" xfId="22" applyFont="1" applyFill="1" applyAlignment="1">
      <alignment horizontal="center"/>
    </xf>
    <xf numFmtId="0" fontId="31" fillId="2" borderId="20" xfId="22" applyFont="1" applyFill="1" applyBorder="1" applyAlignment="1">
      <alignment horizontal="center"/>
    </xf>
    <xf numFmtId="0" fontId="31" fillId="2" borderId="19" xfId="22" applyFont="1" applyFill="1" applyBorder="1" applyAlignment="1">
      <alignment horizontal="center"/>
    </xf>
    <xf numFmtId="0" fontId="31" fillId="2" borderId="29" xfId="22" applyFont="1" applyFill="1" applyBorder="1" applyAlignment="1">
      <alignment horizontal="center"/>
    </xf>
    <xf numFmtId="0" fontId="30" fillId="2" borderId="83" xfId="22" applyFont="1" applyFill="1" applyBorder="1" applyAlignment="1">
      <alignment horizontal="center"/>
    </xf>
    <xf numFmtId="0" fontId="30" fillId="2" borderId="22" xfId="22" applyFont="1" applyFill="1" applyBorder="1" applyAlignment="1">
      <alignment horizontal="center"/>
    </xf>
    <xf numFmtId="0" fontId="30" fillId="2" borderId="78" xfId="22" applyFont="1" applyFill="1" applyBorder="1" applyAlignment="1">
      <alignment horizontal="center"/>
    </xf>
    <xf numFmtId="0" fontId="30" fillId="2" borderId="21" xfId="22" applyFont="1" applyFill="1" applyBorder="1" applyAlignment="1">
      <alignment horizontal="center"/>
    </xf>
    <xf numFmtId="0" fontId="30" fillId="2" borderId="23" xfId="22" applyFont="1" applyFill="1" applyBorder="1" applyAlignment="1">
      <alignment horizontal="center"/>
    </xf>
    <xf numFmtId="0" fontId="31" fillId="2" borderId="85" xfId="22" applyFont="1" applyFill="1" applyBorder="1" applyAlignment="1">
      <alignment horizontal="center" vertical="center" wrapText="1"/>
    </xf>
    <xf numFmtId="0" fontId="31" fillId="2" borderId="86" xfId="22" applyFont="1" applyFill="1" applyBorder="1" applyAlignment="1">
      <alignment horizontal="center" vertical="center" wrapText="1"/>
    </xf>
    <xf numFmtId="0" fontId="31" fillId="2" borderId="87" xfId="22" applyFont="1" applyFill="1" applyBorder="1" applyAlignment="1">
      <alignment horizontal="center" vertical="center" wrapText="1"/>
    </xf>
    <xf numFmtId="0" fontId="31" fillId="2" borderId="88" xfId="22" applyFont="1" applyFill="1" applyBorder="1" applyAlignment="1">
      <alignment horizontal="center" vertical="center" wrapText="1"/>
    </xf>
    <xf numFmtId="43" fontId="31" fillId="2" borderId="53" xfId="25" applyFont="1" applyFill="1" applyBorder="1" applyAlignment="1">
      <alignment horizontal="center" vertical="center" wrapText="1"/>
    </xf>
    <xf numFmtId="43" fontId="31" fillId="2" borderId="51" xfId="25" applyFont="1" applyFill="1" applyBorder="1" applyAlignment="1">
      <alignment horizontal="center" vertical="center" wrapText="1"/>
    </xf>
    <xf numFmtId="43" fontId="31" fillId="2" borderId="52" xfId="25" applyFont="1" applyFill="1" applyBorder="1" applyAlignment="1">
      <alignment horizontal="center" vertical="center" wrapText="1"/>
    </xf>
    <xf numFmtId="0" fontId="4" fillId="2" borderId="37" xfId="22" applyFont="1" applyFill="1" applyBorder="1" applyAlignment="1">
      <alignment horizontal="center" vertical="center" wrapText="1"/>
    </xf>
    <xf numFmtId="0" fontId="4" fillId="2" borderId="0" xfId="22" applyFont="1" applyFill="1" applyAlignment="1">
      <alignment horizontal="center" vertical="center" wrapText="1"/>
    </xf>
    <xf numFmtId="0" fontId="4" fillId="2" borderId="20" xfId="22" applyFont="1" applyFill="1" applyBorder="1" applyAlignment="1">
      <alignment horizontal="center" vertical="center" wrapText="1"/>
    </xf>
    <xf numFmtId="43" fontId="31" fillId="2" borderId="38" xfId="25" applyFont="1" applyFill="1" applyBorder="1" applyAlignment="1">
      <alignment horizontal="center" vertical="center" wrapText="1"/>
    </xf>
    <xf numFmtId="0" fontId="30" fillId="2" borderId="33" xfId="22" applyFont="1" applyFill="1" applyBorder="1" applyAlignment="1">
      <alignment horizontal="left"/>
    </xf>
    <xf numFmtId="0" fontId="30" fillId="2" borderId="26" xfId="22" applyFont="1" applyFill="1" applyBorder="1" applyAlignment="1">
      <alignment horizontal="left"/>
    </xf>
    <xf numFmtId="0" fontId="30" fillId="2" borderId="82" xfId="22" applyFont="1" applyFill="1" applyBorder="1" applyAlignment="1">
      <alignment horizontal="left"/>
    </xf>
    <xf numFmtId="0" fontId="31" fillId="2" borderId="37" xfId="22" applyFont="1" applyFill="1" applyBorder="1" applyAlignment="1">
      <alignment horizontal="center" vertical="center" wrapText="1"/>
    </xf>
    <xf numFmtId="0" fontId="31" fillId="2" borderId="0" xfId="22" applyFont="1" applyFill="1" applyAlignment="1">
      <alignment horizontal="center" vertical="center" wrapText="1"/>
    </xf>
    <xf numFmtId="0" fontId="31" fillId="2" borderId="29" xfId="22" applyFont="1" applyFill="1" applyBorder="1" applyAlignment="1">
      <alignment horizontal="center" vertical="center" wrapText="1"/>
    </xf>
    <xf numFmtId="0" fontId="31" fillId="12" borderId="38" xfId="22" applyFont="1" applyFill="1" applyBorder="1" applyAlignment="1">
      <alignment horizontal="center" vertical="center" wrapText="1"/>
    </xf>
    <xf numFmtId="43" fontId="31" fillId="12" borderId="25" xfId="25" applyFont="1" applyFill="1" applyBorder="1" applyAlignment="1">
      <alignment horizontal="center" vertical="center" wrapText="1"/>
    </xf>
    <xf numFmtId="43" fontId="31" fillId="12" borderId="26" xfId="25" applyFont="1" applyFill="1" applyBorder="1" applyAlignment="1">
      <alignment horizontal="center" vertical="center" wrapText="1"/>
    </xf>
    <xf numFmtId="43" fontId="31" fillId="12" borderId="21" xfId="25" applyFont="1" applyFill="1" applyBorder="1" applyAlignment="1">
      <alignment horizontal="center" vertical="center" wrapText="1"/>
    </xf>
    <xf numFmtId="43" fontId="31" fillId="12" borderId="82" xfId="25" applyFont="1" applyFill="1" applyBorder="1" applyAlignment="1">
      <alignment horizontal="center" vertical="center" wrapText="1"/>
    </xf>
    <xf numFmtId="43" fontId="31" fillId="12" borderId="78" xfId="25" applyFont="1" applyFill="1" applyBorder="1" applyAlignment="1">
      <alignment horizontal="center" vertical="center" wrapText="1"/>
    </xf>
    <xf numFmtId="43" fontId="31" fillId="12" borderId="38" xfId="25" applyFont="1" applyFill="1" applyBorder="1" applyAlignment="1">
      <alignment horizontal="center" vertical="center" wrapText="1"/>
    </xf>
    <xf numFmtId="43" fontId="31" fillId="12" borderId="39" xfId="25" applyFont="1" applyFill="1" applyBorder="1" applyAlignment="1">
      <alignment horizontal="center" vertical="center" wrapText="1"/>
    </xf>
    <xf numFmtId="3" fontId="30" fillId="12" borderId="53" xfId="22" applyNumberFormat="1" applyFont="1" applyFill="1" applyBorder="1" applyAlignment="1">
      <alignment horizontal="center" vertical="center" wrapText="1"/>
    </xf>
    <xf numFmtId="3" fontId="30" fillId="12" borderId="52" xfId="22" applyNumberFormat="1" applyFont="1" applyFill="1" applyBorder="1" applyAlignment="1">
      <alignment horizontal="center" vertical="center" wrapText="1"/>
    </xf>
    <xf numFmtId="43" fontId="30" fillId="12" borderId="38" xfId="25" applyFont="1" applyFill="1" applyBorder="1" applyAlignment="1">
      <alignment horizontal="center" vertical="center" wrapText="1"/>
    </xf>
    <xf numFmtId="0" fontId="31" fillId="2" borderId="80" xfId="24" applyFont="1" applyFill="1" applyBorder="1" applyAlignment="1">
      <alignment horizontal="left" vertical="center" wrapText="1"/>
    </xf>
    <xf numFmtId="0" fontId="31" fillId="2" borderId="38" xfId="24" applyFont="1" applyFill="1" applyBorder="1" applyAlignment="1">
      <alignment horizontal="left" vertical="center" wrapText="1"/>
    </xf>
    <xf numFmtId="43" fontId="30" fillId="2" borderId="38" xfId="25" applyFont="1" applyFill="1" applyBorder="1" applyAlignment="1">
      <alignment horizontal="center" vertical="center" wrapText="1"/>
    </xf>
    <xf numFmtId="43" fontId="30" fillId="2" borderId="39" xfId="25" applyFont="1" applyFill="1" applyBorder="1" applyAlignment="1">
      <alignment horizontal="center" vertical="center" wrapText="1"/>
    </xf>
    <xf numFmtId="0" fontId="31" fillId="2" borderId="53" xfId="24" applyFont="1" applyFill="1" applyBorder="1" applyAlignment="1">
      <alignment horizontal="center" vertical="center" wrapText="1"/>
    </xf>
    <xf numFmtId="0" fontId="31" fillId="2" borderId="52" xfId="24" applyFont="1" applyFill="1" applyBorder="1" applyAlignment="1">
      <alignment horizontal="center" vertical="center" wrapText="1"/>
    </xf>
    <xf numFmtId="0" fontId="31" fillId="2" borderId="34" xfId="24" applyFont="1" applyFill="1" applyBorder="1" applyAlignment="1">
      <alignment horizontal="center" vertical="center" wrapText="1"/>
    </xf>
    <xf numFmtId="0" fontId="31" fillId="2" borderId="15" xfId="24" applyFont="1" applyFill="1" applyBorder="1" applyAlignment="1">
      <alignment horizontal="center" vertical="center" wrapText="1"/>
    </xf>
    <xf numFmtId="0" fontId="31" fillId="2" borderId="17" xfId="24" applyFont="1" applyFill="1" applyBorder="1" applyAlignment="1">
      <alignment horizontal="center" vertical="center" wrapText="1"/>
    </xf>
    <xf numFmtId="0" fontId="31" fillId="2" borderId="37" xfId="24" applyFont="1" applyFill="1" applyBorder="1" applyAlignment="1">
      <alignment horizontal="center" vertical="center" wrapText="1"/>
    </xf>
    <xf numFmtId="0" fontId="31" fillId="2" borderId="0" xfId="24" applyFont="1" applyFill="1" applyAlignment="1">
      <alignment horizontal="center" vertical="center" wrapText="1"/>
    </xf>
    <xf numFmtId="0" fontId="31" fillId="2" borderId="29" xfId="24" applyFont="1" applyFill="1" applyBorder="1" applyAlignment="1">
      <alignment horizontal="center" vertical="center" wrapText="1"/>
    </xf>
    <xf numFmtId="0" fontId="30" fillId="2" borderId="37" xfId="24" applyFont="1" applyFill="1" applyBorder="1" applyAlignment="1">
      <alignment horizontal="center" vertical="center" wrapText="1"/>
    </xf>
    <xf numFmtId="0" fontId="30" fillId="2" borderId="0" xfId="24" applyFont="1" applyFill="1" applyAlignment="1">
      <alignment horizontal="center" vertical="center" wrapText="1"/>
    </xf>
    <xf numFmtId="0" fontId="30" fillId="2" borderId="29" xfId="24" applyFont="1" applyFill="1" applyBorder="1" applyAlignment="1">
      <alignment horizontal="center" vertical="center" wrapText="1"/>
    </xf>
    <xf numFmtId="0" fontId="30" fillId="2" borderId="38" xfId="24" applyFont="1" applyFill="1" applyBorder="1" applyAlignment="1">
      <alignment horizontal="left" vertical="center" wrapText="1"/>
    </xf>
    <xf numFmtId="0" fontId="30" fillId="2" borderId="39" xfId="24" applyFont="1" applyFill="1" applyBorder="1" applyAlignment="1">
      <alignment horizontal="left" vertical="center" wrapText="1"/>
    </xf>
    <xf numFmtId="0" fontId="30" fillId="2" borderId="19" xfId="24" applyFont="1" applyFill="1" applyBorder="1" applyAlignment="1">
      <alignment horizontal="left" vertical="center" wrapText="1"/>
    </xf>
    <xf numFmtId="0" fontId="30" fillId="2" borderId="0" xfId="24" applyFont="1" applyFill="1" applyAlignment="1">
      <alignment horizontal="left" vertical="center" wrapText="1"/>
    </xf>
    <xf numFmtId="0" fontId="30" fillId="2" borderId="29" xfId="24" applyFont="1" applyFill="1" applyBorder="1" applyAlignment="1">
      <alignment horizontal="left" vertical="center" wrapText="1"/>
    </xf>
    <xf numFmtId="0" fontId="31" fillId="2" borderId="106" xfId="22" applyFont="1" applyFill="1" applyBorder="1" applyAlignment="1">
      <alignment horizontal="center" vertical="center" wrapText="1"/>
    </xf>
    <xf numFmtId="0" fontId="31" fillId="2" borderId="15" xfId="22" applyFont="1" applyFill="1" applyBorder="1" applyAlignment="1">
      <alignment horizontal="center" vertical="center" wrapText="1"/>
    </xf>
    <xf numFmtId="0" fontId="31" fillId="2" borderId="107" xfId="22" applyFont="1" applyFill="1" applyBorder="1" applyAlignment="1">
      <alignment horizontal="center" vertical="center" wrapText="1"/>
    </xf>
    <xf numFmtId="0" fontId="31" fillId="2" borderId="108" xfId="22" applyFont="1" applyFill="1" applyBorder="1" applyAlignment="1">
      <alignment horizontal="center" vertical="center" wrapText="1"/>
    </xf>
    <xf numFmtId="43" fontId="31" fillId="12" borderId="19" xfId="25" applyFont="1" applyFill="1" applyBorder="1" applyAlignment="1">
      <alignment horizontal="center" vertical="center" wrapText="1"/>
    </xf>
    <xf numFmtId="43" fontId="31" fillId="12" borderId="20" xfId="25" applyFont="1" applyFill="1" applyBorder="1" applyAlignment="1">
      <alignment horizontal="center" vertical="center" wrapText="1"/>
    </xf>
    <xf numFmtId="3" fontId="21" fillId="0" borderId="38" xfId="8" applyNumberFormat="1" applyFont="1" applyBorder="1" applyAlignment="1">
      <alignment horizontal="center" vertical="center"/>
    </xf>
    <xf numFmtId="44" fontId="23" fillId="0" borderId="0" xfId="9" applyFont="1" applyAlignment="1">
      <alignment horizontal="center" vertical="center"/>
    </xf>
    <xf numFmtId="3" fontId="21" fillId="0" borderId="45" xfId="8" applyNumberFormat="1" applyFont="1" applyBorder="1" applyAlignment="1">
      <alignment horizontal="center" vertical="center"/>
    </xf>
    <xf numFmtId="44" fontId="23" fillId="0" borderId="0" xfId="6" applyNumberFormat="1" applyFont="1" applyAlignment="1">
      <alignment horizontal="center" vertical="center"/>
    </xf>
    <xf numFmtId="0" fontId="23" fillId="0" borderId="80" xfId="8" applyFont="1" applyBorder="1" applyAlignment="1">
      <alignment vertical="center" wrapText="1"/>
    </xf>
    <xf numFmtId="0" fontId="23" fillId="0" borderId="38" xfId="8" applyFont="1" applyBorder="1" applyAlignment="1">
      <alignment vertical="center" wrapText="1"/>
    </xf>
    <xf numFmtId="44" fontId="23" fillId="0" borderId="0" xfId="9" applyFont="1" applyBorder="1" applyAlignment="1">
      <alignment horizontal="center" vertical="center"/>
    </xf>
    <xf numFmtId="0" fontId="21" fillId="0" borderId="38" xfId="8" applyFont="1" applyBorder="1" applyAlignment="1">
      <alignment horizontal="center" vertical="center"/>
    </xf>
    <xf numFmtId="171" fontId="23" fillId="0" borderId="0" xfId="6" applyNumberFormat="1" applyFont="1" applyAlignment="1">
      <alignment horizontal="center" vertical="center"/>
    </xf>
    <xf numFmtId="0" fontId="21" fillId="0" borderId="57" xfId="7" applyFont="1" applyBorder="1" applyAlignment="1">
      <alignment horizontal="left" vertical="center"/>
    </xf>
    <xf numFmtId="0" fontId="21" fillId="0" borderId="62" xfId="7" applyFont="1" applyBorder="1" applyAlignment="1">
      <alignment horizontal="left" vertical="center"/>
    </xf>
    <xf numFmtId="0" fontId="21" fillId="0" borderId="79" xfId="7" applyFont="1" applyBorder="1" applyAlignment="1">
      <alignment horizontal="left" vertical="center"/>
    </xf>
    <xf numFmtId="0" fontId="21" fillId="0" borderId="57" xfId="16" applyFont="1" applyBorder="1" applyAlignment="1">
      <alignment horizontal="center" vertical="center"/>
    </xf>
    <xf numFmtId="0" fontId="21" fillId="0" borderId="58" xfId="16" applyFont="1" applyBorder="1" applyAlignment="1">
      <alignment horizontal="center" vertical="center"/>
    </xf>
    <xf numFmtId="0" fontId="21" fillId="0" borderId="59" xfId="16" applyFont="1" applyBorder="1" applyAlignment="1">
      <alignment horizontal="center" vertical="center"/>
    </xf>
    <xf numFmtId="0" fontId="23" fillId="0" borderId="47" xfId="18" applyFont="1" applyBorder="1" applyAlignment="1">
      <alignment horizontal="center" vertical="center"/>
    </xf>
    <xf numFmtId="0" fontId="23" fillId="0" borderId="44" xfId="18" applyFont="1" applyBorder="1" applyAlignment="1">
      <alignment horizontal="center" vertical="center"/>
    </xf>
    <xf numFmtId="3" fontId="21" fillId="0" borderId="30" xfId="8" applyNumberFormat="1" applyFont="1" applyBorder="1" applyAlignment="1">
      <alignment horizontal="center" vertical="center"/>
    </xf>
    <xf numFmtId="0" fontId="21" fillId="0" borderId="0" xfId="8" applyFont="1" applyAlignment="1">
      <alignment horizontal="center" vertical="center"/>
    </xf>
    <xf numFmtId="0" fontId="21" fillId="0" borderId="62" xfId="8" applyFont="1" applyBorder="1" applyAlignment="1">
      <alignment horizontal="center" vertical="center"/>
    </xf>
    <xf numFmtId="0" fontId="21" fillId="9" borderId="57" xfId="7" applyFont="1" applyFill="1" applyBorder="1" applyAlignment="1">
      <alignment horizontal="center" vertical="center" wrapText="1"/>
    </xf>
    <xf numFmtId="0" fontId="21" fillId="9" borderId="58" xfId="7" applyFont="1" applyFill="1" applyBorder="1" applyAlignment="1">
      <alignment horizontal="center" vertical="center" wrapText="1"/>
    </xf>
    <xf numFmtId="0" fontId="21" fillId="9" borderId="59" xfId="7" applyFont="1" applyFill="1" applyBorder="1" applyAlignment="1">
      <alignment horizontal="center" vertical="center" wrapText="1"/>
    </xf>
    <xf numFmtId="0" fontId="21" fillId="2" borderId="43" xfId="7" applyFont="1" applyFill="1" applyBorder="1" applyAlignment="1">
      <alignment horizontal="center" vertical="center"/>
    </xf>
    <xf numFmtId="0" fontId="21" fillId="2" borderId="81" xfId="7" applyFont="1" applyFill="1" applyBorder="1" applyAlignment="1">
      <alignment horizontal="center" vertical="center"/>
    </xf>
    <xf numFmtId="0" fontId="21" fillId="2" borderId="35" xfId="7" applyFont="1" applyFill="1" applyBorder="1" applyAlignment="1">
      <alignment horizontal="center" vertical="center"/>
    </xf>
    <xf numFmtId="0" fontId="21" fillId="2" borderId="45" xfId="7" applyFont="1" applyFill="1" applyBorder="1" applyAlignment="1">
      <alignment horizontal="center" vertical="center"/>
    </xf>
    <xf numFmtId="4" fontId="21" fillId="2" borderId="35" xfId="7" applyNumberFormat="1" applyFont="1" applyFill="1" applyBorder="1" applyAlignment="1">
      <alignment horizontal="center" vertical="center"/>
    </xf>
    <xf numFmtId="4" fontId="21" fillId="2" borderId="45" xfId="7" applyNumberFormat="1" applyFont="1" applyFill="1" applyBorder="1" applyAlignment="1">
      <alignment horizontal="center" vertical="center"/>
    </xf>
    <xf numFmtId="4" fontId="21" fillId="2" borderId="36" xfId="7" applyNumberFormat="1" applyFont="1" applyFill="1" applyBorder="1" applyAlignment="1">
      <alignment horizontal="center" vertical="center"/>
    </xf>
    <xf numFmtId="4" fontId="21" fillId="2" borderId="56" xfId="7" applyNumberFormat="1" applyFont="1" applyFill="1" applyBorder="1" applyAlignment="1">
      <alignment horizontal="center" vertical="center"/>
    </xf>
    <xf numFmtId="0" fontId="21" fillId="0" borderId="51" xfId="0" applyFont="1" applyBorder="1" applyAlignment="1">
      <alignment horizontal="center" vertical="center"/>
    </xf>
    <xf numFmtId="0" fontId="21" fillId="0" borderId="52" xfId="0" applyFont="1" applyBorder="1" applyAlignment="1">
      <alignment horizontal="center" vertical="center"/>
    </xf>
    <xf numFmtId="0" fontId="21" fillId="0" borderId="45" xfId="0" applyFont="1" applyBorder="1" applyAlignment="1" applyProtection="1">
      <alignment horizontal="center" vertical="center"/>
      <protection locked="0"/>
    </xf>
    <xf numFmtId="0" fontId="0" fillId="0" borderId="62" xfId="0" applyBorder="1" applyAlignment="1">
      <alignment horizontal="center"/>
    </xf>
    <xf numFmtId="0" fontId="0" fillId="0" borderId="79" xfId="0" applyBorder="1" applyAlignment="1">
      <alignment horizontal="center"/>
    </xf>
    <xf numFmtId="0" fontId="21" fillId="0" borderId="35" xfId="0" applyFont="1" applyBorder="1" applyAlignment="1">
      <alignment horizontal="center" vertical="center"/>
    </xf>
    <xf numFmtId="0" fontId="21" fillId="0" borderId="49" xfId="0" applyFont="1" applyBorder="1" applyAlignment="1">
      <alignment horizontal="center" vertical="center"/>
    </xf>
    <xf numFmtId="0" fontId="17" fillId="0" borderId="77" xfId="0" applyFont="1" applyBorder="1" applyAlignment="1">
      <alignment horizontal="center" vertical="center"/>
    </xf>
    <xf numFmtId="0" fontId="17" fillId="0" borderId="76" xfId="0" applyFont="1" applyBorder="1" applyAlignment="1">
      <alignment horizontal="center" vertical="center"/>
    </xf>
    <xf numFmtId="0" fontId="17" fillId="0" borderId="74" xfId="0" applyFont="1" applyBorder="1" applyAlignment="1">
      <alignment horizontal="center" vertical="center"/>
    </xf>
    <xf numFmtId="0" fontId="18" fillId="0" borderId="30" xfId="0" applyFont="1" applyBorder="1" applyAlignment="1">
      <alignment horizontal="left" vertical="center"/>
    </xf>
    <xf numFmtId="0" fontId="18" fillId="0" borderId="63" xfId="0" applyFont="1" applyBorder="1" applyAlignment="1">
      <alignment horizontal="left" vertical="center"/>
    </xf>
    <xf numFmtId="0" fontId="18" fillId="0" borderId="38" xfId="0" applyFont="1" applyBorder="1" applyAlignment="1">
      <alignment horizontal="left" vertical="center"/>
    </xf>
    <xf numFmtId="0" fontId="18" fillId="0" borderId="39" xfId="0" applyFont="1" applyBorder="1" applyAlignment="1">
      <alignment horizontal="left" vertical="center"/>
    </xf>
    <xf numFmtId="0" fontId="18" fillId="0" borderId="45" xfId="0" applyFont="1" applyBorder="1" applyAlignment="1">
      <alignment horizontal="left" vertical="center"/>
    </xf>
    <xf numFmtId="0" fontId="18" fillId="0" borderId="56" xfId="0" applyFont="1" applyBorder="1" applyAlignment="1">
      <alignment horizontal="left" vertical="center"/>
    </xf>
    <xf numFmtId="0" fontId="20" fillId="0" borderId="75" xfId="0" applyFont="1" applyBorder="1" applyAlignment="1">
      <alignment horizontal="center" vertical="center" wrapText="1"/>
    </xf>
    <xf numFmtId="0" fontId="20" fillId="0" borderId="70" xfId="0" applyFont="1" applyBorder="1" applyAlignment="1">
      <alignment horizontal="center" vertical="center" wrapText="1"/>
    </xf>
    <xf numFmtId="0" fontId="20" fillId="0" borderId="71" xfId="0" applyFont="1" applyBorder="1" applyAlignment="1">
      <alignment horizontal="center" vertical="center" wrapText="1"/>
    </xf>
    <xf numFmtId="0" fontId="18" fillId="0" borderId="75" xfId="0" applyFont="1" applyBorder="1" applyAlignment="1">
      <alignment horizontal="center" vertical="center" wrapText="1"/>
    </xf>
    <xf numFmtId="0" fontId="18" fillId="0" borderId="70" xfId="0" applyFont="1" applyBorder="1" applyAlignment="1">
      <alignment horizontal="center" vertical="center" wrapText="1"/>
    </xf>
    <xf numFmtId="0" fontId="18" fillId="0" borderId="71" xfId="0" applyFont="1" applyBorder="1" applyAlignment="1">
      <alignment horizontal="center" vertical="center" wrapText="1"/>
    </xf>
    <xf numFmtId="0" fontId="18" fillId="0" borderId="48" xfId="0" applyFont="1" applyBorder="1" applyAlignment="1">
      <alignment horizontal="center" vertical="center" wrapText="1"/>
    </xf>
    <xf numFmtId="0" fontId="18" fillId="0" borderId="35" xfId="0" applyFont="1" applyBorder="1" applyAlignment="1">
      <alignment horizontal="center" vertical="center" wrapText="1"/>
    </xf>
    <xf numFmtId="0" fontId="18" fillId="0" borderId="52" xfId="0" applyFont="1" applyBorder="1" applyAlignment="1">
      <alignment horizontal="center" vertical="center" wrapText="1"/>
    </xf>
    <xf numFmtId="0" fontId="18" fillId="0" borderId="38" xfId="0" applyFont="1" applyBorder="1" applyAlignment="1">
      <alignment horizontal="center" vertical="center" wrapText="1"/>
    </xf>
    <xf numFmtId="0" fontId="18" fillId="0" borderId="54" xfId="0" applyFont="1" applyBorder="1" applyAlignment="1">
      <alignment horizontal="center" vertical="center" wrapText="1"/>
    </xf>
    <xf numFmtId="0" fontId="18" fillId="0" borderId="45" xfId="0" applyFont="1" applyBorder="1" applyAlignment="1">
      <alignment horizontal="center" vertical="center" wrapText="1"/>
    </xf>
    <xf numFmtId="0" fontId="17" fillId="0" borderId="73" xfId="0" applyFont="1" applyBorder="1" applyAlignment="1">
      <alignment horizontal="center" vertical="center"/>
    </xf>
    <xf numFmtId="0" fontId="18" fillId="5" borderId="35" xfId="0" applyFont="1" applyFill="1" applyBorder="1" applyAlignment="1">
      <alignment horizontal="left" vertical="center"/>
    </xf>
    <xf numFmtId="0" fontId="18" fillId="5" borderId="36" xfId="0" applyFont="1" applyFill="1" applyBorder="1" applyAlignment="1">
      <alignment horizontal="left" vertical="center"/>
    </xf>
    <xf numFmtId="0" fontId="18" fillId="5" borderId="38" xfId="0" applyFont="1" applyFill="1" applyBorder="1" applyAlignment="1">
      <alignment horizontal="left" vertical="center"/>
    </xf>
    <xf numFmtId="0" fontId="18" fillId="5" borderId="39" xfId="0" applyFont="1" applyFill="1" applyBorder="1" applyAlignment="1">
      <alignment horizontal="left" vertical="center"/>
    </xf>
    <xf numFmtId="0" fontId="18" fillId="5" borderId="45" xfId="0" applyFont="1" applyFill="1" applyBorder="1" applyAlignment="1">
      <alignment horizontal="left" vertical="center"/>
    </xf>
    <xf numFmtId="0" fontId="18" fillId="5" borderId="56" xfId="0" applyFont="1" applyFill="1" applyBorder="1" applyAlignment="1">
      <alignment horizontal="left" vertical="center"/>
    </xf>
    <xf numFmtId="0" fontId="19" fillId="4" borderId="69" xfId="0" applyFont="1" applyFill="1" applyBorder="1" applyAlignment="1">
      <alignment horizontal="center" vertical="center"/>
    </xf>
    <xf numFmtId="0" fontId="19" fillId="4" borderId="70" xfId="0" applyFont="1" applyFill="1" applyBorder="1" applyAlignment="1">
      <alignment horizontal="center" vertical="center"/>
    </xf>
    <xf numFmtId="0" fontId="19" fillId="4" borderId="71" xfId="0" applyFont="1" applyFill="1" applyBorder="1" applyAlignment="1">
      <alignment horizontal="center" vertical="center"/>
    </xf>
    <xf numFmtId="0" fontId="20" fillId="0" borderId="0" xfId="0" applyFont="1" applyAlignment="1">
      <alignment horizontal="center" vertical="center"/>
    </xf>
    <xf numFmtId="0" fontId="20" fillId="0" borderId="29" xfId="0" applyFont="1" applyBorder="1" applyAlignment="1">
      <alignment horizontal="center" vertical="center"/>
    </xf>
    <xf numFmtId="14" fontId="18" fillId="0" borderId="36" xfId="0" applyNumberFormat="1" applyFont="1" applyBorder="1" applyAlignment="1">
      <alignment horizontal="center" vertical="center"/>
    </xf>
    <xf numFmtId="14" fontId="18" fillId="0" borderId="56" xfId="0" applyNumberFormat="1" applyFont="1" applyBorder="1" applyAlignment="1">
      <alignment horizontal="center" vertical="center"/>
    </xf>
    <xf numFmtId="0" fontId="20" fillId="0" borderId="75" xfId="0" applyFont="1" applyBorder="1" applyAlignment="1">
      <alignment horizontal="center" vertical="center"/>
    </xf>
    <xf numFmtId="0" fontId="20" fillId="0" borderId="70" xfId="0" applyFont="1" applyBorder="1" applyAlignment="1">
      <alignment horizontal="center" vertical="center"/>
    </xf>
    <xf numFmtId="0" fontId="20" fillId="0" borderId="71" xfId="0" applyFont="1" applyBorder="1" applyAlignment="1">
      <alignment horizontal="center" vertical="center"/>
    </xf>
  </cellXfs>
  <cellStyles count="297">
    <cellStyle name="20% - Énfasis1 2" xfId="36" xr:uid="{0B36266B-C67C-4F6A-905F-43DFDA8E1641}"/>
    <cellStyle name="20% - Énfasis1 3" xfId="156" xr:uid="{EEFCEE5F-4110-4B38-8DF6-AC56FD398B13}"/>
    <cellStyle name="20% - Énfasis2 2" xfId="37" xr:uid="{98AEABD7-A0BD-40CE-A375-2FFA54A967CF}"/>
    <cellStyle name="20% - Énfasis2 3" xfId="157" xr:uid="{DE2015F7-325E-4B18-8711-9B4E1EB3A4AD}"/>
    <cellStyle name="20% - Énfasis3 2" xfId="38" xr:uid="{FBFC81BD-49B2-4F46-A004-CF4D656DFCF9}"/>
    <cellStyle name="20% - Énfasis3 3" xfId="158" xr:uid="{2FE2739A-5835-4F51-82DF-1EBA87AEC6A1}"/>
    <cellStyle name="20% - Énfasis4 2" xfId="39" xr:uid="{F185F747-E0B9-4B72-8303-A706D21E75F9}"/>
    <cellStyle name="20% - Énfasis4 3" xfId="159" xr:uid="{E1277A5F-0789-4057-8ECA-26EF5084A307}"/>
    <cellStyle name="20% - Énfasis5 2" xfId="40" xr:uid="{D9F58F12-B8E1-4466-9F3E-D80971F5BF9B}"/>
    <cellStyle name="20% - Énfasis5 3" xfId="160" xr:uid="{4CF8E790-1448-41AB-AC13-E98EECC3CEA7}"/>
    <cellStyle name="20% - Énfasis6 2" xfId="41" xr:uid="{0A34F47C-77E5-45BA-9D09-4E00C5642F4A}"/>
    <cellStyle name="20% - Énfasis6 3" xfId="161" xr:uid="{1F8EBC0D-EB21-44E4-B59C-D0CD84CA5E30}"/>
    <cellStyle name="40% - Énfasis1 2" xfId="42" xr:uid="{C92D5A9D-50E4-43A1-8B88-107DC422D663}"/>
    <cellStyle name="40% - Énfasis1 3" xfId="162" xr:uid="{F43B4E6B-27D0-4D62-8C26-8DF5DCCB890C}"/>
    <cellStyle name="40% - Énfasis2 2" xfId="43" xr:uid="{2268C54E-60AF-426D-884F-EBB0831C7AD7}"/>
    <cellStyle name="40% - Énfasis2 3" xfId="163" xr:uid="{CB93EDF9-E38A-4968-A468-92EDB2B6D727}"/>
    <cellStyle name="40% - Énfasis3 2" xfId="44" xr:uid="{6215216E-7D91-4726-9FD7-18B46BA1B06F}"/>
    <cellStyle name="40% - Énfasis3 3" xfId="164" xr:uid="{502F8D35-E574-4AFE-8939-B050B4AB1CF1}"/>
    <cellStyle name="40% - Énfasis4 2" xfId="45" xr:uid="{CEED4BC7-263F-44A6-B493-54FFAF4A3A07}"/>
    <cellStyle name="40% - Énfasis4 3" xfId="165" xr:uid="{04D3075B-3083-49AE-B62A-11863B5071DB}"/>
    <cellStyle name="40% - Énfasis5 2" xfId="46" xr:uid="{2FB42C51-BEB3-4957-B4E6-3C73D19277EE}"/>
    <cellStyle name="40% - Énfasis5 3" xfId="166" xr:uid="{B26844DE-EED8-4D2C-82B9-CFC3D0C7BD4B}"/>
    <cellStyle name="40% - Énfasis6 2" xfId="47" xr:uid="{D89C734F-7161-44BF-AC7F-A349E17FA418}"/>
    <cellStyle name="40% - Énfasis6 3" xfId="167" xr:uid="{2D39ED74-6757-4680-9F7E-A31598AD024D}"/>
    <cellStyle name="60% - Énfasis1 2" xfId="48" xr:uid="{26CF2124-141C-4713-848A-C7CDF15132D5}"/>
    <cellStyle name="60% - Énfasis1 3" xfId="168" xr:uid="{DFC9D899-86BF-4395-949D-E71D79765231}"/>
    <cellStyle name="60% - Énfasis2 2" xfId="49" xr:uid="{785CB641-375E-4981-B5EA-E12F3622EBDA}"/>
    <cellStyle name="60% - Énfasis2 3" xfId="169" xr:uid="{7D0B9599-5C15-4CC0-BD62-048A4F81DBF9}"/>
    <cellStyle name="60% - Énfasis3 2" xfId="50" xr:uid="{2A062060-4C4D-4EDA-AA7D-C9C4865CA3FB}"/>
    <cellStyle name="60% - Énfasis3 3" xfId="170" xr:uid="{CDA7E4FE-56C7-40BA-8792-230690E67127}"/>
    <cellStyle name="60% - Énfasis4 2" xfId="51" xr:uid="{2F7A3CC1-3D29-4BB6-BE50-9C03CA671AEB}"/>
    <cellStyle name="60% - Énfasis4 3" xfId="171" xr:uid="{BF2AA6AC-D375-451E-9589-51379B954B16}"/>
    <cellStyle name="60% - Énfasis5 2" xfId="52" xr:uid="{E2B665BE-94FB-4BE4-B6EB-2CA6EB1924D2}"/>
    <cellStyle name="60% - Énfasis5 3" xfId="172" xr:uid="{94592605-CF5E-48FC-A373-BCFE1BBADE53}"/>
    <cellStyle name="60% - Énfasis6 2" xfId="53" xr:uid="{DB733015-EB7A-4F18-BBA2-0FC393E74880}"/>
    <cellStyle name="60% - Énfasis6 3" xfId="173" xr:uid="{6EA737C2-D538-4434-A5B4-D68D522989C0}"/>
    <cellStyle name="Buena 2" xfId="54" xr:uid="{87E14CD3-044F-4816-8A5F-D81BDC645F08}"/>
    <cellStyle name="Buena 3" xfId="174" xr:uid="{F3A465D9-3F3A-4209-8BA4-44D285567B5B}"/>
    <cellStyle name="Cálculo 2" xfId="55" xr:uid="{FB55DB50-20C1-472A-B471-F60E9CACC322}"/>
    <cellStyle name="Cálculo 3" xfId="175" xr:uid="{40FD58C5-B2FD-405E-B681-36EDA0280B29}"/>
    <cellStyle name="Cancel" xfId="176" xr:uid="{EF55B3D0-7A16-478C-96E5-8765BD95D19B}"/>
    <cellStyle name="Celda de comprobación 2" xfId="56" xr:uid="{2BAC4C36-3AEE-405E-9563-2F9DA8FCA2BC}"/>
    <cellStyle name="Celda de comprobación 3" xfId="177" xr:uid="{71D0D99F-DF50-40DF-9E0B-03C2AEDAB065}"/>
    <cellStyle name="Celda vinculada 2" xfId="57" xr:uid="{3115E5BF-24E5-4794-8F2C-7D01ECE84F1C}"/>
    <cellStyle name="Celda vinculada 3" xfId="178" xr:uid="{D2A86886-E42F-434D-BE77-98DBC7863CAA}"/>
    <cellStyle name="CIENTOS" xfId="179" xr:uid="{1C06F6AC-9ECE-45D0-A356-166BFA3820D6}"/>
    <cellStyle name="CIENTOS 2" xfId="180" xr:uid="{35D373FF-3B50-4A21-982E-109C970FCCD3}"/>
    <cellStyle name="CIENTOS 2D" xfId="181" xr:uid="{99C26C5E-85A9-4869-A671-5EF12E8310FF}"/>
    <cellStyle name="CIENTOS 2D 2" xfId="182" xr:uid="{75505B3B-C2CB-41D1-AE18-10056921C151}"/>
    <cellStyle name="CIENTOS 2D_PRESUPUESTO FASE III ABR-2015 Rev3" xfId="183" xr:uid="{89C73D96-EA6A-4838-997E-76D473146668}"/>
    <cellStyle name="CIENTOS 3D" xfId="184" xr:uid="{382F76DD-3F47-4505-BD1E-BB6E66AFA8C8}"/>
    <cellStyle name="CIENTOS 3D 2" xfId="185" xr:uid="{A214A669-A4F4-4F29-94BF-C2C967A6AADC}"/>
    <cellStyle name="CIENTOS 3D_PRESUPUESTO FASE III ABR-2015 Rev3" xfId="186" xr:uid="{BED09C6A-200A-4488-8F90-EEEEBA95EDC1}"/>
    <cellStyle name="CIENTOS 4D" xfId="187" xr:uid="{8C5032BB-8F7A-4BDD-B40A-D6E28F2320F2}"/>
    <cellStyle name="CIENTOS 4D 2" xfId="188" xr:uid="{31E1B727-F296-4A68-9236-F89C14F6EDD3}"/>
    <cellStyle name="CIENTOS 4D_PRESUPUESTO FASE III ABR-2015 Rev3" xfId="189" xr:uid="{0F1100B8-B200-4892-A6EF-E4CC1C05C4E0}"/>
    <cellStyle name="CIENTOS_CantidadesGirardota" xfId="190" xr:uid="{96CC62B0-CACE-4F28-B6E0-C9286243BA9F}"/>
    <cellStyle name="Comma" xfId="191" xr:uid="{133FE075-B538-49F4-AC73-2BF0EA0C918D}"/>
    <cellStyle name="Comma0" xfId="192" xr:uid="{3A44FC1C-3A2F-4B01-9C47-45EEC23E5D4D}"/>
    <cellStyle name="Currency" xfId="193" xr:uid="{FAE3852B-43B9-4616-A21A-43EAF0C7A04C}"/>
    <cellStyle name="Currency0" xfId="194" xr:uid="{5D7BB201-290D-4B12-BEE0-FB5D0520B57F}"/>
    <cellStyle name="Date" xfId="195" xr:uid="{B066AA35-F166-4C4D-ADFD-F9ABAAFADD8A}"/>
    <cellStyle name="Encabezado 4 2" xfId="58" xr:uid="{D0985575-9F6C-4E5C-809C-97267AD638AF}"/>
    <cellStyle name="Encabezado 4 3" xfId="196" xr:uid="{BE2C12F7-6B1B-4DE7-B03F-11D154AC1EC0}"/>
    <cellStyle name="Énfasis1 2" xfId="59" xr:uid="{0C32740B-4DB8-4E44-AFDD-83B23CBDDA6D}"/>
    <cellStyle name="Énfasis1 3" xfId="197" xr:uid="{FA194381-23C1-45C7-9BB3-1A120F08C4B0}"/>
    <cellStyle name="Énfasis2 2" xfId="60" xr:uid="{E888ABA0-AF26-472E-8486-A938B732764E}"/>
    <cellStyle name="Énfasis2 3" xfId="198" xr:uid="{DFD8FAFA-796A-427C-9EB5-37A43A66E499}"/>
    <cellStyle name="Énfasis3 2" xfId="61" xr:uid="{0959C476-FC0A-44F3-ACCE-4584782D1DF1}"/>
    <cellStyle name="Énfasis3 3" xfId="199" xr:uid="{E27D0358-E839-4BB8-9508-F4A1783E5444}"/>
    <cellStyle name="Énfasis4 2" xfId="62" xr:uid="{683FC4E6-ECBB-4778-9B37-A652A24D91ED}"/>
    <cellStyle name="Énfasis4 3" xfId="200" xr:uid="{75C850CE-747E-4BB6-86D8-41F6E5E73895}"/>
    <cellStyle name="Énfasis5 2" xfId="63" xr:uid="{3ECE9197-84DD-47D1-AED0-03BCE87A592E}"/>
    <cellStyle name="Énfasis5 3" xfId="201" xr:uid="{9C3C4E00-02F9-4879-A5BA-392C2D68173E}"/>
    <cellStyle name="Énfasis6 2" xfId="64" xr:uid="{07DFCCF8-2DE8-4C34-AA63-80A85B236A05}"/>
    <cellStyle name="Énfasis6 3" xfId="202" xr:uid="{DA124AB8-4588-4923-9922-5172645AA316}"/>
    <cellStyle name="Entrada 2" xfId="65" xr:uid="{F5AE8737-6576-4A28-A0F8-3CDB8F05269D}"/>
    <cellStyle name="Entrada 3" xfId="203" xr:uid="{9FEAE234-1EF9-4B67-B28C-63DCD06D2F4C}"/>
    <cellStyle name="Estilo 1" xfId="66" xr:uid="{B4DE4BB1-AB79-4CE5-9B3B-B2443E26B993}"/>
    <cellStyle name="Euro" xfId="67" xr:uid="{4D57B4C1-2C84-49F6-91FA-942339B65AEE}"/>
    <cellStyle name="F2" xfId="204" xr:uid="{B188D9C3-54EC-4F0D-A674-8C91BE7ACACD}"/>
    <cellStyle name="F3" xfId="205" xr:uid="{12B79622-FE8B-4636-BEBA-7560ADB201C4}"/>
    <cellStyle name="F4" xfId="206" xr:uid="{A13FE7A5-21D3-42F4-8F67-0909FDED7228}"/>
    <cellStyle name="F5" xfId="207" xr:uid="{A9B542E8-0CAB-479D-B3EE-A9906B55A70A}"/>
    <cellStyle name="F6" xfId="208" xr:uid="{3237EF81-A88C-4398-B308-AE504E5DF194}"/>
    <cellStyle name="F7" xfId="209" xr:uid="{6C5CA601-C927-4B15-B23E-79D722389F00}"/>
    <cellStyle name="F8" xfId="210" xr:uid="{3A56E963-CCC6-46FC-9C8D-A8A4D8339D9C}"/>
    <cellStyle name="Fixed" xfId="211" xr:uid="{D04F6C50-DC01-446F-80AD-4B9CD1564212}"/>
    <cellStyle name="Heading 1" xfId="212" xr:uid="{FB8DB909-14B8-4314-B798-53F22CC74C0E}"/>
    <cellStyle name="Heading 2" xfId="213" xr:uid="{A7243155-93ED-4E90-A00D-458749973C68}"/>
    <cellStyle name="Heading1" xfId="214" xr:uid="{DD8338A9-CC2D-4BEE-ABEC-7E212EEDE53E}"/>
    <cellStyle name="Heading2" xfId="215" xr:uid="{58E5A00D-1055-4F72-A5F3-00255EB35880}"/>
    <cellStyle name="Hipervínculo" xfId="4" builtinId="8"/>
    <cellStyle name="Incorrecto 2" xfId="68" xr:uid="{92742599-2B74-48BB-8063-ED1C81E3EF4E}"/>
    <cellStyle name="Incorrecto 3" xfId="216" xr:uid="{1D7F9247-4CA4-4704-8750-2A85A985A653}"/>
    <cellStyle name="MILE DE MILLONES" xfId="217" xr:uid="{900629A8-6883-45ED-A582-333FCDA6A70C}"/>
    <cellStyle name="MILE DE MILLONES 2" xfId="218" xr:uid="{CDC84454-BA13-432B-97F3-E4EC7F51F005}"/>
    <cellStyle name="MILE DE MILLONES_PRESUPUESTO FASE III ABR-2015 Rev3" xfId="219" xr:uid="{ACA6E9F0-3456-40D6-AF21-90A51349AD00}"/>
    <cellStyle name="MILES" xfId="220" xr:uid="{523C2A57-749E-4DDF-971D-373999D3E7DD}"/>
    <cellStyle name="MILES 2" xfId="221" xr:uid="{DF810C08-A14B-40F0-BE18-3AB44D0E13AB}"/>
    <cellStyle name="Millares" xfId="1" builtinId="3"/>
    <cellStyle name="Millares [2]" xfId="70" xr:uid="{E8BDF4A5-669A-4156-8F6A-7E8A650746EC}"/>
    <cellStyle name="Millares [2] 2" xfId="222" xr:uid="{C696D124-E9B6-4CDC-8D75-7C53BBCEFB67}"/>
    <cellStyle name="Millares 10" xfId="71" xr:uid="{8810C12E-DFAB-466D-828F-590888C6796A}"/>
    <cellStyle name="Millares 10 2" xfId="72" xr:uid="{C5A5C56F-DA63-4637-901D-DDA7A2918A4B}"/>
    <cellStyle name="Millares 10 3" xfId="281" xr:uid="{E0945E58-772F-42EA-90A3-7C6FD972DD5A}"/>
    <cellStyle name="Millares 11" xfId="73" xr:uid="{BD2C779C-D3F6-4C28-885B-3125A45BE6EE}"/>
    <cellStyle name="Millares 11 2" xfId="223" xr:uid="{4C0CA0C7-8E07-4370-B8DE-79F3F6207E89}"/>
    <cellStyle name="Millares 12" xfId="150" xr:uid="{0CC3158E-95BE-4203-AC27-B79127A19F15}"/>
    <cellStyle name="Millares 13" xfId="154" xr:uid="{F9182555-5D12-415E-9D56-B4087FF8C89C}"/>
    <cellStyle name="Millares 14" xfId="69" xr:uid="{D828B50A-D5AC-42D6-A4C4-A95479533E0F}"/>
    <cellStyle name="Millares 15" xfId="28" xr:uid="{FA467174-8EA6-423A-B6FE-28374894510A}"/>
    <cellStyle name="Millares 2" xfId="11" xr:uid="{CEB04D1C-5158-4A96-9D07-615E5C2094C4}"/>
    <cellStyle name="Millares 2 2" xfId="74" xr:uid="{F2AACF93-42D1-4B86-BE25-51B32E10BE83}"/>
    <cellStyle name="Millares 2 2 2" xfId="289" xr:uid="{7933C3E5-2D83-4769-9049-14BD15CC702B}"/>
    <cellStyle name="Millares 2 2 3" xfId="290" xr:uid="{C2364547-FE49-4961-9122-F76CDAC84CB5}"/>
    <cellStyle name="Millares 2 3" xfId="75" xr:uid="{BAA4BBB4-F035-4BB3-900C-70E8BF2CE46D}"/>
    <cellStyle name="Millares 2 4" xfId="224" xr:uid="{DB50B84E-F860-464B-8A8A-8815A2D580DB}"/>
    <cellStyle name="Millares 2 5" xfId="76" xr:uid="{E390EFCF-B22B-4F33-B9B6-B4136E65666C}"/>
    <cellStyle name="Millares 2_APU´S_NO_PREVISTOS (1)" xfId="225" xr:uid="{A9394A23-CA49-4510-A1A3-D32767B0E759}"/>
    <cellStyle name="Millares 3" xfId="13" xr:uid="{9CC7D61E-B388-4FAA-9CF4-53EFF3883CD8}"/>
    <cellStyle name="Millares 3 2" xfId="78" xr:uid="{1A4DE0A7-1736-4167-8354-4BB4E9C15F68}"/>
    <cellStyle name="Millares 3 3" xfId="79" xr:uid="{8816A8F1-DC6C-4F59-8D92-A99FCA423256}"/>
    <cellStyle name="Millares 3 4" xfId="80" xr:uid="{928F405E-1F6D-4FF7-BA7F-11697C6A997F}"/>
    <cellStyle name="Millares 3 5" xfId="81" xr:uid="{187E8C03-D115-4812-9A4B-550535A319AC}"/>
    <cellStyle name="Millares 3 6" xfId="276" xr:uid="{701A5EF4-FDD4-4D00-BDD9-4A08F02A3E2F}"/>
    <cellStyle name="Millares 3 7" xfId="77" xr:uid="{0A536F16-B0C0-4B0B-B6B0-BDFE855305B7}"/>
    <cellStyle name="Millares 4" xfId="82" xr:uid="{C5AD130E-9578-4484-9E5A-A3FE7A9DB7B8}"/>
    <cellStyle name="Millares 4 2" xfId="83" xr:uid="{1326AD47-3EBA-461E-8842-995F12D74C93}"/>
    <cellStyle name="Millares 4 3" xfId="226" xr:uid="{D2E02459-5E43-4473-B6D9-5A0736B9D74C}"/>
    <cellStyle name="Millares 4_APU´S_NO_PREVISTOS (1)" xfId="227" xr:uid="{97A2B872-2415-4028-A9CA-04367B0D4C12}"/>
    <cellStyle name="Millares 5" xfId="84" xr:uid="{4CE3A007-C2A4-4799-9F52-1C4CE3E7253A}"/>
    <cellStyle name="Millares 5 2" xfId="228" xr:uid="{8E778CAE-C12A-4EE3-938C-B6F78B57727A}"/>
    <cellStyle name="Millares 6" xfId="85" xr:uid="{B4DD02A5-3BBE-4E18-ADB7-94DC2199A104}"/>
    <cellStyle name="Millares 6 2" xfId="86" xr:uid="{C0F57CD9-D4F1-4F01-A1C4-9A0613C2A07D}"/>
    <cellStyle name="Millares 7" xfId="87" xr:uid="{CC9A52C7-E7F7-4663-81EB-9438EA5A414B}"/>
    <cellStyle name="Millares 7 2" xfId="88" xr:uid="{718B38BE-AA93-4367-B408-F58D3AB62FB6}"/>
    <cellStyle name="Millares 7 2 2" xfId="89" xr:uid="{3410FD90-E61E-4D19-A9A1-F1504D05DBF0}"/>
    <cellStyle name="Millares 7 2 4" xfId="25" xr:uid="{60DF54EE-1985-45F3-B2EE-A817600AA4DF}"/>
    <cellStyle name="Millares 8" xfId="90" xr:uid="{E29AFDF1-89DC-4DAF-8F89-1F0F3B641524}"/>
    <cellStyle name="Millares 8 2" xfId="91" xr:uid="{34BE98A2-A898-403E-9205-59CDC3376B0D}"/>
    <cellStyle name="Millares 9" xfId="92" xr:uid="{369626C1-BDBA-4AFF-BED1-7E86ED72C6BB}"/>
    <cellStyle name="Millares 9 2" xfId="93" xr:uid="{249A3A2D-6017-469B-9583-61532149F5B7}"/>
    <cellStyle name="Millares_FORMULARIO 4 - M-OFERENTE PPTA ECONOMICA" xfId="19" xr:uid="{DCC98057-6D9F-470A-BB2D-412D54FDCE9B}"/>
    <cellStyle name="MILLONES" xfId="229" xr:uid="{D54326C8-44EE-4E5B-8D5B-241D2A8401EE}"/>
    <cellStyle name="MILLONES 2" xfId="230" xr:uid="{A87088AB-E992-4902-A6C1-D5D1C4B07221}"/>
    <cellStyle name="MILLONES_PRESUPUESTO FASE III ABR-2015 Rev3" xfId="231" xr:uid="{731C7812-F79C-4499-BB34-F01A7255302B}"/>
    <cellStyle name="Moneda" xfId="2" builtinId="4"/>
    <cellStyle name="Moneda [0] 2" xfId="292" xr:uid="{57250327-E6E4-4328-B202-A2837E76EB62}"/>
    <cellStyle name="Moneda 10" xfId="286" xr:uid="{2AAE90EB-37A5-451B-9F8F-A8582C99219E}"/>
    <cellStyle name="Moneda 10 2" xfId="94" xr:uid="{079C2C50-C55B-42FD-BC75-A1851C5F2145}"/>
    <cellStyle name="Moneda 10 3" xfId="295" xr:uid="{35A86609-4DEC-4F01-B722-6F4B10C17F50}"/>
    <cellStyle name="Moneda 2" xfId="9" xr:uid="{973E2A4C-5D04-49B2-81A1-CB9D7A55DF89}"/>
    <cellStyle name="Moneda 2 10" xfId="232" xr:uid="{2451F5F7-DF93-47F7-AAE1-905CF2ED9925}"/>
    <cellStyle name="Moneda 2 11" xfId="233" xr:uid="{A9A0F887-C225-4628-9532-A79C4A3C4119}"/>
    <cellStyle name="Moneda 2 12" xfId="234" xr:uid="{0FC7A3BF-6648-4A46-85B0-0A857425AB57}"/>
    <cellStyle name="Moneda 2 13" xfId="293" xr:uid="{129CC5E9-E5D5-463A-AF11-DD54D63F5116}"/>
    <cellStyle name="Moneda 2 2" xfId="12" xr:uid="{F775046A-247D-421C-9AC9-66C1BF1A31A8}"/>
    <cellStyle name="Moneda 2 2 2" xfId="95" xr:uid="{99895DC2-F675-4F59-BA2F-4C085D9359B7}"/>
    <cellStyle name="Moneda 2 2 2 2" xfId="96" xr:uid="{67B3036B-7135-46CD-9C0F-DD0A011BCB23}"/>
    <cellStyle name="Moneda 2 2 2 2 2" xfId="17" xr:uid="{521DD0E9-1955-4149-A4DF-F7952891F0C9}"/>
    <cellStyle name="Moneda 2 2 3" xfId="97" xr:uid="{406953D5-8A98-4BDB-9378-1B694F76D311}"/>
    <cellStyle name="Moneda 2 2 4" xfId="98" xr:uid="{EC19ED4B-5B30-48D8-8120-9AAC23F3E134}"/>
    <cellStyle name="Moneda 2 2 5" xfId="99" xr:uid="{D4EED9ED-F999-4C8E-A647-DE25753736B8}"/>
    <cellStyle name="Moneda 2 2_APU´S_NO_PREVISTOS (1)" xfId="235" xr:uid="{5BF7EE85-508B-4007-B738-5988BCA889DB}"/>
    <cellStyle name="Moneda 2 3" xfId="100" xr:uid="{80D25274-42E5-41EE-AAA9-5C21469C68D4}"/>
    <cellStyle name="Moneda 2 4" xfId="236" xr:uid="{1FB8C6DD-BA26-4728-9FE9-9DFECC50166D}"/>
    <cellStyle name="Moneda 2 5" xfId="237" xr:uid="{7AE7ED82-34C3-4E48-9383-6CB5220959DC}"/>
    <cellStyle name="Moneda 2 6" xfId="238" xr:uid="{C85435D5-8137-47C8-A00E-868D7D45C984}"/>
    <cellStyle name="Moneda 2 7" xfId="239" xr:uid="{26317A85-9270-4712-87EB-93245500AEEA}"/>
    <cellStyle name="Moneda 2 8" xfId="240" xr:uid="{03879D0D-A27C-4F25-ABE1-6DE40CBADC24}"/>
    <cellStyle name="Moneda 2 9" xfId="241" xr:uid="{703E43F3-CC39-4FDE-BFC7-7BD790BCCAAB}"/>
    <cellStyle name="Moneda 2_APU´S_NO_PREVISTOS (1)" xfId="242" xr:uid="{A67701F3-5144-4D30-8B29-139CCD5D06A8}"/>
    <cellStyle name="Moneda 3" xfId="32" xr:uid="{F387A11C-1324-443A-BE65-67FDBA5AC731}"/>
    <cellStyle name="Moneda 3 11" xfId="291" xr:uid="{7B5387BA-4EE9-4B0F-866E-AEA33AE621BE}"/>
    <cellStyle name="Moneda 3 2" xfId="101" xr:uid="{25C56B80-F738-4EE4-9E03-18C27A49BC68}"/>
    <cellStyle name="Moneda 3 4 2" xfId="294" xr:uid="{390B2866-F038-402A-AF27-C503B37FA6D7}"/>
    <cellStyle name="Moneda 3 66 2" xfId="27" xr:uid="{03724CE3-6CAD-4AA4-987D-869A2963B9FD}"/>
    <cellStyle name="Moneda 4" xfId="243" xr:uid="{8D789410-FC36-4052-83D5-E82B31B11922}"/>
    <cellStyle name="Moneda 5" xfId="31" xr:uid="{664A5236-9B36-4435-81F3-8006333EAD72}"/>
    <cellStyle name="Moneda 5 2" xfId="274" xr:uid="{41EC0DAE-C8BE-46F1-86A1-02C5B6592FE3}"/>
    <cellStyle name="Moneda 5 2 2" xfId="26" xr:uid="{2BFC7EBE-8F9B-48A0-831D-0EDD839CCBC2}"/>
    <cellStyle name="Moneda 6" xfId="280" xr:uid="{C6D1D26F-40A5-4C58-A3E3-719D7D0DDDE7}"/>
    <cellStyle name="Moneda 7" xfId="273" xr:uid="{359153F7-FD00-4EF2-B17D-676FD37002C9}"/>
    <cellStyle name="Moneda 8 2" xfId="279" xr:uid="{EEC27369-D2D1-44DB-9981-7630E51648CA}"/>
    <cellStyle name="Monetario0" xfId="244" xr:uid="{D59F6C25-851E-4D83-9976-B9750EBA95DE}"/>
    <cellStyle name="Neutral 2" xfId="103" xr:uid="{FB12CFA7-F993-49C9-8EC1-14B14092CE1E}"/>
    <cellStyle name="Neutral 3" xfId="245" xr:uid="{DA24B33F-55D6-4962-A61F-0B55F3CCCE46}"/>
    <cellStyle name="Neutral 4" xfId="102" xr:uid="{31228A4B-6467-43C0-B74C-D5CF37F06265}"/>
    <cellStyle name="No. punto" xfId="246" xr:uid="{666D472F-A512-4827-B18E-1B0CABEC275C}"/>
    <cellStyle name="No. punto 2" xfId="247" xr:uid="{ED0AC95A-014D-4519-BE23-8B9E96B9AE15}"/>
    <cellStyle name="Normal" xfId="0" builtinId="0"/>
    <cellStyle name="Normal 10" xfId="30" xr:uid="{5FBBE5DF-5F77-4635-9ED8-E217341D4687}"/>
    <cellStyle name="Normal 10 2" xfId="283" xr:uid="{70EE140B-6369-46A7-AA3F-21F9107DB04E}"/>
    <cellStyle name="Normal 11" xfId="296" xr:uid="{A510F07F-036F-4AAE-8B6C-53702CDAC76C}"/>
    <cellStyle name="Normal 12" xfId="22" xr:uid="{428995F5-8543-4F8D-B011-68393609F857}"/>
    <cellStyle name="Normal 12 2" xfId="288" xr:uid="{45CB22E3-A08E-4C66-96A4-C671B1D31084}"/>
    <cellStyle name="Normal 12 3" xfId="35" xr:uid="{92F29BB7-090D-4B93-B2AA-5636842AF42F}"/>
    <cellStyle name="Normal 16 2" xfId="277" xr:uid="{34937083-9641-4506-B061-01029D258336}"/>
    <cellStyle name="Normal 19" xfId="284" xr:uid="{5382055D-72F8-4C4F-A940-8A5BD89DAA49}"/>
    <cellStyle name="Normal 2" xfId="7" xr:uid="{1138DDBE-F530-4723-AC5D-885871957DF6}"/>
    <cellStyle name="Normal 2 10" xfId="10" xr:uid="{50441834-7324-49FA-B91F-8B80794A1768}"/>
    <cellStyle name="Normal 2 10 2" xfId="104" xr:uid="{36E4B267-784A-442B-81B4-0FAEBB666A62}"/>
    <cellStyle name="Normal 2 10 2 2" xfId="155" xr:uid="{E16366C5-6F65-4460-880D-1C556EEEE8D8}"/>
    <cellStyle name="Normal 2 10 3" xfId="29" xr:uid="{1733A072-E509-420F-B04F-3B1C479E680E}"/>
    <cellStyle name="Normal 2 10 4" xfId="285" xr:uid="{5850AAEC-420F-4CAF-9626-D05FAB85D0AF}"/>
    <cellStyle name="Normal 2 11" xfId="105" xr:uid="{CC448A75-8C49-45D9-BB5B-64345B787C67}"/>
    <cellStyle name="Normal 2 12" xfId="106" xr:uid="{B3A92AE7-0A3F-42F5-BC1B-A37BC2ED3587}"/>
    <cellStyle name="Normal 2 13" xfId="107" xr:uid="{525072B4-B863-4E37-96A4-1CEC3F158B08}"/>
    <cellStyle name="Normal 2 14" xfId="275" xr:uid="{B89ECDFE-6C8A-4921-9EFF-2435F609B19F}"/>
    <cellStyle name="Normal 2 2" xfId="18" xr:uid="{0E014B9D-17D0-4274-B155-9F55924C989D}"/>
    <cellStyle name="Normal 2 2 2" xfId="248" xr:uid="{ABE31BFC-E51E-4AB3-90DF-F4DE4BD75AC0}"/>
    <cellStyle name="Normal 2 2 3" xfId="249" xr:uid="{88645A29-9FC3-4A1A-BBCF-7FE019941602}"/>
    <cellStyle name="Normal 2 3" xfId="108" xr:uid="{AF799C16-2EBE-44B7-B51A-AAFE05EB9BF2}"/>
    <cellStyle name="Normal 2 3 2" xfId="250" xr:uid="{B0E0C1E8-AD87-46B0-B7A5-E9A258998BCA}"/>
    <cellStyle name="Normal 2 3 3" xfId="278" xr:uid="{B966C3B5-3A4B-4AFD-8575-9E768BC1A9B6}"/>
    <cellStyle name="Normal 2 4" xfId="109" xr:uid="{2871E531-DFE7-452E-9B3B-A952233A9B9F}"/>
    <cellStyle name="Normal 2 5" xfId="110" xr:uid="{8EC5134E-73BD-42D6-A4A5-C71F6D18081A}"/>
    <cellStyle name="Normal 2 6" xfId="111" xr:uid="{F5D8EB80-1ADE-4889-8CC9-4370ABE3107F}"/>
    <cellStyle name="Normal 2 7" xfId="112" xr:uid="{E6CA05CC-49EF-494B-8BBD-B19AC518494D}"/>
    <cellStyle name="Normal 2 8" xfId="113" xr:uid="{419E6C9B-6172-472D-8D84-3E35E5575997}"/>
    <cellStyle name="Normal 2 9" xfId="114" xr:uid="{8144948C-F2EE-429F-AC8C-0A2C7CB10377}"/>
    <cellStyle name="Normal 2_APU NO PREVISTOS MTTO" xfId="115" xr:uid="{C6D74F37-DE53-491D-BC38-9463A024D3B0}"/>
    <cellStyle name="Normal 29" xfId="116" xr:uid="{BA175A35-3587-46AA-BC0E-0CEF9429DE05}"/>
    <cellStyle name="Normal 3" xfId="6" xr:uid="{3D9C1EA8-7122-41DD-9935-4600130EF3B4}"/>
    <cellStyle name="Normal 3 11" xfId="8" xr:uid="{003C45C4-07F7-4D88-A777-6E128BFE911A}"/>
    <cellStyle name="Normal 3 11 2" xfId="287" xr:uid="{CA2A764C-607D-4746-8640-0297FCB16C3B}"/>
    <cellStyle name="Normal 3 2" xfId="14" xr:uid="{D6914F9D-0713-41B6-8065-7D0DACC5FA49}"/>
    <cellStyle name="Normal 3 2 2" xfId="16" xr:uid="{C0A488B0-B677-4816-B401-66633B6E767F}"/>
    <cellStyle name="Normal 3 2 3 4" xfId="24" xr:uid="{E0C3F77C-1C90-4766-8EF5-5EA5921DE3FF}"/>
    <cellStyle name="Normal 3 3" xfId="251" xr:uid="{14712768-5DC0-4772-BEE3-1CD3C5CF2E87}"/>
    <cellStyle name="Normal 3_APU´S_NO_PREVISTOS (1)" xfId="252" xr:uid="{E4DD1428-1D6B-4699-A84F-F93404890644}"/>
    <cellStyle name="Normal 4" xfId="21" xr:uid="{140DA513-7D90-47F2-8CDE-D9C939106883}"/>
    <cellStyle name="Normal 4 2" xfId="117" xr:uid="{706D4103-FEC1-4C03-B17C-20B81262C15C}"/>
    <cellStyle name="Normal 4 2 2" xfId="23" xr:uid="{C4546E02-337A-4460-9D1E-23061B3C82B7}"/>
    <cellStyle name="Normal 5" xfId="153" xr:uid="{6086AE2A-5105-40BB-8B41-2662BC1A419E}"/>
    <cellStyle name="Normal 6" xfId="253" xr:uid="{812544CB-18CF-4CE9-B6D2-EC68F83A2E5E}"/>
    <cellStyle name="Normal 6 2" xfId="254" xr:uid="{AB4B5696-8CB6-456E-A293-895B4928C3B5}"/>
    <cellStyle name="Normal 7" xfId="255" xr:uid="{0928965A-A97B-412B-93BD-6340CE009F42}"/>
    <cellStyle name="Normal 8" xfId="34" xr:uid="{9CCFB9F3-2993-43EE-8CFF-67D9C45D46C5}"/>
    <cellStyle name="Normal 8 2" xfId="256" xr:uid="{07A9AF29-7231-451A-AE87-E052D6EA55A8}"/>
    <cellStyle name="Normal 9" xfId="257" xr:uid="{DC8A485B-A765-481A-8A20-26DA62D56AB0}"/>
    <cellStyle name="Normal 9 2" xfId="152" xr:uid="{4B10BC5F-BDDE-4982-9E28-DCCE77351AF1}"/>
    <cellStyle name="Normal_modelo ACTA OBRA y MODIFICACION" xfId="5" xr:uid="{92FD4984-7671-4B40-8D7A-84B83993F28A}"/>
    <cellStyle name="Normal_PTO OFICIAL PREPLIEGO (CORREGIDO) 2" xfId="15" xr:uid="{08822E44-3F19-4AEF-8CAB-2A7F16D2B79F}"/>
    <cellStyle name="Notas 2" xfId="118" xr:uid="{1DC7ADA0-74EE-477B-B5D0-3150C672B3B9}"/>
    <cellStyle name="Notas 3" xfId="258" xr:uid="{5A70E88A-09F5-4FD7-86E6-628738238D25}"/>
    <cellStyle name="Percent" xfId="259" xr:uid="{37263562-851D-42FD-9E8F-0BDB6FABA53A}"/>
    <cellStyle name="Porcentaje" xfId="3" builtinId="5"/>
    <cellStyle name="Porcentaje 2" xfId="20" xr:uid="{27B680CF-2DD5-495C-BA3C-57084773B987}"/>
    <cellStyle name="Porcentaje 3" xfId="119" xr:uid="{F19A8FAD-FBC1-4BC6-8F82-0EECD7F9B845}"/>
    <cellStyle name="Porcentaje 4" xfId="260" xr:uid="{1A3B7DBC-A13C-4A70-810D-CBAA4941EBEC}"/>
    <cellStyle name="Porcentaje 5" xfId="261" xr:uid="{464361FE-8604-48A8-B703-C34A9B62EEDB}"/>
    <cellStyle name="Porcentaje 5 2" xfId="262" xr:uid="{B14DE20B-6858-4502-934D-27CBA33B868F}"/>
    <cellStyle name="Porcentaje 6" xfId="33" xr:uid="{04228B01-17DA-407D-ACB6-DFFF296DD20C}"/>
    <cellStyle name="Porcentaje 7" xfId="120" xr:uid="{EFE86EF4-DABF-40FE-87C0-6A7334691D14}"/>
    <cellStyle name="Porcentaje 9 2" xfId="282" xr:uid="{D103B4F4-95BB-4698-83A6-2E5F6A07B57B}"/>
    <cellStyle name="Porcentual 2" xfId="121" xr:uid="{BDC91597-871B-493C-9D4D-184AE334D1B1}"/>
    <cellStyle name="Porcentual 2 10" xfId="122" xr:uid="{836E3E33-E65C-47A7-AAB4-9CB996CB4644}"/>
    <cellStyle name="Porcentual 2 10 2" xfId="123" xr:uid="{AD23FCF7-A3A3-47EA-80B7-2E6C6B2FA07C}"/>
    <cellStyle name="Porcentual 2 11" xfId="124" xr:uid="{A26733BC-7AE9-45CA-97FC-A239497189A6}"/>
    <cellStyle name="Porcentual 2 12" xfId="125" xr:uid="{A8031706-6897-4120-8460-EF1456A410E6}"/>
    <cellStyle name="Porcentual 2 2" xfId="126" xr:uid="{EA568AFF-6F8C-44CB-A791-DEA6721ECBC7}"/>
    <cellStyle name="Porcentual 2 3" xfId="127" xr:uid="{AB4E01B9-8A6F-4A3A-A112-2247F727A818}"/>
    <cellStyle name="Porcentual 2 4" xfId="128" xr:uid="{99148530-231A-4038-B118-296A7DEB0A34}"/>
    <cellStyle name="Porcentual 2 5" xfId="129" xr:uid="{33DB6211-4CB5-41CD-AAC9-A42C1586DAE4}"/>
    <cellStyle name="Porcentual 2 6" xfId="130" xr:uid="{2BDA6DDC-9ABC-4F82-8D01-049FF83226A6}"/>
    <cellStyle name="Porcentual 2 7" xfId="131" xr:uid="{942A8325-7940-4176-9644-1B1BDE06F488}"/>
    <cellStyle name="Porcentual 2 8" xfId="132" xr:uid="{D5DCE1C4-8522-4D64-B9F8-374112B6E683}"/>
    <cellStyle name="Porcentual 2 9" xfId="133" xr:uid="{FC47C99C-39FB-43AA-986C-8673598C67DC}"/>
    <cellStyle name="Porcentual 3" xfId="134" xr:uid="{AA4A3282-25C5-4BDE-92F2-44CE57896266}"/>
    <cellStyle name="Porcentual 4" xfId="135" xr:uid="{0DA9AC37-9D92-48ED-9A7C-62AD5FF14504}"/>
    <cellStyle name="Porcentual 4 2" xfId="136" xr:uid="{20FA53D5-C78B-4702-932A-2E3E9AAD5BD6}"/>
    <cellStyle name="Porcentual 5" xfId="137" xr:uid="{21DD8F7B-81AB-4D47-81AA-F76CEA58C34E}"/>
    <cellStyle name="Porcentual 5 2" xfId="263" xr:uid="{D9713E48-2333-4E63-86E7-820E295218B5}"/>
    <cellStyle name="Porcentual 6" xfId="138" xr:uid="{EBF779A2-5B1A-4804-9A4E-567BE6D226A3}"/>
    <cellStyle name="Porcentual 6 2" xfId="139" xr:uid="{24603831-CCAD-475B-8EDB-BE4EB0A7E8A4}"/>
    <cellStyle name="Porcentual 7" xfId="140" xr:uid="{243CD541-16D9-450C-BCDB-4A812716DD3B}"/>
    <cellStyle name="Porcentual 8" xfId="151" xr:uid="{B5D901CB-BADA-4867-BE46-3EE40B054858}"/>
    <cellStyle name="resaltado" xfId="264" xr:uid="{0B75BD15-4C42-47B4-BDD2-095DCCC87B86}"/>
    <cellStyle name="Salida 2" xfId="141" xr:uid="{3E2B66A1-3775-452A-8B7A-072A740BEF3E}"/>
    <cellStyle name="Salida 3" xfId="265" xr:uid="{DEF95FD5-E615-47B7-AF9B-17C59F57823F}"/>
    <cellStyle name="Texto de advertencia 2" xfId="142" xr:uid="{679DF7D1-E8D3-4CC8-8DE6-7115BE3D4629}"/>
    <cellStyle name="Texto de advertencia 3" xfId="266" xr:uid="{BFFC5D13-FEB0-49C1-8524-DBCD4218553D}"/>
    <cellStyle name="Texto explicativo 2" xfId="143" xr:uid="{DBA9F695-8DD8-4BEB-928D-AD826E6F3854}"/>
    <cellStyle name="Texto explicativo 3" xfId="267" xr:uid="{238B9781-C0AF-48EB-99E8-98EBB70AFB2F}"/>
    <cellStyle name="Título 1 2" xfId="144" xr:uid="{E98CE326-26CB-4C13-9502-7BD566537798}"/>
    <cellStyle name="Título 1 3" xfId="268" xr:uid="{548706AE-4D43-4099-A264-C9861AB0ADD2}"/>
    <cellStyle name="Título 2 2" xfId="145" xr:uid="{227173DA-3D95-4304-9F05-F5D9ACF4E64A}"/>
    <cellStyle name="Título 2 3" xfId="269" xr:uid="{D3138A93-3A6E-47E9-93F6-A0BB13ECB956}"/>
    <cellStyle name="Título 3 2" xfId="146" xr:uid="{83FC4F36-F413-4BF6-919E-E0D5C31356EF}"/>
    <cellStyle name="Título 3 3" xfId="270" xr:uid="{23ABDBE9-3D3D-4105-918C-622240623018}"/>
    <cellStyle name="Título 4" xfId="147" xr:uid="{2D516BAE-FCAF-4A04-9A9D-B30FE04F7556}"/>
    <cellStyle name="Título 5" xfId="271" xr:uid="{ECE3A952-AA31-42C6-BF27-8B815BCC75C3}"/>
    <cellStyle name="Total 2" xfId="149" xr:uid="{3932C5E0-CA19-4E08-B95D-EA911A95406B}"/>
    <cellStyle name="Total 3" xfId="272" xr:uid="{3BABBBC1-A4EF-4338-AE7A-C5F756456C64}"/>
    <cellStyle name="Total 4" xfId="148" xr:uid="{7F983999-0FAB-420D-BC8D-11B7E2AEB94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05.xml"/><Relationship Id="rId21" Type="http://schemas.openxmlformats.org/officeDocument/2006/relationships/externalLink" Target="externalLinks/externalLink9.xml"/><Relationship Id="rId42" Type="http://schemas.openxmlformats.org/officeDocument/2006/relationships/externalLink" Target="externalLinks/externalLink30.xml"/><Relationship Id="rId63" Type="http://schemas.openxmlformats.org/officeDocument/2006/relationships/externalLink" Target="externalLinks/externalLink51.xml"/><Relationship Id="rId84" Type="http://schemas.openxmlformats.org/officeDocument/2006/relationships/externalLink" Target="externalLinks/externalLink72.xml"/><Relationship Id="rId138" Type="http://schemas.openxmlformats.org/officeDocument/2006/relationships/externalLink" Target="externalLinks/externalLink126.xml"/><Relationship Id="rId159" Type="http://schemas.openxmlformats.org/officeDocument/2006/relationships/externalLink" Target="externalLinks/externalLink147.xml"/><Relationship Id="rId170" Type="http://schemas.openxmlformats.org/officeDocument/2006/relationships/externalLink" Target="externalLinks/externalLink158.xml"/><Relationship Id="rId191" Type="http://schemas.openxmlformats.org/officeDocument/2006/relationships/externalLink" Target="externalLinks/externalLink179.xml"/><Relationship Id="rId205" Type="http://schemas.openxmlformats.org/officeDocument/2006/relationships/externalLink" Target="externalLinks/externalLink193.xml"/><Relationship Id="rId226" Type="http://schemas.openxmlformats.org/officeDocument/2006/relationships/externalLink" Target="externalLinks/externalLink214.xml"/><Relationship Id="rId247" Type="http://schemas.openxmlformats.org/officeDocument/2006/relationships/externalLink" Target="externalLinks/externalLink235.xml"/><Relationship Id="rId107" Type="http://schemas.openxmlformats.org/officeDocument/2006/relationships/externalLink" Target="externalLinks/externalLink95.xml"/><Relationship Id="rId11" Type="http://schemas.openxmlformats.org/officeDocument/2006/relationships/worksheet" Target="worksheets/sheet11.xml"/><Relationship Id="rId32" Type="http://schemas.openxmlformats.org/officeDocument/2006/relationships/externalLink" Target="externalLinks/externalLink20.xml"/><Relationship Id="rId53" Type="http://schemas.openxmlformats.org/officeDocument/2006/relationships/externalLink" Target="externalLinks/externalLink41.xml"/><Relationship Id="rId74" Type="http://schemas.openxmlformats.org/officeDocument/2006/relationships/externalLink" Target="externalLinks/externalLink62.xml"/><Relationship Id="rId128" Type="http://schemas.openxmlformats.org/officeDocument/2006/relationships/externalLink" Target="externalLinks/externalLink116.xml"/><Relationship Id="rId149" Type="http://schemas.openxmlformats.org/officeDocument/2006/relationships/externalLink" Target="externalLinks/externalLink137.xml"/><Relationship Id="rId5" Type="http://schemas.openxmlformats.org/officeDocument/2006/relationships/worksheet" Target="worksheets/sheet5.xml"/><Relationship Id="rId95" Type="http://schemas.openxmlformats.org/officeDocument/2006/relationships/externalLink" Target="externalLinks/externalLink83.xml"/><Relationship Id="rId160" Type="http://schemas.openxmlformats.org/officeDocument/2006/relationships/externalLink" Target="externalLinks/externalLink148.xml"/><Relationship Id="rId181" Type="http://schemas.openxmlformats.org/officeDocument/2006/relationships/externalLink" Target="externalLinks/externalLink169.xml"/><Relationship Id="rId216" Type="http://schemas.openxmlformats.org/officeDocument/2006/relationships/externalLink" Target="externalLinks/externalLink204.xml"/><Relationship Id="rId237" Type="http://schemas.openxmlformats.org/officeDocument/2006/relationships/externalLink" Target="externalLinks/externalLink225.xml"/><Relationship Id="rId22" Type="http://schemas.openxmlformats.org/officeDocument/2006/relationships/externalLink" Target="externalLinks/externalLink10.xml"/><Relationship Id="rId43" Type="http://schemas.openxmlformats.org/officeDocument/2006/relationships/externalLink" Target="externalLinks/externalLink31.xml"/><Relationship Id="rId64" Type="http://schemas.openxmlformats.org/officeDocument/2006/relationships/externalLink" Target="externalLinks/externalLink52.xml"/><Relationship Id="rId118" Type="http://schemas.openxmlformats.org/officeDocument/2006/relationships/externalLink" Target="externalLinks/externalLink106.xml"/><Relationship Id="rId139" Type="http://schemas.openxmlformats.org/officeDocument/2006/relationships/externalLink" Target="externalLinks/externalLink127.xml"/><Relationship Id="rId85" Type="http://schemas.openxmlformats.org/officeDocument/2006/relationships/externalLink" Target="externalLinks/externalLink73.xml"/><Relationship Id="rId150" Type="http://schemas.openxmlformats.org/officeDocument/2006/relationships/externalLink" Target="externalLinks/externalLink138.xml"/><Relationship Id="rId171" Type="http://schemas.openxmlformats.org/officeDocument/2006/relationships/externalLink" Target="externalLinks/externalLink159.xml"/><Relationship Id="rId192" Type="http://schemas.openxmlformats.org/officeDocument/2006/relationships/externalLink" Target="externalLinks/externalLink180.xml"/><Relationship Id="rId206" Type="http://schemas.openxmlformats.org/officeDocument/2006/relationships/externalLink" Target="externalLinks/externalLink194.xml"/><Relationship Id="rId227" Type="http://schemas.openxmlformats.org/officeDocument/2006/relationships/externalLink" Target="externalLinks/externalLink215.xml"/><Relationship Id="rId248" Type="http://schemas.openxmlformats.org/officeDocument/2006/relationships/externalLink" Target="externalLinks/externalLink236.xml"/><Relationship Id="rId12" Type="http://schemas.openxmlformats.org/officeDocument/2006/relationships/worksheet" Target="worksheets/sheet12.xml"/><Relationship Id="rId33" Type="http://schemas.openxmlformats.org/officeDocument/2006/relationships/externalLink" Target="externalLinks/externalLink21.xml"/><Relationship Id="rId108" Type="http://schemas.openxmlformats.org/officeDocument/2006/relationships/externalLink" Target="externalLinks/externalLink96.xml"/><Relationship Id="rId129" Type="http://schemas.openxmlformats.org/officeDocument/2006/relationships/externalLink" Target="externalLinks/externalLink117.xml"/><Relationship Id="rId54" Type="http://schemas.openxmlformats.org/officeDocument/2006/relationships/externalLink" Target="externalLinks/externalLink42.xml"/><Relationship Id="rId70" Type="http://schemas.openxmlformats.org/officeDocument/2006/relationships/externalLink" Target="externalLinks/externalLink58.xml"/><Relationship Id="rId75" Type="http://schemas.openxmlformats.org/officeDocument/2006/relationships/externalLink" Target="externalLinks/externalLink63.xml"/><Relationship Id="rId91" Type="http://schemas.openxmlformats.org/officeDocument/2006/relationships/externalLink" Target="externalLinks/externalLink79.xml"/><Relationship Id="rId96" Type="http://schemas.openxmlformats.org/officeDocument/2006/relationships/externalLink" Target="externalLinks/externalLink84.xml"/><Relationship Id="rId140" Type="http://schemas.openxmlformats.org/officeDocument/2006/relationships/externalLink" Target="externalLinks/externalLink128.xml"/><Relationship Id="rId145" Type="http://schemas.openxmlformats.org/officeDocument/2006/relationships/externalLink" Target="externalLinks/externalLink133.xml"/><Relationship Id="rId161" Type="http://schemas.openxmlformats.org/officeDocument/2006/relationships/externalLink" Target="externalLinks/externalLink149.xml"/><Relationship Id="rId166" Type="http://schemas.openxmlformats.org/officeDocument/2006/relationships/externalLink" Target="externalLinks/externalLink154.xml"/><Relationship Id="rId182" Type="http://schemas.openxmlformats.org/officeDocument/2006/relationships/externalLink" Target="externalLinks/externalLink170.xml"/><Relationship Id="rId187" Type="http://schemas.openxmlformats.org/officeDocument/2006/relationships/externalLink" Target="externalLinks/externalLink175.xml"/><Relationship Id="rId217" Type="http://schemas.openxmlformats.org/officeDocument/2006/relationships/externalLink" Target="externalLinks/externalLink205.xml"/><Relationship Id="rId1" Type="http://schemas.openxmlformats.org/officeDocument/2006/relationships/worksheet" Target="worksheets/sheet1.xml"/><Relationship Id="rId6" Type="http://schemas.openxmlformats.org/officeDocument/2006/relationships/worksheet" Target="worksheets/sheet6.xml"/><Relationship Id="rId212" Type="http://schemas.openxmlformats.org/officeDocument/2006/relationships/externalLink" Target="externalLinks/externalLink200.xml"/><Relationship Id="rId233" Type="http://schemas.openxmlformats.org/officeDocument/2006/relationships/externalLink" Target="externalLinks/externalLink221.xml"/><Relationship Id="rId238" Type="http://schemas.openxmlformats.org/officeDocument/2006/relationships/externalLink" Target="externalLinks/externalLink226.xml"/><Relationship Id="rId254" Type="http://schemas.openxmlformats.org/officeDocument/2006/relationships/styles" Target="styles.xml"/><Relationship Id="rId23" Type="http://schemas.openxmlformats.org/officeDocument/2006/relationships/externalLink" Target="externalLinks/externalLink11.xml"/><Relationship Id="rId28" Type="http://schemas.openxmlformats.org/officeDocument/2006/relationships/externalLink" Target="externalLinks/externalLink16.xml"/><Relationship Id="rId49" Type="http://schemas.openxmlformats.org/officeDocument/2006/relationships/externalLink" Target="externalLinks/externalLink37.xml"/><Relationship Id="rId114" Type="http://schemas.openxmlformats.org/officeDocument/2006/relationships/externalLink" Target="externalLinks/externalLink102.xml"/><Relationship Id="rId119" Type="http://schemas.openxmlformats.org/officeDocument/2006/relationships/externalLink" Target="externalLinks/externalLink107.xml"/><Relationship Id="rId44" Type="http://schemas.openxmlformats.org/officeDocument/2006/relationships/externalLink" Target="externalLinks/externalLink32.xml"/><Relationship Id="rId60" Type="http://schemas.openxmlformats.org/officeDocument/2006/relationships/externalLink" Target="externalLinks/externalLink48.xml"/><Relationship Id="rId65" Type="http://schemas.openxmlformats.org/officeDocument/2006/relationships/externalLink" Target="externalLinks/externalLink53.xml"/><Relationship Id="rId81" Type="http://schemas.openxmlformats.org/officeDocument/2006/relationships/externalLink" Target="externalLinks/externalLink69.xml"/><Relationship Id="rId86" Type="http://schemas.openxmlformats.org/officeDocument/2006/relationships/externalLink" Target="externalLinks/externalLink74.xml"/><Relationship Id="rId130" Type="http://schemas.openxmlformats.org/officeDocument/2006/relationships/externalLink" Target="externalLinks/externalLink118.xml"/><Relationship Id="rId135" Type="http://schemas.openxmlformats.org/officeDocument/2006/relationships/externalLink" Target="externalLinks/externalLink123.xml"/><Relationship Id="rId151" Type="http://schemas.openxmlformats.org/officeDocument/2006/relationships/externalLink" Target="externalLinks/externalLink139.xml"/><Relationship Id="rId156" Type="http://schemas.openxmlformats.org/officeDocument/2006/relationships/externalLink" Target="externalLinks/externalLink144.xml"/><Relationship Id="rId177" Type="http://schemas.openxmlformats.org/officeDocument/2006/relationships/externalLink" Target="externalLinks/externalLink165.xml"/><Relationship Id="rId198" Type="http://schemas.openxmlformats.org/officeDocument/2006/relationships/externalLink" Target="externalLinks/externalLink186.xml"/><Relationship Id="rId172" Type="http://schemas.openxmlformats.org/officeDocument/2006/relationships/externalLink" Target="externalLinks/externalLink160.xml"/><Relationship Id="rId193" Type="http://schemas.openxmlformats.org/officeDocument/2006/relationships/externalLink" Target="externalLinks/externalLink181.xml"/><Relationship Id="rId202" Type="http://schemas.openxmlformats.org/officeDocument/2006/relationships/externalLink" Target="externalLinks/externalLink190.xml"/><Relationship Id="rId207" Type="http://schemas.openxmlformats.org/officeDocument/2006/relationships/externalLink" Target="externalLinks/externalLink195.xml"/><Relationship Id="rId223" Type="http://schemas.openxmlformats.org/officeDocument/2006/relationships/externalLink" Target="externalLinks/externalLink211.xml"/><Relationship Id="rId228" Type="http://schemas.openxmlformats.org/officeDocument/2006/relationships/externalLink" Target="externalLinks/externalLink216.xml"/><Relationship Id="rId244" Type="http://schemas.openxmlformats.org/officeDocument/2006/relationships/externalLink" Target="externalLinks/externalLink232.xml"/><Relationship Id="rId249" Type="http://schemas.openxmlformats.org/officeDocument/2006/relationships/externalLink" Target="externalLinks/externalLink237.xml"/><Relationship Id="rId13" Type="http://schemas.openxmlformats.org/officeDocument/2006/relationships/externalLink" Target="externalLinks/externalLink1.xml"/><Relationship Id="rId18" Type="http://schemas.openxmlformats.org/officeDocument/2006/relationships/externalLink" Target="externalLinks/externalLink6.xml"/><Relationship Id="rId39" Type="http://schemas.openxmlformats.org/officeDocument/2006/relationships/externalLink" Target="externalLinks/externalLink27.xml"/><Relationship Id="rId109" Type="http://schemas.openxmlformats.org/officeDocument/2006/relationships/externalLink" Target="externalLinks/externalLink97.xml"/><Relationship Id="rId34" Type="http://schemas.openxmlformats.org/officeDocument/2006/relationships/externalLink" Target="externalLinks/externalLink22.xml"/><Relationship Id="rId50" Type="http://schemas.openxmlformats.org/officeDocument/2006/relationships/externalLink" Target="externalLinks/externalLink38.xml"/><Relationship Id="rId55" Type="http://schemas.openxmlformats.org/officeDocument/2006/relationships/externalLink" Target="externalLinks/externalLink43.xml"/><Relationship Id="rId76" Type="http://schemas.openxmlformats.org/officeDocument/2006/relationships/externalLink" Target="externalLinks/externalLink64.xml"/><Relationship Id="rId97" Type="http://schemas.openxmlformats.org/officeDocument/2006/relationships/externalLink" Target="externalLinks/externalLink85.xml"/><Relationship Id="rId104" Type="http://schemas.openxmlformats.org/officeDocument/2006/relationships/externalLink" Target="externalLinks/externalLink92.xml"/><Relationship Id="rId120" Type="http://schemas.openxmlformats.org/officeDocument/2006/relationships/externalLink" Target="externalLinks/externalLink108.xml"/><Relationship Id="rId125" Type="http://schemas.openxmlformats.org/officeDocument/2006/relationships/externalLink" Target="externalLinks/externalLink113.xml"/><Relationship Id="rId141" Type="http://schemas.openxmlformats.org/officeDocument/2006/relationships/externalLink" Target="externalLinks/externalLink129.xml"/><Relationship Id="rId146" Type="http://schemas.openxmlformats.org/officeDocument/2006/relationships/externalLink" Target="externalLinks/externalLink134.xml"/><Relationship Id="rId167" Type="http://schemas.openxmlformats.org/officeDocument/2006/relationships/externalLink" Target="externalLinks/externalLink155.xml"/><Relationship Id="rId188" Type="http://schemas.openxmlformats.org/officeDocument/2006/relationships/externalLink" Target="externalLinks/externalLink176.xml"/><Relationship Id="rId7" Type="http://schemas.openxmlformats.org/officeDocument/2006/relationships/worksheet" Target="worksheets/sheet7.xml"/><Relationship Id="rId71" Type="http://schemas.openxmlformats.org/officeDocument/2006/relationships/externalLink" Target="externalLinks/externalLink59.xml"/><Relationship Id="rId92" Type="http://schemas.openxmlformats.org/officeDocument/2006/relationships/externalLink" Target="externalLinks/externalLink80.xml"/><Relationship Id="rId162" Type="http://schemas.openxmlformats.org/officeDocument/2006/relationships/externalLink" Target="externalLinks/externalLink150.xml"/><Relationship Id="rId183" Type="http://schemas.openxmlformats.org/officeDocument/2006/relationships/externalLink" Target="externalLinks/externalLink171.xml"/><Relationship Id="rId213" Type="http://schemas.openxmlformats.org/officeDocument/2006/relationships/externalLink" Target="externalLinks/externalLink201.xml"/><Relationship Id="rId218" Type="http://schemas.openxmlformats.org/officeDocument/2006/relationships/externalLink" Target="externalLinks/externalLink206.xml"/><Relationship Id="rId234" Type="http://schemas.openxmlformats.org/officeDocument/2006/relationships/externalLink" Target="externalLinks/externalLink222.xml"/><Relationship Id="rId239" Type="http://schemas.openxmlformats.org/officeDocument/2006/relationships/externalLink" Target="externalLinks/externalLink227.xml"/><Relationship Id="rId2" Type="http://schemas.openxmlformats.org/officeDocument/2006/relationships/worksheet" Target="worksheets/sheet2.xml"/><Relationship Id="rId29" Type="http://schemas.openxmlformats.org/officeDocument/2006/relationships/externalLink" Target="externalLinks/externalLink17.xml"/><Relationship Id="rId250" Type="http://schemas.openxmlformats.org/officeDocument/2006/relationships/externalLink" Target="externalLinks/externalLink238.xml"/><Relationship Id="rId255" Type="http://schemas.openxmlformats.org/officeDocument/2006/relationships/sharedStrings" Target="sharedStrings.xml"/><Relationship Id="rId24" Type="http://schemas.openxmlformats.org/officeDocument/2006/relationships/externalLink" Target="externalLinks/externalLink12.xml"/><Relationship Id="rId40" Type="http://schemas.openxmlformats.org/officeDocument/2006/relationships/externalLink" Target="externalLinks/externalLink28.xml"/><Relationship Id="rId45" Type="http://schemas.openxmlformats.org/officeDocument/2006/relationships/externalLink" Target="externalLinks/externalLink33.xml"/><Relationship Id="rId66" Type="http://schemas.openxmlformats.org/officeDocument/2006/relationships/externalLink" Target="externalLinks/externalLink54.xml"/><Relationship Id="rId87" Type="http://schemas.openxmlformats.org/officeDocument/2006/relationships/externalLink" Target="externalLinks/externalLink75.xml"/><Relationship Id="rId110" Type="http://schemas.openxmlformats.org/officeDocument/2006/relationships/externalLink" Target="externalLinks/externalLink98.xml"/><Relationship Id="rId115" Type="http://schemas.openxmlformats.org/officeDocument/2006/relationships/externalLink" Target="externalLinks/externalLink103.xml"/><Relationship Id="rId131" Type="http://schemas.openxmlformats.org/officeDocument/2006/relationships/externalLink" Target="externalLinks/externalLink119.xml"/><Relationship Id="rId136" Type="http://schemas.openxmlformats.org/officeDocument/2006/relationships/externalLink" Target="externalLinks/externalLink124.xml"/><Relationship Id="rId157" Type="http://schemas.openxmlformats.org/officeDocument/2006/relationships/externalLink" Target="externalLinks/externalLink145.xml"/><Relationship Id="rId178" Type="http://schemas.openxmlformats.org/officeDocument/2006/relationships/externalLink" Target="externalLinks/externalLink166.xml"/><Relationship Id="rId61" Type="http://schemas.openxmlformats.org/officeDocument/2006/relationships/externalLink" Target="externalLinks/externalLink49.xml"/><Relationship Id="rId82" Type="http://schemas.openxmlformats.org/officeDocument/2006/relationships/externalLink" Target="externalLinks/externalLink70.xml"/><Relationship Id="rId152" Type="http://schemas.openxmlformats.org/officeDocument/2006/relationships/externalLink" Target="externalLinks/externalLink140.xml"/><Relationship Id="rId173" Type="http://schemas.openxmlformats.org/officeDocument/2006/relationships/externalLink" Target="externalLinks/externalLink161.xml"/><Relationship Id="rId194" Type="http://schemas.openxmlformats.org/officeDocument/2006/relationships/externalLink" Target="externalLinks/externalLink182.xml"/><Relationship Id="rId199" Type="http://schemas.openxmlformats.org/officeDocument/2006/relationships/externalLink" Target="externalLinks/externalLink187.xml"/><Relationship Id="rId203" Type="http://schemas.openxmlformats.org/officeDocument/2006/relationships/externalLink" Target="externalLinks/externalLink191.xml"/><Relationship Id="rId208" Type="http://schemas.openxmlformats.org/officeDocument/2006/relationships/externalLink" Target="externalLinks/externalLink196.xml"/><Relationship Id="rId229" Type="http://schemas.openxmlformats.org/officeDocument/2006/relationships/externalLink" Target="externalLinks/externalLink217.xml"/><Relationship Id="rId19" Type="http://schemas.openxmlformats.org/officeDocument/2006/relationships/externalLink" Target="externalLinks/externalLink7.xml"/><Relationship Id="rId224" Type="http://schemas.openxmlformats.org/officeDocument/2006/relationships/externalLink" Target="externalLinks/externalLink212.xml"/><Relationship Id="rId240" Type="http://schemas.openxmlformats.org/officeDocument/2006/relationships/externalLink" Target="externalLinks/externalLink228.xml"/><Relationship Id="rId245" Type="http://schemas.openxmlformats.org/officeDocument/2006/relationships/externalLink" Target="externalLinks/externalLink233.xml"/><Relationship Id="rId14" Type="http://schemas.openxmlformats.org/officeDocument/2006/relationships/externalLink" Target="externalLinks/externalLink2.xml"/><Relationship Id="rId30" Type="http://schemas.openxmlformats.org/officeDocument/2006/relationships/externalLink" Target="externalLinks/externalLink18.xml"/><Relationship Id="rId35" Type="http://schemas.openxmlformats.org/officeDocument/2006/relationships/externalLink" Target="externalLinks/externalLink23.xml"/><Relationship Id="rId56" Type="http://schemas.openxmlformats.org/officeDocument/2006/relationships/externalLink" Target="externalLinks/externalLink44.xml"/><Relationship Id="rId77" Type="http://schemas.openxmlformats.org/officeDocument/2006/relationships/externalLink" Target="externalLinks/externalLink65.xml"/><Relationship Id="rId100" Type="http://schemas.openxmlformats.org/officeDocument/2006/relationships/externalLink" Target="externalLinks/externalLink88.xml"/><Relationship Id="rId105" Type="http://schemas.openxmlformats.org/officeDocument/2006/relationships/externalLink" Target="externalLinks/externalLink93.xml"/><Relationship Id="rId126" Type="http://schemas.openxmlformats.org/officeDocument/2006/relationships/externalLink" Target="externalLinks/externalLink114.xml"/><Relationship Id="rId147" Type="http://schemas.openxmlformats.org/officeDocument/2006/relationships/externalLink" Target="externalLinks/externalLink135.xml"/><Relationship Id="rId168" Type="http://schemas.openxmlformats.org/officeDocument/2006/relationships/externalLink" Target="externalLinks/externalLink156.xml"/><Relationship Id="rId8" Type="http://schemas.openxmlformats.org/officeDocument/2006/relationships/worksheet" Target="worksheets/sheet8.xml"/><Relationship Id="rId51" Type="http://schemas.openxmlformats.org/officeDocument/2006/relationships/externalLink" Target="externalLinks/externalLink39.xml"/><Relationship Id="rId72" Type="http://schemas.openxmlformats.org/officeDocument/2006/relationships/externalLink" Target="externalLinks/externalLink60.xml"/><Relationship Id="rId93" Type="http://schemas.openxmlformats.org/officeDocument/2006/relationships/externalLink" Target="externalLinks/externalLink81.xml"/><Relationship Id="rId98" Type="http://schemas.openxmlformats.org/officeDocument/2006/relationships/externalLink" Target="externalLinks/externalLink86.xml"/><Relationship Id="rId121" Type="http://schemas.openxmlformats.org/officeDocument/2006/relationships/externalLink" Target="externalLinks/externalLink109.xml"/><Relationship Id="rId142" Type="http://schemas.openxmlformats.org/officeDocument/2006/relationships/externalLink" Target="externalLinks/externalLink130.xml"/><Relationship Id="rId163" Type="http://schemas.openxmlformats.org/officeDocument/2006/relationships/externalLink" Target="externalLinks/externalLink151.xml"/><Relationship Id="rId184" Type="http://schemas.openxmlformats.org/officeDocument/2006/relationships/externalLink" Target="externalLinks/externalLink172.xml"/><Relationship Id="rId189" Type="http://schemas.openxmlformats.org/officeDocument/2006/relationships/externalLink" Target="externalLinks/externalLink177.xml"/><Relationship Id="rId219" Type="http://schemas.openxmlformats.org/officeDocument/2006/relationships/externalLink" Target="externalLinks/externalLink207.xml"/><Relationship Id="rId3" Type="http://schemas.openxmlformats.org/officeDocument/2006/relationships/worksheet" Target="worksheets/sheet3.xml"/><Relationship Id="rId214" Type="http://schemas.openxmlformats.org/officeDocument/2006/relationships/externalLink" Target="externalLinks/externalLink202.xml"/><Relationship Id="rId230" Type="http://schemas.openxmlformats.org/officeDocument/2006/relationships/externalLink" Target="externalLinks/externalLink218.xml"/><Relationship Id="rId235" Type="http://schemas.openxmlformats.org/officeDocument/2006/relationships/externalLink" Target="externalLinks/externalLink223.xml"/><Relationship Id="rId251" Type="http://schemas.openxmlformats.org/officeDocument/2006/relationships/externalLink" Target="externalLinks/externalLink239.xml"/><Relationship Id="rId256" Type="http://schemas.openxmlformats.org/officeDocument/2006/relationships/calcChain" Target="calcChain.xml"/><Relationship Id="rId25" Type="http://schemas.openxmlformats.org/officeDocument/2006/relationships/externalLink" Target="externalLinks/externalLink13.xml"/><Relationship Id="rId46" Type="http://schemas.openxmlformats.org/officeDocument/2006/relationships/externalLink" Target="externalLinks/externalLink34.xml"/><Relationship Id="rId67" Type="http://schemas.openxmlformats.org/officeDocument/2006/relationships/externalLink" Target="externalLinks/externalLink55.xml"/><Relationship Id="rId116" Type="http://schemas.openxmlformats.org/officeDocument/2006/relationships/externalLink" Target="externalLinks/externalLink104.xml"/><Relationship Id="rId137" Type="http://schemas.openxmlformats.org/officeDocument/2006/relationships/externalLink" Target="externalLinks/externalLink125.xml"/><Relationship Id="rId158" Type="http://schemas.openxmlformats.org/officeDocument/2006/relationships/externalLink" Target="externalLinks/externalLink146.xml"/><Relationship Id="rId20" Type="http://schemas.openxmlformats.org/officeDocument/2006/relationships/externalLink" Target="externalLinks/externalLink8.xml"/><Relationship Id="rId41" Type="http://schemas.openxmlformats.org/officeDocument/2006/relationships/externalLink" Target="externalLinks/externalLink29.xml"/><Relationship Id="rId62" Type="http://schemas.openxmlformats.org/officeDocument/2006/relationships/externalLink" Target="externalLinks/externalLink50.xml"/><Relationship Id="rId83" Type="http://schemas.openxmlformats.org/officeDocument/2006/relationships/externalLink" Target="externalLinks/externalLink71.xml"/><Relationship Id="rId88" Type="http://schemas.openxmlformats.org/officeDocument/2006/relationships/externalLink" Target="externalLinks/externalLink76.xml"/><Relationship Id="rId111" Type="http://schemas.openxmlformats.org/officeDocument/2006/relationships/externalLink" Target="externalLinks/externalLink99.xml"/><Relationship Id="rId132" Type="http://schemas.openxmlformats.org/officeDocument/2006/relationships/externalLink" Target="externalLinks/externalLink120.xml"/><Relationship Id="rId153" Type="http://schemas.openxmlformats.org/officeDocument/2006/relationships/externalLink" Target="externalLinks/externalLink141.xml"/><Relationship Id="rId174" Type="http://schemas.openxmlformats.org/officeDocument/2006/relationships/externalLink" Target="externalLinks/externalLink162.xml"/><Relationship Id="rId179" Type="http://schemas.openxmlformats.org/officeDocument/2006/relationships/externalLink" Target="externalLinks/externalLink167.xml"/><Relationship Id="rId195" Type="http://schemas.openxmlformats.org/officeDocument/2006/relationships/externalLink" Target="externalLinks/externalLink183.xml"/><Relationship Id="rId209" Type="http://schemas.openxmlformats.org/officeDocument/2006/relationships/externalLink" Target="externalLinks/externalLink197.xml"/><Relationship Id="rId190" Type="http://schemas.openxmlformats.org/officeDocument/2006/relationships/externalLink" Target="externalLinks/externalLink178.xml"/><Relationship Id="rId204" Type="http://schemas.openxmlformats.org/officeDocument/2006/relationships/externalLink" Target="externalLinks/externalLink192.xml"/><Relationship Id="rId220" Type="http://schemas.openxmlformats.org/officeDocument/2006/relationships/externalLink" Target="externalLinks/externalLink208.xml"/><Relationship Id="rId225" Type="http://schemas.openxmlformats.org/officeDocument/2006/relationships/externalLink" Target="externalLinks/externalLink213.xml"/><Relationship Id="rId241" Type="http://schemas.openxmlformats.org/officeDocument/2006/relationships/externalLink" Target="externalLinks/externalLink229.xml"/><Relationship Id="rId246" Type="http://schemas.openxmlformats.org/officeDocument/2006/relationships/externalLink" Target="externalLinks/externalLink234.xml"/><Relationship Id="rId15" Type="http://schemas.openxmlformats.org/officeDocument/2006/relationships/externalLink" Target="externalLinks/externalLink3.xml"/><Relationship Id="rId36" Type="http://schemas.openxmlformats.org/officeDocument/2006/relationships/externalLink" Target="externalLinks/externalLink24.xml"/><Relationship Id="rId57" Type="http://schemas.openxmlformats.org/officeDocument/2006/relationships/externalLink" Target="externalLinks/externalLink45.xml"/><Relationship Id="rId106" Type="http://schemas.openxmlformats.org/officeDocument/2006/relationships/externalLink" Target="externalLinks/externalLink94.xml"/><Relationship Id="rId127" Type="http://schemas.openxmlformats.org/officeDocument/2006/relationships/externalLink" Target="externalLinks/externalLink115.xml"/><Relationship Id="rId10" Type="http://schemas.openxmlformats.org/officeDocument/2006/relationships/worksheet" Target="worksheets/sheet10.xml"/><Relationship Id="rId31" Type="http://schemas.openxmlformats.org/officeDocument/2006/relationships/externalLink" Target="externalLinks/externalLink19.xml"/><Relationship Id="rId52" Type="http://schemas.openxmlformats.org/officeDocument/2006/relationships/externalLink" Target="externalLinks/externalLink40.xml"/><Relationship Id="rId73" Type="http://schemas.openxmlformats.org/officeDocument/2006/relationships/externalLink" Target="externalLinks/externalLink61.xml"/><Relationship Id="rId78" Type="http://schemas.openxmlformats.org/officeDocument/2006/relationships/externalLink" Target="externalLinks/externalLink66.xml"/><Relationship Id="rId94" Type="http://schemas.openxmlformats.org/officeDocument/2006/relationships/externalLink" Target="externalLinks/externalLink82.xml"/><Relationship Id="rId99" Type="http://schemas.openxmlformats.org/officeDocument/2006/relationships/externalLink" Target="externalLinks/externalLink87.xml"/><Relationship Id="rId101" Type="http://schemas.openxmlformats.org/officeDocument/2006/relationships/externalLink" Target="externalLinks/externalLink89.xml"/><Relationship Id="rId122" Type="http://schemas.openxmlformats.org/officeDocument/2006/relationships/externalLink" Target="externalLinks/externalLink110.xml"/><Relationship Id="rId143" Type="http://schemas.openxmlformats.org/officeDocument/2006/relationships/externalLink" Target="externalLinks/externalLink131.xml"/><Relationship Id="rId148" Type="http://schemas.openxmlformats.org/officeDocument/2006/relationships/externalLink" Target="externalLinks/externalLink136.xml"/><Relationship Id="rId164" Type="http://schemas.openxmlformats.org/officeDocument/2006/relationships/externalLink" Target="externalLinks/externalLink152.xml"/><Relationship Id="rId169" Type="http://schemas.openxmlformats.org/officeDocument/2006/relationships/externalLink" Target="externalLinks/externalLink157.xml"/><Relationship Id="rId185" Type="http://schemas.openxmlformats.org/officeDocument/2006/relationships/externalLink" Target="externalLinks/externalLink173.xml"/><Relationship Id="rId4" Type="http://schemas.openxmlformats.org/officeDocument/2006/relationships/worksheet" Target="worksheets/sheet4.xml"/><Relationship Id="rId9" Type="http://schemas.openxmlformats.org/officeDocument/2006/relationships/worksheet" Target="worksheets/sheet9.xml"/><Relationship Id="rId180" Type="http://schemas.openxmlformats.org/officeDocument/2006/relationships/externalLink" Target="externalLinks/externalLink168.xml"/><Relationship Id="rId210" Type="http://schemas.openxmlformats.org/officeDocument/2006/relationships/externalLink" Target="externalLinks/externalLink198.xml"/><Relationship Id="rId215" Type="http://schemas.openxmlformats.org/officeDocument/2006/relationships/externalLink" Target="externalLinks/externalLink203.xml"/><Relationship Id="rId236" Type="http://schemas.openxmlformats.org/officeDocument/2006/relationships/externalLink" Target="externalLinks/externalLink224.xml"/><Relationship Id="rId26" Type="http://schemas.openxmlformats.org/officeDocument/2006/relationships/externalLink" Target="externalLinks/externalLink14.xml"/><Relationship Id="rId231" Type="http://schemas.openxmlformats.org/officeDocument/2006/relationships/externalLink" Target="externalLinks/externalLink219.xml"/><Relationship Id="rId252" Type="http://schemas.openxmlformats.org/officeDocument/2006/relationships/externalLink" Target="externalLinks/externalLink240.xml"/><Relationship Id="rId47" Type="http://schemas.openxmlformats.org/officeDocument/2006/relationships/externalLink" Target="externalLinks/externalLink35.xml"/><Relationship Id="rId68" Type="http://schemas.openxmlformats.org/officeDocument/2006/relationships/externalLink" Target="externalLinks/externalLink56.xml"/><Relationship Id="rId89" Type="http://schemas.openxmlformats.org/officeDocument/2006/relationships/externalLink" Target="externalLinks/externalLink77.xml"/><Relationship Id="rId112" Type="http://schemas.openxmlformats.org/officeDocument/2006/relationships/externalLink" Target="externalLinks/externalLink100.xml"/><Relationship Id="rId133" Type="http://schemas.openxmlformats.org/officeDocument/2006/relationships/externalLink" Target="externalLinks/externalLink121.xml"/><Relationship Id="rId154" Type="http://schemas.openxmlformats.org/officeDocument/2006/relationships/externalLink" Target="externalLinks/externalLink142.xml"/><Relationship Id="rId175" Type="http://schemas.openxmlformats.org/officeDocument/2006/relationships/externalLink" Target="externalLinks/externalLink163.xml"/><Relationship Id="rId196" Type="http://schemas.openxmlformats.org/officeDocument/2006/relationships/externalLink" Target="externalLinks/externalLink184.xml"/><Relationship Id="rId200" Type="http://schemas.openxmlformats.org/officeDocument/2006/relationships/externalLink" Target="externalLinks/externalLink188.xml"/><Relationship Id="rId16" Type="http://schemas.openxmlformats.org/officeDocument/2006/relationships/externalLink" Target="externalLinks/externalLink4.xml"/><Relationship Id="rId221" Type="http://schemas.openxmlformats.org/officeDocument/2006/relationships/externalLink" Target="externalLinks/externalLink209.xml"/><Relationship Id="rId242" Type="http://schemas.openxmlformats.org/officeDocument/2006/relationships/externalLink" Target="externalLinks/externalLink230.xml"/><Relationship Id="rId37" Type="http://schemas.openxmlformats.org/officeDocument/2006/relationships/externalLink" Target="externalLinks/externalLink25.xml"/><Relationship Id="rId58" Type="http://schemas.openxmlformats.org/officeDocument/2006/relationships/externalLink" Target="externalLinks/externalLink46.xml"/><Relationship Id="rId79" Type="http://schemas.openxmlformats.org/officeDocument/2006/relationships/externalLink" Target="externalLinks/externalLink67.xml"/><Relationship Id="rId102" Type="http://schemas.openxmlformats.org/officeDocument/2006/relationships/externalLink" Target="externalLinks/externalLink90.xml"/><Relationship Id="rId123" Type="http://schemas.openxmlformats.org/officeDocument/2006/relationships/externalLink" Target="externalLinks/externalLink111.xml"/><Relationship Id="rId144" Type="http://schemas.openxmlformats.org/officeDocument/2006/relationships/externalLink" Target="externalLinks/externalLink132.xml"/><Relationship Id="rId90" Type="http://schemas.openxmlformats.org/officeDocument/2006/relationships/externalLink" Target="externalLinks/externalLink78.xml"/><Relationship Id="rId165" Type="http://schemas.openxmlformats.org/officeDocument/2006/relationships/externalLink" Target="externalLinks/externalLink153.xml"/><Relationship Id="rId186" Type="http://schemas.openxmlformats.org/officeDocument/2006/relationships/externalLink" Target="externalLinks/externalLink174.xml"/><Relationship Id="rId211" Type="http://schemas.openxmlformats.org/officeDocument/2006/relationships/externalLink" Target="externalLinks/externalLink199.xml"/><Relationship Id="rId232" Type="http://schemas.openxmlformats.org/officeDocument/2006/relationships/externalLink" Target="externalLinks/externalLink220.xml"/><Relationship Id="rId253" Type="http://schemas.openxmlformats.org/officeDocument/2006/relationships/theme" Target="theme/theme1.xml"/><Relationship Id="rId27" Type="http://schemas.openxmlformats.org/officeDocument/2006/relationships/externalLink" Target="externalLinks/externalLink15.xml"/><Relationship Id="rId48" Type="http://schemas.openxmlformats.org/officeDocument/2006/relationships/externalLink" Target="externalLinks/externalLink36.xml"/><Relationship Id="rId69" Type="http://schemas.openxmlformats.org/officeDocument/2006/relationships/externalLink" Target="externalLinks/externalLink57.xml"/><Relationship Id="rId113" Type="http://schemas.openxmlformats.org/officeDocument/2006/relationships/externalLink" Target="externalLinks/externalLink101.xml"/><Relationship Id="rId134" Type="http://schemas.openxmlformats.org/officeDocument/2006/relationships/externalLink" Target="externalLinks/externalLink122.xml"/><Relationship Id="rId80" Type="http://schemas.openxmlformats.org/officeDocument/2006/relationships/externalLink" Target="externalLinks/externalLink68.xml"/><Relationship Id="rId155" Type="http://schemas.openxmlformats.org/officeDocument/2006/relationships/externalLink" Target="externalLinks/externalLink143.xml"/><Relationship Id="rId176" Type="http://schemas.openxmlformats.org/officeDocument/2006/relationships/externalLink" Target="externalLinks/externalLink164.xml"/><Relationship Id="rId197" Type="http://schemas.openxmlformats.org/officeDocument/2006/relationships/externalLink" Target="externalLinks/externalLink185.xml"/><Relationship Id="rId201" Type="http://schemas.openxmlformats.org/officeDocument/2006/relationships/externalLink" Target="externalLinks/externalLink189.xml"/><Relationship Id="rId222" Type="http://schemas.openxmlformats.org/officeDocument/2006/relationships/externalLink" Target="externalLinks/externalLink210.xml"/><Relationship Id="rId243" Type="http://schemas.openxmlformats.org/officeDocument/2006/relationships/externalLink" Target="externalLinks/externalLink231.xml"/><Relationship Id="rId17" Type="http://schemas.openxmlformats.org/officeDocument/2006/relationships/externalLink" Target="externalLinks/externalLink5.xml"/><Relationship Id="rId38" Type="http://schemas.openxmlformats.org/officeDocument/2006/relationships/externalLink" Target="externalLinks/externalLink26.xml"/><Relationship Id="rId59" Type="http://schemas.openxmlformats.org/officeDocument/2006/relationships/externalLink" Target="externalLinks/externalLink47.xml"/><Relationship Id="rId103" Type="http://schemas.openxmlformats.org/officeDocument/2006/relationships/externalLink" Target="externalLinks/externalLink91.xml"/><Relationship Id="rId124" Type="http://schemas.openxmlformats.org/officeDocument/2006/relationships/externalLink" Target="externalLinks/externalLink112.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 Type="http://schemas.openxmlformats.org/officeDocument/2006/relationships/image" Target="../media/image3.png"/><Relationship Id="rId21" Type="http://schemas.openxmlformats.org/officeDocument/2006/relationships/image" Target="../media/image21.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10" Type="http://schemas.openxmlformats.org/officeDocument/2006/relationships/image" Target="../media/image10.png"/><Relationship Id="rId19" Type="http://schemas.openxmlformats.org/officeDocument/2006/relationships/image" Target="../media/image19.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s>
</file>

<file path=xl/drawings/_rels/drawing2.xml.rels><?xml version="1.0" encoding="UTF-8" standalone="yes"?>
<Relationships xmlns="http://schemas.openxmlformats.org/package/2006/relationships"><Relationship Id="rId8" Type="http://schemas.openxmlformats.org/officeDocument/2006/relationships/image" Target="../media/image30.png"/><Relationship Id="rId13" Type="http://schemas.openxmlformats.org/officeDocument/2006/relationships/image" Target="../media/image35.png"/><Relationship Id="rId18" Type="http://schemas.openxmlformats.org/officeDocument/2006/relationships/image" Target="../media/image40.png"/><Relationship Id="rId3" Type="http://schemas.openxmlformats.org/officeDocument/2006/relationships/image" Target="../media/image3.png"/><Relationship Id="rId21" Type="http://schemas.openxmlformats.org/officeDocument/2006/relationships/image" Target="../media/image43.png"/><Relationship Id="rId7" Type="http://schemas.openxmlformats.org/officeDocument/2006/relationships/image" Target="../media/image29.png"/><Relationship Id="rId12" Type="http://schemas.openxmlformats.org/officeDocument/2006/relationships/image" Target="../media/image34.png"/><Relationship Id="rId17" Type="http://schemas.openxmlformats.org/officeDocument/2006/relationships/image" Target="../media/image39.png"/><Relationship Id="rId2" Type="http://schemas.openxmlformats.org/officeDocument/2006/relationships/image" Target="../media/image2.png"/><Relationship Id="rId16" Type="http://schemas.openxmlformats.org/officeDocument/2006/relationships/image" Target="../media/image38.png"/><Relationship Id="rId20" Type="http://schemas.openxmlformats.org/officeDocument/2006/relationships/image" Target="../media/image42.png"/><Relationship Id="rId1" Type="http://schemas.openxmlformats.org/officeDocument/2006/relationships/image" Target="../media/image1.png"/><Relationship Id="rId6" Type="http://schemas.openxmlformats.org/officeDocument/2006/relationships/image" Target="../media/image13.png"/><Relationship Id="rId11" Type="http://schemas.openxmlformats.org/officeDocument/2006/relationships/image" Target="../media/image33.png"/><Relationship Id="rId5" Type="http://schemas.openxmlformats.org/officeDocument/2006/relationships/image" Target="../media/image14.png"/><Relationship Id="rId15" Type="http://schemas.openxmlformats.org/officeDocument/2006/relationships/image" Target="../media/image37.png"/><Relationship Id="rId10" Type="http://schemas.openxmlformats.org/officeDocument/2006/relationships/image" Target="../media/image32.png"/><Relationship Id="rId19" Type="http://schemas.openxmlformats.org/officeDocument/2006/relationships/image" Target="../media/image41.png"/><Relationship Id="rId4" Type="http://schemas.openxmlformats.org/officeDocument/2006/relationships/image" Target="../media/image12.png"/><Relationship Id="rId9" Type="http://schemas.openxmlformats.org/officeDocument/2006/relationships/image" Target="../media/image31.png"/><Relationship Id="rId14" Type="http://schemas.openxmlformats.org/officeDocument/2006/relationships/image" Target="../media/image36.png"/></Relationships>
</file>

<file path=xl/drawings/_rels/drawing3.xml.rels><?xml version="1.0" encoding="UTF-8" standalone="yes"?>
<Relationships xmlns="http://schemas.openxmlformats.org/package/2006/relationships"><Relationship Id="rId8" Type="http://schemas.openxmlformats.org/officeDocument/2006/relationships/image" Target="../media/image48.png"/><Relationship Id="rId13" Type="http://schemas.openxmlformats.org/officeDocument/2006/relationships/image" Target="../media/image53.png"/><Relationship Id="rId18" Type="http://schemas.openxmlformats.org/officeDocument/2006/relationships/image" Target="../media/image13.png"/><Relationship Id="rId3" Type="http://schemas.openxmlformats.org/officeDocument/2006/relationships/image" Target="../media/image3.png"/><Relationship Id="rId7" Type="http://schemas.openxmlformats.org/officeDocument/2006/relationships/image" Target="../media/image47.png"/><Relationship Id="rId12" Type="http://schemas.openxmlformats.org/officeDocument/2006/relationships/image" Target="../media/image52.png"/><Relationship Id="rId17" Type="http://schemas.openxmlformats.org/officeDocument/2006/relationships/image" Target="../media/image12.png"/><Relationship Id="rId2" Type="http://schemas.openxmlformats.org/officeDocument/2006/relationships/image" Target="../media/image2.png"/><Relationship Id="rId16" Type="http://schemas.openxmlformats.org/officeDocument/2006/relationships/image" Target="../media/image56.png"/><Relationship Id="rId1" Type="http://schemas.openxmlformats.org/officeDocument/2006/relationships/image" Target="../media/image1.png"/><Relationship Id="rId6" Type="http://schemas.openxmlformats.org/officeDocument/2006/relationships/image" Target="../media/image46.png"/><Relationship Id="rId11" Type="http://schemas.openxmlformats.org/officeDocument/2006/relationships/image" Target="../media/image51.png"/><Relationship Id="rId5" Type="http://schemas.openxmlformats.org/officeDocument/2006/relationships/image" Target="../media/image45.png"/><Relationship Id="rId15" Type="http://schemas.openxmlformats.org/officeDocument/2006/relationships/image" Target="../media/image55.png"/><Relationship Id="rId10" Type="http://schemas.openxmlformats.org/officeDocument/2006/relationships/image" Target="../media/image50.png"/><Relationship Id="rId19" Type="http://schemas.openxmlformats.org/officeDocument/2006/relationships/image" Target="../media/image14.png"/><Relationship Id="rId4" Type="http://schemas.openxmlformats.org/officeDocument/2006/relationships/image" Target="../media/image44.png"/><Relationship Id="rId9" Type="http://schemas.openxmlformats.org/officeDocument/2006/relationships/image" Target="../media/image49.png"/><Relationship Id="rId14" Type="http://schemas.openxmlformats.org/officeDocument/2006/relationships/image" Target="../media/image54.png"/></Relationships>
</file>

<file path=xl/drawings/_rels/drawing4.xml.rels><?xml version="1.0" encoding="UTF-8" standalone="yes"?>
<Relationships xmlns="http://schemas.openxmlformats.org/package/2006/relationships"><Relationship Id="rId3" Type="http://schemas.openxmlformats.org/officeDocument/2006/relationships/image" Target="../media/image59.png"/><Relationship Id="rId2" Type="http://schemas.openxmlformats.org/officeDocument/2006/relationships/image" Target="../media/image58.emf"/><Relationship Id="rId1" Type="http://schemas.openxmlformats.org/officeDocument/2006/relationships/image" Target="../media/image57.png"/></Relationships>
</file>

<file path=xl/drawings/_rels/drawing5.xml.rels><?xml version="1.0" encoding="UTF-8" standalone="yes"?>
<Relationships xmlns="http://schemas.openxmlformats.org/package/2006/relationships"><Relationship Id="rId1" Type="http://schemas.openxmlformats.org/officeDocument/2006/relationships/image" Target="../media/image59.png"/></Relationships>
</file>

<file path=xl/drawings/_rels/drawing6.xml.rels><?xml version="1.0" encoding="UTF-8" standalone="yes"?>
<Relationships xmlns="http://schemas.openxmlformats.org/package/2006/relationships"><Relationship Id="rId1" Type="http://schemas.openxmlformats.org/officeDocument/2006/relationships/image" Target="../media/image59.png"/></Relationships>
</file>

<file path=xl/drawings/_rels/drawing7.xml.rels><?xml version="1.0" encoding="UTF-8" standalone="yes"?>
<Relationships xmlns="http://schemas.openxmlformats.org/package/2006/relationships"><Relationship Id="rId1" Type="http://schemas.openxmlformats.org/officeDocument/2006/relationships/image" Target="../media/image59.png"/></Relationships>
</file>

<file path=xl/drawings/_rels/drawing8.xml.rels><?xml version="1.0" encoding="UTF-8" standalone="yes"?>
<Relationships xmlns="http://schemas.openxmlformats.org/package/2006/relationships"><Relationship Id="rId1" Type="http://schemas.openxmlformats.org/officeDocument/2006/relationships/image" Target="../media/image59.png"/></Relationships>
</file>

<file path=xl/drawings/drawing1.xml><?xml version="1.0" encoding="utf-8"?>
<xdr:wsDr xmlns:xdr="http://schemas.openxmlformats.org/drawingml/2006/spreadsheetDrawing" xmlns:a="http://schemas.openxmlformats.org/drawingml/2006/main">
  <xdr:twoCellAnchor editAs="oneCell">
    <xdr:from>
      <xdr:col>5</xdr:col>
      <xdr:colOff>39370</xdr:colOff>
      <xdr:row>72</xdr:row>
      <xdr:rowOff>53975</xdr:rowOff>
    </xdr:from>
    <xdr:to>
      <xdr:col>14</xdr:col>
      <xdr:colOff>712442</xdr:colOff>
      <xdr:row>73</xdr:row>
      <xdr:rowOff>1377193</xdr:rowOff>
    </xdr:to>
    <xdr:pic>
      <xdr:nvPicPr>
        <xdr:cNvPr id="2" name="Imagen 1">
          <a:extLst>
            <a:ext uri="{FF2B5EF4-FFF2-40B4-BE49-F238E27FC236}">
              <a16:creationId xmlns:a16="http://schemas.microsoft.com/office/drawing/2014/main" id="{27B91C6D-2931-453D-B07E-AD604EA9AFE9}"/>
            </a:ext>
          </a:extLst>
        </xdr:cNvPr>
        <xdr:cNvPicPr>
          <a:picLocks noChangeAspect="1"/>
        </xdr:cNvPicPr>
      </xdr:nvPicPr>
      <xdr:blipFill>
        <a:blip xmlns:r="http://schemas.openxmlformats.org/officeDocument/2006/relationships" r:embed="rId1"/>
        <a:stretch>
          <a:fillRect/>
        </a:stretch>
      </xdr:blipFill>
      <xdr:spPr>
        <a:xfrm>
          <a:off x="4154170" y="20986115"/>
          <a:ext cx="8963632" cy="1490858"/>
        </a:xfrm>
        <a:prstGeom prst="rect">
          <a:avLst/>
        </a:prstGeom>
      </xdr:spPr>
    </xdr:pic>
    <xdr:clientData/>
  </xdr:twoCellAnchor>
  <xdr:twoCellAnchor editAs="oneCell">
    <xdr:from>
      <xdr:col>2</xdr:col>
      <xdr:colOff>311150</xdr:colOff>
      <xdr:row>2</xdr:row>
      <xdr:rowOff>127000</xdr:rowOff>
    </xdr:from>
    <xdr:to>
      <xdr:col>17</xdr:col>
      <xdr:colOff>591729</xdr:colOff>
      <xdr:row>3</xdr:row>
      <xdr:rowOff>1476374</xdr:rowOff>
    </xdr:to>
    <xdr:pic>
      <xdr:nvPicPr>
        <xdr:cNvPr id="3" name="Imagen 2">
          <a:extLst>
            <a:ext uri="{FF2B5EF4-FFF2-40B4-BE49-F238E27FC236}">
              <a16:creationId xmlns:a16="http://schemas.microsoft.com/office/drawing/2014/main" id="{4A3AE066-FACA-4E1D-A177-38F9C5C4AE7F}"/>
            </a:ext>
          </a:extLst>
        </xdr:cNvPr>
        <xdr:cNvPicPr>
          <a:picLocks noChangeAspect="1"/>
        </xdr:cNvPicPr>
      </xdr:nvPicPr>
      <xdr:blipFill>
        <a:blip xmlns:r="http://schemas.openxmlformats.org/officeDocument/2006/relationships" r:embed="rId2"/>
        <a:stretch>
          <a:fillRect/>
        </a:stretch>
      </xdr:blipFill>
      <xdr:spPr>
        <a:xfrm>
          <a:off x="1896110" y="469900"/>
          <a:ext cx="13451749" cy="1517014"/>
        </a:xfrm>
        <a:prstGeom prst="rect">
          <a:avLst/>
        </a:prstGeom>
      </xdr:spPr>
    </xdr:pic>
    <xdr:clientData/>
  </xdr:twoCellAnchor>
  <xdr:twoCellAnchor editAs="oneCell">
    <xdr:from>
      <xdr:col>4</xdr:col>
      <xdr:colOff>681355</xdr:colOff>
      <xdr:row>66</xdr:row>
      <xdr:rowOff>115887</xdr:rowOff>
    </xdr:from>
    <xdr:to>
      <xdr:col>7</xdr:col>
      <xdr:colOff>60118</xdr:colOff>
      <xdr:row>69</xdr:row>
      <xdr:rowOff>109222</xdr:rowOff>
    </xdr:to>
    <xdr:pic>
      <xdr:nvPicPr>
        <xdr:cNvPr id="4" name="Imagen 3">
          <a:extLst>
            <a:ext uri="{FF2B5EF4-FFF2-40B4-BE49-F238E27FC236}">
              <a16:creationId xmlns:a16="http://schemas.microsoft.com/office/drawing/2014/main" id="{463CC2C8-2B3A-4105-8EDF-353327B96044}"/>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836035" y="20042187"/>
          <a:ext cx="1908603" cy="496255"/>
        </a:xfrm>
        <a:prstGeom prst="rect">
          <a:avLst/>
        </a:prstGeom>
        <a:noFill/>
      </xdr:spPr>
    </xdr:pic>
    <xdr:clientData/>
  </xdr:twoCellAnchor>
  <xdr:oneCellAnchor>
    <xdr:from>
      <xdr:col>5</xdr:col>
      <xdr:colOff>39370</xdr:colOff>
      <xdr:row>147</xdr:row>
      <xdr:rowOff>53975</xdr:rowOff>
    </xdr:from>
    <xdr:ext cx="8702647" cy="1489905"/>
    <xdr:pic>
      <xdr:nvPicPr>
        <xdr:cNvPr id="5" name="Imagen 4">
          <a:extLst>
            <a:ext uri="{FF2B5EF4-FFF2-40B4-BE49-F238E27FC236}">
              <a16:creationId xmlns:a16="http://schemas.microsoft.com/office/drawing/2014/main" id="{7E833DFE-4EE0-4B08-B207-DA3726CC7E8B}"/>
            </a:ext>
          </a:extLst>
        </xdr:cNvPr>
        <xdr:cNvPicPr>
          <a:picLocks noChangeAspect="1"/>
        </xdr:cNvPicPr>
      </xdr:nvPicPr>
      <xdr:blipFill>
        <a:blip xmlns:r="http://schemas.openxmlformats.org/officeDocument/2006/relationships" r:embed="rId1"/>
        <a:stretch>
          <a:fillRect/>
        </a:stretch>
      </xdr:blipFill>
      <xdr:spPr>
        <a:xfrm>
          <a:off x="4154170" y="43907075"/>
          <a:ext cx="8702647" cy="1489905"/>
        </a:xfrm>
        <a:prstGeom prst="rect">
          <a:avLst/>
        </a:prstGeom>
      </xdr:spPr>
    </xdr:pic>
    <xdr:clientData/>
  </xdr:oneCellAnchor>
  <xdr:oneCellAnchor>
    <xdr:from>
      <xdr:col>2</xdr:col>
      <xdr:colOff>311150</xdr:colOff>
      <xdr:row>77</xdr:row>
      <xdr:rowOff>127000</xdr:rowOff>
    </xdr:from>
    <xdr:ext cx="13067892" cy="1516062"/>
    <xdr:pic>
      <xdr:nvPicPr>
        <xdr:cNvPr id="6" name="Imagen 5">
          <a:extLst>
            <a:ext uri="{FF2B5EF4-FFF2-40B4-BE49-F238E27FC236}">
              <a16:creationId xmlns:a16="http://schemas.microsoft.com/office/drawing/2014/main" id="{57A1DE77-697D-4A1E-A767-8F46C9C93F73}"/>
            </a:ext>
          </a:extLst>
        </xdr:cNvPr>
        <xdr:cNvPicPr>
          <a:picLocks noChangeAspect="1"/>
        </xdr:cNvPicPr>
      </xdr:nvPicPr>
      <xdr:blipFill>
        <a:blip xmlns:r="http://schemas.openxmlformats.org/officeDocument/2006/relationships" r:embed="rId2"/>
        <a:stretch>
          <a:fillRect/>
        </a:stretch>
      </xdr:blipFill>
      <xdr:spPr>
        <a:xfrm>
          <a:off x="1896110" y="23154640"/>
          <a:ext cx="13067892" cy="1516062"/>
        </a:xfrm>
        <a:prstGeom prst="rect">
          <a:avLst/>
        </a:prstGeom>
      </xdr:spPr>
    </xdr:pic>
    <xdr:clientData/>
  </xdr:oneCellAnchor>
  <xdr:oneCellAnchor>
    <xdr:from>
      <xdr:col>5</xdr:col>
      <xdr:colOff>138430</xdr:colOff>
      <xdr:row>142</xdr:row>
      <xdr:rowOff>11112</xdr:rowOff>
    </xdr:from>
    <xdr:ext cx="1831451" cy="493397"/>
    <xdr:pic>
      <xdr:nvPicPr>
        <xdr:cNvPr id="7" name="Imagen 6">
          <a:extLst>
            <a:ext uri="{FF2B5EF4-FFF2-40B4-BE49-F238E27FC236}">
              <a16:creationId xmlns:a16="http://schemas.microsoft.com/office/drawing/2014/main" id="{D1D8D847-6893-4ACB-BC03-E2E195A43FA8}"/>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253230" y="43026012"/>
          <a:ext cx="1831451" cy="493397"/>
        </a:xfrm>
        <a:prstGeom prst="rect">
          <a:avLst/>
        </a:prstGeom>
        <a:noFill/>
      </xdr:spPr>
    </xdr:pic>
    <xdr:clientData/>
  </xdr:oneCellAnchor>
  <xdr:oneCellAnchor>
    <xdr:from>
      <xdr:col>5</xdr:col>
      <xdr:colOff>39370</xdr:colOff>
      <xdr:row>221</xdr:row>
      <xdr:rowOff>53975</xdr:rowOff>
    </xdr:from>
    <xdr:ext cx="8702647" cy="1489905"/>
    <xdr:pic>
      <xdr:nvPicPr>
        <xdr:cNvPr id="8" name="Imagen 7">
          <a:extLst>
            <a:ext uri="{FF2B5EF4-FFF2-40B4-BE49-F238E27FC236}">
              <a16:creationId xmlns:a16="http://schemas.microsoft.com/office/drawing/2014/main" id="{1541AAED-33D7-4227-8899-8A3089F85A85}"/>
            </a:ext>
          </a:extLst>
        </xdr:cNvPr>
        <xdr:cNvPicPr>
          <a:picLocks noChangeAspect="1"/>
        </xdr:cNvPicPr>
      </xdr:nvPicPr>
      <xdr:blipFill>
        <a:blip xmlns:r="http://schemas.openxmlformats.org/officeDocument/2006/relationships" r:embed="rId1"/>
        <a:stretch>
          <a:fillRect/>
        </a:stretch>
      </xdr:blipFill>
      <xdr:spPr>
        <a:xfrm>
          <a:off x="4154170" y="66767075"/>
          <a:ext cx="8702647" cy="1489905"/>
        </a:xfrm>
        <a:prstGeom prst="rect">
          <a:avLst/>
        </a:prstGeom>
      </xdr:spPr>
    </xdr:pic>
    <xdr:clientData/>
  </xdr:oneCellAnchor>
  <xdr:oneCellAnchor>
    <xdr:from>
      <xdr:col>2</xdr:col>
      <xdr:colOff>311150</xdr:colOff>
      <xdr:row>151</xdr:row>
      <xdr:rowOff>127000</xdr:rowOff>
    </xdr:from>
    <xdr:ext cx="13067892" cy="1516062"/>
    <xdr:pic>
      <xdr:nvPicPr>
        <xdr:cNvPr id="9" name="Imagen 8">
          <a:extLst>
            <a:ext uri="{FF2B5EF4-FFF2-40B4-BE49-F238E27FC236}">
              <a16:creationId xmlns:a16="http://schemas.microsoft.com/office/drawing/2014/main" id="{391B4A22-9128-4B5F-BAF9-29C874B558EC}"/>
            </a:ext>
          </a:extLst>
        </xdr:cNvPr>
        <xdr:cNvPicPr>
          <a:picLocks noChangeAspect="1"/>
        </xdr:cNvPicPr>
      </xdr:nvPicPr>
      <xdr:blipFill>
        <a:blip xmlns:r="http://schemas.openxmlformats.org/officeDocument/2006/relationships" r:embed="rId2"/>
        <a:stretch>
          <a:fillRect/>
        </a:stretch>
      </xdr:blipFill>
      <xdr:spPr>
        <a:xfrm>
          <a:off x="1896110" y="46014640"/>
          <a:ext cx="13067892" cy="1516062"/>
        </a:xfrm>
        <a:prstGeom prst="rect">
          <a:avLst/>
        </a:prstGeom>
      </xdr:spPr>
    </xdr:pic>
    <xdr:clientData/>
  </xdr:oneCellAnchor>
  <xdr:oneCellAnchor>
    <xdr:from>
      <xdr:col>5</xdr:col>
      <xdr:colOff>191497</xdr:colOff>
      <xdr:row>215</xdr:row>
      <xdr:rowOff>156708</xdr:rowOff>
    </xdr:from>
    <xdr:ext cx="1831451" cy="493397"/>
    <xdr:pic>
      <xdr:nvPicPr>
        <xdr:cNvPr id="10" name="Imagen 9">
          <a:extLst>
            <a:ext uri="{FF2B5EF4-FFF2-40B4-BE49-F238E27FC236}">
              <a16:creationId xmlns:a16="http://schemas.microsoft.com/office/drawing/2014/main" id="{1ACD0D13-AE3F-4F90-B344-7874B5B1DCF9}"/>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306297" y="65863968"/>
          <a:ext cx="1831451" cy="493397"/>
        </a:xfrm>
        <a:prstGeom prst="rect">
          <a:avLst/>
        </a:prstGeom>
        <a:noFill/>
      </xdr:spPr>
    </xdr:pic>
    <xdr:clientData/>
  </xdr:oneCellAnchor>
  <xdr:oneCellAnchor>
    <xdr:from>
      <xdr:col>5</xdr:col>
      <xdr:colOff>39370</xdr:colOff>
      <xdr:row>295</xdr:row>
      <xdr:rowOff>53975</xdr:rowOff>
    </xdr:from>
    <xdr:ext cx="8702647" cy="1489905"/>
    <xdr:pic>
      <xdr:nvPicPr>
        <xdr:cNvPr id="11" name="Imagen 10">
          <a:extLst>
            <a:ext uri="{FF2B5EF4-FFF2-40B4-BE49-F238E27FC236}">
              <a16:creationId xmlns:a16="http://schemas.microsoft.com/office/drawing/2014/main" id="{A1CD7F26-C027-49B6-83B6-9C8D942E5AD8}"/>
            </a:ext>
          </a:extLst>
        </xdr:cNvPr>
        <xdr:cNvPicPr>
          <a:picLocks noChangeAspect="1"/>
        </xdr:cNvPicPr>
      </xdr:nvPicPr>
      <xdr:blipFill>
        <a:blip xmlns:r="http://schemas.openxmlformats.org/officeDocument/2006/relationships" r:embed="rId1"/>
        <a:stretch>
          <a:fillRect/>
        </a:stretch>
      </xdr:blipFill>
      <xdr:spPr>
        <a:xfrm>
          <a:off x="4154170" y="89390855"/>
          <a:ext cx="8702647" cy="1489905"/>
        </a:xfrm>
        <a:prstGeom prst="rect">
          <a:avLst/>
        </a:prstGeom>
      </xdr:spPr>
    </xdr:pic>
    <xdr:clientData/>
  </xdr:oneCellAnchor>
  <xdr:oneCellAnchor>
    <xdr:from>
      <xdr:col>2</xdr:col>
      <xdr:colOff>311150</xdr:colOff>
      <xdr:row>225</xdr:row>
      <xdr:rowOff>127000</xdr:rowOff>
    </xdr:from>
    <xdr:ext cx="13067892" cy="1516062"/>
    <xdr:pic>
      <xdr:nvPicPr>
        <xdr:cNvPr id="12" name="Imagen 11">
          <a:extLst>
            <a:ext uri="{FF2B5EF4-FFF2-40B4-BE49-F238E27FC236}">
              <a16:creationId xmlns:a16="http://schemas.microsoft.com/office/drawing/2014/main" id="{C718C41F-B5EE-4A4E-B16C-1D6D0FCE5595}"/>
            </a:ext>
          </a:extLst>
        </xdr:cNvPr>
        <xdr:cNvPicPr>
          <a:picLocks noChangeAspect="1"/>
        </xdr:cNvPicPr>
      </xdr:nvPicPr>
      <xdr:blipFill>
        <a:blip xmlns:r="http://schemas.openxmlformats.org/officeDocument/2006/relationships" r:embed="rId2"/>
        <a:stretch>
          <a:fillRect/>
        </a:stretch>
      </xdr:blipFill>
      <xdr:spPr>
        <a:xfrm>
          <a:off x="1896110" y="68874640"/>
          <a:ext cx="13067892" cy="1516062"/>
        </a:xfrm>
        <a:prstGeom prst="rect">
          <a:avLst/>
        </a:prstGeom>
      </xdr:spPr>
    </xdr:pic>
    <xdr:clientData/>
  </xdr:oneCellAnchor>
  <xdr:oneCellAnchor>
    <xdr:from>
      <xdr:col>5</xdr:col>
      <xdr:colOff>205105</xdr:colOff>
      <xdr:row>290</xdr:row>
      <xdr:rowOff>58737</xdr:rowOff>
    </xdr:from>
    <xdr:ext cx="1831451" cy="493397"/>
    <xdr:pic>
      <xdr:nvPicPr>
        <xdr:cNvPr id="13" name="Imagen 12">
          <a:extLst>
            <a:ext uri="{FF2B5EF4-FFF2-40B4-BE49-F238E27FC236}">
              <a16:creationId xmlns:a16="http://schemas.microsoft.com/office/drawing/2014/main" id="{8BEB84B8-40BA-4B4C-9E7A-D4C9D183837B}"/>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319905" y="82145187"/>
          <a:ext cx="1831451" cy="493397"/>
        </a:xfrm>
        <a:prstGeom prst="rect">
          <a:avLst/>
        </a:prstGeom>
        <a:noFill/>
      </xdr:spPr>
    </xdr:pic>
    <xdr:clientData/>
  </xdr:oneCellAnchor>
  <xdr:oneCellAnchor>
    <xdr:from>
      <xdr:col>5</xdr:col>
      <xdr:colOff>39370</xdr:colOff>
      <xdr:row>370</xdr:row>
      <xdr:rowOff>53975</xdr:rowOff>
    </xdr:from>
    <xdr:ext cx="8702647" cy="1489905"/>
    <xdr:pic>
      <xdr:nvPicPr>
        <xdr:cNvPr id="14" name="Imagen 13">
          <a:extLst>
            <a:ext uri="{FF2B5EF4-FFF2-40B4-BE49-F238E27FC236}">
              <a16:creationId xmlns:a16="http://schemas.microsoft.com/office/drawing/2014/main" id="{97CDBC31-90BF-4A05-B650-20275E1B1B4A}"/>
            </a:ext>
          </a:extLst>
        </xdr:cNvPr>
        <xdr:cNvPicPr>
          <a:picLocks noChangeAspect="1"/>
        </xdr:cNvPicPr>
      </xdr:nvPicPr>
      <xdr:blipFill>
        <a:blip xmlns:r="http://schemas.openxmlformats.org/officeDocument/2006/relationships" r:embed="rId1"/>
        <a:stretch>
          <a:fillRect/>
        </a:stretch>
      </xdr:blipFill>
      <xdr:spPr>
        <a:xfrm>
          <a:off x="4154170" y="112311815"/>
          <a:ext cx="8702647" cy="1489905"/>
        </a:xfrm>
        <a:prstGeom prst="rect">
          <a:avLst/>
        </a:prstGeom>
      </xdr:spPr>
    </xdr:pic>
    <xdr:clientData/>
  </xdr:oneCellAnchor>
  <xdr:oneCellAnchor>
    <xdr:from>
      <xdr:col>2</xdr:col>
      <xdr:colOff>311150</xdr:colOff>
      <xdr:row>300</xdr:row>
      <xdr:rowOff>127000</xdr:rowOff>
    </xdr:from>
    <xdr:ext cx="13067892" cy="1516062"/>
    <xdr:pic>
      <xdr:nvPicPr>
        <xdr:cNvPr id="15" name="Imagen 14">
          <a:extLst>
            <a:ext uri="{FF2B5EF4-FFF2-40B4-BE49-F238E27FC236}">
              <a16:creationId xmlns:a16="http://schemas.microsoft.com/office/drawing/2014/main" id="{ED6D49EB-04CD-4964-9CBE-925B39FEB2BB}"/>
            </a:ext>
          </a:extLst>
        </xdr:cNvPr>
        <xdr:cNvPicPr>
          <a:picLocks noChangeAspect="1"/>
        </xdr:cNvPicPr>
      </xdr:nvPicPr>
      <xdr:blipFill>
        <a:blip xmlns:r="http://schemas.openxmlformats.org/officeDocument/2006/relationships" r:embed="rId2"/>
        <a:stretch>
          <a:fillRect/>
        </a:stretch>
      </xdr:blipFill>
      <xdr:spPr>
        <a:xfrm>
          <a:off x="1896110" y="91559380"/>
          <a:ext cx="13067892" cy="1516062"/>
        </a:xfrm>
        <a:prstGeom prst="rect">
          <a:avLst/>
        </a:prstGeom>
      </xdr:spPr>
    </xdr:pic>
    <xdr:clientData/>
  </xdr:oneCellAnchor>
  <xdr:oneCellAnchor>
    <xdr:from>
      <xdr:col>4</xdr:col>
      <xdr:colOff>836137</xdr:colOff>
      <xdr:row>365</xdr:row>
      <xdr:rowOff>20638</xdr:rowOff>
    </xdr:from>
    <xdr:ext cx="1831451" cy="493397"/>
    <xdr:pic>
      <xdr:nvPicPr>
        <xdr:cNvPr id="16" name="Imagen 15">
          <a:extLst>
            <a:ext uri="{FF2B5EF4-FFF2-40B4-BE49-F238E27FC236}">
              <a16:creationId xmlns:a16="http://schemas.microsoft.com/office/drawing/2014/main" id="{867E6D3A-2E12-47B0-9BB5-AD9E91B94ED6}"/>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90817" y="111440278"/>
          <a:ext cx="1831451" cy="493397"/>
        </a:xfrm>
        <a:prstGeom prst="rect">
          <a:avLst/>
        </a:prstGeom>
        <a:noFill/>
      </xdr:spPr>
    </xdr:pic>
    <xdr:clientData/>
  </xdr:oneCellAnchor>
  <xdr:oneCellAnchor>
    <xdr:from>
      <xdr:col>5</xdr:col>
      <xdr:colOff>39370</xdr:colOff>
      <xdr:row>444</xdr:row>
      <xdr:rowOff>53975</xdr:rowOff>
    </xdr:from>
    <xdr:ext cx="8702647" cy="1489905"/>
    <xdr:pic>
      <xdr:nvPicPr>
        <xdr:cNvPr id="17" name="Imagen 16">
          <a:extLst>
            <a:ext uri="{FF2B5EF4-FFF2-40B4-BE49-F238E27FC236}">
              <a16:creationId xmlns:a16="http://schemas.microsoft.com/office/drawing/2014/main" id="{4BFC51EA-B69B-435C-B005-844B3AC29CF6}"/>
            </a:ext>
          </a:extLst>
        </xdr:cNvPr>
        <xdr:cNvPicPr>
          <a:picLocks noChangeAspect="1"/>
        </xdr:cNvPicPr>
      </xdr:nvPicPr>
      <xdr:blipFill>
        <a:blip xmlns:r="http://schemas.openxmlformats.org/officeDocument/2006/relationships" r:embed="rId1"/>
        <a:stretch>
          <a:fillRect/>
        </a:stretch>
      </xdr:blipFill>
      <xdr:spPr>
        <a:xfrm>
          <a:off x="4154170" y="135171815"/>
          <a:ext cx="8702647" cy="1489905"/>
        </a:xfrm>
        <a:prstGeom prst="rect">
          <a:avLst/>
        </a:prstGeom>
      </xdr:spPr>
    </xdr:pic>
    <xdr:clientData/>
  </xdr:oneCellAnchor>
  <xdr:oneCellAnchor>
    <xdr:from>
      <xdr:col>2</xdr:col>
      <xdr:colOff>311150</xdr:colOff>
      <xdr:row>374</xdr:row>
      <xdr:rowOff>127000</xdr:rowOff>
    </xdr:from>
    <xdr:ext cx="13067892" cy="1516062"/>
    <xdr:pic>
      <xdr:nvPicPr>
        <xdr:cNvPr id="18" name="Imagen 17">
          <a:extLst>
            <a:ext uri="{FF2B5EF4-FFF2-40B4-BE49-F238E27FC236}">
              <a16:creationId xmlns:a16="http://schemas.microsoft.com/office/drawing/2014/main" id="{B02E97AB-0DCA-482E-A7CC-0A7D9CF8D332}"/>
            </a:ext>
          </a:extLst>
        </xdr:cNvPr>
        <xdr:cNvPicPr>
          <a:picLocks noChangeAspect="1"/>
        </xdr:cNvPicPr>
      </xdr:nvPicPr>
      <xdr:blipFill>
        <a:blip xmlns:r="http://schemas.openxmlformats.org/officeDocument/2006/relationships" r:embed="rId2"/>
        <a:stretch>
          <a:fillRect/>
        </a:stretch>
      </xdr:blipFill>
      <xdr:spPr>
        <a:xfrm>
          <a:off x="1896110" y="114419380"/>
          <a:ext cx="13067892" cy="1516062"/>
        </a:xfrm>
        <a:prstGeom prst="rect">
          <a:avLst/>
        </a:prstGeom>
      </xdr:spPr>
    </xdr:pic>
    <xdr:clientData/>
  </xdr:oneCellAnchor>
  <xdr:oneCellAnchor>
    <xdr:from>
      <xdr:col>5</xdr:col>
      <xdr:colOff>186055</xdr:colOff>
      <xdr:row>439</xdr:row>
      <xdr:rowOff>77787</xdr:rowOff>
    </xdr:from>
    <xdr:ext cx="1831451" cy="493397"/>
    <xdr:pic>
      <xdr:nvPicPr>
        <xdr:cNvPr id="19" name="Imagen 18">
          <a:extLst>
            <a:ext uri="{FF2B5EF4-FFF2-40B4-BE49-F238E27FC236}">
              <a16:creationId xmlns:a16="http://schemas.microsoft.com/office/drawing/2014/main" id="{0AF08674-ED31-44BD-AE7B-4C9536E67AD3}"/>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300855" y="127989012"/>
          <a:ext cx="1831451" cy="493397"/>
        </a:xfrm>
        <a:prstGeom prst="rect">
          <a:avLst/>
        </a:prstGeom>
        <a:noFill/>
      </xdr:spPr>
    </xdr:pic>
    <xdr:clientData/>
  </xdr:oneCellAnchor>
  <xdr:oneCellAnchor>
    <xdr:from>
      <xdr:col>5</xdr:col>
      <xdr:colOff>39370</xdr:colOff>
      <xdr:row>518</xdr:row>
      <xdr:rowOff>53975</xdr:rowOff>
    </xdr:from>
    <xdr:ext cx="8702647" cy="1489905"/>
    <xdr:pic>
      <xdr:nvPicPr>
        <xdr:cNvPr id="20" name="Imagen 19">
          <a:extLst>
            <a:ext uri="{FF2B5EF4-FFF2-40B4-BE49-F238E27FC236}">
              <a16:creationId xmlns:a16="http://schemas.microsoft.com/office/drawing/2014/main" id="{94899E2D-BC9F-48D3-B2F5-1CF6380EABAD}"/>
            </a:ext>
          </a:extLst>
        </xdr:cNvPr>
        <xdr:cNvPicPr>
          <a:picLocks noChangeAspect="1"/>
        </xdr:cNvPicPr>
      </xdr:nvPicPr>
      <xdr:blipFill>
        <a:blip xmlns:r="http://schemas.openxmlformats.org/officeDocument/2006/relationships" r:embed="rId1"/>
        <a:stretch>
          <a:fillRect/>
        </a:stretch>
      </xdr:blipFill>
      <xdr:spPr>
        <a:xfrm>
          <a:off x="4154170" y="158031815"/>
          <a:ext cx="8702647" cy="1489905"/>
        </a:xfrm>
        <a:prstGeom prst="rect">
          <a:avLst/>
        </a:prstGeom>
      </xdr:spPr>
    </xdr:pic>
    <xdr:clientData/>
  </xdr:oneCellAnchor>
  <xdr:oneCellAnchor>
    <xdr:from>
      <xdr:col>2</xdr:col>
      <xdr:colOff>311150</xdr:colOff>
      <xdr:row>448</xdr:row>
      <xdr:rowOff>127000</xdr:rowOff>
    </xdr:from>
    <xdr:ext cx="13067892" cy="1516062"/>
    <xdr:pic>
      <xdr:nvPicPr>
        <xdr:cNvPr id="21" name="Imagen 20">
          <a:extLst>
            <a:ext uri="{FF2B5EF4-FFF2-40B4-BE49-F238E27FC236}">
              <a16:creationId xmlns:a16="http://schemas.microsoft.com/office/drawing/2014/main" id="{2FC2AFCF-D8DA-49D6-8DF8-7A4047B3DBE3}"/>
            </a:ext>
          </a:extLst>
        </xdr:cNvPr>
        <xdr:cNvPicPr>
          <a:picLocks noChangeAspect="1"/>
        </xdr:cNvPicPr>
      </xdr:nvPicPr>
      <xdr:blipFill>
        <a:blip xmlns:r="http://schemas.openxmlformats.org/officeDocument/2006/relationships" r:embed="rId2"/>
        <a:stretch>
          <a:fillRect/>
        </a:stretch>
      </xdr:blipFill>
      <xdr:spPr>
        <a:xfrm>
          <a:off x="1896110" y="137279380"/>
          <a:ext cx="13067892" cy="1516062"/>
        </a:xfrm>
        <a:prstGeom prst="rect">
          <a:avLst/>
        </a:prstGeom>
      </xdr:spPr>
    </xdr:pic>
    <xdr:clientData/>
  </xdr:oneCellAnchor>
  <xdr:oneCellAnchor>
    <xdr:from>
      <xdr:col>5</xdr:col>
      <xdr:colOff>224156</xdr:colOff>
      <xdr:row>513</xdr:row>
      <xdr:rowOff>56621</xdr:rowOff>
    </xdr:from>
    <xdr:ext cx="1831451" cy="493397"/>
    <xdr:pic>
      <xdr:nvPicPr>
        <xdr:cNvPr id="22" name="Imagen 21">
          <a:extLst>
            <a:ext uri="{FF2B5EF4-FFF2-40B4-BE49-F238E27FC236}">
              <a16:creationId xmlns:a16="http://schemas.microsoft.com/office/drawing/2014/main" id="{5FB7C5E2-027D-4E12-A06A-4343EB2B3ABF}"/>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338956" y="151736954"/>
          <a:ext cx="1831451" cy="493397"/>
        </a:xfrm>
        <a:prstGeom prst="rect">
          <a:avLst/>
        </a:prstGeom>
        <a:noFill/>
      </xdr:spPr>
    </xdr:pic>
    <xdr:clientData/>
  </xdr:oneCellAnchor>
  <xdr:oneCellAnchor>
    <xdr:from>
      <xdr:col>5</xdr:col>
      <xdr:colOff>39370</xdr:colOff>
      <xdr:row>592</xdr:row>
      <xdr:rowOff>53975</xdr:rowOff>
    </xdr:from>
    <xdr:ext cx="8702647" cy="1489905"/>
    <xdr:pic>
      <xdr:nvPicPr>
        <xdr:cNvPr id="23" name="Imagen 22">
          <a:extLst>
            <a:ext uri="{FF2B5EF4-FFF2-40B4-BE49-F238E27FC236}">
              <a16:creationId xmlns:a16="http://schemas.microsoft.com/office/drawing/2014/main" id="{88A24F56-E7ED-4AD0-B4AB-710C96413F82}"/>
            </a:ext>
          </a:extLst>
        </xdr:cNvPr>
        <xdr:cNvPicPr>
          <a:picLocks noChangeAspect="1"/>
        </xdr:cNvPicPr>
      </xdr:nvPicPr>
      <xdr:blipFill>
        <a:blip xmlns:r="http://schemas.openxmlformats.org/officeDocument/2006/relationships" r:embed="rId1"/>
        <a:stretch>
          <a:fillRect/>
        </a:stretch>
      </xdr:blipFill>
      <xdr:spPr>
        <a:xfrm>
          <a:off x="4154170" y="180891815"/>
          <a:ext cx="8702647" cy="1489905"/>
        </a:xfrm>
        <a:prstGeom prst="rect">
          <a:avLst/>
        </a:prstGeom>
      </xdr:spPr>
    </xdr:pic>
    <xdr:clientData/>
  </xdr:oneCellAnchor>
  <xdr:oneCellAnchor>
    <xdr:from>
      <xdr:col>2</xdr:col>
      <xdr:colOff>311150</xdr:colOff>
      <xdr:row>522</xdr:row>
      <xdr:rowOff>127000</xdr:rowOff>
    </xdr:from>
    <xdr:ext cx="13067892" cy="1516062"/>
    <xdr:pic>
      <xdr:nvPicPr>
        <xdr:cNvPr id="24" name="Imagen 23">
          <a:extLst>
            <a:ext uri="{FF2B5EF4-FFF2-40B4-BE49-F238E27FC236}">
              <a16:creationId xmlns:a16="http://schemas.microsoft.com/office/drawing/2014/main" id="{5098D7CF-DC80-47F6-9662-DC344854E276}"/>
            </a:ext>
          </a:extLst>
        </xdr:cNvPr>
        <xdr:cNvPicPr>
          <a:picLocks noChangeAspect="1"/>
        </xdr:cNvPicPr>
      </xdr:nvPicPr>
      <xdr:blipFill>
        <a:blip xmlns:r="http://schemas.openxmlformats.org/officeDocument/2006/relationships" r:embed="rId2"/>
        <a:stretch>
          <a:fillRect/>
        </a:stretch>
      </xdr:blipFill>
      <xdr:spPr>
        <a:xfrm>
          <a:off x="1896110" y="160139380"/>
          <a:ext cx="13067892" cy="1516062"/>
        </a:xfrm>
        <a:prstGeom prst="rect">
          <a:avLst/>
        </a:prstGeom>
      </xdr:spPr>
    </xdr:pic>
    <xdr:clientData/>
  </xdr:oneCellAnchor>
  <xdr:oneCellAnchor>
    <xdr:from>
      <xdr:col>5</xdr:col>
      <xdr:colOff>312261</xdr:colOff>
      <xdr:row>587</xdr:row>
      <xdr:rowOff>44449</xdr:rowOff>
    </xdr:from>
    <xdr:ext cx="1831451" cy="493397"/>
    <xdr:pic>
      <xdr:nvPicPr>
        <xdr:cNvPr id="25" name="Imagen 24">
          <a:extLst>
            <a:ext uri="{FF2B5EF4-FFF2-40B4-BE49-F238E27FC236}">
              <a16:creationId xmlns:a16="http://schemas.microsoft.com/office/drawing/2014/main" id="{25B01704-C98E-45CE-BA06-DCF3CAC75E69}"/>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427061" y="180044089"/>
          <a:ext cx="1831451" cy="493397"/>
        </a:xfrm>
        <a:prstGeom prst="rect">
          <a:avLst/>
        </a:prstGeom>
        <a:noFill/>
      </xdr:spPr>
    </xdr:pic>
    <xdr:clientData/>
  </xdr:oneCellAnchor>
  <xdr:oneCellAnchor>
    <xdr:from>
      <xdr:col>5</xdr:col>
      <xdr:colOff>39370</xdr:colOff>
      <xdr:row>666</xdr:row>
      <xdr:rowOff>53975</xdr:rowOff>
    </xdr:from>
    <xdr:ext cx="8702647" cy="1489905"/>
    <xdr:pic>
      <xdr:nvPicPr>
        <xdr:cNvPr id="26" name="Imagen 25">
          <a:extLst>
            <a:ext uri="{FF2B5EF4-FFF2-40B4-BE49-F238E27FC236}">
              <a16:creationId xmlns:a16="http://schemas.microsoft.com/office/drawing/2014/main" id="{98868EC0-3F6B-489E-BB2A-080E36DFAE35}"/>
            </a:ext>
          </a:extLst>
        </xdr:cNvPr>
        <xdr:cNvPicPr>
          <a:picLocks noChangeAspect="1"/>
        </xdr:cNvPicPr>
      </xdr:nvPicPr>
      <xdr:blipFill>
        <a:blip xmlns:r="http://schemas.openxmlformats.org/officeDocument/2006/relationships" r:embed="rId1"/>
        <a:stretch>
          <a:fillRect/>
        </a:stretch>
      </xdr:blipFill>
      <xdr:spPr>
        <a:xfrm>
          <a:off x="4154170" y="196543295"/>
          <a:ext cx="8702647" cy="1489905"/>
        </a:xfrm>
        <a:prstGeom prst="rect">
          <a:avLst/>
        </a:prstGeom>
      </xdr:spPr>
    </xdr:pic>
    <xdr:clientData/>
  </xdr:oneCellAnchor>
  <xdr:oneCellAnchor>
    <xdr:from>
      <xdr:col>2</xdr:col>
      <xdr:colOff>311150</xdr:colOff>
      <xdr:row>596</xdr:row>
      <xdr:rowOff>127000</xdr:rowOff>
    </xdr:from>
    <xdr:ext cx="13067892" cy="1516062"/>
    <xdr:pic>
      <xdr:nvPicPr>
        <xdr:cNvPr id="27" name="Imagen 26">
          <a:extLst>
            <a:ext uri="{FF2B5EF4-FFF2-40B4-BE49-F238E27FC236}">
              <a16:creationId xmlns:a16="http://schemas.microsoft.com/office/drawing/2014/main" id="{B110E0CE-17AA-49ED-87C2-E383F796F3BC}"/>
            </a:ext>
          </a:extLst>
        </xdr:cNvPr>
        <xdr:cNvPicPr>
          <a:picLocks noChangeAspect="1"/>
        </xdr:cNvPicPr>
      </xdr:nvPicPr>
      <xdr:blipFill>
        <a:blip xmlns:r="http://schemas.openxmlformats.org/officeDocument/2006/relationships" r:embed="rId2"/>
        <a:stretch>
          <a:fillRect/>
        </a:stretch>
      </xdr:blipFill>
      <xdr:spPr>
        <a:xfrm>
          <a:off x="1896110" y="182999380"/>
          <a:ext cx="13067892" cy="1516062"/>
        </a:xfrm>
        <a:prstGeom prst="rect">
          <a:avLst/>
        </a:prstGeom>
      </xdr:spPr>
    </xdr:pic>
    <xdr:clientData/>
  </xdr:oneCellAnchor>
  <xdr:oneCellAnchor>
    <xdr:from>
      <xdr:col>5</xdr:col>
      <xdr:colOff>312261</xdr:colOff>
      <xdr:row>661</xdr:row>
      <xdr:rowOff>44449</xdr:rowOff>
    </xdr:from>
    <xdr:ext cx="1831451" cy="493397"/>
    <xdr:pic>
      <xdr:nvPicPr>
        <xdr:cNvPr id="28" name="Imagen 27">
          <a:extLst>
            <a:ext uri="{FF2B5EF4-FFF2-40B4-BE49-F238E27FC236}">
              <a16:creationId xmlns:a16="http://schemas.microsoft.com/office/drawing/2014/main" id="{356F7039-9BB0-425B-9C82-46A068B8417D}"/>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427061" y="195695569"/>
          <a:ext cx="1831451" cy="493397"/>
        </a:xfrm>
        <a:prstGeom prst="rect">
          <a:avLst/>
        </a:prstGeom>
        <a:noFill/>
      </xdr:spPr>
    </xdr:pic>
    <xdr:clientData/>
  </xdr:oneCellAnchor>
  <xdr:oneCellAnchor>
    <xdr:from>
      <xdr:col>5</xdr:col>
      <xdr:colOff>39370</xdr:colOff>
      <xdr:row>740</xdr:row>
      <xdr:rowOff>53975</xdr:rowOff>
    </xdr:from>
    <xdr:ext cx="8702647" cy="1489905"/>
    <xdr:pic>
      <xdr:nvPicPr>
        <xdr:cNvPr id="29" name="Imagen 28">
          <a:extLst>
            <a:ext uri="{FF2B5EF4-FFF2-40B4-BE49-F238E27FC236}">
              <a16:creationId xmlns:a16="http://schemas.microsoft.com/office/drawing/2014/main" id="{61A7FFAF-F912-49FE-8555-BD69892F30CB}"/>
            </a:ext>
          </a:extLst>
        </xdr:cNvPr>
        <xdr:cNvPicPr>
          <a:picLocks noChangeAspect="1"/>
        </xdr:cNvPicPr>
      </xdr:nvPicPr>
      <xdr:blipFill>
        <a:blip xmlns:r="http://schemas.openxmlformats.org/officeDocument/2006/relationships" r:embed="rId1"/>
        <a:stretch>
          <a:fillRect/>
        </a:stretch>
      </xdr:blipFill>
      <xdr:spPr>
        <a:xfrm>
          <a:off x="4154170" y="219403295"/>
          <a:ext cx="8702647" cy="1489905"/>
        </a:xfrm>
        <a:prstGeom prst="rect">
          <a:avLst/>
        </a:prstGeom>
      </xdr:spPr>
    </xdr:pic>
    <xdr:clientData/>
  </xdr:oneCellAnchor>
  <xdr:oneCellAnchor>
    <xdr:from>
      <xdr:col>2</xdr:col>
      <xdr:colOff>311150</xdr:colOff>
      <xdr:row>670</xdr:row>
      <xdr:rowOff>127000</xdr:rowOff>
    </xdr:from>
    <xdr:ext cx="13067892" cy="1516062"/>
    <xdr:pic>
      <xdr:nvPicPr>
        <xdr:cNvPr id="30" name="Imagen 29">
          <a:extLst>
            <a:ext uri="{FF2B5EF4-FFF2-40B4-BE49-F238E27FC236}">
              <a16:creationId xmlns:a16="http://schemas.microsoft.com/office/drawing/2014/main" id="{FC3CAA54-3DFC-4277-851B-800A02C571A1}"/>
            </a:ext>
          </a:extLst>
        </xdr:cNvPr>
        <xdr:cNvPicPr>
          <a:picLocks noChangeAspect="1"/>
        </xdr:cNvPicPr>
      </xdr:nvPicPr>
      <xdr:blipFill>
        <a:blip xmlns:r="http://schemas.openxmlformats.org/officeDocument/2006/relationships" r:embed="rId2"/>
        <a:stretch>
          <a:fillRect/>
        </a:stretch>
      </xdr:blipFill>
      <xdr:spPr>
        <a:xfrm>
          <a:off x="1896110" y="198650860"/>
          <a:ext cx="13067892" cy="1516062"/>
        </a:xfrm>
        <a:prstGeom prst="rect">
          <a:avLst/>
        </a:prstGeom>
      </xdr:spPr>
    </xdr:pic>
    <xdr:clientData/>
  </xdr:oneCellAnchor>
  <xdr:oneCellAnchor>
    <xdr:from>
      <xdr:col>5</xdr:col>
      <xdr:colOff>312261</xdr:colOff>
      <xdr:row>735</xdr:row>
      <xdr:rowOff>44449</xdr:rowOff>
    </xdr:from>
    <xdr:ext cx="1831451" cy="493397"/>
    <xdr:pic>
      <xdr:nvPicPr>
        <xdr:cNvPr id="31" name="Imagen 30">
          <a:extLst>
            <a:ext uri="{FF2B5EF4-FFF2-40B4-BE49-F238E27FC236}">
              <a16:creationId xmlns:a16="http://schemas.microsoft.com/office/drawing/2014/main" id="{0DDA82B2-4990-4A52-99B4-6FA7B67ABFD7}"/>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427061" y="218555569"/>
          <a:ext cx="1831451" cy="493397"/>
        </a:xfrm>
        <a:prstGeom prst="rect">
          <a:avLst/>
        </a:prstGeom>
        <a:noFill/>
      </xdr:spPr>
    </xdr:pic>
    <xdr:clientData/>
  </xdr:oneCellAnchor>
  <xdr:oneCellAnchor>
    <xdr:from>
      <xdr:col>5</xdr:col>
      <xdr:colOff>39370</xdr:colOff>
      <xdr:row>814</xdr:row>
      <xdr:rowOff>53975</xdr:rowOff>
    </xdr:from>
    <xdr:ext cx="8702647" cy="1489905"/>
    <xdr:pic>
      <xdr:nvPicPr>
        <xdr:cNvPr id="32" name="Imagen 31">
          <a:extLst>
            <a:ext uri="{FF2B5EF4-FFF2-40B4-BE49-F238E27FC236}">
              <a16:creationId xmlns:a16="http://schemas.microsoft.com/office/drawing/2014/main" id="{92DACAA4-5B7D-4420-8853-26BD114BB442}"/>
            </a:ext>
          </a:extLst>
        </xdr:cNvPr>
        <xdr:cNvPicPr>
          <a:picLocks noChangeAspect="1"/>
        </xdr:cNvPicPr>
      </xdr:nvPicPr>
      <xdr:blipFill>
        <a:blip xmlns:r="http://schemas.openxmlformats.org/officeDocument/2006/relationships" r:embed="rId1"/>
        <a:stretch>
          <a:fillRect/>
        </a:stretch>
      </xdr:blipFill>
      <xdr:spPr>
        <a:xfrm>
          <a:off x="4154170" y="242263295"/>
          <a:ext cx="8702647" cy="1489905"/>
        </a:xfrm>
        <a:prstGeom prst="rect">
          <a:avLst/>
        </a:prstGeom>
      </xdr:spPr>
    </xdr:pic>
    <xdr:clientData/>
  </xdr:oneCellAnchor>
  <xdr:oneCellAnchor>
    <xdr:from>
      <xdr:col>2</xdr:col>
      <xdr:colOff>311150</xdr:colOff>
      <xdr:row>744</xdr:row>
      <xdr:rowOff>127000</xdr:rowOff>
    </xdr:from>
    <xdr:ext cx="13067892" cy="1516062"/>
    <xdr:pic>
      <xdr:nvPicPr>
        <xdr:cNvPr id="33" name="Imagen 32">
          <a:extLst>
            <a:ext uri="{FF2B5EF4-FFF2-40B4-BE49-F238E27FC236}">
              <a16:creationId xmlns:a16="http://schemas.microsoft.com/office/drawing/2014/main" id="{990F72A5-7F2C-4FB1-B422-49692E757C59}"/>
            </a:ext>
          </a:extLst>
        </xdr:cNvPr>
        <xdr:cNvPicPr>
          <a:picLocks noChangeAspect="1"/>
        </xdr:cNvPicPr>
      </xdr:nvPicPr>
      <xdr:blipFill>
        <a:blip xmlns:r="http://schemas.openxmlformats.org/officeDocument/2006/relationships" r:embed="rId2"/>
        <a:stretch>
          <a:fillRect/>
        </a:stretch>
      </xdr:blipFill>
      <xdr:spPr>
        <a:xfrm>
          <a:off x="1896110" y="221510860"/>
          <a:ext cx="13067892" cy="1516062"/>
        </a:xfrm>
        <a:prstGeom prst="rect">
          <a:avLst/>
        </a:prstGeom>
      </xdr:spPr>
    </xdr:pic>
    <xdr:clientData/>
  </xdr:oneCellAnchor>
  <xdr:oneCellAnchor>
    <xdr:from>
      <xdr:col>5</xdr:col>
      <xdr:colOff>312261</xdr:colOff>
      <xdr:row>809</xdr:row>
      <xdr:rowOff>44449</xdr:rowOff>
    </xdr:from>
    <xdr:ext cx="1831451" cy="493397"/>
    <xdr:pic>
      <xdr:nvPicPr>
        <xdr:cNvPr id="34" name="Imagen 33">
          <a:extLst>
            <a:ext uri="{FF2B5EF4-FFF2-40B4-BE49-F238E27FC236}">
              <a16:creationId xmlns:a16="http://schemas.microsoft.com/office/drawing/2014/main" id="{69F9E2DD-9CE9-4B40-8552-112482562006}"/>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427061" y="241415569"/>
          <a:ext cx="1831451" cy="493397"/>
        </a:xfrm>
        <a:prstGeom prst="rect">
          <a:avLst/>
        </a:prstGeom>
        <a:noFill/>
      </xdr:spPr>
    </xdr:pic>
    <xdr:clientData/>
  </xdr:oneCellAnchor>
  <xdr:oneCellAnchor>
    <xdr:from>
      <xdr:col>5</xdr:col>
      <xdr:colOff>39370</xdr:colOff>
      <xdr:row>888</xdr:row>
      <xdr:rowOff>53975</xdr:rowOff>
    </xdr:from>
    <xdr:ext cx="8702647" cy="1489905"/>
    <xdr:pic>
      <xdr:nvPicPr>
        <xdr:cNvPr id="35" name="Imagen 34">
          <a:extLst>
            <a:ext uri="{FF2B5EF4-FFF2-40B4-BE49-F238E27FC236}">
              <a16:creationId xmlns:a16="http://schemas.microsoft.com/office/drawing/2014/main" id="{538FB099-258A-482B-8F27-6ACC8DDA7912}"/>
            </a:ext>
          </a:extLst>
        </xdr:cNvPr>
        <xdr:cNvPicPr>
          <a:picLocks noChangeAspect="1"/>
        </xdr:cNvPicPr>
      </xdr:nvPicPr>
      <xdr:blipFill>
        <a:blip xmlns:r="http://schemas.openxmlformats.org/officeDocument/2006/relationships" r:embed="rId1"/>
        <a:stretch>
          <a:fillRect/>
        </a:stretch>
      </xdr:blipFill>
      <xdr:spPr>
        <a:xfrm>
          <a:off x="4154170" y="265123295"/>
          <a:ext cx="8702647" cy="1489905"/>
        </a:xfrm>
        <a:prstGeom prst="rect">
          <a:avLst/>
        </a:prstGeom>
      </xdr:spPr>
    </xdr:pic>
    <xdr:clientData/>
  </xdr:oneCellAnchor>
  <xdr:oneCellAnchor>
    <xdr:from>
      <xdr:col>2</xdr:col>
      <xdr:colOff>311150</xdr:colOff>
      <xdr:row>818</xdr:row>
      <xdr:rowOff>127000</xdr:rowOff>
    </xdr:from>
    <xdr:ext cx="13067892" cy="1516062"/>
    <xdr:pic>
      <xdr:nvPicPr>
        <xdr:cNvPr id="36" name="Imagen 35">
          <a:extLst>
            <a:ext uri="{FF2B5EF4-FFF2-40B4-BE49-F238E27FC236}">
              <a16:creationId xmlns:a16="http://schemas.microsoft.com/office/drawing/2014/main" id="{3F06B86C-7F19-4733-B215-FD0C94F7506E}"/>
            </a:ext>
          </a:extLst>
        </xdr:cNvPr>
        <xdr:cNvPicPr>
          <a:picLocks noChangeAspect="1"/>
        </xdr:cNvPicPr>
      </xdr:nvPicPr>
      <xdr:blipFill>
        <a:blip xmlns:r="http://schemas.openxmlformats.org/officeDocument/2006/relationships" r:embed="rId2"/>
        <a:stretch>
          <a:fillRect/>
        </a:stretch>
      </xdr:blipFill>
      <xdr:spPr>
        <a:xfrm>
          <a:off x="1896110" y="244370860"/>
          <a:ext cx="13067892" cy="1516062"/>
        </a:xfrm>
        <a:prstGeom prst="rect">
          <a:avLst/>
        </a:prstGeom>
      </xdr:spPr>
    </xdr:pic>
    <xdr:clientData/>
  </xdr:oneCellAnchor>
  <xdr:oneCellAnchor>
    <xdr:from>
      <xdr:col>5</xdr:col>
      <xdr:colOff>312261</xdr:colOff>
      <xdr:row>883</xdr:row>
      <xdr:rowOff>44449</xdr:rowOff>
    </xdr:from>
    <xdr:ext cx="1831451" cy="493397"/>
    <xdr:pic>
      <xdr:nvPicPr>
        <xdr:cNvPr id="37" name="Imagen 36">
          <a:extLst>
            <a:ext uri="{FF2B5EF4-FFF2-40B4-BE49-F238E27FC236}">
              <a16:creationId xmlns:a16="http://schemas.microsoft.com/office/drawing/2014/main" id="{C98CA756-3894-43C4-B1F8-FE40DB89B252}"/>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427061" y="264275569"/>
          <a:ext cx="1831451" cy="493397"/>
        </a:xfrm>
        <a:prstGeom prst="rect">
          <a:avLst/>
        </a:prstGeom>
        <a:noFill/>
      </xdr:spPr>
    </xdr:pic>
    <xdr:clientData/>
  </xdr:oneCellAnchor>
  <xdr:oneCellAnchor>
    <xdr:from>
      <xdr:col>5</xdr:col>
      <xdr:colOff>39370</xdr:colOff>
      <xdr:row>962</xdr:row>
      <xdr:rowOff>53975</xdr:rowOff>
    </xdr:from>
    <xdr:ext cx="8702647" cy="1489905"/>
    <xdr:pic>
      <xdr:nvPicPr>
        <xdr:cNvPr id="38" name="Imagen 37">
          <a:extLst>
            <a:ext uri="{FF2B5EF4-FFF2-40B4-BE49-F238E27FC236}">
              <a16:creationId xmlns:a16="http://schemas.microsoft.com/office/drawing/2014/main" id="{9DEDF72F-2C6C-4B15-8E2B-76CE18849B19}"/>
            </a:ext>
          </a:extLst>
        </xdr:cNvPr>
        <xdr:cNvPicPr>
          <a:picLocks noChangeAspect="1"/>
        </xdr:cNvPicPr>
      </xdr:nvPicPr>
      <xdr:blipFill>
        <a:blip xmlns:r="http://schemas.openxmlformats.org/officeDocument/2006/relationships" r:embed="rId1"/>
        <a:stretch>
          <a:fillRect/>
        </a:stretch>
      </xdr:blipFill>
      <xdr:spPr>
        <a:xfrm>
          <a:off x="4154170" y="287983295"/>
          <a:ext cx="8702647" cy="1489905"/>
        </a:xfrm>
        <a:prstGeom prst="rect">
          <a:avLst/>
        </a:prstGeom>
      </xdr:spPr>
    </xdr:pic>
    <xdr:clientData/>
  </xdr:oneCellAnchor>
  <xdr:oneCellAnchor>
    <xdr:from>
      <xdr:col>2</xdr:col>
      <xdr:colOff>311150</xdr:colOff>
      <xdr:row>892</xdr:row>
      <xdr:rowOff>127000</xdr:rowOff>
    </xdr:from>
    <xdr:ext cx="13067892" cy="1516062"/>
    <xdr:pic>
      <xdr:nvPicPr>
        <xdr:cNvPr id="39" name="Imagen 38">
          <a:extLst>
            <a:ext uri="{FF2B5EF4-FFF2-40B4-BE49-F238E27FC236}">
              <a16:creationId xmlns:a16="http://schemas.microsoft.com/office/drawing/2014/main" id="{55777665-90AA-45EB-8C26-5ADA57CE00FE}"/>
            </a:ext>
          </a:extLst>
        </xdr:cNvPr>
        <xdr:cNvPicPr>
          <a:picLocks noChangeAspect="1"/>
        </xdr:cNvPicPr>
      </xdr:nvPicPr>
      <xdr:blipFill>
        <a:blip xmlns:r="http://schemas.openxmlformats.org/officeDocument/2006/relationships" r:embed="rId2"/>
        <a:stretch>
          <a:fillRect/>
        </a:stretch>
      </xdr:blipFill>
      <xdr:spPr>
        <a:xfrm>
          <a:off x="1896110" y="267230860"/>
          <a:ext cx="13067892" cy="1516062"/>
        </a:xfrm>
        <a:prstGeom prst="rect">
          <a:avLst/>
        </a:prstGeom>
      </xdr:spPr>
    </xdr:pic>
    <xdr:clientData/>
  </xdr:oneCellAnchor>
  <xdr:oneCellAnchor>
    <xdr:from>
      <xdr:col>5</xdr:col>
      <xdr:colOff>312261</xdr:colOff>
      <xdr:row>957</xdr:row>
      <xdr:rowOff>44449</xdr:rowOff>
    </xdr:from>
    <xdr:ext cx="1831451" cy="493397"/>
    <xdr:pic>
      <xdr:nvPicPr>
        <xdr:cNvPr id="40" name="Imagen 39">
          <a:extLst>
            <a:ext uri="{FF2B5EF4-FFF2-40B4-BE49-F238E27FC236}">
              <a16:creationId xmlns:a16="http://schemas.microsoft.com/office/drawing/2014/main" id="{F86BA3F9-D373-4A7C-9447-73F70F744B4F}"/>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427061" y="287135569"/>
          <a:ext cx="1831451" cy="493397"/>
        </a:xfrm>
        <a:prstGeom prst="rect">
          <a:avLst/>
        </a:prstGeom>
        <a:noFill/>
      </xdr:spPr>
    </xdr:pic>
    <xdr:clientData/>
  </xdr:oneCellAnchor>
  <xdr:oneCellAnchor>
    <xdr:from>
      <xdr:col>5</xdr:col>
      <xdr:colOff>39370</xdr:colOff>
      <xdr:row>1036</xdr:row>
      <xdr:rowOff>53975</xdr:rowOff>
    </xdr:from>
    <xdr:ext cx="8702647" cy="1489905"/>
    <xdr:pic>
      <xdr:nvPicPr>
        <xdr:cNvPr id="41" name="Imagen 40">
          <a:extLst>
            <a:ext uri="{FF2B5EF4-FFF2-40B4-BE49-F238E27FC236}">
              <a16:creationId xmlns:a16="http://schemas.microsoft.com/office/drawing/2014/main" id="{C8284E87-DA70-43BF-BFAB-AFB752E76615}"/>
            </a:ext>
          </a:extLst>
        </xdr:cNvPr>
        <xdr:cNvPicPr>
          <a:picLocks noChangeAspect="1"/>
        </xdr:cNvPicPr>
      </xdr:nvPicPr>
      <xdr:blipFill>
        <a:blip xmlns:r="http://schemas.openxmlformats.org/officeDocument/2006/relationships" r:embed="rId1"/>
        <a:stretch>
          <a:fillRect/>
        </a:stretch>
      </xdr:blipFill>
      <xdr:spPr>
        <a:xfrm>
          <a:off x="4154170" y="303505235"/>
          <a:ext cx="8702647" cy="1489905"/>
        </a:xfrm>
        <a:prstGeom prst="rect">
          <a:avLst/>
        </a:prstGeom>
      </xdr:spPr>
    </xdr:pic>
    <xdr:clientData/>
  </xdr:oneCellAnchor>
  <xdr:oneCellAnchor>
    <xdr:from>
      <xdr:col>2</xdr:col>
      <xdr:colOff>311150</xdr:colOff>
      <xdr:row>966</xdr:row>
      <xdr:rowOff>127000</xdr:rowOff>
    </xdr:from>
    <xdr:ext cx="13067892" cy="1516062"/>
    <xdr:pic>
      <xdr:nvPicPr>
        <xdr:cNvPr id="42" name="Imagen 41">
          <a:extLst>
            <a:ext uri="{FF2B5EF4-FFF2-40B4-BE49-F238E27FC236}">
              <a16:creationId xmlns:a16="http://schemas.microsoft.com/office/drawing/2014/main" id="{03B549C1-814D-4FF2-B1DB-5E8CFDFDBCAD}"/>
            </a:ext>
          </a:extLst>
        </xdr:cNvPr>
        <xdr:cNvPicPr>
          <a:picLocks noChangeAspect="1"/>
        </xdr:cNvPicPr>
      </xdr:nvPicPr>
      <xdr:blipFill>
        <a:blip xmlns:r="http://schemas.openxmlformats.org/officeDocument/2006/relationships" r:embed="rId2"/>
        <a:stretch>
          <a:fillRect/>
        </a:stretch>
      </xdr:blipFill>
      <xdr:spPr>
        <a:xfrm>
          <a:off x="1896110" y="289961320"/>
          <a:ext cx="13067892" cy="1516062"/>
        </a:xfrm>
        <a:prstGeom prst="rect">
          <a:avLst/>
        </a:prstGeom>
      </xdr:spPr>
    </xdr:pic>
    <xdr:clientData/>
  </xdr:oneCellAnchor>
  <xdr:oneCellAnchor>
    <xdr:from>
      <xdr:col>5</xdr:col>
      <xdr:colOff>312261</xdr:colOff>
      <xdr:row>1031</xdr:row>
      <xdr:rowOff>44449</xdr:rowOff>
    </xdr:from>
    <xdr:ext cx="1831451" cy="493397"/>
    <xdr:pic>
      <xdr:nvPicPr>
        <xdr:cNvPr id="43" name="Imagen 42">
          <a:extLst>
            <a:ext uri="{FF2B5EF4-FFF2-40B4-BE49-F238E27FC236}">
              <a16:creationId xmlns:a16="http://schemas.microsoft.com/office/drawing/2014/main" id="{186494BF-F692-4113-9F9A-0F213D4F2436}"/>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427061" y="302657509"/>
          <a:ext cx="1831451" cy="493397"/>
        </a:xfrm>
        <a:prstGeom prst="rect">
          <a:avLst/>
        </a:prstGeom>
        <a:noFill/>
      </xdr:spPr>
    </xdr:pic>
    <xdr:clientData/>
  </xdr:oneCellAnchor>
  <xdr:oneCellAnchor>
    <xdr:from>
      <xdr:col>5</xdr:col>
      <xdr:colOff>39370</xdr:colOff>
      <xdr:row>1110</xdr:row>
      <xdr:rowOff>53975</xdr:rowOff>
    </xdr:from>
    <xdr:ext cx="8702647" cy="1489905"/>
    <xdr:pic>
      <xdr:nvPicPr>
        <xdr:cNvPr id="44" name="Imagen 43">
          <a:extLst>
            <a:ext uri="{FF2B5EF4-FFF2-40B4-BE49-F238E27FC236}">
              <a16:creationId xmlns:a16="http://schemas.microsoft.com/office/drawing/2014/main" id="{1552F750-F687-4072-A9AD-9127F2F6F79C}"/>
            </a:ext>
          </a:extLst>
        </xdr:cNvPr>
        <xdr:cNvPicPr>
          <a:picLocks noChangeAspect="1"/>
        </xdr:cNvPicPr>
      </xdr:nvPicPr>
      <xdr:blipFill>
        <a:blip xmlns:r="http://schemas.openxmlformats.org/officeDocument/2006/relationships" r:embed="rId1"/>
        <a:stretch>
          <a:fillRect/>
        </a:stretch>
      </xdr:blipFill>
      <xdr:spPr>
        <a:xfrm>
          <a:off x="4154170" y="326258555"/>
          <a:ext cx="8702647" cy="1489905"/>
        </a:xfrm>
        <a:prstGeom prst="rect">
          <a:avLst/>
        </a:prstGeom>
      </xdr:spPr>
    </xdr:pic>
    <xdr:clientData/>
  </xdr:oneCellAnchor>
  <xdr:oneCellAnchor>
    <xdr:from>
      <xdr:col>2</xdr:col>
      <xdr:colOff>311150</xdr:colOff>
      <xdr:row>1040</xdr:row>
      <xdr:rowOff>127000</xdr:rowOff>
    </xdr:from>
    <xdr:ext cx="13067892" cy="1516062"/>
    <xdr:pic>
      <xdr:nvPicPr>
        <xdr:cNvPr id="45" name="Imagen 44">
          <a:extLst>
            <a:ext uri="{FF2B5EF4-FFF2-40B4-BE49-F238E27FC236}">
              <a16:creationId xmlns:a16="http://schemas.microsoft.com/office/drawing/2014/main" id="{B3F608A6-A7C2-438D-816C-134D0EE9D1DD}"/>
            </a:ext>
          </a:extLst>
        </xdr:cNvPr>
        <xdr:cNvPicPr>
          <a:picLocks noChangeAspect="1"/>
        </xdr:cNvPicPr>
      </xdr:nvPicPr>
      <xdr:blipFill>
        <a:blip xmlns:r="http://schemas.openxmlformats.org/officeDocument/2006/relationships" r:embed="rId2"/>
        <a:stretch>
          <a:fillRect/>
        </a:stretch>
      </xdr:blipFill>
      <xdr:spPr>
        <a:xfrm>
          <a:off x="1896110" y="305506120"/>
          <a:ext cx="13067892" cy="1516062"/>
        </a:xfrm>
        <a:prstGeom prst="rect">
          <a:avLst/>
        </a:prstGeom>
      </xdr:spPr>
    </xdr:pic>
    <xdr:clientData/>
  </xdr:oneCellAnchor>
  <xdr:oneCellAnchor>
    <xdr:from>
      <xdr:col>5</xdr:col>
      <xdr:colOff>312261</xdr:colOff>
      <xdr:row>1105</xdr:row>
      <xdr:rowOff>44449</xdr:rowOff>
    </xdr:from>
    <xdr:ext cx="1831451" cy="493397"/>
    <xdr:pic>
      <xdr:nvPicPr>
        <xdr:cNvPr id="46" name="Imagen 45">
          <a:extLst>
            <a:ext uri="{FF2B5EF4-FFF2-40B4-BE49-F238E27FC236}">
              <a16:creationId xmlns:a16="http://schemas.microsoft.com/office/drawing/2014/main" id="{1E623AFC-6AE6-4242-9C9B-DB6E02C05184}"/>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427061" y="325410829"/>
          <a:ext cx="1831451" cy="493397"/>
        </a:xfrm>
        <a:prstGeom prst="rect">
          <a:avLst/>
        </a:prstGeom>
        <a:noFill/>
      </xdr:spPr>
    </xdr:pic>
    <xdr:clientData/>
  </xdr:oneCellAnchor>
  <xdr:oneCellAnchor>
    <xdr:from>
      <xdr:col>5</xdr:col>
      <xdr:colOff>39370</xdr:colOff>
      <xdr:row>1184</xdr:row>
      <xdr:rowOff>53975</xdr:rowOff>
    </xdr:from>
    <xdr:ext cx="8702647" cy="1489905"/>
    <xdr:pic>
      <xdr:nvPicPr>
        <xdr:cNvPr id="47" name="Imagen 46">
          <a:extLst>
            <a:ext uri="{FF2B5EF4-FFF2-40B4-BE49-F238E27FC236}">
              <a16:creationId xmlns:a16="http://schemas.microsoft.com/office/drawing/2014/main" id="{4CD3F476-63AB-464E-A520-8CE2C24ED465}"/>
            </a:ext>
          </a:extLst>
        </xdr:cNvPr>
        <xdr:cNvPicPr>
          <a:picLocks noChangeAspect="1"/>
        </xdr:cNvPicPr>
      </xdr:nvPicPr>
      <xdr:blipFill>
        <a:blip xmlns:r="http://schemas.openxmlformats.org/officeDocument/2006/relationships" r:embed="rId1"/>
        <a:stretch>
          <a:fillRect/>
        </a:stretch>
      </xdr:blipFill>
      <xdr:spPr>
        <a:xfrm>
          <a:off x="4154170" y="341910035"/>
          <a:ext cx="8702647" cy="1489905"/>
        </a:xfrm>
        <a:prstGeom prst="rect">
          <a:avLst/>
        </a:prstGeom>
      </xdr:spPr>
    </xdr:pic>
    <xdr:clientData/>
  </xdr:oneCellAnchor>
  <xdr:oneCellAnchor>
    <xdr:from>
      <xdr:col>2</xdr:col>
      <xdr:colOff>311150</xdr:colOff>
      <xdr:row>1114</xdr:row>
      <xdr:rowOff>127000</xdr:rowOff>
    </xdr:from>
    <xdr:ext cx="13067892" cy="1516062"/>
    <xdr:pic>
      <xdr:nvPicPr>
        <xdr:cNvPr id="48" name="Imagen 47">
          <a:extLst>
            <a:ext uri="{FF2B5EF4-FFF2-40B4-BE49-F238E27FC236}">
              <a16:creationId xmlns:a16="http://schemas.microsoft.com/office/drawing/2014/main" id="{36499328-BBBC-4CD1-BF37-167C66BAF044}"/>
            </a:ext>
          </a:extLst>
        </xdr:cNvPr>
        <xdr:cNvPicPr>
          <a:picLocks noChangeAspect="1"/>
        </xdr:cNvPicPr>
      </xdr:nvPicPr>
      <xdr:blipFill>
        <a:blip xmlns:r="http://schemas.openxmlformats.org/officeDocument/2006/relationships" r:embed="rId2"/>
        <a:stretch>
          <a:fillRect/>
        </a:stretch>
      </xdr:blipFill>
      <xdr:spPr>
        <a:xfrm>
          <a:off x="1896110" y="328366120"/>
          <a:ext cx="13067892" cy="1516062"/>
        </a:xfrm>
        <a:prstGeom prst="rect">
          <a:avLst/>
        </a:prstGeom>
      </xdr:spPr>
    </xdr:pic>
    <xdr:clientData/>
  </xdr:oneCellAnchor>
  <xdr:oneCellAnchor>
    <xdr:from>
      <xdr:col>5</xdr:col>
      <xdr:colOff>312261</xdr:colOff>
      <xdr:row>1179</xdr:row>
      <xdr:rowOff>44449</xdr:rowOff>
    </xdr:from>
    <xdr:ext cx="1831451" cy="493397"/>
    <xdr:pic>
      <xdr:nvPicPr>
        <xdr:cNvPr id="49" name="Imagen 48">
          <a:extLst>
            <a:ext uri="{FF2B5EF4-FFF2-40B4-BE49-F238E27FC236}">
              <a16:creationId xmlns:a16="http://schemas.microsoft.com/office/drawing/2014/main" id="{C6C30463-5821-4D68-9AEC-C2F73C50FEAF}"/>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427061" y="341062309"/>
          <a:ext cx="1831451" cy="493397"/>
        </a:xfrm>
        <a:prstGeom prst="rect">
          <a:avLst/>
        </a:prstGeom>
        <a:noFill/>
      </xdr:spPr>
    </xdr:pic>
    <xdr:clientData/>
  </xdr:oneCellAnchor>
  <xdr:oneCellAnchor>
    <xdr:from>
      <xdr:col>5</xdr:col>
      <xdr:colOff>39370</xdr:colOff>
      <xdr:row>1258</xdr:row>
      <xdr:rowOff>53975</xdr:rowOff>
    </xdr:from>
    <xdr:ext cx="8702647" cy="1489905"/>
    <xdr:pic>
      <xdr:nvPicPr>
        <xdr:cNvPr id="50" name="Imagen 49">
          <a:extLst>
            <a:ext uri="{FF2B5EF4-FFF2-40B4-BE49-F238E27FC236}">
              <a16:creationId xmlns:a16="http://schemas.microsoft.com/office/drawing/2014/main" id="{2317BBF1-BD5B-49EA-B148-B3F87DDD2D16}"/>
            </a:ext>
          </a:extLst>
        </xdr:cNvPr>
        <xdr:cNvPicPr>
          <a:picLocks noChangeAspect="1"/>
        </xdr:cNvPicPr>
      </xdr:nvPicPr>
      <xdr:blipFill>
        <a:blip xmlns:r="http://schemas.openxmlformats.org/officeDocument/2006/relationships" r:embed="rId1"/>
        <a:stretch>
          <a:fillRect/>
        </a:stretch>
      </xdr:blipFill>
      <xdr:spPr>
        <a:xfrm>
          <a:off x="4154170" y="364770035"/>
          <a:ext cx="8702647" cy="1489905"/>
        </a:xfrm>
        <a:prstGeom prst="rect">
          <a:avLst/>
        </a:prstGeom>
      </xdr:spPr>
    </xdr:pic>
    <xdr:clientData/>
  </xdr:oneCellAnchor>
  <xdr:oneCellAnchor>
    <xdr:from>
      <xdr:col>2</xdr:col>
      <xdr:colOff>311150</xdr:colOff>
      <xdr:row>1188</xdr:row>
      <xdr:rowOff>127000</xdr:rowOff>
    </xdr:from>
    <xdr:ext cx="13067892" cy="1516062"/>
    <xdr:pic>
      <xdr:nvPicPr>
        <xdr:cNvPr id="51" name="Imagen 50">
          <a:extLst>
            <a:ext uri="{FF2B5EF4-FFF2-40B4-BE49-F238E27FC236}">
              <a16:creationId xmlns:a16="http://schemas.microsoft.com/office/drawing/2014/main" id="{E8C7FF8C-2694-4A52-9B2D-070FBCDAB4A4}"/>
            </a:ext>
          </a:extLst>
        </xdr:cNvPr>
        <xdr:cNvPicPr>
          <a:picLocks noChangeAspect="1"/>
        </xdr:cNvPicPr>
      </xdr:nvPicPr>
      <xdr:blipFill>
        <a:blip xmlns:r="http://schemas.openxmlformats.org/officeDocument/2006/relationships" r:embed="rId2"/>
        <a:stretch>
          <a:fillRect/>
        </a:stretch>
      </xdr:blipFill>
      <xdr:spPr>
        <a:xfrm>
          <a:off x="1896110" y="344017600"/>
          <a:ext cx="13067892" cy="1516062"/>
        </a:xfrm>
        <a:prstGeom prst="rect">
          <a:avLst/>
        </a:prstGeom>
      </xdr:spPr>
    </xdr:pic>
    <xdr:clientData/>
  </xdr:oneCellAnchor>
  <xdr:oneCellAnchor>
    <xdr:from>
      <xdr:col>5</xdr:col>
      <xdr:colOff>312261</xdr:colOff>
      <xdr:row>1253</xdr:row>
      <xdr:rowOff>44449</xdr:rowOff>
    </xdr:from>
    <xdr:ext cx="1831451" cy="493397"/>
    <xdr:pic>
      <xdr:nvPicPr>
        <xdr:cNvPr id="52" name="Imagen 51">
          <a:extLst>
            <a:ext uri="{FF2B5EF4-FFF2-40B4-BE49-F238E27FC236}">
              <a16:creationId xmlns:a16="http://schemas.microsoft.com/office/drawing/2014/main" id="{0143CC3B-EB85-4FFC-8481-C2CB2C0A2AD5}"/>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427061" y="363922309"/>
          <a:ext cx="1831451" cy="493397"/>
        </a:xfrm>
        <a:prstGeom prst="rect">
          <a:avLst/>
        </a:prstGeom>
        <a:noFill/>
      </xdr:spPr>
    </xdr:pic>
    <xdr:clientData/>
  </xdr:oneCellAnchor>
  <xdr:oneCellAnchor>
    <xdr:from>
      <xdr:col>5</xdr:col>
      <xdr:colOff>39370</xdr:colOff>
      <xdr:row>1332</xdr:row>
      <xdr:rowOff>53975</xdr:rowOff>
    </xdr:from>
    <xdr:ext cx="8702647" cy="1489905"/>
    <xdr:pic>
      <xdr:nvPicPr>
        <xdr:cNvPr id="53" name="Imagen 52">
          <a:extLst>
            <a:ext uri="{FF2B5EF4-FFF2-40B4-BE49-F238E27FC236}">
              <a16:creationId xmlns:a16="http://schemas.microsoft.com/office/drawing/2014/main" id="{F0A0F355-B5D6-4C6F-A0CE-DAF144E4F653}"/>
            </a:ext>
          </a:extLst>
        </xdr:cNvPr>
        <xdr:cNvPicPr>
          <a:picLocks noChangeAspect="1"/>
        </xdr:cNvPicPr>
      </xdr:nvPicPr>
      <xdr:blipFill>
        <a:blip xmlns:r="http://schemas.openxmlformats.org/officeDocument/2006/relationships" r:embed="rId1"/>
        <a:stretch>
          <a:fillRect/>
        </a:stretch>
      </xdr:blipFill>
      <xdr:spPr>
        <a:xfrm>
          <a:off x="4154170" y="380421515"/>
          <a:ext cx="8702647" cy="1489905"/>
        </a:xfrm>
        <a:prstGeom prst="rect">
          <a:avLst/>
        </a:prstGeom>
      </xdr:spPr>
    </xdr:pic>
    <xdr:clientData/>
  </xdr:oneCellAnchor>
  <xdr:oneCellAnchor>
    <xdr:from>
      <xdr:col>2</xdr:col>
      <xdr:colOff>311150</xdr:colOff>
      <xdr:row>1262</xdr:row>
      <xdr:rowOff>127000</xdr:rowOff>
    </xdr:from>
    <xdr:ext cx="13067892" cy="1516062"/>
    <xdr:pic>
      <xdr:nvPicPr>
        <xdr:cNvPr id="54" name="Imagen 53">
          <a:extLst>
            <a:ext uri="{FF2B5EF4-FFF2-40B4-BE49-F238E27FC236}">
              <a16:creationId xmlns:a16="http://schemas.microsoft.com/office/drawing/2014/main" id="{0A48B201-8B41-4965-9681-0FE262DF00A6}"/>
            </a:ext>
          </a:extLst>
        </xdr:cNvPr>
        <xdr:cNvPicPr>
          <a:picLocks noChangeAspect="1"/>
        </xdr:cNvPicPr>
      </xdr:nvPicPr>
      <xdr:blipFill>
        <a:blip xmlns:r="http://schemas.openxmlformats.org/officeDocument/2006/relationships" r:embed="rId2"/>
        <a:stretch>
          <a:fillRect/>
        </a:stretch>
      </xdr:blipFill>
      <xdr:spPr>
        <a:xfrm>
          <a:off x="1896110" y="366877600"/>
          <a:ext cx="13067892" cy="1516062"/>
        </a:xfrm>
        <a:prstGeom prst="rect">
          <a:avLst/>
        </a:prstGeom>
      </xdr:spPr>
    </xdr:pic>
    <xdr:clientData/>
  </xdr:oneCellAnchor>
  <xdr:oneCellAnchor>
    <xdr:from>
      <xdr:col>5</xdr:col>
      <xdr:colOff>312261</xdr:colOff>
      <xdr:row>1327</xdr:row>
      <xdr:rowOff>44449</xdr:rowOff>
    </xdr:from>
    <xdr:ext cx="1831451" cy="493397"/>
    <xdr:pic>
      <xdr:nvPicPr>
        <xdr:cNvPr id="55" name="Imagen 54">
          <a:extLst>
            <a:ext uri="{FF2B5EF4-FFF2-40B4-BE49-F238E27FC236}">
              <a16:creationId xmlns:a16="http://schemas.microsoft.com/office/drawing/2014/main" id="{F26E5151-8B74-4AA1-A302-C9838B6A0CAA}"/>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427061" y="379573789"/>
          <a:ext cx="1831451" cy="493397"/>
        </a:xfrm>
        <a:prstGeom prst="rect">
          <a:avLst/>
        </a:prstGeom>
        <a:noFill/>
      </xdr:spPr>
    </xdr:pic>
    <xdr:clientData/>
  </xdr:oneCellAnchor>
  <xdr:oneCellAnchor>
    <xdr:from>
      <xdr:col>5</xdr:col>
      <xdr:colOff>39370</xdr:colOff>
      <xdr:row>1407</xdr:row>
      <xdr:rowOff>53975</xdr:rowOff>
    </xdr:from>
    <xdr:ext cx="8702647" cy="1489905"/>
    <xdr:pic>
      <xdr:nvPicPr>
        <xdr:cNvPr id="56" name="Imagen 55">
          <a:extLst>
            <a:ext uri="{FF2B5EF4-FFF2-40B4-BE49-F238E27FC236}">
              <a16:creationId xmlns:a16="http://schemas.microsoft.com/office/drawing/2014/main" id="{64ABE53C-02F7-4EB4-9086-7E24D065335F}"/>
            </a:ext>
          </a:extLst>
        </xdr:cNvPr>
        <xdr:cNvPicPr>
          <a:picLocks noChangeAspect="1"/>
        </xdr:cNvPicPr>
      </xdr:nvPicPr>
      <xdr:blipFill>
        <a:blip xmlns:r="http://schemas.openxmlformats.org/officeDocument/2006/relationships" r:embed="rId1"/>
        <a:stretch>
          <a:fillRect/>
        </a:stretch>
      </xdr:blipFill>
      <xdr:spPr>
        <a:xfrm>
          <a:off x="4154170" y="403449155"/>
          <a:ext cx="8702647" cy="1489905"/>
        </a:xfrm>
        <a:prstGeom prst="rect">
          <a:avLst/>
        </a:prstGeom>
      </xdr:spPr>
    </xdr:pic>
    <xdr:clientData/>
  </xdr:oneCellAnchor>
  <xdr:oneCellAnchor>
    <xdr:from>
      <xdr:col>3</xdr:col>
      <xdr:colOff>349250</xdr:colOff>
      <xdr:row>1337</xdr:row>
      <xdr:rowOff>127000</xdr:rowOff>
    </xdr:from>
    <xdr:ext cx="13067892" cy="1516062"/>
    <xdr:pic>
      <xdr:nvPicPr>
        <xdr:cNvPr id="57" name="Imagen 56">
          <a:extLst>
            <a:ext uri="{FF2B5EF4-FFF2-40B4-BE49-F238E27FC236}">
              <a16:creationId xmlns:a16="http://schemas.microsoft.com/office/drawing/2014/main" id="{A5E382CD-2F19-48FF-83F6-CF0B41293328}"/>
            </a:ext>
          </a:extLst>
        </xdr:cNvPr>
        <xdr:cNvPicPr>
          <a:picLocks noChangeAspect="1"/>
        </xdr:cNvPicPr>
      </xdr:nvPicPr>
      <xdr:blipFill>
        <a:blip xmlns:r="http://schemas.openxmlformats.org/officeDocument/2006/relationships" r:embed="rId2"/>
        <a:stretch>
          <a:fillRect/>
        </a:stretch>
      </xdr:blipFill>
      <xdr:spPr>
        <a:xfrm>
          <a:off x="2719070" y="382696720"/>
          <a:ext cx="13067892" cy="1516062"/>
        </a:xfrm>
        <a:prstGeom prst="rect">
          <a:avLst/>
        </a:prstGeom>
      </xdr:spPr>
    </xdr:pic>
    <xdr:clientData/>
  </xdr:oneCellAnchor>
  <xdr:oneCellAnchor>
    <xdr:from>
      <xdr:col>5</xdr:col>
      <xdr:colOff>312261</xdr:colOff>
      <xdr:row>1402</xdr:row>
      <xdr:rowOff>44449</xdr:rowOff>
    </xdr:from>
    <xdr:ext cx="1831451" cy="493397"/>
    <xdr:pic>
      <xdr:nvPicPr>
        <xdr:cNvPr id="58" name="Imagen 57">
          <a:extLst>
            <a:ext uri="{FF2B5EF4-FFF2-40B4-BE49-F238E27FC236}">
              <a16:creationId xmlns:a16="http://schemas.microsoft.com/office/drawing/2014/main" id="{1318A7D2-23B5-497A-8EB7-ADA27EA9E58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427061" y="402601429"/>
          <a:ext cx="1831451" cy="493397"/>
        </a:xfrm>
        <a:prstGeom prst="rect">
          <a:avLst/>
        </a:prstGeom>
        <a:noFill/>
      </xdr:spPr>
    </xdr:pic>
    <xdr:clientData/>
  </xdr:oneCellAnchor>
  <xdr:oneCellAnchor>
    <xdr:from>
      <xdr:col>5</xdr:col>
      <xdr:colOff>39370</xdr:colOff>
      <xdr:row>1481</xdr:row>
      <xdr:rowOff>53975</xdr:rowOff>
    </xdr:from>
    <xdr:ext cx="8702647" cy="1489905"/>
    <xdr:pic>
      <xdr:nvPicPr>
        <xdr:cNvPr id="59" name="Imagen 58">
          <a:extLst>
            <a:ext uri="{FF2B5EF4-FFF2-40B4-BE49-F238E27FC236}">
              <a16:creationId xmlns:a16="http://schemas.microsoft.com/office/drawing/2014/main" id="{AAF2888F-325C-4D4F-AA37-DC74D4D29C44}"/>
            </a:ext>
          </a:extLst>
        </xdr:cNvPr>
        <xdr:cNvPicPr>
          <a:picLocks noChangeAspect="1"/>
        </xdr:cNvPicPr>
      </xdr:nvPicPr>
      <xdr:blipFill>
        <a:blip xmlns:r="http://schemas.openxmlformats.org/officeDocument/2006/relationships" r:embed="rId1"/>
        <a:stretch>
          <a:fillRect/>
        </a:stretch>
      </xdr:blipFill>
      <xdr:spPr>
        <a:xfrm>
          <a:off x="4154170" y="419100635"/>
          <a:ext cx="8702647" cy="1489905"/>
        </a:xfrm>
        <a:prstGeom prst="rect">
          <a:avLst/>
        </a:prstGeom>
      </xdr:spPr>
    </xdr:pic>
    <xdr:clientData/>
  </xdr:oneCellAnchor>
  <xdr:oneCellAnchor>
    <xdr:from>
      <xdr:col>2</xdr:col>
      <xdr:colOff>311150</xdr:colOff>
      <xdr:row>1411</xdr:row>
      <xdr:rowOff>127000</xdr:rowOff>
    </xdr:from>
    <xdr:ext cx="13067892" cy="1516062"/>
    <xdr:pic>
      <xdr:nvPicPr>
        <xdr:cNvPr id="60" name="Imagen 59">
          <a:extLst>
            <a:ext uri="{FF2B5EF4-FFF2-40B4-BE49-F238E27FC236}">
              <a16:creationId xmlns:a16="http://schemas.microsoft.com/office/drawing/2014/main" id="{BD542174-E99B-4525-B4C3-803EAC66D443}"/>
            </a:ext>
          </a:extLst>
        </xdr:cNvPr>
        <xdr:cNvPicPr>
          <a:picLocks noChangeAspect="1"/>
        </xdr:cNvPicPr>
      </xdr:nvPicPr>
      <xdr:blipFill>
        <a:blip xmlns:r="http://schemas.openxmlformats.org/officeDocument/2006/relationships" r:embed="rId2"/>
        <a:stretch>
          <a:fillRect/>
        </a:stretch>
      </xdr:blipFill>
      <xdr:spPr>
        <a:xfrm>
          <a:off x="1896110" y="405556720"/>
          <a:ext cx="13067892" cy="1516062"/>
        </a:xfrm>
        <a:prstGeom prst="rect">
          <a:avLst/>
        </a:prstGeom>
      </xdr:spPr>
    </xdr:pic>
    <xdr:clientData/>
  </xdr:oneCellAnchor>
  <xdr:oneCellAnchor>
    <xdr:from>
      <xdr:col>5</xdr:col>
      <xdr:colOff>312261</xdr:colOff>
      <xdr:row>1476</xdr:row>
      <xdr:rowOff>44449</xdr:rowOff>
    </xdr:from>
    <xdr:ext cx="1831451" cy="493397"/>
    <xdr:pic>
      <xdr:nvPicPr>
        <xdr:cNvPr id="61" name="Imagen 60">
          <a:extLst>
            <a:ext uri="{FF2B5EF4-FFF2-40B4-BE49-F238E27FC236}">
              <a16:creationId xmlns:a16="http://schemas.microsoft.com/office/drawing/2014/main" id="{952AD080-3891-4532-B118-49200BBE7D82}"/>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427061" y="418252909"/>
          <a:ext cx="1831451" cy="493397"/>
        </a:xfrm>
        <a:prstGeom prst="rect">
          <a:avLst/>
        </a:prstGeom>
        <a:noFill/>
      </xdr:spPr>
    </xdr:pic>
    <xdr:clientData/>
  </xdr:oneCellAnchor>
  <xdr:oneCellAnchor>
    <xdr:from>
      <xdr:col>5</xdr:col>
      <xdr:colOff>39370</xdr:colOff>
      <xdr:row>1556</xdr:row>
      <xdr:rowOff>53975</xdr:rowOff>
    </xdr:from>
    <xdr:ext cx="8702647" cy="1489905"/>
    <xdr:pic>
      <xdr:nvPicPr>
        <xdr:cNvPr id="62" name="Imagen 61">
          <a:extLst>
            <a:ext uri="{FF2B5EF4-FFF2-40B4-BE49-F238E27FC236}">
              <a16:creationId xmlns:a16="http://schemas.microsoft.com/office/drawing/2014/main" id="{C73EBD8D-8305-4DF3-A296-F71DF2DC90E9}"/>
            </a:ext>
          </a:extLst>
        </xdr:cNvPr>
        <xdr:cNvPicPr>
          <a:picLocks noChangeAspect="1"/>
        </xdr:cNvPicPr>
      </xdr:nvPicPr>
      <xdr:blipFill>
        <a:blip xmlns:r="http://schemas.openxmlformats.org/officeDocument/2006/relationships" r:embed="rId1"/>
        <a:stretch>
          <a:fillRect/>
        </a:stretch>
      </xdr:blipFill>
      <xdr:spPr>
        <a:xfrm>
          <a:off x="4154170" y="442128275"/>
          <a:ext cx="8702647" cy="1489905"/>
        </a:xfrm>
        <a:prstGeom prst="rect">
          <a:avLst/>
        </a:prstGeom>
      </xdr:spPr>
    </xdr:pic>
    <xdr:clientData/>
  </xdr:oneCellAnchor>
  <xdr:oneCellAnchor>
    <xdr:from>
      <xdr:col>3</xdr:col>
      <xdr:colOff>349250</xdr:colOff>
      <xdr:row>1486</xdr:row>
      <xdr:rowOff>127000</xdr:rowOff>
    </xdr:from>
    <xdr:ext cx="13067892" cy="1516062"/>
    <xdr:pic>
      <xdr:nvPicPr>
        <xdr:cNvPr id="63" name="Imagen 62">
          <a:extLst>
            <a:ext uri="{FF2B5EF4-FFF2-40B4-BE49-F238E27FC236}">
              <a16:creationId xmlns:a16="http://schemas.microsoft.com/office/drawing/2014/main" id="{B4056CFA-D865-450A-B4DC-45575B599FC5}"/>
            </a:ext>
          </a:extLst>
        </xdr:cNvPr>
        <xdr:cNvPicPr>
          <a:picLocks noChangeAspect="1"/>
        </xdr:cNvPicPr>
      </xdr:nvPicPr>
      <xdr:blipFill>
        <a:blip xmlns:r="http://schemas.openxmlformats.org/officeDocument/2006/relationships" r:embed="rId2"/>
        <a:stretch>
          <a:fillRect/>
        </a:stretch>
      </xdr:blipFill>
      <xdr:spPr>
        <a:xfrm>
          <a:off x="2719070" y="421375840"/>
          <a:ext cx="13067892" cy="1516062"/>
        </a:xfrm>
        <a:prstGeom prst="rect">
          <a:avLst/>
        </a:prstGeom>
      </xdr:spPr>
    </xdr:pic>
    <xdr:clientData/>
  </xdr:oneCellAnchor>
  <xdr:oneCellAnchor>
    <xdr:from>
      <xdr:col>5</xdr:col>
      <xdr:colOff>312261</xdr:colOff>
      <xdr:row>1551</xdr:row>
      <xdr:rowOff>44449</xdr:rowOff>
    </xdr:from>
    <xdr:ext cx="1831451" cy="493397"/>
    <xdr:pic>
      <xdr:nvPicPr>
        <xdr:cNvPr id="64" name="Imagen 63">
          <a:extLst>
            <a:ext uri="{FF2B5EF4-FFF2-40B4-BE49-F238E27FC236}">
              <a16:creationId xmlns:a16="http://schemas.microsoft.com/office/drawing/2014/main" id="{CE4041B2-349D-4BC7-97BE-4549C9798AD6}"/>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427061" y="441280549"/>
          <a:ext cx="1831451" cy="493397"/>
        </a:xfrm>
        <a:prstGeom prst="rect">
          <a:avLst/>
        </a:prstGeom>
        <a:noFill/>
      </xdr:spPr>
    </xdr:pic>
    <xdr:clientData/>
  </xdr:oneCellAnchor>
  <xdr:oneCellAnchor>
    <xdr:from>
      <xdr:col>5</xdr:col>
      <xdr:colOff>39370</xdr:colOff>
      <xdr:row>1630</xdr:row>
      <xdr:rowOff>53975</xdr:rowOff>
    </xdr:from>
    <xdr:ext cx="8702647" cy="1489905"/>
    <xdr:pic>
      <xdr:nvPicPr>
        <xdr:cNvPr id="65" name="Imagen 64">
          <a:extLst>
            <a:ext uri="{FF2B5EF4-FFF2-40B4-BE49-F238E27FC236}">
              <a16:creationId xmlns:a16="http://schemas.microsoft.com/office/drawing/2014/main" id="{9ECD87B1-4D6C-40C7-A94D-BEFF22232CCA}"/>
            </a:ext>
          </a:extLst>
        </xdr:cNvPr>
        <xdr:cNvPicPr>
          <a:picLocks noChangeAspect="1"/>
        </xdr:cNvPicPr>
      </xdr:nvPicPr>
      <xdr:blipFill>
        <a:blip xmlns:r="http://schemas.openxmlformats.org/officeDocument/2006/relationships" r:embed="rId1"/>
        <a:stretch>
          <a:fillRect/>
        </a:stretch>
      </xdr:blipFill>
      <xdr:spPr>
        <a:xfrm>
          <a:off x="4156628" y="329176523"/>
          <a:ext cx="8702647" cy="1489905"/>
        </a:xfrm>
        <a:prstGeom prst="rect">
          <a:avLst/>
        </a:prstGeom>
      </xdr:spPr>
    </xdr:pic>
    <xdr:clientData/>
  </xdr:oneCellAnchor>
  <xdr:oneCellAnchor>
    <xdr:from>
      <xdr:col>2</xdr:col>
      <xdr:colOff>311150</xdr:colOff>
      <xdr:row>1560</xdr:row>
      <xdr:rowOff>127000</xdr:rowOff>
    </xdr:from>
    <xdr:ext cx="13067892" cy="1516062"/>
    <xdr:pic>
      <xdr:nvPicPr>
        <xdr:cNvPr id="66" name="Imagen 65">
          <a:extLst>
            <a:ext uri="{FF2B5EF4-FFF2-40B4-BE49-F238E27FC236}">
              <a16:creationId xmlns:a16="http://schemas.microsoft.com/office/drawing/2014/main" id="{B401863E-BD48-496D-8C22-E8D0CE8F0CD8}"/>
            </a:ext>
          </a:extLst>
        </xdr:cNvPr>
        <xdr:cNvPicPr>
          <a:picLocks noChangeAspect="1"/>
        </xdr:cNvPicPr>
      </xdr:nvPicPr>
      <xdr:blipFill>
        <a:blip xmlns:r="http://schemas.openxmlformats.org/officeDocument/2006/relationships" r:embed="rId2"/>
        <a:stretch>
          <a:fillRect/>
        </a:stretch>
      </xdr:blipFill>
      <xdr:spPr>
        <a:xfrm>
          <a:off x="1896602" y="315349194"/>
          <a:ext cx="13067892" cy="1516062"/>
        </a:xfrm>
        <a:prstGeom prst="rect">
          <a:avLst/>
        </a:prstGeom>
      </xdr:spPr>
    </xdr:pic>
    <xdr:clientData/>
  </xdr:oneCellAnchor>
  <xdr:oneCellAnchor>
    <xdr:from>
      <xdr:col>5</xdr:col>
      <xdr:colOff>312261</xdr:colOff>
      <xdr:row>1625</xdr:row>
      <xdr:rowOff>44449</xdr:rowOff>
    </xdr:from>
    <xdr:ext cx="1831451" cy="493397"/>
    <xdr:pic>
      <xdr:nvPicPr>
        <xdr:cNvPr id="67" name="Imagen 66">
          <a:extLst>
            <a:ext uri="{FF2B5EF4-FFF2-40B4-BE49-F238E27FC236}">
              <a16:creationId xmlns:a16="http://schemas.microsoft.com/office/drawing/2014/main" id="{BF1C7A10-A4FE-40D6-A161-7C9F422DFBA9}"/>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429519" y="328306675"/>
          <a:ext cx="1831451" cy="493397"/>
        </a:xfrm>
        <a:prstGeom prst="rect">
          <a:avLst/>
        </a:prstGeom>
        <a:noFill/>
      </xdr:spPr>
    </xdr:pic>
    <xdr:clientData/>
  </xdr:oneCellAnchor>
  <xdr:oneCellAnchor>
    <xdr:from>
      <xdr:col>5</xdr:col>
      <xdr:colOff>39370</xdr:colOff>
      <xdr:row>1704</xdr:row>
      <xdr:rowOff>53975</xdr:rowOff>
    </xdr:from>
    <xdr:ext cx="8702647" cy="1489905"/>
    <xdr:pic>
      <xdr:nvPicPr>
        <xdr:cNvPr id="68" name="Imagen 67">
          <a:extLst>
            <a:ext uri="{FF2B5EF4-FFF2-40B4-BE49-F238E27FC236}">
              <a16:creationId xmlns:a16="http://schemas.microsoft.com/office/drawing/2014/main" id="{C5DC96E3-1EB0-49BB-B90C-2F2C77D22E9B}"/>
            </a:ext>
          </a:extLst>
        </xdr:cNvPr>
        <xdr:cNvPicPr>
          <a:picLocks noChangeAspect="1"/>
        </xdr:cNvPicPr>
      </xdr:nvPicPr>
      <xdr:blipFill>
        <a:blip xmlns:r="http://schemas.openxmlformats.org/officeDocument/2006/relationships" r:embed="rId1"/>
        <a:stretch>
          <a:fillRect/>
        </a:stretch>
      </xdr:blipFill>
      <xdr:spPr>
        <a:xfrm>
          <a:off x="4156628" y="351999652"/>
          <a:ext cx="8702647" cy="1489905"/>
        </a:xfrm>
        <a:prstGeom prst="rect">
          <a:avLst/>
        </a:prstGeom>
      </xdr:spPr>
    </xdr:pic>
    <xdr:clientData/>
  </xdr:oneCellAnchor>
  <xdr:oneCellAnchor>
    <xdr:from>
      <xdr:col>2</xdr:col>
      <xdr:colOff>311150</xdr:colOff>
      <xdr:row>1634</xdr:row>
      <xdr:rowOff>127000</xdr:rowOff>
    </xdr:from>
    <xdr:ext cx="13067892" cy="1516062"/>
    <xdr:pic>
      <xdr:nvPicPr>
        <xdr:cNvPr id="69" name="Imagen 68">
          <a:extLst>
            <a:ext uri="{FF2B5EF4-FFF2-40B4-BE49-F238E27FC236}">
              <a16:creationId xmlns:a16="http://schemas.microsoft.com/office/drawing/2014/main" id="{3A8E7705-7D2D-4AF1-A4F4-A20DEC88F1F8}"/>
            </a:ext>
          </a:extLst>
        </xdr:cNvPr>
        <xdr:cNvPicPr>
          <a:picLocks noChangeAspect="1"/>
        </xdr:cNvPicPr>
      </xdr:nvPicPr>
      <xdr:blipFill>
        <a:blip xmlns:r="http://schemas.openxmlformats.org/officeDocument/2006/relationships" r:embed="rId2"/>
        <a:stretch>
          <a:fillRect/>
        </a:stretch>
      </xdr:blipFill>
      <xdr:spPr>
        <a:xfrm>
          <a:off x="1896602" y="331289742"/>
          <a:ext cx="13067892" cy="1516062"/>
        </a:xfrm>
        <a:prstGeom prst="rect">
          <a:avLst/>
        </a:prstGeom>
      </xdr:spPr>
    </xdr:pic>
    <xdr:clientData/>
  </xdr:oneCellAnchor>
  <xdr:oneCellAnchor>
    <xdr:from>
      <xdr:col>5</xdr:col>
      <xdr:colOff>312261</xdr:colOff>
      <xdr:row>1699</xdr:row>
      <xdr:rowOff>44449</xdr:rowOff>
    </xdr:from>
    <xdr:ext cx="1831451" cy="493397"/>
    <xdr:pic>
      <xdr:nvPicPr>
        <xdr:cNvPr id="70" name="Imagen 69">
          <a:extLst>
            <a:ext uri="{FF2B5EF4-FFF2-40B4-BE49-F238E27FC236}">
              <a16:creationId xmlns:a16="http://schemas.microsoft.com/office/drawing/2014/main" id="{976C139E-95AC-4A3D-BD30-0040A88513F1}"/>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429519" y="351129804"/>
          <a:ext cx="1831451" cy="493397"/>
        </a:xfrm>
        <a:prstGeom prst="rect">
          <a:avLst/>
        </a:prstGeom>
        <a:noFill/>
      </xdr:spPr>
    </xdr:pic>
    <xdr:clientData/>
  </xdr:oneCellAnchor>
  <xdr:oneCellAnchor>
    <xdr:from>
      <xdr:col>5</xdr:col>
      <xdr:colOff>39370</xdr:colOff>
      <xdr:row>1778</xdr:row>
      <xdr:rowOff>53975</xdr:rowOff>
    </xdr:from>
    <xdr:ext cx="8702647" cy="1489905"/>
    <xdr:pic>
      <xdr:nvPicPr>
        <xdr:cNvPr id="71" name="Imagen 70">
          <a:extLst>
            <a:ext uri="{FF2B5EF4-FFF2-40B4-BE49-F238E27FC236}">
              <a16:creationId xmlns:a16="http://schemas.microsoft.com/office/drawing/2014/main" id="{A47FB345-1A94-4E09-BEC4-E312424B4AB5}"/>
            </a:ext>
          </a:extLst>
        </xdr:cNvPr>
        <xdr:cNvPicPr>
          <a:picLocks noChangeAspect="1"/>
        </xdr:cNvPicPr>
      </xdr:nvPicPr>
      <xdr:blipFill>
        <a:blip xmlns:r="http://schemas.openxmlformats.org/officeDocument/2006/relationships" r:embed="rId1"/>
        <a:stretch>
          <a:fillRect/>
        </a:stretch>
      </xdr:blipFill>
      <xdr:spPr>
        <a:xfrm>
          <a:off x="4156628" y="367940201"/>
          <a:ext cx="8702647" cy="1489905"/>
        </a:xfrm>
        <a:prstGeom prst="rect">
          <a:avLst/>
        </a:prstGeom>
      </xdr:spPr>
    </xdr:pic>
    <xdr:clientData/>
  </xdr:oneCellAnchor>
  <xdr:oneCellAnchor>
    <xdr:from>
      <xdr:col>2</xdr:col>
      <xdr:colOff>311150</xdr:colOff>
      <xdr:row>1708</xdr:row>
      <xdr:rowOff>127000</xdr:rowOff>
    </xdr:from>
    <xdr:ext cx="13067892" cy="1516062"/>
    <xdr:pic>
      <xdr:nvPicPr>
        <xdr:cNvPr id="72" name="Imagen 71">
          <a:extLst>
            <a:ext uri="{FF2B5EF4-FFF2-40B4-BE49-F238E27FC236}">
              <a16:creationId xmlns:a16="http://schemas.microsoft.com/office/drawing/2014/main" id="{30760E1E-1CE5-43B5-9EE7-C73707BF8F10}"/>
            </a:ext>
          </a:extLst>
        </xdr:cNvPr>
        <xdr:cNvPicPr>
          <a:picLocks noChangeAspect="1"/>
        </xdr:cNvPicPr>
      </xdr:nvPicPr>
      <xdr:blipFill>
        <a:blip xmlns:r="http://schemas.openxmlformats.org/officeDocument/2006/relationships" r:embed="rId2"/>
        <a:stretch>
          <a:fillRect/>
        </a:stretch>
      </xdr:blipFill>
      <xdr:spPr>
        <a:xfrm>
          <a:off x="1896602" y="354112871"/>
          <a:ext cx="13067892" cy="1516062"/>
        </a:xfrm>
        <a:prstGeom prst="rect">
          <a:avLst/>
        </a:prstGeom>
      </xdr:spPr>
    </xdr:pic>
    <xdr:clientData/>
  </xdr:oneCellAnchor>
  <xdr:oneCellAnchor>
    <xdr:from>
      <xdr:col>5</xdr:col>
      <xdr:colOff>312261</xdr:colOff>
      <xdr:row>1773</xdr:row>
      <xdr:rowOff>44449</xdr:rowOff>
    </xdr:from>
    <xdr:ext cx="1831451" cy="493397"/>
    <xdr:pic>
      <xdr:nvPicPr>
        <xdr:cNvPr id="73" name="Imagen 72">
          <a:extLst>
            <a:ext uri="{FF2B5EF4-FFF2-40B4-BE49-F238E27FC236}">
              <a16:creationId xmlns:a16="http://schemas.microsoft.com/office/drawing/2014/main" id="{5C48AD52-5475-4C83-A1AA-43A932F7DFF3}"/>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429519" y="367070352"/>
          <a:ext cx="1831451" cy="493397"/>
        </a:xfrm>
        <a:prstGeom prst="rect">
          <a:avLst/>
        </a:prstGeom>
        <a:noFill/>
      </xdr:spPr>
    </xdr:pic>
    <xdr:clientData/>
  </xdr:oneCellAnchor>
  <xdr:oneCellAnchor>
    <xdr:from>
      <xdr:col>5</xdr:col>
      <xdr:colOff>39370</xdr:colOff>
      <xdr:row>1852</xdr:row>
      <xdr:rowOff>53975</xdr:rowOff>
    </xdr:from>
    <xdr:ext cx="8702647" cy="1489905"/>
    <xdr:pic>
      <xdr:nvPicPr>
        <xdr:cNvPr id="74" name="Imagen 73">
          <a:extLst>
            <a:ext uri="{FF2B5EF4-FFF2-40B4-BE49-F238E27FC236}">
              <a16:creationId xmlns:a16="http://schemas.microsoft.com/office/drawing/2014/main" id="{EBA1948A-DAD7-4585-A109-ABB9DBBBF26E}"/>
            </a:ext>
          </a:extLst>
        </xdr:cNvPr>
        <xdr:cNvPicPr>
          <a:picLocks noChangeAspect="1"/>
        </xdr:cNvPicPr>
      </xdr:nvPicPr>
      <xdr:blipFill>
        <a:blip xmlns:r="http://schemas.openxmlformats.org/officeDocument/2006/relationships" r:embed="rId1"/>
        <a:stretch>
          <a:fillRect/>
        </a:stretch>
      </xdr:blipFill>
      <xdr:spPr>
        <a:xfrm>
          <a:off x="4156628" y="390935394"/>
          <a:ext cx="8702647" cy="1489905"/>
        </a:xfrm>
        <a:prstGeom prst="rect">
          <a:avLst/>
        </a:prstGeom>
      </xdr:spPr>
    </xdr:pic>
    <xdr:clientData/>
  </xdr:oneCellAnchor>
  <xdr:oneCellAnchor>
    <xdr:from>
      <xdr:col>3</xdr:col>
      <xdr:colOff>349250</xdr:colOff>
      <xdr:row>1782</xdr:row>
      <xdr:rowOff>127000</xdr:rowOff>
    </xdr:from>
    <xdr:ext cx="13067892" cy="1516062"/>
    <xdr:pic>
      <xdr:nvPicPr>
        <xdr:cNvPr id="75" name="Imagen 74">
          <a:extLst>
            <a:ext uri="{FF2B5EF4-FFF2-40B4-BE49-F238E27FC236}">
              <a16:creationId xmlns:a16="http://schemas.microsoft.com/office/drawing/2014/main" id="{45B4F71C-F432-4F7F-B09C-84C31B8852F7}"/>
            </a:ext>
          </a:extLst>
        </xdr:cNvPr>
        <xdr:cNvPicPr>
          <a:picLocks noChangeAspect="1"/>
        </xdr:cNvPicPr>
      </xdr:nvPicPr>
      <xdr:blipFill>
        <a:blip xmlns:r="http://schemas.openxmlformats.org/officeDocument/2006/relationships" r:embed="rId2"/>
        <a:stretch>
          <a:fillRect/>
        </a:stretch>
      </xdr:blipFill>
      <xdr:spPr>
        <a:xfrm>
          <a:off x="2721282" y="370225484"/>
          <a:ext cx="13067892" cy="1516062"/>
        </a:xfrm>
        <a:prstGeom prst="rect">
          <a:avLst/>
        </a:prstGeom>
      </xdr:spPr>
    </xdr:pic>
    <xdr:clientData/>
  </xdr:oneCellAnchor>
  <xdr:oneCellAnchor>
    <xdr:from>
      <xdr:col>5</xdr:col>
      <xdr:colOff>312261</xdr:colOff>
      <xdr:row>1847</xdr:row>
      <xdr:rowOff>44449</xdr:rowOff>
    </xdr:from>
    <xdr:ext cx="1831451" cy="493397"/>
    <xdr:pic>
      <xdr:nvPicPr>
        <xdr:cNvPr id="76" name="Imagen 75">
          <a:extLst>
            <a:ext uri="{FF2B5EF4-FFF2-40B4-BE49-F238E27FC236}">
              <a16:creationId xmlns:a16="http://schemas.microsoft.com/office/drawing/2014/main" id="{EA84D1DD-084A-4CA9-AE21-C96E36B311D9}"/>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429519" y="390065546"/>
          <a:ext cx="1831451" cy="493397"/>
        </a:xfrm>
        <a:prstGeom prst="rect">
          <a:avLst/>
        </a:prstGeom>
        <a:noFill/>
      </xdr:spPr>
    </xdr:pic>
    <xdr:clientData/>
  </xdr:oneCellAnchor>
  <xdr:oneCellAnchor>
    <xdr:from>
      <xdr:col>5</xdr:col>
      <xdr:colOff>39370</xdr:colOff>
      <xdr:row>1926</xdr:row>
      <xdr:rowOff>53975</xdr:rowOff>
    </xdr:from>
    <xdr:ext cx="8702647" cy="1489905"/>
    <xdr:pic>
      <xdr:nvPicPr>
        <xdr:cNvPr id="77" name="Imagen 76">
          <a:extLst>
            <a:ext uri="{FF2B5EF4-FFF2-40B4-BE49-F238E27FC236}">
              <a16:creationId xmlns:a16="http://schemas.microsoft.com/office/drawing/2014/main" id="{B858901A-4748-408E-B9C2-AB4E2C388D95}"/>
            </a:ext>
          </a:extLst>
        </xdr:cNvPr>
        <xdr:cNvPicPr>
          <a:picLocks noChangeAspect="1"/>
        </xdr:cNvPicPr>
      </xdr:nvPicPr>
      <xdr:blipFill>
        <a:blip xmlns:r="http://schemas.openxmlformats.org/officeDocument/2006/relationships" r:embed="rId1"/>
        <a:stretch>
          <a:fillRect/>
        </a:stretch>
      </xdr:blipFill>
      <xdr:spPr>
        <a:xfrm>
          <a:off x="4156628" y="413758523"/>
          <a:ext cx="8702647" cy="1489905"/>
        </a:xfrm>
        <a:prstGeom prst="rect">
          <a:avLst/>
        </a:prstGeom>
      </xdr:spPr>
    </xdr:pic>
    <xdr:clientData/>
  </xdr:oneCellAnchor>
  <xdr:oneCellAnchor>
    <xdr:from>
      <xdr:col>2</xdr:col>
      <xdr:colOff>311150</xdr:colOff>
      <xdr:row>1856</xdr:row>
      <xdr:rowOff>127000</xdr:rowOff>
    </xdr:from>
    <xdr:ext cx="13067892" cy="1516062"/>
    <xdr:pic>
      <xdr:nvPicPr>
        <xdr:cNvPr id="78" name="Imagen 77">
          <a:extLst>
            <a:ext uri="{FF2B5EF4-FFF2-40B4-BE49-F238E27FC236}">
              <a16:creationId xmlns:a16="http://schemas.microsoft.com/office/drawing/2014/main" id="{6E599090-A4C4-44BD-A355-43B6064329F9}"/>
            </a:ext>
          </a:extLst>
        </xdr:cNvPr>
        <xdr:cNvPicPr>
          <a:picLocks noChangeAspect="1"/>
        </xdr:cNvPicPr>
      </xdr:nvPicPr>
      <xdr:blipFill>
        <a:blip xmlns:r="http://schemas.openxmlformats.org/officeDocument/2006/relationships" r:embed="rId2"/>
        <a:stretch>
          <a:fillRect/>
        </a:stretch>
      </xdr:blipFill>
      <xdr:spPr>
        <a:xfrm>
          <a:off x="1896602" y="393048613"/>
          <a:ext cx="13067892" cy="1516062"/>
        </a:xfrm>
        <a:prstGeom prst="rect">
          <a:avLst/>
        </a:prstGeom>
      </xdr:spPr>
    </xdr:pic>
    <xdr:clientData/>
  </xdr:oneCellAnchor>
  <xdr:oneCellAnchor>
    <xdr:from>
      <xdr:col>5</xdr:col>
      <xdr:colOff>312261</xdr:colOff>
      <xdr:row>1921</xdr:row>
      <xdr:rowOff>44449</xdr:rowOff>
    </xdr:from>
    <xdr:ext cx="1831451" cy="493397"/>
    <xdr:pic>
      <xdr:nvPicPr>
        <xdr:cNvPr id="79" name="Imagen 78">
          <a:extLst>
            <a:ext uri="{FF2B5EF4-FFF2-40B4-BE49-F238E27FC236}">
              <a16:creationId xmlns:a16="http://schemas.microsoft.com/office/drawing/2014/main" id="{BF992386-E08B-42BB-B7D5-DE4BFF860859}"/>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429519" y="412888675"/>
          <a:ext cx="1831451" cy="493397"/>
        </a:xfrm>
        <a:prstGeom prst="rect">
          <a:avLst/>
        </a:prstGeom>
        <a:noFill/>
      </xdr:spPr>
    </xdr:pic>
    <xdr:clientData/>
  </xdr:oneCellAnchor>
  <xdr:oneCellAnchor>
    <xdr:from>
      <xdr:col>5</xdr:col>
      <xdr:colOff>39370</xdr:colOff>
      <xdr:row>2001</xdr:row>
      <xdr:rowOff>53975</xdr:rowOff>
    </xdr:from>
    <xdr:ext cx="8702647" cy="1489905"/>
    <xdr:pic>
      <xdr:nvPicPr>
        <xdr:cNvPr id="80" name="Imagen 79">
          <a:extLst>
            <a:ext uri="{FF2B5EF4-FFF2-40B4-BE49-F238E27FC236}">
              <a16:creationId xmlns:a16="http://schemas.microsoft.com/office/drawing/2014/main" id="{DFDB929E-1106-4C3C-8110-A88B512D2E2B}"/>
            </a:ext>
          </a:extLst>
        </xdr:cNvPr>
        <xdr:cNvPicPr>
          <a:picLocks noChangeAspect="1"/>
        </xdr:cNvPicPr>
      </xdr:nvPicPr>
      <xdr:blipFill>
        <a:blip xmlns:r="http://schemas.openxmlformats.org/officeDocument/2006/relationships" r:embed="rId1"/>
        <a:stretch>
          <a:fillRect/>
        </a:stretch>
      </xdr:blipFill>
      <xdr:spPr>
        <a:xfrm>
          <a:off x="4156628" y="436753717"/>
          <a:ext cx="8702647" cy="1489905"/>
        </a:xfrm>
        <a:prstGeom prst="rect">
          <a:avLst/>
        </a:prstGeom>
      </xdr:spPr>
    </xdr:pic>
    <xdr:clientData/>
  </xdr:oneCellAnchor>
  <xdr:oneCellAnchor>
    <xdr:from>
      <xdr:col>3</xdr:col>
      <xdr:colOff>349250</xdr:colOff>
      <xdr:row>1931</xdr:row>
      <xdr:rowOff>127000</xdr:rowOff>
    </xdr:from>
    <xdr:ext cx="13067892" cy="1516062"/>
    <xdr:pic>
      <xdr:nvPicPr>
        <xdr:cNvPr id="81" name="Imagen 80">
          <a:extLst>
            <a:ext uri="{FF2B5EF4-FFF2-40B4-BE49-F238E27FC236}">
              <a16:creationId xmlns:a16="http://schemas.microsoft.com/office/drawing/2014/main" id="{B176AC32-380F-4094-92F7-CB7F92AB3C23}"/>
            </a:ext>
          </a:extLst>
        </xdr:cNvPr>
        <xdr:cNvPicPr>
          <a:picLocks noChangeAspect="1"/>
        </xdr:cNvPicPr>
      </xdr:nvPicPr>
      <xdr:blipFill>
        <a:blip xmlns:r="http://schemas.openxmlformats.org/officeDocument/2006/relationships" r:embed="rId2"/>
        <a:stretch>
          <a:fillRect/>
        </a:stretch>
      </xdr:blipFill>
      <xdr:spPr>
        <a:xfrm>
          <a:off x="2721282" y="416043806"/>
          <a:ext cx="13067892" cy="1516062"/>
        </a:xfrm>
        <a:prstGeom prst="rect">
          <a:avLst/>
        </a:prstGeom>
      </xdr:spPr>
    </xdr:pic>
    <xdr:clientData/>
  </xdr:oneCellAnchor>
  <xdr:oneCellAnchor>
    <xdr:from>
      <xdr:col>5</xdr:col>
      <xdr:colOff>312261</xdr:colOff>
      <xdr:row>1996</xdr:row>
      <xdr:rowOff>44449</xdr:rowOff>
    </xdr:from>
    <xdr:ext cx="1831451" cy="493397"/>
    <xdr:pic>
      <xdr:nvPicPr>
        <xdr:cNvPr id="82" name="Imagen 81">
          <a:extLst>
            <a:ext uri="{FF2B5EF4-FFF2-40B4-BE49-F238E27FC236}">
              <a16:creationId xmlns:a16="http://schemas.microsoft.com/office/drawing/2014/main" id="{7170718E-9166-4576-AA7D-31839C63683E}"/>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429519" y="435883868"/>
          <a:ext cx="1831451" cy="493397"/>
        </a:xfrm>
        <a:prstGeom prst="rect">
          <a:avLst/>
        </a:prstGeom>
        <a:noFill/>
      </xdr:spPr>
    </xdr:pic>
    <xdr:clientData/>
  </xdr:oneCellAnchor>
  <xdr:twoCellAnchor editAs="oneCell">
    <xdr:from>
      <xdr:col>2</xdr:col>
      <xdr:colOff>179293</xdr:colOff>
      <xdr:row>44</xdr:row>
      <xdr:rowOff>24091</xdr:rowOff>
    </xdr:from>
    <xdr:to>
      <xdr:col>7</xdr:col>
      <xdr:colOff>567538</xdr:colOff>
      <xdr:row>55</xdr:row>
      <xdr:rowOff>67236</xdr:rowOff>
    </xdr:to>
    <xdr:pic>
      <xdr:nvPicPr>
        <xdr:cNvPr id="83" name="Imagen 82">
          <a:extLst>
            <a:ext uri="{FF2B5EF4-FFF2-40B4-BE49-F238E27FC236}">
              <a16:creationId xmlns:a16="http://schemas.microsoft.com/office/drawing/2014/main" id="{D061912A-8C9D-4DF1-9E52-ED8162C12690}"/>
            </a:ext>
          </a:extLst>
        </xdr:cNvPr>
        <xdr:cNvPicPr>
          <a:picLocks noChangeAspect="1"/>
        </xdr:cNvPicPr>
      </xdr:nvPicPr>
      <xdr:blipFill>
        <a:blip xmlns:r="http://schemas.openxmlformats.org/officeDocument/2006/relationships" r:embed="rId4"/>
        <a:stretch>
          <a:fillRect/>
        </a:stretch>
      </xdr:blipFill>
      <xdr:spPr>
        <a:xfrm>
          <a:off x="1725705" y="8764679"/>
          <a:ext cx="4366333" cy="2138645"/>
        </a:xfrm>
        <a:prstGeom prst="rect">
          <a:avLst/>
        </a:prstGeom>
      </xdr:spPr>
    </xdr:pic>
    <xdr:clientData/>
  </xdr:twoCellAnchor>
  <xdr:twoCellAnchor editAs="oneCell">
    <xdr:from>
      <xdr:col>2</xdr:col>
      <xdr:colOff>497541</xdr:colOff>
      <xdr:row>20</xdr:row>
      <xdr:rowOff>56028</xdr:rowOff>
    </xdr:from>
    <xdr:to>
      <xdr:col>7</xdr:col>
      <xdr:colOff>537416</xdr:colOff>
      <xdr:row>39</xdr:row>
      <xdr:rowOff>47162</xdr:rowOff>
    </xdr:to>
    <xdr:pic>
      <xdr:nvPicPr>
        <xdr:cNvPr id="84" name="Imagen 83">
          <a:extLst>
            <a:ext uri="{FF2B5EF4-FFF2-40B4-BE49-F238E27FC236}">
              <a16:creationId xmlns:a16="http://schemas.microsoft.com/office/drawing/2014/main" id="{9F6EF769-468C-4F90-8675-881CBD7C90BE}"/>
            </a:ext>
          </a:extLst>
        </xdr:cNvPr>
        <xdr:cNvPicPr>
          <a:picLocks noChangeAspect="1"/>
        </xdr:cNvPicPr>
      </xdr:nvPicPr>
      <xdr:blipFill>
        <a:blip xmlns:r="http://schemas.openxmlformats.org/officeDocument/2006/relationships" r:embed="rId5"/>
        <a:stretch>
          <a:fillRect/>
        </a:stretch>
      </xdr:blipFill>
      <xdr:spPr>
        <a:xfrm>
          <a:off x="2043953" y="5031440"/>
          <a:ext cx="4017963" cy="2971898"/>
        </a:xfrm>
        <a:prstGeom prst="rect">
          <a:avLst/>
        </a:prstGeom>
      </xdr:spPr>
    </xdr:pic>
    <xdr:clientData/>
  </xdr:twoCellAnchor>
  <xdr:twoCellAnchor editAs="oneCell">
    <xdr:from>
      <xdr:col>2</xdr:col>
      <xdr:colOff>190500</xdr:colOff>
      <xdr:row>92</xdr:row>
      <xdr:rowOff>268942</xdr:rowOff>
    </xdr:from>
    <xdr:to>
      <xdr:col>7</xdr:col>
      <xdr:colOff>577526</xdr:colOff>
      <xdr:row>110</xdr:row>
      <xdr:rowOff>296524</xdr:rowOff>
    </xdr:to>
    <xdr:pic>
      <xdr:nvPicPr>
        <xdr:cNvPr id="85" name="Imagen 84">
          <a:extLst>
            <a:ext uri="{FF2B5EF4-FFF2-40B4-BE49-F238E27FC236}">
              <a16:creationId xmlns:a16="http://schemas.microsoft.com/office/drawing/2014/main" id="{0471D792-26FF-1EB4-245B-EF01C2D9698E}"/>
            </a:ext>
          </a:extLst>
        </xdr:cNvPr>
        <xdr:cNvPicPr>
          <a:picLocks noChangeAspect="1"/>
        </xdr:cNvPicPr>
      </xdr:nvPicPr>
      <xdr:blipFill>
        <a:blip xmlns:r="http://schemas.openxmlformats.org/officeDocument/2006/relationships" r:embed="rId6"/>
        <a:stretch>
          <a:fillRect/>
        </a:stretch>
      </xdr:blipFill>
      <xdr:spPr>
        <a:xfrm>
          <a:off x="1736912" y="20069736"/>
          <a:ext cx="4365114" cy="5877053"/>
        </a:xfrm>
        <a:prstGeom prst="rect">
          <a:avLst/>
        </a:prstGeom>
      </xdr:spPr>
    </xdr:pic>
    <xdr:clientData/>
  </xdr:twoCellAnchor>
  <xdr:twoCellAnchor editAs="oneCell">
    <xdr:from>
      <xdr:col>2</xdr:col>
      <xdr:colOff>123265</xdr:colOff>
      <xdr:row>166</xdr:row>
      <xdr:rowOff>190500</xdr:rowOff>
    </xdr:from>
    <xdr:to>
      <xdr:col>7</xdr:col>
      <xdr:colOff>510291</xdr:colOff>
      <xdr:row>184</xdr:row>
      <xdr:rowOff>218083</xdr:rowOff>
    </xdr:to>
    <xdr:pic>
      <xdr:nvPicPr>
        <xdr:cNvPr id="86" name="Imagen 85">
          <a:extLst>
            <a:ext uri="{FF2B5EF4-FFF2-40B4-BE49-F238E27FC236}">
              <a16:creationId xmlns:a16="http://schemas.microsoft.com/office/drawing/2014/main" id="{6525DA6D-329F-44BC-602E-CAF4F40623D1}"/>
            </a:ext>
          </a:extLst>
        </xdr:cNvPr>
        <xdr:cNvPicPr>
          <a:picLocks noChangeAspect="1"/>
        </xdr:cNvPicPr>
      </xdr:nvPicPr>
      <xdr:blipFill>
        <a:blip xmlns:r="http://schemas.openxmlformats.org/officeDocument/2006/relationships" r:embed="rId6"/>
        <a:stretch>
          <a:fillRect/>
        </a:stretch>
      </xdr:blipFill>
      <xdr:spPr>
        <a:xfrm>
          <a:off x="1669677" y="42122912"/>
          <a:ext cx="4365114" cy="5877053"/>
        </a:xfrm>
        <a:prstGeom prst="rect">
          <a:avLst/>
        </a:prstGeom>
      </xdr:spPr>
    </xdr:pic>
    <xdr:clientData/>
  </xdr:twoCellAnchor>
  <xdr:twoCellAnchor editAs="oneCell">
    <xdr:from>
      <xdr:col>2</xdr:col>
      <xdr:colOff>280148</xdr:colOff>
      <xdr:row>241</xdr:row>
      <xdr:rowOff>44823</xdr:rowOff>
    </xdr:from>
    <xdr:to>
      <xdr:col>7</xdr:col>
      <xdr:colOff>667174</xdr:colOff>
      <xdr:row>259</xdr:row>
      <xdr:rowOff>72406</xdr:rowOff>
    </xdr:to>
    <xdr:pic>
      <xdr:nvPicPr>
        <xdr:cNvPr id="87" name="Imagen 86">
          <a:extLst>
            <a:ext uri="{FF2B5EF4-FFF2-40B4-BE49-F238E27FC236}">
              <a16:creationId xmlns:a16="http://schemas.microsoft.com/office/drawing/2014/main" id="{7B9C9FD9-6ABC-4A9F-2CC8-67085600FDA4}"/>
            </a:ext>
          </a:extLst>
        </xdr:cNvPr>
        <xdr:cNvPicPr>
          <a:picLocks noChangeAspect="1"/>
        </xdr:cNvPicPr>
      </xdr:nvPicPr>
      <xdr:blipFill>
        <a:blip xmlns:r="http://schemas.openxmlformats.org/officeDocument/2006/relationships" r:embed="rId6"/>
        <a:stretch>
          <a:fillRect/>
        </a:stretch>
      </xdr:blipFill>
      <xdr:spPr>
        <a:xfrm>
          <a:off x="1826560" y="64377794"/>
          <a:ext cx="4365114" cy="5877053"/>
        </a:xfrm>
        <a:prstGeom prst="rect">
          <a:avLst/>
        </a:prstGeom>
      </xdr:spPr>
    </xdr:pic>
    <xdr:clientData/>
  </xdr:twoCellAnchor>
  <xdr:twoCellAnchor editAs="oneCell">
    <xdr:from>
      <xdr:col>2</xdr:col>
      <xdr:colOff>212912</xdr:colOff>
      <xdr:row>314</xdr:row>
      <xdr:rowOff>145677</xdr:rowOff>
    </xdr:from>
    <xdr:to>
      <xdr:col>7</xdr:col>
      <xdr:colOff>599938</xdr:colOff>
      <xdr:row>333</xdr:row>
      <xdr:rowOff>16377</xdr:rowOff>
    </xdr:to>
    <xdr:pic>
      <xdr:nvPicPr>
        <xdr:cNvPr id="88" name="Imagen 87">
          <a:extLst>
            <a:ext uri="{FF2B5EF4-FFF2-40B4-BE49-F238E27FC236}">
              <a16:creationId xmlns:a16="http://schemas.microsoft.com/office/drawing/2014/main" id="{40FB706E-E089-FC73-A0FB-DC5674BB6FE4}"/>
            </a:ext>
          </a:extLst>
        </xdr:cNvPr>
        <xdr:cNvPicPr>
          <a:picLocks noChangeAspect="1"/>
        </xdr:cNvPicPr>
      </xdr:nvPicPr>
      <xdr:blipFill>
        <a:blip xmlns:r="http://schemas.openxmlformats.org/officeDocument/2006/relationships" r:embed="rId6"/>
        <a:stretch>
          <a:fillRect/>
        </a:stretch>
      </xdr:blipFill>
      <xdr:spPr>
        <a:xfrm>
          <a:off x="1759324" y="86016353"/>
          <a:ext cx="4365114" cy="5877053"/>
        </a:xfrm>
        <a:prstGeom prst="rect">
          <a:avLst/>
        </a:prstGeom>
      </xdr:spPr>
    </xdr:pic>
    <xdr:clientData/>
  </xdr:twoCellAnchor>
  <xdr:twoCellAnchor editAs="oneCell">
    <xdr:from>
      <xdr:col>2</xdr:col>
      <xdr:colOff>89647</xdr:colOff>
      <xdr:row>389</xdr:row>
      <xdr:rowOff>257736</xdr:rowOff>
    </xdr:from>
    <xdr:to>
      <xdr:col>7</xdr:col>
      <xdr:colOff>494317</xdr:colOff>
      <xdr:row>419</xdr:row>
      <xdr:rowOff>280147</xdr:rowOff>
    </xdr:to>
    <xdr:pic>
      <xdr:nvPicPr>
        <xdr:cNvPr id="89" name="Imagen 88">
          <a:extLst>
            <a:ext uri="{FF2B5EF4-FFF2-40B4-BE49-F238E27FC236}">
              <a16:creationId xmlns:a16="http://schemas.microsoft.com/office/drawing/2014/main" id="{449720A8-9232-17C9-DFB5-86DEF4598647}"/>
            </a:ext>
          </a:extLst>
        </xdr:cNvPr>
        <xdr:cNvPicPr>
          <a:picLocks noChangeAspect="1"/>
        </xdr:cNvPicPr>
      </xdr:nvPicPr>
      <xdr:blipFill>
        <a:blip xmlns:r="http://schemas.openxmlformats.org/officeDocument/2006/relationships" r:embed="rId7"/>
        <a:stretch>
          <a:fillRect/>
        </a:stretch>
      </xdr:blipFill>
      <xdr:spPr>
        <a:xfrm>
          <a:off x="1636059" y="108416912"/>
          <a:ext cx="4382758" cy="9771529"/>
        </a:xfrm>
        <a:prstGeom prst="rect">
          <a:avLst/>
        </a:prstGeom>
      </xdr:spPr>
    </xdr:pic>
    <xdr:clientData/>
  </xdr:twoCellAnchor>
  <xdr:twoCellAnchor editAs="oneCell">
    <xdr:from>
      <xdr:col>2</xdr:col>
      <xdr:colOff>100853</xdr:colOff>
      <xdr:row>463</xdr:row>
      <xdr:rowOff>123265</xdr:rowOff>
    </xdr:from>
    <xdr:to>
      <xdr:col>7</xdr:col>
      <xdr:colOff>505523</xdr:colOff>
      <xdr:row>493</xdr:row>
      <xdr:rowOff>145676</xdr:rowOff>
    </xdr:to>
    <xdr:pic>
      <xdr:nvPicPr>
        <xdr:cNvPr id="90" name="Imagen 89">
          <a:extLst>
            <a:ext uri="{FF2B5EF4-FFF2-40B4-BE49-F238E27FC236}">
              <a16:creationId xmlns:a16="http://schemas.microsoft.com/office/drawing/2014/main" id="{FE683B2C-F287-4217-BC7D-7C5395B0739F}"/>
            </a:ext>
          </a:extLst>
        </xdr:cNvPr>
        <xdr:cNvPicPr>
          <a:picLocks noChangeAspect="1"/>
        </xdr:cNvPicPr>
      </xdr:nvPicPr>
      <xdr:blipFill>
        <a:blip xmlns:r="http://schemas.openxmlformats.org/officeDocument/2006/relationships" r:embed="rId7"/>
        <a:stretch>
          <a:fillRect/>
        </a:stretch>
      </xdr:blipFill>
      <xdr:spPr>
        <a:xfrm>
          <a:off x="1647265" y="130414059"/>
          <a:ext cx="4382758" cy="9771529"/>
        </a:xfrm>
        <a:prstGeom prst="rect">
          <a:avLst/>
        </a:prstGeom>
      </xdr:spPr>
    </xdr:pic>
    <xdr:clientData/>
  </xdr:twoCellAnchor>
  <xdr:twoCellAnchor editAs="oneCell">
    <xdr:from>
      <xdr:col>2</xdr:col>
      <xdr:colOff>224118</xdr:colOff>
      <xdr:row>494</xdr:row>
      <xdr:rowOff>1</xdr:rowOff>
    </xdr:from>
    <xdr:to>
      <xdr:col>7</xdr:col>
      <xdr:colOff>488505</xdr:colOff>
      <xdr:row>504</xdr:row>
      <xdr:rowOff>100853</xdr:rowOff>
    </xdr:to>
    <xdr:pic>
      <xdr:nvPicPr>
        <xdr:cNvPr id="91" name="Imagen 90">
          <a:extLst>
            <a:ext uri="{FF2B5EF4-FFF2-40B4-BE49-F238E27FC236}">
              <a16:creationId xmlns:a16="http://schemas.microsoft.com/office/drawing/2014/main" id="{B1DA2C84-9915-CC5E-4F9E-BF4DB525EFF0}"/>
            </a:ext>
          </a:extLst>
        </xdr:cNvPr>
        <xdr:cNvPicPr>
          <a:picLocks noChangeAspect="1"/>
        </xdr:cNvPicPr>
      </xdr:nvPicPr>
      <xdr:blipFill>
        <a:blip xmlns:r="http://schemas.openxmlformats.org/officeDocument/2006/relationships" r:embed="rId8"/>
        <a:stretch>
          <a:fillRect/>
        </a:stretch>
      </xdr:blipFill>
      <xdr:spPr>
        <a:xfrm>
          <a:off x="1770530" y="140364883"/>
          <a:ext cx="4242475" cy="3350558"/>
        </a:xfrm>
        <a:prstGeom prst="rect">
          <a:avLst/>
        </a:prstGeom>
      </xdr:spPr>
    </xdr:pic>
    <xdr:clientData/>
  </xdr:twoCellAnchor>
  <xdr:twoCellAnchor editAs="oneCell">
    <xdr:from>
      <xdr:col>2</xdr:col>
      <xdr:colOff>324971</xdr:colOff>
      <xdr:row>543</xdr:row>
      <xdr:rowOff>56031</xdr:rowOff>
    </xdr:from>
    <xdr:to>
      <xdr:col>7</xdr:col>
      <xdr:colOff>600001</xdr:colOff>
      <xdr:row>554</xdr:row>
      <xdr:rowOff>22412</xdr:rowOff>
    </xdr:to>
    <xdr:pic>
      <xdr:nvPicPr>
        <xdr:cNvPr id="92" name="Imagen 91">
          <a:extLst>
            <a:ext uri="{FF2B5EF4-FFF2-40B4-BE49-F238E27FC236}">
              <a16:creationId xmlns:a16="http://schemas.microsoft.com/office/drawing/2014/main" id="{1D81F7C7-D3E1-030F-999F-596D3D5EE300}"/>
            </a:ext>
          </a:extLst>
        </xdr:cNvPr>
        <xdr:cNvPicPr>
          <a:picLocks noChangeAspect="1"/>
        </xdr:cNvPicPr>
      </xdr:nvPicPr>
      <xdr:blipFill>
        <a:blip xmlns:r="http://schemas.openxmlformats.org/officeDocument/2006/relationships" r:embed="rId9"/>
        <a:stretch>
          <a:fillRect/>
        </a:stretch>
      </xdr:blipFill>
      <xdr:spPr>
        <a:xfrm>
          <a:off x="1871383" y="154428266"/>
          <a:ext cx="4253118" cy="3541058"/>
        </a:xfrm>
        <a:prstGeom prst="rect">
          <a:avLst/>
        </a:prstGeom>
      </xdr:spPr>
    </xdr:pic>
    <xdr:clientData/>
  </xdr:twoCellAnchor>
  <xdr:twoCellAnchor editAs="oneCell">
    <xdr:from>
      <xdr:col>2</xdr:col>
      <xdr:colOff>459442</xdr:colOff>
      <xdr:row>612</xdr:row>
      <xdr:rowOff>89647</xdr:rowOff>
    </xdr:from>
    <xdr:to>
      <xdr:col>7</xdr:col>
      <xdr:colOff>1872</xdr:colOff>
      <xdr:row>627</xdr:row>
      <xdr:rowOff>169042</xdr:rowOff>
    </xdr:to>
    <xdr:pic>
      <xdr:nvPicPr>
        <xdr:cNvPr id="93" name="Imagen 92">
          <a:extLst>
            <a:ext uri="{FF2B5EF4-FFF2-40B4-BE49-F238E27FC236}">
              <a16:creationId xmlns:a16="http://schemas.microsoft.com/office/drawing/2014/main" id="{BC9BE0B9-A739-0513-8612-EEF30F18139D}"/>
            </a:ext>
          </a:extLst>
        </xdr:cNvPr>
        <xdr:cNvPicPr>
          <a:picLocks noChangeAspect="1"/>
        </xdr:cNvPicPr>
      </xdr:nvPicPr>
      <xdr:blipFill>
        <a:blip xmlns:r="http://schemas.openxmlformats.org/officeDocument/2006/relationships" r:embed="rId10"/>
        <a:stretch>
          <a:fillRect/>
        </a:stretch>
      </xdr:blipFill>
      <xdr:spPr>
        <a:xfrm>
          <a:off x="2005854" y="174968647"/>
          <a:ext cx="3520518" cy="4953954"/>
        </a:xfrm>
        <a:prstGeom prst="rect">
          <a:avLst/>
        </a:prstGeom>
      </xdr:spPr>
    </xdr:pic>
    <xdr:clientData/>
  </xdr:twoCellAnchor>
  <xdr:twoCellAnchor editAs="oneCell">
    <xdr:from>
      <xdr:col>2</xdr:col>
      <xdr:colOff>336177</xdr:colOff>
      <xdr:row>631</xdr:row>
      <xdr:rowOff>56029</xdr:rowOff>
    </xdr:from>
    <xdr:to>
      <xdr:col>7</xdr:col>
      <xdr:colOff>329278</xdr:colOff>
      <xdr:row>639</xdr:row>
      <xdr:rowOff>153675</xdr:rowOff>
    </xdr:to>
    <xdr:pic>
      <xdr:nvPicPr>
        <xdr:cNvPr id="94" name="Imagen 93">
          <a:extLst>
            <a:ext uri="{FF2B5EF4-FFF2-40B4-BE49-F238E27FC236}">
              <a16:creationId xmlns:a16="http://schemas.microsoft.com/office/drawing/2014/main" id="{48EE1B01-6140-51C6-8455-A8DA3CE626A9}"/>
            </a:ext>
          </a:extLst>
        </xdr:cNvPr>
        <xdr:cNvPicPr>
          <a:picLocks noChangeAspect="1"/>
        </xdr:cNvPicPr>
      </xdr:nvPicPr>
      <xdr:blipFill>
        <a:blip xmlns:r="http://schemas.openxmlformats.org/officeDocument/2006/relationships" r:embed="rId11"/>
        <a:stretch>
          <a:fillRect/>
        </a:stretch>
      </xdr:blipFill>
      <xdr:spPr>
        <a:xfrm>
          <a:off x="1882589" y="181109470"/>
          <a:ext cx="3971189" cy="2697411"/>
        </a:xfrm>
        <a:prstGeom prst="rect">
          <a:avLst/>
        </a:prstGeom>
      </xdr:spPr>
    </xdr:pic>
    <xdr:clientData/>
  </xdr:twoCellAnchor>
  <xdr:twoCellAnchor editAs="oneCell">
    <xdr:from>
      <xdr:col>2</xdr:col>
      <xdr:colOff>336176</xdr:colOff>
      <xdr:row>685</xdr:row>
      <xdr:rowOff>123264</xdr:rowOff>
    </xdr:from>
    <xdr:to>
      <xdr:col>7</xdr:col>
      <xdr:colOff>329277</xdr:colOff>
      <xdr:row>693</xdr:row>
      <xdr:rowOff>220910</xdr:rowOff>
    </xdr:to>
    <xdr:pic>
      <xdr:nvPicPr>
        <xdr:cNvPr id="95" name="Imagen 94">
          <a:extLst>
            <a:ext uri="{FF2B5EF4-FFF2-40B4-BE49-F238E27FC236}">
              <a16:creationId xmlns:a16="http://schemas.microsoft.com/office/drawing/2014/main" id="{6F76DD19-4E5B-453E-8932-53E7FAB36B32}"/>
            </a:ext>
          </a:extLst>
        </xdr:cNvPr>
        <xdr:cNvPicPr>
          <a:picLocks noChangeAspect="1"/>
        </xdr:cNvPicPr>
      </xdr:nvPicPr>
      <xdr:blipFill>
        <a:blip xmlns:r="http://schemas.openxmlformats.org/officeDocument/2006/relationships" r:embed="rId11"/>
        <a:stretch>
          <a:fillRect/>
        </a:stretch>
      </xdr:blipFill>
      <xdr:spPr>
        <a:xfrm>
          <a:off x="1882588" y="196808911"/>
          <a:ext cx="3971189" cy="2697411"/>
        </a:xfrm>
        <a:prstGeom prst="rect">
          <a:avLst/>
        </a:prstGeom>
      </xdr:spPr>
    </xdr:pic>
    <xdr:clientData/>
  </xdr:twoCellAnchor>
  <xdr:twoCellAnchor editAs="oneCell">
    <xdr:from>
      <xdr:col>2</xdr:col>
      <xdr:colOff>437029</xdr:colOff>
      <xdr:row>695</xdr:row>
      <xdr:rowOff>179294</xdr:rowOff>
    </xdr:from>
    <xdr:to>
      <xdr:col>6</xdr:col>
      <xdr:colOff>741459</xdr:colOff>
      <xdr:row>710</xdr:row>
      <xdr:rowOff>258689</xdr:rowOff>
    </xdr:to>
    <xdr:pic>
      <xdr:nvPicPr>
        <xdr:cNvPr id="96" name="Imagen 95">
          <a:extLst>
            <a:ext uri="{FF2B5EF4-FFF2-40B4-BE49-F238E27FC236}">
              <a16:creationId xmlns:a16="http://schemas.microsoft.com/office/drawing/2014/main" id="{7B2BFCD7-748E-42E3-8E05-429C2D808B3F}"/>
            </a:ext>
          </a:extLst>
        </xdr:cNvPr>
        <xdr:cNvPicPr>
          <a:picLocks noChangeAspect="1"/>
        </xdr:cNvPicPr>
      </xdr:nvPicPr>
      <xdr:blipFill>
        <a:blip xmlns:r="http://schemas.openxmlformats.org/officeDocument/2006/relationships" r:embed="rId10"/>
        <a:stretch>
          <a:fillRect/>
        </a:stretch>
      </xdr:blipFill>
      <xdr:spPr>
        <a:xfrm>
          <a:off x="1983441" y="200114647"/>
          <a:ext cx="3520518" cy="4953954"/>
        </a:xfrm>
        <a:prstGeom prst="rect">
          <a:avLst/>
        </a:prstGeom>
      </xdr:spPr>
    </xdr:pic>
    <xdr:clientData/>
  </xdr:twoCellAnchor>
  <xdr:twoCellAnchor>
    <xdr:from>
      <xdr:col>2</xdr:col>
      <xdr:colOff>414618</xdr:colOff>
      <xdr:row>760</xdr:row>
      <xdr:rowOff>235323</xdr:rowOff>
    </xdr:from>
    <xdr:to>
      <xdr:col>7</xdr:col>
      <xdr:colOff>156883</xdr:colOff>
      <xdr:row>770</xdr:row>
      <xdr:rowOff>65554</xdr:rowOff>
    </xdr:to>
    <xdr:grpSp>
      <xdr:nvGrpSpPr>
        <xdr:cNvPr id="97" name="Grupo 96">
          <a:extLst>
            <a:ext uri="{FF2B5EF4-FFF2-40B4-BE49-F238E27FC236}">
              <a16:creationId xmlns:a16="http://schemas.microsoft.com/office/drawing/2014/main" id="{EAE5D0B0-966F-4DFD-B148-124FF3068DFB}"/>
            </a:ext>
          </a:extLst>
        </xdr:cNvPr>
        <xdr:cNvGrpSpPr/>
      </xdr:nvGrpSpPr>
      <xdr:grpSpPr>
        <a:xfrm>
          <a:off x="1965832" y="222031752"/>
          <a:ext cx="3729158" cy="3095945"/>
          <a:chOff x="342900" y="273481799"/>
          <a:chExt cx="6480000" cy="4754892"/>
        </a:xfrm>
      </xdr:grpSpPr>
      <xdr:pic>
        <xdr:nvPicPr>
          <xdr:cNvPr id="98" name="Imagen 97">
            <a:extLst>
              <a:ext uri="{FF2B5EF4-FFF2-40B4-BE49-F238E27FC236}">
                <a16:creationId xmlns:a16="http://schemas.microsoft.com/office/drawing/2014/main" id="{A86A0D14-12EE-CA2F-196C-CB4D4BE12BCF}"/>
              </a:ext>
            </a:extLst>
          </xdr:cNvPr>
          <xdr:cNvPicPr>
            <a:picLocks noChangeAspect="1"/>
          </xdr:cNvPicPr>
        </xdr:nvPicPr>
        <xdr:blipFill rotWithShape="1">
          <a:blip xmlns:r="http://schemas.openxmlformats.org/officeDocument/2006/relationships" r:embed="rId12"/>
          <a:srcRect l="26774" t="19447" r="26137" b="9989"/>
          <a:stretch/>
        </xdr:blipFill>
        <xdr:spPr>
          <a:xfrm>
            <a:off x="342900" y="273481799"/>
            <a:ext cx="6480000" cy="4754892"/>
          </a:xfrm>
          <a:prstGeom prst="rect">
            <a:avLst/>
          </a:prstGeom>
        </xdr:spPr>
      </xdr:pic>
      <xdr:sp macro="" textlink="">
        <xdr:nvSpPr>
          <xdr:cNvPr id="99" name="Rectángulo 98">
            <a:extLst>
              <a:ext uri="{FF2B5EF4-FFF2-40B4-BE49-F238E27FC236}">
                <a16:creationId xmlns:a16="http://schemas.microsoft.com/office/drawing/2014/main" id="{E41CDFE5-63B7-874C-24EA-7A840D9CD251}"/>
              </a:ext>
            </a:extLst>
          </xdr:cNvPr>
          <xdr:cNvSpPr/>
        </xdr:nvSpPr>
        <xdr:spPr>
          <a:xfrm>
            <a:off x="1962150" y="275158200"/>
            <a:ext cx="3181350" cy="1485900"/>
          </a:xfrm>
          <a:prstGeom prst="rect">
            <a:avLst/>
          </a:prstGeom>
          <a:noFill/>
          <a:ln w="38100" cap="flat" cmpd="sng" algn="ctr">
            <a:solidFill>
              <a:srgbClr val="FF0000"/>
            </a:solidFill>
            <a:prstDash val="solid"/>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s-CO" sz="1100" b="0" i="0" u="none" strike="noStrike" kern="0" cap="none" spc="0" normalizeH="0" baseline="0" noProof="0">
              <a:ln>
                <a:noFill/>
              </a:ln>
              <a:noFill/>
              <a:effectLst/>
              <a:uLnTx/>
              <a:uFillTx/>
              <a:latin typeface="Calibri"/>
              <a:ea typeface="+mn-ea"/>
              <a:cs typeface="+mn-cs"/>
            </a:endParaRPr>
          </a:p>
        </xdr:txBody>
      </xdr:sp>
      <xdr:sp macro="" textlink="">
        <xdr:nvSpPr>
          <xdr:cNvPr id="100" name="Rectángulo 99">
            <a:extLst>
              <a:ext uri="{FF2B5EF4-FFF2-40B4-BE49-F238E27FC236}">
                <a16:creationId xmlns:a16="http://schemas.microsoft.com/office/drawing/2014/main" id="{5AF07917-1600-F20A-F559-7F339CB5FC79}"/>
              </a:ext>
            </a:extLst>
          </xdr:cNvPr>
          <xdr:cNvSpPr/>
        </xdr:nvSpPr>
        <xdr:spPr>
          <a:xfrm>
            <a:off x="1733550" y="274853398"/>
            <a:ext cx="3657600" cy="2038351"/>
          </a:xfrm>
          <a:prstGeom prst="rect">
            <a:avLst/>
          </a:prstGeom>
          <a:noFill/>
          <a:ln w="38100" cap="flat" cmpd="sng" algn="ctr">
            <a:solidFill>
              <a:srgbClr val="FF0000"/>
            </a:solidFill>
            <a:prstDash val="solid"/>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s-CO" sz="1100" b="0" i="0" u="none" strike="noStrike" kern="0" cap="none" spc="0" normalizeH="0" baseline="0" noProof="0">
              <a:ln>
                <a:noFill/>
              </a:ln>
              <a:noFill/>
              <a:effectLst/>
              <a:uLnTx/>
              <a:uFillTx/>
              <a:latin typeface="Calibri"/>
              <a:ea typeface="+mn-ea"/>
              <a:cs typeface="+mn-cs"/>
            </a:endParaRPr>
          </a:p>
        </xdr:txBody>
      </xdr:sp>
    </xdr:grpSp>
    <xdr:clientData/>
  </xdr:twoCellAnchor>
  <xdr:twoCellAnchor>
    <xdr:from>
      <xdr:col>3</xdr:col>
      <xdr:colOff>203480</xdr:colOff>
      <xdr:row>791</xdr:row>
      <xdr:rowOff>19121</xdr:rowOff>
    </xdr:from>
    <xdr:to>
      <xdr:col>7</xdr:col>
      <xdr:colOff>91731</xdr:colOff>
      <xdr:row>800</xdr:row>
      <xdr:rowOff>258949</xdr:rowOff>
    </xdr:to>
    <xdr:grpSp>
      <xdr:nvGrpSpPr>
        <xdr:cNvPr id="101" name="Grupo 100">
          <a:extLst>
            <a:ext uri="{FF2B5EF4-FFF2-40B4-BE49-F238E27FC236}">
              <a16:creationId xmlns:a16="http://schemas.microsoft.com/office/drawing/2014/main" id="{A3310F64-BBD5-4A12-9DDE-B7143C2B2785}"/>
            </a:ext>
          </a:extLst>
        </xdr:cNvPr>
        <xdr:cNvGrpSpPr/>
      </xdr:nvGrpSpPr>
      <xdr:grpSpPr>
        <a:xfrm>
          <a:off x="2516694" y="231939264"/>
          <a:ext cx="3113144" cy="3178971"/>
          <a:chOff x="857250" y="239268000"/>
          <a:chExt cx="5760000" cy="5353412"/>
        </a:xfrm>
      </xdr:grpSpPr>
      <xdr:pic>
        <xdr:nvPicPr>
          <xdr:cNvPr id="102" name="Imagen 101">
            <a:extLst>
              <a:ext uri="{FF2B5EF4-FFF2-40B4-BE49-F238E27FC236}">
                <a16:creationId xmlns:a16="http://schemas.microsoft.com/office/drawing/2014/main" id="{695A9B04-9FAF-53B1-2B55-3065C0507314}"/>
              </a:ext>
            </a:extLst>
          </xdr:cNvPr>
          <xdr:cNvPicPr>
            <a:picLocks noChangeAspect="1"/>
          </xdr:cNvPicPr>
        </xdr:nvPicPr>
        <xdr:blipFill rotWithShape="1">
          <a:blip xmlns:r="http://schemas.openxmlformats.org/officeDocument/2006/relationships" r:embed="rId13"/>
          <a:srcRect l="32400" t="23707" r="32179" b="17767"/>
          <a:stretch/>
        </xdr:blipFill>
        <xdr:spPr>
          <a:xfrm>
            <a:off x="857250" y="239268000"/>
            <a:ext cx="5760000" cy="5353412"/>
          </a:xfrm>
          <a:prstGeom prst="rect">
            <a:avLst/>
          </a:prstGeom>
        </xdr:spPr>
      </xdr:pic>
      <xdr:sp macro="" textlink="">
        <xdr:nvSpPr>
          <xdr:cNvPr id="103" name="Rectángulo 102">
            <a:extLst>
              <a:ext uri="{FF2B5EF4-FFF2-40B4-BE49-F238E27FC236}">
                <a16:creationId xmlns:a16="http://schemas.microsoft.com/office/drawing/2014/main" id="{FEBA3803-FD0F-3356-07A9-D7D0D0B399BC}"/>
              </a:ext>
            </a:extLst>
          </xdr:cNvPr>
          <xdr:cNvSpPr/>
        </xdr:nvSpPr>
        <xdr:spPr>
          <a:xfrm>
            <a:off x="1943100" y="240315750"/>
            <a:ext cx="3421098" cy="3657599"/>
          </a:xfrm>
          <a:prstGeom prst="rect">
            <a:avLst/>
          </a:prstGeom>
          <a:noFill/>
          <a:ln w="38100" cap="flat" cmpd="sng" algn="ctr">
            <a:solidFill>
              <a:srgbClr val="FF0000"/>
            </a:solidFill>
            <a:prstDash val="solid"/>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s-CO" sz="1100" b="0" i="0" u="none" strike="noStrike" kern="0" cap="none" spc="0" normalizeH="0" baseline="0" noProof="0">
              <a:ln>
                <a:noFill/>
              </a:ln>
              <a:noFill/>
              <a:effectLst/>
              <a:uLnTx/>
              <a:uFillTx/>
              <a:latin typeface="Calibri"/>
              <a:ea typeface="+mn-ea"/>
              <a:cs typeface="+mn-cs"/>
            </a:endParaRPr>
          </a:p>
        </xdr:txBody>
      </xdr:sp>
      <xdr:sp macro="" textlink="">
        <xdr:nvSpPr>
          <xdr:cNvPr id="104" name="Rectángulo 103">
            <a:extLst>
              <a:ext uri="{FF2B5EF4-FFF2-40B4-BE49-F238E27FC236}">
                <a16:creationId xmlns:a16="http://schemas.microsoft.com/office/drawing/2014/main" id="{AB5DB8B4-F187-D73E-87D5-FA665926104C}"/>
              </a:ext>
            </a:extLst>
          </xdr:cNvPr>
          <xdr:cNvSpPr/>
        </xdr:nvSpPr>
        <xdr:spPr>
          <a:xfrm rot="5400000">
            <a:off x="2158715" y="240778961"/>
            <a:ext cx="2965494" cy="2798730"/>
          </a:xfrm>
          <a:prstGeom prst="rect">
            <a:avLst/>
          </a:prstGeom>
          <a:noFill/>
          <a:ln w="38100" cap="flat" cmpd="sng" algn="ctr">
            <a:solidFill>
              <a:srgbClr val="FF0000"/>
            </a:solidFill>
            <a:prstDash val="solid"/>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s-CO" sz="1100" b="0" i="0" u="none" strike="noStrike" kern="0" cap="none" spc="0" normalizeH="0" baseline="0" noProof="0">
              <a:ln>
                <a:noFill/>
              </a:ln>
              <a:noFill/>
              <a:effectLst/>
              <a:uLnTx/>
              <a:uFillTx/>
              <a:latin typeface="Calibri"/>
              <a:ea typeface="+mn-ea"/>
              <a:cs typeface="+mn-cs"/>
            </a:endParaRPr>
          </a:p>
        </xdr:txBody>
      </xdr:sp>
    </xdr:grpSp>
    <xdr:clientData/>
  </xdr:twoCellAnchor>
  <xdr:twoCellAnchor>
    <xdr:from>
      <xdr:col>3</xdr:col>
      <xdr:colOff>100293</xdr:colOff>
      <xdr:row>776</xdr:row>
      <xdr:rowOff>18821</xdr:rowOff>
    </xdr:from>
    <xdr:to>
      <xdr:col>6</xdr:col>
      <xdr:colOff>750544</xdr:colOff>
      <xdr:row>785</xdr:row>
      <xdr:rowOff>240833</xdr:rowOff>
    </xdr:to>
    <xdr:grpSp>
      <xdr:nvGrpSpPr>
        <xdr:cNvPr id="105" name="Grupo 104">
          <a:extLst>
            <a:ext uri="{FF2B5EF4-FFF2-40B4-BE49-F238E27FC236}">
              <a16:creationId xmlns:a16="http://schemas.microsoft.com/office/drawing/2014/main" id="{AC26A32F-E4BB-4702-AC4E-0E87C74DB651}"/>
            </a:ext>
          </a:extLst>
        </xdr:cNvPr>
        <xdr:cNvGrpSpPr/>
      </xdr:nvGrpSpPr>
      <xdr:grpSpPr>
        <a:xfrm>
          <a:off x="2413507" y="227040392"/>
          <a:ext cx="3113144" cy="3161155"/>
          <a:chOff x="781050" y="340137750"/>
          <a:chExt cx="5410200" cy="4552950"/>
        </a:xfrm>
      </xdr:grpSpPr>
      <xdr:pic>
        <xdr:nvPicPr>
          <xdr:cNvPr id="106" name="Imagen 105">
            <a:extLst>
              <a:ext uri="{FF2B5EF4-FFF2-40B4-BE49-F238E27FC236}">
                <a16:creationId xmlns:a16="http://schemas.microsoft.com/office/drawing/2014/main" id="{74FDA746-BF55-824C-ABEA-06C23F55533E}"/>
              </a:ext>
            </a:extLst>
          </xdr:cNvPr>
          <xdr:cNvPicPr>
            <a:picLocks noChangeAspect="1"/>
          </xdr:cNvPicPr>
        </xdr:nvPicPr>
        <xdr:blipFill rotWithShape="1">
          <a:blip xmlns:r="http://schemas.openxmlformats.org/officeDocument/2006/relationships" r:embed="rId14"/>
          <a:srcRect l="37297" t="23892" r="21136" b="16286"/>
          <a:stretch/>
        </xdr:blipFill>
        <xdr:spPr>
          <a:xfrm>
            <a:off x="781050" y="340137750"/>
            <a:ext cx="5410200" cy="4552950"/>
          </a:xfrm>
          <a:prstGeom prst="rect">
            <a:avLst/>
          </a:prstGeom>
        </xdr:spPr>
      </xdr:pic>
      <xdr:sp macro="" textlink="">
        <xdr:nvSpPr>
          <xdr:cNvPr id="107" name="Rectángulo 106">
            <a:extLst>
              <a:ext uri="{FF2B5EF4-FFF2-40B4-BE49-F238E27FC236}">
                <a16:creationId xmlns:a16="http://schemas.microsoft.com/office/drawing/2014/main" id="{85F3E2EF-468D-95E8-2CF0-AB1D514EB4B9}"/>
              </a:ext>
            </a:extLst>
          </xdr:cNvPr>
          <xdr:cNvSpPr/>
        </xdr:nvSpPr>
        <xdr:spPr>
          <a:xfrm rot="5400000">
            <a:off x="2682774" y="340763124"/>
            <a:ext cx="1813026" cy="3184626"/>
          </a:xfrm>
          <a:prstGeom prst="rect">
            <a:avLst/>
          </a:prstGeom>
          <a:noFill/>
          <a:ln w="38100" cap="flat" cmpd="sng" algn="ctr">
            <a:solidFill>
              <a:srgbClr val="FF0000"/>
            </a:solidFill>
            <a:prstDash val="solid"/>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s-CO" sz="1100" b="0" i="0" u="none" strike="noStrike" kern="0" cap="none" spc="0" normalizeH="0" baseline="0" noProof="0">
              <a:ln>
                <a:noFill/>
              </a:ln>
              <a:noFill/>
              <a:effectLst/>
              <a:uLnTx/>
              <a:uFillTx/>
              <a:latin typeface="Calibri"/>
              <a:ea typeface="+mn-ea"/>
              <a:cs typeface="+mn-cs"/>
            </a:endParaRPr>
          </a:p>
        </xdr:txBody>
      </xdr:sp>
      <xdr:sp macro="" textlink="">
        <xdr:nvSpPr>
          <xdr:cNvPr id="108" name="Rectángulo 107">
            <a:extLst>
              <a:ext uri="{FF2B5EF4-FFF2-40B4-BE49-F238E27FC236}">
                <a16:creationId xmlns:a16="http://schemas.microsoft.com/office/drawing/2014/main" id="{7BDD6650-BFC9-1F37-F7E7-9E234FE1CCB9}"/>
              </a:ext>
            </a:extLst>
          </xdr:cNvPr>
          <xdr:cNvSpPr/>
        </xdr:nvSpPr>
        <xdr:spPr>
          <a:xfrm rot="5400000">
            <a:off x="2978049" y="341077449"/>
            <a:ext cx="1222476" cy="2536926"/>
          </a:xfrm>
          <a:prstGeom prst="rect">
            <a:avLst/>
          </a:prstGeom>
          <a:noFill/>
          <a:ln w="38100" cap="flat" cmpd="sng" algn="ctr">
            <a:solidFill>
              <a:srgbClr val="FF0000"/>
            </a:solidFill>
            <a:prstDash val="solid"/>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s-CO" sz="1100" b="0" i="0" u="none" strike="noStrike" kern="0" cap="none" spc="0" normalizeH="0" baseline="0" noProof="0">
              <a:ln>
                <a:noFill/>
              </a:ln>
              <a:noFill/>
              <a:effectLst/>
              <a:uLnTx/>
              <a:uFillTx/>
              <a:latin typeface="Calibri"/>
              <a:ea typeface="+mn-ea"/>
              <a:cs typeface="+mn-cs"/>
            </a:endParaRPr>
          </a:p>
        </xdr:txBody>
      </xdr:sp>
    </xdr:grpSp>
    <xdr:clientData/>
  </xdr:twoCellAnchor>
  <xdr:twoCellAnchor>
    <xdr:from>
      <xdr:col>2</xdr:col>
      <xdr:colOff>616324</xdr:colOff>
      <xdr:row>840</xdr:row>
      <xdr:rowOff>190501</xdr:rowOff>
    </xdr:from>
    <xdr:to>
      <xdr:col>7</xdr:col>
      <xdr:colOff>313765</xdr:colOff>
      <xdr:row>850</xdr:row>
      <xdr:rowOff>110379</xdr:rowOff>
    </xdr:to>
    <xdr:grpSp>
      <xdr:nvGrpSpPr>
        <xdr:cNvPr id="109" name="Grupo 108">
          <a:extLst>
            <a:ext uri="{FF2B5EF4-FFF2-40B4-BE49-F238E27FC236}">
              <a16:creationId xmlns:a16="http://schemas.microsoft.com/office/drawing/2014/main" id="{90950E58-C32C-47E6-869C-F613F2F3EFF9}"/>
            </a:ext>
          </a:extLst>
        </xdr:cNvPr>
        <xdr:cNvGrpSpPr/>
      </xdr:nvGrpSpPr>
      <xdr:grpSpPr>
        <a:xfrm>
          <a:off x="2167538" y="246316501"/>
          <a:ext cx="3684334" cy="3185592"/>
          <a:chOff x="342900" y="273481799"/>
          <a:chExt cx="6480000" cy="4754892"/>
        </a:xfrm>
      </xdr:grpSpPr>
      <xdr:pic>
        <xdr:nvPicPr>
          <xdr:cNvPr id="110" name="Imagen 109">
            <a:extLst>
              <a:ext uri="{FF2B5EF4-FFF2-40B4-BE49-F238E27FC236}">
                <a16:creationId xmlns:a16="http://schemas.microsoft.com/office/drawing/2014/main" id="{1EE1D156-8131-27C2-9348-21DE20C3DBF0}"/>
              </a:ext>
            </a:extLst>
          </xdr:cNvPr>
          <xdr:cNvPicPr>
            <a:picLocks noChangeAspect="1"/>
          </xdr:cNvPicPr>
        </xdr:nvPicPr>
        <xdr:blipFill rotWithShape="1">
          <a:blip xmlns:r="http://schemas.openxmlformats.org/officeDocument/2006/relationships" r:embed="rId12"/>
          <a:srcRect l="26774" t="19447" r="26137" b="9989"/>
          <a:stretch/>
        </xdr:blipFill>
        <xdr:spPr>
          <a:xfrm>
            <a:off x="342900" y="273481799"/>
            <a:ext cx="6480000" cy="4754892"/>
          </a:xfrm>
          <a:prstGeom prst="rect">
            <a:avLst/>
          </a:prstGeom>
        </xdr:spPr>
      </xdr:pic>
      <xdr:sp macro="" textlink="">
        <xdr:nvSpPr>
          <xdr:cNvPr id="111" name="Rectángulo 110">
            <a:extLst>
              <a:ext uri="{FF2B5EF4-FFF2-40B4-BE49-F238E27FC236}">
                <a16:creationId xmlns:a16="http://schemas.microsoft.com/office/drawing/2014/main" id="{4BB7266B-487E-1377-6A01-EB4A69CBD0C8}"/>
              </a:ext>
            </a:extLst>
          </xdr:cNvPr>
          <xdr:cNvSpPr/>
        </xdr:nvSpPr>
        <xdr:spPr>
          <a:xfrm>
            <a:off x="1962150" y="275158199"/>
            <a:ext cx="2351725" cy="475361"/>
          </a:xfrm>
          <a:prstGeom prst="rect">
            <a:avLst/>
          </a:prstGeom>
          <a:noFill/>
          <a:ln w="38100" cap="flat" cmpd="sng" algn="ctr">
            <a:solidFill>
              <a:srgbClr val="FF0000"/>
            </a:solidFill>
            <a:prstDash val="solid"/>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s-CO" sz="1100" b="0" i="0" u="none" strike="noStrike" kern="0" cap="none" spc="0" normalizeH="0" baseline="0" noProof="0">
              <a:ln>
                <a:noFill/>
              </a:ln>
              <a:noFill/>
              <a:effectLst/>
              <a:uLnTx/>
              <a:uFillTx/>
              <a:latin typeface="Calibri"/>
              <a:ea typeface="+mn-ea"/>
              <a:cs typeface="+mn-cs"/>
            </a:endParaRPr>
          </a:p>
        </xdr:txBody>
      </xdr:sp>
      <xdr:sp macro="" textlink="">
        <xdr:nvSpPr>
          <xdr:cNvPr id="112" name="Rectángulo 111">
            <a:extLst>
              <a:ext uri="{FF2B5EF4-FFF2-40B4-BE49-F238E27FC236}">
                <a16:creationId xmlns:a16="http://schemas.microsoft.com/office/drawing/2014/main" id="{2A7296B8-CDFB-02B6-F60F-68B84F3561E6}"/>
              </a:ext>
            </a:extLst>
          </xdr:cNvPr>
          <xdr:cNvSpPr/>
        </xdr:nvSpPr>
        <xdr:spPr>
          <a:xfrm>
            <a:off x="2693872" y="276524525"/>
            <a:ext cx="2697275" cy="605184"/>
          </a:xfrm>
          <a:prstGeom prst="rect">
            <a:avLst/>
          </a:prstGeom>
          <a:noFill/>
          <a:ln w="38100" cap="flat" cmpd="sng" algn="ctr">
            <a:solidFill>
              <a:srgbClr val="FF0000"/>
            </a:solidFill>
            <a:prstDash val="solid"/>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s-CO" sz="1100" b="0" i="0" u="none" strike="noStrike" kern="0" cap="none" spc="0" normalizeH="0" baseline="0" noProof="0">
              <a:ln>
                <a:noFill/>
              </a:ln>
              <a:noFill/>
              <a:effectLst/>
              <a:uLnTx/>
              <a:uFillTx/>
              <a:latin typeface="Calibri"/>
              <a:ea typeface="+mn-ea"/>
              <a:cs typeface="+mn-cs"/>
            </a:endParaRPr>
          </a:p>
        </xdr:txBody>
      </xdr:sp>
    </xdr:grpSp>
    <xdr:clientData/>
  </xdr:twoCellAnchor>
  <xdr:twoCellAnchor>
    <xdr:from>
      <xdr:col>2</xdr:col>
      <xdr:colOff>728382</xdr:colOff>
      <xdr:row>907</xdr:row>
      <xdr:rowOff>100853</xdr:rowOff>
    </xdr:from>
    <xdr:to>
      <xdr:col>7</xdr:col>
      <xdr:colOff>168088</xdr:colOff>
      <xdr:row>924</xdr:row>
      <xdr:rowOff>65554</xdr:rowOff>
    </xdr:to>
    <xdr:grpSp>
      <xdr:nvGrpSpPr>
        <xdr:cNvPr id="121" name="Grupo 120">
          <a:extLst>
            <a:ext uri="{FF2B5EF4-FFF2-40B4-BE49-F238E27FC236}">
              <a16:creationId xmlns:a16="http://schemas.microsoft.com/office/drawing/2014/main" id="{F2DE7537-1355-4DEE-A4DB-8194EAAF415F}"/>
            </a:ext>
          </a:extLst>
        </xdr:cNvPr>
        <xdr:cNvGrpSpPr/>
      </xdr:nvGrpSpPr>
      <xdr:grpSpPr>
        <a:xfrm>
          <a:off x="2279596" y="266310996"/>
          <a:ext cx="3426599" cy="2740558"/>
          <a:chOff x="342900" y="273481799"/>
          <a:chExt cx="6480000" cy="4754892"/>
        </a:xfrm>
      </xdr:grpSpPr>
      <xdr:pic>
        <xdr:nvPicPr>
          <xdr:cNvPr id="122" name="Imagen 121">
            <a:extLst>
              <a:ext uri="{FF2B5EF4-FFF2-40B4-BE49-F238E27FC236}">
                <a16:creationId xmlns:a16="http://schemas.microsoft.com/office/drawing/2014/main" id="{4953B6A0-7D1E-4D4A-C7EB-6134F5BD03A9}"/>
              </a:ext>
            </a:extLst>
          </xdr:cNvPr>
          <xdr:cNvPicPr>
            <a:picLocks noChangeAspect="1"/>
          </xdr:cNvPicPr>
        </xdr:nvPicPr>
        <xdr:blipFill rotWithShape="1">
          <a:blip xmlns:r="http://schemas.openxmlformats.org/officeDocument/2006/relationships" r:embed="rId12"/>
          <a:srcRect l="26774" t="19447" r="26137" b="9989"/>
          <a:stretch/>
        </xdr:blipFill>
        <xdr:spPr>
          <a:xfrm>
            <a:off x="342900" y="273481799"/>
            <a:ext cx="6480000" cy="4754892"/>
          </a:xfrm>
          <a:prstGeom prst="rect">
            <a:avLst/>
          </a:prstGeom>
        </xdr:spPr>
      </xdr:pic>
      <xdr:sp macro="" textlink="">
        <xdr:nvSpPr>
          <xdr:cNvPr id="123" name="Rectángulo 122">
            <a:extLst>
              <a:ext uri="{FF2B5EF4-FFF2-40B4-BE49-F238E27FC236}">
                <a16:creationId xmlns:a16="http://schemas.microsoft.com/office/drawing/2014/main" id="{66DF806E-0525-6F7F-8353-CFE70D62125E}"/>
              </a:ext>
            </a:extLst>
          </xdr:cNvPr>
          <xdr:cNvSpPr/>
        </xdr:nvSpPr>
        <xdr:spPr>
          <a:xfrm>
            <a:off x="1962150" y="275158200"/>
            <a:ext cx="3181350" cy="1485900"/>
          </a:xfrm>
          <a:prstGeom prst="rect">
            <a:avLst/>
          </a:prstGeom>
          <a:no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noFill/>
            </a:endParaRPr>
          </a:p>
        </xdr:txBody>
      </xdr:sp>
    </xdr:grpSp>
    <xdr:clientData/>
  </xdr:twoCellAnchor>
  <xdr:twoCellAnchor>
    <xdr:from>
      <xdr:col>3</xdr:col>
      <xdr:colOff>214684</xdr:colOff>
      <xdr:row>927</xdr:row>
      <xdr:rowOff>31438</xdr:rowOff>
    </xdr:from>
    <xdr:to>
      <xdr:col>6</xdr:col>
      <xdr:colOff>612474</xdr:colOff>
      <xdr:row>944</xdr:row>
      <xdr:rowOff>68449</xdr:rowOff>
    </xdr:to>
    <xdr:grpSp>
      <xdr:nvGrpSpPr>
        <xdr:cNvPr id="125" name="Grupo 124">
          <a:extLst>
            <a:ext uri="{FF2B5EF4-FFF2-40B4-BE49-F238E27FC236}">
              <a16:creationId xmlns:a16="http://schemas.microsoft.com/office/drawing/2014/main" id="{B04C26BE-D4E6-48C6-82BA-7B5846580383}"/>
            </a:ext>
          </a:extLst>
        </xdr:cNvPr>
        <xdr:cNvGrpSpPr/>
      </xdr:nvGrpSpPr>
      <xdr:grpSpPr>
        <a:xfrm>
          <a:off x="2527898" y="269507295"/>
          <a:ext cx="2860683" cy="2812868"/>
          <a:chOff x="857250" y="239268000"/>
          <a:chExt cx="5760000" cy="5353412"/>
        </a:xfrm>
      </xdr:grpSpPr>
      <xdr:pic>
        <xdr:nvPicPr>
          <xdr:cNvPr id="126" name="Imagen 125">
            <a:extLst>
              <a:ext uri="{FF2B5EF4-FFF2-40B4-BE49-F238E27FC236}">
                <a16:creationId xmlns:a16="http://schemas.microsoft.com/office/drawing/2014/main" id="{C17177F8-9353-6E22-B81C-F83DA68ADA6D}"/>
              </a:ext>
            </a:extLst>
          </xdr:cNvPr>
          <xdr:cNvPicPr>
            <a:picLocks noChangeAspect="1"/>
          </xdr:cNvPicPr>
        </xdr:nvPicPr>
        <xdr:blipFill rotWithShape="1">
          <a:blip xmlns:r="http://schemas.openxmlformats.org/officeDocument/2006/relationships" r:embed="rId13"/>
          <a:srcRect l="32400" t="23707" r="32179" b="17767"/>
          <a:stretch/>
        </xdr:blipFill>
        <xdr:spPr>
          <a:xfrm>
            <a:off x="857250" y="239268000"/>
            <a:ext cx="5760000" cy="5353412"/>
          </a:xfrm>
          <a:prstGeom prst="rect">
            <a:avLst/>
          </a:prstGeom>
        </xdr:spPr>
      </xdr:pic>
      <xdr:sp macro="" textlink="">
        <xdr:nvSpPr>
          <xdr:cNvPr id="128" name="Rectángulo 127">
            <a:extLst>
              <a:ext uri="{FF2B5EF4-FFF2-40B4-BE49-F238E27FC236}">
                <a16:creationId xmlns:a16="http://schemas.microsoft.com/office/drawing/2014/main" id="{DFCB499C-467B-70A6-9A6C-A60FC93FF7A4}"/>
              </a:ext>
            </a:extLst>
          </xdr:cNvPr>
          <xdr:cNvSpPr/>
        </xdr:nvSpPr>
        <xdr:spPr>
          <a:xfrm rot="5400000">
            <a:off x="2158715" y="240778961"/>
            <a:ext cx="2965494" cy="2798730"/>
          </a:xfrm>
          <a:prstGeom prst="rect">
            <a:avLst/>
          </a:prstGeom>
          <a:no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noFill/>
            </a:endParaRPr>
          </a:p>
        </xdr:txBody>
      </xdr:sp>
    </xdr:grpSp>
    <xdr:clientData/>
  </xdr:twoCellAnchor>
  <xdr:twoCellAnchor editAs="oneCell">
    <xdr:from>
      <xdr:col>2</xdr:col>
      <xdr:colOff>694765</xdr:colOff>
      <xdr:row>980</xdr:row>
      <xdr:rowOff>134469</xdr:rowOff>
    </xdr:from>
    <xdr:to>
      <xdr:col>7</xdr:col>
      <xdr:colOff>61406</xdr:colOff>
      <xdr:row>1021</xdr:row>
      <xdr:rowOff>123263</xdr:rowOff>
    </xdr:to>
    <xdr:pic>
      <xdr:nvPicPr>
        <xdr:cNvPr id="133" name="Imagen 132">
          <a:extLst>
            <a:ext uri="{FF2B5EF4-FFF2-40B4-BE49-F238E27FC236}">
              <a16:creationId xmlns:a16="http://schemas.microsoft.com/office/drawing/2014/main" id="{CED93DE4-FF19-27F3-58FB-96EE45C97A65}"/>
            </a:ext>
          </a:extLst>
        </xdr:cNvPr>
        <xdr:cNvPicPr>
          <a:picLocks noChangeAspect="1"/>
        </xdr:cNvPicPr>
      </xdr:nvPicPr>
      <xdr:blipFill>
        <a:blip xmlns:r="http://schemas.openxmlformats.org/officeDocument/2006/relationships" r:embed="rId15"/>
        <a:stretch>
          <a:fillRect/>
        </a:stretch>
      </xdr:blipFill>
      <xdr:spPr>
        <a:xfrm>
          <a:off x="2241177" y="277827440"/>
          <a:ext cx="3344729" cy="6420971"/>
        </a:xfrm>
        <a:prstGeom prst="rect">
          <a:avLst/>
        </a:prstGeom>
      </xdr:spPr>
    </xdr:pic>
    <xdr:clientData/>
  </xdr:twoCellAnchor>
  <xdr:twoCellAnchor editAs="oneCell">
    <xdr:from>
      <xdr:col>2</xdr:col>
      <xdr:colOff>78441</xdr:colOff>
      <xdr:row>1064</xdr:row>
      <xdr:rowOff>134470</xdr:rowOff>
    </xdr:from>
    <xdr:to>
      <xdr:col>7</xdr:col>
      <xdr:colOff>668433</xdr:colOff>
      <xdr:row>1082</xdr:row>
      <xdr:rowOff>100853</xdr:rowOff>
    </xdr:to>
    <xdr:pic>
      <xdr:nvPicPr>
        <xdr:cNvPr id="134" name="Imagen 133">
          <a:extLst>
            <a:ext uri="{FF2B5EF4-FFF2-40B4-BE49-F238E27FC236}">
              <a16:creationId xmlns:a16="http://schemas.microsoft.com/office/drawing/2014/main" id="{F6890FF8-3895-684B-7CBA-5DA2ED628329}"/>
            </a:ext>
          </a:extLst>
        </xdr:cNvPr>
        <xdr:cNvPicPr>
          <a:picLocks noChangeAspect="1"/>
        </xdr:cNvPicPr>
      </xdr:nvPicPr>
      <xdr:blipFill>
        <a:blip xmlns:r="http://schemas.openxmlformats.org/officeDocument/2006/relationships" r:embed="rId16"/>
        <a:stretch>
          <a:fillRect/>
        </a:stretch>
      </xdr:blipFill>
      <xdr:spPr>
        <a:xfrm>
          <a:off x="1624853" y="294188029"/>
          <a:ext cx="4568080" cy="2790265"/>
        </a:xfrm>
        <a:prstGeom prst="rect">
          <a:avLst/>
        </a:prstGeom>
      </xdr:spPr>
    </xdr:pic>
    <xdr:clientData/>
  </xdr:twoCellAnchor>
  <xdr:twoCellAnchor editAs="oneCell">
    <xdr:from>
      <xdr:col>3</xdr:col>
      <xdr:colOff>190500</xdr:colOff>
      <xdr:row>1083</xdr:row>
      <xdr:rowOff>0</xdr:rowOff>
    </xdr:from>
    <xdr:to>
      <xdr:col>6</xdr:col>
      <xdr:colOff>727679</xdr:colOff>
      <xdr:row>1097</xdr:row>
      <xdr:rowOff>51861</xdr:rowOff>
    </xdr:to>
    <xdr:pic>
      <xdr:nvPicPr>
        <xdr:cNvPr id="135" name="Imagen 134">
          <a:extLst>
            <a:ext uri="{FF2B5EF4-FFF2-40B4-BE49-F238E27FC236}">
              <a16:creationId xmlns:a16="http://schemas.microsoft.com/office/drawing/2014/main" id="{E4B93AD3-6E58-5A19-E8F2-628B31DA7308}"/>
            </a:ext>
          </a:extLst>
        </xdr:cNvPr>
        <xdr:cNvPicPr>
          <a:picLocks noChangeAspect="1"/>
        </xdr:cNvPicPr>
      </xdr:nvPicPr>
      <xdr:blipFill>
        <a:blip xmlns:r="http://schemas.openxmlformats.org/officeDocument/2006/relationships" r:embed="rId17"/>
        <a:stretch>
          <a:fillRect/>
        </a:stretch>
      </xdr:blipFill>
      <xdr:spPr>
        <a:xfrm>
          <a:off x="2498912" y="297034324"/>
          <a:ext cx="2991267" cy="2248214"/>
        </a:xfrm>
        <a:prstGeom prst="rect">
          <a:avLst/>
        </a:prstGeom>
      </xdr:spPr>
    </xdr:pic>
    <xdr:clientData/>
  </xdr:twoCellAnchor>
  <xdr:twoCellAnchor editAs="oneCell">
    <xdr:from>
      <xdr:col>2</xdr:col>
      <xdr:colOff>246530</xdr:colOff>
      <xdr:row>1135</xdr:row>
      <xdr:rowOff>11207</xdr:rowOff>
    </xdr:from>
    <xdr:to>
      <xdr:col>7</xdr:col>
      <xdr:colOff>409459</xdr:colOff>
      <xdr:row>1157</xdr:row>
      <xdr:rowOff>33618</xdr:rowOff>
    </xdr:to>
    <xdr:pic>
      <xdr:nvPicPr>
        <xdr:cNvPr id="136" name="Imagen 135">
          <a:extLst>
            <a:ext uri="{FF2B5EF4-FFF2-40B4-BE49-F238E27FC236}">
              <a16:creationId xmlns:a16="http://schemas.microsoft.com/office/drawing/2014/main" id="{A66FEDB1-F2E4-EC91-A9AB-9B3A5B1F239B}"/>
            </a:ext>
          </a:extLst>
        </xdr:cNvPr>
        <xdr:cNvPicPr>
          <a:picLocks noChangeAspect="1"/>
        </xdr:cNvPicPr>
      </xdr:nvPicPr>
      <xdr:blipFill>
        <a:blip xmlns:r="http://schemas.openxmlformats.org/officeDocument/2006/relationships" r:embed="rId18"/>
        <a:stretch>
          <a:fillRect/>
        </a:stretch>
      </xdr:blipFill>
      <xdr:spPr>
        <a:xfrm>
          <a:off x="1792942" y="308497942"/>
          <a:ext cx="4141017" cy="3473823"/>
        </a:xfrm>
        <a:prstGeom prst="rect">
          <a:avLst/>
        </a:prstGeom>
      </xdr:spPr>
    </xdr:pic>
    <xdr:clientData/>
  </xdr:twoCellAnchor>
  <xdr:oneCellAnchor>
    <xdr:from>
      <xdr:col>2</xdr:col>
      <xdr:colOff>186298</xdr:colOff>
      <xdr:row>1203</xdr:row>
      <xdr:rowOff>179295</xdr:rowOff>
    </xdr:from>
    <xdr:ext cx="4172790" cy="3919894"/>
    <xdr:pic>
      <xdr:nvPicPr>
        <xdr:cNvPr id="137" name="Imagen 136">
          <a:extLst>
            <a:ext uri="{FF2B5EF4-FFF2-40B4-BE49-F238E27FC236}">
              <a16:creationId xmlns:a16="http://schemas.microsoft.com/office/drawing/2014/main" id="{7B0C1A41-4C60-4BFB-B5F3-5EF99DE2B361}"/>
            </a:ext>
          </a:extLst>
        </xdr:cNvPr>
        <xdr:cNvPicPr>
          <a:picLocks noChangeAspect="1"/>
        </xdr:cNvPicPr>
      </xdr:nvPicPr>
      <xdr:blipFill>
        <a:blip xmlns:r="http://schemas.openxmlformats.org/officeDocument/2006/relationships" r:embed="rId19"/>
        <a:stretch>
          <a:fillRect/>
        </a:stretch>
      </xdr:blipFill>
      <xdr:spPr>
        <a:xfrm>
          <a:off x="1732710" y="322628560"/>
          <a:ext cx="4172790" cy="3919894"/>
        </a:xfrm>
        <a:prstGeom prst="rect">
          <a:avLst/>
        </a:prstGeom>
      </xdr:spPr>
    </xdr:pic>
    <xdr:clientData/>
  </xdr:oneCellAnchor>
  <xdr:oneCellAnchor>
    <xdr:from>
      <xdr:col>2</xdr:col>
      <xdr:colOff>158657</xdr:colOff>
      <xdr:row>1216</xdr:row>
      <xdr:rowOff>122424</xdr:rowOff>
    </xdr:from>
    <xdr:ext cx="4363059" cy="3248478"/>
    <xdr:pic>
      <xdr:nvPicPr>
        <xdr:cNvPr id="138" name="Imagen 137">
          <a:extLst>
            <a:ext uri="{FF2B5EF4-FFF2-40B4-BE49-F238E27FC236}">
              <a16:creationId xmlns:a16="http://schemas.microsoft.com/office/drawing/2014/main" id="{1FBAB80B-9E90-4AAB-B6F7-B765D258E700}"/>
            </a:ext>
          </a:extLst>
        </xdr:cNvPr>
        <xdr:cNvPicPr>
          <a:picLocks noChangeAspect="1"/>
        </xdr:cNvPicPr>
      </xdr:nvPicPr>
      <xdr:blipFill>
        <a:blip xmlns:r="http://schemas.openxmlformats.org/officeDocument/2006/relationships" r:embed="rId20"/>
        <a:stretch>
          <a:fillRect/>
        </a:stretch>
      </xdr:blipFill>
      <xdr:spPr>
        <a:xfrm>
          <a:off x="1705069" y="326796306"/>
          <a:ext cx="4363059" cy="3248478"/>
        </a:xfrm>
        <a:prstGeom prst="rect">
          <a:avLst/>
        </a:prstGeom>
      </xdr:spPr>
    </xdr:pic>
    <xdr:clientData/>
  </xdr:oneCellAnchor>
  <xdr:oneCellAnchor>
    <xdr:from>
      <xdr:col>2</xdr:col>
      <xdr:colOff>302558</xdr:colOff>
      <xdr:row>1228</xdr:row>
      <xdr:rowOff>315912</xdr:rowOff>
    </xdr:from>
    <xdr:ext cx="3978089" cy="2874767"/>
    <xdr:pic>
      <xdr:nvPicPr>
        <xdr:cNvPr id="139" name="Imagen 138">
          <a:extLst>
            <a:ext uri="{FF2B5EF4-FFF2-40B4-BE49-F238E27FC236}">
              <a16:creationId xmlns:a16="http://schemas.microsoft.com/office/drawing/2014/main" id="{6E951460-CD67-4ECC-884E-C4CD9D5FF15E}"/>
            </a:ext>
          </a:extLst>
        </xdr:cNvPr>
        <xdr:cNvPicPr>
          <a:picLocks noChangeAspect="1"/>
        </xdr:cNvPicPr>
      </xdr:nvPicPr>
      <xdr:blipFill>
        <a:blip xmlns:r="http://schemas.openxmlformats.org/officeDocument/2006/relationships" r:embed="rId21"/>
        <a:stretch>
          <a:fillRect/>
        </a:stretch>
      </xdr:blipFill>
      <xdr:spPr>
        <a:xfrm>
          <a:off x="1848970" y="330889441"/>
          <a:ext cx="3978089" cy="2874767"/>
        </a:xfrm>
        <a:prstGeom prst="rect">
          <a:avLst/>
        </a:prstGeom>
      </xdr:spPr>
    </xdr:pic>
    <xdr:clientData/>
  </xdr:oneCellAnchor>
  <xdr:twoCellAnchor editAs="oneCell">
    <xdr:from>
      <xdr:col>2</xdr:col>
      <xdr:colOff>728382</xdr:colOff>
      <xdr:row>1357</xdr:row>
      <xdr:rowOff>224118</xdr:rowOff>
    </xdr:from>
    <xdr:to>
      <xdr:col>7</xdr:col>
      <xdr:colOff>571501</xdr:colOff>
      <xdr:row>1366</xdr:row>
      <xdr:rowOff>203322</xdr:rowOff>
    </xdr:to>
    <xdr:pic>
      <xdr:nvPicPr>
        <xdr:cNvPr id="113" name="Imagen 112">
          <a:extLst>
            <a:ext uri="{FF2B5EF4-FFF2-40B4-BE49-F238E27FC236}">
              <a16:creationId xmlns:a16="http://schemas.microsoft.com/office/drawing/2014/main" id="{59820697-00A0-D7CC-D3D5-2B089B5927CE}"/>
            </a:ext>
          </a:extLst>
        </xdr:cNvPr>
        <xdr:cNvPicPr>
          <a:picLocks noChangeAspect="1"/>
        </xdr:cNvPicPr>
      </xdr:nvPicPr>
      <xdr:blipFill>
        <a:blip xmlns:r="http://schemas.openxmlformats.org/officeDocument/2006/relationships" r:embed="rId22"/>
        <a:stretch>
          <a:fillRect/>
        </a:stretch>
      </xdr:blipFill>
      <xdr:spPr>
        <a:xfrm>
          <a:off x="2274794" y="361490559"/>
          <a:ext cx="3821207" cy="2903939"/>
        </a:xfrm>
        <a:prstGeom prst="rect">
          <a:avLst/>
        </a:prstGeom>
      </xdr:spPr>
    </xdr:pic>
    <xdr:clientData/>
  </xdr:twoCellAnchor>
  <xdr:twoCellAnchor>
    <xdr:from>
      <xdr:col>3</xdr:col>
      <xdr:colOff>0</xdr:colOff>
      <xdr:row>1430</xdr:row>
      <xdr:rowOff>324970</xdr:rowOff>
    </xdr:from>
    <xdr:to>
      <xdr:col>7</xdr:col>
      <xdr:colOff>156882</xdr:colOff>
      <xdr:row>1440</xdr:row>
      <xdr:rowOff>168087</xdr:rowOff>
    </xdr:to>
    <xdr:grpSp>
      <xdr:nvGrpSpPr>
        <xdr:cNvPr id="114" name="Grupo 113">
          <a:extLst>
            <a:ext uri="{FF2B5EF4-FFF2-40B4-BE49-F238E27FC236}">
              <a16:creationId xmlns:a16="http://schemas.microsoft.com/office/drawing/2014/main" id="{0ED3A78B-5301-434A-B17E-879CE923DE94}"/>
            </a:ext>
          </a:extLst>
        </xdr:cNvPr>
        <xdr:cNvGrpSpPr/>
      </xdr:nvGrpSpPr>
      <xdr:grpSpPr>
        <a:xfrm>
          <a:off x="2313214" y="389244327"/>
          <a:ext cx="3381775" cy="3108831"/>
          <a:chOff x="895350" y="278396700"/>
          <a:chExt cx="5410200" cy="4552950"/>
        </a:xfrm>
      </xdr:grpSpPr>
      <xdr:pic>
        <xdr:nvPicPr>
          <xdr:cNvPr id="115" name="Imagen 114">
            <a:extLst>
              <a:ext uri="{FF2B5EF4-FFF2-40B4-BE49-F238E27FC236}">
                <a16:creationId xmlns:a16="http://schemas.microsoft.com/office/drawing/2014/main" id="{2F5B678D-DEF1-181B-36BD-6B7CC85775A7}"/>
              </a:ext>
            </a:extLst>
          </xdr:cNvPr>
          <xdr:cNvPicPr>
            <a:picLocks noChangeAspect="1"/>
          </xdr:cNvPicPr>
        </xdr:nvPicPr>
        <xdr:blipFill rotWithShape="1">
          <a:blip xmlns:r="http://schemas.openxmlformats.org/officeDocument/2006/relationships" r:embed="rId14"/>
          <a:srcRect l="37297" t="23892" r="21136" b="16286"/>
          <a:stretch/>
        </xdr:blipFill>
        <xdr:spPr>
          <a:xfrm>
            <a:off x="895350" y="278396700"/>
            <a:ext cx="5410200" cy="4552950"/>
          </a:xfrm>
          <a:prstGeom prst="rect">
            <a:avLst/>
          </a:prstGeom>
        </xdr:spPr>
      </xdr:pic>
      <xdr:sp macro="" textlink="">
        <xdr:nvSpPr>
          <xdr:cNvPr id="116" name="Rectángulo 115">
            <a:extLst>
              <a:ext uri="{FF2B5EF4-FFF2-40B4-BE49-F238E27FC236}">
                <a16:creationId xmlns:a16="http://schemas.microsoft.com/office/drawing/2014/main" id="{5683E628-382D-6D3F-9697-FAB3C209CF1F}"/>
              </a:ext>
            </a:extLst>
          </xdr:cNvPr>
          <xdr:cNvSpPr/>
        </xdr:nvSpPr>
        <xdr:spPr>
          <a:xfrm rot="5400000">
            <a:off x="2425221" y="279879119"/>
            <a:ext cx="840636" cy="784379"/>
          </a:xfrm>
          <a:prstGeom prst="rect">
            <a:avLst/>
          </a:prstGeom>
          <a:no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noFill/>
            </a:endParaRPr>
          </a:p>
        </xdr:txBody>
      </xdr:sp>
    </xdr:grpSp>
    <xdr:clientData/>
  </xdr:twoCellAnchor>
  <xdr:twoCellAnchor>
    <xdr:from>
      <xdr:col>2</xdr:col>
      <xdr:colOff>201705</xdr:colOff>
      <xdr:row>1505</xdr:row>
      <xdr:rowOff>212911</xdr:rowOff>
    </xdr:from>
    <xdr:to>
      <xdr:col>7</xdr:col>
      <xdr:colOff>470647</xdr:colOff>
      <xdr:row>1515</xdr:row>
      <xdr:rowOff>89646</xdr:rowOff>
    </xdr:to>
    <xdr:grpSp>
      <xdr:nvGrpSpPr>
        <xdr:cNvPr id="117" name="Grupo 116">
          <a:extLst>
            <a:ext uri="{FF2B5EF4-FFF2-40B4-BE49-F238E27FC236}">
              <a16:creationId xmlns:a16="http://schemas.microsoft.com/office/drawing/2014/main" id="{679C1B98-3383-4B08-8843-81B2628B2786}"/>
            </a:ext>
          </a:extLst>
        </xdr:cNvPr>
        <xdr:cNvGrpSpPr/>
      </xdr:nvGrpSpPr>
      <xdr:grpSpPr>
        <a:xfrm>
          <a:off x="1752919" y="411665697"/>
          <a:ext cx="4255835" cy="3142449"/>
          <a:chOff x="895350" y="278396700"/>
          <a:chExt cx="5410200" cy="4552950"/>
        </a:xfrm>
      </xdr:grpSpPr>
      <xdr:pic>
        <xdr:nvPicPr>
          <xdr:cNvPr id="118" name="Imagen 117">
            <a:extLst>
              <a:ext uri="{FF2B5EF4-FFF2-40B4-BE49-F238E27FC236}">
                <a16:creationId xmlns:a16="http://schemas.microsoft.com/office/drawing/2014/main" id="{AD5F6C3B-C474-7754-0A4F-D2879C90E574}"/>
              </a:ext>
            </a:extLst>
          </xdr:cNvPr>
          <xdr:cNvPicPr>
            <a:picLocks noChangeAspect="1"/>
          </xdr:cNvPicPr>
        </xdr:nvPicPr>
        <xdr:blipFill rotWithShape="1">
          <a:blip xmlns:r="http://schemas.openxmlformats.org/officeDocument/2006/relationships" r:embed="rId14"/>
          <a:srcRect l="37297" t="23892" r="21136" b="16286"/>
          <a:stretch/>
        </xdr:blipFill>
        <xdr:spPr>
          <a:xfrm>
            <a:off x="895350" y="278396700"/>
            <a:ext cx="5410200" cy="4552950"/>
          </a:xfrm>
          <a:prstGeom prst="rect">
            <a:avLst/>
          </a:prstGeom>
        </xdr:spPr>
      </xdr:pic>
      <xdr:sp macro="" textlink="">
        <xdr:nvSpPr>
          <xdr:cNvPr id="119" name="Rectángulo 118">
            <a:extLst>
              <a:ext uri="{FF2B5EF4-FFF2-40B4-BE49-F238E27FC236}">
                <a16:creationId xmlns:a16="http://schemas.microsoft.com/office/drawing/2014/main" id="{7BB1B1D1-F540-2A7C-0961-0D4B7E67E4FD}"/>
              </a:ext>
            </a:extLst>
          </xdr:cNvPr>
          <xdr:cNvSpPr/>
        </xdr:nvSpPr>
        <xdr:spPr>
          <a:xfrm rot="5400000">
            <a:off x="4008078" y="279946169"/>
            <a:ext cx="840638" cy="784378"/>
          </a:xfrm>
          <a:prstGeom prst="rect">
            <a:avLst/>
          </a:prstGeom>
          <a:no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noFill/>
            </a:endParaRPr>
          </a:p>
        </xdr:txBody>
      </xdr:sp>
    </xdr:grpSp>
    <xdr:clientData/>
  </xdr:twoCellAnchor>
  <xdr:twoCellAnchor>
    <xdr:from>
      <xdr:col>2</xdr:col>
      <xdr:colOff>280148</xdr:colOff>
      <xdr:row>1581</xdr:row>
      <xdr:rowOff>0</xdr:rowOff>
    </xdr:from>
    <xdr:to>
      <xdr:col>7</xdr:col>
      <xdr:colOff>571500</xdr:colOff>
      <xdr:row>1589</xdr:row>
      <xdr:rowOff>291353</xdr:rowOff>
    </xdr:to>
    <xdr:grpSp>
      <xdr:nvGrpSpPr>
        <xdr:cNvPr id="120" name="Grupo 119">
          <a:extLst>
            <a:ext uri="{FF2B5EF4-FFF2-40B4-BE49-F238E27FC236}">
              <a16:creationId xmlns:a16="http://schemas.microsoft.com/office/drawing/2014/main" id="{7AEA751F-F100-47DA-8618-65E4D30032E2}"/>
            </a:ext>
          </a:extLst>
        </xdr:cNvPr>
        <xdr:cNvGrpSpPr/>
      </xdr:nvGrpSpPr>
      <xdr:grpSpPr>
        <a:xfrm>
          <a:off x="1831362" y="434476071"/>
          <a:ext cx="4278245" cy="2903925"/>
          <a:chOff x="342900" y="273481799"/>
          <a:chExt cx="6480000" cy="4754892"/>
        </a:xfrm>
      </xdr:grpSpPr>
      <xdr:pic>
        <xdr:nvPicPr>
          <xdr:cNvPr id="124" name="Imagen 123">
            <a:extLst>
              <a:ext uri="{FF2B5EF4-FFF2-40B4-BE49-F238E27FC236}">
                <a16:creationId xmlns:a16="http://schemas.microsoft.com/office/drawing/2014/main" id="{8F0C69B9-665F-4636-AF7C-05A5014AA682}"/>
              </a:ext>
            </a:extLst>
          </xdr:cNvPr>
          <xdr:cNvPicPr>
            <a:picLocks noChangeAspect="1"/>
          </xdr:cNvPicPr>
        </xdr:nvPicPr>
        <xdr:blipFill rotWithShape="1">
          <a:blip xmlns:r="http://schemas.openxmlformats.org/officeDocument/2006/relationships" r:embed="rId12"/>
          <a:srcRect l="26774" t="19447" r="26137" b="9989"/>
          <a:stretch/>
        </xdr:blipFill>
        <xdr:spPr>
          <a:xfrm>
            <a:off x="342900" y="273481799"/>
            <a:ext cx="6480000" cy="4754892"/>
          </a:xfrm>
          <a:prstGeom prst="rect">
            <a:avLst/>
          </a:prstGeom>
        </xdr:spPr>
      </xdr:pic>
      <xdr:sp macro="" textlink="">
        <xdr:nvSpPr>
          <xdr:cNvPr id="127" name="Rectángulo 126">
            <a:extLst>
              <a:ext uri="{FF2B5EF4-FFF2-40B4-BE49-F238E27FC236}">
                <a16:creationId xmlns:a16="http://schemas.microsoft.com/office/drawing/2014/main" id="{74D1EA93-CC41-0528-F2F6-A8F2144D7A16}"/>
              </a:ext>
            </a:extLst>
          </xdr:cNvPr>
          <xdr:cNvSpPr/>
        </xdr:nvSpPr>
        <xdr:spPr>
          <a:xfrm>
            <a:off x="3574394" y="274974615"/>
            <a:ext cx="748347" cy="755622"/>
          </a:xfrm>
          <a:prstGeom prst="rect">
            <a:avLst/>
          </a:prstGeom>
          <a:no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noFill/>
            </a:endParaRPr>
          </a:p>
        </xdr:txBody>
      </xdr:sp>
    </xdr:grpSp>
    <xdr:clientData/>
  </xdr:twoCellAnchor>
  <xdr:twoCellAnchor editAs="oneCell">
    <xdr:from>
      <xdr:col>2</xdr:col>
      <xdr:colOff>582706</xdr:colOff>
      <xdr:row>1284</xdr:row>
      <xdr:rowOff>22411</xdr:rowOff>
    </xdr:from>
    <xdr:to>
      <xdr:col>7</xdr:col>
      <xdr:colOff>51808</xdr:colOff>
      <xdr:row>1306</xdr:row>
      <xdr:rowOff>67235</xdr:rowOff>
    </xdr:to>
    <xdr:pic>
      <xdr:nvPicPr>
        <xdr:cNvPr id="130" name="Imagen 129">
          <a:extLst>
            <a:ext uri="{FF2B5EF4-FFF2-40B4-BE49-F238E27FC236}">
              <a16:creationId xmlns:a16="http://schemas.microsoft.com/office/drawing/2014/main" id="{E2BE04F6-5F09-BA8C-837A-7FE591DF4F6F}"/>
            </a:ext>
          </a:extLst>
        </xdr:cNvPr>
        <xdr:cNvPicPr>
          <a:picLocks noChangeAspect="1"/>
        </xdr:cNvPicPr>
      </xdr:nvPicPr>
      <xdr:blipFill>
        <a:blip xmlns:r="http://schemas.openxmlformats.org/officeDocument/2006/relationships" r:embed="rId23"/>
        <a:stretch>
          <a:fillRect/>
        </a:stretch>
      </xdr:blipFill>
      <xdr:spPr>
        <a:xfrm>
          <a:off x="2129118" y="345701470"/>
          <a:ext cx="3447190" cy="3496235"/>
        </a:xfrm>
        <a:prstGeom prst="rect">
          <a:avLst/>
        </a:prstGeom>
      </xdr:spPr>
    </xdr:pic>
    <xdr:clientData/>
  </xdr:twoCellAnchor>
  <xdr:twoCellAnchor editAs="oneCell">
    <xdr:from>
      <xdr:col>2</xdr:col>
      <xdr:colOff>470648</xdr:colOff>
      <xdr:row>1650</xdr:row>
      <xdr:rowOff>1</xdr:rowOff>
    </xdr:from>
    <xdr:to>
      <xdr:col>7</xdr:col>
      <xdr:colOff>465039</xdr:colOff>
      <xdr:row>1662</xdr:row>
      <xdr:rowOff>101412</xdr:rowOff>
    </xdr:to>
    <xdr:pic>
      <xdr:nvPicPr>
        <xdr:cNvPr id="131" name="Imagen 130">
          <a:extLst>
            <a:ext uri="{FF2B5EF4-FFF2-40B4-BE49-F238E27FC236}">
              <a16:creationId xmlns:a16="http://schemas.microsoft.com/office/drawing/2014/main" id="{8024F837-E898-A9DE-9C60-54953DE54525}"/>
            </a:ext>
          </a:extLst>
        </xdr:cNvPr>
        <xdr:cNvPicPr>
          <a:picLocks noChangeAspect="1"/>
        </xdr:cNvPicPr>
      </xdr:nvPicPr>
      <xdr:blipFill>
        <a:blip xmlns:r="http://schemas.openxmlformats.org/officeDocument/2006/relationships" r:embed="rId24"/>
        <a:stretch>
          <a:fillRect/>
        </a:stretch>
      </xdr:blipFill>
      <xdr:spPr>
        <a:xfrm>
          <a:off x="2017060" y="448649913"/>
          <a:ext cx="3972479" cy="4001058"/>
        </a:xfrm>
        <a:prstGeom prst="rect">
          <a:avLst/>
        </a:prstGeom>
      </xdr:spPr>
    </xdr:pic>
    <xdr:clientData/>
  </xdr:twoCellAnchor>
  <xdr:twoCellAnchor editAs="oneCell">
    <xdr:from>
      <xdr:col>2</xdr:col>
      <xdr:colOff>392206</xdr:colOff>
      <xdr:row>1724</xdr:row>
      <xdr:rowOff>1</xdr:rowOff>
    </xdr:from>
    <xdr:to>
      <xdr:col>7</xdr:col>
      <xdr:colOff>369794</xdr:colOff>
      <xdr:row>1732</xdr:row>
      <xdr:rowOff>275700</xdr:rowOff>
    </xdr:to>
    <xdr:pic>
      <xdr:nvPicPr>
        <xdr:cNvPr id="132" name="Imagen 131">
          <a:extLst>
            <a:ext uri="{FF2B5EF4-FFF2-40B4-BE49-F238E27FC236}">
              <a16:creationId xmlns:a16="http://schemas.microsoft.com/office/drawing/2014/main" id="{7F8A397F-61A5-4AAE-A111-24E5A869F2DE}"/>
            </a:ext>
          </a:extLst>
        </xdr:cNvPr>
        <xdr:cNvPicPr>
          <a:picLocks noChangeAspect="1"/>
        </xdr:cNvPicPr>
      </xdr:nvPicPr>
      <xdr:blipFill>
        <a:blip xmlns:r="http://schemas.openxmlformats.org/officeDocument/2006/relationships" r:embed="rId25"/>
        <a:stretch>
          <a:fillRect/>
        </a:stretch>
      </xdr:blipFill>
      <xdr:spPr>
        <a:xfrm>
          <a:off x="1938618" y="470781530"/>
          <a:ext cx="3955676" cy="2875464"/>
        </a:xfrm>
        <a:prstGeom prst="rect">
          <a:avLst/>
        </a:prstGeom>
      </xdr:spPr>
    </xdr:pic>
    <xdr:clientData/>
  </xdr:twoCellAnchor>
  <xdr:twoCellAnchor editAs="oneCell">
    <xdr:from>
      <xdr:col>2</xdr:col>
      <xdr:colOff>112059</xdr:colOff>
      <xdr:row>1737</xdr:row>
      <xdr:rowOff>268941</xdr:rowOff>
    </xdr:from>
    <xdr:to>
      <xdr:col>7</xdr:col>
      <xdr:colOff>245538</xdr:colOff>
      <xdr:row>1746</xdr:row>
      <xdr:rowOff>67236</xdr:rowOff>
    </xdr:to>
    <xdr:pic>
      <xdr:nvPicPr>
        <xdr:cNvPr id="140" name="Imagen 139">
          <a:extLst>
            <a:ext uri="{FF2B5EF4-FFF2-40B4-BE49-F238E27FC236}">
              <a16:creationId xmlns:a16="http://schemas.microsoft.com/office/drawing/2014/main" id="{F7BA5728-A266-89E7-F3E4-FDE99C0A20EA}"/>
            </a:ext>
          </a:extLst>
        </xdr:cNvPr>
        <xdr:cNvPicPr>
          <a:picLocks noChangeAspect="1"/>
        </xdr:cNvPicPr>
      </xdr:nvPicPr>
      <xdr:blipFill>
        <a:blip xmlns:r="http://schemas.openxmlformats.org/officeDocument/2006/relationships" r:embed="rId26"/>
        <a:stretch>
          <a:fillRect/>
        </a:stretch>
      </xdr:blipFill>
      <xdr:spPr>
        <a:xfrm>
          <a:off x="1658471" y="475275088"/>
          <a:ext cx="4111567" cy="2723030"/>
        </a:xfrm>
        <a:prstGeom prst="rect">
          <a:avLst/>
        </a:prstGeom>
      </xdr:spPr>
    </xdr:pic>
    <xdr:clientData/>
  </xdr:twoCellAnchor>
  <xdr:twoCellAnchor editAs="oneCell">
    <xdr:from>
      <xdr:col>2</xdr:col>
      <xdr:colOff>750795</xdr:colOff>
      <xdr:row>1806</xdr:row>
      <xdr:rowOff>22411</xdr:rowOff>
    </xdr:from>
    <xdr:to>
      <xdr:col>7</xdr:col>
      <xdr:colOff>78343</xdr:colOff>
      <xdr:row>1822</xdr:row>
      <xdr:rowOff>17719</xdr:rowOff>
    </xdr:to>
    <xdr:pic>
      <xdr:nvPicPr>
        <xdr:cNvPr id="141" name="Imagen 140">
          <a:extLst>
            <a:ext uri="{FF2B5EF4-FFF2-40B4-BE49-F238E27FC236}">
              <a16:creationId xmlns:a16="http://schemas.microsoft.com/office/drawing/2014/main" id="{4DAF0D81-9021-5B42-12F3-14CD69BB590E}"/>
            </a:ext>
          </a:extLst>
        </xdr:cNvPr>
        <xdr:cNvPicPr>
          <a:picLocks noChangeAspect="1"/>
        </xdr:cNvPicPr>
      </xdr:nvPicPr>
      <xdr:blipFill>
        <a:blip xmlns:r="http://schemas.openxmlformats.org/officeDocument/2006/relationships" r:embed="rId27"/>
        <a:stretch>
          <a:fillRect/>
        </a:stretch>
      </xdr:blipFill>
      <xdr:spPr>
        <a:xfrm>
          <a:off x="2297207" y="494022529"/>
          <a:ext cx="3305636" cy="2505425"/>
        </a:xfrm>
        <a:prstGeom prst="rect">
          <a:avLst/>
        </a:prstGeom>
      </xdr:spPr>
    </xdr:pic>
    <xdr:clientData/>
  </xdr:twoCellAnchor>
  <xdr:twoCellAnchor editAs="oneCell">
    <xdr:from>
      <xdr:col>2</xdr:col>
      <xdr:colOff>218280</xdr:colOff>
      <xdr:row>1882</xdr:row>
      <xdr:rowOff>19844</xdr:rowOff>
    </xdr:from>
    <xdr:to>
      <xdr:col>7</xdr:col>
      <xdr:colOff>651703</xdr:colOff>
      <xdr:row>1900</xdr:row>
      <xdr:rowOff>99219</xdr:rowOff>
    </xdr:to>
    <xdr:pic>
      <xdr:nvPicPr>
        <xdr:cNvPr id="142" name="Imagen 141">
          <a:extLst>
            <a:ext uri="{FF2B5EF4-FFF2-40B4-BE49-F238E27FC236}">
              <a16:creationId xmlns:a16="http://schemas.microsoft.com/office/drawing/2014/main" id="{8691CDC0-7836-D580-0F17-98F4107F874E}"/>
            </a:ext>
          </a:extLst>
        </xdr:cNvPr>
        <xdr:cNvPicPr>
          <a:picLocks noChangeAspect="1"/>
        </xdr:cNvPicPr>
      </xdr:nvPicPr>
      <xdr:blipFill>
        <a:blip xmlns:r="http://schemas.openxmlformats.org/officeDocument/2006/relationships" r:embed="rId28"/>
        <a:stretch>
          <a:fillRect/>
        </a:stretch>
      </xdr:blipFill>
      <xdr:spPr>
        <a:xfrm>
          <a:off x="1746249" y="505082969"/>
          <a:ext cx="4382329" cy="29368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39370</xdr:colOff>
      <xdr:row>72</xdr:row>
      <xdr:rowOff>53975</xdr:rowOff>
    </xdr:from>
    <xdr:to>
      <xdr:col>16</xdr:col>
      <xdr:colOff>26643</xdr:colOff>
      <xdr:row>73</xdr:row>
      <xdr:rowOff>1377193</xdr:rowOff>
    </xdr:to>
    <xdr:pic>
      <xdr:nvPicPr>
        <xdr:cNvPr id="2" name="Imagen 1">
          <a:extLst>
            <a:ext uri="{FF2B5EF4-FFF2-40B4-BE49-F238E27FC236}">
              <a16:creationId xmlns:a16="http://schemas.microsoft.com/office/drawing/2014/main" id="{97420E9B-F38D-4FB5-BECE-81091605F8C7}"/>
            </a:ext>
          </a:extLst>
        </xdr:cNvPr>
        <xdr:cNvPicPr>
          <a:picLocks noChangeAspect="1"/>
        </xdr:cNvPicPr>
      </xdr:nvPicPr>
      <xdr:blipFill>
        <a:blip xmlns:r="http://schemas.openxmlformats.org/officeDocument/2006/relationships" r:embed="rId1"/>
        <a:stretch>
          <a:fillRect/>
        </a:stretch>
      </xdr:blipFill>
      <xdr:spPr>
        <a:xfrm>
          <a:off x="4039870" y="20361275"/>
          <a:ext cx="8702647" cy="1485143"/>
        </a:xfrm>
        <a:prstGeom prst="rect">
          <a:avLst/>
        </a:prstGeom>
      </xdr:spPr>
    </xdr:pic>
    <xdr:clientData/>
  </xdr:twoCellAnchor>
  <xdr:twoCellAnchor editAs="oneCell">
    <xdr:from>
      <xdr:col>3</xdr:col>
      <xdr:colOff>311150</xdr:colOff>
      <xdr:row>2</xdr:row>
      <xdr:rowOff>127000</xdr:rowOff>
    </xdr:from>
    <xdr:to>
      <xdr:col>18</xdr:col>
      <xdr:colOff>686979</xdr:colOff>
      <xdr:row>3</xdr:row>
      <xdr:rowOff>1476374</xdr:rowOff>
    </xdr:to>
    <xdr:pic>
      <xdr:nvPicPr>
        <xdr:cNvPr id="3" name="Imagen 2">
          <a:extLst>
            <a:ext uri="{FF2B5EF4-FFF2-40B4-BE49-F238E27FC236}">
              <a16:creationId xmlns:a16="http://schemas.microsoft.com/office/drawing/2014/main" id="{171FA2A6-AFF1-4B15-8C2E-5E9683596461}"/>
            </a:ext>
          </a:extLst>
        </xdr:cNvPr>
        <xdr:cNvPicPr>
          <a:picLocks noChangeAspect="1"/>
        </xdr:cNvPicPr>
      </xdr:nvPicPr>
      <xdr:blipFill>
        <a:blip xmlns:r="http://schemas.openxmlformats.org/officeDocument/2006/relationships" r:embed="rId2"/>
        <a:stretch>
          <a:fillRect/>
        </a:stretch>
      </xdr:blipFill>
      <xdr:spPr>
        <a:xfrm>
          <a:off x="1854200" y="460375"/>
          <a:ext cx="13072654" cy="1511299"/>
        </a:xfrm>
        <a:prstGeom prst="rect">
          <a:avLst/>
        </a:prstGeom>
      </xdr:spPr>
    </xdr:pic>
    <xdr:clientData/>
  </xdr:twoCellAnchor>
  <xdr:twoCellAnchor editAs="oneCell">
    <xdr:from>
      <xdr:col>5</xdr:col>
      <xdr:colOff>681355</xdr:colOff>
      <xdr:row>66</xdr:row>
      <xdr:rowOff>115887</xdr:rowOff>
    </xdr:from>
    <xdr:to>
      <xdr:col>8</xdr:col>
      <xdr:colOff>60119</xdr:colOff>
      <xdr:row>69</xdr:row>
      <xdr:rowOff>109222</xdr:rowOff>
    </xdr:to>
    <xdr:pic>
      <xdr:nvPicPr>
        <xdr:cNvPr id="4" name="Imagen 3">
          <a:extLst>
            <a:ext uri="{FF2B5EF4-FFF2-40B4-BE49-F238E27FC236}">
              <a16:creationId xmlns:a16="http://schemas.microsoft.com/office/drawing/2014/main" id="{0B276C40-1906-4009-BA10-8A25192A67FE}"/>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8405" y="19451637"/>
          <a:ext cx="1836213" cy="479110"/>
        </a:xfrm>
        <a:prstGeom prst="rect">
          <a:avLst/>
        </a:prstGeom>
        <a:noFill/>
      </xdr:spPr>
    </xdr:pic>
    <xdr:clientData/>
  </xdr:twoCellAnchor>
  <xdr:oneCellAnchor>
    <xdr:from>
      <xdr:col>6</xdr:col>
      <xdr:colOff>39370</xdr:colOff>
      <xdr:row>147</xdr:row>
      <xdr:rowOff>53975</xdr:rowOff>
    </xdr:from>
    <xdr:ext cx="8702647" cy="1489905"/>
    <xdr:pic>
      <xdr:nvPicPr>
        <xdr:cNvPr id="5" name="Imagen 4">
          <a:extLst>
            <a:ext uri="{FF2B5EF4-FFF2-40B4-BE49-F238E27FC236}">
              <a16:creationId xmlns:a16="http://schemas.microsoft.com/office/drawing/2014/main" id="{A2F3C344-0BDA-4428-992B-CF30ACD29EC8}"/>
            </a:ext>
          </a:extLst>
        </xdr:cNvPr>
        <xdr:cNvPicPr>
          <a:picLocks noChangeAspect="1"/>
        </xdr:cNvPicPr>
      </xdr:nvPicPr>
      <xdr:blipFill>
        <a:blip xmlns:r="http://schemas.openxmlformats.org/officeDocument/2006/relationships" r:embed="rId1"/>
        <a:stretch>
          <a:fillRect/>
        </a:stretch>
      </xdr:blipFill>
      <xdr:spPr>
        <a:xfrm>
          <a:off x="4039870" y="42602150"/>
          <a:ext cx="8702647" cy="1489905"/>
        </a:xfrm>
        <a:prstGeom prst="rect">
          <a:avLst/>
        </a:prstGeom>
      </xdr:spPr>
    </xdr:pic>
    <xdr:clientData/>
  </xdr:oneCellAnchor>
  <xdr:oneCellAnchor>
    <xdr:from>
      <xdr:col>3</xdr:col>
      <xdr:colOff>311150</xdr:colOff>
      <xdr:row>77</xdr:row>
      <xdr:rowOff>127000</xdr:rowOff>
    </xdr:from>
    <xdr:ext cx="13067892" cy="1516062"/>
    <xdr:pic>
      <xdr:nvPicPr>
        <xdr:cNvPr id="6" name="Imagen 5">
          <a:extLst>
            <a:ext uri="{FF2B5EF4-FFF2-40B4-BE49-F238E27FC236}">
              <a16:creationId xmlns:a16="http://schemas.microsoft.com/office/drawing/2014/main" id="{214F6748-D02B-483D-B132-710FA99B8967}"/>
            </a:ext>
          </a:extLst>
        </xdr:cNvPr>
        <xdr:cNvPicPr>
          <a:picLocks noChangeAspect="1"/>
        </xdr:cNvPicPr>
      </xdr:nvPicPr>
      <xdr:blipFill>
        <a:blip xmlns:r="http://schemas.openxmlformats.org/officeDocument/2006/relationships" r:embed="rId2"/>
        <a:stretch>
          <a:fillRect/>
        </a:stretch>
      </xdr:blipFill>
      <xdr:spPr>
        <a:xfrm>
          <a:off x="1854200" y="22501225"/>
          <a:ext cx="13067892" cy="1516062"/>
        </a:xfrm>
        <a:prstGeom prst="rect">
          <a:avLst/>
        </a:prstGeom>
      </xdr:spPr>
    </xdr:pic>
    <xdr:clientData/>
  </xdr:oneCellAnchor>
  <xdr:oneCellAnchor>
    <xdr:from>
      <xdr:col>6</xdr:col>
      <xdr:colOff>138430</xdr:colOff>
      <xdr:row>142</xdr:row>
      <xdr:rowOff>11112</xdr:rowOff>
    </xdr:from>
    <xdr:ext cx="1831451" cy="493397"/>
    <xdr:pic>
      <xdr:nvPicPr>
        <xdr:cNvPr id="7" name="Imagen 6">
          <a:extLst>
            <a:ext uri="{FF2B5EF4-FFF2-40B4-BE49-F238E27FC236}">
              <a16:creationId xmlns:a16="http://schemas.microsoft.com/office/drawing/2014/main" id="{8571FF03-3947-4C9F-B441-BF772F6221A8}"/>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138930" y="41749662"/>
          <a:ext cx="1831451" cy="493397"/>
        </a:xfrm>
        <a:prstGeom prst="rect">
          <a:avLst/>
        </a:prstGeom>
        <a:noFill/>
      </xdr:spPr>
    </xdr:pic>
    <xdr:clientData/>
  </xdr:oneCellAnchor>
  <xdr:oneCellAnchor>
    <xdr:from>
      <xdr:col>6</xdr:col>
      <xdr:colOff>39370</xdr:colOff>
      <xdr:row>221</xdr:row>
      <xdr:rowOff>53975</xdr:rowOff>
    </xdr:from>
    <xdr:ext cx="8702647" cy="1489905"/>
    <xdr:pic>
      <xdr:nvPicPr>
        <xdr:cNvPr id="8" name="Imagen 7">
          <a:extLst>
            <a:ext uri="{FF2B5EF4-FFF2-40B4-BE49-F238E27FC236}">
              <a16:creationId xmlns:a16="http://schemas.microsoft.com/office/drawing/2014/main" id="{35F7836C-0364-4043-A3E3-4D1201AC83B9}"/>
            </a:ext>
          </a:extLst>
        </xdr:cNvPr>
        <xdr:cNvPicPr>
          <a:picLocks noChangeAspect="1"/>
        </xdr:cNvPicPr>
      </xdr:nvPicPr>
      <xdr:blipFill>
        <a:blip xmlns:r="http://schemas.openxmlformats.org/officeDocument/2006/relationships" r:embed="rId1"/>
        <a:stretch>
          <a:fillRect/>
        </a:stretch>
      </xdr:blipFill>
      <xdr:spPr>
        <a:xfrm>
          <a:off x="4039870" y="64804925"/>
          <a:ext cx="8702647" cy="1489905"/>
        </a:xfrm>
        <a:prstGeom prst="rect">
          <a:avLst/>
        </a:prstGeom>
      </xdr:spPr>
    </xdr:pic>
    <xdr:clientData/>
  </xdr:oneCellAnchor>
  <xdr:oneCellAnchor>
    <xdr:from>
      <xdr:col>3</xdr:col>
      <xdr:colOff>311150</xdr:colOff>
      <xdr:row>151</xdr:row>
      <xdr:rowOff>127000</xdr:rowOff>
    </xdr:from>
    <xdr:ext cx="13067892" cy="1516062"/>
    <xdr:pic>
      <xdr:nvPicPr>
        <xdr:cNvPr id="9" name="Imagen 8">
          <a:extLst>
            <a:ext uri="{FF2B5EF4-FFF2-40B4-BE49-F238E27FC236}">
              <a16:creationId xmlns:a16="http://schemas.microsoft.com/office/drawing/2014/main" id="{8A29BE45-58DF-4E51-8E17-7B35F8A3C342}"/>
            </a:ext>
          </a:extLst>
        </xdr:cNvPr>
        <xdr:cNvPicPr>
          <a:picLocks noChangeAspect="1"/>
        </xdr:cNvPicPr>
      </xdr:nvPicPr>
      <xdr:blipFill>
        <a:blip xmlns:r="http://schemas.openxmlformats.org/officeDocument/2006/relationships" r:embed="rId2"/>
        <a:stretch>
          <a:fillRect/>
        </a:stretch>
      </xdr:blipFill>
      <xdr:spPr>
        <a:xfrm>
          <a:off x="1854200" y="44704000"/>
          <a:ext cx="13067892" cy="1516062"/>
        </a:xfrm>
        <a:prstGeom prst="rect">
          <a:avLst/>
        </a:prstGeom>
      </xdr:spPr>
    </xdr:pic>
    <xdr:clientData/>
  </xdr:oneCellAnchor>
  <xdr:oneCellAnchor>
    <xdr:from>
      <xdr:col>6</xdr:col>
      <xdr:colOff>191497</xdr:colOff>
      <xdr:row>215</xdr:row>
      <xdr:rowOff>156708</xdr:rowOff>
    </xdr:from>
    <xdr:ext cx="1831451" cy="493397"/>
    <xdr:pic>
      <xdr:nvPicPr>
        <xdr:cNvPr id="10" name="Imagen 9">
          <a:extLst>
            <a:ext uri="{FF2B5EF4-FFF2-40B4-BE49-F238E27FC236}">
              <a16:creationId xmlns:a16="http://schemas.microsoft.com/office/drawing/2014/main" id="{F0F89129-63D7-4DCD-B5CE-854E0A14B694}"/>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205604" y="64409637"/>
          <a:ext cx="1831451" cy="493397"/>
        </a:xfrm>
        <a:prstGeom prst="rect">
          <a:avLst/>
        </a:prstGeom>
        <a:noFill/>
      </xdr:spPr>
    </xdr:pic>
    <xdr:clientData/>
  </xdr:oneCellAnchor>
  <xdr:oneCellAnchor>
    <xdr:from>
      <xdr:col>6</xdr:col>
      <xdr:colOff>39370</xdr:colOff>
      <xdr:row>295</xdr:row>
      <xdr:rowOff>53975</xdr:rowOff>
    </xdr:from>
    <xdr:ext cx="8702647" cy="1489905"/>
    <xdr:pic>
      <xdr:nvPicPr>
        <xdr:cNvPr id="11" name="Imagen 10">
          <a:extLst>
            <a:ext uri="{FF2B5EF4-FFF2-40B4-BE49-F238E27FC236}">
              <a16:creationId xmlns:a16="http://schemas.microsoft.com/office/drawing/2014/main" id="{324D5C31-9FF4-4536-83C9-82C3B8EC2321}"/>
            </a:ext>
          </a:extLst>
        </xdr:cNvPr>
        <xdr:cNvPicPr>
          <a:picLocks noChangeAspect="1"/>
        </xdr:cNvPicPr>
      </xdr:nvPicPr>
      <xdr:blipFill>
        <a:blip xmlns:r="http://schemas.openxmlformats.org/officeDocument/2006/relationships" r:embed="rId1"/>
        <a:stretch>
          <a:fillRect/>
        </a:stretch>
      </xdr:blipFill>
      <xdr:spPr>
        <a:xfrm>
          <a:off x="4039870" y="86807675"/>
          <a:ext cx="8702647" cy="1489905"/>
        </a:xfrm>
        <a:prstGeom prst="rect">
          <a:avLst/>
        </a:prstGeom>
      </xdr:spPr>
    </xdr:pic>
    <xdr:clientData/>
  </xdr:oneCellAnchor>
  <xdr:oneCellAnchor>
    <xdr:from>
      <xdr:col>3</xdr:col>
      <xdr:colOff>311150</xdr:colOff>
      <xdr:row>225</xdr:row>
      <xdr:rowOff>127000</xdr:rowOff>
    </xdr:from>
    <xdr:ext cx="13067892" cy="1516062"/>
    <xdr:pic>
      <xdr:nvPicPr>
        <xdr:cNvPr id="12" name="Imagen 11">
          <a:extLst>
            <a:ext uri="{FF2B5EF4-FFF2-40B4-BE49-F238E27FC236}">
              <a16:creationId xmlns:a16="http://schemas.microsoft.com/office/drawing/2014/main" id="{27287C24-BDBB-47BF-88B5-F96715BC1C33}"/>
            </a:ext>
          </a:extLst>
        </xdr:cNvPr>
        <xdr:cNvPicPr>
          <a:picLocks noChangeAspect="1"/>
        </xdr:cNvPicPr>
      </xdr:nvPicPr>
      <xdr:blipFill>
        <a:blip xmlns:r="http://schemas.openxmlformats.org/officeDocument/2006/relationships" r:embed="rId2"/>
        <a:stretch>
          <a:fillRect/>
        </a:stretch>
      </xdr:blipFill>
      <xdr:spPr>
        <a:xfrm>
          <a:off x="1854200" y="66906775"/>
          <a:ext cx="13067892" cy="1516062"/>
        </a:xfrm>
        <a:prstGeom prst="rect">
          <a:avLst/>
        </a:prstGeom>
      </xdr:spPr>
    </xdr:pic>
    <xdr:clientData/>
  </xdr:oneCellAnchor>
  <xdr:oneCellAnchor>
    <xdr:from>
      <xdr:col>5</xdr:col>
      <xdr:colOff>681355</xdr:colOff>
      <xdr:row>289</xdr:row>
      <xdr:rowOff>115887</xdr:rowOff>
    </xdr:from>
    <xdr:ext cx="1831451" cy="493397"/>
    <xdr:pic>
      <xdr:nvPicPr>
        <xdr:cNvPr id="13" name="Imagen 12">
          <a:extLst>
            <a:ext uri="{FF2B5EF4-FFF2-40B4-BE49-F238E27FC236}">
              <a16:creationId xmlns:a16="http://schemas.microsoft.com/office/drawing/2014/main" id="{68722CB1-7BE0-405A-B5FB-295022A95498}"/>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8405" y="85898037"/>
          <a:ext cx="1831451" cy="493397"/>
        </a:xfrm>
        <a:prstGeom prst="rect">
          <a:avLst/>
        </a:prstGeom>
        <a:noFill/>
      </xdr:spPr>
    </xdr:pic>
    <xdr:clientData/>
  </xdr:oneCellAnchor>
  <xdr:oneCellAnchor>
    <xdr:from>
      <xdr:col>6</xdr:col>
      <xdr:colOff>39370</xdr:colOff>
      <xdr:row>370</xdr:row>
      <xdr:rowOff>53975</xdr:rowOff>
    </xdr:from>
    <xdr:ext cx="8702647" cy="1489905"/>
    <xdr:pic>
      <xdr:nvPicPr>
        <xdr:cNvPr id="14" name="Imagen 13">
          <a:extLst>
            <a:ext uri="{FF2B5EF4-FFF2-40B4-BE49-F238E27FC236}">
              <a16:creationId xmlns:a16="http://schemas.microsoft.com/office/drawing/2014/main" id="{E6FA0D57-C302-4FB7-BFE4-17BBE968A19D}"/>
            </a:ext>
          </a:extLst>
        </xdr:cNvPr>
        <xdr:cNvPicPr>
          <a:picLocks noChangeAspect="1"/>
        </xdr:cNvPicPr>
      </xdr:nvPicPr>
      <xdr:blipFill>
        <a:blip xmlns:r="http://schemas.openxmlformats.org/officeDocument/2006/relationships" r:embed="rId1"/>
        <a:stretch>
          <a:fillRect/>
        </a:stretch>
      </xdr:blipFill>
      <xdr:spPr>
        <a:xfrm>
          <a:off x="4039870" y="109048550"/>
          <a:ext cx="8702647" cy="1489905"/>
        </a:xfrm>
        <a:prstGeom prst="rect">
          <a:avLst/>
        </a:prstGeom>
      </xdr:spPr>
    </xdr:pic>
    <xdr:clientData/>
  </xdr:oneCellAnchor>
  <xdr:oneCellAnchor>
    <xdr:from>
      <xdr:col>3</xdr:col>
      <xdr:colOff>311150</xdr:colOff>
      <xdr:row>300</xdr:row>
      <xdr:rowOff>127000</xdr:rowOff>
    </xdr:from>
    <xdr:ext cx="13067892" cy="1516062"/>
    <xdr:pic>
      <xdr:nvPicPr>
        <xdr:cNvPr id="15" name="Imagen 14">
          <a:extLst>
            <a:ext uri="{FF2B5EF4-FFF2-40B4-BE49-F238E27FC236}">
              <a16:creationId xmlns:a16="http://schemas.microsoft.com/office/drawing/2014/main" id="{2BA5ED5C-FE91-4F2B-8D4A-C3A2DC564C78}"/>
            </a:ext>
          </a:extLst>
        </xdr:cNvPr>
        <xdr:cNvPicPr>
          <a:picLocks noChangeAspect="1"/>
        </xdr:cNvPicPr>
      </xdr:nvPicPr>
      <xdr:blipFill>
        <a:blip xmlns:r="http://schemas.openxmlformats.org/officeDocument/2006/relationships" r:embed="rId2"/>
        <a:stretch>
          <a:fillRect/>
        </a:stretch>
      </xdr:blipFill>
      <xdr:spPr>
        <a:xfrm>
          <a:off x="1854200" y="88947625"/>
          <a:ext cx="13067892" cy="1516062"/>
        </a:xfrm>
        <a:prstGeom prst="rect">
          <a:avLst/>
        </a:prstGeom>
      </xdr:spPr>
    </xdr:pic>
    <xdr:clientData/>
  </xdr:oneCellAnchor>
  <xdr:oneCellAnchor>
    <xdr:from>
      <xdr:col>5</xdr:col>
      <xdr:colOff>836137</xdr:colOff>
      <xdr:row>365</xdr:row>
      <xdr:rowOff>20638</xdr:rowOff>
    </xdr:from>
    <xdr:ext cx="1831451" cy="493397"/>
    <xdr:pic>
      <xdr:nvPicPr>
        <xdr:cNvPr id="16" name="Imagen 15">
          <a:extLst>
            <a:ext uri="{FF2B5EF4-FFF2-40B4-BE49-F238E27FC236}">
              <a16:creationId xmlns:a16="http://schemas.microsoft.com/office/drawing/2014/main" id="{B955DA34-EB3F-4BD8-99D2-34BD9C824B1E}"/>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03187" y="108205588"/>
          <a:ext cx="1831451" cy="493397"/>
        </a:xfrm>
        <a:prstGeom prst="rect">
          <a:avLst/>
        </a:prstGeom>
        <a:noFill/>
      </xdr:spPr>
    </xdr:pic>
    <xdr:clientData/>
  </xdr:oneCellAnchor>
  <xdr:oneCellAnchor>
    <xdr:from>
      <xdr:col>6</xdr:col>
      <xdr:colOff>39370</xdr:colOff>
      <xdr:row>444</xdr:row>
      <xdr:rowOff>53975</xdr:rowOff>
    </xdr:from>
    <xdr:ext cx="8702647" cy="1489905"/>
    <xdr:pic>
      <xdr:nvPicPr>
        <xdr:cNvPr id="17" name="Imagen 16">
          <a:extLst>
            <a:ext uri="{FF2B5EF4-FFF2-40B4-BE49-F238E27FC236}">
              <a16:creationId xmlns:a16="http://schemas.microsoft.com/office/drawing/2014/main" id="{4D993889-27D2-4C25-A4DC-BF6D9059D24D}"/>
            </a:ext>
          </a:extLst>
        </xdr:cNvPr>
        <xdr:cNvPicPr>
          <a:picLocks noChangeAspect="1"/>
        </xdr:cNvPicPr>
      </xdr:nvPicPr>
      <xdr:blipFill>
        <a:blip xmlns:r="http://schemas.openxmlformats.org/officeDocument/2006/relationships" r:embed="rId1"/>
        <a:stretch>
          <a:fillRect/>
        </a:stretch>
      </xdr:blipFill>
      <xdr:spPr>
        <a:xfrm>
          <a:off x="4039870" y="131251325"/>
          <a:ext cx="8702647" cy="1489905"/>
        </a:xfrm>
        <a:prstGeom prst="rect">
          <a:avLst/>
        </a:prstGeom>
      </xdr:spPr>
    </xdr:pic>
    <xdr:clientData/>
  </xdr:oneCellAnchor>
  <xdr:oneCellAnchor>
    <xdr:from>
      <xdr:col>3</xdr:col>
      <xdr:colOff>311150</xdr:colOff>
      <xdr:row>374</xdr:row>
      <xdr:rowOff>127000</xdr:rowOff>
    </xdr:from>
    <xdr:ext cx="13067892" cy="1516062"/>
    <xdr:pic>
      <xdr:nvPicPr>
        <xdr:cNvPr id="18" name="Imagen 17">
          <a:extLst>
            <a:ext uri="{FF2B5EF4-FFF2-40B4-BE49-F238E27FC236}">
              <a16:creationId xmlns:a16="http://schemas.microsoft.com/office/drawing/2014/main" id="{0E79DA2C-2DA0-4A96-AA23-3B607E89159F}"/>
            </a:ext>
          </a:extLst>
        </xdr:cNvPr>
        <xdr:cNvPicPr>
          <a:picLocks noChangeAspect="1"/>
        </xdr:cNvPicPr>
      </xdr:nvPicPr>
      <xdr:blipFill>
        <a:blip xmlns:r="http://schemas.openxmlformats.org/officeDocument/2006/relationships" r:embed="rId2"/>
        <a:stretch>
          <a:fillRect/>
        </a:stretch>
      </xdr:blipFill>
      <xdr:spPr>
        <a:xfrm>
          <a:off x="1854200" y="111150400"/>
          <a:ext cx="13067892" cy="1516062"/>
        </a:xfrm>
        <a:prstGeom prst="rect">
          <a:avLst/>
        </a:prstGeom>
      </xdr:spPr>
    </xdr:pic>
    <xdr:clientData/>
  </xdr:oneCellAnchor>
  <xdr:oneCellAnchor>
    <xdr:from>
      <xdr:col>6</xdr:col>
      <xdr:colOff>14605</xdr:colOff>
      <xdr:row>439</xdr:row>
      <xdr:rowOff>77787</xdr:rowOff>
    </xdr:from>
    <xdr:ext cx="1831451" cy="493397"/>
    <xdr:pic>
      <xdr:nvPicPr>
        <xdr:cNvPr id="19" name="Imagen 18">
          <a:extLst>
            <a:ext uri="{FF2B5EF4-FFF2-40B4-BE49-F238E27FC236}">
              <a16:creationId xmlns:a16="http://schemas.microsoft.com/office/drawing/2014/main" id="{7A379650-D224-4736-A9C0-F52213AC44EA}"/>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129405" y="134475537"/>
          <a:ext cx="1831451" cy="493397"/>
        </a:xfrm>
        <a:prstGeom prst="rect">
          <a:avLst/>
        </a:prstGeom>
        <a:noFill/>
      </xdr:spPr>
    </xdr:pic>
    <xdr:clientData/>
  </xdr:oneCellAnchor>
  <xdr:oneCellAnchor>
    <xdr:from>
      <xdr:col>6</xdr:col>
      <xdr:colOff>39370</xdr:colOff>
      <xdr:row>518</xdr:row>
      <xdr:rowOff>53975</xdr:rowOff>
    </xdr:from>
    <xdr:ext cx="8702647" cy="1489905"/>
    <xdr:pic>
      <xdr:nvPicPr>
        <xdr:cNvPr id="20" name="Imagen 19">
          <a:extLst>
            <a:ext uri="{FF2B5EF4-FFF2-40B4-BE49-F238E27FC236}">
              <a16:creationId xmlns:a16="http://schemas.microsoft.com/office/drawing/2014/main" id="{37A54311-55B0-40A7-800A-DDBE4BD0D2A0}"/>
            </a:ext>
          </a:extLst>
        </xdr:cNvPr>
        <xdr:cNvPicPr>
          <a:picLocks noChangeAspect="1"/>
        </xdr:cNvPicPr>
      </xdr:nvPicPr>
      <xdr:blipFill>
        <a:blip xmlns:r="http://schemas.openxmlformats.org/officeDocument/2006/relationships" r:embed="rId1"/>
        <a:stretch>
          <a:fillRect/>
        </a:stretch>
      </xdr:blipFill>
      <xdr:spPr>
        <a:xfrm>
          <a:off x="4039870" y="153454100"/>
          <a:ext cx="8702647" cy="1489905"/>
        </a:xfrm>
        <a:prstGeom prst="rect">
          <a:avLst/>
        </a:prstGeom>
      </xdr:spPr>
    </xdr:pic>
    <xdr:clientData/>
  </xdr:oneCellAnchor>
  <xdr:oneCellAnchor>
    <xdr:from>
      <xdr:col>3</xdr:col>
      <xdr:colOff>311150</xdr:colOff>
      <xdr:row>448</xdr:row>
      <xdr:rowOff>127000</xdr:rowOff>
    </xdr:from>
    <xdr:ext cx="13067892" cy="1516062"/>
    <xdr:pic>
      <xdr:nvPicPr>
        <xdr:cNvPr id="21" name="Imagen 20">
          <a:extLst>
            <a:ext uri="{FF2B5EF4-FFF2-40B4-BE49-F238E27FC236}">
              <a16:creationId xmlns:a16="http://schemas.microsoft.com/office/drawing/2014/main" id="{1DDA0F70-F699-4136-83FE-F2412A88D97F}"/>
            </a:ext>
          </a:extLst>
        </xdr:cNvPr>
        <xdr:cNvPicPr>
          <a:picLocks noChangeAspect="1"/>
        </xdr:cNvPicPr>
      </xdr:nvPicPr>
      <xdr:blipFill>
        <a:blip xmlns:r="http://schemas.openxmlformats.org/officeDocument/2006/relationships" r:embed="rId2"/>
        <a:stretch>
          <a:fillRect/>
        </a:stretch>
      </xdr:blipFill>
      <xdr:spPr>
        <a:xfrm>
          <a:off x="1854200" y="133353175"/>
          <a:ext cx="13067892" cy="1516062"/>
        </a:xfrm>
        <a:prstGeom prst="rect">
          <a:avLst/>
        </a:prstGeom>
      </xdr:spPr>
    </xdr:pic>
    <xdr:clientData/>
  </xdr:oneCellAnchor>
  <xdr:oneCellAnchor>
    <xdr:from>
      <xdr:col>5</xdr:col>
      <xdr:colOff>681355</xdr:colOff>
      <xdr:row>512</xdr:row>
      <xdr:rowOff>115887</xdr:rowOff>
    </xdr:from>
    <xdr:ext cx="1831451" cy="493397"/>
    <xdr:pic>
      <xdr:nvPicPr>
        <xdr:cNvPr id="22" name="Imagen 21">
          <a:extLst>
            <a:ext uri="{FF2B5EF4-FFF2-40B4-BE49-F238E27FC236}">
              <a16:creationId xmlns:a16="http://schemas.microsoft.com/office/drawing/2014/main" id="{8E40E5AD-C1A7-42E6-B296-BCCC32F44BBE}"/>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8405" y="152544462"/>
          <a:ext cx="1831451" cy="493397"/>
        </a:xfrm>
        <a:prstGeom prst="rect">
          <a:avLst/>
        </a:prstGeom>
        <a:noFill/>
      </xdr:spPr>
    </xdr:pic>
    <xdr:clientData/>
  </xdr:oneCellAnchor>
  <xdr:oneCellAnchor>
    <xdr:from>
      <xdr:col>6</xdr:col>
      <xdr:colOff>39370</xdr:colOff>
      <xdr:row>592</xdr:row>
      <xdr:rowOff>53975</xdr:rowOff>
    </xdr:from>
    <xdr:ext cx="8702647" cy="1489905"/>
    <xdr:pic>
      <xdr:nvPicPr>
        <xdr:cNvPr id="23" name="Imagen 22">
          <a:extLst>
            <a:ext uri="{FF2B5EF4-FFF2-40B4-BE49-F238E27FC236}">
              <a16:creationId xmlns:a16="http://schemas.microsoft.com/office/drawing/2014/main" id="{C802CD91-BB79-4E2D-AB85-3925A0BCCF56}"/>
            </a:ext>
          </a:extLst>
        </xdr:cNvPr>
        <xdr:cNvPicPr>
          <a:picLocks noChangeAspect="1"/>
        </xdr:cNvPicPr>
      </xdr:nvPicPr>
      <xdr:blipFill>
        <a:blip xmlns:r="http://schemas.openxmlformats.org/officeDocument/2006/relationships" r:embed="rId1"/>
        <a:stretch>
          <a:fillRect/>
        </a:stretch>
      </xdr:blipFill>
      <xdr:spPr>
        <a:xfrm>
          <a:off x="4039870" y="175656875"/>
          <a:ext cx="8702647" cy="1489905"/>
        </a:xfrm>
        <a:prstGeom prst="rect">
          <a:avLst/>
        </a:prstGeom>
      </xdr:spPr>
    </xdr:pic>
    <xdr:clientData/>
  </xdr:oneCellAnchor>
  <xdr:oneCellAnchor>
    <xdr:from>
      <xdr:col>3</xdr:col>
      <xdr:colOff>311150</xdr:colOff>
      <xdr:row>522</xdr:row>
      <xdr:rowOff>127000</xdr:rowOff>
    </xdr:from>
    <xdr:ext cx="13067892" cy="1516062"/>
    <xdr:pic>
      <xdr:nvPicPr>
        <xdr:cNvPr id="24" name="Imagen 23">
          <a:extLst>
            <a:ext uri="{FF2B5EF4-FFF2-40B4-BE49-F238E27FC236}">
              <a16:creationId xmlns:a16="http://schemas.microsoft.com/office/drawing/2014/main" id="{9A12F3B5-C263-4F1A-AAB5-BA566BEFD5B6}"/>
            </a:ext>
          </a:extLst>
        </xdr:cNvPr>
        <xdr:cNvPicPr>
          <a:picLocks noChangeAspect="1"/>
        </xdr:cNvPicPr>
      </xdr:nvPicPr>
      <xdr:blipFill>
        <a:blip xmlns:r="http://schemas.openxmlformats.org/officeDocument/2006/relationships" r:embed="rId2"/>
        <a:stretch>
          <a:fillRect/>
        </a:stretch>
      </xdr:blipFill>
      <xdr:spPr>
        <a:xfrm>
          <a:off x="1854200" y="155555950"/>
          <a:ext cx="13067892" cy="1516062"/>
        </a:xfrm>
        <a:prstGeom prst="rect">
          <a:avLst/>
        </a:prstGeom>
      </xdr:spPr>
    </xdr:pic>
    <xdr:clientData/>
  </xdr:oneCellAnchor>
  <xdr:oneCellAnchor>
    <xdr:from>
      <xdr:col>6</xdr:col>
      <xdr:colOff>312261</xdr:colOff>
      <xdr:row>587</xdr:row>
      <xdr:rowOff>44449</xdr:rowOff>
    </xdr:from>
    <xdr:ext cx="1831451" cy="493397"/>
    <xdr:pic>
      <xdr:nvPicPr>
        <xdr:cNvPr id="25" name="Imagen 24">
          <a:extLst>
            <a:ext uri="{FF2B5EF4-FFF2-40B4-BE49-F238E27FC236}">
              <a16:creationId xmlns:a16="http://schemas.microsoft.com/office/drawing/2014/main" id="{813421F0-2673-4DBC-BB76-337ECB6179CA}"/>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312761" y="174837724"/>
          <a:ext cx="1831451" cy="493397"/>
        </a:xfrm>
        <a:prstGeom prst="rect">
          <a:avLst/>
        </a:prstGeom>
        <a:noFill/>
      </xdr:spPr>
    </xdr:pic>
    <xdr:clientData/>
  </xdr:oneCellAnchor>
  <xdr:oneCellAnchor>
    <xdr:from>
      <xdr:col>6</xdr:col>
      <xdr:colOff>39370</xdr:colOff>
      <xdr:row>666</xdr:row>
      <xdr:rowOff>53975</xdr:rowOff>
    </xdr:from>
    <xdr:ext cx="8702647" cy="1489905"/>
    <xdr:pic>
      <xdr:nvPicPr>
        <xdr:cNvPr id="26" name="Imagen 25">
          <a:extLst>
            <a:ext uri="{FF2B5EF4-FFF2-40B4-BE49-F238E27FC236}">
              <a16:creationId xmlns:a16="http://schemas.microsoft.com/office/drawing/2014/main" id="{81F93A88-8A36-4BD5-89D1-52DB072C114E}"/>
            </a:ext>
          </a:extLst>
        </xdr:cNvPr>
        <xdr:cNvPicPr>
          <a:picLocks noChangeAspect="1"/>
        </xdr:cNvPicPr>
      </xdr:nvPicPr>
      <xdr:blipFill>
        <a:blip xmlns:r="http://schemas.openxmlformats.org/officeDocument/2006/relationships" r:embed="rId1"/>
        <a:stretch>
          <a:fillRect/>
        </a:stretch>
      </xdr:blipFill>
      <xdr:spPr>
        <a:xfrm>
          <a:off x="4039870" y="197859650"/>
          <a:ext cx="8702647" cy="1489905"/>
        </a:xfrm>
        <a:prstGeom prst="rect">
          <a:avLst/>
        </a:prstGeom>
      </xdr:spPr>
    </xdr:pic>
    <xdr:clientData/>
  </xdr:oneCellAnchor>
  <xdr:oneCellAnchor>
    <xdr:from>
      <xdr:col>3</xdr:col>
      <xdr:colOff>311150</xdr:colOff>
      <xdr:row>596</xdr:row>
      <xdr:rowOff>127000</xdr:rowOff>
    </xdr:from>
    <xdr:ext cx="13067892" cy="1516062"/>
    <xdr:pic>
      <xdr:nvPicPr>
        <xdr:cNvPr id="27" name="Imagen 26">
          <a:extLst>
            <a:ext uri="{FF2B5EF4-FFF2-40B4-BE49-F238E27FC236}">
              <a16:creationId xmlns:a16="http://schemas.microsoft.com/office/drawing/2014/main" id="{93E5164E-ED22-4F28-A3CA-ED84E01DE835}"/>
            </a:ext>
          </a:extLst>
        </xdr:cNvPr>
        <xdr:cNvPicPr>
          <a:picLocks noChangeAspect="1"/>
        </xdr:cNvPicPr>
      </xdr:nvPicPr>
      <xdr:blipFill>
        <a:blip xmlns:r="http://schemas.openxmlformats.org/officeDocument/2006/relationships" r:embed="rId2"/>
        <a:stretch>
          <a:fillRect/>
        </a:stretch>
      </xdr:blipFill>
      <xdr:spPr>
        <a:xfrm>
          <a:off x="1854200" y="177758725"/>
          <a:ext cx="13067892" cy="1516062"/>
        </a:xfrm>
        <a:prstGeom prst="rect">
          <a:avLst/>
        </a:prstGeom>
      </xdr:spPr>
    </xdr:pic>
    <xdr:clientData/>
  </xdr:oneCellAnchor>
  <xdr:oneCellAnchor>
    <xdr:from>
      <xdr:col>6</xdr:col>
      <xdr:colOff>312261</xdr:colOff>
      <xdr:row>661</xdr:row>
      <xdr:rowOff>44449</xdr:rowOff>
    </xdr:from>
    <xdr:ext cx="1831451" cy="493397"/>
    <xdr:pic>
      <xdr:nvPicPr>
        <xdr:cNvPr id="28" name="Imagen 27">
          <a:extLst>
            <a:ext uri="{FF2B5EF4-FFF2-40B4-BE49-F238E27FC236}">
              <a16:creationId xmlns:a16="http://schemas.microsoft.com/office/drawing/2014/main" id="{EA662BD1-8B83-4163-B9A9-79BAC29DE5CC}"/>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312761" y="197040499"/>
          <a:ext cx="1831451" cy="493397"/>
        </a:xfrm>
        <a:prstGeom prst="rect">
          <a:avLst/>
        </a:prstGeom>
        <a:noFill/>
      </xdr:spPr>
    </xdr:pic>
    <xdr:clientData/>
  </xdr:oneCellAnchor>
  <xdr:oneCellAnchor>
    <xdr:from>
      <xdr:col>6</xdr:col>
      <xdr:colOff>39370</xdr:colOff>
      <xdr:row>740</xdr:row>
      <xdr:rowOff>53975</xdr:rowOff>
    </xdr:from>
    <xdr:ext cx="8702647" cy="1489905"/>
    <xdr:pic>
      <xdr:nvPicPr>
        <xdr:cNvPr id="29" name="Imagen 28">
          <a:extLst>
            <a:ext uri="{FF2B5EF4-FFF2-40B4-BE49-F238E27FC236}">
              <a16:creationId xmlns:a16="http://schemas.microsoft.com/office/drawing/2014/main" id="{E9FC1F55-C061-4237-BFEA-464F26B1EF16}"/>
            </a:ext>
          </a:extLst>
        </xdr:cNvPr>
        <xdr:cNvPicPr>
          <a:picLocks noChangeAspect="1"/>
        </xdr:cNvPicPr>
      </xdr:nvPicPr>
      <xdr:blipFill>
        <a:blip xmlns:r="http://schemas.openxmlformats.org/officeDocument/2006/relationships" r:embed="rId1"/>
        <a:stretch>
          <a:fillRect/>
        </a:stretch>
      </xdr:blipFill>
      <xdr:spPr>
        <a:xfrm>
          <a:off x="4039870" y="220062425"/>
          <a:ext cx="8702647" cy="1489905"/>
        </a:xfrm>
        <a:prstGeom prst="rect">
          <a:avLst/>
        </a:prstGeom>
      </xdr:spPr>
    </xdr:pic>
    <xdr:clientData/>
  </xdr:oneCellAnchor>
  <xdr:oneCellAnchor>
    <xdr:from>
      <xdr:col>3</xdr:col>
      <xdr:colOff>311150</xdr:colOff>
      <xdr:row>670</xdr:row>
      <xdr:rowOff>127000</xdr:rowOff>
    </xdr:from>
    <xdr:ext cx="13067892" cy="1516062"/>
    <xdr:pic>
      <xdr:nvPicPr>
        <xdr:cNvPr id="30" name="Imagen 29">
          <a:extLst>
            <a:ext uri="{FF2B5EF4-FFF2-40B4-BE49-F238E27FC236}">
              <a16:creationId xmlns:a16="http://schemas.microsoft.com/office/drawing/2014/main" id="{F2586CD8-2065-4A1D-817C-3912B1FD3159}"/>
            </a:ext>
          </a:extLst>
        </xdr:cNvPr>
        <xdr:cNvPicPr>
          <a:picLocks noChangeAspect="1"/>
        </xdr:cNvPicPr>
      </xdr:nvPicPr>
      <xdr:blipFill>
        <a:blip xmlns:r="http://schemas.openxmlformats.org/officeDocument/2006/relationships" r:embed="rId2"/>
        <a:stretch>
          <a:fillRect/>
        </a:stretch>
      </xdr:blipFill>
      <xdr:spPr>
        <a:xfrm>
          <a:off x="1854200" y="199961500"/>
          <a:ext cx="13067892" cy="1516062"/>
        </a:xfrm>
        <a:prstGeom prst="rect">
          <a:avLst/>
        </a:prstGeom>
      </xdr:spPr>
    </xdr:pic>
    <xdr:clientData/>
  </xdr:oneCellAnchor>
  <xdr:oneCellAnchor>
    <xdr:from>
      <xdr:col>6</xdr:col>
      <xdr:colOff>312261</xdr:colOff>
      <xdr:row>735</xdr:row>
      <xdr:rowOff>44449</xdr:rowOff>
    </xdr:from>
    <xdr:ext cx="1831451" cy="493397"/>
    <xdr:pic>
      <xdr:nvPicPr>
        <xdr:cNvPr id="31" name="Imagen 30">
          <a:extLst>
            <a:ext uri="{FF2B5EF4-FFF2-40B4-BE49-F238E27FC236}">
              <a16:creationId xmlns:a16="http://schemas.microsoft.com/office/drawing/2014/main" id="{45F1FFF2-B422-4D43-B5EB-FC633D4C5FE9}"/>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312761" y="219243274"/>
          <a:ext cx="1831451" cy="493397"/>
        </a:xfrm>
        <a:prstGeom prst="rect">
          <a:avLst/>
        </a:prstGeom>
        <a:noFill/>
      </xdr:spPr>
    </xdr:pic>
    <xdr:clientData/>
  </xdr:oneCellAnchor>
  <xdr:oneCellAnchor>
    <xdr:from>
      <xdr:col>6</xdr:col>
      <xdr:colOff>39370</xdr:colOff>
      <xdr:row>814</xdr:row>
      <xdr:rowOff>53975</xdr:rowOff>
    </xdr:from>
    <xdr:ext cx="8702647" cy="1489905"/>
    <xdr:pic>
      <xdr:nvPicPr>
        <xdr:cNvPr id="32" name="Imagen 31">
          <a:extLst>
            <a:ext uri="{FF2B5EF4-FFF2-40B4-BE49-F238E27FC236}">
              <a16:creationId xmlns:a16="http://schemas.microsoft.com/office/drawing/2014/main" id="{0AA53BBD-8591-45CD-A83C-D51B25FD2FF7}"/>
            </a:ext>
          </a:extLst>
        </xdr:cNvPr>
        <xdr:cNvPicPr>
          <a:picLocks noChangeAspect="1"/>
        </xdr:cNvPicPr>
      </xdr:nvPicPr>
      <xdr:blipFill>
        <a:blip xmlns:r="http://schemas.openxmlformats.org/officeDocument/2006/relationships" r:embed="rId1"/>
        <a:stretch>
          <a:fillRect/>
        </a:stretch>
      </xdr:blipFill>
      <xdr:spPr>
        <a:xfrm>
          <a:off x="4039870" y="242265200"/>
          <a:ext cx="8702647" cy="1489905"/>
        </a:xfrm>
        <a:prstGeom prst="rect">
          <a:avLst/>
        </a:prstGeom>
      </xdr:spPr>
    </xdr:pic>
    <xdr:clientData/>
  </xdr:oneCellAnchor>
  <xdr:oneCellAnchor>
    <xdr:from>
      <xdr:col>3</xdr:col>
      <xdr:colOff>311150</xdr:colOff>
      <xdr:row>744</xdr:row>
      <xdr:rowOff>127000</xdr:rowOff>
    </xdr:from>
    <xdr:ext cx="13067892" cy="1516062"/>
    <xdr:pic>
      <xdr:nvPicPr>
        <xdr:cNvPr id="33" name="Imagen 32">
          <a:extLst>
            <a:ext uri="{FF2B5EF4-FFF2-40B4-BE49-F238E27FC236}">
              <a16:creationId xmlns:a16="http://schemas.microsoft.com/office/drawing/2014/main" id="{FDCCB366-246F-45BC-83DB-508C4843DD72}"/>
            </a:ext>
          </a:extLst>
        </xdr:cNvPr>
        <xdr:cNvPicPr>
          <a:picLocks noChangeAspect="1"/>
        </xdr:cNvPicPr>
      </xdr:nvPicPr>
      <xdr:blipFill>
        <a:blip xmlns:r="http://schemas.openxmlformats.org/officeDocument/2006/relationships" r:embed="rId2"/>
        <a:stretch>
          <a:fillRect/>
        </a:stretch>
      </xdr:blipFill>
      <xdr:spPr>
        <a:xfrm>
          <a:off x="1854200" y="222164275"/>
          <a:ext cx="13067892" cy="1516062"/>
        </a:xfrm>
        <a:prstGeom prst="rect">
          <a:avLst/>
        </a:prstGeom>
      </xdr:spPr>
    </xdr:pic>
    <xdr:clientData/>
  </xdr:oneCellAnchor>
  <xdr:oneCellAnchor>
    <xdr:from>
      <xdr:col>6</xdr:col>
      <xdr:colOff>312261</xdr:colOff>
      <xdr:row>809</xdr:row>
      <xdr:rowOff>44449</xdr:rowOff>
    </xdr:from>
    <xdr:ext cx="1831451" cy="493397"/>
    <xdr:pic>
      <xdr:nvPicPr>
        <xdr:cNvPr id="34" name="Imagen 33">
          <a:extLst>
            <a:ext uri="{FF2B5EF4-FFF2-40B4-BE49-F238E27FC236}">
              <a16:creationId xmlns:a16="http://schemas.microsoft.com/office/drawing/2014/main" id="{B4156C71-D90F-4C5D-B8B9-AFEADB2996AF}"/>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312761" y="241446049"/>
          <a:ext cx="1831451" cy="493397"/>
        </a:xfrm>
        <a:prstGeom prst="rect">
          <a:avLst/>
        </a:prstGeom>
        <a:noFill/>
      </xdr:spPr>
    </xdr:pic>
    <xdr:clientData/>
  </xdr:oneCellAnchor>
  <xdr:oneCellAnchor>
    <xdr:from>
      <xdr:col>6</xdr:col>
      <xdr:colOff>39370</xdr:colOff>
      <xdr:row>888</xdr:row>
      <xdr:rowOff>53975</xdr:rowOff>
    </xdr:from>
    <xdr:ext cx="8702647" cy="1489905"/>
    <xdr:pic>
      <xdr:nvPicPr>
        <xdr:cNvPr id="35" name="Imagen 34">
          <a:extLst>
            <a:ext uri="{FF2B5EF4-FFF2-40B4-BE49-F238E27FC236}">
              <a16:creationId xmlns:a16="http://schemas.microsoft.com/office/drawing/2014/main" id="{EA022735-4971-4F9A-AF2F-82D71E050A8A}"/>
            </a:ext>
          </a:extLst>
        </xdr:cNvPr>
        <xdr:cNvPicPr>
          <a:picLocks noChangeAspect="1"/>
        </xdr:cNvPicPr>
      </xdr:nvPicPr>
      <xdr:blipFill>
        <a:blip xmlns:r="http://schemas.openxmlformats.org/officeDocument/2006/relationships" r:embed="rId1"/>
        <a:stretch>
          <a:fillRect/>
        </a:stretch>
      </xdr:blipFill>
      <xdr:spPr>
        <a:xfrm>
          <a:off x="4039870" y="264467975"/>
          <a:ext cx="8702647" cy="1489905"/>
        </a:xfrm>
        <a:prstGeom prst="rect">
          <a:avLst/>
        </a:prstGeom>
      </xdr:spPr>
    </xdr:pic>
    <xdr:clientData/>
  </xdr:oneCellAnchor>
  <xdr:oneCellAnchor>
    <xdr:from>
      <xdr:col>3</xdr:col>
      <xdr:colOff>311150</xdr:colOff>
      <xdr:row>818</xdr:row>
      <xdr:rowOff>127000</xdr:rowOff>
    </xdr:from>
    <xdr:ext cx="13067892" cy="1516062"/>
    <xdr:pic>
      <xdr:nvPicPr>
        <xdr:cNvPr id="36" name="Imagen 35">
          <a:extLst>
            <a:ext uri="{FF2B5EF4-FFF2-40B4-BE49-F238E27FC236}">
              <a16:creationId xmlns:a16="http://schemas.microsoft.com/office/drawing/2014/main" id="{C89656BD-3F23-493D-A50F-756A1BA2C873}"/>
            </a:ext>
          </a:extLst>
        </xdr:cNvPr>
        <xdr:cNvPicPr>
          <a:picLocks noChangeAspect="1"/>
        </xdr:cNvPicPr>
      </xdr:nvPicPr>
      <xdr:blipFill>
        <a:blip xmlns:r="http://schemas.openxmlformats.org/officeDocument/2006/relationships" r:embed="rId2"/>
        <a:stretch>
          <a:fillRect/>
        </a:stretch>
      </xdr:blipFill>
      <xdr:spPr>
        <a:xfrm>
          <a:off x="1854200" y="244367050"/>
          <a:ext cx="13067892" cy="1516062"/>
        </a:xfrm>
        <a:prstGeom prst="rect">
          <a:avLst/>
        </a:prstGeom>
      </xdr:spPr>
    </xdr:pic>
    <xdr:clientData/>
  </xdr:oneCellAnchor>
  <xdr:oneCellAnchor>
    <xdr:from>
      <xdr:col>6</xdr:col>
      <xdr:colOff>312261</xdr:colOff>
      <xdr:row>883</xdr:row>
      <xdr:rowOff>44449</xdr:rowOff>
    </xdr:from>
    <xdr:ext cx="1831451" cy="493397"/>
    <xdr:pic>
      <xdr:nvPicPr>
        <xdr:cNvPr id="37" name="Imagen 36">
          <a:extLst>
            <a:ext uri="{FF2B5EF4-FFF2-40B4-BE49-F238E27FC236}">
              <a16:creationId xmlns:a16="http://schemas.microsoft.com/office/drawing/2014/main" id="{209EFC4A-AE84-4CD9-AA01-F1BB898B7B4F}"/>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312761" y="263648824"/>
          <a:ext cx="1831451" cy="493397"/>
        </a:xfrm>
        <a:prstGeom prst="rect">
          <a:avLst/>
        </a:prstGeom>
        <a:noFill/>
      </xdr:spPr>
    </xdr:pic>
    <xdr:clientData/>
  </xdr:oneCellAnchor>
  <xdr:oneCellAnchor>
    <xdr:from>
      <xdr:col>6</xdr:col>
      <xdr:colOff>39370</xdr:colOff>
      <xdr:row>962</xdr:row>
      <xdr:rowOff>53975</xdr:rowOff>
    </xdr:from>
    <xdr:ext cx="8702647" cy="1489905"/>
    <xdr:pic>
      <xdr:nvPicPr>
        <xdr:cNvPr id="38" name="Imagen 37">
          <a:extLst>
            <a:ext uri="{FF2B5EF4-FFF2-40B4-BE49-F238E27FC236}">
              <a16:creationId xmlns:a16="http://schemas.microsoft.com/office/drawing/2014/main" id="{66ED8AE9-4AB7-4A78-8290-CFBC8674F833}"/>
            </a:ext>
          </a:extLst>
        </xdr:cNvPr>
        <xdr:cNvPicPr>
          <a:picLocks noChangeAspect="1"/>
        </xdr:cNvPicPr>
      </xdr:nvPicPr>
      <xdr:blipFill>
        <a:blip xmlns:r="http://schemas.openxmlformats.org/officeDocument/2006/relationships" r:embed="rId1"/>
        <a:stretch>
          <a:fillRect/>
        </a:stretch>
      </xdr:blipFill>
      <xdr:spPr>
        <a:xfrm>
          <a:off x="4039870" y="286670750"/>
          <a:ext cx="8702647" cy="1489905"/>
        </a:xfrm>
        <a:prstGeom prst="rect">
          <a:avLst/>
        </a:prstGeom>
      </xdr:spPr>
    </xdr:pic>
    <xdr:clientData/>
  </xdr:oneCellAnchor>
  <xdr:oneCellAnchor>
    <xdr:from>
      <xdr:col>3</xdr:col>
      <xdr:colOff>311150</xdr:colOff>
      <xdr:row>892</xdr:row>
      <xdr:rowOff>127000</xdr:rowOff>
    </xdr:from>
    <xdr:ext cx="13067892" cy="1516062"/>
    <xdr:pic>
      <xdr:nvPicPr>
        <xdr:cNvPr id="39" name="Imagen 38">
          <a:extLst>
            <a:ext uri="{FF2B5EF4-FFF2-40B4-BE49-F238E27FC236}">
              <a16:creationId xmlns:a16="http://schemas.microsoft.com/office/drawing/2014/main" id="{4CC7CFBF-13B2-41D3-9081-2CAE3638FFF6}"/>
            </a:ext>
          </a:extLst>
        </xdr:cNvPr>
        <xdr:cNvPicPr>
          <a:picLocks noChangeAspect="1"/>
        </xdr:cNvPicPr>
      </xdr:nvPicPr>
      <xdr:blipFill>
        <a:blip xmlns:r="http://schemas.openxmlformats.org/officeDocument/2006/relationships" r:embed="rId2"/>
        <a:stretch>
          <a:fillRect/>
        </a:stretch>
      </xdr:blipFill>
      <xdr:spPr>
        <a:xfrm>
          <a:off x="1854200" y="266569825"/>
          <a:ext cx="13067892" cy="1516062"/>
        </a:xfrm>
        <a:prstGeom prst="rect">
          <a:avLst/>
        </a:prstGeom>
      </xdr:spPr>
    </xdr:pic>
    <xdr:clientData/>
  </xdr:oneCellAnchor>
  <xdr:oneCellAnchor>
    <xdr:from>
      <xdr:col>6</xdr:col>
      <xdr:colOff>312261</xdr:colOff>
      <xdr:row>957</xdr:row>
      <xdr:rowOff>44449</xdr:rowOff>
    </xdr:from>
    <xdr:ext cx="1831451" cy="493397"/>
    <xdr:pic>
      <xdr:nvPicPr>
        <xdr:cNvPr id="40" name="Imagen 39">
          <a:extLst>
            <a:ext uri="{FF2B5EF4-FFF2-40B4-BE49-F238E27FC236}">
              <a16:creationId xmlns:a16="http://schemas.microsoft.com/office/drawing/2014/main" id="{0438F30D-187B-428B-9B41-2D01483494C3}"/>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312761" y="285851599"/>
          <a:ext cx="1831451" cy="493397"/>
        </a:xfrm>
        <a:prstGeom prst="rect">
          <a:avLst/>
        </a:prstGeom>
        <a:noFill/>
      </xdr:spPr>
    </xdr:pic>
    <xdr:clientData/>
  </xdr:oneCellAnchor>
  <xdr:oneCellAnchor>
    <xdr:from>
      <xdr:col>6</xdr:col>
      <xdr:colOff>39370</xdr:colOff>
      <xdr:row>1036</xdr:row>
      <xdr:rowOff>53975</xdr:rowOff>
    </xdr:from>
    <xdr:ext cx="8702647" cy="1489905"/>
    <xdr:pic>
      <xdr:nvPicPr>
        <xdr:cNvPr id="41" name="Imagen 40">
          <a:extLst>
            <a:ext uri="{FF2B5EF4-FFF2-40B4-BE49-F238E27FC236}">
              <a16:creationId xmlns:a16="http://schemas.microsoft.com/office/drawing/2014/main" id="{7BF774E2-43FB-4CE2-BDAA-96273BFE7B92}"/>
            </a:ext>
          </a:extLst>
        </xdr:cNvPr>
        <xdr:cNvPicPr>
          <a:picLocks noChangeAspect="1"/>
        </xdr:cNvPicPr>
      </xdr:nvPicPr>
      <xdr:blipFill>
        <a:blip xmlns:r="http://schemas.openxmlformats.org/officeDocument/2006/relationships" r:embed="rId1"/>
        <a:stretch>
          <a:fillRect/>
        </a:stretch>
      </xdr:blipFill>
      <xdr:spPr>
        <a:xfrm>
          <a:off x="4039870" y="308740175"/>
          <a:ext cx="8702647" cy="1489905"/>
        </a:xfrm>
        <a:prstGeom prst="rect">
          <a:avLst/>
        </a:prstGeom>
      </xdr:spPr>
    </xdr:pic>
    <xdr:clientData/>
  </xdr:oneCellAnchor>
  <xdr:oneCellAnchor>
    <xdr:from>
      <xdr:col>3</xdr:col>
      <xdr:colOff>311150</xdr:colOff>
      <xdr:row>966</xdr:row>
      <xdr:rowOff>127000</xdr:rowOff>
    </xdr:from>
    <xdr:ext cx="13067892" cy="1516062"/>
    <xdr:pic>
      <xdr:nvPicPr>
        <xdr:cNvPr id="42" name="Imagen 41">
          <a:extLst>
            <a:ext uri="{FF2B5EF4-FFF2-40B4-BE49-F238E27FC236}">
              <a16:creationId xmlns:a16="http://schemas.microsoft.com/office/drawing/2014/main" id="{DE3CCD52-D91C-4B84-9846-F7F2B263488E}"/>
            </a:ext>
          </a:extLst>
        </xdr:cNvPr>
        <xdr:cNvPicPr>
          <a:picLocks noChangeAspect="1"/>
        </xdr:cNvPicPr>
      </xdr:nvPicPr>
      <xdr:blipFill>
        <a:blip xmlns:r="http://schemas.openxmlformats.org/officeDocument/2006/relationships" r:embed="rId2"/>
        <a:stretch>
          <a:fillRect/>
        </a:stretch>
      </xdr:blipFill>
      <xdr:spPr>
        <a:xfrm>
          <a:off x="1854200" y="288639250"/>
          <a:ext cx="13067892" cy="1516062"/>
        </a:xfrm>
        <a:prstGeom prst="rect">
          <a:avLst/>
        </a:prstGeom>
      </xdr:spPr>
    </xdr:pic>
    <xdr:clientData/>
  </xdr:oneCellAnchor>
  <xdr:oneCellAnchor>
    <xdr:from>
      <xdr:col>6</xdr:col>
      <xdr:colOff>312261</xdr:colOff>
      <xdr:row>1031</xdr:row>
      <xdr:rowOff>44449</xdr:rowOff>
    </xdr:from>
    <xdr:ext cx="1831451" cy="493397"/>
    <xdr:pic>
      <xdr:nvPicPr>
        <xdr:cNvPr id="43" name="Imagen 42">
          <a:extLst>
            <a:ext uri="{FF2B5EF4-FFF2-40B4-BE49-F238E27FC236}">
              <a16:creationId xmlns:a16="http://schemas.microsoft.com/office/drawing/2014/main" id="{E52D35FD-D820-47E5-88AD-75CCB1B9594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312761" y="307921024"/>
          <a:ext cx="1831451" cy="493397"/>
        </a:xfrm>
        <a:prstGeom prst="rect">
          <a:avLst/>
        </a:prstGeom>
        <a:noFill/>
      </xdr:spPr>
    </xdr:pic>
    <xdr:clientData/>
  </xdr:oneCellAnchor>
  <xdr:oneCellAnchor>
    <xdr:from>
      <xdr:col>6</xdr:col>
      <xdr:colOff>39370</xdr:colOff>
      <xdr:row>1110</xdr:row>
      <xdr:rowOff>53975</xdr:rowOff>
    </xdr:from>
    <xdr:ext cx="8702647" cy="1489905"/>
    <xdr:pic>
      <xdr:nvPicPr>
        <xdr:cNvPr id="44" name="Imagen 43">
          <a:extLst>
            <a:ext uri="{FF2B5EF4-FFF2-40B4-BE49-F238E27FC236}">
              <a16:creationId xmlns:a16="http://schemas.microsoft.com/office/drawing/2014/main" id="{9743EFC1-CC0C-4B28-815D-5C8F2294DD86}"/>
            </a:ext>
          </a:extLst>
        </xdr:cNvPr>
        <xdr:cNvPicPr>
          <a:picLocks noChangeAspect="1"/>
        </xdr:cNvPicPr>
      </xdr:nvPicPr>
      <xdr:blipFill>
        <a:blip xmlns:r="http://schemas.openxmlformats.org/officeDocument/2006/relationships" r:embed="rId1"/>
        <a:stretch>
          <a:fillRect/>
        </a:stretch>
      </xdr:blipFill>
      <xdr:spPr>
        <a:xfrm>
          <a:off x="4039870" y="330838175"/>
          <a:ext cx="8702647" cy="1489905"/>
        </a:xfrm>
        <a:prstGeom prst="rect">
          <a:avLst/>
        </a:prstGeom>
      </xdr:spPr>
    </xdr:pic>
    <xdr:clientData/>
  </xdr:oneCellAnchor>
  <xdr:oneCellAnchor>
    <xdr:from>
      <xdr:col>3</xdr:col>
      <xdr:colOff>311150</xdr:colOff>
      <xdr:row>1040</xdr:row>
      <xdr:rowOff>127000</xdr:rowOff>
    </xdr:from>
    <xdr:ext cx="13067892" cy="1516062"/>
    <xdr:pic>
      <xdr:nvPicPr>
        <xdr:cNvPr id="45" name="Imagen 44">
          <a:extLst>
            <a:ext uri="{FF2B5EF4-FFF2-40B4-BE49-F238E27FC236}">
              <a16:creationId xmlns:a16="http://schemas.microsoft.com/office/drawing/2014/main" id="{2B5296C4-C4CB-47DD-8855-FBB20BD74573}"/>
            </a:ext>
          </a:extLst>
        </xdr:cNvPr>
        <xdr:cNvPicPr>
          <a:picLocks noChangeAspect="1"/>
        </xdr:cNvPicPr>
      </xdr:nvPicPr>
      <xdr:blipFill>
        <a:blip xmlns:r="http://schemas.openxmlformats.org/officeDocument/2006/relationships" r:embed="rId2"/>
        <a:stretch>
          <a:fillRect/>
        </a:stretch>
      </xdr:blipFill>
      <xdr:spPr>
        <a:xfrm>
          <a:off x="1854200" y="310737250"/>
          <a:ext cx="13067892" cy="1516062"/>
        </a:xfrm>
        <a:prstGeom prst="rect">
          <a:avLst/>
        </a:prstGeom>
      </xdr:spPr>
    </xdr:pic>
    <xdr:clientData/>
  </xdr:oneCellAnchor>
  <xdr:oneCellAnchor>
    <xdr:from>
      <xdr:col>6</xdr:col>
      <xdr:colOff>312261</xdr:colOff>
      <xdr:row>1105</xdr:row>
      <xdr:rowOff>44449</xdr:rowOff>
    </xdr:from>
    <xdr:ext cx="1831451" cy="493397"/>
    <xdr:pic>
      <xdr:nvPicPr>
        <xdr:cNvPr id="46" name="Imagen 45">
          <a:extLst>
            <a:ext uri="{FF2B5EF4-FFF2-40B4-BE49-F238E27FC236}">
              <a16:creationId xmlns:a16="http://schemas.microsoft.com/office/drawing/2014/main" id="{C6C77C5F-E9A3-485F-8662-A6103D804157}"/>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312761" y="330019024"/>
          <a:ext cx="1831451" cy="493397"/>
        </a:xfrm>
        <a:prstGeom prst="rect">
          <a:avLst/>
        </a:prstGeom>
        <a:noFill/>
      </xdr:spPr>
    </xdr:pic>
    <xdr:clientData/>
  </xdr:oneCellAnchor>
  <xdr:oneCellAnchor>
    <xdr:from>
      <xdr:col>6</xdr:col>
      <xdr:colOff>39370</xdr:colOff>
      <xdr:row>1184</xdr:row>
      <xdr:rowOff>53975</xdr:rowOff>
    </xdr:from>
    <xdr:ext cx="8702647" cy="1489905"/>
    <xdr:pic>
      <xdr:nvPicPr>
        <xdr:cNvPr id="47" name="Imagen 46">
          <a:extLst>
            <a:ext uri="{FF2B5EF4-FFF2-40B4-BE49-F238E27FC236}">
              <a16:creationId xmlns:a16="http://schemas.microsoft.com/office/drawing/2014/main" id="{A03CC727-B59A-46D7-9ECC-43E58ABADCE9}"/>
            </a:ext>
          </a:extLst>
        </xdr:cNvPr>
        <xdr:cNvPicPr>
          <a:picLocks noChangeAspect="1"/>
        </xdr:cNvPicPr>
      </xdr:nvPicPr>
      <xdr:blipFill>
        <a:blip xmlns:r="http://schemas.openxmlformats.org/officeDocument/2006/relationships" r:embed="rId1"/>
        <a:stretch>
          <a:fillRect/>
        </a:stretch>
      </xdr:blipFill>
      <xdr:spPr>
        <a:xfrm>
          <a:off x="4039870" y="317818558"/>
          <a:ext cx="8702647" cy="1489905"/>
        </a:xfrm>
        <a:prstGeom prst="rect">
          <a:avLst/>
        </a:prstGeom>
      </xdr:spPr>
    </xdr:pic>
    <xdr:clientData/>
  </xdr:oneCellAnchor>
  <xdr:oneCellAnchor>
    <xdr:from>
      <xdr:col>3</xdr:col>
      <xdr:colOff>311150</xdr:colOff>
      <xdr:row>1114</xdr:row>
      <xdr:rowOff>127000</xdr:rowOff>
    </xdr:from>
    <xdr:ext cx="13067892" cy="1516062"/>
    <xdr:pic>
      <xdr:nvPicPr>
        <xdr:cNvPr id="48" name="Imagen 47">
          <a:extLst>
            <a:ext uri="{FF2B5EF4-FFF2-40B4-BE49-F238E27FC236}">
              <a16:creationId xmlns:a16="http://schemas.microsoft.com/office/drawing/2014/main" id="{009824B2-8934-4237-97C8-535034D7680D}"/>
            </a:ext>
          </a:extLst>
        </xdr:cNvPr>
        <xdr:cNvPicPr>
          <a:picLocks noChangeAspect="1"/>
        </xdr:cNvPicPr>
      </xdr:nvPicPr>
      <xdr:blipFill>
        <a:blip xmlns:r="http://schemas.openxmlformats.org/officeDocument/2006/relationships" r:embed="rId2"/>
        <a:stretch>
          <a:fillRect/>
        </a:stretch>
      </xdr:blipFill>
      <xdr:spPr>
        <a:xfrm>
          <a:off x="1856317" y="297603333"/>
          <a:ext cx="13067892" cy="1516062"/>
        </a:xfrm>
        <a:prstGeom prst="rect">
          <a:avLst/>
        </a:prstGeom>
      </xdr:spPr>
    </xdr:pic>
    <xdr:clientData/>
  </xdr:oneCellAnchor>
  <xdr:oneCellAnchor>
    <xdr:from>
      <xdr:col>6</xdr:col>
      <xdr:colOff>312261</xdr:colOff>
      <xdr:row>1179</xdr:row>
      <xdr:rowOff>44449</xdr:rowOff>
    </xdr:from>
    <xdr:ext cx="1831451" cy="493397"/>
    <xdr:pic>
      <xdr:nvPicPr>
        <xdr:cNvPr id="49" name="Imagen 48">
          <a:extLst>
            <a:ext uri="{FF2B5EF4-FFF2-40B4-BE49-F238E27FC236}">
              <a16:creationId xmlns:a16="http://schemas.microsoft.com/office/drawing/2014/main" id="{9793C639-2D5A-496F-B808-AD015D4897E6}"/>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312761" y="317015282"/>
          <a:ext cx="1831451" cy="493397"/>
        </a:xfrm>
        <a:prstGeom prst="rect">
          <a:avLst/>
        </a:prstGeom>
        <a:noFill/>
      </xdr:spPr>
    </xdr:pic>
    <xdr:clientData/>
  </xdr:oneCellAnchor>
  <xdr:oneCellAnchor>
    <xdr:from>
      <xdr:col>6</xdr:col>
      <xdr:colOff>39370</xdr:colOff>
      <xdr:row>1258</xdr:row>
      <xdr:rowOff>53975</xdr:rowOff>
    </xdr:from>
    <xdr:ext cx="8702647" cy="1489905"/>
    <xdr:pic>
      <xdr:nvPicPr>
        <xdr:cNvPr id="50" name="Imagen 49">
          <a:extLst>
            <a:ext uri="{FF2B5EF4-FFF2-40B4-BE49-F238E27FC236}">
              <a16:creationId xmlns:a16="http://schemas.microsoft.com/office/drawing/2014/main" id="{DC5D0D8C-E298-4988-98C2-E017C080B28D}"/>
            </a:ext>
          </a:extLst>
        </xdr:cNvPr>
        <xdr:cNvPicPr>
          <a:picLocks noChangeAspect="1"/>
        </xdr:cNvPicPr>
      </xdr:nvPicPr>
      <xdr:blipFill>
        <a:blip xmlns:r="http://schemas.openxmlformats.org/officeDocument/2006/relationships" r:embed="rId1"/>
        <a:stretch>
          <a:fillRect/>
        </a:stretch>
      </xdr:blipFill>
      <xdr:spPr>
        <a:xfrm>
          <a:off x="4039870" y="317818558"/>
          <a:ext cx="8702647" cy="1489905"/>
        </a:xfrm>
        <a:prstGeom prst="rect">
          <a:avLst/>
        </a:prstGeom>
      </xdr:spPr>
    </xdr:pic>
    <xdr:clientData/>
  </xdr:oneCellAnchor>
  <xdr:oneCellAnchor>
    <xdr:from>
      <xdr:col>3</xdr:col>
      <xdr:colOff>311150</xdr:colOff>
      <xdr:row>1188</xdr:row>
      <xdr:rowOff>127000</xdr:rowOff>
    </xdr:from>
    <xdr:ext cx="13067892" cy="1516062"/>
    <xdr:pic>
      <xdr:nvPicPr>
        <xdr:cNvPr id="51" name="Imagen 50">
          <a:extLst>
            <a:ext uri="{FF2B5EF4-FFF2-40B4-BE49-F238E27FC236}">
              <a16:creationId xmlns:a16="http://schemas.microsoft.com/office/drawing/2014/main" id="{48A56860-B5E2-4B7D-B050-58EF518450D8}"/>
            </a:ext>
          </a:extLst>
        </xdr:cNvPr>
        <xdr:cNvPicPr>
          <a:picLocks noChangeAspect="1"/>
        </xdr:cNvPicPr>
      </xdr:nvPicPr>
      <xdr:blipFill>
        <a:blip xmlns:r="http://schemas.openxmlformats.org/officeDocument/2006/relationships" r:embed="rId2"/>
        <a:stretch>
          <a:fillRect/>
        </a:stretch>
      </xdr:blipFill>
      <xdr:spPr>
        <a:xfrm>
          <a:off x="1856317" y="297603333"/>
          <a:ext cx="13067892" cy="1516062"/>
        </a:xfrm>
        <a:prstGeom prst="rect">
          <a:avLst/>
        </a:prstGeom>
      </xdr:spPr>
    </xdr:pic>
    <xdr:clientData/>
  </xdr:oneCellAnchor>
  <xdr:oneCellAnchor>
    <xdr:from>
      <xdr:col>6</xdr:col>
      <xdr:colOff>312261</xdr:colOff>
      <xdr:row>1253</xdr:row>
      <xdr:rowOff>44449</xdr:rowOff>
    </xdr:from>
    <xdr:ext cx="1831451" cy="493397"/>
    <xdr:pic>
      <xdr:nvPicPr>
        <xdr:cNvPr id="52" name="Imagen 51">
          <a:extLst>
            <a:ext uri="{FF2B5EF4-FFF2-40B4-BE49-F238E27FC236}">
              <a16:creationId xmlns:a16="http://schemas.microsoft.com/office/drawing/2014/main" id="{1D417D49-9F54-4697-B6A6-C2D53B4A9E2E}"/>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312761" y="317015282"/>
          <a:ext cx="1831451" cy="493397"/>
        </a:xfrm>
        <a:prstGeom prst="rect">
          <a:avLst/>
        </a:prstGeom>
        <a:noFill/>
      </xdr:spPr>
    </xdr:pic>
    <xdr:clientData/>
  </xdr:oneCellAnchor>
  <xdr:oneCellAnchor>
    <xdr:from>
      <xdr:col>6</xdr:col>
      <xdr:colOff>39370</xdr:colOff>
      <xdr:row>1332</xdr:row>
      <xdr:rowOff>53975</xdr:rowOff>
    </xdr:from>
    <xdr:ext cx="8702647" cy="1489905"/>
    <xdr:pic>
      <xdr:nvPicPr>
        <xdr:cNvPr id="53" name="Imagen 52">
          <a:extLst>
            <a:ext uri="{FF2B5EF4-FFF2-40B4-BE49-F238E27FC236}">
              <a16:creationId xmlns:a16="http://schemas.microsoft.com/office/drawing/2014/main" id="{938DA279-BE2E-47AF-9DE6-30D0CB61812A}"/>
            </a:ext>
          </a:extLst>
        </xdr:cNvPr>
        <xdr:cNvPicPr>
          <a:picLocks noChangeAspect="1"/>
        </xdr:cNvPicPr>
      </xdr:nvPicPr>
      <xdr:blipFill>
        <a:blip xmlns:r="http://schemas.openxmlformats.org/officeDocument/2006/relationships" r:embed="rId1"/>
        <a:stretch>
          <a:fillRect/>
        </a:stretch>
      </xdr:blipFill>
      <xdr:spPr>
        <a:xfrm>
          <a:off x="4039870" y="333016225"/>
          <a:ext cx="8702647" cy="1489905"/>
        </a:xfrm>
        <a:prstGeom prst="rect">
          <a:avLst/>
        </a:prstGeom>
      </xdr:spPr>
    </xdr:pic>
    <xdr:clientData/>
  </xdr:oneCellAnchor>
  <xdr:oneCellAnchor>
    <xdr:from>
      <xdr:col>3</xdr:col>
      <xdr:colOff>311150</xdr:colOff>
      <xdr:row>1262</xdr:row>
      <xdr:rowOff>127000</xdr:rowOff>
    </xdr:from>
    <xdr:ext cx="13067892" cy="1516062"/>
    <xdr:pic>
      <xdr:nvPicPr>
        <xdr:cNvPr id="54" name="Imagen 53">
          <a:extLst>
            <a:ext uri="{FF2B5EF4-FFF2-40B4-BE49-F238E27FC236}">
              <a16:creationId xmlns:a16="http://schemas.microsoft.com/office/drawing/2014/main" id="{4C4DCEB0-E4C2-4344-B9EC-2DB18ED626FB}"/>
            </a:ext>
          </a:extLst>
        </xdr:cNvPr>
        <xdr:cNvPicPr>
          <a:picLocks noChangeAspect="1"/>
        </xdr:cNvPicPr>
      </xdr:nvPicPr>
      <xdr:blipFill>
        <a:blip xmlns:r="http://schemas.openxmlformats.org/officeDocument/2006/relationships" r:embed="rId2"/>
        <a:stretch>
          <a:fillRect/>
        </a:stretch>
      </xdr:blipFill>
      <xdr:spPr>
        <a:xfrm>
          <a:off x="1856317" y="319913000"/>
          <a:ext cx="13067892" cy="1516062"/>
        </a:xfrm>
        <a:prstGeom prst="rect">
          <a:avLst/>
        </a:prstGeom>
      </xdr:spPr>
    </xdr:pic>
    <xdr:clientData/>
  </xdr:oneCellAnchor>
  <xdr:oneCellAnchor>
    <xdr:from>
      <xdr:col>6</xdr:col>
      <xdr:colOff>312261</xdr:colOff>
      <xdr:row>1327</xdr:row>
      <xdr:rowOff>44449</xdr:rowOff>
    </xdr:from>
    <xdr:ext cx="1831451" cy="493397"/>
    <xdr:pic>
      <xdr:nvPicPr>
        <xdr:cNvPr id="55" name="Imagen 54">
          <a:extLst>
            <a:ext uri="{FF2B5EF4-FFF2-40B4-BE49-F238E27FC236}">
              <a16:creationId xmlns:a16="http://schemas.microsoft.com/office/drawing/2014/main" id="{66AF8271-F971-402E-8290-EB60D84F69C3}"/>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312761" y="332212949"/>
          <a:ext cx="1831451" cy="493397"/>
        </a:xfrm>
        <a:prstGeom prst="rect">
          <a:avLst/>
        </a:prstGeom>
        <a:noFill/>
      </xdr:spPr>
    </xdr:pic>
    <xdr:clientData/>
  </xdr:oneCellAnchor>
  <xdr:oneCellAnchor>
    <xdr:from>
      <xdr:col>6</xdr:col>
      <xdr:colOff>39370</xdr:colOff>
      <xdr:row>1407</xdr:row>
      <xdr:rowOff>53975</xdr:rowOff>
    </xdr:from>
    <xdr:ext cx="8702647" cy="1489905"/>
    <xdr:pic>
      <xdr:nvPicPr>
        <xdr:cNvPr id="56" name="Imagen 55">
          <a:extLst>
            <a:ext uri="{FF2B5EF4-FFF2-40B4-BE49-F238E27FC236}">
              <a16:creationId xmlns:a16="http://schemas.microsoft.com/office/drawing/2014/main" id="{EC7C28F3-8B94-403F-AFE8-A954B6D6FD4E}"/>
            </a:ext>
          </a:extLst>
        </xdr:cNvPr>
        <xdr:cNvPicPr>
          <a:picLocks noChangeAspect="1"/>
        </xdr:cNvPicPr>
      </xdr:nvPicPr>
      <xdr:blipFill>
        <a:blip xmlns:r="http://schemas.openxmlformats.org/officeDocument/2006/relationships" r:embed="rId1"/>
        <a:stretch>
          <a:fillRect/>
        </a:stretch>
      </xdr:blipFill>
      <xdr:spPr>
        <a:xfrm>
          <a:off x="4154170" y="381720725"/>
          <a:ext cx="8702647" cy="1489905"/>
        </a:xfrm>
        <a:prstGeom prst="rect">
          <a:avLst/>
        </a:prstGeom>
      </xdr:spPr>
    </xdr:pic>
    <xdr:clientData/>
  </xdr:oneCellAnchor>
  <xdr:oneCellAnchor>
    <xdr:from>
      <xdr:col>4</xdr:col>
      <xdr:colOff>349250</xdr:colOff>
      <xdr:row>1337</xdr:row>
      <xdr:rowOff>127000</xdr:rowOff>
    </xdr:from>
    <xdr:ext cx="13067892" cy="1516062"/>
    <xdr:pic>
      <xdr:nvPicPr>
        <xdr:cNvPr id="57" name="Imagen 56">
          <a:extLst>
            <a:ext uri="{FF2B5EF4-FFF2-40B4-BE49-F238E27FC236}">
              <a16:creationId xmlns:a16="http://schemas.microsoft.com/office/drawing/2014/main" id="{BC71EEAD-37FB-44D4-AD3A-54FD7373264A}"/>
            </a:ext>
          </a:extLst>
        </xdr:cNvPr>
        <xdr:cNvPicPr>
          <a:picLocks noChangeAspect="1"/>
        </xdr:cNvPicPr>
      </xdr:nvPicPr>
      <xdr:blipFill>
        <a:blip xmlns:r="http://schemas.openxmlformats.org/officeDocument/2006/relationships" r:embed="rId2"/>
        <a:stretch>
          <a:fillRect/>
        </a:stretch>
      </xdr:blipFill>
      <xdr:spPr>
        <a:xfrm>
          <a:off x="2720975" y="384003550"/>
          <a:ext cx="13067892" cy="1516062"/>
        </a:xfrm>
        <a:prstGeom prst="rect">
          <a:avLst/>
        </a:prstGeom>
      </xdr:spPr>
    </xdr:pic>
    <xdr:clientData/>
  </xdr:oneCellAnchor>
  <xdr:oneCellAnchor>
    <xdr:from>
      <xdr:col>6</xdr:col>
      <xdr:colOff>312261</xdr:colOff>
      <xdr:row>1402</xdr:row>
      <xdr:rowOff>44449</xdr:rowOff>
    </xdr:from>
    <xdr:ext cx="1831451" cy="493397"/>
    <xdr:pic>
      <xdr:nvPicPr>
        <xdr:cNvPr id="58" name="Imagen 57">
          <a:extLst>
            <a:ext uri="{FF2B5EF4-FFF2-40B4-BE49-F238E27FC236}">
              <a16:creationId xmlns:a16="http://schemas.microsoft.com/office/drawing/2014/main" id="{FAE5E642-E8CD-46C7-96E7-D57A0212E036}"/>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427061" y="380853949"/>
          <a:ext cx="1831451" cy="493397"/>
        </a:xfrm>
        <a:prstGeom prst="rect">
          <a:avLst/>
        </a:prstGeom>
        <a:noFill/>
      </xdr:spPr>
    </xdr:pic>
    <xdr:clientData/>
  </xdr:oneCellAnchor>
  <xdr:oneCellAnchor>
    <xdr:from>
      <xdr:col>6</xdr:col>
      <xdr:colOff>39370</xdr:colOff>
      <xdr:row>1481</xdr:row>
      <xdr:rowOff>53975</xdr:rowOff>
    </xdr:from>
    <xdr:ext cx="8702647" cy="1489905"/>
    <xdr:pic>
      <xdr:nvPicPr>
        <xdr:cNvPr id="59" name="Imagen 58">
          <a:extLst>
            <a:ext uri="{FF2B5EF4-FFF2-40B4-BE49-F238E27FC236}">
              <a16:creationId xmlns:a16="http://schemas.microsoft.com/office/drawing/2014/main" id="{B39D7ED0-DB8D-4548-A1C4-C1D2B8E634F6}"/>
            </a:ext>
          </a:extLst>
        </xdr:cNvPr>
        <xdr:cNvPicPr>
          <a:picLocks noChangeAspect="1"/>
        </xdr:cNvPicPr>
      </xdr:nvPicPr>
      <xdr:blipFill>
        <a:blip xmlns:r="http://schemas.openxmlformats.org/officeDocument/2006/relationships" r:embed="rId1"/>
        <a:stretch>
          <a:fillRect/>
        </a:stretch>
      </xdr:blipFill>
      <xdr:spPr>
        <a:xfrm>
          <a:off x="4154170" y="381720725"/>
          <a:ext cx="8702647" cy="1489905"/>
        </a:xfrm>
        <a:prstGeom prst="rect">
          <a:avLst/>
        </a:prstGeom>
      </xdr:spPr>
    </xdr:pic>
    <xdr:clientData/>
  </xdr:oneCellAnchor>
  <xdr:oneCellAnchor>
    <xdr:from>
      <xdr:col>3</xdr:col>
      <xdr:colOff>311150</xdr:colOff>
      <xdr:row>1411</xdr:row>
      <xdr:rowOff>127000</xdr:rowOff>
    </xdr:from>
    <xdr:ext cx="13067892" cy="1516062"/>
    <xdr:pic>
      <xdr:nvPicPr>
        <xdr:cNvPr id="60" name="Imagen 59">
          <a:extLst>
            <a:ext uri="{FF2B5EF4-FFF2-40B4-BE49-F238E27FC236}">
              <a16:creationId xmlns:a16="http://schemas.microsoft.com/office/drawing/2014/main" id="{7956C3D7-A2C1-4BFC-9A19-485BBE304448}"/>
            </a:ext>
          </a:extLst>
        </xdr:cNvPr>
        <xdr:cNvPicPr>
          <a:picLocks noChangeAspect="1"/>
        </xdr:cNvPicPr>
      </xdr:nvPicPr>
      <xdr:blipFill>
        <a:blip xmlns:r="http://schemas.openxmlformats.org/officeDocument/2006/relationships" r:embed="rId2"/>
        <a:stretch>
          <a:fillRect/>
        </a:stretch>
      </xdr:blipFill>
      <xdr:spPr>
        <a:xfrm>
          <a:off x="1901825" y="367925350"/>
          <a:ext cx="13067892" cy="1516062"/>
        </a:xfrm>
        <a:prstGeom prst="rect">
          <a:avLst/>
        </a:prstGeom>
      </xdr:spPr>
    </xdr:pic>
    <xdr:clientData/>
  </xdr:oneCellAnchor>
  <xdr:oneCellAnchor>
    <xdr:from>
      <xdr:col>6</xdr:col>
      <xdr:colOff>312261</xdr:colOff>
      <xdr:row>1476</xdr:row>
      <xdr:rowOff>44449</xdr:rowOff>
    </xdr:from>
    <xdr:ext cx="1831451" cy="493397"/>
    <xdr:pic>
      <xdr:nvPicPr>
        <xdr:cNvPr id="61" name="Imagen 60">
          <a:extLst>
            <a:ext uri="{FF2B5EF4-FFF2-40B4-BE49-F238E27FC236}">
              <a16:creationId xmlns:a16="http://schemas.microsoft.com/office/drawing/2014/main" id="{397B22FA-9B0C-42B6-B557-313EFD4F0361}"/>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427061" y="380853949"/>
          <a:ext cx="1831451" cy="493397"/>
        </a:xfrm>
        <a:prstGeom prst="rect">
          <a:avLst/>
        </a:prstGeom>
        <a:noFill/>
      </xdr:spPr>
    </xdr:pic>
    <xdr:clientData/>
  </xdr:oneCellAnchor>
  <xdr:oneCellAnchor>
    <xdr:from>
      <xdr:col>6</xdr:col>
      <xdr:colOff>39370</xdr:colOff>
      <xdr:row>1556</xdr:row>
      <xdr:rowOff>53975</xdr:rowOff>
    </xdr:from>
    <xdr:ext cx="8702647" cy="1489905"/>
    <xdr:pic>
      <xdr:nvPicPr>
        <xdr:cNvPr id="62" name="Imagen 61">
          <a:extLst>
            <a:ext uri="{FF2B5EF4-FFF2-40B4-BE49-F238E27FC236}">
              <a16:creationId xmlns:a16="http://schemas.microsoft.com/office/drawing/2014/main" id="{5B650CC0-1796-49BD-A263-163DDCBBE23B}"/>
            </a:ext>
          </a:extLst>
        </xdr:cNvPr>
        <xdr:cNvPicPr>
          <a:picLocks noChangeAspect="1"/>
        </xdr:cNvPicPr>
      </xdr:nvPicPr>
      <xdr:blipFill>
        <a:blip xmlns:r="http://schemas.openxmlformats.org/officeDocument/2006/relationships" r:embed="rId1"/>
        <a:stretch>
          <a:fillRect/>
        </a:stretch>
      </xdr:blipFill>
      <xdr:spPr>
        <a:xfrm>
          <a:off x="4154170" y="404771225"/>
          <a:ext cx="8702647" cy="1489905"/>
        </a:xfrm>
        <a:prstGeom prst="rect">
          <a:avLst/>
        </a:prstGeom>
      </xdr:spPr>
    </xdr:pic>
    <xdr:clientData/>
  </xdr:oneCellAnchor>
  <xdr:oneCellAnchor>
    <xdr:from>
      <xdr:col>4</xdr:col>
      <xdr:colOff>349250</xdr:colOff>
      <xdr:row>1486</xdr:row>
      <xdr:rowOff>127000</xdr:rowOff>
    </xdr:from>
    <xdr:ext cx="13067892" cy="1516062"/>
    <xdr:pic>
      <xdr:nvPicPr>
        <xdr:cNvPr id="63" name="Imagen 62">
          <a:extLst>
            <a:ext uri="{FF2B5EF4-FFF2-40B4-BE49-F238E27FC236}">
              <a16:creationId xmlns:a16="http://schemas.microsoft.com/office/drawing/2014/main" id="{A2993625-F504-4E63-BEE2-52DBB01B2CE2}"/>
            </a:ext>
          </a:extLst>
        </xdr:cNvPr>
        <xdr:cNvPicPr>
          <a:picLocks noChangeAspect="1"/>
        </xdr:cNvPicPr>
      </xdr:nvPicPr>
      <xdr:blipFill>
        <a:blip xmlns:r="http://schemas.openxmlformats.org/officeDocument/2006/relationships" r:embed="rId2"/>
        <a:stretch>
          <a:fillRect/>
        </a:stretch>
      </xdr:blipFill>
      <xdr:spPr>
        <a:xfrm>
          <a:off x="2720975" y="384003550"/>
          <a:ext cx="13067892" cy="1516062"/>
        </a:xfrm>
        <a:prstGeom prst="rect">
          <a:avLst/>
        </a:prstGeom>
      </xdr:spPr>
    </xdr:pic>
    <xdr:clientData/>
  </xdr:oneCellAnchor>
  <xdr:oneCellAnchor>
    <xdr:from>
      <xdr:col>6</xdr:col>
      <xdr:colOff>312261</xdr:colOff>
      <xdr:row>1551</xdr:row>
      <xdr:rowOff>44449</xdr:rowOff>
    </xdr:from>
    <xdr:ext cx="1831451" cy="493397"/>
    <xdr:pic>
      <xdr:nvPicPr>
        <xdr:cNvPr id="64" name="Imagen 63">
          <a:extLst>
            <a:ext uri="{FF2B5EF4-FFF2-40B4-BE49-F238E27FC236}">
              <a16:creationId xmlns:a16="http://schemas.microsoft.com/office/drawing/2014/main" id="{1B952BE7-C6DC-43E8-A5DF-D055E96731C7}"/>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427061" y="403904449"/>
          <a:ext cx="1831451" cy="493397"/>
        </a:xfrm>
        <a:prstGeom prst="rect">
          <a:avLst/>
        </a:prstGeom>
        <a:noFill/>
      </xdr:spPr>
    </xdr:pic>
    <xdr:clientData/>
  </xdr:oneCellAnchor>
  <xdr:twoCellAnchor>
    <xdr:from>
      <xdr:col>3</xdr:col>
      <xdr:colOff>396821</xdr:colOff>
      <xdr:row>18</xdr:row>
      <xdr:rowOff>48432</xdr:rowOff>
    </xdr:from>
    <xdr:to>
      <xdr:col>8</xdr:col>
      <xdr:colOff>39438</xdr:colOff>
      <xdr:row>26</xdr:row>
      <xdr:rowOff>159596</xdr:rowOff>
    </xdr:to>
    <xdr:grpSp>
      <xdr:nvGrpSpPr>
        <xdr:cNvPr id="65" name="Grupo 64">
          <a:extLst>
            <a:ext uri="{FF2B5EF4-FFF2-40B4-BE49-F238E27FC236}">
              <a16:creationId xmlns:a16="http://schemas.microsoft.com/office/drawing/2014/main" id="{4D83F50B-3C13-4720-93F9-55276E2D9647}"/>
            </a:ext>
          </a:extLst>
        </xdr:cNvPr>
        <xdr:cNvGrpSpPr/>
      </xdr:nvGrpSpPr>
      <xdr:grpSpPr>
        <a:xfrm>
          <a:off x="3032071" y="4906182"/>
          <a:ext cx="3627242" cy="2651164"/>
          <a:chOff x="876300" y="84086700"/>
          <a:chExt cx="5760000" cy="4855221"/>
        </a:xfrm>
      </xdr:grpSpPr>
      <xdr:pic>
        <xdr:nvPicPr>
          <xdr:cNvPr id="66" name="Imagen 65">
            <a:extLst>
              <a:ext uri="{FF2B5EF4-FFF2-40B4-BE49-F238E27FC236}">
                <a16:creationId xmlns:a16="http://schemas.microsoft.com/office/drawing/2014/main" id="{95D238EC-1116-989D-3584-7DC06274DD68}"/>
              </a:ext>
            </a:extLst>
          </xdr:cNvPr>
          <xdr:cNvPicPr>
            <a:picLocks noChangeAspect="1"/>
          </xdr:cNvPicPr>
        </xdr:nvPicPr>
        <xdr:blipFill rotWithShape="1">
          <a:blip xmlns:r="http://schemas.openxmlformats.org/officeDocument/2006/relationships" r:embed="rId4"/>
          <a:srcRect l="26774" t="19447" r="26137" b="9989"/>
          <a:stretch/>
        </xdr:blipFill>
        <xdr:spPr>
          <a:xfrm>
            <a:off x="876300" y="84086700"/>
            <a:ext cx="5760000" cy="4855221"/>
          </a:xfrm>
          <a:prstGeom prst="rect">
            <a:avLst/>
          </a:prstGeom>
        </xdr:spPr>
      </xdr:pic>
      <xdr:sp macro="" textlink="">
        <xdr:nvSpPr>
          <xdr:cNvPr id="67" name="Rectángulo 66">
            <a:extLst>
              <a:ext uri="{FF2B5EF4-FFF2-40B4-BE49-F238E27FC236}">
                <a16:creationId xmlns:a16="http://schemas.microsoft.com/office/drawing/2014/main" id="{0A5DC96E-962B-E52A-71C5-B5616C9F9671}"/>
              </a:ext>
            </a:extLst>
          </xdr:cNvPr>
          <xdr:cNvSpPr/>
        </xdr:nvSpPr>
        <xdr:spPr>
          <a:xfrm>
            <a:off x="2076450" y="85515450"/>
            <a:ext cx="3257550" cy="1981200"/>
          </a:xfrm>
          <a:prstGeom prst="rect">
            <a:avLst/>
          </a:prstGeom>
          <a:no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noFill/>
            </a:endParaRPr>
          </a:p>
        </xdr:txBody>
      </xdr:sp>
    </xdr:grpSp>
    <xdr:clientData/>
  </xdr:twoCellAnchor>
  <xdr:twoCellAnchor>
    <xdr:from>
      <xdr:col>3</xdr:col>
      <xdr:colOff>282521</xdr:colOff>
      <xdr:row>26</xdr:row>
      <xdr:rowOff>203819</xdr:rowOff>
    </xdr:from>
    <xdr:to>
      <xdr:col>7</xdr:col>
      <xdr:colOff>683910</xdr:colOff>
      <xdr:row>36</xdr:row>
      <xdr:rowOff>63941</xdr:rowOff>
    </xdr:to>
    <xdr:grpSp>
      <xdr:nvGrpSpPr>
        <xdr:cNvPr id="68" name="Grupo 67">
          <a:extLst>
            <a:ext uri="{FF2B5EF4-FFF2-40B4-BE49-F238E27FC236}">
              <a16:creationId xmlns:a16="http://schemas.microsoft.com/office/drawing/2014/main" id="{1C88BA7A-D22B-4B84-BC72-D897F5A28548}"/>
            </a:ext>
          </a:extLst>
        </xdr:cNvPr>
        <xdr:cNvGrpSpPr/>
      </xdr:nvGrpSpPr>
      <xdr:grpSpPr>
        <a:xfrm>
          <a:off x="2917771" y="7601569"/>
          <a:ext cx="3624014" cy="3035122"/>
          <a:chOff x="590550" y="89858851"/>
          <a:chExt cx="5760000" cy="4662857"/>
        </a:xfrm>
      </xdr:grpSpPr>
      <xdr:pic>
        <xdr:nvPicPr>
          <xdr:cNvPr id="69" name="Imagen 68">
            <a:extLst>
              <a:ext uri="{FF2B5EF4-FFF2-40B4-BE49-F238E27FC236}">
                <a16:creationId xmlns:a16="http://schemas.microsoft.com/office/drawing/2014/main" id="{4166A8F9-2F3A-ED45-2C3A-EC1AF0A92FB6}"/>
              </a:ext>
            </a:extLst>
          </xdr:cNvPr>
          <xdr:cNvPicPr>
            <a:picLocks noChangeAspect="1"/>
          </xdr:cNvPicPr>
        </xdr:nvPicPr>
        <xdr:blipFill rotWithShape="1">
          <a:blip xmlns:r="http://schemas.openxmlformats.org/officeDocument/2006/relationships" r:embed="rId5"/>
          <a:srcRect l="37297" t="23892" r="21136" b="16286"/>
          <a:stretch/>
        </xdr:blipFill>
        <xdr:spPr>
          <a:xfrm>
            <a:off x="590550" y="89858851"/>
            <a:ext cx="5760000" cy="4662857"/>
          </a:xfrm>
          <a:prstGeom prst="rect">
            <a:avLst/>
          </a:prstGeom>
        </xdr:spPr>
      </xdr:pic>
      <xdr:sp macro="" textlink="">
        <xdr:nvSpPr>
          <xdr:cNvPr id="70" name="Rectángulo 69">
            <a:extLst>
              <a:ext uri="{FF2B5EF4-FFF2-40B4-BE49-F238E27FC236}">
                <a16:creationId xmlns:a16="http://schemas.microsoft.com/office/drawing/2014/main" id="{445CCDAC-FE66-AFA3-1195-20F924551217}"/>
              </a:ext>
            </a:extLst>
          </xdr:cNvPr>
          <xdr:cNvSpPr/>
        </xdr:nvSpPr>
        <xdr:spPr>
          <a:xfrm>
            <a:off x="1962150" y="91268550"/>
            <a:ext cx="3257550" cy="1752600"/>
          </a:xfrm>
          <a:prstGeom prst="rect">
            <a:avLst/>
          </a:prstGeom>
          <a:no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noFill/>
            </a:endParaRPr>
          </a:p>
        </xdr:txBody>
      </xdr:sp>
    </xdr:grpSp>
    <xdr:clientData/>
  </xdr:twoCellAnchor>
  <xdr:twoCellAnchor>
    <xdr:from>
      <xdr:col>3</xdr:col>
      <xdr:colOff>396821</xdr:colOff>
      <xdr:row>34</xdr:row>
      <xdr:rowOff>321105</xdr:rowOff>
    </xdr:from>
    <xdr:to>
      <xdr:col>8</xdr:col>
      <xdr:colOff>39438</xdr:colOff>
      <xdr:row>42</xdr:row>
      <xdr:rowOff>243146</xdr:rowOff>
    </xdr:to>
    <xdr:grpSp>
      <xdr:nvGrpSpPr>
        <xdr:cNvPr id="71" name="Grupo 70">
          <a:extLst>
            <a:ext uri="{FF2B5EF4-FFF2-40B4-BE49-F238E27FC236}">
              <a16:creationId xmlns:a16="http://schemas.microsoft.com/office/drawing/2014/main" id="{3CC1EB70-68F7-48B4-B93B-FC9710670550}"/>
            </a:ext>
          </a:extLst>
        </xdr:cNvPr>
        <xdr:cNvGrpSpPr/>
      </xdr:nvGrpSpPr>
      <xdr:grpSpPr>
        <a:xfrm>
          <a:off x="3032071" y="10258855"/>
          <a:ext cx="3627242" cy="2462041"/>
          <a:chOff x="1695450" y="95116649"/>
          <a:chExt cx="5760000" cy="5353412"/>
        </a:xfrm>
      </xdr:grpSpPr>
      <xdr:pic>
        <xdr:nvPicPr>
          <xdr:cNvPr id="72" name="Imagen 71">
            <a:extLst>
              <a:ext uri="{FF2B5EF4-FFF2-40B4-BE49-F238E27FC236}">
                <a16:creationId xmlns:a16="http://schemas.microsoft.com/office/drawing/2014/main" id="{474FBDF7-CCAE-E38B-8C96-50679F085E17}"/>
              </a:ext>
            </a:extLst>
          </xdr:cNvPr>
          <xdr:cNvPicPr>
            <a:picLocks noChangeAspect="1"/>
          </xdr:cNvPicPr>
        </xdr:nvPicPr>
        <xdr:blipFill rotWithShape="1">
          <a:blip xmlns:r="http://schemas.openxmlformats.org/officeDocument/2006/relationships" r:embed="rId6"/>
          <a:srcRect l="32400" t="23707" r="32179" b="17767"/>
          <a:stretch/>
        </xdr:blipFill>
        <xdr:spPr>
          <a:xfrm>
            <a:off x="1695450" y="95116649"/>
            <a:ext cx="5760000" cy="5353412"/>
          </a:xfrm>
          <a:prstGeom prst="rect">
            <a:avLst/>
          </a:prstGeom>
        </xdr:spPr>
      </xdr:pic>
      <xdr:sp macro="" textlink="">
        <xdr:nvSpPr>
          <xdr:cNvPr id="73" name="Rectángulo 72">
            <a:extLst>
              <a:ext uri="{FF2B5EF4-FFF2-40B4-BE49-F238E27FC236}">
                <a16:creationId xmlns:a16="http://schemas.microsoft.com/office/drawing/2014/main" id="{E41FE80B-4D56-84F3-8613-5111E9EAC219}"/>
              </a:ext>
            </a:extLst>
          </xdr:cNvPr>
          <xdr:cNvSpPr/>
        </xdr:nvSpPr>
        <xdr:spPr>
          <a:xfrm>
            <a:off x="2952750" y="96335850"/>
            <a:ext cx="3086100" cy="3333750"/>
          </a:xfrm>
          <a:prstGeom prst="rect">
            <a:avLst/>
          </a:prstGeom>
          <a:no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noFill/>
            </a:endParaRPr>
          </a:p>
        </xdr:txBody>
      </xdr:sp>
    </xdr:grpSp>
    <xdr:clientData/>
  </xdr:twoCellAnchor>
  <xdr:twoCellAnchor>
    <xdr:from>
      <xdr:col>3</xdr:col>
      <xdr:colOff>356461</xdr:colOff>
      <xdr:row>241</xdr:row>
      <xdr:rowOff>266376</xdr:rowOff>
    </xdr:from>
    <xdr:to>
      <xdr:col>7</xdr:col>
      <xdr:colOff>757850</xdr:colOff>
      <xdr:row>250</xdr:row>
      <xdr:rowOff>54658</xdr:rowOff>
    </xdr:to>
    <xdr:grpSp>
      <xdr:nvGrpSpPr>
        <xdr:cNvPr id="74" name="Grupo 73">
          <a:extLst>
            <a:ext uri="{FF2B5EF4-FFF2-40B4-BE49-F238E27FC236}">
              <a16:creationId xmlns:a16="http://schemas.microsoft.com/office/drawing/2014/main" id="{AFD39E1B-E172-4F99-9803-670A8BF313A4}"/>
            </a:ext>
          </a:extLst>
        </xdr:cNvPr>
        <xdr:cNvGrpSpPr/>
      </xdr:nvGrpSpPr>
      <xdr:grpSpPr>
        <a:xfrm>
          <a:off x="2991711" y="70545001"/>
          <a:ext cx="3624014" cy="2645782"/>
          <a:chOff x="876300" y="84086700"/>
          <a:chExt cx="5760000" cy="4855221"/>
        </a:xfrm>
      </xdr:grpSpPr>
      <xdr:pic>
        <xdr:nvPicPr>
          <xdr:cNvPr id="75" name="Imagen 74">
            <a:extLst>
              <a:ext uri="{FF2B5EF4-FFF2-40B4-BE49-F238E27FC236}">
                <a16:creationId xmlns:a16="http://schemas.microsoft.com/office/drawing/2014/main" id="{D54BE4A0-20C1-57A0-3A87-A7DA7475345E}"/>
              </a:ext>
            </a:extLst>
          </xdr:cNvPr>
          <xdr:cNvPicPr>
            <a:picLocks noChangeAspect="1"/>
          </xdr:cNvPicPr>
        </xdr:nvPicPr>
        <xdr:blipFill rotWithShape="1">
          <a:blip xmlns:r="http://schemas.openxmlformats.org/officeDocument/2006/relationships" r:embed="rId4"/>
          <a:srcRect l="26774" t="19447" r="26137" b="9989"/>
          <a:stretch/>
        </xdr:blipFill>
        <xdr:spPr>
          <a:xfrm>
            <a:off x="876300" y="84086700"/>
            <a:ext cx="5760000" cy="4855221"/>
          </a:xfrm>
          <a:prstGeom prst="rect">
            <a:avLst/>
          </a:prstGeom>
        </xdr:spPr>
      </xdr:pic>
      <xdr:sp macro="" textlink="">
        <xdr:nvSpPr>
          <xdr:cNvPr id="76" name="Rectángulo 75">
            <a:extLst>
              <a:ext uri="{FF2B5EF4-FFF2-40B4-BE49-F238E27FC236}">
                <a16:creationId xmlns:a16="http://schemas.microsoft.com/office/drawing/2014/main" id="{82B6B788-784E-2F18-B6FC-63AF97C04A2F}"/>
              </a:ext>
            </a:extLst>
          </xdr:cNvPr>
          <xdr:cNvSpPr/>
        </xdr:nvSpPr>
        <xdr:spPr>
          <a:xfrm>
            <a:off x="2076450" y="85515450"/>
            <a:ext cx="3257550" cy="1981200"/>
          </a:xfrm>
          <a:prstGeom prst="rect">
            <a:avLst/>
          </a:prstGeom>
          <a:no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noFill/>
            </a:endParaRPr>
          </a:p>
        </xdr:txBody>
      </xdr:sp>
    </xdr:grpSp>
    <xdr:clientData/>
  </xdr:twoCellAnchor>
  <xdr:twoCellAnchor>
    <xdr:from>
      <xdr:col>3</xdr:col>
      <xdr:colOff>242161</xdr:colOff>
      <xdr:row>250</xdr:row>
      <xdr:rowOff>98881</xdr:rowOff>
    </xdr:from>
    <xdr:to>
      <xdr:col>7</xdr:col>
      <xdr:colOff>643550</xdr:colOff>
      <xdr:row>259</xdr:row>
      <xdr:rowOff>281885</xdr:rowOff>
    </xdr:to>
    <xdr:grpSp>
      <xdr:nvGrpSpPr>
        <xdr:cNvPr id="77" name="Grupo 76">
          <a:extLst>
            <a:ext uri="{FF2B5EF4-FFF2-40B4-BE49-F238E27FC236}">
              <a16:creationId xmlns:a16="http://schemas.microsoft.com/office/drawing/2014/main" id="{1B3F7D9E-DED6-4D5C-B992-F010CC90A61A}"/>
            </a:ext>
          </a:extLst>
        </xdr:cNvPr>
        <xdr:cNvGrpSpPr/>
      </xdr:nvGrpSpPr>
      <xdr:grpSpPr>
        <a:xfrm>
          <a:off x="2877411" y="73235006"/>
          <a:ext cx="3624014" cy="3040504"/>
          <a:chOff x="590550" y="89858851"/>
          <a:chExt cx="5760000" cy="4662857"/>
        </a:xfrm>
      </xdr:grpSpPr>
      <xdr:pic>
        <xdr:nvPicPr>
          <xdr:cNvPr id="78" name="Imagen 77">
            <a:extLst>
              <a:ext uri="{FF2B5EF4-FFF2-40B4-BE49-F238E27FC236}">
                <a16:creationId xmlns:a16="http://schemas.microsoft.com/office/drawing/2014/main" id="{F381EC61-D925-2C4E-3E04-E29B0DE380AD}"/>
              </a:ext>
            </a:extLst>
          </xdr:cNvPr>
          <xdr:cNvPicPr>
            <a:picLocks noChangeAspect="1"/>
          </xdr:cNvPicPr>
        </xdr:nvPicPr>
        <xdr:blipFill rotWithShape="1">
          <a:blip xmlns:r="http://schemas.openxmlformats.org/officeDocument/2006/relationships" r:embed="rId5"/>
          <a:srcRect l="37297" t="23892" r="21136" b="16286"/>
          <a:stretch/>
        </xdr:blipFill>
        <xdr:spPr>
          <a:xfrm>
            <a:off x="590550" y="89858851"/>
            <a:ext cx="5760000" cy="4662857"/>
          </a:xfrm>
          <a:prstGeom prst="rect">
            <a:avLst/>
          </a:prstGeom>
        </xdr:spPr>
      </xdr:pic>
      <xdr:sp macro="" textlink="">
        <xdr:nvSpPr>
          <xdr:cNvPr id="79" name="Rectángulo 78">
            <a:extLst>
              <a:ext uri="{FF2B5EF4-FFF2-40B4-BE49-F238E27FC236}">
                <a16:creationId xmlns:a16="http://schemas.microsoft.com/office/drawing/2014/main" id="{379E7289-B05C-632D-F915-D7DA1E3CC5C2}"/>
              </a:ext>
            </a:extLst>
          </xdr:cNvPr>
          <xdr:cNvSpPr/>
        </xdr:nvSpPr>
        <xdr:spPr>
          <a:xfrm>
            <a:off x="1962150" y="91268550"/>
            <a:ext cx="3257550" cy="1752600"/>
          </a:xfrm>
          <a:prstGeom prst="rect">
            <a:avLst/>
          </a:prstGeom>
          <a:no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noFill/>
            </a:endParaRPr>
          </a:p>
        </xdr:txBody>
      </xdr:sp>
    </xdr:grpSp>
    <xdr:clientData/>
  </xdr:twoCellAnchor>
  <xdr:twoCellAnchor>
    <xdr:from>
      <xdr:col>3</xdr:col>
      <xdr:colOff>356461</xdr:colOff>
      <xdr:row>258</xdr:row>
      <xdr:rowOff>216167</xdr:rowOff>
    </xdr:from>
    <xdr:to>
      <xdr:col>7</xdr:col>
      <xdr:colOff>757850</xdr:colOff>
      <xdr:row>266</xdr:row>
      <xdr:rowOff>138208</xdr:rowOff>
    </xdr:to>
    <xdr:grpSp>
      <xdr:nvGrpSpPr>
        <xdr:cNvPr id="80" name="Grupo 79">
          <a:extLst>
            <a:ext uri="{FF2B5EF4-FFF2-40B4-BE49-F238E27FC236}">
              <a16:creationId xmlns:a16="http://schemas.microsoft.com/office/drawing/2014/main" id="{6BC27965-05B1-4C5C-BE09-828238B4532D}"/>
            </a:ext>
          </a:extLst>
        </xdr:cNvPr>
        <xdr:cNvGrpSpPr/>
      </xdr:nvGrpSpPr>
      <xdr:grpSpPr>
        <a:xfrm>
          <a:off x="2991711" y="75892292"/>
          <a:ext cx="3624014" cy="2462041"/>
          <a:chOff x="1695450" y="95116649"/>
          <a:chExt cx="5760000" cy="5353412"/>
        </a:xfrm>
      </xdr:grpSpPr>
      <xdr:pic>
        <xdr:nvPicPr>
          <xdr:cNvPr id="81" name="Imagen 80">
            <a:extLst>
              <a:ext uri="{FF2B5EF4-FFF2-40B4-BE49-F238E27FC236}">
                <a16:creationId xmlns:a16="http://schemas.microsoft.com/office/drawing/2014/main" id="{2C0077F5-CACC-653E-55F3-C33AB0F712A7}"/>
              </a:ext>
            </a:extLst>
          </xdr:cNvPr>
          <xdr:cNvPicPr>
            <a:picLocks noChangeAspect="1"/>
          </xdr:cNvPicPr>
        </xdr:nvPicPr>
        <xdr:blipFill rotWithShape="1">
          <a:blip xmlns:r="http://schemas.openxmlformats.org/officeDocument/2006/relationships" r:embed="rId6"/>
          <a:srcRect l="32400" t="23707" r="32179" b="17767"/>
          <a:stretch/>
        </xdr:blipFill>
        <xdr:spPr>
          <a:xfrm>
            <a:off x="1695450" y="95116649"/>
            <a:ext cx="5760000" cy="5353412"/>
          </a:xfrm>
          <a:prstGeom prst="rect">
            <a:avLst/>
          </a:prstGeom>
        </xdr:spPr>
      </xdr:pic>
      <xdr:sp macro="" textlink="">
        <xdr:nvSpPr>
          <xdr:cNvPr id="82" name="Rectángulo 81">
            <a:extLst>
              <a:ext uri="{FF2B5EF4-FFF2-40B4-BE49-F238E27FC236}">
                <a16:creationId xmlns:a16="http://schemas.microsoft.com/office/drawing/2014/main" id="{F149A690-1DFE-CC72-12E1-31A0EFA4AF0C}"/>
              </a:ext>
            </a:extLst>
          </xdr:cNvPr>
          <xdr:cNvSpPr/>
        </xdr:nvSpPr>
        <xdr:spPr>
          <a:xfrm>
            <a:off x="2952750" y="96335850"/>
            <a:ext cx="3086100" cy="3333750"/>
          </a:xfrm>
          <a:prstGeom prst="rect">
            <a:avLst/>
          </a:prstGeom>
          <a:no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noFill/>
            </a:endParaRPr>
          </a:p>
        </xdr:txBody>
      </xdr:sp>
    </xdr:grpSp>
    <xdr:clientData/>
  </xdr:twoCellAnchor>
  <xdr:twoCellAnchor>
    <xdr:from>
      <xdr:col>4</xdr:col>
      <xdr:colOff>400050</xdr:colOff>
      <xdr:row>317</xdr:row>
      <xdr:rowOff>322880</xdr:rowOff>
    </xdr:from>
    <xdr:to>
      <xdr:col>8</xdr:col>
      <xdr:colOff>573114</xdr:colOff>
      <xdr:row>325</xdr:row>
      <xdr:rowOff>290592</xdr:rowOff>
    </xdr:to>
    <xdr:grpSp>
      <xdr:nvGrpSpPr>
        <xdr:cNvPr id="83" name="Grupo 82">
          <a:extLst>
            <a:ext uri="{FF2B5EF4-FFF2-40B4-BE49-F238E27FC236}">
              <a16:creationId xmlns:a16="http://schemas.microsoft.com/office/drawing/2014/main" id="{710C6DE5-3BCC-4EDC-B630-018E547B28F3}"/>
            </a:ext>
          </a:extLst>
        </xdr:cNvPr>
        <xdr:cNvGrpSpPr/>
      </xdr:nvGrpSpPr>
      <xdr:grpSpPr>
        <a:xfrm>
          <a:off x="3797300" y="92667755"/>
          <a:ext cx="3395689" cy="2507712"/>
          <a:chOff x="876300" y="84086700"/>
          <a:chExt cx="5760000" cy="4855221"/>
        </a:xfrm>
      </xdr:grpSpPr>
      <xdr:pic>
        <xdr:nvPicPr>
          <xdr:cNvPr id="84" name="Imagen 83">
            <a:extLst>
              <a:ext uri="{FF2B5EF4-FFF2-40B4-BE49-F238E27FC236}">
                <a16:creationId xmlns:a16="http://schemas.microsoft.com/office/drawing/2014/main" id="{CAA9ECFA-DC4F-62CC-D267-FAD9FEBD0E0F}"/>
              </a:ext>
            </a:extLst>
          </xdr:cNvPr>
          <xdr:cNvPicPr>
            <a:picLocks noChangeAspect="1"/>
          </xdr:cNvPicPr>
        </xdr:nvPicPr>
        <xdr:blipFill rotWithShape="1">
          <a:blip xmlns:r="http://schemas.openxmlformats.org/officeDocument/2006/relationships" r:embed="rId4"/>
          <a:srcRect l="26774" t="19447" r="26137" b="9989"/>
          <a:stretch/>
        </xdr:blipFill>
        <xdr:spPr>
          <a:xfrm>
            <a:off x="876300" y="84086700"/>
            <a:ext cx="5760000" cy="4855221"/>
          </a:xfrm>
          <a:prstGeom prst="rect">
            <a:avLst/>
          </a:prstGeom>
        </xdr:spPr>
      </xdr:pic>
      <xdr:sp macro="" textlink="">
        <xdr:nvSpPr>
          <xdr:cNvPr id="85" name="Rectángulo 84">
            <a:extLst>
              <a:ext uri="{FF2B5EF4-FFF2-40B4-BE49-F238E27FC236}">
                <a16:creationId xmlns:a16="http://schemas.microsoft.com/office/drawing/2014/main" id="{E6EDCC33-39FE-0D98-8C21-7BDB3624A975}"/>
              </a:ext>
            </a:extLst>
          </xdr:cNvPr>
          <xdr:cNvSpPr/>
        </xdr:nvSpPr>
        <xdr:spPr>
          <a:xfrm>
            <a:off x="2076450" y="85515450"/>
            <a:ext cx="3257550" cy="1981200"/>
          </a:xfrm>
          <a:prstGeom prst="rect">
            <a:avLst/>
          </a:prstGeom>
          <a:no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noFill/>
            </a:endParaRPr>
          </a:p>
        </xdr:txBody>
      </xdr:sp>
    </xdr:grpSp>
    <xdr:clientData/>
  </xdr:twoCellAnchor>
  <xdr:twoCellAnchor>
    <xdr:from>
      <xdr:col>4</xdr:col>
      <xdr:colOff>285750</xdr:colOff>
      <xdr:row>326</xdr:row>
      <xdr:rowOff>155385</xdr:rowOff>
    </xdr:from>
    <xdr:to>
      <xdr:col>8</xdr:col>
      <xdr:colOff>458814</xdr:colOff>
      <xdr:row>335</xdr:row>
      <xdr:rowOff>173922</xdr:rowOff>
    </xdr:to>
    <xdr:grpSp>
      <xdr:nvGrpSpPr>
        <xdr:cNvPr id="86" name="Grupo 85">
          <a:extLst>
            <a:ext uri="{FF2B5EF4-FFF2-40B4-BE49-F238E27FC236}">
              <a16:creationId xmlns:a16="http://schemas.microsoft.com/office/drawing/2014/main" id="{67B1E9B1-9D26-45B7-AC1F-051B7F02DC3E}"/>
            </a:ext>
          </a:extLst>
        </xdr:cNvPr>
        <xdr:cNvGrpSpPr/>
      </xdr:nvGrpSpPr>
      <xdr:grpSpPr>
        <a:xfrm>
          <a:off x="3683000" y="95357760"/>
          <a:ext cx="3395689" cy="2876037"/>
          <a:chOff x="590550" y="89858851"/>
          <a:chExt cx="5760000" cy="4662857"/>
        </a:xfrm>
      </xdr:grpSpPr>
      <xdr:pic>
        <xdr:nvPicPr>
          <xdr:cNvPr id="87" name="Imagen 86">
            <a:extLst>
              <a:ext uri="{FF2B5EF4-FFF2-40B4-BE49-F238E27FC236}">
                <a16:creationId xmlns:a16="http://schemas.microsoft.com/office/drawing/2014/main" id="{A1ABDA44-AE73-1815-47DA-B20771BA5139}"/>
              </a:ext>
            </a:extLst>
          </xdr:cNvPr>
          <xdr:cNvPicPr>
            <a:picLocks noChangeAspect="1"/>
          </xdr:cNvPicPr>
        </xdr:nvPicPr>
        <xdr:blipFill rotWithShape="1">
          <a:blip xmlns:r="http://schemas.openxmlformats.org/officeDocument/2006/relationships" r:embed="rId5"/>
          <a:srcRect l="37297" t="23892" r="21136" b="16286"/>
          <a:stretch/>
        </xdr:blipFill>
        <xdr:spPr>
          <a:xfrm>
            <a:off x="590550" y="89858851"/>
            <a:ext cx="5760000" cy="4662857"/>
          </a:xfrm>
          <a:prstGeom prst="rect">
            <a:avLst/>
          </a:prstGeom>
        </xdr:spPr>
      </xdr:pic>
      <xdr:sp macro="" textlink="">
        <xdr:nvSpPr>
          <xdr:cNvPr id="88" name="Rectángulo 87">
            <a:extLst>
              <a:ext uri="{FF2B5EF4-FFF2-40B4-BE49-F238E27FC236}">
                <a16:creationId xmlns:a16="http://schemas.microsoft.com/office/drawing/2014/main" id="{17588448-89C8-7ED6-6943-71882D787F81}"/>
              </a:ext>
            </a:extLst>
          </xdr:cNvPr>
          <xdr:cNvSpPr/>
        </xdr:nvSpPr>
        <xdr:spPr>
          <a:xfrm>
            <a:off x="1962150" y="91268550"/>
            <a:ext cx="3257550" cy="1752600"/>
          </a:xfrm>
          <a:prstGeom prst="rect">
            <a:avLst/>
          </a:prstGeom>
          <a:no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noFill/>
            </a:endParaRPr>
          </a:p>
        </xdr:txBody>
      </xdr:sp>
    </xdr:grpSp>
    <xdr:clientData/>
  </xdr:twoCellAnchor>
  <xdr:twoCellAnchor>
    <xdr:from>
      <xdr:col>4</xdr:col>
      <xdr:colOff>400050</xdr:colOff>
      <xdr:row>334</xdr:row>
      <xdr:rowOff>272671</xdr:rowOff>
    </xdr:from>
    <xdr:to>
      <xdr:col>8</xdr:col>
      <xdr:colOff>573114</xdr:colOff>
      <xdr:row>342</xdr:row>
      <xdr:rowOff>61331</xdr:rowOff>
    </xdr:to>
    <xdr:grpSp>
      <xdr:nvGrpSpPr>
        <xdr:cNvPr id="89" name="Grupo 88">
          <a:extLst>
            <a:ext uri="{FF2B5EF4-FFF2-40B4-BE49-F238E27FC236}">
              <a16:creationId xmlns:a16="http://schemas.microsoft.com/office/drawing/2014/main" id="{2BF26A3D-2DF0-49E4-A553-6C513B7BD81C}"/>
            </a:ext>
          </a:extLst>
        </xdr:cNvPr>
        <xdr:cNvGrpSpPr/>
      </xdr:nvGrpSpPr>
      <xdr:grpSpPr>
        <a:xfrm>
          <a:off x="3797300" y="98015046"/>
          <a:ext cx="3395689" cy="2328660"/>
          <a:chOff x="1695450" y="95116649"/>
          <a:chExt cx="5760000" cy="5353412"/>
        </a:xfrm>
      </xdr:grpSpPr>
      <xdr:pic>
        <xdr:nvPicPr>
          <xdr:cNvPr id="90" name="Imagen 89">
            <a:extLst>
              <a:ext uri="{FF2B5EF4-FFF2-40B4-BE49-F238E27FC236}">
                <a16:creationId xmlns:a16="http://schemas.microsoft.com/office/drawing/2014/main" id="{93A5DE37-8A57-DB28-1F62-772A552BFEA6}"/>
              </a:ext>
            </a:extLst>
          </xdr:cNvPr>
          <xdr:cNvPicPr>
            <a:picLocks noChangeAspect="1"/>
          </xdr:cNvPicPr>
        </xdr:nvPicPr>
        <xdr:blipFill rotWithShape="1">
          <a:blip xmlns:r="http://schemas.openxmlformats.org/officeDocument/2006/relationships" r:embed="rId6"/>
          <a:srcRect l="32400" t="23707" r="32179" b="17767"/>
          <a:stretch/>
        </xdr:blipFill>
        <xdr:spPr>
          <a:xfrm>
            <a:off x="1695450" y="95116649"/>
            <a:ext cx="5760000" cy="5353412"/>
          </a:xfrm>
          <a:prstGeom prst="rect">
            <a:avLst/>
          </a:prstGeom>
        </xdr:spPr>
      </xdr:pic>
      <xdr:sp macro="" textlink="">
        <xdr:nvSpPr>
          <xdr:cNvPr id="91" name="Rectángulo 90">
            <a:extLst>
              <a:ext uri="{FF2B5EF4-FFF2-40B4-BE49-F238E27FC236}">
                <a16:creationId xmlns:a16="http://schemas.microsoft.com/office/drawing/2014/main" id="{BC5A0006-FBBA-8D0D-B25D-CB875F876E03}"/>
              </a:ext>
            </a:extLst>
          </xdr:cNvPr>
          <xdr:cNvSpPr/>
        </xdr:nvSpPr>
        <xdr:spPr>
          <a:xfrm>
            <a:off x="2952750" y="96335850"/>
            <a:ext cx="3086100" cy="3333750"/>
          </a:xfrm>
          <a:prstGeom prst="rect">
            <a:avLst/>
          </a:prstGeom>
          <a:no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noFill/>
            </a:endParaRPr>
          </a:p>
        </xdr:txBody>
      </xdr:sp>
    </xdr:grpSp>
    <xdr:clientData/>
  </xdr:twoCellAnchor>
  <xdr:twoCellAnchor>
    <xdr:from>
      <xdr:col>3</xdr:col>
      <xdr:colOff>282521</xdr:colOff>
      <xdr:row>391</xdr:row>
      <xdr:rowOff>48433</xdr:rowOff>
    </xdr:from>
    <xdr:to>
      <xdr:col>8</xdr:col>
      <xdr:colOff>371313</xdr:colOff>
      <xdr:row>402</xdr:row>
      <xdr:rowOff>266378</xdr:rowOff>
    </xdr:to>
    <xdr:grpSp>
      <xdr:nvGrpSpPr>
        <xdr:cNvPr id="119" name="Grupo 118">
          <a:extLst>
            <a:ext uri="{FF2B5EF4-FFF2-40B4-BE49-F238E27FC236}">
              <a16:creationId xmlns:a16="http://schemas.microsoft.com/office/drawing/2014/main" id="{A23466CC-7A15-43DF-8BB9-4A7E73B40F8E}"/>
            </a:ext>
          </a:extLst>
        </xdr:cNvPr>
        <xdr:cNvGrpSpPr/>
      </xdr:nvGrpSpPr>
      <xdr:grpSpPr>
        <a:xfrm>
          <a:off x="2917771" y="114253183"/>
          <a:ext cx="4073417" cy="3710445"/>
          <a:chOff x="381000" y="335432400"/>
          <a:chExt cx="6480000" cy="4754892"/>
        </a:xfrm>
      </xdr:grpSpPr>
      <xdr:pic>
        <xdr:nvPicPr>
          <xdr:cNvPr id="120" name="Imagen 119">
            <a:extLst>
              <a:ext uri="{FF2B5EF4-FFF2-40B4-BE49-F238E27FC236}">
                <a16:creationId xmlns:a16="http://schemas.microsoft.com/office/drawing/2014/main" id="{5C1366D9-06AF-1C59-154C-E5CFC3B3D69A}"/>
              </a:ext>
            </a:extLst>
          </xdr:cNvPr>
          <xdr:cNvPicPr>
            <a:picLocks noChangeAspect="1"/>
          </xdr:cNvPicPr>
        </xdr:nvPicPr>
        <xdr:blipFill rotWithShape="1">
          <a:blip xmlns:r="http://schemas.openxmlformats.org/officeDocument/2006/relationships" r:embed="rId4"/>
          <a:srcRect l="26774" t="19447" r="26137" b="9989"/>
          <a:stretch/>
        </xdr:blipFill>
        <xdr:spPr>
          <a:xfrm>
            <a:off x="381000" y="335432400"/>
            <a:ext cx="6480000" cy="4754892"/>
          </a:xfrm>
          <a:prstGeom prst="rect">
            <a:avLst/>
          </a:prstGeom>
        </xdr:spPr>
      </xdr:pic>
      <xdr:sp macro="" textlink="">
        <xdr:nvSpPr>
          <xdr:cNvPr id="121" name="Rectángulo 120">
            <a:extLst>
              <a:ext uri="{FF2B5EF4-FFF2-40B4-BE49-F238E27FC236}">
                <a16:creationId xmlns:a16="http://schemas.microsoft.com/office/drawing/2014/main" id="{B8A0650D-CE04-5860-0C5C-29DA4371C98F}"/>
              </a:ext>
            </a:extLst>
          </xdr:cNvPr>
          <xdr:cNvSpPr/>
        </xdr:nvSpPr>
        <xdr:spPr>
          <a:xfrm>
            <a:off x="1714500" y="336727801"/>
            <a:ext cx="419100" cy="533399"/>
          </a:xfrm>
          <a:prstGeom prst="rect">
            <a:avLst/>
          </a:prstGeom>
          <a:no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noFill/>
            </a:endParaRPr>
          </a:p>
        </xdr:txBody>
      </xdr:sp>
      <xdr:sp macro="" textlink="">
        <xdr:nvSpPr>
          <xdr:cNvPr id="122" name="Rectángulo 121">
            <a:extLst>
              <a:ext uri="{FF2B5EF4-FFF2-40B4-BE49-F238E27FC236}">
                <a16:creationId xmlns:a16="http://schemas.microsoft.com/office/drawing/2014/main" id="{12515108-621A-CCDA-29BD-6F381956842B}"/>
              </a:ext>
            </a:extLst>
          </xdr:cNvPr>
          <xdr:cNvSpPr/>
        </xdr:nvSpPr>
        <xdr:spPr>
          <a:xfrm>
            <a:off x="5105400" y="336727801"/>
            <a:ext cx="419100" cy="533399"/>
          </a:xfrm>
          <a:prstGeom prst="rect">
            <a:avLst/>
          </a:prstGeom>
          <a:no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noFill/>
            </a:endParaRPr>
          </a:p>
        </xdr:txBody>
      </xdr:sp>
      <xdr:sp macro="" textlink="">
        <xdr:nvSpPr>
          <xdr:cNvPr id="123" name="Rectángulo 122">
            <a:extLst>
              <a:ext uri="{FF2B5EF4-FFF2-40B4-BE49-F238E27FC236}">
                <a16:creationId xmlns:a16="http://schemas.microsoft.com/office/drawing/2014/main" id="{DDEF11CA-919E-0C01-B6B8-A86AE80FDC05}"/>
              </a:ext>
            </a:extLst>
          </xdr:cNvPr>
          <xdr:cNvSpPr/>
        </xdr:nvSpPr>
        <xdr:spPr>
          <a:xfrm>
            <a:off x="1695450" y="338404201"/>
            <a:ext cx="419100" cy="533399"/>
          </a:xfrm>
          <a:prstGeom prst="rect">
            <a:avLst/>
          </a:prstGeom>
          <a:no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noFill/>
            </a:endParaRPr>
          </a:p>
        </xdr:txBody>
      </xdr:sp>
      <xdr:sp macro="" textlink="">
        <xdr:nvSpPr>
          <xdr:cNvPr id="124" name="Rectángulo 123">
            <a:extLst>
              <a:ext uri="{FF2B5EF4-FFF2-40B4-BE49-F238E27FC236}">
                <a16:creationId xmlns:a16="http://schemas.microsoft.com/office/drawing/2014/main" id="{E06A5B01-4F6B-5736-2602-2042DD086424}"/>
              </a:ext>
            </a:extLst>
          </xdr:cNvPr>
          <xdr:cNvSpPr/>
        </xdr:nvSpPr>
        <xdr:spPr>
          <a:xfrm>
            <a:off x="5086350" y="338404201"/>
            <a:ext cx="419100" cy="533399"/>
          </a:xfrm>
          <a:prstGeom prst="rect">
            <a:avLst/>
          </a:prstGeom>
          <a:no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noFill/>
            </a:endParaRPr>
          </a:p>
        </xdr:txBody>
      </xdr:sp>
    </xdr:grpSp>
    <xdr:clientData/>
  </xdr:twoCellAnchor>
  <xdr:twoCellAnchor>
    <xdr:from>
      <xdr:col>3</xdr:col>
      <xdr:colOff>606371</xdr:colOff>
      <xdr:row>405</xdr:row>
      <xdr:rowOff>109618</xdr:rowOff>
    </xdr:from>
    <xdr:to>
      <xdr:col>8</xdr:col>
      <xdr:colOff>22872</xdr:colOff>
      <xdr:row>416</xdr:row>
      <xdr:rowOff>165188</xdr:rowOff>
    </xdr:to>
    <xdr:grpSp>
      <xdr:nvGrpSpPr>
        <xdr:cNvPr id="125" name="Grupo 124">
          <a:extLst>
            <a:ext uri="{FF2B5EF4-FFF2-40B4-BE49-F238E27FC236}">
              <a16:creationId xmlns:a16="http://schemas.microsoft.com/office/drawing/2014/main" id="{2B83CDE0-7D39-4974-97E0-768FE9FC4A83}"/>
            </a:ext>
          </a:extLst>
        </xdr:cNvPr>
        <xdr:cNvGrpSpPr/>
      </xdr:nvGrpSpPr>
      <xdr:grpSpPr>
        <a:xfrm>
          <a:off x="3241621" y="118759368"/>
          <a:ext cx="3401126" cy="3548070"/>
          <a:chOff x="781050" y="340137750"/>
          <a:chExt cx="5410200" cy="4552950"/>
        </a:xfrm>
      </xdr:grpSpPr>
      <xdr:pic>
        <xdr:nvPicPr>
          <xdr:cNvPr id="126" name="Imagen 125">
            <a:extLst>
              <a:ext uri="{FF2B5EF4-FFF2-40B4-BE49-F238E27FC236}">
                <a16:creationId xmlns:a16="http://schemas.microsoft.com/office/drawing/2014/main" id="{AC48C053-A66B-F8F2-AF3D-833A34D04D37}"/>
              </a:ext>
            </a:extLst>
          </xdr:cNvPr>
          <xdr:cNvPicPr>
            <a:picLocks noChangeAspect="1"/>
          </xdr:cNvPicPr>
        </xdr:nvPicPr>
        <xdr:blipFill rotWithShape="1">
          <a:blip xmlns:r="http://schemas.openxmlformats.org/officeDocument/2006/relationships" r:embed="rId5"/>
          <a:srcRect l="37297" t="23892" r="21136" b="16286"/>
          <a:stretch/>
        </xdr:blipFill>
        <xdr:spPr>
          <a:xfrm>
            <a:off x="781050" y="340137750"/>
            <a:ext cx="5410200" cy="4552950"/>
          </a:xfrm>
          <a:prstGeom prst="rect">
            <a:avLst/>
          </a:prstGeom>
        </xdr:spPr>
      </xdr:pic>
      <xdr:sp macro="" textlink="">
        <xdr:nvSpPr>
          <xdr:cNvPr id="127" name="Rectángulo 126">
            <a:extLst>
              <a:ext uri="{FF2B5EF4-FFF2-40B4-BE49-F238E27FC236}">
                <a16:creationId xmlns:a16="http://schemas.microsoft.com/office/drawing/2014/main" id="{9152B966-9CAF-4459-0309-5AE3A1C10C6E}"/>
              </a:ext>
            </a:extLst>
          </xdr:cNvPr>
          <xdr:cNvSpPr/>
        </xdr:nvSpPr>
        <xdr:spPr>
          <a:xfrm rot="5400000">
            <a:off x="1993694" y="341452204"/>
            <a:ext cx="387556" cy="380996"/>
          </a:xfrm>
          <a:prstGeom prst="rect">
            <a:avLst/>
          </a:prstGeom>
          <a:no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noFill/>
            </a:endParaRPr>
          </a:p>
        </xdr:txBody>
      </xdr:sp>
      <xdr:sp macro="" textlink="">
        <xdr:nvSpPr>
          <xdr:cNvPr id="128" name="Rectángulo 127">
            <a:extLst>
              <a:ext uri="{FF2B5EF4-FFF2-40B4-BE49-F238E27FC236}">
                <a16:creationId xmlns:a16="http://schemas.microsoft.com/office/drawing/2014/main" id="{D52751C5-51B0-A7C0-017A-5336B67AF5F1}"/>
              </a:ext>
            </a:extLst>
          </xdr:cNvPr>
          <xdr:cNvSpPr/>
        </xdr:nvSpPr>
        <xdr:spPr>
          <a:xfrm rot="5400000">
            <a:off x="4813094" y="341490304"/>
            <a:ext cx="387556" cy="380996"/>
          </a:xfrm>
          <a:prstGeom prst="rect">
            <a:avLst/>
          </a:prstGeom>
          <a:no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noFill/>
            </a:endParaRPr>
          </a:p>
        </xdr:txBody>
      </xdr:sp>
      <xdr:sp macro="" textlink="">
        <xdr:nvSpPr>
          <xdr:cNvPr id="129" name="Rectángulo 128">
            <a:extLst>
              <a:ext uri="{FF2B5EF4-FFF2-40B4-BE49-F238E27FC236}">
                <a16:creationId xmlns:a16="http://schemas.microsoft.com/office/drawing/2014/main" id="{584FBA48-2E0D-5221-363D-1C7129F3DD8E}"/>
              </a:ext>
            </a:extLst>
          </xdr:cNvPr>
          <xdr:cNvSpPr/>
        </xdr:nvSpPr>
        <xdr:spPr>
          <a:xfrm rot="5400000">
            <a:off x="2012744" y="342900004"/>
            <a:ext cx="387556" cy="380996"/>
          </a:xfrm>
          <a:prstGeom prst="rect">
            <a:avLst/>
          </a:prstGeom>
          <a:no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noFill/>
            </a:endParaRPr>
          </a:p>
        </xdr:txBody>
      </xdr:sp>
      <xdr:sp macro="" textlink="">
        <xdr:nvSpPr>
          <xdr:cNvPr id="130" name="Rectángulo 129">
            <a:extLst>
              <a:ext uri="{FF2B5EF4-FFF2-40B4-BE49-F238E27FC236}">
                <a16:creationId xmlns:a16="http://schemas.microsoft.com/office/drawing/2014/main" id="{695ED253-204F-ABA1-73F8-2F6E2BCCEAAF}"/>
              </a:ext>
            </a:extLst>
          </xdr:cNvPr>
          <xdr:cNvSpPr/>
        </xdr:nvSpPr>
        <xdr:spPr>
          <a:xfrm rot="5400000">
            <a:off x="4774994" y="342900004"/>
            <a:ext cx="387556" cy="380996"/>
          </a:xfrm>
          <a:prstGeom prst="rect">
            <a:avLst/>
          </a:prstGeom>
          <a:no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noFill/>
            </a:endParaRPr>
          </a:p>
        </xdr:txBody>
      </xdr:sp>
    </xdr:grpSp>
    <xdr:clientData/>
  </xdr:twoCellAnchor>
  <xdr:twoCellAnchor>
    <xdr:from>
      <xdr:col>3</xdr:col>
      <xdr:colOff>193728</xdr:colOff>
      <xdr:row>468</xdr:row>
      <xdr:rowOff>201799</xdr:rowOff>
    </xdr:from>
    <xdr:to>
      <xdr:col>8</xdr:col>
      <xdr:colOff>572450</xdr:colOff>
      <xdr:row>479</xdr:row>
      <xdr:rowOff>265028</xdr:rowOff>
    </xdr:to>
    <xdr:pic>
      <xdr:nvPicPr>
        <xdr:cNvPr id="132" name="Imagen 131">
          <a:extLst>
            <a:ext uri="{FF2B5EF4-FFF2-40B4-BE49-F238E27FC236}">
              <a16:creationId xmlns:a16="http://schemas.microsoft.com/office/drawing/2014/main" id="{7C841E05-C6BC-4BAA-807F-E0B4F54B20E8}"/>
            </a:ext>
          </a:extLst>
        </xdr:cNvPr>
        <xdr:cNvPicPr>
          <a:picLocks noChangeAspect="1"/>
        </xdr:cNvPicPr>
      </xdr:nvPicPr>
      <xdr:blipFill rotWithShape="1">
        <a:blip xmlns:r="http://schemas.openxmlformats.org/officeDocument/2006/relationships" r:embed="rId6"/>
        <a:srcRect l="32400" t="23707" r="32179" b="17767"/>
        <a:stretch/>
      </xdr:blipFill>
      <xdr:spPr>
        <a:xfrm>
          <a:off x="2066440" y="138960062"/>
          <a:ext cx="4350163" cy="3614924"/>
        </a:xfrm>
        <a:prstGeom prst="rect">
          <a:avLst/>
        </a:prstGeom>
      </xdr:spPr>
    </xdr:pic>
    <xdr:clientData/>
  </xdr:twoCellAnchor>
  <xdr:twoCellAnchor editAs="oneCell">
    <xdr:from>
      <xdr:col>3</xdr:col>
      <xdr:colOff>282520</xdr:colOff>
      <xdr:row>540</xdr:row>
      <xdr:rowOff>80721</xdr:rowOff>
    </xdr:from>
    <xdr:to>
      <xdr:col>8</xdr:col>
      <xdr:colOff>643084</xdr:colOff>
      <xdr:row>568</xdr:row>
      <xdr:rowOff>104937</xdr:rowOff>
    </xdr:to>
    <xdr:pic>
      <xdr:nvPicPr>
        <xdr:cNvPr id="133" name="Imagen 132">
          <a:extLst>
            <a:ext uri="{FF2B5EF4-FFF2-40B4-BE49-F238E27FC236}">
              <a16:creationId xmlns:a16="http://schemas.microsoft.com/office/drawing/2014/main" id="{566A0A04-AE0F-2D21-99CF-22EC2679F9F3}"/>
            </a:ext>
          </a:extLst>
        </xdr:cNvPr>
        <xdr:cNvPicPr>
          <a:picLocks noChangeAspect="1"/>
        </xdr:cNvPicPr>
      </xdr:nvPicPr>
      <xdr:blipFill>
        <a:blip xmlns:r="http://schemas.openxmlformats.org/officeDocument/2006/relationships" r:embed="rId7"/>
        <a:stretch>
          <a:fillRect/>
        </a:stretch>
      </xdr:blipFill>
      <xdr:spPr>
        <a:xfrm>
          <a:off x="2155232" y="160334810"/>
          <a:ext cx="4332005" cy="9064894"/>
        </a:xfrm>
        <a:prstGeom prst="rect">
          <a:avLst/>
        </a:prstGeom>
      </xdr:spPr>
    </xdr:pic>
    <xdr:clientData/>
  </xdr:twoCellAnchor>
  <xdr:twoCellAnchor editAs="oneCell">
    <xdr:from>
      <xdr:col>3</xdr:col>
      <xdr:colOff>742627</xdr:colOff>
      <xdr:row>620</xdr:row>
      <xdr:rowOff>72647</xdr:rowOff>
    </xdr:from>
    <xdr:to>
      <xdr:col>8</xdr:col>
      <xdr:colOff>734</xdr:colOff>
      <xdr:row>636</xdr:row>
      <xdr:rowOff>121079</xdr:rowOff>
    </xdr:to>
    <xdr:pic>
      <xdr:nvPicPr>
        <xdr:cNvPr id="135" name="Imagen 134">
          <a:extLst>
            <a:ext uri="{FF2B5EF4-FFF2-40B4-BE49-F238E27FC236}">
              <a16:creationId xmlns:a16="http://schemas.microsoft.com/office/drawing/2014/main" id="{009C65C7-2354-5C3A-9A76-C21CA03966F2}"/>
            </a:ext>
          </a:extLst>
        </xdr:cNvPr>
        <xdr:cNvPicPr>
          <a:picLocks noChangeAspect="1"/>
        </xdr:cNvPicPr>
      </xdr:nvPicPr>
      <xdr:blipFill>
        <a:blip xmlns:r="http://schemas.openxmlformats.org/officeDocument/2006/relationships" r:embed="rId8"/>
        <a:stretch>
          <a:fillRect/>
        </a:stretch>
      </xdr:blipFill>
      <xdr:spPr>
        <a:xfrm>
          <a:off x="2615339" y="182952647"/>
          <a:ext cx="3229548" cy="2631483"/>
        </a:xfrm>
        <a:prstGeom prst="rect">
          <a:avLst/>
        </a:prstGeom>
      </xdr:spPr>
    </xdr:pic>
    <xdr:clientData/>
  </xdr:twoCellAnchor>
  <xdr:twoCellAnchor editAs="oneCell">
    <xdr:from>
      <xdr:col>3</xdr:col>
      <xdr:colOff>476250</xdr:colOff>
      <xdr:row>684</xdr:row>
      <xdr:rowOff>113008</xdr:rowOff>
    </xdr:from>
    <xdr:to>
      <xdr:col>8</xdr:col>
      <xdr:colOff>430494</xdr:colOff>
      <xdr:row>710</xdr:row>
      <xdr:rowOff>94185</xdr:rowOff>
    </xdr:to>
    <xdr:pic>
      <xdr:nvPicPr>
        <xdr:cNvPr id="136" name="Imagen 135">
          <a:extLst>
            <a:ext uri="{FF2B5EF4-FFF2-40B4-BE49-F238E27FC236}">
              <a16:creationId xmlns:a16="http://schemas.microsoft.com/office/drawing/2014/main" id="{47A60192-CBDA-917F-CE2B-C63A9FBEF8AF}"/>
            </a:ext>
          </a:extLst>
        </xdr:cNvPr>
        <xdr:cNvPicPr>
          <a:picLocks noChangeAspect="1"/>
        </xdr:cNvPicPr>
      </xdr:nvPicPr>
      <xdr:blipFill>
        <a:blip xmlns:r="http://schemas.openxmlformats.org/officeDocument/2006/relationships" r:embed="rId9"/>
        <a:stretch>
          <a:fillRect/>
        </a:stretch>
      </xdr:blipFill>
      <xdr:spPr>
        <a:xfrm>
          <a:off x="2348962" y="196578241"/>
          <a:ext cx="3925685" cy="8214652"/>
        </a:xfrm>
        <a:prstGeom prst="rect">
          <a:avLst/>
        </a:prstGeom>
      </xdr:spPr>
    </xdr:pic>
    <xdr:clientData/>
  </xdr:twoCellAnchor>
  <xdr:twoCellAnchor editAs="oneCell">
    <xdr:from>
      <xdr:col>3</xdr:col>
      <xdr:colOff>145296</xdr:colOff>
      <xdr:row>760</xdr:row>
      <xdr:rowOff>113010</xdr:rowOff>
    </xdr:from>
    <xdr:to>
      <xdr:col>8</xdr:col>
      <xdr:colOff>603114</xdr:colOff>
      <xdr:row>775</xdr:row>
      <xdr:rowOff>121082</xdr:rowOff>
    </xdr:to>
    <xdr:pic>
      <xdr:nvPicPr>
        <xdr:cNvPr id="137" name="Imagen 136">
          <a:extLst>
            <a:ext uri="{FF2B5EF4-FFF2-40B4-BE49-F238E27FC236}">
              <a16:creationId xmlns:a16="http://schemas.microsoft.com/office/drawing/2014/main" id="{18A38A8C-74C8-09DA-ACC9-9068E31516D4}"/>
            </a:ext>
          </a:extLst>
        </xdr:cNvPr>
        <xdr:cNvPicPr>
          <a:picLocks noChangeAspect="1"/>
        </xdr:cNvPicPr>
      </xdr:nvPicPr>
      <xdr:blipFill>
        <a:blip xmlns:r="http://schemas.openxmlformats.org/officeDocument/2006/relationships" r:embed="rId10"/>
        <a:stretch>
          <a:fillRect/>
        </a:stretch>
      </xdr:blipFill>
      <xdr:spPr>
        <a:xfrm>
          <a:off x="2018008" y="219204154"/>
          <a:ext cx="4429259" cy="4851292"/>
        </a:xfrm>
        <a:prstGeom prst="rect">
          <a:avLst/>
        </a:prstGeom>
      </xdr:spPr>
    </xdr:pic>
    <xdr:clientData/>
  </xdr:twoCellAnchor>
  <xdr:twoCellAnchor>
    <xdr:from>
      <xdr:col>4</xdr:col>
      <xdr:colOff>508538</xdr:colOff>
      <xdr:row>765</xdr:row>
      <xdr:rowOff>40360</xdr:rowOff>
    </xdr:from>
    <xdr:to>
      <xdr:col>6</xdr:col>
      <xdr:colOff>395530</xdr:colOff>
      <xdr:row>767</xdr:row>
      <xdr:rowOff>72648</xdr:rowOff>
    </xdr:to>
    <xdr:sp macro="" textlink="">
      <xdr:nvSpPr>
        <xdr:cNvPr id="138" name="Rectángulo 137">
          <a:extLst>
            <a:ext uri="{FF2B5EF4-FFF2-40B4-BE49-F238E27FC236}">
              <a16:creationId xmlns:a16="http://schemas.microsoft.com/office/drawing/2014/main" id="{B20F1256-D067-D5BA-5539-805B1F718932}"/>
            </a:ext>
          </a:extLst>
        </xdr:cNvPr>
        <xdr:cNvSpPr/>
      </xdr:nvSpPr>
      <xdr:spPr>
        <a:xfrm>
          <a:off x="3140021" y="220745911"/>
          <a:ext cx="1582119" cy="678051"/>
        </a:xfrm>
        <a:prstGeom prst="rect">
          <a:avLst/>
        </a:prstGeom>
        <a:noFill/>
        <a:ln w="571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5</xdr:col>
      <xdr:colOff>338057</xdr:colOff>
      <xdr:row>770</xdr:row>
      <xdr:rowOff>15175</xdr:rowOff>
    </xdr:from>
    <xdr:to>
      <xdr:col>7</xdr:col>
      <xdr:colOff>225049</xdr:colOff>
      <xdr:row>772</xdr:row>
      <xdr:rowOff>47464</xdr:rowOff>
    </xdr:to>
    <xdr:sp macro="" textlink="">
      <xdr:nvSpPr>
        <xdr:cNvPr id="139" name="Rectángulo 138">
          <a:extLst>
            <a:ext uri="{FF2B5EF4-FFF2-40B4-BE49-F238E27FC236}">
              <a16:creationId xmlns:a16="http://schemas.microsoft.com/office/drawing/2014/main" id="{DBE72C09-1E88-4E31-B601-9EB5C133F6DE}"/>
            </a:ext>
          </a:extLst>
        </xdr:cNvPr>
        <xdr:cNvSpPr/>
      </xdr:nvSpPr>
      <xdr:spPr>
        <a:xfrm>
          <a:off x="3728311" y="222335133"/>
          <a:ext cx="1582119" cy="678051"/>
        </a:xfrm>
        <a:prstGeom prst="rect">
          <a:avLst/>
        </a:prstGeom>
        <a:noFill/>
        <a:ln w="571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3</xdr:col>
      <xdr:colOff>88792</xdr:colOff>
      <xdr:row>835</xdr:row>
      <xdr:rowOff>88793</xdr:rowOff>
    </xdr:from>
    <xdr:to>
      <xdr:col>8</xdr:col>
      <xdr:colOff>546610</xdr:colOff>
      <xdr:row>850</xdr:row>
      <xdr:rowOff>96864</xdr:rowOff>
    </xdr:to>
    <xdr:pic>
      <xdr:nvPicPr>
        <xdr:cNvPr id="140" name="Imagen 139">
          <a:extLst>
            <a:ext uri="{FF2B5EF4-FFF2-40B4-BE49-F238E27FC236}">
              <a16:creationId xmlns:a16="http://schemas.microsoft.com/office/drawing/2014/main" id="{C8177D1D-0C1E-4469-AEF7-353BD0C33392}"/>
            </a:ext>
          </a:extLst>
        </xdr:cNvPr>
        <xdr:cNvPicPr>
          <a:picLocks noChangeAspect="1"/>
        </xdr:cNvPicPr>
      </xdr:nvPicPr>
      <xdr:blipFill>
        <a:blip xmlns:r="http://schemas.openxmlformats.org/officeDocument/2006/relationships" r:embed="rId10"/>
        <a:stretch>
          <a:fillRect/>
        </a:stretch>
      </xdr:blipFill>
      <xdr:spPr>
        <a:xfrm>
          <a:off x="1961504" y="241644407"/>
          <a:ext cx="4429259" cy="4851292"/>
        </a:xfrm>
        <a:prstGeom prst="rect">
          <a:avLst/>
        </a:prstGeom>
      </xdr:spPr>
    </xdr:pic>
    <xdr:clientData/>
  </xdr:twoCellAnchor>
  <xdr:twoCellAnchor>
    <xdr:from>
      <xdr:col>4</xdr:col>
      <xdr:colOff>452034</xdr:colOff>
      <xdr:row>840</xdr:row>
      <xdr:rowOff>16143</xdr:rowOff>
    </xdr:from>
    <xdr:to>
      <xdr:col>6</xdr:col>
      <xdr:colOff>339026</xdr:colOff>
      <xdr:row>842</xdr:row>
      <xdr:rowOff>48431</xdr:rowOff>
    </xdr:to>
    <xdr:sp macro="" textlink="">
      <xdr:nvSpPr>
        <xdr:cNvPr id="141" name="Rectángulo 140">
          <a:extLst>
            <a:ext uri="{FF2B5EF4-FFF2-40B4-BE49-F238E27FC236}">
              <a16:creationId xmlns:a16="http://schemas.microsoft.com/office/drawing/2014/main" id="{A8EBD9E7-73A4-48C2-AB5E-5D88794FBFC1}"/>
            </a:ext>
          </a:extLst>
        </xdr:cNvPr>
        <xdr:cNvSpPr/>
      </xdr:nvSpPr>
      <xdr:spPr>
        <a:xfrm>
          <a:off x="3083517" y="243186164"/>
          <a:ext cx="1582119" cy="678051"/>
        </a:xfrm>
        <a:prstGeom prst="rect">
          <a:avLst/>
        </a:prstGeom>
        <a:noFill/>
        <a:ln w="571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5</xdr:col>
      <xdr:colOff>281553</xdr:colOff>
      <xdr:row>844</xdr:row>
      <xdr:rowOff>313839</xdr:rowOff>
    </xdr:from>
    <xdr:to>
      <xdr:col>7</xdr:col>
      <xdr:colOff>168545</xdr:colOff>
      <xdr:row>847</xdr:row>
      <xdr:rowOff>23246</xdr:rowOff>
    </xdr:to>
    <xdr:sp macro="" textlink="">
      <xdr:nvSpPr>
        <xdr:cNvPr id="142" name="Rectángulo 141">
          <a:extLst>
            <a:ext uri="{FF2B5EF4-FFF2-40B4-BE49-F238E27FC236}">
              <a16:creationId xmlns:a16="http://schemas.microsoft.com/office/drawing/2014/main" id="{D716719A-E654-4D36-830B-94318766D4C1}"/>
            </a:ext>
          </a:extLst>
        </xdr:cNvPr>
        <xdr:cNvSpPr/>
      </xdr:nvSpPr>
      <xdr:spPr>
        <a:xfrm>
          <a:off x="3671807" y="244775386"/>
          <a:ext cx="1582119" cy="678051"/>
        </a:xfrm>
        <a:prstGeom prst="rect">
          <a:avLst/>
        </a:prstGeom>
        <a:noFill/>
        <a:ln w="571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3</xdr:col>
      <xdr:colOff>247893</xdr:colOff>
      <xdr:row>987</xdr:row>
      <xdr:rowOff>65275</xdr:rowOff>
    </xdr:from>
    <xdr:to>
      <xdr:col>8</xdr:col>
      <xdr:colOff>116208</xdr:colOff>
      <xdr:row>1003</xdr:row>
      <xdr:rowOff>153368</xdr:rowOff>
    </xdr:to>
    <xdr:pic>
      <xdr:nvPicPr>
        <xdr:cNvPr id="144" name="Imagen 143">
          <a:extLst>
            <a:ext uri="{FF2B5EF4-FFF2-40B4-BE49-F238E27FC236}">
              <a16:creationId xmlns:a16="http://schemas.microsoft.com/office/drawing/2014/main" id="{D690BF86-8FA1-404E-A553-15FCFACBA8F5}"/>
            </a:ext>
          </a:extLst>
        </xdr:cNvPr>
        <xdr:cNvPicPr>
          <a:picLocks noChangeAspect="1"/>
        </xdr:cNvPicPr>
      </xdr:nvPicPr>
      <xdr:blipFill>
        <a:blip xmlns:r="http://schemas.openxmlformats.org/officeDocument/2006/relationships" r:embed="rId11"/>
        <a:stretch>
          <a:fillRect/>
        </a:stretch>
      </xdr:blipFill>
      <xdr:spPr>
        <a:xfrm>
          <a:off x="2120605" y="286097796"/>
          <a:ext cx="3839756" cy="2671144"/>
        </a:xfrm>
        <a:prstGeom prst="rect">
          <a:avLst/>
        </a:prstGeom>
      </xdr:spPr>
    </xdr:pic>
    <xdr:clientData/>
  </xdr:twoCellAnchor>
  <xdr:twoCellAnchor editAs="oneCell">
    <xdr:from>
      <xdr:col>3</xdr:col>
      <xdr:colOff>645761</xdr:colOff>
      <xdr:row>1004</xdr:row>
      <xdr:rowOff>127903</xdr:rowOff>
    </xdr:from>
    <xdr:to>
      <xdr:col>8</xdr:col>
      <xdr:colOff>84962</xdr:colOff>
      <xdr:row>1022</xdr:row>
      <xdr:rowOff>153369</xdr:rowOff>
    </xdr:to>
    <xdr:pic>
      <xdr:nvPicPr>
        <xdr:cNvPr id="145" name="Imagen 144">
          <a:extLst>
            <a:ext uri="{FF2B5EF4-FFF2-40B4-BE49-F238E27FC236}">
              <a16:creationId xmlns:a16="http://schemas.microsoft.com/office/drawing/2014/main" id="{059B6B98-E968-4EA6-9B44-44ABBD03655C}"/>
            </a:ext>
          </a:extLst>
        </xdr:cNvPr>
        <xdr:cNvPicPr>
          <a:picLocks noChangeAspect="1"/>
        </xdr:cNvPicPr>
      </xdr:nvPicPr>
      <xdr:blipFill>
        <a:blip xmlns:r="http://schemas.openxmlformats.org/officeDocument/2006/relationships" r:embed="rId12"/>
        <a:stretch>
          <a:fillRect/>
        </a:stretch>
      </xdr:blipFill>
      <xdr:spPr>
        <a:xfrm>
          <a:off x="2518473" y="288904916"/>
          <a:ext cx="3410642" cy="2931398"/>
        </a:xfrm>
        <a:prstGeom prst="rect">
          <a:avLst/>
        </a:prstGeom>
      </xdr:spPr>
    </xdr:pic>
    <xdr:clientData/>
  </xdr:twoCellAnchor>
  <xdr:twoCellAnchor editAs="oneCell">
    <xdr:from>
      <xdr:col>3</xdr:col>
      <xdr:colOff>395529</xdr:colOff>
      <xdr:row>1054</xdr:row>
      <xdr:rowOff>153368</xdr:rowOff>
    </xdr:from>
    <xdr:to>
      <xdr:col>8</xdr:col>
      <xdr:colOff>263844</xdr:colOff>
      <xdr:row>1063</xdr:row>
      <xdr:rowOff>80021</xdr:rowOff>
    </xdr:to>
    <xdr:pic>
      <xdr:nvPicPr>
        <xdr:cNvPr id="146" name="Imagen 145">
          <a:extLst>
            <a:ext uri="{FF2B5EF4-FFF2-40B4-BE49-F238E27FC236}">
              <a16:creationId xmlns:a16="http://schemas.microsoft.com/office/drawing/2014/main" id="{9EB3DB67-3338-4367-A8AF-C82CB2D90D0C}"/>
            </a:ext>
          </a:extLst>
        </xdr:cNvPr>
        <xdr:cNvPicPr>
          <a:picLocks noChangeAspect="1"/>
        </xdr:cNvPicPr>
      </xdr:nvPicPr>
      <xdr:blipFill>
        <a:blip xmlns:r="http://schemas.openxmlformats.org/officeDocument/2006/relationships" r:embed="rId11"/>
        <a:stretch>
          <a:fillRect/>
        </a:stretch>
      </xdr:blipFill>
      <xdr:spPr>
        <a:xfrm>
          <a:off x="2268241" y="300150508"/>
          <a:ext cx="3839756" cy="2671144"/>
        </a:xfrm>
        <a:prstGeom prst="rect">
          <a:avLst/>
        </a:prstGeom>
      </xdr:spPr>
    </xdr:pic>
    <xdr:clientData/>
  </xdr:twoCellAnchor>
  <xdr:twoCellAnchor editAs="oneCell">
    <xdr:from>
      <xdr:col>4</xdr:col>
      <xdr:colOff>34626</xdr:colOff>
      <xdr:row>1063</xdr:row>
      <xdr:rowOff>215997</xdr:rowOff>
    </xdr:from>
    <xdr:to>
      <xdr:col>8</xdr:col>
      <xdr:colOff>232598</xdr:colOff>
      <xdr:row>1072</xdr:row>
      <xdr:rowOff>241462</xdr:rowOff>
    </xdr:to>
    <xdr:pic>
      <xdr:nvPicPr>
        <xdr:cNvPr id="147" name="Imagen 146">
          <a:extLst>
            <a:ext uri="{FF2B5EF4-FFF2-40B4-BE49-F238E27FC236}">
              <a16:creationId xmlns:a16="http://schemas.microsoft.com/office/drawing/2014/main" id="{4BF82C43-DAE3-4375-BED8-C4A82CA611CC}"/>
            </a:ext>
          </a:extLst>
        </xdr:cNvPr>
        <xdr:cNvPicPr>
          <a:picLocks noChangeAspect="1"/>
        </xdr:cNvPicPr>
      </xdr:nvPicPr>
      <xdr:blipFill>
        <a:blip xmlns:r="http://schemas.openxmlformats.org/officeDocument/2006/relationships" r:embed="rId12"/>
        <a:stretch>
          <a:fillRect/>
        </a:stretch>
      </xdr:blipFill>
      <xdr:spPr>
        <a:xfrm>
          <a:off x="2666109" y="302957628"/>
          <a:ext cx="3410642" cy="2931398"/>
        </a:xfrm>
        <a:prstGeom prst="rect">
          <a:avLst/>
        </a:prstGeom>
      </xdr:spPr>
    </xdr:pic>
    <xdr:clientData/>
  </xdr:twoCellAnchor>
  <xdr:twoCellAnchor editAs="oneCell">
    <xdr:from>
      <xdr:col>3</xdr:col>
      <xdr:colOff>64577</xdr:colOff>
      <xdr:row>1134</xdr:row>
      <xdr:rowOff>96864</xdr:rowOff>
    </xdr:from>
    <xdr:to>
      <xdr:col>8</xdr:col>
      <xdr:colOff>622857</xdr:colOff>
      <xdr:row>1154</xdr:row>
      <xdr:rowOff>154080</xdr:rowOff>
    </xdr:to>
    <xdr:pic>
      <xdr:nvPicPr>
        <xdr:cNvPr id="148" name="Imagen 147">
          <a:extLst>
            <a:ext uri="{FF2B5EF4-FFF2-40B4-BE49-F238E27FC236}">
              <a16:creationId xmlns:a16="http://schemas.microsoft.com/office/drawing/2014/main" id="{1CC5DD6E-F0FB-91E2-0BDA-2B4F1A12F470}"/>
            </a:ext>
          </a:extLst>
        </xdr:cNvPr>
        <xdr:cNvPicPr>
          <a:picLocks noChangeAspect="1"/>
        </xdr:cNvPicPr>
      </xdr:nvPicPr>
      <xdr:blipFill>
        <a:blip xmlns:r="http://schemas.openxmlformats.org/officeDocument/2006/relationships" r:embed="rId13"/>
        <a:stretch>
          <a:fillRect/>
        </a:stretch>
      </xdr:blipFill>
      <xdr:spPr>
        <a:xfrm>
          <a:off x="1937289" y="323204237"/>
          <a:ext cx="4529721" cy="3286029"/>
        </a:xfrm>
        <a:prstGeom prst="rect">
          <a:avLst/>
        </a:prstGeom>
      </xdr:spPr>
    </xdr:pic>
    <xdr:clientData/>
  </xdr:twoCellAnchor>
  <xdr:twoCellAnchor editAs="oneCell">
    <xdr:from>
      <xdr:col>3</xdr:col>
      <xdr:colOff>129152</xdr:colOff>
      <xdr:row>1203</xdr:row>
      <xdr:rowOff>306738</xdr:rowOff>
    </xdr:from>
    <xdr:to>
      <xdr:col>8</xdr:col>
      <xdr:colOff>689199</xdr:colOff>
      <xdr:row>1214</xdr:row>
      <xdr:rowOff>41168</xdr:rowOff>
    </xdr:to>
    <xdr:pic>
      <xdr:nvPicPr>
        <xdr:cNvPr id="149" name="Imagen 148">
          <a:extLst>
            <a:ext uri="{FF2B5EF4-FFF2-40B4-BE49-F238E27FC236}">
              <a16:creationId xmlns:a16="http://schemas.microsoft.com/office/drawing/2014/main" id="{28ECF899-23F6-4215-833C-3672316BD819}"/>
            </a:ext>
          </a:extLst>
        </xdr:cNvPr>
        <xdr:cNvPicPr>
          <a:picLocks noChangeAspect="1"/>
        </xdr:cNvPicPr>
      </xdr:nvPicPr>
      <xdr:blipFill>
        <a:blip xmlns:r="http://schemas.openxmlformats.org/officeDocument/2006/relationships" r:embed="rId14"/>
        <a:stretch>
          <a:fillRect/>
        </a:stretch>
      </xdr:blipFill>
      <xdr:spPr>
        <a:xfrm>
          <a:off x="2001864" y="337806547"/>
          <a:ext cx="4531488" cy="3286125"/>
        </a:xfrm>
        <a:prstGeom prst="rect">
          <a:avLst/>
        </a:prstGeom>
      </xdr:spPr>
    </xdr:pic>
    <xdr:clientData/>
  </xdr:twoCellAnchor>
  <xdr:twoCellAnchor editAs="oneCell">
    <xdr:from>
      <xdr:col>3</xdr:col>
      <xdr:colOff>24215</xdr:colOff>
      <xdr:row>1280</xdr:row>
      <xdr:rowOff>48433</xdr:rowOff>
    </xdr:from>
    <xdr:to>
      <xdr:col>8</xdr:col>
      <xdr:colOff>698329</xdr:colOff>
      <xdr:row>1307</xdr:row>
      <xdr:rowOff>66841</xdr:rowOff>
    </xdr:to>
    <xdr:pic>
      <xdr:nvPicPr>
        <xdr:cNvPr id="150" name="Imagen 149">
          <a:extLst>
            <a:ext uri="{FF2B5EF4-FFF2-40B4-BE49-F238E27FC236}">
              <a16:creationId xmlns:a16="http://schemas.microsoft.com/office/drawing/2014/main" id="{AB21F029-4716-CAE2-93C9-34F5FC320D89}"/>
            </a:ext>
          </a:extLst>
        </xdr:cNvPr>
        <xdr:cNvPicPr>
          <a:picLocks noChangeAspect="1"/>
        </xdr:cNvPicPr>
      </xdr:nvPicPr>
      <xdr:blipFill>
        <a:blip xmlns:r="http://schemas.openxmlformats.org/officeDocument/2006/relationships" r:embed="rId15"/>
        <a:stretch>
          <a:fillRect/>
        </a:stretch>
      </xdr:blipFill>
      <xdr:spPr>
        <a:xfrm>
          <a:off x="1896927" y="360174153"/>
          <a:ext cx="4645555" cy="4377307"/>
        </a:xfrm>
        <a:prstGeom prst="rect">
          <a:avLst/>
        </a:prstGeom>
      </xdr:spPr>
    </xdr:pic>
    <xdr:clientData/>
  </xdr:twoCellAnchor>
  <xdr:twoCellAnchor editAs="oneCell">
    <xdr:from>
      <xdr:col>3</xdr:col>
      <xdr:colOff>274449</xdr:colOff>
      <xdr:row>1362</xdr:row>
      <xdr:rowOff>24216</xdr:rowOff>
    </xdr:from>
    <xdr:to>
      <xdr:col>8</xdr:col>
      <xdr:colOff>388176</xdr:colOff>
      <xdr:row>1373</xdr:row>
      <xdr:rowOff>319813</xdr:rowOff>
    </xdr:to>
    <xdr:pic>
      <xdr:nvPicPr>
        <xdr:cNvPr id="151" name="Imagen 150">
          <a:extLst>
            <a:ext uri="{FF2B5EF4-FFF2-40B4-BE49-F238E27FC236}">
              <a16:creationId xmlns:a16="http://schemas.microsoft.com/office/drawing/2014/main" id="{B6E95B82-C773-4038-A91B-A1B51F29932F}"/>
            </a:ext>
          </a:extLst>
        </xdr:cNvPr>
        <xdr:cNvPicPr>
          <a:picLocks noChangeAspect="1"/>
        </xdr:cNvPicPr>
      </xdr:nvPicPr>
      <xdr:blipFill>
        <a:blip xmlns:r="http://schemas.openxmlformats.org/officeDocument/2006/relationships" r:embed="rId16"/>
        <a:stretch>
          <a:fillRect/>
        </a:stretch>
      </xdr:blipFill>
      <xdr:spPr>
        <a:xfrm>
          <a:off x="2147161" y="378255508"/>
          <a:ext cx="4085168" cy="3847292"/>
        </a:xfrm>
        <a:prstGeom prst="rect">
          <a:avLst/>
        </a:prstGeom>
      </xdr:spPr>
    </xdr:pic>
    <xdr:clientData/>
  </xdr:twoCellAnchor>
  <xdr:twoCellAnchor editAs="oneCell">
    <xdr:from>
      <xdr:col>4</xdr:col>
      <xdr:colOff>24216</xdr:colOff>
      <xdr:row>1430</xdr:row>
      <xdr:rowOff>137225</xdr:rowOff>
    </xdr:from>
    <xdr:to>
      <xdr:col>8</xdr:col>
      <xdr:colOff>264854</xdr:colOff>
      <xdr:row>1448</xdr:row>
      <xdr:rowOff>47922</xdr:rowOff>
    </xdr:to>
    <xdr:pic>
      <xdr:nvPicPr>
        <xdr:cNvPr id="152" name="Imagen 151">
          <a:extLst>
            <a:ext uri="{FF2B5EF4-FFF2-40B4-BE49-F238E27FC236}">
              <a16:creationId xmlns:a16="http://schemas.microsoft.com/office/drawing/2014/main" id="{E5572E25-78F0-4443-9518-F4710FB1D696}"/>
            </a:ext>
          </a:extLst>
        </xdr:cNvPr>
        <xdr:cNvPicPr>
          <a:picLocks noChangeAspect="1"/>
        </xdr:cNvPicPr>
      </xdr:nvPicPr>
      <xdr:blipFill>
        <a:blip xmlns:r="http://schemas.openxmlformats.org/officeDocument/2006/relationships" r:embed="rId17"/>
        <a:stretch>
          <a:fillRect/>
        </a:stretch>
      </xdr:blipFill>
      <xdr:spPr>
        <a:xfrm>
          <a:off x="2655699" y="397927056"/>
          <a:ext cx="3453308" cy="2816629"/>
        </a:xfrm>
        <a:prstGeom prst="rect">
          <a:avLst/>
        </a:prstGeom>
      </xdr:spPr>
    </xdr:pic>
    <xdr:clientData/>
  </xdr:twoCellAnchor>
  <xdr:twoCellAnchor editAs="oneCell">
    <xdr:from>
      <xdr:col>3</xdr:col>
      <xdr:colOff>653834</xdr:colOff>
      <xdr:row>1502</xdr:row>
      <xdr:rowOff>113008</xdr:rowOff>
    </xdr:from>
    <xdr:to>
      <xdr:col>8</xdr:col>
      <xdr:colOff>135701</xdr:colOff>
      <xdr:row>1511</xdr:row>
      <xdr:rowOff>23705</xdr:rowOff>
    </xdr:to>
    <xdr:pic>
      <xdr:nvPicPr>
        <xdr:cNvPr id="153" name="Imagen 152">
          <a:extLst>
            <a:ext uri="{FF2B5EF4-FFF2-40B4-BE49-F238E27FC236}">
              <a16:creationId xmlns:a16="http://schemas.microsoft.com/office/drawing/2014/main" id="{D357DA09-687D-4937-8B81-BE35CAA5E534}"/>
            </a:ext>
          </a:extLst>
        </xdr:cNvPr>
        <xdr:cNvPicPr>
          <a:picLocks noChangeAspect="1"/>
        </xdr:cNvPicPr>
      </xdr:nvPicPr>
      <xdr:blipFill>
        <a:blip xmlns:r="http://schemas.openxmlformats.org/officeDocument/2006/relationships" r:embed="rId17"/>
        <a:stretch>
          <a:fillRect/>
        </a:stretch>
      </xdr:blipFill>
      <xdr:spPr>
        <a:xfrm>
          <a:off x="2526546" y="412941038"/>
          <a:ext cx="3453308" cy="2816629"/>
        </a:xfrm>
        <a:prstGeom prst="rect">
          <a:avLst/>
        </a:prstGeom>
      </xdr:spPr>
    </xdr:pic>
    <xdr:clientData/>
  </xdr:twoCellAnchor>
  <xdr:twoCellAnchor editAs="oneCell">
    <xdr:from>
      <xdr:col>3</xdr:col>
      <xdr:colOff>539751</xdr:colOff>
      <xdr:row>176</xdr:row>
      <xdr:rowOff>269875</xdr:rowOff>
    </xdr:from>
    <xdr:to>
      <xdr:col>8</xdr:col>
      <xdr:colOff>38436</xdr:colOff>
      <xdr:row>188</xdr:row>
      <xdr:rowOff>79375</xdr:rowOff>
    </xdr:to>
    <xdr:pic>
      <xdr:nvPicPr>
        <xdr:cNvPr id="93" name="Imagen 92">
          <a:extLst>
            <a:ext uri="{FF2B5EF4-FFF2-40B4-BE49-F238E27FC236}">
              <a16:creationId xmlns:a16="http://schemas.microsoft.com/office/drawing/2014/main" id="{932C9E69-AB89-CDE0-56E3-50317D941C6A}"/>
            </a:ext>
          </a:extLst>
        </xdr:cNvPr>
        <xdr:cNvPicPr>
          <a:picLocks noChangeAspect="1"/>
        </xdr:cNvPicPr>
      </xdr:nvPicPr>
      <xdr:blipFill>
        <a:blip xmlns:r="http://schemas.openxmlformats.org/officeDocument/2006/relationships" r:embed="rId18"/>
        <a:stretch>
          <a:fillRect/>
        </a:stretch>
      </xdr:blipFill>
      <xdr:spPr>
        <a:xfrm>
          <a:off x="3175001" y="51593750"/>
          <a:ext cx="3483310" cy="3619500"/>
        </a:xfrm>
        <a:prstGeom prst="rect">
          <a:avLst/>
        </a:prstGeom>
      </xdr:spPr>
    </xdr:pic>
    <xdr:clientData/>
  </xdr:twoCellAnchor>
  <xdr:twoCellAnchor editAs="oneCell">
    <xdr:from>
      <xdr:col>3</xdr:col>
      <xdr:colOff>285751</xdr:colOff>
      <xdr:row>102</xdr:row>
      <xdr:rowOff>63500</xdr:rowOff>
    </xdr:from>
    <xdr:to>
      <xdr:col>8</xdr:col>
      <xdr:colOff>303877</xdr:colOff>
      <xdr:row>115</xdr:row>
      <xdr:rowOff>95250</xdr:rowOff>
    </xdr:to>
    <xdr:pic>
      <xdr:nvPicPr>
        <xdr:cNvPr id="94" name="Imagen 93">
          <a:extLst>
            <a:ext uri="{FF2B5EF4-FFF2-40B4-BE49-F238E27FC236}">
              <a16:creationId xmlns:a16="http://schemas.microsoft.com/office/drawing/2014/main" id="{99B039AF-D6C5-1FF7-1978-6AEE4D9BDE1E}"/>
            </a:ext>
          </a:extLst>
        </xdr:cNvPr>
        <xdr:cNvPicPr>
          <a:picLocks noChangeAspect="1"/>
        </xdr:cNvPicPr>
      </xdr:nvPicPr>
      <xdr:blipFill>
        <a:blip xmlns:r="http://schemas.openxmlformats.org/officeDocument/2006/relationships" r:embed="rId18"/>
        <a:stretch>
          <a:fillRect/>
        </a:stretch>
      </xdr:blipFill>
      <xdr:spPr>
        <a:xfrm>
          <a:off x="2921001" y="29527500"/>
          <a:ext cx="4002751" cy="4159250"/>
        </a:xfrm>
        <a:prstGeom prst="rect">
          <a:avLst/>
        </a:prstGeom>
      </xdr:spPr>
    </xdr:pic>
    <xdr:clientData/>
  </xdr:twoCellAnchor>
  <xdr:twoCellAnchor editAs="oneCell">
    <xdr:from>
      <xdr:col>4</xdr:col>
      <xdr:colOff>15875</xdr:colOff>
      <xdr:row>910</xdr:row>
      <xdr:rowOff>79376</xdr:rowOff>
    </xdr:from>
    <xdr:to>
      <xdr:col>8</xdr:col>
      <xdr:colOff>568521</xdr:colOff>
      <xdr:row>917</xdr:row>
      <xdr:rowOff>142876</xdr:rowOff>
    </xdr:to>
    <xdr:pic>
      <xdr:nvPicPr>
        <xdr:cNvPr id="95" name="Imagen 94">
          <a:extLst>
            <a:ext uri="{FF2B5EF4-FFF2-40B4-BE49-F238E27FC236}">
              <a16:creationId xmlns:a16="http://schemas.microsoft.com/office/drawing/2014/main" id="{80430D8F-1A21-2F5E-D03C-CCD776E7DABF}"/>
            </a:ext>
          </a:extLst>
        </xdr:cNvPr>
        <xdr:cNvPicPr>
          <a:picLocks noChangeAspect="1"/>
        </xdr:cNvPicPr>
      </xdr:nvPicPr>
      <xdr:blipFill>
        <a:blip xmlns:r="http://schemas.openxmlformats.org/officeDocument/2006/relationships" r:embed="rId19"/>
        <a:stretch>
          <a:fillRect/>
        </a:stretch>
      </xdr:blipFill>
      <xdr:spPr>
        <a:xfrm>
          <a:off x="3413125" y="260794501"/>
          <a:ext cx="3775271" cy="2286000"/>
        </a:xfrm>
        <a:prstGeom prst="rect">
          <a:avLst/>
        </a:prstGeom>
      </xdr:spPr>
    </xdr:pic>
    <xdr:clientData/>
  </xdr:twoCellAnchor>
  <xdr:twoCellAnchor editAs="oneCell">
    <xdr:from>
      <xdr:col>3</xdr:col>
      <xdr:colOff>174625</xdr:colOff>
      <xdr:row>921</xdr:row>
      <xdr:rowOff>254000</xdr:rowOff>
    </xdr:from>
    <xdr:to>
      <xdr:col>8</xdr:col>
      <xdr:colOff>428625</xdr:colOff>
      <xdr:row>927</xdr:row>
      <xdr:rowOff>78473</xdr:rowOff>
    </xdr:to>
    <xdr:pic>
      <xdr:nvPicPr>
        <xdr:cNvPr id="96" name="Imagen 95">
          <a:extLst>
            <a:ext uri="{FF2B5EF4-FFF2-40B4-BE49-F238E27FC236}">
              <a16:creationId xmlns:a16="http://schemas.microsoft.com/office/drawing/2014/main" id="{E4B5E00A-68E4-600F-9DAB-C43B2D2CC8C0}"/>
            </a:ext>
          </a:extLst>
        </xdr:cNvPr>
        <xdr:cNvPicPr>
          <a:picLocks noChangeAspect="1"/>
        </xdr:cNvPicPr>
      </xdr:nvPicPr>
      <xdr:blipFill>
        <a:blip xmlns:r="http://schemas.openxmlformats.org/officeDocument/2006/relationships" r:embed="rId20"/>
        <a:stretch>
          <a:fillRect/>
        </a:stretch>
      </xdr:blipFill>
      <xdr:spPr>
        <a:xfrm>
          <a:off x="2809875" y="264461625"/>
          <a:ext cx="4238625" cy="1729473"/>
        </a:xfrm>
        <a:prstGeom prst="rect">
          <a:avLst/>
        </a:prstGeom>
      </xdr:spPr>
    </xdr:pic>
    <xdr:clientData/>
  </xdr:twoCellAnchor>
  <xdr:twoCellAnchor editAs="oneCell">
    <xdr:from>
      <xdr:col>3</xdr:col>
      <xdr:colOff>95250</xdr:colOff>
      <xdr:row>927</xdr:row>
      <xdr:rowOff>254000</xdr:rowOff>
    </xdr:from>
    <xdr:to>
      <xdr:col>8</xdr:col>
      <xdr:colOff>412750</xdr:colOff>
      <xdr:row>944</xdr:row>
      <xdr:rowOff>258235</xdr:rowOff>
    </xdr:to>
    <xdr:pic>
      <xdr:nvPicPr>
        <xdr:cNvPr id="97" name="Imagen 96">
          <a:extLst>
            <a:ext uri="{FF2B5EF4-FFF2-40B4-BE49-F238E27FC236}">
              <a16:creationId xmlns:a16="http://schemas.microsoft.com/office/drawing/2014/main" id="{2FA096D4-C2D4-578F-7C48-9C298EF2E2CC}"/>
            </a:ext>
          </a:extLst>
        </xdr:cNvPr>
        <xdr:cNvPicPr>
          <a:picLocks noChangeAspect="1"/>
        </xdr:cNvPicPr>
      </xdr:nvPicPr>
      <xdr:blipFill>
        <a:blip xmlns:r="http://schemas.openxmlformats.org/officeDocument/2006/relationships" r:embed="rId21"/>
        <a:stretch>
          <a:fillRect/>
        </a:stretch>
      </xdr:blipFill>
      <xdr:spPr>
        <a:xfrm>
          <a:off x="2730500" y="266366625"/>
          <a:ext cx="4302125" cy="540173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39370</xdr:colOff>
      <xdr:row>72</xdr:row>
      <xdr:rowOff>53975</xdr:rowOff>
    </xdr:from>
    <xdr:to>
      <xdr:col>15</xdr:col>
      <xdr:colOff>653176</xdr:colOff>
      <xdr:row>73</xdr:row>
      <xdr:rowOff>1348618</xdr:rowOff>
    </xdr:to>
    <xdr:pic>
      <xdr:nvPicPr>
        <xdr:cNvPr id="2" name="Imagen 1">
          <a:extLst>
            <a:ext uri="{FF2B5EF4-FFF2-40B4-BE49-F238E27FC236}">
              <a16:creationId xmlns:a16="http://schemas.microsoft.com/office/drawing/2014/main" id="{C2144EF2-2F28-40E0-8F2A-57893550EFDA}"/>
            </a:ext>
          </a:extLst>
        </xdr:cNvPr>
        <xdr:cNvPicPr>
          <a:picLocks noChangeAspect="1"/>
        </xdr:cNvPicPr>
      </xdr:nvPicPr>
      <xdr:blipFill>
        <a:blip xmlns:r="http://schemas.openxmlformats.org/officeDocument/2006/relationships" r:embed="rId1"/>
        <a:stretch>
          <a:fillRect/>
        </a:stretch>
      </xdr:blipFill>
      <xdr:spPr>
        <a:xfrm>
          <a:off x="4039870" y="12798425"/>
          <a:ext cx="8702647" cy="1485142"/>
        </a:xfrm>
        <a:prstGeom prst="rect">
          <a:avLst/>
        </a:prstGeom>
      </xdr:spPr>
    </xdr:pic>
    <xdr:clientData/>
  </xdr:twoCellAnchor>
  <xdr:twoCellAnchor editAs="oneCell">
    <xdr:from>
      <xdr:col>3</xdr:col>
      <xdr:colOff>311150</xdr:colOff>
      <xdr:row>2</xdr:row>
      <xdr:rowOff>127000</xdr:rowOff>
    </xdr:from>
    <xdr:to>
      <xdr:col>18</xdr:col>
      <xdr:colOff>246713</xdr:colOff>
      <xdr:row>3</xdr:row>
      <xdr:rowOff>1476374</xdr:rowOff>
    </xdr:to>
    <xdr:pic>
      <xdr:nvPicPr>
        <xdr:cNvPr id="3" name="Imagen 2">
          <a:extLst>
            <a:ext uri="{FF2B5EF4-FFF2-40B4-BE49-F238E27FC236}">
              <a16:creationId xmlns:a16="http://schemas.microsoft.com/office/drawing/2014/main" id="{8F0ECBC7-E9D7-48AA-8717-3C92966AB633}"/>
            </a:ext>
          </a:extLst>
        </xdr:cNvPr>
        <xdr:cNvPicPr>
          <a:picLocks noChangeAspect="1"/>
        </xdr:cNvPicPr>
      </xdr:nvPicPr>
      <xdr:blipFill>
        <a:blip xmlns:r="http://schemas.openxmlformats.org/officeDocument/2006/relationships" r:embed="rId2"/>
        <a:stretch>
          <a:fillRect/>
        </a:stretch>
      </xdr:blipFill>
      <xdr:spPr>
        <a:xfrm>
          <a:off x="1854200" y="460375"/>
          <a:ext cx="13072654" cy="1511299"/>
        </a:xfrm>
        <a:prstGeom prst="rect">
          <a:avLst/>
        </a:prstGeom>
      </xdr:spPr>
    </xdr:pic>
    <xdr:clientData/>
  </xdr:twoCellAnchor>
  <xdr:twoCellAnchor editAs="oneCell">
    <xdr:from>
      <xdr:col>6</xdr:col>
      <xdr:colOff>198756</xdr:colOff>
      <xdr:row>66</xdr:row>
      <xdr:rowOff>166687</xdr:rowOff>
    </xdr:from>
    <xdr:to>
      <xdr:col>8</xdr:col>
      <xdr:colOff>534252</xdr:colOff>
      <xdr:row>70</xdr:row>
      <xdr:rowOff>66889</xdr:rowOff>
    </xdr:to>
    <xdr:pic>
      <xdr:nvPicPr>
        <xdr:cNvPr id="4" name="Imagen 3">
          <a:extLst>
            <a:ext uri="{FF2B5EF4-FFF2-40B4-BE49-F238E27FC236}">
              <a16:creationId xmlns:a16="http://schemas.microsoft.com/office/drawing/2014/main" id="{CB770D59-2F04-4879-B049-9FBEB26630D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313556" y="19995620"/>
          <a:ext cx="1910296" cy="501335"/>
        </a:xfrm>
        <a:prstGeom prst="rect">
          <a:avLst/>
        </a:prstGeom>
        <a:noFill/>
      </xdr:spPr>
    </xdr:pic>
    <xdr:clientData/>
  </xdr:twoCellAnchor>
  <xdr:oneCellAnchor>
    <xdr:from>
      <xdr:col>6</xdr:col>
      <xdr:colOff>39370</xdr:colOff>
      <xdr:row>146</xdr:row>
      <xdr:rowOff>53975</xdr:rowOff>
    </xdr:from>
    <xdr:ext cx="8702647" cy="1489905"/>
    <xdr:pic>
      <xdr:nvPicPr>
        <xdr:cNvPr id="32" name="Imagen 31">
          <a:extLst>
            <a:ext uri="{FF2B5EF4-FFF2-40B4-BE49-F238E27FC236}">
              <a16:creationId xmlns:a16="http://schemas.microsoft.com/office/drawing/2014/main" id="{22A8A4C7-FDBA-4ED1-A58B-714EF77E5FA1}"/>
            </a:ext>
          </a:extLst>
        </xdr:cNvPr>
        <xdr:cNvPicPr>
          <a:picLocks noChangeAspect="1"/>
        </xdr:cNvPicPr>
      </xdr:nvPicPr>
      <xdr:blipFill>
        <a:blip xmlns:r="http://schemas.openxmlformats.org/officeDocument/2006/relationships" r:embed="rId1"/>
        <a:stretch>
          <a:fillRect/>
        </a:stretch>
      </xdr:blipFill>
      <xdr:spPr>
        <a:xfrm>
          <a:off x="4027964" y="20377944"/>
          <a:ext cx="8702647" cy="1489905"/>
        </a:xfrm>
        <a:prstGeom prst="rect">
          <a:avLst/>
        </a:prstGeom>
      </xdr:spPr>
    </xdr:pic>
    <xdr:clientData/>
  </xdr:oneCellAnchor>
  <xdr:oneCellAnchor>
    <xdr:from>
      <xdr:col>3</xdr:col>
      <xdr:colOff>311150</xdr:colOff>
      <xdr:row>76</xdr:row>
      <xdr:rowOff>127000</xdr:rowOff>
    </xdr:from>
    <xdr:ext cx="13067892" cy="1516062"/>
    <xdr:pic>
      <xdr:nvPicPr>
        <xdr:cNvPr id="33" name="Imagen 32">
          <a:extLst>
            <a:ext uri="{FF2B5EF4-FFF2-40B4-BE49-F238E27FC236}">
              <a16:creationId xmlns:a16="http://schemas.microsoft.com/office/drawing/2014/main" id="{5C7A93BF-2334-4B2E-8CAE-5097175DBEF6}"/>
            </a:ext>
          </a:extLst>
        </xdr:cNvPr>
        <xdr:cNvPicPr>
          <a:picLocks noChangeAspect="1"/>
        </xdr:cNvPicPr>
      </xdr:nvPicPr>
      <xdr:blipFill>
        <a:blip xmlns:r="http://schemas.openxmlformats.org/officeDocument/2006/relationships" r:embed="rId2"/>
        <a:stretch>
          <a:fillRect/>
        </a:stretch>
      </xdr:blipFill>
      <xdr:spPr>
        <a:xfrm>
          <a:off x="1847056" y="460375"/>
          <a:ext cx="13067892" cy="1516062"/>
        </a:xfrm>
        <a:prstGeom prst="rect">
          <a:avLst/>
        </a:prstGeom>
      </xdr:spPr>
    </xdr:pic>
    <xdr:clientData/>
  </xdr:oneCellAnchor>
  <xdr:oneCellAnchor>
    <xdr:from>
      <xdr:col>6</xdr:col>
      <xdr:colOff>274955</xdr:colOff>
      <xdr:row>141</xdr:row>
      <xdr:rowOff>39687</xdr:rowOff>
    </xdr:from>
    <xdr:ext cx="1831451" cy="493397"/>
    <xdr:pic>
      <xdr:nvPicPr>
        <xdr:cNvPr id="34" name="Imagen 33">
          <a:extLst>
            <a:ext uri="{FF2B5EF4-FFF2-40B4-BE49-F238E27FC236}">
              <a16:creationId xmlns:a16="http://schemas.microsoft.com/office/drawing/2014/main" id="{F82FB9E1-6A3F-430A-BDD8-A5759D090A02}"/>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389755" y="42813287"/>
          <a:ext cx="1831451" cy="493397"/>
        </a:xfrm>
        <a:prstGeom prst="rect">
          <a:avLst/>
        </a:prstGeom>
        <a:noFill/>
      </xdr:spPr>
    </xdr:pic>
    <xdr:clientData/>
  </xdr:oneCellAnchor>
  <xdr:oneCellAnchor>
    <xdr:from>
      <xdr:col>6</xdr:col>
      <xdr:colOff>39370</xdr:colOff>
      <xdr:row>220</xdr:row>
      <xdr:rowOff>53975</xdr:rowOff>
    </xdr:from>
    <xdr:ext cx="8702647" cy="1489905"/>
    <xdr:pic>
      <xdr:nvPicPr>
        <xdr:cNvPr id="5" name="Imagen 4">
          <a:extLst>
            <a:ext uri="{FF2B5EF4-FFF2-40B4-BE49-F238E27FC236}">
              <a16:creationId xmlns:a16="http://schemas.microsoft.com/office/drawing/2014/main" id="{852FE4B9-0710-4058-BE4A-96D1C2201828}"/>
            </a:ext>
          </a:extLst>
        </xdr:cNvPr>
        <xdr:cNvPicPr>
          <a:picLocks noChangeAspect="1"/>
        </xdr:cNvPicPr>
      </xdr:nvPicPr>
      <xdr:blipFill>
        <a:blip xmlns:r="http://schemas.openxmlformats.org/officeDocument/2006/relationships" r:embed="rId1"/>
        <a:stretch>
          <a:fillRect/>
        </a:stretch>
      </xdr:blipFill>
      <xdr:spPr>
        <a:xfrm>
          <a:off x="4027964" y="42642631"/>
          <a:ext cx="8702647" cy="1489905"/>
        </a:xfrm>
        <a:prstGeom prst="rect">
          <a:avLst/>
        </a:prstGeom>
      </xdr:spPr>
    </xdr:pic>
    <xdr:clientData/>
  </xdr:oneCellAnchor>
  <xdr:oneCellAnchor>
    <xdr:from>
      <xdr:col>3</xdr:col>
      <xdr:colOff>311150</xdr:colOff>
      <xdr:row>150</xdr:row>
      <xdr:rowOff>127000</xdr:rowOff>
    </xdr:from>
    <xdr:ext cx="13067892" cy="1516062"/>
    <xdr:pic>
      <xdr:nvPicPr>
        <xdr:cNvPr id="6" name="Imagen 5">
          <a:extLst>
            <a:ext uri="{FF2B5EF4-FFF2-40B4-BE49-F238E27FC236}">
              <a16:creationId xmlns:a16="http://schemas.microsoft.com/office/drawing/2014/main" id="{05E28478-AFA4-477D-B09E-02D351B50C55}"/>
            </a:ext>
          </a:extLst>
        </xdr:cNvPr>
        <xdr:cNvPicPr>
          <a:picLocks noChangeAspect="1"/>
        </xdr:cNvPicPr>
      </xdr:nvPicPr>
      <xdr:blipFill>
        <a:blip xmlns:r="http://schemas.openxmlformats.org/officeDocument/2006/relationships" r:embed="rId2"/>
        <a:stretch>
          <a:fillRect/>
        </a:stretch>
      </xdr:blipFill>
      <xdr:spPr>
        <a:xfrm>
          <a:off x="1847056" y="22522656"/>
          <a:ext cx="13067892" cy="1516062"/>
        </a:xfrm>
        <a:prstGeom prst="rect">
          <a:avLst/>
        </a:prstGeom>
      </xdr:spPr>
    </xdr:pic>
    <xdr:clientData/>
  </xdr:oneCellAnchor>
  <xdr:oneCellAnchor>
    <xdr:from>
      <xdr:col>5</xdr:col>
      <xdr:colOff>681355</xdr:colOff>
      <xdr:row>214</xdr:row>
      <xdr:rowOff>115887</xdr:rowOff>
    </xdr:from>
    <xdr:ext cx="1831451" cy="493397"/>
    <xdr:pic>
      <xdr:nvPicPr>
        <xdr:cNvPr id="7" name="Imagen 6">
          <a:extLst>
            <a:ext uri="{FF2B5EF4-FFF2-40B4-BE49-F238E27FC236}">
              <a16:creationId xmlns:a16="http://schemas.microsoft.com/office/drawing/2014/main" id="{AC4679CE-E398-46D7-AC4B-69C5C4A01877}"/>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1261" y="41704418"/>
          <a:ext cx="1831451" cy="493397"/>
        </a:xfrm>
        <a:prstGeom prst="rect">
          <a:avLst/>
        </a:prstGeom>
        <a:noFill/>
      </xdr:spPr>
    </xdr:pic>
    <xdr:clientData/>
  </xdr:oneCellAnchor>
  <xdr:oneCellAnchor>
    <xdr:from>
      <xdr:col>6</xdr:col>
      <xdr:colOff>39370</xdr:colOff>
      <xdr:row>294</xdr:row>
      <xdr:rowOff>53975</xdr:rowOff>
    </xdr:from>
    <xdr:ext cx="8702647" cy="1489905"/>
    <xdr:pic>
      <xdr:nvPicPr>
        <xdr:cNvPr id="8" name="Imagen 7">
          <a:extLst>
            <a:ext uri="{FF2B5EF4-FFF2-40B4-BE49-F238E27FC236}">
              <a16:creationId xmlns:a16="http://schemas.microsoft.com/office/drawing/2014/main" id="{4DE33AE2-855F-46EC-80AC-00529894A940}"/>
            </a:ext>
          </a:extLst>
        </xdr:cNvPr>
        <xdr:cNvPicPr>
          <a:picLocks noChangeAspect="1"/>
        </xdr:cNvPicPr>
      </xdr:nvPicPr>
      <xdr:blipFill>
        <a:blip xmlns:r="http://schemas.openxmlformats.org/officeDocument/2006/relationships" r:embed="rId1"/>
        <a:stretch>
          <a:fillRect/>
        </a:stretch>
      </xdr:blipFill>
      <xdr:spPr>
        <a:xfrm>
          <a:off x="4027964" y="20377944"/>
          <a:ext cx="8702647" cy="1489905"/>
        </a:xfrm>
        <a:prstGeom prst="rect">
          <a:avLst/>
        </a:prstGeom>
      </xdr:spPr>
    </xdr:pic>
    <xdr:clientData/>
  </xdr:oneCellAnchor>
  <xdr:oneCellAnchor>
    <xdr:from>
      <xdr:col>3</xdr:col>
      <xdr:colOff>311150</xdr:colOff>
      <xdr:row>224</xdr:row>
      <xdr:rowOff>58964</xdr:rowOff>
    </xdr:from>
    <xdr:ext cx="13067892" cy="1516062"/>
    <xdr:pic>
      <xdr:nvPicPr>
        <xdr:cNvPr id="9" name="Imagen 8">
          <a:extLst>
            <a:ext uri="{FF2B5EF4-FFF2-40B4-BE49-F238E27FC236}">
              <a16:creationId xmlns:a16="http://schemas.microsoft.com/office/drawing/2014/main" id="{420C418C-BF37-404C-9FE7-DD9101B19C90}"/>
            </a:ext>
          </a:extLst>
        </xdr:cNvPr>
        <xdr:cNvPicPr>
          <a:picLocks noChangeAspect="1"/>
        </xdr:cNvPicPr>
      </xdr:nvPicPr>
      <xdr:blipFill>
        <a:blip xmlns:r="http://schemas.openxmlformats.org/officeDocument/2006/relationships" r:embed="rId2"/>
        <a:stretch>
          <a:fillRect/>
        </a:stretch>
      </xdr:blipFill>
      <xdr:spPr>
        <a:xfrm>
          <a:off x="1862364" y="46078321"/>
          <a:ext cx="13067892" cy="1516062"/>
        </a:xfrm>
        <a:prstGeom prst="rect">
          <a:avLst/>
        </a:prstGeom>
      </xdr:spPr>
    </xdr:pic>
    <xdr:clientData/>
  </xdr:oneCellAnchor>
  <xdr:oneCellAnchor>
    <xdr:from>
      <xdr:col>5</xdr:col>
      <xdr:colOff>681355</xdr:colOff>
      <xdr:row>288</xdr:row>
      <xdr:rowOff>115887</xdr:rowOff>
    </xdr:from>
    <xdr:ext cx="1831451" cy="493397"/>
    <xdr:pic>
      <xdr:nvPicPr>
        <xdr:cNvPr id="10" name="Imagen 9">
          <a:extLst>
            <a:ext uri="{FF2B5EF4-FFF2-40B4-BE49-F238E27FC236}">
              <a16:creationId xmlns:a16="http://schemas.microsoft.com/office/drawing/2014/main" id="{B03FB898-23F3-44FA-A056-D8766D769E56}"/>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1261" y="19439731"/>
          <a:ext cx="1831451" cy="493397"/>
        </a:xfrm>
        <a:prstGeom prst="rect">
          <a:avLst/>
        </a:prstGeom>
        <a:noFill/>
      </xdr:spPr>
    </xdr:pic>
    <xdr:clientData/>
  </xdr:oneCellAnchor>
  <xdr:oneCellAnchor>
    <xdr:from>
      <xdr:col>6</xdr:col>
      <xdr:colOff>39370</xdr:colOff>
      <xdr:row>369</xdr:row>
      <xdr:rowOff>53975</xdr:rowOff>
    </xdr:from>
    <xdr:ext cx="8702647" cy="1489905"/>
    <xdr:pic>
      <xdr:nvPicPr>
        <xdr:cNvPr id="11" name="Imagen 10">
          <a:extLst>
            <a:ext uri="{FF2B5EF4-FFF2-40B4-BE49-F238E27FC236}">
              <a16:creationId xmlns:a16="http://schemas.microsoft.com/office/drawing/2014/main" id="{A9D88AF5-DB5B-4C36-B7C3-5490B3BBF41E}"/>
            </a:ext>
          </a:extLst>
        </xdr:cNvPr>
        <xdr:cNvPicPr>
          <a:picLocks noChangeAspect="1"/>
        </xdr:cNvPicPr>
      </xdr:nvPicPr>
      <xdr:blipFill>
        <a:blip xmlns:r="http://schemas.openxmlformats.org/officeDocument/2006/relationships" r:embed="rId1"/>
        <a:stretch>
          <a:fillRect/>
        </a:stretch>
      </xdr:blipFill>
      <xdr:spPr>
        <a:xfrm>
          <a:off x="4027964" y="42642631"/>
          <a:ext cx="8702647" cy="1489905"/>
        </a:xfrm>
        <a:prstGeom prst="rect">
          <a:avLst/>
        </a:prstGeom>
      </xdr:spPr>
    </xdr:pic>
    <xdr:clientData/>
  </xdr:oneCellAnchor>
  <xdr:oneCellAnchor>
    <xdr:from>
      <xdr:col>3</xdr:col>
      <xdr:colOff>311150</xdr:colOff>
      <xdr:row>299</xdr:row>
      <xdr:rowOff>127000</xdr:rowOff>
    </xdr:from>
    <xdr:ext cx="13067892" cy="1516062"/>
    <xdr:pic>
      <xdr:nvPicPr>
        <xdr:cNvPr id="12" name="Imagen 11">
          <a:extLst>
            <a:ext uri="{FF2B5EF4-FFF2-40B4-BE49-F238E27FC236}">
              <a16:creationId xmlns:a16="http://schemas.microsoft.com/office/drawing/2014/main" id="{D55B7580-B8D5-42D9-92BF-48D73F1F0470}"/>
            </a:ext>
          </a:extLst>
        </xdr:cNvPr>
        <xdr:cNvPicPr>
          <a:picLocks noChangeAspect="1"/>
        </xdr:cNvPicPr>
      </xdr:nvPicPr>
      <xdr:blipFill>
        <a:blip xmlns:r="http://schemas.openxmlformats.org/officeDocument/2006/relationships" r:embed="rId2"/>
        <a:stretch>
          <a:fillRect/>
        </a:stretch>
      </xdr:blipFill>
      <xdr:spPr>
        <a:xfrm>
          <a:off x="1847056" y="22522656"/>
          <a:ext cx="13067892" cy="1516062"/>
        </a:xfrm>
        <a:prstGeom prst="rect">
          <a:avLst/>
        </a:prstGeom>
      </xdr:spPr>
    </xdr:pic>
    <xdr:clientData/>
  </xdr:oneCellAnchor>
  <xdr:oneCellAnchor>
    <xdr:from>
      <xdr:col>5</xdr:col>
      <xdr:colOff>836137</xdr:colOff>
      <xdr:row>364</xdr:row>
      <xdr:rowOff>20638</xdr:rowOff>
    </xdr:from>
    <xdr:ext cx="1831451" cy="493397"/>
    <xdr:pic>
      <xdr:nvPicPr>
        <xdr:cNvPr id="13" name="Imagen 12">
          <a:extLst>
            <a:ext uri="{FF2B5EF4-FFF2-40B4-BE49-F238E27FC236}">
              <a16:creationId xmlns:a16="http://schemas.microsoft.com/office/drawing/2014/main" id="{02CDD54C-A565-4633-BB37-09DBF1B0AB3D}"/>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896043" y="108272263"/>
          <a:ext cx="1831451" cy="493397"/>
        </a:xfrm>
        <a:prstGeom prst="rect">
          <a:avLst/>
        </a:prstGeom>
        <a:noFill/>
      </xdr:spPr>
    </xdr:pic>
    <xdr:clientData/>
  </xdr:oneCellAnchor>
  <xdr:oneCellAnchor>
    <xdr:from>
      <xdr:col>6</xdr:col>
      <xdr:colOff>39370</xdr:colOff>
      <xdr:row>443</xdr:row>
      <xdr:rowOff>53975</xdr:rowOff>
    </xdr:from>
    <xdr:ext cx="8702647" cy="1489905"/>
    <xdr:pic>
      <xdr:nvPicPr>
        <xdr:cNvPr id="14" name="Imagen 13">
          <a:extLst>
            <a:ext uri="{FF2B5EF4-FFF2-40B4-BE49-F238E27FC236}">
              <a16:creationId xmlns:a16="http://schemas.microsoft.com/office/drawing/2014/main" id="{13222871-FF9A-4926-AD31-26171695F6C2}"/>
            </a:ext>
          </a:extLst>
        </xdr:cNvPr>
        <xdr:cNvPicPr>
          <a:picLocks noChangeAspect="1"/>
        </xdr:cNvPicPr>
      </xdr:nvPicPr>
      <xdr:blipFill>
        <a:blip xmlns:r="http://schemas.openxmlformats.org/officeDocument/2006/relationships" r:embed="rId1"/>
        <a:stretch>
          <a:fillRect/>
        </a:stretch>
      </xdr:blipFill>
      <xdr:spPr>
        <a:xfrm>
          <a:off x="4027964" y="64859694"/>
          <a:ext cx="8702647" cy="1489905"/>
        </a:xfrm>
        <a:prstGeom prst="rect">
          <a:avLst/>
        </a:prstGeom>
      </xdr:spPr>
    </xdr:pic>
    <xdr:clientData/>
  </xdr:oneCellAnchor>
  <xdr:oneCellAnchor>
    <xdr:from>
      <xdr:col>3</xdr:col>
      <xdr:colOff>311150</xdr:colOff>
      <xdr:row>373</xdr:row>
      <xdr:rowOff>127000</xdr:rowOff>
    </xdr:from>
    <xdr:ext cx="13067892" cy="1516062"/>
    <xdr:pic>
      <xdr:nvPicPr>
        <xdr:cNvPr id="15" name="Imagen 14">
          <a:extLst>
            <a:ext uri="{FF2B5EF4-FFF2-40B4-BE49-F238E27FC236}">
              <a16:creationId xmlns:a16="http://schemas.microsoft.com/office/drawing/2014/main" id="{6AF74C32-9877-49B3-89CA-084011962CCA}"/>
            </a:ext>
          </a:extLst>
        </xdr:cNvPr>
        <xdr:cNvPicPr>
          <a:picLocks noChangeAspect="1"/>
        </xdr:cNvPicPr>
      </xdr:nvPicPr>
      <xdr:blipFill>
        <a:blip xmlns:r="http://schemas.openxmlformats.org/officeDocument/2006/relationships" r:embed="rId2"/>
        <a:stretch>
          <a:fillRect/>
        </a:stretch>
      </xdr:blipFill>
      <xdr:spPr>
        <a:xfrm>
          <a:off x="1847056" y="44739719"/>
          <a:ext cx="13067892" cy="1516062"/>
        </a:xfrm>
        <a:prstGeom prst="rect">
          <a:avLst/>
        </a:prstGeom>
      </xdr:spPr>
    </xdr:pic>
    <xdr:clientData/>
  </xdr:oneCellAnchor>
  <xdr:oneCellAnchor>
    <xdr:from>
      <xdr:col>5</xdr:col>
      <xdr:colOff>681355</xdr:colOff>
      <xdr:row>437</xdr:row>
      <xdr:rowOff>115887</xdr:rowOff>
    </xdr:from>
    <xdr:ext cx="1831451" cy="493397"/>
    <xdr:pic>
      <xdr:nvPicPr>
        <xdr:cNvPr id="16" name="Imagen 15">
          <a:extLst>
            <a:ext uri="{FF2B5EF4-FFF2-40B4-BE49-F238E27FC236}">
              <a16:creationId xmlns:a16="http://schemas.microsoft.com/office/drawing/2014/main" id="{64893220-C2B9-4C68-A01A-6EFCC5F1091C}"/>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41261" y="63921481"/>
          <a:ext cx="1831451" cy="493397"/>
        </a:xfrm>
        <a:prstGeom prst="rect">
          <a:avLst/>
        </a:prstGeom>
        <a:noFill/>
      </xdr:spPr>
    </xdr:pic>
    <xdr:clientData/>
  </xdr:oneCellAnchor>
  <xdr:oneCellAnchor>
    <xdr:from>
      <xdr:col>6</xdr:col>
      <xdr:colOff>39370</xdr:colOff>
      <xdr:row>517</xdr:row>
      <xdr:rowOff>53975</xdr:rowOff>
    </xdr:from>
    <xdr:ext cx="8702647" cy="1489905"/>
    <xdr:pic>
      <xdr:nvPicPr>
        <xdr:cNvPr id="17" name="Imagen 16">
          <a:extLst>
            <a:ext uri="{FF2B5EF4-FFF2-40B4-BE49-F238E27FC236}">
              <a16:creationId xmlns:a16="http://schemas.microsoft.com/office/drawing/2014/main" id="{3970FAA2-D098-4E33-907C-C221B4199346}"/>
            </a:ext>
          </a:extLst>
        </xdr:cNvPr>
        <xdr:cNvPicPr>
          <a:picLocks noChangeAspect="1"/>
        </xdr:cNvPicPr>
      </xdr:nvPicPr>
      <xdr:blipFill>
        <a:blip xmlns:r="http://schemas.openxmlformats.org/officeDocument/2006/relationships" r:embed="rId1"/>
        <a:stretch>
          <a:fillRect/>
        </a:stretch>
      </xdr:blipFill>
      <xdr:spPr>
        <a:xfrm>
          <a:off x="4027964" y="131356100"/>
          <a:ext cx="8702647" cy="1489905"/>
        </a:xfrm>
        <a:prstGeom prst="rect">
          <a:avLst/>
        </a:prstGeom>
      </xdr:spPr>
    </xdr:pic>
    <xdr:clientData/>
  </xdr:oneCellAnchor>
  <xdr:oneCellAnchor>
    <xdr:from>
      <xdr:col>3</xdr:col>
      <xdr:colOff>770304</xdr:colOff>
      <xdr:row>447</xdr:row>
      <xdr:rowOff>29307</xdr:rowOff>
    </xdr:from>
    <xdr:ext cx="13067892" cy="1516062"/>
    <xdr:pic>
      <xdr:nvPicPr>
        <xdr:cNvPr id="18" name="Imagen 17">
          <a:extLst>
            <a:ext uri="{FF2B5EF4-FFF2-40B4-BE49-F238E27FC236}">
              <a16:creationId xmlns:a16="http://schemas.microsoft.com/office/drawing/2014/main" id="{D0F55F3C-2A28-4F58-89D8-C2111F99F47D}"/>
            </a:ext>
          </a:extLst>
        </xdr:cNvPr>
        <xdr:cNvPicPr>
          <a:picLocks noChangeAspect="1"/>
        </xdr:cNvPicPr>
      </xdr:nvPicPr>
      <xdr:blipFill>
        <a:blip xmlns:r="http://schemas.openxmlformats.org/officeDocument/2006/relationships" r:embed="rId2"/>
        <a:stretch>
          <a:fillRect/>
        </a:stretch>
      </xdr:blipFill>
      <xdr:spPr>
        <a:xfrm>
          <a:off x="2352919" y="93569692"/>
          <a:ext cx="13067892" cy="1516062"/>
        </a:xfrm>
        <a:prstGeom prst="rect">
          <a:avLst/>
        </a:prstGeom>
      </xdr:spPr>
    </xdr:pic>
    <xdr:clientData/>
  </xdr:oneCellAnchor>
  <xdr:oneCellAnchor>
    <xdr:from>
      <xdr:col>6</xdr:col>
      <xdr:colOff>251507</xdr:colOff>
      <xdr:row>511</xdr:row>
      <xdr:rowOff>145195</xdr:rowOff>
    </xdr:from>
    <xdr:ext cx="1831451" cy="493397"/>
    <xdr:pic>
      <xdr:nvPicPr>
        <xdr:cNvPr id="19" name="Imagen 18">
          <a:extLst>
            <a:ext uri="{FF2B5EF4-FFF2-40B4-BE49-F238E27FC236}">
              <a16:creationId xmlns:a16="http://schemas.microsoft.com/office/drawing/2014/main" id="{A5C2EAAC-4281-4B9E-9428-C177704AABBD}"/>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354584" y="112852810"/>
          <a:ext cx="1831451" cy="493397"/>
        </a:xfrm>
        <a:prstGeom prst="rect">
          <a:avLst/>
        </a:prstGeom>
        <a:noFill/>
      </xdr:spPr>
    </xdr:pic>
    <xdr:clientData/>
  </xdr:oneCellAnchor>
  <xdr:oneCellAnchor>
    <xdr:from>
      <xdr:col>6</xdr:col>
      <xdr:colOff>39370</xdr:colOff>
      <xdr:row>591</xdr:row>
      <xdr:rowOff>53975</xdr:rowOff>
    </xdr:from>
    <xdr:ext cx="8702647" cy="1489905"/>
    <xdr:pic>
      <xdr:nvPicPr>
        <xdr:cNvPr id="20" name="Imagen 19">
          <a:extLst>
            <a:ext uri="{FF2B5EF4-FFF2-40B4-BE49-F238E27FC236}">
              <a16:creationId xmlns:a16="http://schemas.microsoft.com/office/drawing/2014/main" id="{60EE4111-20E8-4861-A344-0D2A4D0CAC06}"/>
            </a:ext>
          </a:extLst>
        </xdr:cNvPr>
        <xdr:cNvPicPr>
          <a:picLocks noChangeAspect="1"/>
        </xdr:cNvPicPr>
      </xdr:nvPicPr>
      <xdr:blipFill>
        <a:blip xmlns:r="http://schemas.openxmlformats.org/officeDocument/2006/relationships" r:embed="rId1"/>
        <a:stretch>
          <a:fillRect/>
        </a:stretch>
      </xdr:blipFill>
      <xdr:spPr>
        <a:xfrm>
          <a:off x="4027964" y="153573163"/>
          <a:ext cx="8702647" cy="1489905"/>
        </a:xfrm>
        <a:prstGeom prst="rect">
          <a:avLst/>
        </a:prstGeom>
      </xdr:spPr>
    </xdr:pic>
    <xdr:clientData/>
  </xdr:oneCellAnchor>
  <xdr:oneCellAnchor>
    <xdr:from>
      <xdr:col>3</xdr:col>
      <xdr:colOff>311150</xdr:colOff>
      <xdr:row>521</xdr:row>
      <xdr:rowOff>127000</xdr:rowOff>
    </xdr:from>
    <xdr:ext cx="13067892" cy="1516062"/>
    <xdr:pic>
      <xdr:nvPicPr>
        <xdr:cNvPr id="21" name="Imagen 20">
          <a:extLst>
            <a:ext uri="{FF2B5EF4-FFF2-40B4-BE49-F238E27FC236}">
              <a16:creationId xmlns:a16="http://schemas.microsoft.com/office/drawing/2014/main" id="{958B53A7-C5C5-46B5-87E3-7CC687B050F2}"/>
            </a:ext>
          </a:extLst>
        </xdr:cNvPr>
        <xdr:cNvPicPr>
          <a:picLocks noChangeAspect="1"/>
        </xdr:cNvPicPr>
      </xdr:nvPicPr>
      <xdr:blipFill>
        <a:blip xmlns:r="http://schemas.openxmlformats.org/officeDocument/2006/relationships" r:embed="rId2"/>
        <a:stretch>
          <a:fillRect/>
        </a:stretch>
      </xdr:blipFill>
      <xdr:spPr>
        <a:xfrm>
          <a:off x="1847056" y="133453188"/>
          <a:ext cx="13067892" cy="1516062"/>
        </a:xfrm>
        <a:prstGeom prst="rect">
          <a:avLst/>
        </a:prstGeom>
      </xdr:spPr>
    </xdr:pic>
    <xdr:clientData/>
  </xdr:oneCellAnchor>
  <xdr:oneCellAnchor>
    <xdr:from>
      <xdr:col>6</xdr:col>
      <xdr:colOff>312261</xdr:colOff>
      <xdr:row>586</xdr:row>
      <xdr:rowOff>44449</xdr:rowOff>
    </xdr:from>
    <xdr:ext cx="1831451" cy="493397"/>
    <xdr:pic>
      <xdr:nvPicPr>
        <xdr:cNvPr id="22" name="Imagen 21">
          <a:extLst>
            <a:ext uri="{FF2B5EF4-FFF2-40B4-BE49-F238E27FC236}">
              <a16:creationId xmlns:a16="http://schemas.microsoft.com/office/drawing/2014/main" id="{8797D3D8-D453-48A6-B7A5-4D93510C6E47}"/>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300855" y="174947262"/>
          <a:ext cx="1831451" cy="493397"/>
        </a:xfrm>
        <a:prstGeom prst="rect">
          <a:avLst/>
        </a:prstGeom>
        <a:noFill/>
      </xdr:spPr>
    </xdr:pic>
    <xdr:clientData/>
  </xdr:oneCellAnchor>
  <xdr:oneCellAnchor>
    <xdr:from>
      <xdr:col>6</xdr:col>
      <xdr:colOff>39370</xdr:colOff>
      <xdr:row>665</xdr:row>
      <xdr:rowOff>53975</xdr:rowOff>
    </xdr:from>
    <xdr:ext cx="8702647" cy="1489905"/>
    <xdr:pic>
      <xdr:nvPicPr>
        <xdr:cNvPr id="23" name="Imagen 22">
          <a:extLst>
            <a:ext uri="{FF2B5EF4-FFF2-40B4-BE49-F238E27FC236}">
              <a16:creationId xmlns:a16="http://schemas.microsoft.com/office/drawing/2014/main" id="{7D5433B2-51AF-45A8-A55F-E8598463E6B2}"/>
            </a:ext>
          </a:extLst>
        </xdr:cNvPr>
        <xdr:cNvPicPr>
          <a:picLocks noChangeAspect="1"/>
        </xdr:cNvPicPr>
      </xdr:nvPicPr>
      <xdr:blipFill>
        <a:blip xmlns:r="http://schemas.openxmlformats.org/officeDocument/2006/relationships" r:embed="rId1"/>
        <a:stretch>
          <a:fillRect/>
        </a:stretch>
      </xdr:blipFill>
      <xdr:spPr>
        <a:xfrm>
          <a:off x="4027964" y="175790225"/>
          <a:ext cx="8702647" cy="1489905"/>
        </a:xfrm>
        <a:prstGeom prst="rect">
          <a:avLst/>
        </a:prstGeom>
      </xdr:spPr>
    </xdr:pic>
    <xdr:clientData/>
  </xdr:oneCellAnchor>
  <xdr:oneCellAnchor>
    <xdr:from>
      <xdr:col>3</xdr:col>
      <xdr:colOff>311150</xdr:colOff>
      <xdr:row>595</xdr:row>
      <xdr:rowOff>127000</xdr:rowOff>
    </xdr:from>
    <xdr:ext cx="13067892" cy="1516062"/>
    <xdr:pic>
      <xdr:nvPicPr>
        <xdr:cNvPr id="24" name="Imagen 23">
          <a:extLst>
            <a:ext uri="{FF2B5EF4-FFF2-40B4-BE49-F238E27FC236}">
              <a16:creationId xmlns:a16="http://schemas.microsoft.com/office/drawing/2014/main" id="{4FD645DE-EA7B-473D-8DF8-0DC820E68527}"/>
            </a:ext>
          </a:extLst>
        </xdr:cNvPr>
        <xdr:cNvPicPr>
          <a:picLocks noChangeAspect="1"/>
        </xdr:cNvPicPr>
      </xdr:nvPicPr>
      <xdr:blipFill>
        <a:blip xmlns:r="http://schemas.openxmlformats.org/officeDocument/2006/relationships" r:embed="rId2"/>
        <a:stretch>
          <a:fillRect/>
        </a:stretch>
      </xdr:blipFill>
      <xdr:spPr>
        <a:xfrm>
          <a:off x="1847056" y="155670250"/>
          <a:ext cx="13067892" cy="1516062"/>
        </a:xfrm>
        <a:prstGeom prst="rect">
          <a:avLst/>
        </a:prstGeom>
      </xdr:spPr>
    </xdr:pic>
    <xdr:clientData/>
  </xdr:oneCellAnchor>
  <xdr:oneCellAnchor>
    <xdr:from>
      <xdr:col>6</xdr:col>
      <xdr:colOff>312261</xdr:colOff>
      <xdr:row>660</xdr:row>
      <xdr:rowOff>44449</xdr:rowOff>
    </xdr:from>
    <xdr:ext cx="1831451" cy="493397"/>
    <xdr:pic>
      <xdr:nvPicPr>
        <xdr:cNvPr id="25" name="Imagen 24">
          <a:extLst>
            <a:ext uri="{FF2B5EF4-FFF2-40B4-BE49-F238E27FC236}">
              <a16:creationId xmlns:a16="http://schemas.microsoft.com/office/drawing/2014/main" id="{6D76A143-B086-44BE-B16B-2652A2C33F38}"/>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300855" y="174947262"/>
          <a:ext cx="1831451" cy="493397"/>
        </a:xfrm>
        <a:prstGeom prst="rect">
          <a:avLst/>
        </a:prstGeom>
        <a:noFill/>
      </xdr:spPr>
    </xdr:pic>
    <xdr:clientData/>
  </xdr:oneCellAnchor>
  <xdr:oneCellAnchor>
    <xdr:from>
      <xdr:col>6</xdr:col>
      <xdr:colOff>39370</xdr:colOff>
      <xdr:row>739</xdr:row>
      <xdr:rowOff>53975</xdr:rowOff>
    </xdr:from>
    <xdr:ext cx="8702647" cy="1489905"/>
    <xdr:pic>
      <xdr:nvPicPr>
        <xdr:cNvPr id="26" name="Imagen 25">
          <a:extLst>
            <a:ext uri="{FF2B5EF4-FFF2-40B4-BE49-F238E27FC236}">
              <a16:creationId xmlns:a16="http://schemas.microsoft.com/office/drawing/2014/main" id="{B3B2F9B2-C2F0-4F44-A368-A68598162B20}"/>
            </a:ext>
          </a:extLst>
        </xdr:cNvPr>
        <xdr:cNvPicPr>
          <a:picLocks noChangeAspect="1"/>
        </xdr:cNvPicPr>
      </xdr:nvPicPr>
      <xdr:blipFill>
        <a:blip xmlns:r="http://schemas.openxmlformats.org/officeDocument/2006/relationships" r:embed="rId1"/>
        <a:stretch>
          <a:fillRect/>
        </a:stretch>
      </xdr:blipFill>
      <xdr:spPr>
        <a:xfrm>
          <a:off x="4027964" y="198007288"/>
          <a:ext cx="8702647" cy="1489905"/>
        </a:xfrm>
        <a:prstGeom prst="rect">
          <a:avLst/>
        </a:prstGeom>
      </xdr:spPr>
    </xdr:pic>
    <xdr:clientData/>
  </xdr:oneCellAnchor>
  <xdr:oneCellAnchor>
    <xdr:from>
      <xdr:col>3</xdr:col>
      <xdr:colOff>311150</xdr:colOff>
      <xdr:row>669</xdr:row>
      <xdr:rowOff>127000</xdr:rowOff>
    </xdr:from>
    <xdr:ext cx="13067892" cy="1516062"/>
    <xdr:pic>
      <xdr:nvPicPr>
        <xdr:cNvPr id="27" name="Imagen 26">
          <a:extLst>
            <a:ext uri="{FF2B5EF4-FFF2-40B4-BE49-F238E27FC236}">
              <a16:creationId xmlns:a16="http://schemas.microsoft.com/office/drawing/2014/main" id="{EE46733B-C91D-4892-8C5E-B0DBB6D41D17}"/>
            </a:ext>
          </a:extLst>
        </xdr:cNvPr>
        <xdr:cNvPicPr>
          <a:picLocks noChangeAspect="1"/>
        </xdr:cNvPicPr>
      </xdr:nvPicPr>
      <xdr:blipFill>
        <a:blip xmlns:r="http://schemas.openxmlformats.org/officeDocument/2006/relationships" r:embed="rId2"/>
        <a:stretch>
          <a:fillRect/>
        </a:stretch>
      </xdr:blipFill>
      <xdr:spPr>
        <a:xfrm>
          <a:off x="1847056" y="177887313"/>
          <a:ext cx="13067892" cy="1516062"/>
        </a:xfrm>
        <a:prstGeom prst="rect">
          <a:avLst/>
        </a:prstGeom>
      </xdr:spPr>
    </xdr:pic>
    <xdr:clientData/>
  </xdr:oneCellAnchor>
  <xdr:oneCellAnchor>
    <xdr:from>
      <xdr:col>6</xdr:col>
      <xdr:colOff>312261</xdr:colOff>
      <xdr:row>734</xdr:row>
      <xdr:rowOff>44449</xdr:rowOff>
    </xdr:from>
    <xdr:ext cx="1831451" cy="493397"/>
    <xdr:pic>
      <xdr:nvPicPr>
        <xdr:cNvPr id="28" name="Imagen 27">
          <a:extLst>
            <a:ext uri="{FF2B5EF4-FFF2-40B4-BE49-F238E27FC236}">
              <a16:creationId xmlns:a16="http://schemas.microsoft.com/office/drawing/2014/main" id="{F3EB17B5-3619-4343-91F5-04CDEB092DEF}"/>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300855" y="197164324"/>
          <a:ext cx="1831451" cy="493397"/>
        </a:xfrm>
        <a:prstGeom prst="rect">
          <a:avLst/>
        </a:prstGeom>
        <a:noFill/>
      </xdr:spPr>
    </xdr:pic>
    <xdr:clientData/>
  </xdr:oneCellAnchor>
  <xdr:oneCellAnchor>
    <xdr:from>
      <xdr:col>6</xdr:col>
      <xdr:colOff>39370</xdr:colOff>
      <xdr:row>813</xdr:row>
      <xdr:rowOff>53975</xdr:rowOff>
    </xdr:from>
    <xdr:ext cx="8702647" cy="1489905"/>
    <xdr:pic>
      <xdr:nvPicPr>
        <xdr:cNvPr id="29" name="Imagen 28">
          <a:extLst>
            <a:ext uri="{FF2B5EF4-FFF2-40B4-BE49-F238E27FC236}">
              <a16:creationId xmlns:a16="http://schemas.microsoft.com/office/drawing/2014/main" id="{C9B22066-8CF2-428E-80AF-4C43FF519459}"/>
            </a:ext>
          </a:extLst>
        </xdr:cNvPr>
        <xdr:cNvPicPr>
          <a:picLocks noChangeAspect="1"/>
        </xdr:cNvPicPr>
      </xdr:nvPicPr>
      <xdr:blipFill>
        <a:blip xmlns:r="http://schemas.openxmlformats.org/officeDocument/2006/relationships" r:embed="rId1"/>
        <a:stretch>
          <a:fillRect/>
        </a:stretch>
      </xdr:blipFill>
      <xdr:spPr>
        <a:xfrm>
          <a:off x="4027964" y="220224350"/>
          <a:ext cx="8702647" cy="1489905"/>
        </a:xfrm>
        <a:prstGeom prst="rect">
          <a:avLst/>
        </a:prstGeom>
      </xdr:spPr>
    </xdr:pic>
    <xdr:clientData/>
  </xdr:oneCellAnchor>
  <xdr:oneCellAnchor>
    <xdr:from>
      <xdr:col>3</xdr:col>
      <xdr:colOff>311150</xdr:colOff>
      <xdr:row>743</xdr:row>
      <xdr:rowOff>127000</xdr:rowOff>
    </xdr:from>
    <xdr:ext cx="13067892" cy="1516062"/>
    <xdr:pic>
      <xdr:nvPicPr>
        <xdr:cNvPr id="30" name="Imagen 29">
          <a:extLst>
            <a:ext uri="{FF2B5EF4-FFF2-40B4-BE49-F238E27FC236}">
              <a16:creationId xmlns:a16="http://schemas.microsoft.com/office/drawing/2014/main" id="{E55F952C-B47E-45E4-810C-79D75A101568}"/>
            </a:ext>
          </a:extLst>
        </xdr:cNvPr>
        <xdr:cNvPicPr>
          <a:picLocks noChangeAspect="1"/>
        </xdr:cNvPicPr>
      </xdr:nvPicPr>
      <xdr:blipFill>
        <a:blip xmlns:r="http://schemas.openxmlformats.org/officeDocument/2006/relationships" r:embed="rId2"/>
        <a:stretch>
          <a:fillRect/>
        </a:stretch>
      </xdr:blipFill>
      <xdr:spPr>
        <a:xfrm>
          <a:off x="1847056" y="200104375"/>
          <a:ext cx="13067892" cy="1516062"/>
        </a:xfrm>
        <a:prstGeom prst="rect">
          <a:avLst/>
        </a:prstGeom>
      </xdr:spPr>
    </xdr:pic>
    <xdr:clientData/>
  </xdr:oneCellAnchor>
  <xdr:oneCellAnchor>
    <xdr:from>
      <xdr:col>6</xdr:col>
      <xdr:colOff>312261</xdr:colOff>
      <xdr:row>808</xdr:row>
      <xdr:rowOff>44449</xdr:rowOff>
    </xdr:from>
    <xdr:ext cx="1831451" cy="493397"/>
    <xdr:pic>
      <xdr:nvPicPr>
        <xdr:cNvPr id="31" name="Imagen 30">
          <a:extLst>
            <a:ext uri="{FF2B5EF4-FFF2-40B4-BE49-F238E27FC236}">
              <a16:creationId xmlns:a16="http://schemas.microsoft.com/office/drawing/2014/main" id="{3A372027-BFF0-45EB-BAFA-8F3EEE0DD758}"/>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300855" y="219381387"/>
          <a:ext cx="1831451" cy="493397"/>
        </a:xfrm>
        <a:prstGeom prst="rect">
          <a:avLst/>
        </a:prstGeom>
        <a:noFill/>
      </xdr:spPr>
    </xdr:pic>
    <xdr:clientData/>
  </xdr:oneCellAnchor>
  <xdr:oneCellAnchor>
    <xdr:from>
      <xdr:col>6</xdr:col>
      <xdr:colOff>39370</xdr:colOff>
      <xdr:row>887</xdr:row>
      <xdr:rowOff>53975</xdr:rowOff>
    </xdr:from>
    <xdr:ext cx="8702647" cy="1489905"/>
    <xdr:pic>
      <xdr:nvPicPr>
        <xdr:cNvPr id="35" name="Imagen 34">
          <a:extLst>
            <a:ext uri="{FF2B5EF4-FFF2-40B4-BE49-F238E27FC236}">
              <a16:creationId xmlns:a16="http://schemas.microsoft.com/office/drawing/2014/main" id="{A8487DAA-19A9-42F4-B1EE-226381F85F98}"/>
            </a:ext>
          </a:extLst>
        </xdr:cNvPr>
        <xdr:cNvPicPr>
          <a:picLocks noChangeAspect="1"/>
        </xdr:cNvPicPr>
      </xdr:nvPicPr>
      <xdr:blipFill>
        <a:blip xmlns:r="http://schemas.openxmlformats.org/officeDocument/2006/relationships" r:embed="rId1"/>
        <a:stretch>
          <a:fillRect/>
        </a:stretch>
      </xdr:blipFill>
      <xdr:spPr>
        <a:xfrm>
          <a:off x="4039870" y="245189375"/>
          <a:ext cx="8702647" cy="1489905"/>
        </a:xfrm>
        <a:prstGeom prst="rect">
          <a:avLst/>
        </a:prstGeom>
      </xdr:spPr>
    </xdr:pic>
    <xdr:clientData/>
  </xdr:oneCellAnchor>
  <xdr:oneCellAnchor>
    <xdr:from>
      <xdr:col>3</xdr:col>
      <xdr:colOff>311150</xdr:colOff>
      <xdr:row>817</xdr:row>
      <xdr:rowOff>127000</xdr:rowOff>
    </xdr:from>
    <xdr:ext cx="13067892" cy="1516062"/>
    <xdr:pic>
      <xdr:nvPicPr>
        <xdr:cNvPr id="36" name="Imagen 35">
          <a:extLst>
            <a:ext uri="{FF2B5EF4-FFF2-40B4-BE49-F238E27FC236}">
              <a16:creationId xmlns:a16="http://schemas.microsoft.com/office/drawing/2014/main" id="{03F746C9-83D1-4880-B690-9FC38BEC4CB3}"/>
            </a:ext>
          </a:extLst>
        </xdr:cNvPr>
        <xdr:cNvPicPr>
          <a:picLocks noChangeAspect="1"/>
        </xdr:cNvPicPr>
      </xdr:nvPicPr>
      <xdr:blipFill>
        <a:blip xmlns:r="http://schemas.openxmlformats.org/officeDocument/2006/relationships" r:embed="rId2"/>
        <a:stretch>
          <a:fillRect/>
        </a:stretch>
      </xdr:blipFill>
      <xdr:spPr>
        <a:xfrm>
          <a:off x="1854200" y="224840800"/>
          <a:ext cx="13067892" cy="1516062"/>
        </a:xfrm>
        <a:prstGeom prst="rect">
          <a:avLst/>
        </a:prstGeom>
      </xdr:spPr>
    </xdr:pic>
    <xdr:clientData/>
  </xdr:oneCellAnchor>
  <xdr:oneCellAnchor>
    <xdr:from>
      <xdr:col>6</xdr:col>
      <xdr:colOff>299561</xdr:colOff>
      <xdr:row>881</xdr:row>
      <xdr:rowOff>133349</xdr:rowOff>
    </xdr:from>
    <xdr:ext cx="1831451" cy="493397"/>
    <xdr:pic>
      <xdr:nvPicPr>
        <xdr:cNvPr id="37" name="Imagen 36">
          <a:extLst>
            <a:ext uri="{FF2B5EF4-FFF2-40B4-BE49-F238E27FC236}">
              <a16:creationId xmlns:a16="http://schemas.microsoft.com/office/drawing/2014/main" id="{C8C97F2F-82CA-4EB8-BEDB-A2ACA6F5AFEA}"/>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706461" y="209950049"/>
          <a:ext cx="1831451" cy="493397"/>
        </a:xfrm>
        <a:prstGeom prst="rect">
          <a:avLst/>
        </a:prstGeom>
        <a:noFill/>
      </xdr:spPr>
    </xdr:pic>
    <xdr:clientData/>
  </xdr:oneCellAnchor>
  <xdr:oneCellAnchor>
    <xdr:from>
      <xdr:col>6</xdr:col>
      <xdr:colOff>39370</xdr:colOff>
      <xdr:row>961</xdr:row>
      <xdr:rowOff>53975</xdr:rowOff>
    </xdr:from>
    <xdr:ext cx="8702647" cy="1489905"/>
    <xdr:pic>
      <xdr:nvPicPr>
        <xdr:cNvPr id="38" name="Imagen 37">
          <a:extLst>
            <a:ext uri="{FF2B5EF4-FFF2-40B4-BE49-F238E27FC236}">
              <a16:creationId xmlns:a16="http://schemas.microsoft.com/office/drawing/2014/main" id="{B2C39D4C-CDCE-428C-B26F-9A5436D85701}"/>
            </a:ext>
          </a:extLst>
        </xdr:cNvPr>
        <xdr:cNvPicPr>
          <a:picLocks noChangeAspect="1"/>
        </xdr:cNvPicPr>
      </xdr:nvPicPr>
      <xdr:blipFill>
        <a:blip xmlns:r="http://schemas.openxmlformats.org/officeDocument/2006/relationships" r:embed="rId1"/>
        <a:stretch>
          <a:fillRect/>
        </a:stretch>
      </xdr:blipFill>
      <xdr:spPr>
        <a:xfrm>
          <a:off x="4039870" y="265695642"/>
          <a:ext cx="8702647" cy="1489905"/>
        </a:xfrm>
        <a:prstGeom prst="rect">
          <a:avLst/>
        </a:prstGeom>
      </xdr:spPr>
    </xdr:pic>
    <xdr:clientData/>
  </xdr:oneCellAnchor>
  <xdr:oneCellAnchor>
    <xdr:from>
      <xdr:col>3</xdr:col>
      <xdr:colOff>311150</xdr:colOff>
      <xdr:row>891</xdr:row>
      <xdr:rowOff>127000</xdr:rowOff>
    </xdr:from>
    <xdr:ext cx="13067892" cy="1516062"/>
    <xdr:pic>
      <xdr:nvPicPr>
        <xdr:cNvPr id="39" name="Imagen 38">
          <a:extLst>
            <a:ext uri="{FF2B5EF4-FFF2-40B4-BE49-F238E27FC236}">
              <a16:creationId xmlns:a16="http://schemas.microsoft.com/office/drawing/2014/main" id="{2F8893A8-38E0-4D69-89A0-250C5518216D}"/>
            </a:ext>
          </a:extLst>
        </xdr:cNvPr>
        <xdr:cNvPicPr>
          <a:picLocks noChangeAspect="1"/>
        </xdr:cNvPicPr>
      </xdr:nvPicPr>
      <xdr:blipFill>
        <a:blip xmlns:r="http://schemas.openxmlformats.org/officeDocument/2006/relationships" r:embed="rId2"/>
        <a:stretch>
          <a:fillRect/>
        </a:stretch>
      </xdr:blipFill>
      <xdr:spPr>
        <a:xfrm>
          <a:off x="1856317" y="245480417"/>
          <a:ext cx="13067892" cy="1516062"/>
        </a:xfrm>
        <a:prstGeom prst="rect">
          <a:avLst/>
        </a:prstGeom>
      </xdr:spPr>
    </xdr:pic>
    <xdr:clientData/>
  </xdr:oneCellAnchor>
  <xdr:oneCellAnchor>
    <xdr:from>
      <xdr:col>6</xdr:col>
      <xdr:colOff>312261</xdr:colOff>
      <xdr:row>956</xdr:row>
      <xdr:rowOff>44449</xdr:rowOff>
    </xdr:from>
    <xdr:ext cx="1831451" cy="493397"/>
    <xdr:pic>
      <xdr:nvPicPr>
        <xdr:cNvPr id="40" name="Imagen 39">
          <a:extLst>
            <a:ext uri="{FF2B5EF4-FFF2-40B4-BE49-F238E27FC236}">
              <a16:creationId xmlns:a16="http://schemas.microsoft.com/office/drawing/2014/main" id="{943DC3DB-916E-4AB2-9302-0A6BEC8E514E}"/>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312761" y="264892366"/>
          <a:ext cx="1831451" cy="493397"/>
        </a:xfrm>
        <a:prstGeom prst="rect">
          <a:avLst/>
        </a:prstGeom>
        <a:noFill/>
      </xdr:spPr>
    </xdr:pic>
    <xdr:clientData/>
  </xdr:oneCellAnchor>
  <xdr:oneCellAnchor>
    <xdr:from>
      <xdr:col>6</xdr:col>
      <xdr:colOff>39370</xdr:colOff>
      <xdr:row>1035</xdr:row>
      <xdr:rowOff>53975</xdr:rowOff>
    </xdr:from>
    <xdr:ext cx="8702647" cy="1489905"/>
    <xdr:pic>
      <xdr:nvPicPr>
        <xdr:cNvPr id="41" name="Imagen 40">
          <a:extLst>
            <a:ext uri="{FF2B5EF4-FFF2-40B4-BE49-F238E27FC236}">
              <a16:creationId xmlns:a16="http://schemas.microsoft.com/office/drawing/2014/main" id="{F93D3908-B416-47CF-B216-2526CFA7A93D}"/>
            </a:ext>
          </a:extLst>
        </xdr:cNvPr>
        <xdr:cNvPicPr>
          <a:picLocks noChangeAspect="1"/>
        </xdr:cNvPicPr>
      </xdr:nvPicPr>
      <xdr:blipFill>
        <a:blip xmlns:r="http://schemas.openxmlformats.org/officeDocument/2006/relationships" r:embed="rId1"/>
        <a:stretch>
          <a:fillRect/>
        </a:stretch>
      </xdr:blipFill>
      <xdr:spPr>
        <a:xfrm>
          <a:off x="4039870" y="288005308"/>
          <a:ext cx="8702647" cy="1489905"/>
        </a:xfrm>
        <a:prstGeom prst="rect">
          <a:avLst/>
        </a:prstGeom>
      </xdr:spPr>
    </xdr:pic>
    <xdr:clientData/>
  </xdr:oneCellAnchor>
  <xdr:oneCellAnchor>
    <xdr:from>
      <xdr:col>3</xdr:col>
      <xdr:colOff>311150</xdr:colOff>
      <xdr:row>965</xdr:row>
      <xdr:rowOff>127000</xdr:rowOff>
    </xdr:from>
    <xdr:ext cx="13067892" cy="1516062"/>
    <xdr:pic>
      <xdr:nvPicPr>
        <xdr:cNvPr id="42" name="Imagen 41">
          <a:extLst>
            <a:ext uri="{FF2B5EF4-FFF2-40B4-BE49-F238E27FC236}">
              <a16:creationId xmlns:a16="http://schemas.microsoft.com/office/drawing/2014/main" id="{A0E6FD8B-2D0B-4C74-8F5B-17C025F7A06C}"/>
            </a:ext>
          </a:extLst>
        </xdr:cNvPr>
        <xdr:cNvPicPr>
          <a:picLocks noChangeAspect="1"/>
        </xdr:cNvPicPr>
      </xdr:nvPicPr>
      <xdr:blipFill>
        <a:blip xmlns:r="http://schemas.openxmlformats.org/officeDocument/2006/relationships" r:embed="rId2"/>
        <a:stretch>
          <a:fillRect/>
        </a:stretch>
      </xdr:blipFill>
      <xdr:spPr>
        <a:xfrm>
          <a:off x="1856317" y="267790083"/>
          <a:ext cx="13067892" cy="1516062"/>
        </a:xfrm>
        <a:prstGeom prst="rect">
          <a:avLst/>
        </a:prstGeom>
      </xdr:spPr>
    </xdr:pic>
    <xdr:clientData/>
  </xdr:oneCellAnchor>
  <xdr:oneCellAnchor>
    <xdr:from>
      <xdr:col>6</xdr:col>
      <xdr:colOff>312261</xdr:colOff>
      <xdr:row>1030</xdr:row>
      <xdr:rowOff>44449</xdr:rowOff>
    </xdr:from>
    <xdr:ext cx="1831451" cy="493397"/>
    <xdr:pic>
      <xdr:nvPicPr>
        <xdr:cNvPr id="43" name="Imagen 42">
          <a:extLst>
            <a:ext uri="{FF2B5EF4-FFF2-40B4-BE49-F238E27FC236}">
              <a16:creationId xmlns:a16="http://schemas.microsoft.com/office/drawing/2014/main" id="{A057D339-6D9B-4F4B-88DA-D4A9B29A694A}"/>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312761" y="287202032"/>
          <a:ext cx="1831451" cy="493397"/>
        </a:xfrm>
        <a:prstGeom prst="rect">
          <a:avLst/>
        </a:prstGeom>
        <a:noFill/>
      </xdr:spPr>
    </xdr:pic>
    <xdr:clientData/>
  </xdr:oneCellAnchor>
  <xdr:oneCellAnchor>
    <xdr:from>
      <xdr:col>6</xdr:col>
      <xdr:colOff>39370</xdr:colOff>
      <xdr:row>1109</xdr:row>
      <xdr:rowOff>53975</xdr:rowOff>
    </xdr:from>
    <xdr:ext cx="8702647" cy="1489905"/>
    <xdr:pic>
      <xdr:nvPicPr>
        <xdr:cNvPr id="44" name="Imagen 43">
          <a:extLst>
            <a:ext uri="{FF2B5EF4-FFF2-40B4-BE49-F238E27FC236}">
              <a16:creationId xmlns:a16="http://schemas.microsoft.com/office/drawing/2014/main" id="{AF14D8F4-6E0C-4815-81C0-F565223AE6D1}"/>
            </a:ext>
          </a:extLst>
        </xdr:cNvPr>
        <xdr:cNvPicPr>
          <a:picLocks noChangeAspect="1"/>
        </xdr:cNvPicPr>
      </xdr:nvPicPr>
      <xdr:blipFill>
        <a:blip xmlns:r="http://schemas.openxmlformats.org/officeDocument/2006/relationships" r:embed="rId1"/>
        <a:stretch>
          <a:fillRect/>
        </a:stretch>
      </xdr:blipFill>
      <xdr:spPr>
        <a:xfrm>
          <a:off x="4039870" y="310177392"/>
          <a:ext cx="8702647" cy="1489905"/>
        </a:xfrm>
        <a:prstGeom prst="rect">
          <a:avLst/>
        </a:prstGeom>
      </xdr:spPr>
    </xdr:pic>
    <xdr:clientData/>
  </xdr:oneCellAnchor>
  <xdr:oneCellAnchor>
    <xdr:from>
      <xdr:col>3</xdr:col>
      <xdr:colOff>311150</xdr:colOff>
      <xdr:row>1039</xdr:row>
      <xdr:rowOff>127000</xdr:rowOff>
    </xdr:from>
    <xdr:ext cx="13067892" cy="1516062"/>
    <xdr:pic>
      <xdr:nvPicPr>
        <xdr:cNvPr id="45" name="Imagen 44">
          <a:extLst>
            <a:ext uri="{FF2B5EF4-FFF2-40B4-BE49-F238E27FC236}">
              <a16:creationId xmlns:a16="http://schemas.microsoft.com/office/drawing/2014/main" id="{81146CDA-E7F3-4CAE-94F3-92657BC8BAE7}"/>
            </a:ext>
          </a:extLst>
        </xdr:cNvPr>
        <xdr:cNvPicPr>
          <a:picLocks noChangeAspect="1"/>
        </xdr:cNvPicPr>
      </xdr:nvPicPr>
      <xdr:blipFill>
        <a:blip xmlns:r="http://schemas.openxmlformats.org/officeDocument/2006/relationships" r:embed="rId2"/>
        <a:stretch>
          <a:fillRect/>
        </a:stretch>
      </xdr:blipFill>
      <xdr:spPr>
        <a:xfrm>
          <a:off x="1856317" y="289962167"/>
          <a:ext cx="13067892" cy="1516062"/>
        </a:xfrm>
        <a:prstGeom prst="rect">
          <a:avLst/>
        </a:prstGeom>
      </xdr:spPr>
    </xdr:pic>
    <xdr:clientData/>
  </xdr:oneCellAnchor>
  <xdr:oneCellAnchor>
    <xdr:from>
      <xdr:col>6</xdr:col>
      <xdr:colOff>312261</xdr:colOff>
      <xdr:row>1104</xdr:row>
      <xdr:rowOff>44449</xdr:rowOff>
    </xdr:from>
    <xdr:ext cx="1831451" cy="493397"/>
    <xdr:pic>
      <xdr:nvPicPr>
        <xdr:cNvPr id="46" name="Imagen 45">
          <a:extLst>
            <a:ext uri="{FF2B5EF4-FFF2-40B4-BE49-F238E27FC236}">
              <a16:creationId xmlns:a16="http://schemas.microsoft.com/office/drawing/2014/main" id="{BF521477-952C-4CDA-AA67-2F098514D258}"/>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312761" y="309374116"/>
          <a:ext cx="1831451" cy="493397"/>
        </a:xfrm>
        <a:prstGeom prst="rect">
          <a:avLst/>
        </a:prstGeom>
        <a:noFill/>
      </xdr:spPr>
    </xdr:pic>
    <xdr:clientData/>
  </xdr:oneCellAnchor>
  <xdr:twoCellAnchor editAs="oneCell">
    <xdr:from>
      <xdr:col>3</xdr:col>
      <xdr:colOff>503463</xdr:colOff>
      <xdr:row>90</xdr:row>
      <xdr:rowOff>81077</xdr:rowOff>
    </xdr:from>
    <xdr:to>
      <xdr:col>8</xdr:col>
      <xdr:colOff>13607</xdr:colOff>
      <xdr:row>108</xdr:row>
      <xdr:rowOff>122466</xdr:rowOff>
    </xdr:to>
    <xdr:pic>
      <xdr:nvPicPr>
        <xdr:cNvPr id="47" name="Imagen 46">
          <a:extLst>
            <a:ext uri="{FF2B5EF4-FFF2-40B4-BE49-F238E27FC236}">
              <a16:creationId xmlns:a16="http://schemas.microsoft.com/office/drawing/2014/main" id="{5D38CA69-1811-97F9-6803-C016E82922E0}"/>
            </a:ext>
          </a:extLst>
        </xdr:cNvPr>
        <xdr:cNvPicPr>
          <a:picLocks noChangeAspect="1"/>
        </xdr:cNvPicPr>
      </xdr:nvPicPr>
      <xdr:blipFill>
        <a:blip xmlns:r="http://schemas.openxmlformats.org/officeDocument/2006/relationships" r:embed="rId4"/>
        <a:stretch>
          <a:fillRect/>
        </a:stretch>
      </xdr:blipFill>
      <xdr:spPr>
        <a:xfrm>
          <a:off x="2054677" y="19634541"/>
          <a:ext cx="3782787" cy="2980532"/>
        </a:xfrm>
        <a:prstGeom prst="rect">
          <a:avLst/>
        </a:prstGeom>
      </xdr:spPr>
    </xdr:pic>
    <xdr:clientData/>
  </xdr:twoCellAnchor>
  <xdr:twoCellAnchor editAs="oneCell">
    <xdr:from>
      <xdr:col>3</xdr:col>
      <xdr:colOff>435428</xdr:colOff>
      <xdr:row>109</xdr:row>
      <xdr:rowOff>40822</xdr:rowOff>
    </xdr:from>
    <xdr:to>
      <xdr:col>8</xdr:col>
      <xdr:colOff>27214</xdr:colOff>
      <xdr:row>125</xdr:row>
      <xdr:rowOff>96811</xdr:rowOff>
    </xdr:to>
    <xdr:pic>
      <xdr:nvPicPr>
        <xdr:cNvPr id="48" name="Imagen 47">
          <a:extLst>
            <a:ext uri="{FF2B5EF4-FFF2-40B4-BE49-F238E27FC236}">
              <a16:creationId xmlns:a16="http://schemas.microsoft.com/office/drawing/2014/main" id="{8BAE895B-78C9-0FAC-F38C-39D6C5456DD2}"/>
            </a:ext>
          </a:extLst>
        </xdr:cNvPr>
        <xdr:cNvPicPr>
          <a:picLocks noChangeAspect="1"/>
        </xdr:cNvPicPr>
      </xdr:nvPicPr>
      <xdr:blipFill>
        <a:blip xmlns:r="http://schemas.openxmlformats.org/officeDocument/2006/relationships" r:embed="rId5"/>
        <a:stretch>
          <a:fillRect/>
        </a:stretch>
      </xdr:blipFill>
      <xdr:spPr>
        <a:xfrm>
          <a:off x="1986642" y="22696715"/>
          <a:ext cx="3864429" cy="2668560"/>
        </a:xfrm>
        <a:prstGeom prst="rect">
          <a:avLst/>
        </a:prstGeom>
      </xdr:spPr>
    </xdr:pic>
    <xdr:clientData/>
  </xdr:twoCellAnchor>
  <xdr:twoCellAnchor editAs="oneCell">
    <xdr:from>
      <xdr:col>3</xdr:col>
      <xdr:colOff>163286</xdr:colOff>
      <xdr:row>622</xdr:row>
      <xdr:rowOff>149678</xdr:rowOff>
    </xdr:from>
    <xdr:to>
      <xdr:col>8</xdr:col>
      <xdr:colOff>415162</xdr:colOff>
      <xdr:row>640</xdr:row>
      <xdr:rowOff>40822</xdr:rowOff>
    </xdr:to>
    <xdr:pic>
      <xdr:nvPicPr>
        <xdr:cNvPr id="49" name="Imagen 48">
          <a:extLst>
            <a:ext uri="{FF2B5EF4-FFF2-40B4-BE49-F238E27FC236}">
              <a16:creationId xmlns:a16="http://schemas.microsoft.com/office/drawing/2014/main" id="{FC63D4E6-3561-3CC1-8C7C-6A238853B524}"/>
            </a:ext>
          </a:extLst>
        </xdr:cNvPr>
        <xdr:cNvPicPr>
          <a:picLocks noChangeAspect="1"/>
        </xdr:cNvPicPr>
      </xdr:nvPicPr>
      <xdr:blipFill>
        <a:blip xmlns:r="http://schemas.openxmlformats.org/officeDocument/2006/relationships" r:embed="rId6"/>
        <a:stretch>
          <a:fillRect/>
        </a:stretch>
      </xdr:blipFill>
      <xdr:spPr>
        <a:xfrm>
          <a:off x="1714500" y="142099392"/>
          <a:ext cx="4524519" cy="2830287"/>
        </a:xfrm>
        <a:prstGeom prst="rect">
          <a:avLst/>
        </a:prstGeom>
      </xdr:spPr>
    </xdr:pic>
    <xdr:clientData/>
  </xdr:twoCellAnchor>
  <xdr:twoCellAnchor editAs="oneCell">
    <xdr:from>
      <xdr:col>3</xdr:col>
      <xdr:colOff>544285</xdr:colOff>
      <xdr:row>537</xdr:row>
      <xdr:rowOff>136072</xdr:rowOff>
    </xdr:from>
    <xdr:to>
      <xdr:col>7</xdr:col>
      <xdr:colOff>625928</xdr:colOff>
      <xdr:row>551</xdr:row>
      <xdr:rowOff>148141</xdr:rowOff>
    </xdr:to>
    <xdr:pic>
      <xdr:nvPicPr>
        <xdr:cNvPr id="50" name="Imagen 49">
          <a:extLst>
            <a:ext uri="{FF2B5EF4-FFF2-40B4-BE49-F238E27FC236}">
              <a16:creationId xmlns:a16="http://schemas.microsoft.com/office/drawing/2014/main" id="{26305C74-70B6-5437-52A9-57B13C70F53C}"/>
            </a:ext>
          </a:extLst>
        </xdr:cNvPr>
        <xdr:cNvPicPr>
          <a:picLocks noChangeAspect="1"/>
        </xdr:cNvPicPr>
      </xdr:nvPicPr>
      <xdr:blipFill>
        <a:blip xmlns:r="http://schemas.openxmlformats.org/officeDocument/2006/relationships" r:embed="rId7"/>
        <a:stretch>
          <a:fillRect/>
        </a:stretch>
      </xdr:blipFill>
      <xdr:spPr>
        <a:xfrm>
          <a:off x="2095499" y="118382143"/>
          <a:ext cx="3592286" cy="4584069"/>
        </a:xfrm>
        <a:prstGeom prst="rect">
          <a:avLst/>
        </a:prstGeom>
      </xdr:spPr>
    </xdr:pic>
    <xdr:clientData/>
  </xdr:twoCellAnchor>
  <xdr:twoCellAnchor editAs="oneCell">
    <xdr:from>
      <xdr:col>4</xdr:col>
      <xdr:colOff>13607</xdr:colOff>
      <xdr:row>464</xdr:row>
      <xdr:rowOff>204108</xdr:rowOff>
    </xdr:from>
    <xdr:to>
      <xdr:col>7</xdr:col>
      <xdr:colOff>389277</xdr:colOff>
      <xdr:row>476</xdr:row>
      <xdr:rowOff>272144</xdr:rowOff>
    </xdr:to>
    <xdr:pic>
      <xdr:nvPicPr>
        <xdr:cNvPr id="51" name="Imagen 50">
          <a:extLst>
            <a:ext uri="{FF2B5EF4-FFF2-40B4-BE49-F238E27FC236}">
              <a16:creationId xmlns:a16="http://schemas.microsoft.com/office/drawing/2014/main" id="{2B49D530-CA45-0390-8D35-F5C2B7A7E621}"/>
            </a:ext>
          </a:extLst>
        </xdr:cNvPr>
        <xdr:cNvPicPr>
          <a:picLocks noChangeAspect="1"/>
        </xdr:cNvPicPr>
      </xdr:nvPicPr>
      <xdr:blipFill>
        <a:blip xmlns:r="http://schemas.openxmlformats.org/officeDocument/2006/relationships" r:embed="rId7"/>
        <a:stretch>
          <a:fillRect/>
        </a:stretch>
      </xdr:blipFill>
      <xdr:spPr>
        <a:xfrm>
          <a:off x="2326821" y="97114179"/>
          <a:ext cx="3124313" cy="3986894"/>
        </a:xfrm>
        <a:prstGeom prst="rect">
          <a:avLst/>
        </a:prstGeom>
      </xdr:spPr>
    </xdr:pic>
    <xdr:clientData/>
  </xdr:twoCellAnchor>
  <xdr:twoCellAnchor editAs="oneCell">
    <xdr:from>
      <xdr:col>3</xdr:col>
      <xdr:colOff>231321</xdr:colOff>
      <xdr:row>172</xdr:row>
      <xdr:rowOff>13608</xdr:rowOff>
    </xdr:from>
    <xdr:to>
      <xdr:col>8</xdr:col>
      <xdr:colOff>607527</xdr:colOff>
      <xdr:row>193</xdr:row>
      <xdr:rowOff>128403</xdr:rowOff>
    </xdr:to>
    <xdr:pic>
      <xdr:nvPicPr>
        <xdr:cNvPr id="52" name="Imagen 51">
          <a:extLst>
            <a:ext uri="{FF2B5EF4-FFF2-40B4-BE49-F238E27FC236}">
              <a16:creationId xmlns:a16="http://schemas.microsoft.com/office/drawing/2014/main" id="{8656FB61-EDBB-6237-A581-6E97D5C9F592}"/>
            </a:ext>
          </a:extLst>
        </xdr:cNvPr>
        <xdr:cNvPicPr>
          <a:picLocks noChangeAspect="1"/>
        </xdr:cNvPicPr>
      </xdr:nvPicPr>
      <xdr:blipFill>
        <a:blip xmlns:r="http://schemas.openxmlformats.org/officeDocument/2006/relationships" r:embed="rId8"/>
        <a:stretch>
          <a:fillRect/>
        </a:stretch>
      </xdr:blipFill>
      <xdr:spPr>
        <a:xfrm>
          <a:off x="1782535" y="36140572"/>
          <a:ext cx="4648849" cy="3543795"/>
        </a:xfrm>
        <a:prstGeom prst="rect">
          <a:avLst/>
        </a:prstGeom>
      </xdr:spPr>
    </xdr:pic>
    <xdr:clientData/>
  </xdr:twoCellAnchor>
  <xdr:twoCellAnchor editAs="oneCell">
    <xdr:from>
      <xdr:col>3</xdr:col>
      <xdr:colOff>625928</xdr:colOff>
      <xdr:row>245</xdr:row>
      <xdr:rowOff>0</xdr:rowOff>
    </xdr:from>
    <xdr:to>
      <xdr:col>8</xdr:col>
      <xdr:colOff>363526</xdr:colOff>
      <xdr:row>260</xdr:row>
      <xdr:rowOff>136071</xdr:rowOff>
    </xdr:to>
    <xdr:pic>
      <xdr:nvPicPr>
        <xdr:cNvPr id="53" name="Imagen 52">
          <a:extLst>
            <a:ext uri="{FF2B5EF4-FFF2-40B4-BE49-F238E27FC236}">
              <a16:creationId xmlns:a16="http://schemas.microsoft.com/office/drawing/2014/main" id="{BB080BC9-A520-3753-5D0B-D46EBFA84DB8}"/>
            </a:ext>
          </a:extLst>
        </xdr:cNvPr>
        <xdr:cNvPicPr>
          <a:picLocks noChangeAspect="1"/>
        </xdr:cNvPicPr>
      </xdr:nvPicPr>
      <xdr:blipFill>
        <a:blip xmlns:r="http://schemas.openxmlformats.org/officeDocument/2006/relationships" r:embed="rId9"/>
        <a:stretch>
          <a:fillRect/>
        </a:stretch>
      </xdr:blipFill>
      <xdr:spPr>
        <a:xfrm>
          <a:off x="2177142" y="51258107"/>
          <a:ext cx="4010241" cy="2585357"/>
        </a:xfrm>
        <a:prstGeom prst="rect">
          <a:avLst/>
        </a:prstGeom>
      </xdr:spPr>
    </xdr:pic>
    <xdr:clientData/>
  </xdr:twoCellAnchor>
  <xdr:twoCellAnchor editAs="oneCell">
    <xdr:from>
      <xdr:col>3</xdr:col>
      <xdr:colOff>190500</xdr:colOff>
      <xdr:row>319</xdr:row>
      <xdr:rowOff>108858</xdr:rowOff>
    </xdr:from>
    <xdr:to>
      <xdr:col>8</xdr:col>
      <xdr:colOff>449036</xdr:colOff>
      <xdr:row>338</xdr:row>
      <xdr:rowOff>134201</xdr:rowOff>
    </xdr:to>
    <xdr:pic>
      <xdr:nvPicPr>
        <xdr:cNvPr id="54" name="Imagen 53">
          <a:extLst>
            <a:ext uri="{FF2B5EF4-FFF2-40B4-BE49-F238E27FC236}">
              <a16:creationId xmlns:a16="http://schemas.microsoft.com/office/drawing/2014/main" id="{E9997261-0910-9C29-B6F4-8C86B7AEB057}"/>
            </a:ext>
          </a:extLst>
        </xdr:cNvPr>
        <xdr:cNvPicPr>
          <a:picLocks noChangeAspect="1"/>
        </xdr:cNvPicPr>
      </xdr:nvPicPr>
      <xdr:blipFill>
        <a:blip xmlns:r="http://schemas.openxmlformats.org/officeDocument/2006/relationships" r:embed="rId10"/>
        <a:stretch>
          <a:fillRect/>
        </a:stretch>
      </xdr:blipFill>
      <xdr:spPr>
        <a:xfrm>
          <a:off x="1741714" y="66919929"/>
          <a:ext cx="4531179" cy="3127772"/>
        </a:xfrm>
        <a:prstGeom prst="rect">
          <a:avLst/>
        </a:prstGeom>
      </xdr:spPr>
    </xdr:pic>
    <xdr:clientData/>
  </xdr:twoCellAnchor>
  <xdr:twoCellAnchor editAs="oneCell">
    <xdr:from>
      <xdr:col>3</xdr:col>
      <xdr:colOff>707571</xdr:colOff>
      <xdr:row>766</xdr:row>
      <xdr:rowOff>27216</xdr:rowOff>
    </xdr:from>
    <xdr:to>
      <xdr:col>8</xdr:col>
      <xdr:colOff>121607</xdr:colOff>
      <xdr:row>779</xdr:row>
      <xdr:rowOff>108858</xdr:rowOff>
    </xdr:to>
    <xdr:pic>
      <xdr:nvPicPr>
        <xdr:cNvPr id="55" name="Imagen 54">
          <a:extLst>
            <a:ext uri="{FF2B5EF4-FFF2-40B4-BE49-F238E27FC236}">
              <a16:creationId xmlns:a16="http://schemas.microsoft.com/office/drawing/2014/main" id="{324CEC44-BB5E-2A8A-8297-DF84315C8D41}"/>
            </a:ext>
          </a:extLst>
        </xdr:cNvPr>
        <xdr:cNvPicPr>
          <a:picLocks noChangeAspect="1"/>
        </xdr:cNvPicPr>
      </xdr:nvPicPr>
      <xdr:blipFill>
        <a:blip xmlns:r="http://schemas.openxmlformats.org/officeDocument/2006/relationships" r:embed="rId11"/>
        <a:stretch>
          <a:fillRect/>
        </a:stretch>
      </xdr:blipFill>
      <xdr:spPr>
        <a:xfrm>
          <a:off x="2258785" y="178838680"/>
          <a:ext cx="3686679" cy="2204357"/>
        </a:xfrm>
        <a:prstGeom prst="rect">
          <a:avLst/>
        </a:prstGeom>
      </xdr:spPr>
    </xdr:pic>
    <xdr:clientData/>
  </xdr:twoCellAnchor>
  <xdr:twoCellAnchor editAs="oneCell">
    <xdr:from>
      <xdr:col>3</xdr:col>
      <xdr:colOff>122465</xdr:colOff>
      <xdr:row>1058</xdr:row>
      <xdr:rowOff>136071</xdr:rowOff>
    </xdr:from>
    <xdr:to>
      <xdr:col>8</xdr:col>
      <xdr:colOff>598714</xdr:colOff>
      <xdr:row>1075</xdr:row>
      <xdr:rowOff>77636</xdr:rowOff>
    </xdr:to>
    <xdr:pic>
      <xdr:nvPicPr>
        <xdr:cNvPr id="56" name="Imagen 55">
          <a:extLst>
            <a:ext uri="{FF2B5EF4-FFF2-40B4-BE49-F238E27FC236}">
              <a16:creationId xmlns:a16="http://schemas.microsoft.com/office/drawing/2014/main" id="{8AAC011C-F63A-2C97-6E21-2AAA7E1D20AA}"/>
            </a:ext>
          </a:extLst>
        </xdr:cNvPr>
        <xdr:cNvPicPr>
          <a:picLocks noChangeAspect="1"/>
        </xdr:cNvPicPr>
      </xdr:nvPicPr>
      <xdr:blipFill>
        <a:blip xmlns:r="http://schemas.openxmlformats.org/officeDocument/2006/relationships" r:embed="rId12"/>
        <a:stretch>
          <a:fillRect/>
        </a:stretch>
      </xdr:blipFill>
      <xdr:spPr>
        <a:xfrm>
          <a:off x="1673679" y="260046107"/>
          <a:ext cx="4748892" cy="2717422"/>
        </a:xfrm>
        <a:prstGeom prst="rect">
          <a:avLst/>
        </a:prstGeom>
      </xdr:spPr>
    </xdr:pic>
    <xdr:clientData/>
  </xdr:twoCellAnchor>
  <xdr:twoCellAnchor editAs="oneCell">
    <xdr:from>
      <xdr:col>3</xdr:col>
      <xdr:colOff>462644</xdr:colOff>
      <xdr:row>30</xdr:row>
      <xdr:rowOff>47049</xdr:rowOff>
    </xdr:from>
    <xdr:to>
      <xdr:col>7</xdr:col>
      <xdr:colOff>472757</xdr:colOff>
      <xdr:row>44</xdr:row>
      <xdr:rowOff>215946</xdr:rowOff>
    </xdr:to>
    <xdr:pic>
      <xdr:nvPicPr>
        <xdr:cNvPr id="57" name="Imagen 56">
          <a:extLst>
            <a:ext uri="{FF2B5EF4-FFF2-40B4-BE49-F238E27FC236}">
              <a16:creationId xmlns:a16="http://schemas.microsoft.com/office/drawing/2014/main" id="{92A0A75B-C749-4003-8C70-960BF8626490}"/>
            </a:ext>
          </a:extLst>
        </xdr:cNvPr>
        <xdr:cNvPicPr>
          <a:picLocks noChangeAspect="1"/>
        </xdr:cNvPicPr>
      </xdr:nvPicPr>
      <xdr:blipFill rotWithShape="1">
        <a:blip xmlns:r="http://schemas.openxmlformats.org/officeDocument/2006/relationships" r:embed="rId13"/>
        <a:srcRect l="34275" t="20373" r="23636" b="17582"/>
        <a:stretch/>
      </xdr:blipFill>
      <xdr:spPr>
        <a:xfrm>
          <a:off x="2013858" y="6524049"/>
          <a:ext cx="3520756" cy="2853586"/>
        </a:xfrm>
        <a:prstGeom prst="rect">
          <a:avLst/>
        </a:prstGeom>
      </xdr:spPr>
    </xdr:pic>
    <xdr:clientData/>
  </xdr:twoCellAnchor>
  <xdr:twoCellAnchor editAs="oneCell">
    <xdr:from>
      <xdr:col>4</xdr:col>
      <xdr:colOff>519794</xdr:colOff>
      <xdr:row>44</xdr:row>
      <xdr:rowOff>257961</xdr:rowOff>
    </xdr:from>
    <xdr:to>
      <xdr:col>7</xdr:col>
      <xdr:colOff>421822</xdr:colOff>
      <xdr:row>59</xdr:row>
      <xdr:rowOff>8952</xdr:rowOff>
    </xdr:to>
    <xdr:pic>
      <xdr:nvPicPr>
        <xdr:cNvPr id="58" name="Imagen 57">
          <a:extLst>
            <a:ext uri="{FF2B5EF4-FFF2-40B4-BE49-F238E27FC236}">
              <a16:creationId xmlns:a16="http://schemas.microsoft.com/office/drawing/2014/main" id="{0062D30B-F21C-48B0-BF76-03CB369207CF}"/>
            </a:ext>
          </a:extLst>
        </xdr:cNvPr>
        <xdr:cNvPicPr>
          <a:picLocks noChangeAspect="1"/>
        </xdr:cNvPicPr>
      </xdr:nvPicPr>
      <xdr:blipFill rotWithShape="1">
        <a:blip xmlns:r="http://schemas.openxmlformats.org/officeDocument/2006/relationships" r:embed="rId14"/>
        <a:srcRect l="31984" t="26485" r="34575" b="15360"/>
        <a:stretch/>
      </xdr:blipFill>
      <xdr:spPr>
        <a:xfrm>
          <a:off x="2833008" y="9020961"/>
          <a:ext cx="2650671" cy="2526848"/>
        </a:xfrm>
        <a:prstGeom prst="rect">
          <a:avLst/>
        </a:prstGeom>
      </xdr:spPr>
    </xdr:pic>
    <xdr:clientData/>
  </xdr:twoCellAnchor>
  <xdr:twoCellAnchor editAs="oneCell">
    <xdr:from>
      <xdr:col>3</xdr:col>
      <xdr:colOff>591913</xdr:colOff>
      <xdr:row>18</xdr:row>
      <xdr:rowOff>119743</xdr:rowOff>
    </xdr:from>
    <xdr:to>
      <xdr:col>8</xdr:col>
      <xdr:colOff>518384</xdr:colOff>
      <xdr:row>31</xdr:row>
      <xdr:rowOff>152400</xdr:rowOff>
    </xdr:to>
    <xdr:pic>
      <xdr:nvPicPr>
        <xdr:cNvPr id="59" name="Imagen 58">
          <a:extLst>
            <a:ext uri="{FF2B5EF4-FFF2-40B4-BE49-F238E27FC236}">
              <a16:creationId xmlns:a16="http://schemas.microsoft.com/office/drawing/2014/main" id="{39425CEF-F8F9-44BB-8742-7F0DB6FA2332}"/>
            </a:ext>
          </a:extLst>
        </xdr:cNvPr>
        <xdr:cNvPicPr>
          <a:picLocks noChangeAspect="1"/>
        </xdr:cNvPicPr>
      </xdr:nvPicPr>
      <xdr:blipFill>
        <a:blip xmlns:r="http://schemas.openxmlformats.org/officeDocument/2006/relationships" r:embed="rId15"/>
        <a:stretch>
          <a:fillRect/>
        </a:stretch>
      </xdr:blipFill>
      <xdr:spPr>
        <a:xfrm>
          <a:off x="2134963" y="4606018"/>
          <a:ext cx="4193671" cy="2509157"/>
        </a:xfrm>
        <a:prstGeom prst="rect">
          <a:avLst/>
        </a:prstGeom>
      </xdr:spPr>
    </xdr:pic>
    <xdr:clientData/>
  </xdr:twoCellAnchor>
  <xdr:twoCellAnchor editAs="oneCell">
    <xdr:from>
      <xdr:col>3</xdr:col>
      <xdr:colOff>453571</xdr:colOff>
      <xdr:row>690</xdr:row>
      <xdr:rowOff>185964</xdr:rowOff>
    </xdr:from>
    <xdr:to>
      <xdr:col>8</xdr:col>
      <xdr:colOff>381436</xdr:colOff>
      <xdr:row>712</xdr:row>
      <xdr:rowOff>109945</xdr:rowOff>
    </xdr:to>
    <xdr:pic>
      <xdr:nvPicPr>
        <xdr:cNvPr id="60" name="Imagen 59">
          <a:extLst>
            <a:ext uri="{FF2B5EF4-FFF2-40B4-BE49-F238E27FC236}">
              <a16:creationId xmlns:a16="http://schemas.microsoft.com/office/drawing/2014/main" id="{1A1797FF-93E3-DA19-4170-326D50643614}"/>
            </a:ext>
          </a:extLst>
        </xdr:cNvPr>
        <xdr:cNvPicPr>
          <a:picLocks noChangeAspect="1"/>
        </xdr:cNvPicPr>
      </xdr:nvPicPr>
      <xdr:blipFill>
        <a:blip xmlns:r="http://schemas.openxmlformats.org/officeDocument/2006/relationships" r:embed="rId16"/>
        <a:stretch>
          <a:fillRect/>
        </a:stretch>
      </xdr:blipFill>
      <xdr:spPr>
        <a:xfrm>
          <a:off x="2755446" y="155078339"/>
          <a:ext cx="4198240" cy="6908981"/>
        </a:xfrm>
        <a:prstGeom prst="rect">
          <a:avLst/>
        </a:prstGeom>
      </xdr:spPr>
    </xdr:pic>
    <xdr:clientData/>
  </xdr:twoCellAnchor>
  <xdr:twoCellAnchor>
    <xdr:from>
      <xdr:col>3</xdr:col>
      <xdr:colOff>551996</xdr:colOff>
      <xdr:row>682</xdr:row>
      <xdr:rowOff>344714</xdr:rowOff>
    </xdr:from>
    <xdr:to>
      <xdr:col>8</xdr:col>
      <xdr:colOff>428625</xdr:colOff>
      <xdr:row>689</xdr:row>
      <xdr:rowOff>47625</xdr:rowOff>
    </xdr:to>
    <xdr:grpSp>
      <xdr:nvGrpSpPr>
        <xdr:cNvPr id="61" name="Grupo 60">
          <a:extLst>
            <a:ext uri="{FF2B5EF4-FFF2-40B4-BE49-F238E27FC236}">
              <a16:creationId xmlns:a16="http://schemas.microsoft.com/office/drawing/2014/main" id="{9AF1ECEF-262C-470D-B5C3-C15F44088DE3}"/>
            </a:ext>
          </a:extLst>
        </xdr:cNvPr>
        <xdr:cNvGrpSpPr/>
      </xdr:nvGrpSpPr>
      <xdr:grpSpPr>
        <a:xfrm>
          <a:off x="2853871" y="152681214"/>
          <a:ext cx="4147004" cy="1941286"/>
          <a:chOff x="876300" y="84086700"/>
          <a:chExt cx="5760000" cy="4855221"/>
        </a:xfrm>
      </xdr:grpSpPr>
      <xdr:pic>
        <xdr:nvPicPr>
          <xdr:cNvPr id="62" name="Imagen 61">
            <a:extLst>
              <a:ext uri="{FF2B5EF4-FFF2-40B4-BE49-F238E27FC236}">
                <a16:creationId xmlns:a16="http://schemas.microsoft.com/office/drawing/2014/main" id="{9164B1BF-03D6-9439-3C30-2208F55D24EF}"/>
              </a:ext>
            </a:extLst>
          </xdr:cNvPr>
          <xdr:cNvPicPr>
            <a:picLocks noChangeAspect="1"/>
          </xdr:cNvPicPr>
        </xdr:nvPicPr>
        <xdr:blipFill rotWithShape="1">
          <a:blip xmlns:r="http://schemas.openxmlformats.org/officeDocument/2006/relationships" r:embed="rId17"/>
          <a:srcRect l="26774" t="19447" r="26137" b="9989"/>
          <a:stretch/>
        </xdr:blipFill>
        <xdr:spPr>
          <a:xfrm>
            <a:off x="876300" y="84086700"/>
            <a:ext cx="5760000" cy="4855221"/>
          </a:xfrm>
          <a:prstGeom prst="rect">
            <a:avLst/>
          </a:prstGeom>
        </xdr:spPr>
      </xdr:pic>
      <xdr:sp macro="" textlink="">
        <xdr:nvSpPr>
          <xdr:cNvPr id="63" name="Rectángulo 62">
            <a:extLst>
              <a:ext uri="{FF2B5EF4-FFF2-40B4-BE49-F238E27FC236}">
                <a16:creationId xmlns:a16="http://schemas.microsoft.com/office/drawing/2014/main" id="{6BFC99B7-EEDA-997A-CCAB-DF743C69B2B6}"/>
              </a:ext>
            </a:extLst>
          </xdr:cNvPr>
          <xdr:cNvSpPr/>
        </xdr:nvSpPr>
        <xdr:spPr>
          <a:xfrm>
            <a:off x="2076450" y="85515450"/>
            <a:ext cx="3257550" cy="1981200"/>
          </a:xfrm>
          <a:prstGeom prst="rect">
            <a:avLst/>
          </a:prstGeom>
          <a:no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noFill/>
            </a:endParaRPr>
          </a:p>
        </xdr:txBody>
      </xdr:sp>
    </xdr:grpSp>
    <xdr:clientData/>
  </xdr:twoCellAnchor>
  <xdr:twoCellAnchor>
    <xdr:from>
      <xdr:col>3</xdr:col>
      <xdr:colOff>139246</xdr:colOff>
      <xdr:row>714</xdr:row>
      <xdr:rowOff>215899</xdr:rowOff>
    </xdr:from>
    <xdr:to>
      <xdr:col>8</xdr:col>
      <xdr:colOff>190500</xdr:colOff>
      <xdr:row>720</xdr:row>
      <xdr:rowOff>299944</xdr:rowOff>
    </xdr:to>
    <xdr:grpSp>
      <xdr:nvGrpSpPr>
        <xdr:cNvPr id="67" name="Grupo 66">
          <a:extLst>
            <a:ext uri="{FF2B5EF4-FFF2-40B4-BE49-F238E27FC236}">
              <a16:creationId xmlns:a16="http://schemas.microsoft.com/office/drawing/2014/main" id="{FAE618D5-91BC-4AAC-8E07-86B05565846E}"/>
            </a:ext>
          </a:extLst>
        </xdr:cNvPr>
        <xdr:cNvGrpSpPr/>
      </xdr:nvGrpSpPr>
      <xdr:grpSpPr>
        <a:xfrm>
          <a:off x="2441121" y="162728274"/>
          <a:ext cx="4321629" cy="1989045"/>
          <a:chOff x="1695450" y="95116649"/>
          <a:chExt cx="5760000" cy="5353412"/>
        </a:xfrm>
      </xdr:grpSpPr>
      <xdr:pic>
        <xdr:nvPicPr>
          <xdr:cNvPr id="68" name="Imagen 67">
            <a:extLst>
              <a:ext uri="{FF2B5EF4-FFF2-40B4-BE49-F238E27FC236}">
                <a16:creationId xmlns:a16="http://schemas.microsoft.com/office/drawing/2014/main" id="{E0E20498-1463-9FF1-043A-4BA03ACCA63C}"/>
              </a:ext>
            </a:extLst>
          </xdr:cNvPr>
          <xdr:cNvPicPr>
            <a:picLocks noChangeAspect="1"/>
          </xdr:cNvPicPr>
        </xdr:nvPicPr>
        <xdr:blipFill rotWithShape="1">
          <a:blip xmlns:r="http://schemas.openxmlformats.org/officeDocument/2006/relationships" r:embed="rId18"/>
          <a:srcRect l="32400" t="23707" r="32179" b="17767"/>
          <a:stretch/>
        </xdr:blipFill>
        <xdr:spPr>
          <a:xfrm>
            <a:off x="1695450" y="95116649"/>
            <a:ext cx="5760000" cy="5353412"/>
          </a:xfrm>
          <a:prstGeom prst="rect">
            <a:avLst/>
          </a:prstGeom>
        </xdr:spPr>
      </xdr:pic>
      <xdr:sp macro="" textlink="">
        <xdr:nvSpPr>
          <xdr:cNvPr id="69" name="Rectángulo 68">
            <a:extLst>
              <a:ext uri="{FF2B5EF4-FFF2-40B4-BE49-F238E27FC236}">
                <a16:creationId xmlns:a16="http://schemas.microsoft.com/office/drawing/2014/main" id="{D1A45DB2-D0C7-2FA7-BE3F-F9CD9CEFED9A}"/>
              </a:ext>
            </a:extLst>
          </xdr:cNvPr>
          <xdr:cNvSpPr/>
        </xdr:nvSpPr>
        <xdr:spPr>
          <a:xfrm>
            <a:off x="2952750" y="96335850"/>
            <a:ext cx="3086100" cy="3333750"/>
          </a:xfrm>
          <a:prstGeom prst="rect">
            <a:avLst/>
          </a:prstGeom>
          <a:no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noFill/>
            </a:endParaRPr>
          </a:p>
        </xdr:txBody>
      </xdr:sp>
    </xdr:grpSp>
    <xdr:clientData/>
  </xdr:twoCellAnchor>
  <xdr:twoCellAnchor>
    <xdr:from>
      <xdr:col>3</xdr:col>
      <xdr:colOff>481693</xdr:colOff>
      <xdr:row>833</xdr:row>
      <xdr:rowOff>163286</xdr:rowOff>
    </xdr:from>
    <xdr:to>
      <xdr:col>7</xdr:col>
      <xdr:colOff>585108</xdr:colOff>
      <xdr:row>841</xdr:row>
      <xdr:rowOff>244928</xdr:rowOff>
    </xdr:to>
    <xdr:grpSp>
      <xdr:nvGrpSpPr>
        <xdr:cNvPr id="70" name="Grupo 69">
          <a:extLst>
            <a:ext uri="{FF2B5EF4-FFF2-40B4-BE49-F238E27FC236}">
              <a16:creationId xmlns:a16="http://schemas.microsoft.com/office/drawing/2014/main" id="{AA344811-A741-42D0-8E51-C7611C6E2897}"/>
            </a:ext>
          </a:extLst>
        </xdr:cNvPr>
        <xdr:cNvGrpSpPr/>
      </xdr:nvGrpSpPr>
      <xdr:grpSpPr>
        <a:xfrm>
          <a:off x="2783568" y="190282286"/>
          <a:ext cx="3611790" cy="2621642"/>
          <a:chOff x="876300" y="84086700"/>
          <a:chExt cx="5760000" cy="4855221"/>
        </a:xfrm>
      </xdr:grpSpPr>
      <xdr:pic>
        <xdr:nvPicPr>
          <xdr:cNvPr id="71" name="Imagen 70">
            <a:extLst>
              <a:ext uri="{FF2B5EF4-FFF2-40B4-BE49-F238E27FC236}">
                <a16:creationId xmlns:a16="http://schemas.microsoft.com/office/drawing/2014/main" id="{130F9221-3602-A23E-5A13-6E7D947346CF}"/>
              </a:ext>
            </a:extLst>
          </xdr:cNvPr>
          <xdr:cNvPicPr>
            <a:picLocks noChangeAspect="1"/>
          </xdr:cNvPicPr>
        </xdr:nvPicPr>
        <xdr:blipFill rotWithShape="1">
          <a:blip xmlns:r="http://schemas.openxmlformats.org/officeDocument/2006/relationships" r:embed="rId17"/>
          <a:srcRect l="26774" t="19447" r="26137" b="9989"/>
          <a:stretch/>
        </xdr:blipFill>
        <xdr:spPr>
          <a:xfrm>
            <a:off x="876300" y="84086700"/>
            <a:ext cx="5760000" cy="4855221"/>
          </a:xfrm>
          <a:prstGeom prst="rect">
            <a:avLst/>
          </a:prstGeom>
        </xdr:spPr>
      </xdr:pic>
      <xdr:sp macro="" textlink="">
        <xdr:nvSpPr>
          <xdr:cNvPr id="72" name="Rectángulo 71">
            <a:extLst>
              <a:ext uri="{FF2B5EF4-FFF2-40B4-BE49-F238E27FC236}">
                <a16:creationId xmlns:a16="http://schemas.microsoft.com/office/drawing/2014/main" id="{CAA9BA7B-EEBB-4091-AC3F-560917239AF8}"/>
              </a:ext>
            </a:extLst>
          </xdr:cNvPr>
          <xdr:cNvSpPr/>
        </xdr:nvSpPr>
        <xdr:spPr>
          <a:xfrm>
            <a:off x="2076450" y="85515450"/>
            <a:ext cx="3257550" cy="1981200"/>
          </a:xfrm>
          <a:prstGeom prst="rect">
            <a:avLst/>
          </a:prstGeom>
          <a:no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noFill/>
            </a:endParaRPr>
          </a:p>
        </xdr:txBody>
      </xdr:sp>
    </xdr:grpSp>
    <xdr:clientData/>
  </xdr:twoCellAnchor>
  <xdr:twoCellAnchor>
    <xdr:from>
      <xdr:col>3</xdr:col>
      <xdr:colOff>367393</xdr:colOff>
      <xdr:row>841</xdr:row>
      <xdr:rowOff>289151</xdr:rowOff>
    </xdr:from>
    <xdr:to>
      <xdr:col>7</xdr:col>
      <xdr:colOff>470808</xdr:colOff>
      <xdr:row>851</xdr:row>
      <xdr:rowOff>112373</xdr:rowOff>
    </xdr:to>
    <xdr:grpSp>
      <xdr:nvGrpSpPr>
        <xdr:cNvPr id="73" name="Grupo 72">
          <a:extLst>
            <a:ext uri="{FF2B5EF4-FFF2-40B4-BE49-F238E27FC236}">
              <a16:creationId xmlns:a16="http://schemas.microsoft.com/office/drawing/2014/main" id="{9523E9EB-8883-4AAD-B43C-71C440C0EC23}"/>
            </a:ext>
          </a:extLst>
        </xdr:cNvPr>
        <xdr:cNvGrpSpPr/>
      </xdr:nvGrpSpPr>
      <xdr:grpSpPr>
        <a:xfrm>
          <a:off x="2669268" y="192948151"/>
          <a:ext cx="3611790" cy="2998222"/>
          <a:chOff x="590550" y="89858851"/>
          <a:chExt cx="5760000" cy="4662857"/>
        </a:xfrm>
      </xdr:grpSpPr>
      <xdr:pic>
        <xdr:nvPicPr>
          <xdr:cNvPr id="74" name="Imagen 73">
            <a:extLst>
              <a:ext uri="{FF2B5EF4-FFF2-40B4-BE49-F238E27FC236}">
                <a16:creationId xmlns:a16="http://schemas.microsoft.com/office/drawing/2014/main" id="{0BB10AAD-C30E-A478-9043-D8DD32BBD46F}"/>
              </a:ext>
            </a:extLst>
          </xdr:cNvPr>
          <xdr:cNvPicPr>
            <a:picLocks noChangeAspect="1"/>
          </xdr:cNvPicPr>
        </xdr:nvPicPr>
        <xdr:blipFill rotWithShape="1">
          <a:blip xmlns:r="http://schemas.openxmlformats.org/officeDocument/2006/relationships" r:embed="rId19"/>
          <a:srcRect l="37297" t="23892" r="21136" b="16286"/>
          <a:stretch/>
        </xdr:blipFill>
        <xdr:spPr>
          <a:xfrm>
            <a:off x="590550" y="89858851"/>
            <a:ext cx="5760000" cy="4662857"/>
          </a:xfrm>
          <a:prstGeom prst="rect">
            <a:avLst/>
          </a:prstGeom>
        </xdr:spPr>
      </xdr:pic>
      <xdr:sp macro="" textlink="">
        <xdr:nvSpPr>
          <xdr:cNvPr id="75" name="Rectángulo 74">
            <a:extLst>
              <a:ext uri="{FF2B5EF4-FFF2-40B4-BE49-F238E27FC236}">
                <a16:creationId xmlns:a16="http://schemas.microsoft.com/office/drawing/2014/main" id="{508F953A-CABD-D55B-466F-A308BCFA428C}"/>
              </a:ext>
            </a:extLst>
          </xdr:cNvPr>
          <xdr:cNvSpPr/>
        </xdr:nvSpPr>
        <xdr:spPr>
          <a:xfrm>
            <a:off x="1962150" y="91268550"/>
            <a:ext cx="3257550" cy="1752600"/>
          </a:xfrm>
          <a:prstGeom prst="rect">
            <a:avLst/>
          </a:prstGeom>
          <a:no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noFill/>
            </a:endParaRPr>
          </a:p>
        </xdr:txBody>
      </xdr:sp>
    </xdr:grpSp>
    <xdr:clientData/>
  </xdr:twoCellAnchor>
  <xdr:twoCellAnchor>
    <xdr:from>
      <xdr:col>3</xdr:col>
      <xdr:colOff>481693</xdr:colOff>
      <xdr:row>850</xdr:row>
      <xdr:rowOff>50346</xdr:rowOff>
    </xdr:from>
    <xdr:to>
      <xdr:col>7</xdr:col>
      <xdr:colOff>585108</xdr:colOff>
      <xdr:row>857</xdr:row>
      <xdr:rowOff>269438</xdr:rowOff>
    </xdr:to>
    <xdr:grpSp>
      <xdr:nvGrpSpPr>
        <xdr:cNvPr id="76" name="Grupo 75">
          <a:extLst>
            <a:ext uri="{FF2B5EF4-FFF2-40B4-BE49-F238E27FC236}">
              <a16:creationId xmlns:a16="http://schemas.microsoft.com/office/drawing/2014/main" id="{1917E0E2-6940-4DA1-9C02-A53881CCADEE}"/>
            </a:ext>
          </a:extLst>
        </xdr:cNvPr>
        <xdr:cNvGrpSpPr/>
      </xdr:nvGrpSpPr>
      <xdr:grpSpPr>
        <a:xfrm>
          <a:off x="2783568" y="195566846"/>
          <a:ext cx="3611790" cy="2441592"/>
          <a:chOff x="1695450" y="95116649"/>
          <a:chExt cx="5760000" cy="5353412"/>
        </a:xfrm>
      </xdr:grpSpPr>
      <xdr:pic>
        <xdr:nvPicPr>
          <xdr:cNvPr id="77" name="Imagen 76">
            <a:extLst>
              <a:ext uri="{FF2B5EF4-FFF2-40B4-BE49-F238E27FC236}">
                <a16:creationId xmlns:a16="http://schemas.microsoft.com/office/drawing/2014/main" id="{2162310D-E6A4-A72B-FEBB-600A902F73F5}"/>
              </a:ext>
            </a:extLst>
          </xdr:cNvPr>
          <xdr:cNvPicPr>
            <a:picLocks noChangeAspect="1"/>
          </xdr:cNvPicPr>
        </xdr:nvPicPr>
        <xdr:blipFill rotWithShape="1">
          <a:blip xmlns:r="http://schemas.openxmlformats.org/officeDocument/2006/relationships" r:embed="rId18"/>
          <a:srcRect l="32400" t="23707" r="32179" b="17767"/>
          <a:stretch/>
        </xdr:blipFill>
        <xdr:spPr>
          <a:xfrm>
            <a:off x="1695450" y="95116649"/>
            <a:ext cx="5760000" cy="5353412"/>
          </a:xfrm>
          <a:prstGeom prst="rect">
            <a:avLst/>
          </a:prstGeom>
        </xdr:spPr>
      </xdr:pic>
      <xdr:sp macro="" textlink="">
        <xdr:nvSpPr>
          <xdr:cNvPr id="78" name="Rectángulo 77">
            <a:extLst>
              <a:ext uri="{FF2B5EF4-FFF2-40B4-BE49-F238E27FC236}">
                <a16:creationId xmlns:a16="http://schemas.microsoft.com/office/drawing/2014/main" id="{CCE4F6AD-7044-F1F5-1DE8-74E236F207A8}"/>
              </a:ext>
            </a:extLst>
          </xdr:cNvPr>
          <xdr:cNvSpPr/>
        </xdr:nvSpPr>
        <xdr:spPr>
          <a:xfrm>
            <a:off x="2952750" y="96335850"/>
            <a:ext cx="3086100" cy="3333750"/>
          </a:xfrm>
          <a:prstGeom prst="rect">
            <a:avLst/>
          </a:prstGeom>
          <a:no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noFill/>
            </a:endParaRPr>
          </a:p>
        </xdr:txBody>
      </xdr:sp>
    </xdr:grpSp>
    <xdr:clientData/>
  </xdr:twoCellAnchor>
  <xdr:twoCellAnchor>
    <xdr:from>
      <xdr:col>4</xdr:col>
      <xdr:colOff>114300</xdr:colOff>
      <xdr:row>927</xdr:row>
      <xdr:rowOff>213631</xdr:rowOff>
    </xdr:from>
    <xdr:to>
      <xdr:col>8</xdr:col>
      <xdr:colOff>217715</xdr:colOff>
      <xdr:row>935</xdr:row>
      <xdr:rowOff>106152</xdr:rowOff>
    </xdr:to>
    <xdr:grpSp>
      <xdr:nvGrpSpPr>
        <xdr:cNvPr id="85" name="Grupo 84">
          <a:extLst>
            <a:ext uri="{FF2B5EF4-FFF2-40B4-BE49-F238E27FC236}">
              <a16:creationId xmlns:a16="http://schemas.microsoft.com/office/drawing/2014/main" id="{DA4196BC-EED7-46B5-B23D-C4B6393471A1}"/>
            </a:ext>
          </a:extLst>
        </xdr:cNvPr>
        <xdr:cNvGrpSpPr/>
      </xdr:nvGrpSpPr>
      <xdr:grpSpPr>
        <a:xfrm>
          <a:off x="3178175" y="218304381"/>
          <a:ext cx="3611790" cy="2432521"/>
          <a:chOff x="1695450" y="95116649"/>
          <a:chExt cx="5760000" cy="5353412"/>
        </a:xfrm>
      </xdr:grpSpPr>
      <xdr:pic>
        <xdr:nvPicPr>
          <xdr:cNvPr id="86" name="Imagen 85">
            <a:extLst>
              <a:ext uri="{FF2B5EF4-FFF2-40B4-BE49-F238E27FC236}">
                <a16:creationId xmlns:a16="http://schemas.microsoft.com/office/drawing/2014/main" id="{2BEE638D-083D-547D-B90C-502E071F65DF}"/>
              </a:ext>
            </a:extLst>
          </xdr:cNvPr>
          <xdr:cNvPicPr>
            <a:picLocks noChangeAspect="1"/>
          </xdr:cNvPicPr>
        </xdr:nvPicPr>
        <xdr:blipFill rotWithShape="1">
          <a:blip xmlns:r="http://schemas.openxmlformats.org/officeDocument/2006/relationships" r:embed="rId18"/>
          <a:srcRect l="32400" t="23707" r="32179" b="17767"/>
          <a:stretch/>
        </xdr:blipFill>
        <xdr:spPr>
          <a:xfrm>
            <a:off x="1695450" y="95116649"/>
            <a:ext cx="5760000" cy="5353412"/>
          </a:xfrm>
          <a:prstGeom prst="rect">
            <a:avLst/>
          </a:prstGeom>
        </xdr:spPr>
      </xdr:pic>
      <xdr:sp macro="" textlink="">
        <xdr:nvSpPr>
          <xdr:cNvPr id="87" name="Rectángulo 86">
            <a:extLst>
              <a:ext uri="{FF2B5EF4-FFF2-40B4-BE49-F238E27FC236}">
                <a16:creationId xmlns:a16="http://schemas.microsoft.com/office/drawing/2014/main" id="{C9B50E3D-D5EB-E199-13F5-7CF796B7B9EE}"/>
              </a:ext>
            </a:extLst>
          </xdr:cNvPr>
          <xdr:cNvSpPr/>
        </xdr:nvSpPr>
        <xdr:spPr>
          <a:xfrm>
            <a:off x="2952750" y="96335850"/>
            <a:ext cx="3086100" cy="3333750"/>
          </a:xfrm>
          <a:prstGeom prst="rect">
            <a:avLst/>
          </a:prstGeom>
          <a:noFill/>
          <a:ln w="381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s-CO" sz="1100" b="0" i="0" u="none" strike="noStrike" kern="0" cap="none" spc="0" normalizeH="0" baseline="0" noProof="0">
              <a:ln>
                <a:noFill/>
              </a:ln>
              <a:noFill/>
              <a:effectLst/>
              <a:uLnTx/>
              <a:uFillTx/>
              <a:latin typeface="Calibri" panose="020F0502020204030204"/>
              <a:ea typeface="+mn-ea"/>
              <a:cs typeface="+mn-cs"/>
            </a:endParaRPr>
          </a:p>
        </xdr:txBody>
      </xdr:sp>
    </xdr:grpSp>
    <xdr:clientData/>
  </xdr:twoCellAnchor>
  <xdr:twoCellAnchor>
    <xdr:from>
      <xdr:col>4</xdr:col>
      <xdr:colOff>59871</xdr:colOff>
      <xdr:row>983</xdr:row>
      <xdr:rowOff>217715</xdr:rowOff>
    </xdr:from>
    <xdr:to>
      <xdr:col>8</xdr:col>
      <xdr:colOff>163286</xdr:colOff>
      <xdr:row>991</xdr:row>
      <xdr:rowOff>299358</xdr:rowOff>
    </xdr:to>
    <xdr:grpSp>
      <xdr:nvGrpSpPr>
        <xdr:cNvPr id="97" name="Grupo 96">
          <a:extLst>
            <a:ext uri="{FF2B5EF4-FFF2-40B4-BE49-F238E27FC236}">
              <a16:creationId xmlns:a16="http://schemas.microsoft.com/office/drawing/2014/main" id="{38ACC270-A127-4FF4-9873-C8F6EBC67CAD}"/>
            </a:ext>
          </a:extLst>
        </xdr:cNvPr>
        <xdr:cNvGrpSpPr/>
      </xdr:nvGrpSpPr>
      <xdr:grpSpPr>
        <a:xfrm>
          <a:off x="3123746" y="234215215"/>
          <a:ext cx="3611790" cy="2621643"/>
          <a:chOff x="876300" y="84086700"/>
          <a:chExt cx="5760000" cy="4855221"/>
        </a:xfrm>
      </xdr:grpSpPr>
      <xdr:pic>
        <xdr:nvPicPr>
          <xdr:cNvPr id="98" name="Imagen 97">
            <a:extLst>
              <a:ext uri="{FF2B5EF4-FFF2-40B4-BE49-F238E27FC236}">
                <a16:creationId xmlns:a16="http://schemas.microsoft.com/office/drawing/2014/main" id="{9D5CBBD7-1C91-0E93-E159-6F39599C6FCA}"/>
              </a:ext>
            </a:extLst>
          </xdr:cNvPr>
          <xdr:cNvPicPr>
            <a:picLocks noChangeAspect="1"/>
          </xdr:cNvPicPr>
        </xdr:nvPicPr>
        <xdr:blipFill rotWithShape="1">
          <a:blip xmlns:r="http://schemas.openxmlformats.org/officeDocument/2006/relationships" r:embed="rId17"/>
          <a:srcRect l="26774" t="19447" r="26137" b="9989"/>
          <a:stretch/>
        </xdr:blipFill>
        <xdr:spPr>
          <a:xfrm>
            <a:off x="876300" y="84086700"/>
            <a:ext cx="5760000" cy="4855221"/>
          </a:xfrm>
          <a:prstGeom prst="rect">
            <a:avLst/>
          </a:prstGeom>
        </xdr:spPr>
      </xdr:pic>
      <xdr:sp macro="" textlink="">
        <xdr:nvSpPr>
          <xdr:cNvPr id="99" name="Rectángulo 98">
            <a:extLst>
              <a:ext uri="{FF2B5EF4-FFF2-40B4-BE49-F238E27FC236}">
                <a16:creationId xmlns:a16="http://schemas.microsoft.com/office/drawing/2014/main" id="{32E0E068-2276-557D-5653-7041CF5B4512}"/>
              </a:ext>
            </a:extLst>
          </xdr:cNvPr>
          <xdr:cNvSpPr/>
        </xdr:nvSpPr>
        <xdr:spPr>
          <a:xfrm>
            <a:off x="2076450" y="85515450"/>
            <a:ext cx="3257550" cy="1981200"/>
          </a:xfrm>
          <a:prstGeom prst="rect">
            <a:avLst/>
          </a:prstGeom>
          <a:no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noFill/>
            </a:endParaRPr>
          </a:p>
        </xdr:txBody>
      </xdr:sp>
    </xdr:grpSp>
    <xdr:clientData/>
  </xdr:twoCellAnchor>
  <xdr:twoCellAnchor>
    <xdr:from>
      <xdr:col>3</xdr:col>
      <xdr:colOff>707571</xdr:colOff>
      <xdr:row>992</xdr:row>
      <xdr:rowOff>17010</xdr:rowOff>
    </xdr:from>
    <xdr:to>
      <xdr:col>8</xdr:col>
      <xdr:colOff>48986</xdr:colOff>
      <xdr:row>1001</xdr:row>
      <xdr:rowOff>166803</xdr:rowOff>
    </xdr:to>
    <xdr:grpSp>
      <xdr:nvGrpSpPr>
        <xdr:cNvPr id="100" name="Grupo 99">
          <a:extLst>
            <a:ext uri="{FF2B5EF4-FFF2-40B4-BE49-F238E27FC236}">
              <a16:creationId xmlns:a16="http://schemas.microsoft.com/office/drawing/2014/main" id="{3C72A40C-302B-4C31-9918-24BBAADCA9CF}"/>
            </a:ext>
          </a:extLst>
        </xdr:cNvPr>
        <xdr:cNvGrpSpPr/>
      </xdr:nvGrpSpPr>
      <xdr:grpSpPr>
        <a:xfrm>
          <a:off x="3009446" y="236872010"/>
          <a:ext cx="3611790" cy="3007293"/>
          <a:chOff x="590550" y="89858851"/>
          <a:chExt cx="5760000" cy="4662857"/>
        </a:xfrm>
      </xdr:grpSpPr>
      <xdr:pic>
        <xdr:nvPicPr>
          <xdr:cNvPr id="101" name="Imagen 100">
            <a:extLst>
              <a:ext uri="{FF2B5EF4-FFF2-40B4-BE49-F238E27FC236}">
                <a16:creationId xmlns:a16="http://schemas.microsoft.com/office/drawing/2014/main" id="{9630CC7B-8379-3A5B-E7C9-538684522EDA}"/>
              </a:ext>
            </a:extLst>
          </xdr:cNvPr>
          <xdr:cNvPicPr>
            <a:picLocks noChangeAspect="1"/>
          </xdr:cNvPicPr>
        </xdr:nvPicPr>
        <xdr:blipFill rotWithShape="1">
          <a:blip xmlns:r="http://schemas.openxmlformats.org/officeDocument/2006/relationships" r:embed="rId19"/>
          <a:srcRect l="37297" t="23892" r="21136" b="16286"/>
          <a:stretch/>
        </xdr:blipFill>
        <xdr:spPr>
          <a:xfrm>
            <a:off x="590550" y="89858851"/>
            <a:ext cx="5760000" cy="4662857"/>
          </a:xfrm>
          <a:prstGeom prst="rect">
            <a:avLst/>
          </a:prstGeom>
        </xdr:spPr>
      </xdr:pic>
      <xdr:sp macro="" textlink="">
        <xdr:nvSpPr>
          <xdr:cNvPr id="102" name="Rectángulo 101">
            <a:extLst>
              <a:ext uri="{FF2B5EF4-FFF2-40B4-BE49-F238E27FC236}">
                <a16:creationId xmlns:a16="http://schemas.microsoft.com/office/drawing/2014/main" id="{E77CD0F9-7344-EC68-6F84-9C087B2804AC}"/>
              </a:ext>
            </a:extLst>
          </xdr:cNvPr>
          <xdr:cNvSpPr/>
        </xdr:nvSpPr>
        <xdr:spPr>
          <a:xfrm>
            <a:off x="1962150" y="91268550"/>
            <a:ext cx="3257550" cy="1752600"/>
          </a:xfrm>
          <a:prstGeom prst="rect">
            <a:avLst/>
          </a:prstGeom>
          <a:no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noFill/>
            </a:endParaRPr>
          </a:p>
        </xdr:txBody>
      </xdr:sp>
    </xdr:grpSp>
    <xdr:clientData/>
  </xdr:twoCellAnchor>
  <xdr:twoCellAnchor>
    <xdr:from>
      <xdr:col>4</xdr:col>
      <xdr:colOff>59871</xdr:colOff>
      <xdr:row>1000</xdr:row>
      <xdr:rowOff>104775</xdr:rowOff>
    </xdr:from>
    <xdr:to>
      <xdr:col>8</xdr:col>
      <xdr:colOff>163286</xdr:colOff>
      <xdr:row>1007</xdr:row>
      <xdr:rowOff>323867</xdr:rowOff>
    </xdr:to>
    <xdr:grpSp>
      <xdr:nvGrpSpPr>
        <xdr:cNvPr id="103" name="Grupo 102">
          <a:extLst>
            <a:ext uri="{FF2B5EF4-FFF2-40B4-BE49-F238E27FC236}">
              <a16:creationId xmlns:a16="http://schemas.microsoft.com/office/drawing/2014/main" id="{01B5D2D3-777A-4051-A3D3-002760100E4A}"/>
            </a:ext>
          </a:extLst>
        </xdr:cNvPr>
        <xdr:cNvGrpSpPr/>
      </xdr:nvGrpSpPr>
      <xdr:grpSpPr>
        <a:xfrm>
          <a:off x="3123746" y="239499775"/>
          <a:ext cx="3611790" cy="2441592"/>
          <a:chOff x="1695450" y="95116649"/>
          <a:chExt cx="5760000" cy="5353412"/>
        </a:xfrm>
      </xdr:grpSpPr>
      <xdr:pic>
        <xdr:nvPicPr>
          <xdr:cNvPr id="104" name="Imagen 103">
            <a:extLst>
              <a:ext uri="{FF2B5EF4-FFF2-40B4-BE49-F238E27FC236}">
                <a16:creationId xmlns:a16="http://schemas.microsoft.com/office/drawing/2014/main" id="{5EC50EC1-A2BA-CA12-0FE8-D0839905D717}"/>
              </a:ext>
            </a:extLst>
          </xdr:cNvPr>
          <xdr:cNvPicPr>
            <a:picLocks noChangeAspect="1"/>
          </xdr:cNvPicPr>
        </xdr:nvPicPr>
        <xdr:blipFill rotWithShape="1">
          <a:blip xmlns:r="http://schemas.openxmlformats.org/officeDocument/2006/relationships" r:embed="rId18"/>
          <a:srcRect l="32400" t="23707" r="32179" b="17767"/>
          <a:stretch/>
        </xdr:blipFill>
        <xdr:spPr>
          <a:xfrm>
            <a:off x="1695450" y="95116649"/>
            <a:ext cx="5760000" cy="5353412"/>
          </a:xfrm>
          <a:prstGeom prst="rect">
            <a:avLst/>
          </a:prstGeom>
        </xdr:spPr>
      </xdr:pic>
      <xdr:sp macro="" textlink="">
        <xdr:nvSpPr>
          <xdr:cNvPr id="105" name="Rectángulo 104">
            <a:extLst>
              <a:ext uri="{FF2B5EF4-FFF2-40B4-BE49-F238E27FC236}">
                <a16:creationId xmlns:a16="http://schemas.microsoft.com/office/drawing/2014/main" id="{8AB6F40E-3943-A75F-5C36-564F52B4C07E}"/>
              </a:ext>
            </a:extLst>
          </xdr:cNvPr>
          <xdr:cNvSpPr/>
        </xdr:nvSpPr>
        <xdr:spPr>
          <a:xfrm>
            <a:off x="2952750" y="96335850"/>
            <a:ext cx="3086100" cy="3333750"/>
          </a:xfrm>
          <a:prstGeom prst="rect">
            <a:avLst/>
          </a:prstGeom>
          <a:no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noFill/>
            </a:endParaRPr>
          </a:p>
        </xdr:txBody>
      </xdr:sp>
    </xdr:grpSp>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159656</xdr:colOff>
      <xdr:row>1</xdr:row>
      <xdr:rowOff>50800</xdr:rowOff>
    </xdr:from>
    <xdr:to>
      <xdr:col>7</xdr:col>
      <xdr:colOff>1340687</xdr:colOff>
      <xdr:row>5</xdr:row>
      <xdr:rowOff>664028</xdr:rowOff>
    </xdr:to>
    <xdr:pic>
      <xdr:nvPicPr>
        <xdr:cNvPr id="2" name="Imagen 1">
          <a:extLst>
            <a:ext uri="{FF2B5EF4-FFF2-40B4-BE49-F238E27FC236}">
              <a16:creationId xmlns:a16="http://schemas.microsoft.com/office/drawing/2014/main" id="{58C54F12-79E5-477C-9006-BC3E64F257BE}"/>
            </a:ext>
          </a:extLst>
        </xdr:cNvPr>
        <xdr:cNvPicPr>
          <a:picLocks noChangeAspect="1"/>
        </xdr:cNvPicPr>
      </xdr:nvPicPr>
      <xdr:blipFill>
        <a:blip xmlns:r="http://schemas.openxmlformats.org/officeDocument/2006/relationships" r:embed="rId1"/>
        <a:stretch>
          <a:fillRect/>
        </a:stretch>
      </xdr:blipFill>
      <xdr:spPr>
        <a:xfrm>
          <a:off x="959756" y="260350"/>
          <a:ext cx="9496356" cy="1422853"/>
        </a:xfrm>
        <a:prstGeom prst="rect">
          <a:avLst/>
        </a:prstGeom>
      </xdr:spPr>
    </xdr:pic>
    <xdr:clientData/>
  </xdr:twoCellAnchor>
  <xdr:twoCellAnchor editAs="oneCell">
    <xdr:from>
      <xdr:col>22</xdr:col>
      <xdr:colOff>0</xdr:colOff>
      <xdr:row>102</xdr:row>
      <xdr:rowOff>0</xdr:rowOff>
    </xdr:from>
    <xdr:to>
      <xdr:col>34</xdr:col>
      <xdr:colOff>182880</xdr:colOff>
      <xdr:row>122</xdr:row>
      <xdr:rowOff>75397</xdr:rowOff>
    </xdr:to>
    <xdr:pic>
      <xdr:nvPicPr>
        <xdr:cNvPr id="3" name="Imagen 2">
          <a:extLst>
            <a:ext uri="{FF2B5EF4-FFF2-40B4-BE49-F238E27FC236}">
              <a16:creationId xmlns:a16="http://schemas.microsoft.com/office/drawing/2014/main" id="{A29B314D-C1B1-40F7-B73B-55EFE9F5B88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088475" y="6219825"/>
          <a:ext cx="10660380" cy="505697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500673</xdr:colOff>
      <xdr:row>113</xdr:row>
      <xdr:rowOff>451826</xdr:rowOff>
    </xdr:from>
    <xdr:to>
      <xdr:col>3</xdr:col>
      <xdr:colOff>2335728</xdr:colOff>
      <xdr:row>115</xdr:row>
      <xdr:rowOff>103049</xdr:rowOff>
    </xdr:to>
    <xdr:pic>
      <xdr:nvPicPr>
        <xdr:cNvPr id="4" name="Imagen 3">
          <a:extLst>
            <a:ext uri="{FF2B5EF4-FFF2-40B4-BE49-F238E27FC236}">
              <a16:creationId xmlns:a16="http://schemas.microsoft.com/office/drawing/2014/main" id="{CC913319-49C5-60B9-A874-CB3481FE4BE1}"/>
            </a:ext>
          </a:extLst>
        </xdr:cNvPr>
        <xdr:cNvPicPr>
          <a:picLocks noChangeAspect="1"/>
        </xdr:cNvPicPr>
      </xdr:nvPicPr>
      <xdr:blipFill>
        <a:blip xmlns:r="http://schemas.openxmlformats.org/officeDocument/2006/relationships" r:embed="rId3"/>
        <a:stretch>
          <a:fillRect/>
        </a:stretch>
      </xdr:blipFill>
      <xdr:spPr>
        <a:xfrm>
          <a:off x="1379904" y="29991538"/>
          <a:ext cx="1835055" cy="49381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oneCellAnchor>
    <xdr:from>
      <xdr:col>3</xdr:col>
      <xdr:colOff>831397</xdr:colOff>
      <xdr:row>79</xdr:row>
      <xdr:rowOff>4082</xdr:rowOff>
    </xdr:from>
    <xdr:ext cx="1835054" cy="493819"/>
    <xdr:pic>
      <xdr:nvPicPr>
        <xdr:cNvPr id="2" name="Firma_APU_23">
          <a:extLst>
            <a:ext uri="{FF2B5EF4-FFF2-40B4-BE49-F238E27FC236}">
              <a16:creationId xmlns:a16="http://schemas.microsoft.com/office/drawing/2014/main" id="{DF87C70D-E34F-46D3-904D-D5AAE1B23952}"/>
            </a:ext>
          </a:extLst>
        </xdr:cNvPr>
        <xdr:cNvPicPr>
          <a:picLocks noChangeAspect="1"/>
        </xdr:cNvPicPr>
      </xdr:nvPicPr>
      <xdr:blipFill>
        <a:blip xmlns:r="http://schemas.openxmlformats.org/officeDocument/2006/relationships" r:embed="rId1"/>
        <a:stretch>
          <a:fillRect/>
        </a:stretch>
      </xdr:blipFill>
      <xdr:spPr>
        <a:xfrm>
          <a:off x="2899683" y="15720332"/>
          <a:ext cx="1835054" cy="493819"/>
        </a:xfrm>
        <a:prstGeom prst="rect">
          <a:avLst/>
        </a:prstGeom>
      </xdr:spPr>
    </xdr:pic>
    <xdr:clientData/>
  </xdr:oneCellAnchor>
  <xdr:oneCellAnchor>
    <xdr:from>
      <xdr:col>4</xdr:col>
      <xdr:colOff>1361</xdr:colOff>
      <xdr:row>165</xdr:row>
      <xdr:rowOff>0</xdr:rowOff>
    </xdr:from>
    <xdr:ext cx="1835054" cy="493819"/>
    <xdr:pic>
      <xdr:nvPicPr>
        <xdr:cNvPr id="3" name="Firma_APU_109">
          <a:extLst>
            <a:ext uri="{FF2B5EF4-FFF2-40B4-BE49-F238E27FC236}">
              <a16:creationId xmlns:a16="http://schemas.microsoft.com/office/drawing/2014/main" id="{AC04329D-C8EA-4C1E-806E-078E9AC78658}"/>
            </a:ext>
          </a:extLst>
        </xdr:cNvPr>
        <xdr:cNvPicPr>
          <a:picLocks noChangeAspect="1"/>
        </xdr:cNvPicPr>
      </xdr:nvPicPr>
      <xdr:blipFill>
        <a:blip xmlns:r="http://schemas.openxmlformats.org/officeDocument/2006/relationships" r:embed="rId1"/>
        <a:stretch>
          <a:fillRect/>
        </a:stretch>
      </xdr:blipFill>
      <xdr:spPr>
        <a:xfrm>
          <a:off x="2981325" y="32956500"/>
          <a:ext cx="1835054" cy="493819"/>
        </a:xfrm>
        <a:prstGeom prst="rect">
          <a:avLst/>
        </a:prstGeom>
      </xdr:spPr>
    </xdr:pic>
    <xdr:clientData/>
  </xdr:oneCellAnchor>
  <xdr:oneCellAnchor>
    <xdr:from>
      <xdr:col>4</xdr:col>
      <xdr:colOff>1361</xdr:colOff>
      <xdr:row>249</xdr:row>
      <xdr:rowOff>91168</xdr:rowOff>
    </xdr:from>
    <xdr:ext cx="1835054" cy="493819"/>
    <xdr:pic>
      <xdr:nvPicPr>
        <xdr:cNvPr id="4" name="Firma_APU_194">
          <a:extLst>
            <a:ext uri="{FF2B5EF4-FFF2-40B4-BE49-F238E27FC236}">
              <a16:creationId xmlns:a16="http://schemas.microsoft.com/office/drawing/2014/main" id="{6AA197A3-77F1-4ED8-9AE3-B615C37E375B}"/>
            </a:ext>
          </a:extLst>
        </xdr:cNvPr>
        <xdr:cNvPicPr>
          <a:picLocks noChangeAspect="1"/>
        </xdr:cNvPicPr>
      </xdr:nvPicPr>
      <xdr:blipFill>
        <a:blip xmlns:r="http://schemas.openxmlformats.org/officeDocument/2006/relationships" r:embed="rId1"/>
        <a:stretch>
          <a:fillRect/>
        </a:stretch>
      </xdr:blipFill>
      <xdr:spPr>
        <a:xfrm>
          <a:off x="2981325" y="49730025"/>
          <a:ext cx="1835054" cy="493819"/>
        </a:xfrm>
        <a:prstGeom prst="rect">
          <a:avLst/>
        </a:prstGeom>
      </xdr:spPr>
    </xdr:pic>
    <xdr:clientData/>
  </xdr:oneCellAnchor>
  <xdr:oneCellAnchor>
    <xdr:from>
      <xdr:col>4</xdr:col>
      <xdr:colOff>1361</xdr:colOff>
      <xdr:row>335</xdr:row>
      <xdr:rowOff>133350</xdr:rowOff>
    </xdr:from>
    <xdr:ext cx="1835054" cy="493819"/>
    <xdr:pic>
      <xdr:nvPicPr>
        <xdr:cNvPr id="5" name="Firma_APU_280">
          <a:extLst>
            <a:ext uri="{FF2B5EF4-FFF2-40B4-BE49-F238E27FC236}">
              <a16:creationId xmlns:a16="http://schemas.microsoft.com/office/drawing/2014/main" id="{3D086F5A-598C-46FF-B2EF-60A6B460C556}"/>
            </a:ext>
          </a:extLst>
        </xdr:cNvPr>
        <xdr:cNvPicPr>
          <a:picLocks noChangeAspect="1"/>
        </xdr:cNvPicPr>
      </xdr:nvPicPr>
      <xdr:blipFill>
        <a:blip xmlns:r="http://schemas.openxmlformats.org/officeDocument/2006/relationships" r:embed="rId1"/>
        <a:stretch>
          <a:fillRect/>
        </a:stretch>
      </xdr:blipFill>
      <xdr:spPr>
        <a:xfrm>
          <a:off x="2981325" y="66849171"/>
          <a:ext cx="1835054" cy="493819"/>
        </a:xfrm>
        <a:prstGeom prst="rect">
          <a:avLst/>
        </a:prstGeom>
      </xdr:spPr>
    </xdr:pic>
    <xdr:clientData/>
  </xdr:oneCellAnchor>
  <xdr:oneCellAnchor>
    <xdr:from>
      <xdr:col>3</xdr:col>
      <xdr:colOff>872218</xdr:colOff>
      <xdr:row>422</xdr:row>
      <xdr:rowOff>189139</xdr:rowOff>
    </xdr:from>
    <xdr:ext cx="1835054" cy="493819"/>
    <xdr:pic>
      <xdr:nvPicPr>
        <xdr:cNvPr id="6" name="Firma_APU_367">
          <a:extLst>
            <a:ext uri="{FF2B5EF4-FFF2-40B4-BE49-F238E27FC236}">
              <a16:creationId xmlns:a16="http://schemas.microsoft.com/office/drawing/2014/main" id="{8E0BE933-521F-424D-A6BA-1F58630BD701}"/>
            </a:ext>
          </a:extLst>
        </xdr:cNvPr>
        <xdr:cNvPicPr>
          <a:picLocks noChangeAspect="1"/>
        </xdr:cNvPicPr>
      </xdr:nvPicPr>
      <xdr:blipFill>
        <a:blip xmlns:r="http://schemas.openxmlformats.org/officeDocument/2006/relationships" r:embed="rId1"/>
        <a:stretch>
          <a:fillRect/>
        </a:stretch>
      </xdr:blipFill>
      <xdr:spPr>
        <a:xfrm>
          <a:off x="2940504" y="84186032"/>
          <a:ext cx="1835054" cy="493819"/>
        </a:xfrm>
        <a:prstGeom prst="rect">
          <a:avLst/>
        </a:prstGeom>
      </xdr:spPr>
    </xdr:pic>
    <xdr:clientData/>
  </xdr:oneCellAnchor>
  <xdr:oneCellAnchor>
    <xdr:from>
      <xdr:col>3</xdr:col>
      <xdr:colOff>858610</xdr:colOff>
      <xdr:row>508</xdr:row>
      <xdr:rowOff>103414</xdr:rowOff>
    </xdr:from>
    <xdr:ext cx="1835054" cy="493819"/>
    <xdr:pic>
      <xdr:nvPicPr>
        <xdr:cNvPr id="7" name="Firma_APU_453">
          <a:extLst>
            <a:ext uri="{FF2B5EF4-FFF2-40B4-BE49-F238E27FC236}">
              <a16:creationId xmlns:a16="http://schemas.microsoft.com/office/drawing/2014/main" id="{1B785C0A-222A-49FF-AA7E-EC3E16F60060}"/>
            </a:ext>
          </a:extLst>
        </xdr:cNvPr>
        <xdr:cNvPicPr>
          <a:picLocks noChangeAspect="1"/>
        </xdr:cNvPicPr>
      </xdr:nvPicPr>
      <xdr:blipFill>
        <a:blip xmlns:r="http://schemas.openxmlformats.org/officeDocument/2006/relationships" r:embed="rId1"/>
        <a:stretch>
          <a:fillRect/>
        </a:stretch>
      </xdr:blipFill>
      <xdr:spPr>
        <a:xfrm>
          <a:off x="2926896" y="101340557"/>
          <a:ext cx="1835054" cy="493819"/>
        </a:xfrm>
        <a:prstGeom prst="rect">
          <a:avLst/>
        </a:prstGeom>
      </xdr:spPr>
    </xdr:pic>
    <xdr:clientData/>
  </xdr:oneCellAnchor>
  <xdr:oneCellAnchor>
    <xdr:from>
      <xdr:col>3</xdr:col>
      <xdr:colOff>858611</xdr:colOff>
      <xdr:row>595</xdr:row>
      <xdr:rowOff>85725</xdr:rowOff>
    </xdr:from>
    <xdr:ext cx="1835054" cy="493819"/>
    <xdr:pic>
      <xdr:nvPicPr>
        <xdr:cNvPr id="8" name="Firma_APU_540">
          <a:extLst>
            <a:ext uri="{FF2B5EF4-FFF2-40B4-BE49-F238E27FC236}">
              <a16:creationId xmlns:a16="http://schemas.microsoft.com/office/drawing/2014/main" id="{9A968142-F7F9-46CA-96D0-B989615F94BF}"/>
            </a:ext>
          </a:extLst>
        </xdr:cNvPr>
        <xdr:cNvPicPr>
          <a:picLocks noChangeAspect="1"/>
        </xdr:cNvPicPr>
      </xdr:nvPicPr>
      <xdr:blipFill>
        <a:blip xmlns:r="http://schemas.openxmlformats.org/officeDocument/2006/relationships" r:embed="rId1"/>
        <a:stretch>
          <a:fillRect/>
        </a:stretch>
      </xdr:blipFill>
      <xdr:spPr>
        <a:xfrm>
          <a:off x="2926897" y="118767225"/>
          <a:ext cx="1835054" cy="493819"/>
        </a:xfrm>
        <a:prstGeom prst="rect">
          <a:avLst/>
        </a:prstGeom>
      </xdr:spPr>
    </xdr:pic>
    <xdr:clientData/>
  </xdr:oneCellAnchor>
  <xdr:oneCellAnchor>
    <xdr:from>
      <xdr:col>3</xdr:col>
      <xdr:colOff>831396</xdr:colOff>
      <xdr:row>682</xdr:row>
      <xdr:rowOff>127908</xdr:rowOff>
    </xdr:from>
    <xdr:ext cx="1835054" cy="493819"/>
    <xdr:pic>
      <xdr:nvPicPr>
        <xdr:cNvPr id="9" name="Firma_APU_627">
          <a:extLst>
            <a:ext uri="{FF2B5EF4-FFF2-40B4-BE49-F238E27FC236}">
              <a16:creationId xmlns:a16="http://schemas.microsoft.com/office/drawing/2014/main" id="{0065DFA4-3C2C-4223-AF04-E692E7184E6D}"/>
            </a:ext>
          </a:extLst>
        </xdr:cNvPr>
        <xdr:cNvPicPr>
          <a:picLocks noChangeAspect="1"/>
        </xdr:cNvPicPr>
      </xdr:nvPicPr>
      <xdr:blipFill>
        <a:blip xmlns:r="http://schemas.openxmlformats.org/officeDocument/2006/relationships" r:embed="rId1"/>
        <a:stretch>
          <a:fillRect/>
        </a:stretch>
      </xdr:blipFill>
      <xdr:spPr>
        <a:xfrm>
          <a:off x="2899682" y="136376229"/>
          <a:ext cx="1835054" cy="493819"/>
        </a:xfrm>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twoCellAnchor editAs="oneCell">
    <xdr:from>
      <xdr:col>4</xdr:col>
      <xdr:colOff>1361</xdr:colOff>
      <xdr:row>78</xdr:row>
      <xdr:rowOff>175532</xdr:rowOff>
    </xdr:from>
    <xdr:to>
      <xdr:col>7</xdr:col>
      <xdr:colOff>312416</xdr:colOff>
      <xdr:row>81</xdr:row>
      <xdr:rowOff>97851</xdr:rowOff>
    </xdr:to>
    <xdr:pic>
      <xdr:nvPicPr>
        <xdr:cNvPr id="2" name="Imagen 1">
          <a:extLst>
            <a:ext uri="{FF2B5EF4-FFF2-40B4-BE49-F238E27FC236}">
              <a16:creationId xmlns:a16="http://schemas.microsoft.com/office/drawing/2014/main" id="{D2607AF8-52C9-B89D-F2CB-3F6F6B82CFEF}"/>
            </a:ext>
          </a:extLst>
        </xdr:cNvPr>
        <xdr:cNvPicPr>
          <a:picLocks noChangeAspect="1"/>
        </xdr:cNvPicPr>
      </xdr:nvPicPr>
      <xdr:blipFill>
        <a:blip xmlns:r="http://schemas.openxmlformats.org/officeDocument/2006/relationships" r:embed="rId1"/>
        <a:stretch>
          <a:fillRect/>
        </a:stretch>
      </xdr:blipFill>
      <xdr:spPr>
        <a:xfrm>
          <a:off x="2981325" y="15864568"/>
          <a:ext cx="1835055" cy="493819"/>
        </a:xfrm>
        <a:prstGeom prst="rect">
          <a:avLst/>
        </a:prstGeom>
      </xdr:spPr>
    </xdr:pic>
    <xdr:clientData/>
  </xdr:twoCellAnchor>
  <xdr:oneCellAnchor>
    <xdr:from>
      <xdr:col>4</xdr:col>
      <xdr:colOff>1361</xdr:colOff>
      <xdr:row>165</xdr:row>
      <xdr:rowOff>8164</xdr:rowOff>
    </xdr:from>
    <xdr:ext cx="1835054" cy="493819"/>
    <xdr:pic>
      <xdr:nvPicPr>
        <xdr:cNvPr id="3" name="Firma_APU_109">
          <a:extLst>
            <a:ext uri="{FF2B5EF4-FFF2-40B4-BE49-F238E27FC236}">
              <a16:creationId xmlns:a16="http://schemas.microsoft.com/office/drawing/2014/main" id="{048954A6-E767-4BEE-AB78-D7D356C2FD50}"/>
            </a:ext>
          </a:extLst>
        </xdr:cNvPr>
        <xdr:cNvPicPr>
          <a:picLocks noChangeAspect="1"/>
        </xdr:cNvPicPr>
      </xdr:nvPicPr>
      <xdr:blipFill>
        <a:blip xmlns:r="http://schemas.openxmlformats.org/officeDocument/2006/relationships" r:embed="rId1"/>
        <a:stretch>
          <a:fillRect/>
        </a:stretch>
      </xdr:blipFill>
      <xdr:spPr>
        <a:xfrm>
          <a:off x="2981325" y="33127950"/>
          <a:ext cx="1835054" cy="493819"/>
        </a:xfrm>
        <a:prstGeom prst="rect">
          <a:avLst/>
        </a:prstGeom>
      </xdr:spPr>
    </xdr:pic>
    <xdr:clientData/>
  </xdr:oneCellAnchor>
  <xdr:oneCellAnchor>
    <xdr:from>
      <xdr:col>4</xdr:col>
      <xdr:colOff>1361</xdr:colOff>
      <xdr:row>250</xdr:row>
      <xdr:rowOff>104775</xdr:rowOff>
    </xdr:from>
    <xdr:ext cx="1835054" cy="493819"/>
    <xdr:pic>
      <xdr:nvPicPr>
        <xdr:cNvPr id="4" name="Firma_APU_195">
          <a:extLst>
            <a:ext uri="{FF2B5EF4-FFF2-40B4-BE49-F238E27FC236}">
              <a16:creationId xmlns:a16="http://schemas.microsoft.com/office/drawing/2014/main" id="{273C34D3-B780-471B-8853-0EBC9E67A1F9}"/>
            </a:ext>
          </a:extLst>
        </xdr:cNvPr>
        <xdr:cNvPicPr>
          <a:picLocks noChangeAspect="1"/>
        </xdr:cNvPicPr>
      </xdr:nvPicPr>
      <xdr:blipFill>
        <a:blip xmlns:r="http://schemas.openxmlformats.org/officeDocument/2006/relationships" r:embed="rId1"/>
        <a:stretch>
          <a:fillRect/>
        </a:stretch>
      </xdr:blipFill>
      <xdr:spPr>
        <a:xfrm>
          <a:off x="2981325" y="50111025"/>
          <a:ext cx="1835054" cy="493819"/>
        </a:xfrm>
        <a:prstGeom prst="rect">
          <a:avLst/>
        </a:prstGeom>
      </xdr:spPr>
    </xdr:pic>
    <xdr:clientData/>
  </xdr:oneCellAnchor>
  <xdr:oneCellAnchor>
    <xdr:from>
      <xdr:col>4</xdr:col>
      <xdr:colOff>42182</xdr:colOff>
      <xdr:row>337</xdr:row>
      <xdr:rowOff>168728</xdr:rowOff>
    </xdr:from>
    <xdr:ext cx="1835054" cy="493819"/>
    <xdr:pic>
      <xdr:nvPicPr>
        <xdr:cNvPr id="5" name="Firma_APU_282">
          <a:extLst>
            <a:ext uri="{FF2B5EF4-FFF2-40B4-BE49-F238E27FC236}">
              <a16:creationId xmlns:a16="http://schemas.microsoft.com/office/drawing/2014/main" id="{D0EC2F03-0E62-4CDA-80EA-332F98F71BED}"/>
            </a:ext>
          </a:extLst>
        </xdr:cNvPr>
        <xdr:cNvPicPr>
          <a:picLocks noChangeAspect="1"/>
        </xdr:cNvPicPr>
      </xdr:nvPicPr>
      <xdr:blipFill>
        <a:blip xmlns:r="http://schemas.openxmlformats.org/officeDocument/2006/relationships" r:embed="rId1"/>
        <a:stretch>
          <a:fillRect/>
        </a:stretch>
      </xdr:blipFill>
      <xdr:spPr>
        <a:xfrm>
          <a:off x="3022146" y="67619335"/>
          <a:ext cx="1835054" cy="493819"/>
        </a:xfrm>
        <a:prstGeom prst="rect">
          <a:avLst/>
        </a:prstGeom>
      </xdr:spPr>
    </xdr:pic>
    <xdr:clientData/>
  </xdr:oneCellAnchor>
  <xdr:oneCellAnchor>
    <xdr:from>
      <xdr:col>3</xdr:col>
      <xdr:colOff>817789</xdr:colOff>
      <xdr:row>425</xdr:row>
      <xdr:rowOff>42183</xdr:rowOff>
    </xdr:from>
    <xdr:ext cx="1835054" cy="493819"/>
    <xdr:pic>
      <xdr:nvPicPr>
        <xdr:cNvPr id="6" name="Firma_APU_369">
          <a:extLst>
            <a:ext uri="{FF2B5EF4-FFF2-40B4-BE49-F238E27FC236}">
              <a16:creationId xmlns:a16="http://schemas.microsoft.com/office/drawing/2014/main" id="{C47A272D-F52A-4617-BB47-087098C4088B}"/>
            </a:ext>
          </a:extLst>
        </xdr:cNvPr>
        <xdr:cNvPicPr>
          <a:picLocks noChangeAspect="1"/>
        </xdr:cNvPicPr>
      </xdr:nvPicPr>
      <xdr:blipFill>
        <a:blip xmlns:r="http://schemas.openxmlformats.org/officeDocument/2006/relationships" r:embed="rId1"/>
        <a:stretch>
          <a:fillRect/>
        </a:stretch>
      </xdr:blipFill>
      <xdr:spPr>
        <a:xfrm>
          <a:off x="2886075" y="85127647"/>
          <a:ext cx="1835054" cy="493819"/>
        </a:xfrm>
        <a:prstGeom prst="rect">
          <a:avLst/>
        </a:prstGeom>
      </xdr:spPr>
    </xdr:pic>
    <xdr:clientData/>
  </xdr:oneCellAnchor>
  <xdr:oneCellAnchor>
    <xdr:from>
      <xdr:col>3</xdr:col>
      <xdr:colOff>885824</xdr:colOff>
      <xdr:row>510</xdr:row>
      <xdr:rowOff>174171</xdr:rowOff>
    </xdr:from>
    <xdr:ext cx="1835054" cy="493819"/>
    <xdr:pic>
      <xdr:nvPicPr>
        <xdr:cNvPr id="7" name="Firma_APU_455">
          <a:extLst>
            <a:ext uri="{FF2B5EF4-FFF2-40B4-BE49-F238E27FC236}">
              <a16:creationId xmlns:a16="http://schemas.microsoft.com/office/drawing/2014/main" id="{51D770C2-166A-4E71-932D-CA3AE7C36FD5}"/>
            </a:ext>
          </a:extLst>
        </xdr:cNvPr>
        <xdr:cNvPicPr>
          <a:picLocks noChangeAspect="1"/>
        </xdr:cNvPicPr>
      </xdr:nvPicPr>
      <xdr:blipFill>
        <a:blip xmlns:r="http://schemas.openxmlformats.org/officeDocument/2006/relationships" r:embed="rId1"/>
        <a:stretch>
          <a:fillRect/>
        </a:stretch>
      </xdr:blipFill>
      <xdr:spPr>
        <a:xfrm>
          <a:off x="2954110" y="102309385"/>
          <a:ext cx="1835054" cy="493819"/>
        </a:xfrm>
        <a:prstGeom prst="rect">
          <a:avLst/>
        </a:prstGeom>
      </xdr:spPr>
    </xdr:pic>
    <xdr:clientData/>
  </xdr:oneCellAnchor>
  <xdr:oneCellAnchor>
    <xdr:from>
      <xdr:col>3</xdr:col>
      <xdr:colOff>885825</xdr:colOff>
      <xdr:row>597</xdr:row>
      <xdr:rowOff>134710</xdr:rowOff>
    </xdr:from>
    <xdr:ext cx="1835054" cy="493819"/>
    <xdr:pic>
      <xdr:nvPicPr>
        <xdr:cNvPr id="8" name="Firma_APU_542">
          <a:extLst>
            <a:ext uri="{FF2B5EF4-FFF2-40B4-BE49-F238E27FC236}">
              <a16:creationId xmlns:a16="http://schemas.microsoft.com/office/drawing/2014/main" id="{3B32E669-96D7-44A1-A4CF-EE3E4C0C4FB2}"/>
            </a:ext>
          </a:extLst>
        </xdr:cNvPr>
        <xdr:cNvPicPr>
          <a:picLocks noChangeAspect="1"/>
        </xdr:cNvPicPr>
      </xdr:nvPicPr>
      <xdr:blipFill>
        <a:blip xmlns:r="http://schemas.openxmlformats.org/officeDocument/2006/relationships" r:embed="rId1"/>
        <a:stretch>
          <a:fillRect/>
        </a:stretch>
      </xdr:blipFill>
      <xdr:spPr>
        <a:xfrm>
          <a:off x="2954111" y="119836746"/>
          <a:ext cx="1835054" cy="493819"/>
        </a:xfrm>
        <a:prstGeom prst="rect">
          <a:avLst/>
        </a:prstGeom>
      </xdr:spPr>
    </xdr:pic>
    <xdr:clientData/>
  </xdr:oneCellAnchor>
  <xdr:oneCellAnchor>
    <xdr:from>
      <xdr:col>3</xdr:col>
      <xdr:colOff>858611</xdr:colOff>
      <xdr:row>684</xdr:row>
      <xdr:rowOff>157843</xdr:rowOff>
    </xdr:from>
    <xdr:ext cx="1835054" cy="493819"/>
    <xdr:pic>
      <xdr:nvPicPr>
        <xdr:cNvPr id="9" name="Firma_APU_629">
          <a:extLst>
            <a:ext uri="{FF2B5EF4-FFF2-40B4-BE49-F238E27FC236}">
              <a16:creationId xmlns:a16="http://schemas.microsoft.com/office/drawing/2014/main" id="{C566C3F2-E084-4EF6-89C4-3125178386AB}"/>
            </a:ext>
          </a:extLst>
        </xdr:cNvPr>
        <xdr:cNvPicPr>
          <a:picLocks noChangeAspect="1"/>
        </xdr:cNvPicPr>
      </xdr:nvPicPr>
      <xdr:blipFill>
        <a:blip xmlns:r="http://schemas.openxmlformats.org/officeDocument/2006/relationships" r:embed="rId1"/>
        <a:stretch>
          <a:fillRect/>
        </a:stretch>
      </xdr:blipFill>
      <xdr:spPr>
        <a:xfrm>
          <a:off x="2926897" y="137304236"/>
          <a:ext cx="1835054" cy="493819"/>
        </a:xfrm>
        <a:prstGeom prst="rect">
          <a:avLst/>
        </a:prstGeom>
      </xdr:spPr>
    </xdr:pic>
    <xdr:clientData/>
  </xdr:oneCellAnchor>
  <xdr:oneCellAnchor>
    <xdr:from>
      <xdr:col>3</xdr:col>
      <xdr:colOff>831396</xdr:colOff>
      <xdr:row>771</xdr:row>
      <xdr:rowOff>131989</xdr:rowOff>
    </xdr:from>
    <xdr:ext cx="1835054" cy="493819"/>
    <xdr:pic>
      <xdr:nvPicPr>
        <xdr:cNvPr id="10" name="Firma_APU_716">
          <a:extLst>
            <a:ext uri="{FF2B5EF4-FFF2-40B4-BE49-F238E27FC236}">
              <a16:creationId xmlns:a16="http://schemas.microsoft.com/office/drawing/2014/main" id="{A0D66C6D-20EC-47B6-8DEA-1DA9F110C586}"/>
            </a:ext>
          </a:extLst>
        </xdr:cNvPr>
        <xdr:cNvPicPr>
          <a:picLocks noChangeAspect="1"/>
        </xdr:cNvPicPr>
      </xdr:nvPicPr>
      <xdr:blipFill>
        <a:blip xmlns:r="http://schemas.openxmlformats.org/officeDocument/2006/relationships" r:embed="rId1"/>
        <a:stretch>
          <a:fillRect/>
        </a:stretch>
      </xdr:blipFill>
      <xdr:spPr>
        <a:xfrm>
          <a:off x="2899682" y="154559453"/>
          <a:ext cx="1835054" cy="493819"/>
        </a:xfrm>
        <a:prstGeom prst="rect">
          <a:avLst/>
        </a:prstGeom>
      </xdr:spPr>
    </xdr:pic>
    <xdr:clientData/>
  </xdr:oneCellAnchor>
  <xdr:oneCellAnchor>
    <xdr:from>
      <xdr:col>3</xdr:col>
      <xdr:colOff>845003</xdr:colOff>
      <xdr:row>857</xdr:row>
      <xdr:rowOff>187778</xdr:rowOff>
    </xdr:from>
    <xdr:ext cx="1835054" cy="493819"/>
    <xdr:pic>
      <xdr:nvPicPr>
        <xdr:cNvPr id="11" name="Firma_APU_802">
          <a:extLst>
            <a:ext uri="{FF2B5EF4-FFF2-40B4-BE49-F238E27FC236}">
              <a16:creationId xmlns:a16="http://schemas.microsoft.com/office/drawing/2014/main" id="{6F5984F6-4E81-4CB4-8FA0-33D516712855}"/>
            </a:ext>
          </a:extLst>
        </xdr:cNvPr>
        <xdr:cNvPicPr>
          <a:picLocks noChangeAspect="1"/>
        </xdr:cNvPicPr>
      </xdr:nvPicPr>
      <xdr:blipFill>
        <a:blip xmlns:r="http://schemas.openxmlformats.org/officeDocument/2006/relationships" r:embed="rId1"/>
        <a:stretch>
          <a:fillRect/>
        </a:stretch>
      </xdr:blipFill>
      <xdr:spPr>
        <a:xfrm>
          <a:off x="2913289" y="171692207"/>
          <a:ext cx="1835054" cy="493819"/>
        </a:xfrm>
        <a:prstGeom prst="rect">
          <a:avLst/>
        </a:prstGeom>
      </xdr:spPr>
    </xdr:pic>
    <xdr:clientData/>
  </xdr:oneCellAnchor>
  <xdr:oneCellAnchor>
    <xdr:from>
      <xdr:col>4</xdr:col>
      <xdr:colOff>28576</xdr:colOff>
      <xdr:row>943</xdr:row>
      <xdr:rowOff>175532</xdr:rowOff>
    </xdr:from>
    <xdr:ext cx="1835054" cy="493819"/>
    <xdr:pic>
      <xdr:nvPicPr>
        <xdr:cNvPr id="12" name="Firma_APU_888">
          <a:extLst>
            <a:ext uri="{FF2B5EF4-FFF2-40B4-BE49-F238E27FC236}">
              <a16:creationId xmlns:a16="http://schemas.microsoft.com/office/drawing/2014/main" id="{58C3CA99-7F44-4B0A-B002-5813A2A2F80B}"/>
            </a:ext>
          </a:extLst>
        </xdr:cNvPr>
        <xdr:cNvPicPr>
          <a:picLocks noChangeAspect="1"/>
        </xdr:cNvPicPr>
      </xdr:nvPicPr>
      <xdr:blipFill>
        <a:blip xmlns:r="http://schemas.openxmlformats.org/officeDocument/2006/relationships" r:embed="rId1"/>
        <a:stretch>
          <a:fillRect/>
        </a:stretch>
      </xdr:blipFill>
      <xdr:spPr>
        <a:xfrm>
          <a:off x="3008540" y="188756925"/>
          <a:ext cx="1835054" cy="493819"/>
        </a:xfrm>
        <a:prstGeom prst="rect">
          <a:avLst/>
        </a:prstGeom>
      </xdr:spPr>
    </xdr:pic>
    <xdr:clientData/>
  </xdr:oneCellAnchor>
  <xdr:oneCellAnchor>
    <xdr:from>
      <xdr:col>4</xdr:col>
      <xdr:colOff>28575</xdr:colOff>
      <xdr:row>1028</xdr:row>
      <xdr:rowOff>117021</xdr:rowOff>
    </xdr:from>
    <xdr:ext cx="1835054" cy="493819"/>
    <xdr:pic>
      <xdr:nvPicPr>
        <xdr:cNvPr id="13" name="Firma_APU_973">
          <a:extLst>
            <a:ext uri="{FF2B5EF4-FFF2-40B4-BE49-F238E27FC236}">
              <a16:creationId xmlns:a16="http://schemas.microsoft.com/office/drawing/2014/main" id="{C09BCC3E-4FBB-4DF7-A792-949083C0A3E6}"/>
            </a:ext>
          </a:extLst>
        </xdr:cNvPr>
        <xdr:cNvPicPr>
          <a:picLocks noChangeAspect="1"/>
        </xdr:cNvPicPr>
      </xdr:nvPicPr>
      <xdr:blipFill>
        <a:blip xmlns:r="http://schemas.openxmlformats.org/officeDocument/2006/relationships" r:embed="rId1"/>
        <a:stretch>
          <a:fillRect/>
        </a:stretch>
      </xdr:blipFill>
      <xdr:spPr>
        <a:xfrm>
          <a:off x="3008539" y="205571271"/>
          <a:ext cx="1835054" cy="493819"/>
        </a:xfrm>
        <a:prstGeom prst="rect">
          <a:avLst/>
        </a:prstGeom>
      </xdr:spPr>
    </xdr:pic>
    <xdr:clientData/>
  </xdr:oneCellAnchor>
  <xdr:oneCellAnchor>
    <xdr:from>
      <xdr:col>3</xdr:col>
      <xdr:colOff>845003</xdr:colOff>
      <xdr:row>1115</xdr:row>
      <xdr:rowOff>9525</xdr:rowOff>
    </xdr:from>
    <xdr:ext cx="1835054" cy="493819"/>
    <xdr:pic>
      <xdr:nvPicPr>
        <xdr:cNvPr id="14" name="Firma_APU_1059">
          <a:extLst>
            <a:ext uri="{FF2B5EF4-FFF2-40B4-BE49-F238E27FC236}">
              <a16:creationId xmlns:a16="http://schemas.microsoft.com/office/drawing/2014/main" id="{5C32FE6D-5993-44A7-9C63-29C177133583}"/>
            </a:ext>
          </a:extLst>
        </xdr:cNvPr>
        <xdr:cNvPicPr>
          <a:picLocks noChangeAspect="1"/>
        </xdr:cNvPicPr>
      </xdr:nvPicPr>
      <xdr:blipFill>
        <a:blip xmlns:r="http://schemas.openxmlformats.org/officeDocument/2006/relationships" r:embed="rId1"/>
        <a:stretch>
          <a:fillRect/>
        </a:stretch>
      </xdr:blipFill>
      <xdr:spPr>
        <a:xfrm>
          <a:off x="2913289" y="222731239"/>
          <a:ext cx="1835054" cy="493819"/>
        </a:xfrm>
        <a:prstGeom prst="rect">
          <a:avLst/>
        </a:prstGeom>
      </xdr:spPr>
    </xdr:pic>
    <xdr:clientData/>
  </xdr:oneCellAnchor>
  <xdr:oneCellAnchor>
    <xdr:from>
      <xdr:col>3</xdr:col>
      <xdr:colOff>804182</xdr:colOff>
      <xdr:row>1201</xdr:row>
      <xdr:rowOff>146956</xdr:rowOff>
    </xdr:from>
    <xdr:ext cx="1835054" cy="493819"/>
    <xdr:pic>
      <xdr:nvPicPr>
        <xdr:cNvPr id="15" name="Firma_APU_1146">
          <a:extLst>
            <a:ext uri="{FF2B5EF4-FFF2-40B4-BE49-F238E27FC236}">
              <a16:creationId xmlns:a16="http://schemas.microsoft.com/office/drawing/2014/main" id="{7CFCBC50-B633-417A-B1F5-6C73E74FC7A7}"/>
            </a:ext>
          </a:extLst>
        </xdr:cNvPr>
        <xdr:cNvPicPr>
          <a:picLocks noChangeAspect="1"/>
        </xdr:cNvPicPr>
      </xdr:nvPicPr>
      <xdr:blipFill>
        <a:blip xmlns:r="http://schemas.openxmlformats.org/officeDocument/2006/relationships" r:embed="rId1"/>
        <a:stretch>
          <a:fillRect/>
        </a:stretch>
      </xdr:blipFill>
      <xdr:spPr>
        <a:xfrm>
          <a:off x="2872468" y="240244992"/>
          <a:ext cx="1835054" cy="493819"/>
        </a:xfrm>
        <a:prstGeom prst="rect">
          <a:avLst/>
        </a:prstGeom>
      </xdr:spPr>
    </xdr:pic>
    <xdr:clientData/>
  </xdr:oneCellAnchor>
  <xdr:oneCellAnchor>
    <xdr:from>
      <xdr:col>3</xdr:col>
      <xdr:colOff>831396</xdr:colOff>
      <xdr:row>1288</xdr:row>
      <xdr:rowOff>175532</xdr:rowOff>
    </xdr:from>
    <xdr:ext cx="1835054" cy="493819"/>
    <xdr:pic>
      <xdr:nvPicPr>
        <xdr:cNvPr id="16" name="Firma_APU_1233">
          <a:extLst>
            <a:ext uri="{FF2B5EF4-FFF2-40B4-BE49-F238E27FC236}">
              <a16:creationId xmlns:a16="http://schemas.microsoft.com/office/drawing/2014/main" id="{57DDA4D5-6B70-4066-8602-AB1A0A1B930A}"/>
            </a:ext>
          </a:extLst>
        </xdr:cNvPr>
        <xdr:cNvPicPr>
          <a:picLocks noChangeAspect="1"/>
        </xdr:cNvPicPr>
      </xdr:nvPicPr>
      <xdr:blipFill>
        <a:blip xmlns:r="http://schemas.openxmlformats.org/officeDocument/2006/relationships" r:embed="rId1"/>
        <a:stretch>
          <a:fillRect/>
        </a:stretch>
      </xdr:blipFill>
      <xdr:spPr>
        <a:xfrm>
          <a:off x="2899682" y="257840389"/>
          <a:ext cx="1835054" cy="493819"/>
        </a:xfrm>
        <a:prstGeom prst="rect">
          <a:avLst/>
        </a:prstGeom>
      </xdr:spPr>
    </xdr:pic>
    <xdr:clientData/>
  </xdr:oneCellAnchor>
</xdr:wsDr>
</file>

<file path=xl/drawings/drawing7.xml><?xml version="1.0" encoding="utf-8"?>
<xdr:wsDr xmlns:xdr="http://schemas.openxmlformats.org/drawingml/2006/spreadsheetDrawing" xmlns:a="http://schemas.openxmlformats.org/drawingml/2006/main">
  <xdr:oneCellAnchor>
    <xdr:from>
      <xdr:col>4</xdr:col>
      <xdr:colOff>40481</xdr:colOff>
      <xdr:row>79</xdr:row>
      <xdr:rowOff>7143</xdr:rowOff>
    </xdr:from>
    <xdr:ext cx="1835054" cy="493819"/>
    <xdr:pic>
      <xdr:nvPicPr>
        <xdr:cNvPr id="2" name="Firma_APU_23">
          <a:extLst>
            <a:ext uri="{FF2B5EF4-FFF2-40B4-BE49-F238E27FC236}">
              <a16:creationId xmlns:a16="http://schemas.microsoft.com/office/drawing/2014/main" id="{5A3BC5C3-A23F-4558-A050-DEC87C64C575}"/>
            </a:ext>
          </a:extLst>
        </xdr:cNvPr>
        <xdr:cNvPicPr>
          <a:picLocks noChangeAspect="1"/>
        </xdr:cNvPicPr>
      </xdr:nvPicPr>
      <xdr:blipFill>
        <a:blip xmlns:r="http://schemas.openxmlformats.org/officeDocument/2006/relationships" r:embed="rId1"/>
        <a:stretch>
          <a:fillRect/>
        </a:stretch>
      </xdr:blipFill>
      <xdr:spPr>
        <a:xfrm>
          <a:off x="3017044" y="15854362"/>
          <a:ext cx="1835054" cy="493819"/>
        </a:xfrm>
        <a:prstGeom prst="rect">
          <a:avLst/>
        </a:prstGeom>
      </xdr:spPr>
    </xdr:pic>
    <xdr:clientData/>
  </xdr:oneCellAnchor>
  <xdr:oneCellAnchor>
    <xdr:from>
      <xdr:col>4</xdr:col>
      <xdr:colOff>4762</xdr:colOff>
      <xdr:row>165</xdr:row>
      <xdr:rowOff>47625</xdr:rowOff>
    </xdr:from>
    <xdr:ext cx="1835054" cy="493819"/>
    <xdr:pic>
      <xdr:nvPicPr>
        <xdr:cNvPr id="3" name="Firma_APU_109">
          <a:extLst>
            <a:ext uri="{FF2B5EF4-FFF2-40B4-BE49-F238E27FC236}">
              <a16:creationId xmlns:a16="http://schemas.microsoft.com/office/drawing/2014/main" id="{6EEBC66C-8D84-4690-AC11-6CBEB0665EF5}"/>
            </a:ext>
          </a:extLst>
        </xdr:cNvPr>
        <xdr:cNvPicPr>
          <a:picLocks noChangeAspect="1"/>
        </xdr:cNvPicPr>
      </xdr:nvPicPr>
      <xdr:blipFill>
        <a:blip xmlns:r="http://schemas.openxmlformats.org/officeDocument/2006/relationships" r:embed="rId1"/>
        <a:stretch>
          <a:fillRect/>
        </a:stretch>
      </xdr:blipFill>
      <xdr:spPr>
        <a:xfrm>
          <a:off x="2981325" y="32956500"/>
          <a:ext cx="1835054" cy="493819"/>
        </a:xfrm>
        <a:prstGeom prst="rect">
          <a:avLst/>
        </a:prstGeom>
      </xdr:spPr>
    </xdr:pic>
    <xdr:clientData/>
  </xdr:oneCellAnchor>
  <xdr:oneCellAnchor>
    <xdr:from>
      <xdr:col>4</xdr:col>
      <xdr:colOff>4762</xdr:colOff>
      <xdr:row>249</xdr:row>
      <xdr:rowOff>164306</xdr:rowOff>
    </xdr:from>
    <xdr:ext cx="1835054" cy="493819"/>
    <xdr:pic>
      <xdr:nvPicPr>
        <xdr:cNvPr id="4" name="Firma_APU_194">
          <a:extLst>
            <a:ext uri="{FF2B5EF4-FFF2-40B4-BE49-F238E27FC236}">
              <a16:creationId xmlns:a16="http://schemas.microsoft.com/office/drawing/2014/main" id="{B4AD92A9-99D5-44E4-998D-1EF114C22F6F}"/>
            </a:ext>
          </a:extLst>
        </xdr:cNvPr>
        <xdr:cNvPicPr>
          <a:picLocks noChangeAspect="1"/>
        </xdr:cNvPicPr>
      </xdr:nvPicPr>
      <xdr:blipFill>
        <a:blip xmlns:r="http://schemas.openxmlformats.org/officeDocument/2006/relationships" r:embed="rId1"/>
        <a:stretch>
          <a:fillRect/>
        </a:stretch>
      </xdr:blipFill>
      <xdr:spPr>
        <a:xfrm>
          <a:off x="2981325" y="49730025"/>
          <a:ext cx="1835054" cy="493819"/>
        </a:xfrm>
        <a:prstGeom prst="rect">
          <a:avLst/>
        </a:prstGeom>
      </xdr:spPr>
    </xdr:pic>
    <xdr:clientData/>
  </xdr:oneCellAnchor>
  <xdr:oneCellAnchor>
    <xdr:from>
      <xdr:col>3</xdr:col>
      <xdr:colOff>909638</xdr:colOff>
      <xdr:row>335</xdr:row>
      <xdr:rowOff>157162</xdr:rowOff>
    </xdr:from>
    <xdr:ext cx="1835054" cy="493819"/>
    <xdr:pic>
      <xdr:nvPicPr>
        <xdr:cNvPr id="5" name="Firma_APU_280">
          <a:extLst>
            <a:ext uri="{FF2B5EF4-FFF2-40B4-BE49-F238E27FC236}">
              <a16:creationId xmlns:a16="http://schemas.microsoft.com/office/drawing/2014/main" id="{A52DA06B-D258-4B7F-BB60-9408AC010623}"/>
            </a:ext>
          </a:extLst>
        </xdr:cNvPr>
        <xdr:cNvPicPr>
          <a:picLocks noChangeAspect="1"/>
        </xdr:cNvPicPr>
      </xdr:nvPicPr>
      <xdr:blipFill>
        <a:blip xmlns:r="http://schemas.openxmlformats.org/officeDocument/2006/relationships" r:embed="rId1"/>
        <a:stretch>
          <a:fillRect/>
        </a:stretch>
      </xdr:blipFill>
      <xdr:spPr>
        <a:xfrm>
          <a:off x="2969419" y="66784537"/>
          <a:ext cx="1835054" cy="493819"/>
        </a:xfrm>
        <a:prstGeom prst="rect">
          <a:avLst/>
        </a:prstGeom>
      </xdr:spPr>
    </xdr:pic>
    <xdr:clientData/>
  </xdr:oneCellAnchor>
  <xdr:oneCellAnchor>
    <xdr:from>
      <xdr:col>4</xdr:col>
      <xdr:colOff>88106</xdr:colOff>
      <xdr:row>422</xdr:row>
      <xdr:rowOff>114300</xdr:rowOff>
    </xdr:from>
    <xdr:ext cx="1835054" cy="493819"/>
    <xdr:pic>
      <xdr:nvPicPr>
        <xdr:cNvPr id="6" name="Firma_APU_367">
          <a:extLst>
            <a:ext uri="{FF2B5EF4-FFF2-40B4-BE49-F238E27FC236}">
              <a16:creationId xmlns:a16="http://schemas.microsoft.com/office/drawing/2014/main" id="{B3BD2371-372C-412F-8FDD-A3E5EE284964}"/>
            </a:ext>
          </a:extLst>
        </xdr:cNvPr>
        <xdr:cNvPicPr>
          <a:picLocks noChangeAspect="1"/>
        </xdr:cNvPicPr>
      </xdr:nvPicPr>
      <xdr:blipFill>
        <a:blip xmlns:r="http://schemas.openxmlformats.org/officeDocument/2006/relationships" r:embed="rId1"/>
        <a:stretch>
          <a:fillRect/>
        </a:stretch>
      </xdr:blipFill>
      <xdr:spPr>
        <a:xfrm>
          <a:off x="3064669" y="84184331"/>
          <a:ext cx="1835054" cy="493819"/>
        </a:xfrm>
        <a:prstGeom prst="rect">
          <a:avLst/>
        </a:prstGeom>
      </xdr:spPr>
    </xdr:pic>
    <xdr:clientData/>
  </xdr:oneCellAnchor>
  <xdr:oneCellAnchor>
    <xdr:from>
      <xdr:col>3</xdr:col>
      <xdr:colOff>862013</xdr:colOff>
      <xdr:row>509</xdr:row>
      <xdr:rowOff>166687</xdr:rowOff>
    </xdr:from>
    <xdr:ext cx="1835054" cy="493819"/>
    <xdr:pic>
      <xdr:nvPicPr>
        <xdr:cNvPr id="7" name="Firma_APU_454">
          <a:extLst>
            <a:ext uri="{FF2B5EF4-FFF2-40B4-BE49-F238E27FC236}">
              <a16:creationId xmlns:a16="http://schemas.microsoft.com/office/drawing/2014/main" id="{71923D68-4660-4668-80EB-0ECEEC300E6D}"/>
            </a:ext>
          </a:extLst>
        </xdr:cNvPr>
        <xdr:cNvPicPr>
          <a:picLocks noChangeAspect="1"/>
        </xdr:cNvPicPr>
      </xdr:nvPicPr>
      <xdr:blipFill>
        <a:blip xmlns:r="http://schemas.openxmlformats.org/officeDocument/2006/relationships" r:embed="rId1"/>
        <a:stretch>
          <a:fillRect/>
        </a:stretch>
      </xdr:blipFill>
      <xdr:spPr>
        <a:xfrm>
          <a:off x="2921794" y="101488875"/>
          <a:ext cx="1835054" cy="493819"/>
        </a:xfrm>
        <a:prstGeom prst="rect">
          <a:avLst/>
        </a:prstGeom>
      </xdr:spPr>
    </xdr:pic>
    <xdr:clientData/>
  </xdr:oneCellAnchor>
  <xdr:oneCellAnchor>
    <xdr:from>
      <xdr:col>4</xdr:col>
      <xdr:colOff>16668</xdr:colOff>
      <xdr:row>595</xdr:row>
      <xdr:rowOff>135731</xdr:rowOff>
    </xdr:from>
    <xdr:ext cx="1835054" cy="493819"/>
    <xdr:pic>
      <xdr:nvPicPr>
        <xdr:cNvPr id="8" name="Firma_APU_540">
          <a:extLst>
            <a:ext uri="{FF2B5EF4-FFF2-40B4-BE49-F238E27FC236}">
              <a16:creationId xmlns:a16="http://schemas.microsoft.com/office/drawing/2014/main" id="{1F59FBE8-EE77-421D-887B-138185F38BD0}"/>
            </a:ext>
          </a:extLst>
        </xdr:cNvPr>
        <xdr:cNvPicPr>
          <a:picLocks noChangeAspect="1"/>
        </xdr:cNvPicPr>
      </xdr:nvPicPr>
      <xdr:blipFill>
        <a:blip xmlns:r="http://schemas.openxmlformats.org/officeDocument/2006/relationships" r:embed="rId1"/>
        <a:stretch>
          <a:fillRect/>
        </a:stretch>
      </xdr:blipFill>
      <xdr:spPr>
        <a:xfrm>
          <a:off x="2993231" y="118519575"/>
          <a:ext cx="1835054" cy="493819"/>
        </a:xfrm>
        <a:prstGeom prst="rect">
          <a:avLst/>
        </a:prstGeom>
      </xdr:spPr>
    </xdr:pic>
    <xdr:clientData/>
  </xdr:oneCellAnchor>
  <xdr:oneCellAnchor>
    <xdr:from>
      <xdr:col>3</xdr:col>
      <xdr:colOff>778669</xdr:colOff>
      <xdr:row>681</xdr:row>
      <xdr:rowOff>2381</xdr:rowOff>
    </xdr:from>
    <xdr:ext cx="1835054" cy="493819"/>
    <xdr:pic>
      <xdr:nvPicPr>
        <xdr:cNvPr id="9" name="Firma_APU_625">
          <a:extLst>
            <a:ext uri="{FF2B5EF4-FFF2-40B4-BE49-F238E27FC236}">
              <a16:creationId xmlns:a16="http://schemas.microsoft.com/office/drawing/2014/main" id="{9D843915-C749-403B-8DD1-D1B0698F8A81}"/>
            </a:ext>
          </a:extLst>
        </xdr:cNvPr>
        <xdr:cNvPicPr>
          <a:picLocks noChangeAspect="1"/>
        </xdr:cNvPicPr>
      </xdr:nvPicPr>
      <xdr:blipFill>
        <a:blip xmlns:r="http://schemas.openxmlformats.org/officeDocument/2006/relationships" r:embed="rId1"/>
        <a:stretch>
          <a:fillRect/>
        </a:stretch>
      </xdr:blipFill>
      <xdr:spPr>
        <a:xfrm>
          <a:off x="2838450" y="135424069"/>
          <a:ext cx="1835054" cy="493819"/>
        </a:xfrm>
        <a:prstGeom prst="rect">
          <a:avLst/>
        </a:prstGeom>
      </xdr:spPr>
    </xdr:pic>
    <xdr:clientData/>
  </xdr:oneCellAnchor>
  <xdr:oneCellAnchor>
    <xdr:from>
      <xdr:col>3</xdr:col>
      <xdr:colOff>778669</xdr:colOff>
      <xdr:row>767</xdr:row>
      <xdr:rowOff>47625</xdr:rowOff>
    </xdr:from>
    <xdr:ext cx="1835054" cy="493819"/>
    <xdr:pic>
      <xdr:nvPicPr>
        <xdr:cNvPr id="10" name="Firma_APU_711">
          <a:extLst>
            <a:ext uri="{FF2B5EF4-FFF2-40B4-BE49-F238E27FC236}">
              <a16:creationId xmlns:a16="http://schemas.microsoft.com/office/drawing/2014/main" id="{B53FD9CF-6B49-4CA2-8F6B-7E0E4A1D4D83}"/>
            </a:ext>
          </a:extLst>
        </xdr:cNvPr>
        <xdr:cNvPicPr>
          <a:picLocks noChangeAspect="1"/>
        </xdr:cNvPicPr>
      </xdr:nvPicPr>
      <xdr:blipFill>
        <a:blip xmlns:r="http://schemas.openxmlformats.org/officeDocument/2006/relationships" r:embed="rId1"/>
        <a:stretch>
          <a:fillRect/>
        </a:stretch>
      </xdr:blipFill>
      <xdr:spPr>
        <a:xfrm>
          <a:off x="2838450" y="152697656"/>
          <a:ext cx="1835054" cy="493819"/>
        </a:xfrm>
        <a:prstGeom prst="rect">
          <a:avLst/>
        </a:prstGeom>
      </xdr:spPr>
    </xdr:pic>
    <xdr:clientData/>
  </xdr:oneCellAnchor>
  <xdr:oneCellAnchor>
    <xdr:from>
      <xdr:col>3</xdr:col>
      <xdr:colOff>885825</xdr:colOff>
      <xdr:row>853</xdr:row>
      <xdr:rowOff>135731</xdr:rowOff>
    </xdr:from>
    <xdr:ext cx="1835054" cy="493819"/>
    <xdr:pic>
      <xdr:nvPicPr>
        <xdr:cNvPr id="11" name="Firma_APU_798">
          <a:extLst>
            <a:ext uri="{FF2B5EF4-FFF2-40B4-BE49-F238E27FC236}">
              <a16:creationId xmlns:a16="http://schemas.microsoft.com/office/drawing/2014/main" id="{A3547827-A456-44D8-88F1-B2DD547624A7}"/>
            </a:ext>
          </a:extLst>
        </xdr:cNvPr>
        <xdr:cNvPicPr>
          <a:picLocks noChangeAspect="1"/>
        </xdr:cNvPicPr>
      </xdr:nvPicPr>
      <xdr:blipFill>
        <a:blip xmlns:r="http://schemas.openxmlformats.org/officeDocument/2006/relationships" r:embed="rId1"/>
        <a:stretch>
          <a:fillRect/>
        </a:stretch>
      </xdr:blipFill>
      <xdr:spPr>
        <a:xfrm>
          <a:off x="2945606" y="170133169"/>
          <a:ext cx="1835054" cy="493819"/>
        </a:xfrm>
        <a:prstGeom prst="rect">
          <a:avLst/>
        </a:prstGeom>
      </xdr:spPr>
    </xdr:pic>
    <xdr:clientData/>
  </xdr:oneCellAnchor>
  <xdr:oneCellAnchor>
    <xdr:from>
      <xdr:col>3</xdr:col>
      <xdr:colOff>742950</xdr:colOff>
      <xdr:row>940</xdr:row>
      <xdr:rowOff>140494</xdr:rowOff>
    </xdr:from>
    <xdr:ext cx="1835054" cy="493819"/>
    <xdr:pic>
      <xdr:nvPicPr>
        <xdr:cNvPr id="12" name="Firma_APU_885">
          <a:extLst>
            <a:ext uri="{FF2B5EF4-FFF2-40B4-BE49-F238E27FC236}">
              <a16:creationId xmlns:a16="http://schemas.microsoft.com/office/drawing/2014/main" id="{75D82E3E-2B4B-4CF5-931B-9CB561DD2729}"/>
            </a:ext>
          </a:extLst>
        </xdr:cNvPr>
        <xdr:cNvPicPr>
          <a:picLocks noChangeAspect="1"/>
        </xdr:cNvPicPr>
      </xdr:nvPicPr>
      <xdr:blipFill>
        <a:blip xmlns:r="http://schemas.openxmlformats.org/officeDocument/2006/relationships" r:embed="rId1"/>
        <a:stretch>
          <a:fillRect/>
        </a:stretch>
      </xdr:blipFill>
      <xdr:spPr>
        <a:xfrm>
          <a:off x="2802731" y="187390088"/>
          <a:ext cx="1835054" cy="493819"/>
        </a:xfrm>
        <a:prstGeom prst="rect">
          <a:avLst/>
        </a:prstGeom>
      </xdr:spPr>
    </xdr:pic>
    <xdr:clientData/>
  </xdr:oneCellAnchor>
  <xdr:oneCellAnchor>
    <xdr:from>
      <xdr:col>3</xdr:col>
      <xdr:colOff>873919</xdr:colOff>
      <xdr:row>1027</xdr:row>
      <xdr:rowOff>157163</xdr:rowOff>
    </xdr:from>
    <xdr:ext cx="1835054" cy="493819"/>
    <xdr:pic>
      <xdr:nvPicPr>
        <xdr:cNvPr id="13" name="Firma_APU_972">
          <a:extLst>
            <a:ext uri="{FF2B5EF4-FFF2-40B4-BE49-F238E27FC236}">
              <a16:creationId xmlns:a16="http://schemas.microsoft.com/office/drawing/2014/main" id="{50221BBC-C3C4-4434-8BD5-9C107E3739F4}"/>
            </a:ext>
          </a:extLst>
        </xdr:cNvPr>
        <xdr:cNvPicPr>
          <a:picLocks noChangeAspect="1"/>
        </xdr:cNvPicPr>
      </xdr:nvPicPr>
      <xdr:blipFill>
        <a:blip xmlns:r="http://schemas.openxmlformats.org/officeDocument/2006/relationships" r:embed="rId1"/>
        <a:stretch>
          <a:fillRect/>
        </a:stretch>
      </xdr:blipFill>
      <xdr:spPr>
        <a:xfrm>
          <a:off x="2933700" y="204658913"/>
          <a:ext cx="1835054" cy="493819"/>
        </a:xfrm>
        <a:prstGeom prst="rect">
          <a:avLst/>
        </a:prstGeom>
      </xdr:spPr>
    </xdr:pic>
    <xdr:clientData/>
  </xdr:oneCellAnchor>
  <xdr:oneCellAnchor>
    <xdr:from>
      <xdr:col>3</xdr:col>
      <xdr:colOff>802482</xdr:colOff>
      <xdr:row>1114</xdr:row>
      <xdr:rowOff>19051</xdr:rowOff>
    </xdr:from>
    <xdr:ext cx="1835054" cy="493819"/>
    <xdr:pic>
      <xdr:nvPicPr>
        <xdr:cNvPr id="14" name="Firma_APU_1058">
          <a:extLst>
            <a:ext uri="{FF2B5EF4-FFF2-40B4-BE49-F238E27FC236}">
              <a16:creationId xmlns:a16="http://schemas.microsoft.com/office/drawing/2014/main" id="{5AC9FC2B-90F4-4417-A2FB-369287A11C55}"/>
            </a:ext>
          </a:extLst>
        </xdr:cNvPr>
        <xdr:cNvPicPr>
          <a:picLocks noChangeAspect="1"/>
        </xdr:cNvPicPr>
      </xdr:nvPicPr>
      <xdr:blipFill>
        <a:blip xmlns:r="http://schemas.openxmlformats.org/officeDocument/2006/relationships" r:embed="rId1"/>
        <a:stretch>
          <a:fillRect/>
        </a:stretch>
      </xdr:blipFill>
      <xdr:spPr>
        <a:xfrm>
          <a:off x="2862263" y="221772957"/>
          <a:ext cx="1835054" cy="493819"/>
        </a:xfrm>
        <a:prstGeom prst="rect">
          <a:avLst/>
        </a:prstGeom>
      </xdr:spPr>
    </xdr:pic>
    <xdr:clientData/>
  </xdr:oneCellAnchor>
  <xdr:oneCellAnchor>
    <xdr:from>
      <xdr:col>3</xdr:col>
      <xdr:colOff>802482</xdr:colOff>
      <xdr:row>1199</xdr:row>
      <xdr:rowOff>164306</xdr:rowOff>
    </xdr:from>
    <xdr:ext cx="1835054" cy="493819"/>
    <xdr:pic>
      <xdr:nvPicPr>
        <xdr:cNvPr id="15" name="Firma_APU_1144">
          <a:extLst>
            <a:ext uri="{FF2B5EF4-FFF2-40B4-BE49-F238E27FC236}">
              <a16:creationId xmlns:a16="http://schemas.microsoft.com/office/drawing/2014/main" id="{6CE84C2B-16D6-4A0C-B25B-98A1009F89C1}"/>
            </a:ext>
          </a:extLst>
        </xdr:cNvPr>
        <xdr:cNvPicPr>
          <a:picLocks noChangeAspect="1"/>
        </xdr:cNvPicPr>
      </xdr:nvPicPr>
      <xdr:blipFill>
        <a:blip xmlns:r="http://schemas.openxmlformats.org/officeDocument/2006/relationships" r:embed="rId1"/>
        <a:stretch>
          <a:fillRect/>
        </a:stretch>
      </xdr:blipFill>
      <xdr:spPr>
        <a:xfrm>
          <a:off x="2862263" y="238896525"/>
          <a:ext cx="1835054" cy="493819"/>
        </a:xfrm>
        <a:prstGeom prst="rect">
          <a:avLst/>
        </a:prstGeom>
      </xdr:spPr>
    </xdr:pic>
    <xdr:clientData/>
  </xdr:oneCellAnchor>
  <xdr:oneCellAnchor>
    <xdr:from>
      <xdr:col>3</xdr:col>
      <xdr:colOff>814387</xdr:colOff>
      <xdr:row>1284</xdr:row>
      <xdr:rowOff>173831</xdr:rowOff>
    </xdr:from>
    <xdr:ext cx="1835054" cy="493819"/>
    <xdr:pic>
      <xdr:nvPicPr>
        <xdr:cNvPr id="16" name="Firma_APU_1229">
          <a:extLst>
            <a:ext uri="{FF2B5EF4-FFF2-40B4-BE49-F238E27FC236}">
              <a16:creationId xmlns:a16="http://schemas.microsoft.com/office/drawing/2014/main" id="{A5446C41-64F1-49A6-9520-CC99DB9756EC}"/>
            </a:ext>
          </a:extLst>
        </xdr:cNvPr>
        <xdr:cNvPicPr>
          <a:picLocks noChangeAspect="1"/>
        </xdr:cNvPicPr>
      </xdr:nvPicPr>
      <xdr:blipFill>
        <a:blip xmlns:r="http://schemas.openxmlformats.org/officeDocument/2006/relationships" r:embed="rId1"/>
        <a:stretch>
          <a:fillRect/>
        </a:stretch>
      </xdr:blipFill>
      <xdr:spPr>
        <a:xfrm>
          <a:off x="2874168" y="255753394"/>
          <a:ext cx="1835054" cy="493819"/>
        </a:xfrm>
        <a:prstGeom prst="rect">
          <a:avLst/>
        </a:prstGeom>
      </xdr:spPr>
    </xdr:pic>
    <xdr:clientData/>
  </xdr:oneCellAnchor>
  <xdr:oneCellAnchor>
    <xdr:from>
      <xdr:col>3</xdr:col>
      <xdr:colOff>838200</xdr:colOff>
      <xdr:row>1370</xdr:row>
      <xdr:rowOff>130969</xdr:rowOff>
    </xdr:from>
    <xdr:ext cx="1835054" cy="493819"/>
    <xdr:pic>
      <xdr:nvPicPr>
        <xdr:cNvPr id="17" name="Firma_APU_1315">
          <a:extLst>
            <a:ext uri="{FF2B5EF4-FFF2-40B4-BE49-F238E27FC236}">
              <a16:creationId xmlns:a16="http://schemas.microsoft.com/office/drawing/2014/main" id="{595DF710-1FE4-44C7-97A0-E8F04E2E2A81}"/>
            </a:ext>
          </a:extLst>
        </xdr:cNvPr>
        <xdr:cNvPicPr>
          <a:picLocks noChangeAspect="1"/>
        </xdr:cNvPicPr>
      </xdr:nvPicPr>
      <xdr:blipFill>
        <a:blip xmlns:r="http://schemas.openxmlformats.org/officeDocument/2006/relationships" r:embed="rId1"/>
        <a:stretch>
          <a:fillRect/>
        </a:stretch>
      </xdr:blipFill>
      <xdr:spPr>
        <a:xfrm>
          <a:off x="2897981" y="272772188"/>
          <a:ext cx="1835054" cy="493819"/>
        </a:xfrm>
        <a:prstGeom prst="rect">
          <a:avLst/>
        </a:prstGeom>
      </xdr:spPr>
    </xdr:pic>
    <xdr:clientData/>
  </xdr:oneCellAnchor>
  <xdr:oneCellAnchor>
    <xdr:from>
      <xdr:col>3</xdr:col>
      <xdr:colOff>754857</xdr:colOff>
      <xdr:row>1458</xdr:row>
      <xdr:rowOff>0</xdr:rowOff>
    </xdr:from>
    <xdr:ext cx="1835054" cy="493819"/>
    <xdr:pic>
      <xdr:nvPicPr>
        <xdr:cNvPr id="18" name="Firma_APU_1402">
          <a:extLst>
            <a:ext uri="{FF2B5EF4-FFF2-40B4-BE49-F238E27FC236}">
              <a16:creationId xmlns:a16="http://schemas.microsoft.com/office/drawing/2014/main" id="{E8416572-79E6-47ED-B2A5-5F092EA0ABD8}"/>
            </a:ext>
          </a:extLst>
        </xdr:cNvPr>
        <xdr:cNvPicPr>
          <a:picLocks noChangeAspect="1"/>
        </xdr:cNvPicPr>
      </xdr:nvPicPr>
      <xdr:blipFill>
        <a:blip xmlns:r="http://schemas.openxmlformats.org/officeDocument/2006/relationships" r:embed="rId1"/>
        <a:stretch>
          <a:fillRect/>
        </a:stretch>
      </xdr:blipFill>
      <xdr:spPr>
        <a:xfrm>
          <a:off x="2814638" y="290393438"/>
          <a:ext cx="1835054" cy="493819"/>
        </a:xfrm>
        <a:prstGeom prst="rect">
          <a:avLst/>
        </a:prstGeom>
      </xdr:spPr>
    </xdr:pic>
    <xdr:clientData/>
  </xdr:oneCellAnchor>
  <xdr:oneCellAnchor>
    <xdr:from>
      <xdr:col>3</xdr:col>
      <xdr:colOff>766762</xdr:colOff>
      <xdr:row>1544</xdr:row>
      <xdr:rowOff>159544</xdr:rowOff>
    </xdr:from>
    <xdr:ext cx="1835054" cy="493819"/>
    <xdr:pic>
      <xdr:nvPicPr>
        <xdr:cNvPr id="19" name="Firma_APU_1489">
          <a:extLst>
            <a:ext uri="{FF2B5EF4-FFF2-40B4-BE49-F238E27FC236}">
              <a16:creationId xmlns:a16="http://schemas.microsoft.com/office/drawing/2014/main" id="{51563FB5-D0BF-443E-B8C5-CE9EE2A48841}"/>
            </a:ext>
          </a:extLst>
        </xdr:cNvPr>
        <xdr:cNvPicPr>
          <a:picLocks noChangeAspect="1"/>
        </xdr:cNvPicPr>
      </xdr:nvPicPr>
      <xdr:blipFill>
        <a:blip xmlns:r="http://schemas.openxmlformats.org/officeDocument/2006/relationships" r:embed="rId1"/>
        <a:stretch>
          <a:fillRect/>
        </a:stretch>
      </xdr:blipFill>
      <xdr:spPr>
        <a:xfrm>
          <a:off x="2826543" y="307900388"/>
          <a:ext cx="1835054" cy="493819"/>
        </a:xfrm>
        <a:prstGeom prst="rect">
          <a:avLst/>
        </a:prstGeom>
      </xdr:spPr>
    </xdr:pic>
    <xdr:clientData/>
  </xdr:oneCellAnchor>
</xdr:wsDr>
</file>

<file path=xl/drawings/drawing8.xml><?xml version="1.0" encoding="utf-8"?>
<xdr:wsDr xmlns:xdr="http://schemas.openxmlformats.org/drawingml/2006/spreadsheetDrawing" xmlns:a="http://schemas.openxmlformats.org/drawingml/2006/main">
  <xdr:oneCellAnchor>
    <xdr:from>
      <xdr:col>3</xdr:col>
      <xdr:colOff>845004</xdr:colOff>
      <xdr:row>79</xdr:row>
      <xdr:rowOff>4082</xdr:rowOff>
    </xdr:from>
    <xdr:ext cx="1835054" cy="493819"/>
    <xdr:pic>
      <xdr:nvPicPr>
        <xdr:cNvPr id="2" name="Firma_APU_23">
          <a:extLst>
            <a:ext uri="{FF2B5EF4-FFF2-40B4-BE49-F238E27FC236}">
              <a16:creationId xmlns:a16="http://schemas.microsoft.com/office/drawing/2014/main" id="{D9FC632F-5A9E-4FD6-9E61-BCB126E66373}"/>
            </a:ext>
          </a:extLst>
        </xdr:cNvPr>
        <xdr:cNvPicPr>
          <a:picLocks noChangeAspect="1"/>
        </xdr:cNvPicPr>
      </xdr:nvPicPr>
      <xdr:blipFill>
        <a:blip xmlns:r="http://schemas.openxmlformats.org/officeDocument/2006/relationships" r:embed="rId1"/>
        <a:stretch>
          <a:fillRect/>
        </a:stretch>
      </xdr:blipFill>
      <xdr:spPr>
        <a:xfrm>
          <a:off x="2913290" y="15720332"/>
          <a:ext cx="1835054" cy="493819"/>
        </a:xfrm>
        <a:prstGeom prst="rect">
          <a:avLst/>
        </a:prstGeom>
      </xdr:spPr>
    </xdr:pic>
    <xdr:clientData/>
  </xdr:oneCellAnchor>
  <xdr:oneCellAnchor>
    <xdr:from>
      <xdr:col>4</xdr:col>
      <xdr:colOff>1361</xdr:colOff>
      <xdr:row>164</xdr:row>
      <xdr:rowOff>182336</xdr:rowOff>
    </xdr:from>
    <xdr:ext cx="1835054" cy="493819"/>
    <xdr:pic>
      <xdr:nvPicPr>
        <xdr:cNvPr id="3" name="Firma_APU_109">
          <a:extLst>
            <a:ext uri="{FF2B5EF4-FFF2-40B4-BE49-F238E27FC236}">
              <a16:creationId xmlns:a16="http://schemas.microsoft.com/office/drawing/2014/main" id="{FB392181-6E4A-4E51-AA01-ABC44C2E2809}"/>
            </a:ext>
          </a:extLst>
        </xdr:cNvPr>
        <xdr:cNvPicPr>
          <a:picLocks noChangeAspect="1"/>
        </xdr:cNvPicPr>
      </xdr:nvPicPr>
      <xdr:blipFill>
        <a:blip xmlns:r="http://schemas.openxmlformats.org/officeDocument/2006/relationships" r:embed="rId1"/>
        <a:stretch>
          <a:fillRect/>
        </a:stretch>
      </xdr:blipFill>
      <xdr:spPr>
        <a:xfrm>
          <a:off x="2981325" y="32785050"/>
          <a:ext cx="1835054" cy="493819"/>
        </a:xfrm>
        <a:prstGeom prst="rect">
          <a:avLst/>
        </a:prstGeom>
      </xdr:spPr>
    </xdr:pic>
    <xdr:clientData/>
  </xdr:oneCellAnchor>
  <xdr:oneCellAnchor>
    <xdr:from>
      <xdr:col>4</xdr:col>
      <xdr:colOff>1361</xdr:colOff>
      <xdr:row>249</xdr:row>
      <xdr:rowOff>83004</xdr:rowOff>
    </xdr:from>
    <xdr:ext cx="1835054" cy="493819"/>
    <xdr:pic>
      <xdr:nvPicPr>
        <xdr:cNvPr id="4" name="Firma_APU_194">
          <a:extLst>
            <a:ext uri="{FF2B5EF4-FFF2-40B4-BE49-F238E27FC236}">
              <a16:creationId xmlns:a16="http://schemas.microsoft.com/office/drawing/2014/main" id="{BB5CEC87-8535-4CC3-9AA2-0ECC6492197D}"/>
            </a:ext>
          </a:extLst>
        </xdr:cNvPr>
        <xdr:cNvPicPr>
          <a:picLocks noChangeAspect="1"/>
        </xdr:cNvPicPr>
      </xdr:nvPicPr>
      <xdr:blipFill>
        <a:blip xmlns:r="http://schemas.openxmlformats.org/officeDocument/2006/relationships" r:embed="rId1"/>
        <a:stretch>
          <a:fillRect/>
        </a:stretch>
      </xdr:blipFill>
      <xdr:spPr>
        <a:xfrm>
          <a:off x="2981325" y="49558575"/>
          <a:ext cx="1835054" cy="493819"/>
        </a:xfrm>
        <a:prstGeom prst="rect">
          <a:avLst/>
        </a:prstGeom>
      </xdr:spPr>
    </xdr:pic>
    <xdr:clientData/>
  </xdr:oneCellAnchor>
  <xdr:oneCellAnchor>
    <xdr:from>
      <xdr:col>3</xdr:col>
      <xdr:colOff>872218</xdr:colOff>
      <xdr:row>335</xdr:row>
      <xdr:rowOff>166007</xdr:rowOff>
    </xdr:from>
    <xdr:ext cx="1835054" cy="493819"/>
    <xdr:pic>
      <xdr:nvPicPr>
        <xdr:cNvPr id="5" name="Firma_APU_280">
          <a:extLst>
            <a:ext uri="{FF2B5EF4-FFF2-40B4-BE49-F238E27FC236}">
              <a16:creationId xmlns:a16="http://schemas.microsoft.com/office/drawing/2014/main" id="{02778DEB-D20A-4F0C-8542-693BF0C7C036}"/>
            </a:ext>
          </a:extLst>
        </xdr:cNvPr>
        <xdr:cNvPicPr>
          <a:picLocks noChangeAspect="1"/>
        </xdr:cNvPicPr>
      </xdr:nvPicPr>
      <xdr:blipFill>
        <a:blip xmlns:r="http://schemas.openxmlformats.org/officeDocument/2006/relationships" r:embed="rId1"/>
        <a:stretch>
          <a:fillRect/>
        </a:stretch>
      </xdr:blipFill>
      <xdr:spPr>
        <a:xfrm>
          <a:off x="2940504" y="66718543"/>
          <a:ext cx="1835054" cy="493819"/>
        </a:xfrm>
        <a:prstGeom prst="rect">
          <a:avLst/>
        </a:prstGeom>
      </xdr:spPr>
    </xdr:pic>
    <xdr:clientData/>
  </xdr:oneCellAnchor>
  <xdr:oneCellAnchor>
    <xdr:from>
      <xdr:col>3</xdr:col>
      <xdr:colOff>817789</xdr:colOff>
      <xdr:row>422</xdr:row>
      <xdr:rowOff>180975</xdr:rowOff>
    </xdr:from>
    <xdr:ext cx="1835054" cy="493819"/>
    <xdr:pic>
      <xdr:nvPicPr>
        <xdr:cNvPr id="6" name="Firma_APU_367">
          <a:extLst>
            <a:ext uri="{FF2B5EF4-FFF2-40B4-BE49-F238E27FC236}">
              <a16:creationId xmlns:a16="http://schemas.microsoft.com/office/drawing/2014/main" id="{A70DB759-0757-4425-872F-6952B0D3B9B0}"/>
            </a:ext>
          </a:extLst>
        </xdr:cNvPr>
        <xdr:cNvPicPr>
          <a:picLocks noChangeAspect="1"/>
        </xdr:cNvPicPr>
      </xdr:nvPicPr>
      <xdr:blipFill>
        <a:blip xmlns:r="http://schemas.openxmlformats.org/officeDocument/2006/relationships" r:embed="rId1"/>
        <a:stretch>
          <a:fillRect/>
        </a:stretch>
      </xdr:blipFill>
      <xdr:spPr>
        <a:xfrm>
          <a:off x="2886075" y="84205082"/>
          <a:ext cx="1835054" cy="493819"/>
        </a:xfrm>
        <a:prstGeom prst="rect">
          <a:avLst/>
        </a:prstGeom>
      </xdr:spPr>
    </xdr:pic>
    <xdr:clientData/>
  </xdr:oneCellAnchor>
  <xdr:oneCellAnchor>
    <xdr:from>
      <xdr:col>3</xdr:col>
      <xdr:colOff>845003</xdr:colOff>
      <xdr:row>509</xdr:row>
      <xdr:rowOff>182335</xdr:rowOff>
    </xdr:from>
    <xdr:ext cx="1835054" cy="493819"/>
    <xdr:pic>
      <xdr:nvPicPr>
        <xdr:cNvPr id="7" name="Firma_APU_454">
          <a:extLst>
            <a:ext uri="{FF2B5EF4-FFF2-40B4-BE49-F238E27FC236}">
              <a16:creationId xmlns:a16="http://schemas.microsoft.com/office/drawing/2014/main" id="{3C5C4DE5-6A5A-4C39-88D0-939B71B58E0C}"/>
            </a:ext>
          </a:extLst>
        </xdr:cNvPr>
        <xdr:cNvPicPr>
          <a:picLocks noChangeAspect="1"/>
        </xdr:cNvPicPr>
      </xdr:nvPicPr>
      <xdr:blipFill>
        <a:blip xmlns:r="http://schemas.openxmlformats.org/officeDocument/2006/relationships" r:embed="rId1"/>
        <a:stretch>
          <a:fillRect/>
        </a:stretch>
      </xdr:blipFill>
      <xdr:spPr>
        <a:xfrm>
          <a:off x="2913289" y="101487514"/>
          <a:ext cx="1835054" cy="493819"/>
        </a:xfrm>
        <a:prstGeom prst="rect">
          <a:avLst/>
        </a:prstGeom>
      </xdr:spPr>
    </xdr:pic>
    <xdr:clientData/>
  </xdr:oneCellAnchor>
  <xdr:oneCellAnchor>
    <xdr:from>
      <xdr:col>4</xdr:col>
      <xdr:colOff>1361</xdr:colOff>
      <xdr:row>595</xdr:row>
      <xdr:rowOff>183696</xdr:rowOff>
    </xdr:from>
    <xdr:ext cx="1835054" cy="493819"/>
    <xdr:pic>
      <xdr:nvPicPr>
        <xdr:cNvPr id="8" name="Firma_APU_540">
          <a:extLst>
            <a:ext uri="{FF2B5EF4-FFF2-40B4-BE49-F238E27FC236}">
              <a16:creationId xmlns:a16="http://schemas.microsoft.com/office/drawing/2014/main" id="{4D7DAF9D-B64C-47AC-B3FF-D2C6D72A4382}"/>
            </a:ext>
          </a:extLst>
        </xdr:cNvPr>
        <xdr:cNvPicPr>
          <a:picLocks noChangeAspect="1"/>
        </xdr:cNvPicPr>
      </xdr:nvPicPr>
      <xdr:blipFill>
        <a:blip xmlns:r="http://schemas.openxmlformats.org/officeDocument/2006/relationships" r:embed="rId1"/>
        <a:stretch>
          <a:fillRect/>
        </a:stretch>
      </xdr:blipFill>
      <xdr:spPr>
        <a:xfrm>
          <a:off x="2981325" y="118565839"/>
          <a:ext cx="1835054" cy="493819"/>
        </a:xfrm>
        <a:prstGeom prst="rect">
          <a:avLst/>
        </a:prstGeom>
      </xdr:spPr>
    </xdr:pic>
    <xdr:clientData/>
  </xdr:oneCellAnchor>
  <xdr:oneCellAnchor>
    <xdr:from>
      <xdr:col>3</xdr:col>
      <xdr:colOff>899432</xdr:colOff>
      <xdr:row>680</xdr:row>
      <xdr:rowOff>179614</xdr:rowOff>
    </xdr:from>
    <xdr:ext cx="1835054" cy="493819"/>
    <xdr:pic>
      <xdr:nvPicPr>
        <xdr:cNvPr id="9" name="Firma_APU_625">
          <a:extLst>
            <a:ext uri="{FF2B5EF4-FFF2-40B4-BE49-F238E27FC236}">
              <a16:creationId xmlns:a16="http://schemas.microsoft.com/office/drawing/2014/main" id="{2AEC5704-F553-4332-B916-D366B0FC4E28}"/>
            </a:ext>
          </a:extLst>
        </xdr:cNvPr>
        <xdr:cNvPicPr>
          <a:picLocks noChangeAspect="1"/>
        </xdr:cNvPicPr>
      </xdr:nvPicPr>
      <xdr:blipFill>
        <a:blip xmlns:r="http://schemas.openxmlformats.org/officeDocument/2006/relationships" r:embed="rId1"/>
        <a:stretch>
          <a:fillRect/>
        </a:stretch>
      </xdr:blipFill>
      <xdr:spPr>
        <a:xfrm>
          <a:off x="2967718" y="135434614"/>
          <a:ext cx="1835054" cy="493819"/>
        </a:xfrm>
        <a:prstGeom prst="rect">
          <a:avLst/>
        </a:prstGeom>
      </xdr:spPr>
    </xdr:pic>
    <xdr:clientData/>
  </xdr:oneCellAnchor>
  <xdr:oneCellAnchor>
    <xdr:from>
      <xdr:col>3</xdr:col>
      <xdr:colOff>885824</xdr:colOff>
      <xdr:row>766</xdr:row>
      <xdr:rowOff>180975</xdr:rowOff>
    </xdr:from>
    <xdr:ext cx="1835054" cy="493819"/>
    <xdr:pic>
      <xdr:nvPicPr>
        <xdr:cNvPr id="10" name="Firma_APU_711">
          <a:extLst>
            <a:ext uri="{FF2B5EF4-FFF2-40B4-BE49-F238E27FC236}">
              <a16:creationId xmlns:a16="http://schemas.microsoft.com/office/drawing/2014/main" id="{E98E61A8-6DC2-4CFE-839A-BA19B584F80A}"/>
            </a:ext>
          </a:extLst>
        </xdr:cNvPr>
        <xdr:cNvPicPr>
          <a:picLocks noChangeAspect="1"/>
        </xdr:cNvPicPr>
      </xdr:nvPicPr>
      <xdr:blipFill>
        <a:blip xmlns:r="http://schemas.openxmlformats.org/officeDocument/2006/relationships" r:embed="rId1"/>
        <a:stretch>
          <a:fillRect/>
        </a:stretch>
      </xdr:blipFill>
      <xdr:spPr>
        <a:xfrm>
          <a:off x="2954110" y="152512939"/>
          <a:ext cx="1835054" cy="493819"/>
        </a:xfrm>
        <a:prstGeom prst="rect">
          <a:avLst/>
        </a:prstGeom>
      </xdr:spPr>
    </xdr:pic>
    <xdr:clientData/>
  </xdr:oneCellAnchor>
  <xdr:oneCellAnchor>
    <xdr:from>
      <xdr:col>3</xdr:col>
      <xdr:colOff>804182</xdr:colOff>
      <xdr:row>854</xdr:row>
      <xdr:rowOff>5443</xdr:rowOff>
    </xdr:from>
    <xdr:ext cx="1835054" cy="493819"/>
    <xdr:pic>
      <xdr:nvPicPr>
        <xdr:cNvPr id="11" name="Firma_APU_798">
          <a:extLst>
            <a:ext uri="{FF2B5EF4-FFF2-40B4-BE49-F238E27FC236}">
              <a16:creationId xmlns:a16="http://schemas.microsoft.com/office/drawing/2014/main" id="{7F6CD25B-9C28-4073-8B2C-6EC81F3D025F}"/>
            </a:ext>
          </a:extLst>
        </xdr:cNvPr>
        <xdr:cNvPicPr>
          <a:picLocks noChangeAspect="1"/>
        </xdr:cNvPicPr>
      </xdr:nvPicPr>
      <xdr:blipFill>
        <a:blip xmlns:r="http://schemas.openxmlformats.org/officeDocument/2006/relationships" r:embed="rId1"/>
        <a:stretch>
          <a:fillRect/>
        </a:stretch>
      </xdr:blipFill>
      <xdr:spPr>
        <a:xfrm>
          <a:off x="2872468" y="170094729"/>
          <a:ext cx="1835054" cy="493819"/>
        </a:xfrm>
        <a:prstGeom prst="rect">
          <a:avLst/>
        </a:prstGeom>
      </xdr:spPr>
    </xdr:pic>
    <xdr:clientData/>
  </xdr:oneCellAnchor>
  <xdr:oneCellAnchor>
    <xdr:from>
      <xdr:col>3</xdr:col>
      <xdr:colOff>885825</xdr:colOff>
      <xdr:row>940</xdr:row>
      <xdr:rowOff>142875</xdr:rowOff>
    </xdr:from>
    <xdr:ext cx="1835054" cy="493819"/>
    <xdr:pic>
      <xdr:nvPicPr>
        <xdr:cNvPr id="12" name="Firma_APU_885">
          <a:extLst>
            <a:ext uri="{FF2B5EF4-FFF2-40B4-BE49-F238E27FC236}">
              <a16:creationId xmlns:a16="http://schemas.microsoft.com/office/drawing/2014/main" id="{CF16245B-F00E-4521-A79C-1F10729E3E09}"/>
            </a:ext>
          </a:extLst>
        </xdr:cNvPr>
        <xdr:cNvPicPr>
          <a:picLocks noChangeAspect="1"/>
        </xdr:cNvPicPr>
      </xdr:nvPicPr>
      <xdr:blipFill>
        <a:blip xmlns:r="http://schemas.openxmlformats.org/officeDocument/2006/relationships" r:embed="rId1"/>
        <a:stretch>
          <a:fillRect/>
        </a:stretch>
      </xdr:blipFill>
      <xdr:spPr>
        <a:xfrm>
          <a:off x="2954111" y="187322732"/>
          <a:ext cx="1835054" cy="493819"/>
        </a:xfrm>
        <a:prstGeom prst="rect">
          <a:avLst/>
        </a:prstGeom>
      </xdr:spPr>
    </xdr:pic>
    <xdr:clientData/>
  </xdr:oneCellAnchor>
  <xdr:oneCellAnchor>
    <xdr:from>
      <xdr:col>3</xdr:col>
      <xdr:colOff>858611</xdr:colOff>
      <xdr:row>1028</xdr:row>
      <xdr:rowOff>21771</xdr:rowOff>
    </xdr:from>
    <xdr:ext cx="1835054" cy="493819"/>
    <xdr:pic>
      <xdr:nvPicPr>
        <xdr:cNvPr id="13" name="Firma_APU_972">
          <a:extLst>
            <a:ext uri="{FF2B5EF4-FFF2-40B4-BE49-F238E27FC236}">
              <a16:creationId xmlns:a16="http://schemas.microsoft.com/office/drawing/2014/main" id="{0E62F64E-ED7E-4C75-B619-5E45BE1C59D1}"/>
            </a:ext>
          </a:extLst>
        </xdr:cNvPr>
        <xdr:cNvPicPr>
          <a:picLocks noChangeAspect="1"/>
        </xdr:cNvPicPr>
      </xdr:nvPicPr>
      <xdr:blipFill>
        <a:blip xmlns:r="http://schemas.openxmlformats.org/officeDocument/2006/relationships" r:embed="rId1"/>
        <a:stretch>
          <a:fillRect/>
        </a:stretch>
      </xdr:blipFill>
      <xdr:spPr>
        <a:xfrm>
          <a:off x="2926897" y="204673200"/>
          <a:ext cx="1835054" cy="493819"/>
        </a:xfrm>
        <a:prstGeom prst="rect">
          <a:avLst/>
        </a:prstGeom>
      </xdr:spPr>
    </xdr:pic>
    <xdr:clientData/>
  </xdr:oneCellAnchor>
  <xdr:oneCellAnchor>
    <xdr:from>
      <xdr:col>3</xdr:col>
      <xdr:colOff>858610</xdr:colOff>
      <xdr:row>1113</xdr:row>
      <xdr:rowOff>159204</xdr:rowOff>
    </xdr:from>
    <xdr:ext cx="1835054" cy="493819"/>
    <xdr:pic>
      <xdr:nvPicPr>
        <xdr:cNvPr id="14" name="Firma_APU_1058">
          <a:extLst>
            <a:ext uri="{FF2B5EF4-FFF2-40B4-BE49-F238E27FC236}">
              <a16:creationId xmlns:a16="http://schemas.microsoft.com/office/drawing/2014/main" id="{4BA04411-14B0-4C18-92F6-37AE16293B8C}"/>
            </a:ext>
          </a:extLst>
        </xdr:cNvPr>
        <xdr:cNvPicPr>
          <a:picLocks noChangeAspect="1"/>
        </xdr:cNvPicPr>
      </xdr:nvPicPr>
      <xdr:blipFill>
        <a:blip xmlns:r="http://schemas.openxmlformats.org/officeDocument/2006/relationships" r:embed="rId1"/>
        <a:stretch>
          <a:fillRect/>
        </a:stretch>
      </xdr:blipFill>
      <xdr:spPr>
        <a:xfrm>
          <a:off x="2926896" y="221697097"/>
          <a:ext cx="1835054" cy="493819"/>
        </a:xfrm>
        <a:prstGeom prst="rect">
          <a:avLst/>
        </a:prstGeom>
      </xdr:spPr>
    </xdr:pic>
    <xdr:clientData/>
  </xdr:oneCellAnchor>
  <xdr:oneCellAnchor>
    <xdr:from>
      <xdr:col>3</xdr:col>
      <xdr:colOff>858610</xdr:colOff>
      <xdr:row>1199</xdr:row>
      <xdr:rowOff>170090</xdr:rowOff>
    </xdr:from>
    <xdr:ext cx="1835054" cy="493819"/>
    <xdr:pic>
      <xdr:nvPicPr>
        <xdr:cNvPr id="15" name="Firma_APU_1144">
          <a:extLst>
            <a:ext uri="{FF2B5EF4-FFF2-40B4-BE49-F238E27FC236}">
              <a16:creationId xmlns:a16="http://schemas.microsoft.com/office/drawing/2014/main" id="{FCEED9C4-AD46-455C-B6D7-0B7844873FD0}"/>
            </a:ext>
          </a:extLst>
        </xdr:cNvPr>
        <xdr:cNvPicPr>
          <a:picLocks noChangeAspect="1"/>
        </xdr:cNvPicPr>
      </xdr:nvPicPr>
      <xdr:blipFill>
        <a:blip xmlns:r="http://schemas.openxmlformats.org/officeDocument/2006/relationships" r:embed="rId1"/>
        <a:stretch>
          <a:fillRect/>
        </a:stretch>
      </xdr:blipFill>
      <xdr:spPr>
        <a:xfrm>
          <a:off x="2926896" y="238880197"/>
          <a:ext cx="1835054" cy="493819"/>
        </a:xfrm>
        <a:prstGeom prst="rect">
          <a:avLst/>
        </a:prstGeom>
      </xdr:spPr>
    </xdr:pic>
    <xdr:clientData/>
  </xdr:oneCellAnchor>
  <xdr:oneCellAnchor>
    <xdr:from>
      <xdr:col>3</xdr:col>
      <xdr:colOff>831396</xdr:colOff>
      <xdr:row>1285</xdr:row>
      <xdr:rowOff>29936</xdr:rowOff>
    </xdr:from>
    <xdr:ext cx="1835054" cy="493819"/>
    <xdr:pic>
      <xdr:nvPicPr>
        <xdr:cNvPr id="16" name="Firma_APU_1229">
          <a:extLst>
            <a:ext uri="{FF2B5EF4-FFF2-40B4-BE49-F238E27FC236}">
              <a16:creationId xmlns:a16="http://schemas.microsoft.com/office/drawing/2014/main" id="{7A82B09B-4B2B-42DF-93A4-BF55B069E6FD}"/>
            </a:ext>
          </a:extLst>
        </xdr:cNvPr>
        <xdr:cNvPicPr>
          <a:picLocks noChangeAspect="1"/>
        </xdr:cNvPicPr>
      </xdr:nvPicPr>
      <xdr:blipFill>
        <a:blip xmlns:r="http://schemas.openxmlformats.org/officeDocument/2006/relationships" r:embed="rId1"/>
        <a:stretch>
          <a:fillRect/>
        </a:stretch>
      </xdr:blipFill>
      <xdr:spPr>
        <a:xfrm>
          <a:off x="2899682" y="255803400"/>
          <a:ext cx="1835054" cy="493819"/>
        </a:xfrm>
        <a:prstGeom prst="rect">
          <a:avLst/>
        </a:prstGeom>
      </xdr:spPr>
    </xdr:pic>
    <xdr:clientData/>
  </xdr:oneCellAnchor>
  <xdr:oneCellAnchor>
    <xdr:from>
      <xdr:col>3</xdr:col>
      <xdr:colOff>858611</xdr:colOff>
      <xdr:row>1370</xdr:row>
      <xdr:rowOff>126546</xdr:rowOff>
    </xdr:from>
    <xdr:ext cx="1835054" cy="493819"/>
    <xdr:pic>
      <xdr:nvPicPr>
        <xdr:cNvPr id="17" name="Firma_APU_1315">
          <a:extLst>
            <a:ext uri="{FF2B5EF4-FFF2-40B4-BE49-F238E27FC236}">
              <a16:creationId xmlns:a16="http://schemas.microsoft.com/office/drawing/2014/main" id="{C673D1BD-EBBB-43AE-8B0F-4B399F4E53A7}"/>
            </a:ext>
          </a:extLst>
        </xdr:cNvPr>
        <xdr:cNvPicPr>
          <a:picLocks noChangeAspect="1"/>
        </xdr:cNvPicPr>
      </xdr:nvPicPr>
      <xdr:blipFill>
        <a:blip xmlns:r="http://schemas.openxmlformats.org/officeDocument/2006/relationships" r:embed="rId1"/>
        <a:stretch>
          <a:fillRect/>
        </a:stretch>
      </xdr:blipFill>
      <xdr:spPr>
        <a:xfrm>
          <a:off x="2926897" y="272786475"/>
          <a:ext cx="1835054" cy="493819"/>
        </a:xfrm>
        <a:prstGeom prst="rect">
          <a:avLst/>
        </a:prstGeom>
      </xdr:spPr>
    </xdr:pic>
    <xdr:clientData/>
  </xdr:oneCellAnchor>
  <xdr:oneCellAnchor>
    <xdr:from>
      <xdr:col>3</xdr:col>
      <xdr:colOff>763361</xdr:colOff>
      <xdr:row>1458</xdr:row>
      <xdr:rowOff>19050</xdr:rowOff>
    </xdr:from>
    <xdr:ext cx="1835054" cy="493819"/>
    <xdr:pic>
      <xdr:nvPicPr>
        <xdr:cNvPr id="18" name="Firma_APU_1402">
          <a:extLst>
            <a:ext uri="{FF2B5EF4-FFF2-40B4-BE49-F238E27FC236}">
              <a16:creationId xmlns:a16="http://schemas.microsoft.com/office/drawing/2014/main" id="{24356D8E-5F4F-4837-83A2-FAAF184ACAB0}"/>
            </a:ext>
          </a:extLst>
        </xdr:cNvPr>
        <xdr:cNvPicPr>
          <a:picLocks noChangeAspect="1"/>
        </xdr:cNvPicPr>
      </xdr:nvPicPr>
      <xdr:blipFill>
        <a:blip xmlns:r="http://schemas.openxmlformats.org/officeDocument/2006/relationships" r:embed="rId1"/>
        <a:stretch>
          <a:fillRect/>
        </a:stretch>
      </xdr:blipFill>
      <xdr:spPr>
        <a:xfrm>
          <a:off x="2831647" y="290436300"/>
          <a:ext cx="1835054" cy="493819"/>
        </a:xfrm>
        <a:prstGeom prst="rect">
          <a:avLst/>
        </a:prstGeom>
      </xdr:spPr>
    </xdr:pic>
    <xdr:clientData/>
  </xdr:oneCellAnchor>
  <xdr:oneCellAnchor>
    <xdr:from>
      <xdr:col>3</xdr:col>
      <xdr:colOff>804182</xdr:colOff>
      <xdr:row>1544</xdr:row>
      <xdr:rowOff>156483</xdr:rowOff>
    </xdr:from>
    <xdr:ext cx="1835054" cy="493819"/>
    <xdr:pic>
      <xdr:nvPicPr>
        <xdr:cNvPr id="19" name="Firma_APU_1489">
          <a:extLst>
            <a:ext uri="{FF2B5EF4-FFF2-40B4-BE49-F238E27FC236}">
              <a16:creationId xmlns:a16="http://schemas.microsoft.com/office/drawing/2014/main" id="{32817E1A-429E-45F6-B6CA-ED4EA684EAFB}"/>
            </a:ext>
          </a:extLst>
        </xdr:cNvPr>
        <xdr:cNvPicPr>
          <a:picLocks noChangeAspect="1"/>
        </xdr:cNvPicPr>
      </xdr:nvPicPr>
      <xdr:blipFill>
        <a:blip xmlns:r="http://schemas.openxmlformats.org/officeDocument/2006/relationships" r:embed="rId1"/>
        <a:stretch>
          <a:fillRect/>
        </a:stretch>
      </xdr:blipFill>
      <xdr:spPr>
        <a:xfrm>
          <a:off x="2872468" y="307950054"/>
          <a:ext cx="1835054" cy="493819"/>
        </a:xfrm>
        <a:prstGeom prst="rect">
          <a:avLst/>
        </a:prstGeom>
      </xdr:spPr>
    </xdr:pic>
    <xdr:clientData/>
  </xdr:oneCellAnchor>
  <xdr:oneCellAnchor>
    <xdr:from>
      <xdr:col>3</xdr:col>
      <xdr:colOff>845003</xdr:colOff>
      <xdr:row>1632</xdr:row>
      <xdr:rowOff>171450</xdr:rowOff>
    </xdr:from>
    <xdr:ext cx="1835054" cy="493819"/>
    <xdr:pic>
      <xdr:nvPicPr>
        <xdr:cNvPr id="20" name="Firma_APU_1577">
          <a:extLst>
            <a:ext uri="{FF2B5EF4-FFF2-40B4-BE49-F238E27FC236}">
              <a16:creationId xmlns:a16="http://schemas.microsoft.com/office/drawing/2014/main" id="{9C49E6A6-5095-4A7E-A327-2AE02A50CFAC}"/>
            </a:ext>
          </a:extLst>
        </xdr:cNvPr>
        <xdr:cNvPicPr>
          <a:picLocks noChangeAspect="1"/>
        </xdr:cNvPicPr>
      </xdr:nvPicPr>
      <xdr:blipFill>
        <a:blip xmlns:r="http://schemas.openxmlformats.org/officeDocument/2006/relationships" r:embed="rId1"/>
        <a:stretch>
          <a:fillRect/>
        </a:stretch>
      </xdr:blipFill>
      <xdr:spPr>
        <a:xfrm>
          <a:off x="2913289" y="325436593"/>
          <a:ext cx="1835054" cy="493819"/>
        </a:xfrm>
        <a:prstGeom prst="rect">
          <a:avLst/>
        </a:prstGeom>
      </xdr:spPr>
    </xdr:pic>
    <xdr:clientData/>
  </xdr:oneCellAnchor>
  <xdr:oneCellAnchor>
    <xdr:from>
      <xdr:col>3</xdr:col>
      <xdr:colOff>804182</xdr:colOff>
      <xdr:row>1719</xdr:row>
      <xdr:rowOff>118382</xdr:rowOff>
    </xdr:from>
    <xdr:ext cx="1835054" cy="493819"/>
    <xdr:pic>
      <xdr:nvPicPr>
        <xdr:cNvPr id="21" name="Firma_APU_1664">
          <a:extLst>
            <a:ext uri="{FF2B5EF4-FFF2-40B4-BE49-F238E27FC236}">
              <a16:creationId xmlns:a16="http://schemas.microsoft.com/office/drawing/2014/main" id="{09148473-E899-44A6-955F-11CB4E684E02}"/>
            </a:ext>
          </a:extLst>
        </xdr:cNvPr>
        <xdr:cNvPicPr>
          <a:picLocks noChangeAspect="1"/>
        </xdr:cNvPicPr>
      </xdr:nvPicPr>
      <xdr:blipFill>
        <a:blip xmlns:r="http://schemas.openxmlformats.org/officeDocument/2006/relationships" r:embed="rId1"/>
        <a:stretch>
          <a:fillRect/>
        </a:stretch>
      </xdr:blipFill>
      <xdr:spPr>
        <a:xfrm>
          <a:off x="2872468" y="342950346"/>
          <a:ext cx="1835054" cy="493819"/>
        </a:xfrm>
        <a:prstGeom prst="rect">
          <a:avLst/>
        </a:prstGeom>
      </xdr:spPr>
    </xdr:pic>
    <xdr:clientData/>
  </xdr:oneCellAnchor>
  <xdr:oneCellAnchor>
    <xdr:from>
      <xdr:col>3</xdr:col>
      <xdr:colOff>831396</xdr:colOff>
      <xdr:row>1806</xdr:row>
      <xdr:rowOff>174171</xdr:rowOff>
    </xdr:from>
    <xdr:ext cx="1835054" cy="493819"/>
    <xdr:pic>
      <xdr:nvPicPr>
        <xdr:cNvPr id="22" name="Firma_APU_1751">
          <a:extLst>
            <a:ext uri="{FF2B5EF4-FFF2-40B4-BE49-F238E27FC236}">
              <a16:creationId xmlns:a16="http://schemas.microsoft.com/office/drawing/2014/main" id="{E62154AA-26DC-479B-BFE6-C2C205EEEA3D}"/>
            </a:ext>
          </a:extLst>
        </xdr:cNvPr>
        <xdr:cNvPicPr>
          <a:picLocks noChangeAspect="1"/>
        </xdr:cNvPicPr>
      </xdr:nvPicPr>
      <xdr:blipFill>
        <a:blip xmlns:r="http://schemas.openxmlformats.org/officeDocument/2006/relationships" r:embed="rId1"/>
        <a:stretch>
          <a:fillRect/>
        </a:stretch>
      </xdr:blipFill>
      <xdr:spPr>
        <a:xfrm>
          <a:off x="2899682" y="360572957"/>
          <a:ext cx="1835054" cy="493819"/>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Sara\d\SARITA\HSLA\SUBESTACION\jkm\PU-%20Caseta%20Planta%20Electrica-Palacio-CIVIL.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Sara\d\SARITA\HSLA\SUBESTACION\jkm\PU-%20Caseta%20Planta%20Electrica-ELECTRICO.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ara\d\SARITA\HSLA\SUBESTACION\jkm\PU-%20Caseta%20Planta%20Electrica-Palacio.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Sara\d\SARITA\HSLA\SUBESTACION\jkm\PALACIO-ALCALDIA\PROYECTOS\ESTRUCTURAS\SALONES%20COMUNALES\LA%20PESQUERA\CANCHAS\PROPUEST\PROPUEST\SALA%20DE%20URGENCIAS%20H.S.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791ECA3\PRESUPUESTO%205-7.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Users\myull\OneDrive\Escritorio\PARQUES%20REGALIAS%202\PRESUPUESTO%20PARQUE%20REGALIAS%202\Presupuesto%20Construcci&#243;n%20Puente%20Peatonal%20Manitas.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16.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V&#237;nculoExternoRecuperado1?FA9CF50F" TargetMode="External"/><Relationship Id="rId1" Type="http://schemas.openxmlformats.org/officeDocument/2006/relationships/externalLinkPath" Target="file:///\\FA9CF50F\V&#237;nculoExternoRecuperado1"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F:\MaCaroCar\Documents\PERSONAL%20MACAROCAR\PPTO%20PRELIMINAR%20PPL\APU%20VOL%201.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H:\ARAUCA%201\CONTRATO%20167%20DE%202010%20MORICHE\ACTAS%20Y%20CANTIDADES\Documents%20and%20Settings\INGENIERO2\Mis%20documentos\felipe_Martinez\PLAN%20DE%20VIVIVENDA%20EL%20JARDIN\MEMORIA%20DE%20CALCULO,%20PRESUPUESTO%20Y%20APU\PRESUPUESTO,%20APU.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4046CC28\PU-%20Caseta%20Planta%20Electrica-Palacio-CIVI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4046CC28\PU-%20Caseta%20Planta%20Electrica-ELECTRICO.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4046CC28\PU-%20Caseta%20Planta%20Electrica-Palacio.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C7DA139C\SALA%20DE%20URGENCIAS%20H.S.L..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C:\Users\HP\Desktop\PLACA%20HUELLA%20SARAVENA\Presupuesto%20T\TIERRA%20BUENA%20FACTIBILIDAD%2010.09.2004%2040%20CASAS%20264%20APARTAMENTOS%20(CD%2015.09.2004).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F:\Mis%20documentos\jkm\PU-%20Caseta%20Planta%20Electrica-Palacio-CIVIL.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E:\Documents%20and%20Settings\Usuario\Configuraci&#243;n%20local\Archivos%20temporales%20de%20Internet\Content.IE5\WDYNW16N\PROYECTOS\CESAR%20MARIN\PAVIMENTO%20%20CLL%205%20SUR%20ENTRE%20CRA%2024%20Y%2027\gabo%202do%20piso.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F:\Mis%20documentos\jkm\PU-%20Caseta%20Planta%20Electrica-ELECTRICO.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F:\Mis%20documentos\jkm\PU-%20Caseta%20Planta%20Electrica-Palacio.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7D09FAE6\SALA%20DE%20URGENCIAS%20H.S.L..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H:\Documents%20and%20Settings\INGENIERO2\Mis%20documentos\felipe_Martinez\PLAN%20DE%20VIVIVENDA%20EL%20JARDIN\MEMORIA%20DE%20CALCULO,%20PRESUPUESTO%20Y%20APU\PRESUPUESTO,%20APU.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42.xml.rels><?xml version="1.0" encoding="UTF-8" standalone="yes"?>
<Relationships xmlns="http://schemas.openxmlformats.org/package/2006/relationships"><Relationship Id="rId2" Type="http://schemas.openxmlformats.org/officeDocument/2006/relationships/externalLinkPath" Target="file:///D:\HELMER\HELMER\PROCESOS%202026\5.ACUEDUCTO%20CALLE%203\Formulario%201%20-%20Formulario%20de%20Presupuest4%20PUENTE%20HAMACA1.xlsx" TargetMode="External"/><Relationship Id="rId1" Type="http://schemas.openxmlformats.org/officeDocument/2006/relationships/externalLinkPath" Target="/HELMER/HELMER/PROCESOS%202026/5.ACUEDUCTO%20CALLE%203/Formulario%201%20-%20Formulario%20de%20Presupuest4%20PUENTE%20HAMACA1.xlsx" TargetMode="External"/></Relationships>
</file>

<file path=xl/externalLinks/_rels/externalLink43.xml.rels><?xml version="1.0" encoding="UTF-8" standalone="yes"?>
<Relationships xmlns="http://schemas.openxmlformats.org/package/2006/relationships"><Relationship Id="rId2" Type="http://schemas.openxmlformats.org/officeDocument/2006/relationships/externalLinkPath" Target="file:///C:\Users\SECPLANEACION3\Documents\HELMER\PROCESOS%202026\5.ACUEDUCTO%20CALLE%203\Formulario%201%20-%20Formulario%20de%20Presupuest4%20PUENTE%20HAMACA1.xlsx" TargetMode="External"/><Relationship Id="rId1" Type="http://schemas.openxmlformats.org/officeDocument/2006/relationships/externalLinkPath" Target="file:///C:\Users\SECPLANEACION3\Documents\HELMER\PROCESOS%202026\5.ACUEDUCTO%20CALLE%203\Formulario%201%20-%20Formulario%20de%20Presupuest4%20PUENTE%20HAMACA1.xlsx"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H:\Proyectos%20gobernacion\JUAN%20CARLOS%20MORENO\CUBIERTA%20CANCHA%20DIVINO%20NI&#209;O\gabo%202do%20piso.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sla4\2001-%20proyec\edgarc\contratos\NorOriental\Cantobraimpe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E2BCE6F2\1erINFORME.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F8F564F9\Pto-..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C:\Users\HP\Desktop\PLACA%20HUELLA%20SARAVENA\Desktop\Proyectos\8.%20Guachucal\PRESUPUESTO%20GUACHUCAL.xlsx"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E:\Users\SHIRLEY\AppData\Local\Temp\Rar$DIa0.174\ALCALDIA%20PARQUES%20BIOSALUDABLES\Mis%20documentos\JOMAM\Mis%20documentos\PLAN%20COL.PARQUE%20LOS%20LANCER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E:\Users\SHIRLEY\AppData\Local\Temp\Rar$DIa0.174\ALCALDIA%20PARQUES%20BIOSALUDABLES\Mis%20documentos\JOMAM\Mis%20documentos\pavim.porvenir81-001-0053%20OXY%20L125.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Z:\Users\ADOLFO%20ALONSO%20BUITRA\Documents\ADOLFO\Documentos_General_2010-2011\Obras_2010\Francisco_Calderon\Federacion_Cafeteros\Presupuesto_Federacion\PRESUPUESTO%20Y%20APUS%20608-MONIQUIRAMARZO.LXS.xlsm"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C:\Users\milenacastanocifuentes\Desktop\japarra\Users\Euribe\AppData\Local\Microsoft\Windows\Temporary%20Internet%20Files\Content.IE5\X9G4ABM0\invmeta\INFORMES\infabr98.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C:\Users\HP\Desktop\PLACA%20HUELLA%20SARAVENA\Desktop\Gualmat&#225;n\PRESUPUESTO%20GUALMATAN%20V.2.1.xlsx"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F:\presupuesto%20idu\CANTIDADES%20OBRA\comunicaciones\PTTO%20COMUNICACIONES%2014-ABR-09.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F:\Familia%20Monsalvo%20D&#237;az\Equipo%20Anterior\Rossana\CONSULTORIA\2009\Insumos%202009.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C:\Users\User\Downloads\William%20AMC\banco%20de%20proyectos\fichas%20de%20proyectos\GIMNASIO%20PARQUE%20PLAYA.xlsx"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E:\Goyo\SOPD\Proyectos\Arc_Tame\Version2\APU_2%20Arauquita.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WINDOWS\TEMP\TD_0025.DIR\NOV-%2520DIC-2002\INF%2520NOV-DIC_2.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280C58CC\a%20%20aaInformaci&#243;n%20GRUPO"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C:\USUARIO\Desktop\CONTRATO%20MC-006%20DE%202017\COMPONENTE%20ELECTRICO\LIMONES\Parque%20en%20el%20barrio%20Limones\Parque%20Limones%20-%20Analisis%20de%20Precios%20Unitario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PACO\Doc.%20ASPIRE\Mis%20documentos\INF.BIMENSUAL\INFORME%20BIMENSUAL%20JUL-AGO-2001.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Z:\BIIM\RAFAEL%20-%20PROYECTOS%20TIPO%20BIIM%20MARZO\14.0%20PRESUPUESTOS%20FINALES%20PARA%20IMPRESI&#211;N\Presupuestos%20placa%20huellas\SOACHA%20Presupuesto_750%20_Intermedia_Suelo%20CD_V04V2.xlsx"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E:\Users\SHIRLEY\AppData\Local\Temp\Rar$DIa0.174\ALCALDIA%20PARQUES%20BIOSALUDABLES\Mis%20documentos\JOMAM\Mis%20documentos\PLAZA%20FERIAS%20MANGA%20ARAUQUITA.PLAN.COL.cor..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A:\Mis%2520documentos\Advial-Jul-01-jul-03\formatos\FORMATOS%2520UTILES\APU.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95.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ALSARAVENA\AplicativoWeb\PLANEACION\Fabian\PROYECTOS%202016\pavimentacion%20garrotazo%202016\PRESUPUESTO%20GARROTAZO\PAVIMENTACION%20GARROTAZO%202016%2006-14.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C:\Applications\Microsoft%20Excel.app\SERVIDORPISO1\EDGAR%20SARMIENTO\Mis%20documentos\ecopetrol\S-ISIDRO-PRIMAVERA\propuesta%20primavera.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F:\2012\ANTIOQUIA\JERIC&#211;\01%20Presupuesto%2009-07-12\GP-469%20-%20Ppto%20Teatro%20Jerico%20V16%20-%20etapa%202.xlsx"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C:\Users\adolfo\Desktop\PRESUPUESTO%20INGENIE.xlsx"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C:\Users\milenacastanocifuentes\Desktop\japarra\01%20Gestion\01%20-%20Obras\@liquidar\350%20-%20Sahag&#250;n\04%20Trabajo\GP-350%20-%20Presupuesto%20Sahag&#250;n%20V16.xlsx"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C:\Users\HP\Desktop\PLACA%20HUELLA%20SARAVENA\Listadoprecios200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108.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Applications\Microsoft%20Excel.app\D:\Nardita\Torre%20Puerto%20LOPEZ\Hidr&#225;ulico\Presupuesto\PRESUPPUESTO%20PTAP\PRESUPUESTO%20-%20PTAP%20-%20TORRE%20MIRADOR%20PTO%20LOPEZ.xlsx"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Z:\BIIM\CAROLINA%20OLARTE\Consolidacion%20Territorial\Entregables\PROYECTOS%20UACT%20-%20Finales\7.%20Nechi\3.%20Presupuesto\Presupuesto%20Nechi%20(2Feb.20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C:\Users\dariocardenas\Documents\02%20PROYECTOS%20EN%20EJECUCI&#211;N\18%20DISCI%20-%20RENOVACI&#211;N%20URBANISTICA%20MALECON\PRESUPUESTO%20-%20UNITARIOS%20-%20MEMORIAS\CARAMA_AA_D_IN_1_Anexo%20x.xx%20REDES%20DE%20DISTRIBUCI&#211;N.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C:\Users\BGIL%20CONSULTORIA%202\Documents\Xacta\Cundinamarca\ID388515\Formulaci&#243;n\Presupuesto%20V%2005-04-2021.xlsx"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BA875AFB\SABANA_PRESUPUESTO_CanchaMultiple_900_08sep2012.xlsx"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H:\Documents%20and%20Settings\Obras\Escritorio\Documents%20and%20Settings\Usuario\Mis%20documentos\SOPM\2.%20PROYECTOS\2.3%20PROYECTOS%20VIABILIZADOS\COMUNA%20III\Copia%20de%20Proyecto%20COMUNA%20III%20FOCOS%20final.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15469F05\Copia%20de%20PRESUPUESTO%20PUENTE%20TRANSVERSAL%2045%20-%20V.1.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C:\USUARIO\Desktop\CONTRATO%20MC-006%20DE%202017\COMPONENTE%20ELECTRICO\LIMONES\Parque%20en%20el%20barrio%20Limones\Parque%20Limones%20-%20Ficha%20de%20cantidades.xlsx"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F:\Users\TECNICOS01\Documents\mis%20documentos\PROYECTOS\ARAUQUITA\14-AZ-ARAUQUITA-ARAUCA\3.%20Formulaci&#243;n%20T&#233;cnica\15-Presupuesto\Presupuesto%20Arauquita%20-%20copia.xlsx"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TERMINAL1\Mis%20documentos\Informes%20de%20Intervento&#237;a%20de%20Obras\Proyectos%20de%20Educaci&#243;n\Contrucci&#243;n%20Aula%20Juan%20XXIII%20El%20Cedrito\Pto-1..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C:\Users\milenacastanocifuentes\Desktop\japarra\AREA\Calle4sur\dise&#241;os\marayita\183%20Parque%20Girardota\04%20Trabajo\GP-183%20-%20Presupuesto%20preliminar%20V19.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F:\Documentos\METODOLO1\USUARIO\MEJORAMIENTO%20ESCUELA%20LA%20BONANZA%20ELE%20PEROCERO%20-%20ARAUCA\ANEXOS\PROYECTO%20ESCUELA%20LA%20BONANZA.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C:\H\proyectos%20eliecer\CONSTRUCCION%20BATERIAS%20SANITARIAS%20RURALES\ANEXOS\COSNTRUCCION%20COMEDOR%20TIPO%202\TALLER%20FUNDEGUADUA\PRESUPUESTOTALLER%20FUNDEGUADUA.xls" TargetMode="External"/></Relationships>
</file>

<file path=xl/externalLinks/_rels/externalLink135.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C:\Users\ALeJoCaRDeNaS\Documents\02%20PROYECTOS%20EN%20EJECUCION\18%20DISCI%20-%20RENOVACI&#211;N%20URBANISTICA%20MALECON\PRESUPUESTO%20-%20UNITARIOS%20-%20MEMORIAS\Diseno_correa.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C:\Users\luisu\Desktop\PLAZA%20CUBARA%202021\PLAZA%202021\OPCION%201\APU%201..xlsx"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C:\Disk_1\mis%20docum%2022-07-08\INPROAV%20LTDA\ING%20ARMANDO\RELLENO%20ESMERALDA%20FASE%20II\proyecto%20RELLENO%20SANITARIO\proyecto%20ocad%202012\2013%20PPTO%20II%20FASE\APU%20relleno%20piedemonte%20proyecto%20ocad%202012%20presentados-16-01-13.xlsx"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C:\Users\HP\Desktop\PLACA%20HUELLA%20SARAVENA\Users\jhonatanmauricio\Downloads\F:\VILLA%20TAKOA\Presupuesto\APUS%20VILLA%20TAKOA.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5CE8527E\PRESUPUESTO%20CERRAMIENTOreal%20HSLA.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F:\Escritorio\PP\PP%20no%20usados\1&#186;%20de%20Mayo%20con%2049C.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Users/Ing.%20Oscar/Downloads/MATRIZ%20PARA%20EL%20CALCULO%20DEL%20AIU%202009.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Cosenit2\oscar%20mauricio\Users\GAS%20NATURAL\Tarifas\2006\200603\Tarifas200603.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C:\Users\milenacastanocifuentes\Desktop\japarra\AREA\Calle4sur\dise&#241;os\01%20Gestion\01%20-%20Obras\204%20-%20Villavo\04%20Trabajo\01%20Sector%201\GP-204%20-%20Anexo%20puentes%20V10.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C:\Users\HP\Desktop\PLACA%20HUELLA%20SARAVENA\Users\jmperez\Documents\TECNICA\DEPORTE%20Y%20RECREACION\02%20ESTANDARIZADO%20POLIDEPORTIVO\05%20HOJA%20CALCULO%20ESTANDARIZADO\PRESUPUESTO%20DEL%20POLIDEPORTIVO%20COMPLETO.xlsx"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ED708385\Pto-Mejoramiento.Alcantarillado-Panam&#225;%20Actual.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N:\Business%20Development\Contract%20Administration\Hovensa\Contract%20Renewal%206-2005\Worksheets\Business%20Development\Contract%20Administration\Valero%20-%20Aruba%20-%20Economics\CAR%20Economics\Maintenance%20Cost%20Breakdown.xls" TargetMode="External"/></Relationships>
</file>

<file path=xl/externalLinks/_rels/externalLink156.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C:\Users\milenacastanocifuentes\Desktop\japarra\Users\Concol\Desktop\revegetalizacion.xlsx"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Documents%20and%20Settings/usuario/Mis%20documentos/PERSONAL/PPTO/BASE%20PRESS/BASE%20PPTO%20VAUPES.xlsx"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E:\Desktop\PRESUPUESTOS\PRESUPUESTO%20MEJORAMIENTOS%202021%20AJUSTADO%20FINAL%201%20(1).xlsx"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F11B3DA6\PRECIOS%20TRANSITO.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58215D55\PRESUPUESTO%20PORTAL%20NORTE%20V.3.1%20-%2009-07-2017.xlsx"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Z:\2016\PROYECTA-BIIM\PROYECTO\PROYECTO\Proyecto%20Tipacoqu&#233;%20ALC\13.%20Presupuesto%20Y%20APU&#180;S\PRESUPUESTO%20Y%20APU&#180;s%20TIPACOQUE%20%20%2006-10-2014.xlsx"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Z:\Users\USUARIO\Desktop\ESPB\1.%20PROYECTOS\MUNICIPIOS\MACRO%20PARA%20PRESUPUESTO\APU'S%20GOBERNACION%202013%20GENERAL%20-%20CABETO.xlsm"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Cosenit3\Modelo%20de%20tarifas%20de%20transporte%20de%20Gas\Consultoria%20Energetica\DATOS\PROYECCION%20PRECIOS%20FUEL%20OIL%20Y%20GAS%20NATURAL2.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C:\Users\HP\Desktop\PLACA%20HUELLA%20SARAVENA\OSCAR%20SILGADO\ASOREC\MUNICIPIOS\MARIA%20LA%20BAJA\2015\PARQUE\PROPUESTA%20PMI\PRUEBA1.xlsx"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E:\Downloads\PRESUPUESTO%20ELECTRICO.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17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C:\Users\HP\Desktop\PLACA%20HUELLA%20SARAVENA\AMV-02-BOL\EST.V&#205;A%20CRIT.TECNICO%20AMB-BOL-02\DICIEMBRE-2008\EST.V&#205;A%20CRITERIO%20TECNICO%2090BLB.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C:\Users\HP\Desktop\PLACA%20HUELLA%20SARAVENA\EST.V&#205;A%20CRITERIO%20TECNICO.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C:\Users\windows7\Documents\relleno%20cravo%20norte\conciliaciones%20de%20precios\Presupuesto%20CRAVO%20CORREGIDO%20CON%20INTERVENTORIA%20despues%20de%20elkin.xlsx"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F:\Mis%20documentos\OBRAS\BANADIA\INFORMES\BANADIACD\1erINFORME.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I:\PARQUE\PRESUPUESTO%20SARAVENA%202016%20-%20AJUSTES.........xlsx"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G:\plaza%20toros\Users\enrique%20mu&#241;oz\AppData\Local\Microsoft\Windows\Temporary%20Internet%20Files\Content.IE5\ZXH2XELS\presupuesto%20electrico%20guainia.xlsx"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User1\mis%20document\Vertraulich\GEOPRUEBAS\EXCELL\FORMATOS\L'Concret%20y%20Pavimentos..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Jgmxp\Consulting\Precios\APUs%20generales.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C:\Users\dariocardenas\Documents\02%20PROYECTOS%20EN%20EJECUCI&#211;N\18%20DISCI%20-%20RENOVACI&#211;N%20URBANISTICA%20MALECON\PRESUPUESTO%20-%20UNITARIOS%20-%20MEMORIAS\PRECIOS%20UNITARIOS%20CAR%20-%202013.xlsx" TargetMode="External"/></Relationships>
</file>

<file path=xl/externalLinks/_rels/externalLink191.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DFE73131\Pto-Cafeter&#237;a%20Escuela%20El%20Troncal..xls" TargetMode="External"/></Relationships>
</file>

<file path=xl/externalLinks/_rels/externalLink193.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file:///E:\Documents%20and%20Settings\compaq\Mis%20documentos\ELKIN\ALCALDIA%20DE%20ARAUCA\CTO%20145-04%20FOCOS%202\APU\Mis%20documentos\JjGgSsLl\PROYECTO%20PAVIMENT.%20BARRIO%20NUEVO%201\Mejoramiento%20B_Nuevo.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file:///E:\Documents%20and%20Settings\Usuario\Configuraci&#243;n%20local\Archivos%20temporales%20de%20Internet\Content.IE5\WDYNW16N\Proyectos%20gobernacion\ARIEL\ACUEDUCTO\METODOLOGIA%2022.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I:\E\ING.%20NELSON%20ARLEY\PRESUPUESTOS%20OBRA\villa%20olimpica\APU%20MODELOS%20VILLA%20OLIMPICA.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H:\Documents%20and%20Settings\Usuario\Mis%20documentos\SOPM\2.%20PROYECTOS\2.3%20PROYECTOS%20VIABILIZADOS\PROCESOS%20LICITATORIOS\05-10-03-005%20FLOR%20DE%20MI%20LLANO%202005\FLOR%20DE%20MI%20LLANO%20SEDE%20C\FLOR%20DE%20MI%20LLANO%20ITEMS%20ACTUALIZADOS.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file:///C:\Applications\Microsoft%20Excel.app\Do\03_h&#233;ctor%20ed\H&#201;CTOR%20EDUARDO%20ROJAS%20M\San%20Antonio\FINAL\Total\ALC%20SANITARIO.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207.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file:///F:\AMV%20GRUPO2-05\presupuestos\ajuste%20presupuestos\$%20PR20%20al%20PR23.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file:///G:\plaza%20toros\DCE\DCE%202013\liceo%20casablanca\entrega%20definitiva%20liceo%20casa%20blanca%2008-07-2013\Users\TOSHIBA\Google%20Drive\APUS\HGC\29.%20OFICINA%20IPIALES\APUs%20OFICINA%20IPIALES.xlsx"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file:///C:\Users\milenacastanocifuentes\Desktop\japarra\AREA\Calle4sur\dise&#241;os\SIMULACI&#211;NEDIFICIO.ok.xls"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file:///\\Lcopc2421\correo\PLANOBRASING.xls"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file:///C:\Users\Lenovo\Downloads\file:\C:\Documents%20and%20Settings\THOSIBA-USER\Escritorio\TILO\DOC1.xls"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file:///H:\Documents%20and%20Settings\Usuario\Mis%20documentos\SOPM\2.%20PROYECTOS\2.3%20PROYECTOS%20VIABILIZADOS\PROCESOS%20LICITATORIOS\05-10-03-007%20SECTORES%20CRITICOS\Proyecto%20saneamiento%20basico%20san%20luis,%20americas,ect.xls"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file:///\\9C361D25\POPAY&#193;N%20062%20presupuesto.xls"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220.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file:///C:\Users\CARMEN%20LUCIA\Desktop\PATARROYO%20PARQUE%20VILLAVICENCIO\6.%20PRESUPUESTOS\PRESUPUESTO%20Y%20MEMORIAS\PRESUPUESTOS%20DEFINITIVOS%202-JULIO\APUs%20PROYECTO%20DEFINITIVOS\APUs%20PARQUE%20EL%20SABER.xls" TargetMode="External"/></Relationships>
</file>

<file path=xl/externalLinks/_rels/externalLink222.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file:///\\78DECC3E\precios%20unitarios%20caranal.xls" TargetMode="External"/></Relationships>
</file>

<file path=xl/externalLinks/_rels/externalLink224.xml.rels><?xml version="1.0" encoding="UTF-8" standalone="yes"?>
<Relationships xmlns="http://schemas.openxmlformats.org/package/2006/relationships"><Relationship Id="rId1" Type="http://schemas.openxmlformats.org/officeDocument/2006/relationships/externalLinkPath" Target="file:///C:\Users\milenacastanocifuentes\Desktop\mbedoya\ComTotal\Documents%20and%20Settings\Presupuesto\Escritorio\unitarios%20general\APU%20VERSI&#211;N%20DEFINITIVA%20sep.xlsx"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file:///F:\Mis%20documentos\PROYECTO%20BATERIA%20SANITARIA%20ESCUELA%20CLARINETERO%20M%20ARAUCA.xls" TargetMode="External"/></Relationships>
</file>

<file path=xl/externalLinks/_rels/externalLink226.xml.rels><?xml version="1.0" encoding="UTF-8" standalone="yes"?>
<Relationships xmlns="http://schemas.openxmlformats.org/package/2006/relationships"><Relationship Id="rId1" Type="http://schemas.openxmlformats.org/officeDocument/2006/relationships/externalLinkPath" Target="file:///F:\Documents%20and%20Settings\Administrador\Mis%20documentos\Escuela%20San%20Cayetano\CANTIDADES%20DE%20OBRA%20CENTRO%20EDUCATIVO%20SAN%20CAYETANO.xls"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Users/ACER/Downloads/Users/jmperez/Documents/TECNICA/DEPORTE%20Y%20RECREACION/02%20ESTANDARIZADO%20POLIDEPORTIVO/Presupuesto_750%20_Baja_Suelo%20AB%20actualizado%202015%20con%20ICCP.xlsx" TargetMode="External"/></Relationships>
</file>

<file path=xl/externalLinks/_rels/externalLink228.xml.rels><?xml version="1.0" encoding="UTF-8" standalone="yes"?>
<Relationships xmlns="http://schemas.openxmlformats.org/package/2006/relationships"><Relationship Id="rId1" Type="http://schemas.openxmlformats.org/officeDocument/2006/relationships/externalLinkPath" Target="file:///C:\Users\milenacastanocifuentes\Desktop\japarra\AREA\Calle4sur\dise&#241;os\WINDOWS\TEMP\330-001-02%20-%20Etapa%201%20-%20Tipo%20A.xls" TargetMode="External"/></Relationships>
</file>

<file path=xl/externalLinks/_rels/externalLink22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23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23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232.xml.rels><?xml version="1.0" encoding="UTF-8" standalone="yes"?>
<Relationships xmlns="http://schemas.openxmlformats.org/package/2006/relationships"><Relationship Id="rId1" Type="http://schemas.openxmlformats.org/officeDocument/2006/relationships/externalLinkPath" Target="file:///E:\Users\SHIRLEY\AppData\Local\Temp\Rar$DIa0.174\ALCALDIA%20PARQUES%20BIOSALUDABLES\Mis%20documentos\JOMAM\USUARIOS\NWRS\SERVICOP\81-001-0007PAV20JULIO%20originalAUC-%20PPC-EA.xls" TargetMode="External"/></Relationships>
</file>

<file path=xl/externalLinks/_rels/externalLink233.xml.rels><?xml version="1.0" encoding="UTF-8" standalone="yes"?>
<Relationships xmlns="http://schemas.openxmlformats.org/package/2006/relationships"><Relationship Id="rId1" Type="http://schemas.openxmlformats.org/officeDocument/2006/relationships/externalLinkPath" Target="file:///C:\Applications\Microsoft%20Excel.app\SERVIDORPISO1\Users\CARMEN%20LUCIA\Downloads\PRESUPUESTO%20$12.000%20MILLONES.xls" TargetMode="External"/></Relationships>
</file>

<file path=xl/externalLinks/_rels/externalLink234.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235.xml.rels><?xml version="1.0" encoding="UTF-8" standalone="yes"?>
<Relationships xmlns="http://schemas.openxmlformats.org/package/2006/relationships"><Relationship Id="rId1" Type="http://schemas.openxmlformats.org/officeDocument/2006/relationships/externalLinkPath" Target="file:///\\VICON\DATOS\LICITAR\IDU\UNIT_49.XLS" TargetMode="External"/></Relationships>
</file>

<file path=xl/externalLinks/_rels/externalLink23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237.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238.xml.rels><?xml version="1.0" encoding="UTF-8" standalone="yes"?>
<Relationships xmlns="http://schemas.openxmlformats.org/package/2006/relationships"><Relationship Id="rId2" Type="http://schemas.openxmlformats.org/officeDocument/2006/relationships/externalLinkPath" Target="file:///D:\HELMER\HELMER\PROCESOS%202026\3.MEJORAMIENTO%20DE%20VIVIENDA%202026\OBRA\VIVIENDA%202026(1)\VIVIENDA%202026OK\VIVIENDA%202026OK\VIVIENDA%202026\INDIVIDUALES(Recuperado%20autom&#225;ticamente).xlsx" TargetMode="External"/><Relationship Id="rId1" Type="http://schemas.openxmlformats.org/officeDocument/2006/relationships/externalLinkPath" Target="INDIVIDUALES(Recuperado%20autom&#225;ticamente).xlsx" TargetMode="External"/></Relationships>
</file>

<file path=xl/externalLinks/_rels/externalLink239.xml.rels><?xml version="1.0" encoding="UTF-8" standalone="yes"?>
<Relationships xmlns="http://schemas.openxmlformats.org/package/2006/relationships"><Relationship Id="rId2" Type="http://schemas.openxmlformats.org/officeDocument/2006/relationships/externalLinkPath" Target="file:///C:\Users\SECPLANEACION3\Documents\HELMER\PROCESOS%202026\3.MEJORAMIENTO%20DE%20VIVIENDA%202026\BASE%20APUS.xlsm" TargetMode="External"/><Relationship Id="rId1" Type="http://schemas.openxmlformats.org/officeDocument/2006/relationships/externalLinkPath" Target="file:///C:\Users\SECPLANEACION3\Documents\HELMER\PROCESOS%202026\3.MEJORAMIENTO%20DE%20VIVIENDA%202026\BASE%20APUS.xlsm" TargetMode="External"/></Relationships>
</file>

<file path=xl/externalLinks/_rels/externalLink240.xml.rels><?xml version="1.0" encoding="UTF-8" standalone="yes"?>
<Relationships xmlns="http://schemas.openxmlformats.org/package/2006/relationships"><Relationship Id="rId2" Type="http://schemas.openxmlformats.org/officeDocument/2006/relationships/externalLinkPath" Target="file:///O:\Mi%20unidad\$%20PROYECTOS%20ING%20LUZ\2026\BASE%202026\BASE%20APUS%20inic.xlsm" TargetMode="External"/><Relationship Id="rId1" Type="http://schemas.openxmlformats.org/officeDocument/2006/relationships/externalLinkPath" Target="file:///H:\Mi%20unidad\$%20PROYECTOS%20ING%20LUZ\2026\BASE%202026\BASE%20APUS%20inic.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96"/>
      <sheetName val="Hoja2"/>
      <sheetName val="Hoja5"/>
      <sheetName val="DIURNO"/>
      <sheetName val="Hoja1"/>
      <sheetName val="Proveedores"/>
      <sheetName val="RANGOS DE CONTRATO"/>
      <sheetName val="LISTAS"/>
      <sheetName val="Hoja 1"/>
      <sheetName val="Hoja7"/>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Materiales"/>
      <sheetName val="STRSUMM0"/>
      <sheetName val="CURVA S"/>
      <sheetName val="mto.electr."/>
      <sheetName val="Tabla5"/>
      <sheetName val="Com-MEC"/>
      <sheetName val="Curva &quot;S&quot; General"/>
      <sheetName val="steel"/>
      <sheetName val="1. MODELO 60KB"/>
      <sheetName val="civ_roma"/>
      <sheetName val="EQUIPOS"/>
      <sheetName val="M.O."/>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Proforma Guia"/>
      <sheetName val="API93"/>
      <sheetName val="RES GASOL"/>
      <sheetName val="POZOS"/>
      <sheetName val="M_O_"/>
      <sheetName val="SABANA"/>
      <sheetName val="RESUMEN"/>
      <sheetName val="BHA"/>
      <sheetName val="PDM RUN"/>
      <sheetName val="EQUIPOS CIVILES"/>
      <sheetName val="BDD Operadores"/>
      <sheetName val="Hoja6"/>
      <sheetName val="Suministros"/>
      <sheetName val="Recursos HH"/>
      <sheetName val="Recursos HE"/>
      <sheetName val="Transporte"/>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59y22%"/>
      <sheetName val="SC"/>
      <sheetName val="Civil"/>
      <sheetName val="A_A310"/>
      <sheetName val="A_G105"/>
      <sheetName val="A_G200"/>
      <sheetName val="PS P-514"/>
      <sheetName val="E21"/>
      <sheetName val="main"/>
      <sheetName val="Tabla"/>
      <sheetName val="Sheet1"/>
      <sheetName val="rencst0599"/>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ESUPUESTOS-REV1"/>
      <sheetName val="PESOS"/>
      <sheetName val="PROY_ORIGINAL"/>
      <sheetName val="PU (2)"/>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ACTIVIDADES"/>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ARIFAS MATERIALES"/>
      <sheetName val="TARIFAS EQUIPOS "/>
      <sheetName val="TARIFA SALARIOS"/>
      <sheetName val="PRES"/>
      <sheetName val="Tramo 2"/>
      <sheetName val="Accidentalidad"/>
      <sheetName val="Causa Posible"/>
      <sheetName val="Base de Datos"/>
      <sheetName val="Elementos Involucrado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TORTA_EST15"/>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TORTA_EST11"/>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TORTA_EST13"/>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TORTA_EST12"/>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TORTA_EST14"/>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TORTA_EST16"/>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TORTA_EST17"/>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TORTA_EST18"/>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TORTA_EST20"/>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TORTA_EST19"/>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Lista ICCU"/>
      <sheetName val="Paral. 1"/>
      <sheetName val="Paral. 2"/>
      <sheetName val="Paral. 3"/>
      <sheetName val="Paral.4"/>
      <sheetName val="AMOBLAMINETO"/>
      <sheetName val="LISTA"/>
      <sheetName val="BASE DE DATOS DE PRECIOS"/>
      <sheetName val="ó&gt;"/>
      <sheetName val="Patrimonio neto personal"/>
      <sheetName val="Cálculos"/>
      <sheetName val="sap"/>
      <sheetName val="P2"/>
      <sheetName val="P1"/>
      <sheetName val="31-05-18"/>
      <sheetName val="F-7857-308"/>
      <sheetName val="Equipo Menor"/>
      <sheetName val="ALQUILADO F-7857-308 "/>
      <sheetName val="Real Para tarifas"/>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CORTE DE OBRA N° 1"/>
      <sheetName val="memoria"/>
      <sheetName val="memoria 1"/>
      <sheetName val="_x0000_㈀㰰⌀_x0000_㈀㰮⌀_x0000_䰀଒v_x0000__x0000__x0000_頀"/>
      <sheetName val="RESISTENCIA_"/>
      <sheetName val="Memorias"/>
      <sheetName val="CANOBRA"/>
      <sheetName val="INCREMENTOS"/>
      <sheetName val="LISTMATE"/>
      <sheetName val="MATERIALES"/>
      <sheetName val="CONSTANTES"/>
      <sheetName val="LISTAS"/>
      <sheetName val="CONSTANTES_"/>
      <sheetName val="41"/>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Skid Lifting Lug"/>
      <sheetName val="CABLE CONTROL"/>
      <sheetName val="Datos_CO"/>
      <sheetName val="CCONC"/>
      <sheetName val="ACTA PROVEEDORES"/>
      <sheetName val="ACTA INICIO"/>
      <sheetName val="ACTA PARCIAL"/>
      <sheetName val="ACTA TERMINACION"/>
      <sheetName val="Resistividad "/>
      <sheetName val="PSM Monthly"/>
      <sheetName val="BQMPALOC"/>
      <sheetName val="ó&gt;????j0$?#???j_$?#???LÓu????"/>
      <sheetName val="ACTA No.5"/>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IV. MANO DE OBRA AIU"/>
      <sheetName val="API93"/>
      <sheetName val="MATERIALES Y RECURSOS"/>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MYE_OBRA1"/>
      <sheetName val="MDC-1_COLOCACION_1"/>
      <sheetName val="D-20_COLOCACION_1"/>
      <sheetName val="TRANSPORTE_MEZCLA_ASFALTICA1"/>
      <sheetName val="EXT_microagomerado1"/>
      <sheetName val="Indicadores_Y_Listas1"/>
      <sheetName val="Grafico_Avance1"/>
      <sheetName val="Tramo_21"/>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Indicadores_Y_Listas9"/>
      <sheetName val="Indicadores_Y_Listas6"/>
      <sheetName val="Indicadores_Y_Listas7"/>
      <sheetName val="Indicadores_Y_Listas8"/>
      <sheetName val="Indicadores_Y_Listas10"/>
      <sheetName val="Indicadores_Y_Listas11"/>
      <sheetName val="Indicadores_Y_Listas12"/>
      <sheetName val="Indicadores_Y_Listas13"/>
      <sheetName val="Indicadores_Y_Listas14"/>
      <sheetName val="Indicadores_Y_Listas15"/>
      <sheetName val="Indicadores_Y_Listas17"/>
      <sheetName val="Indicadores_Y_Listas16"/>
      <sheetName val="Indicadores_Y_Listas18"/>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BCE-ENERO-2004"/>
      <sheetName val="Relación De Equipos"/>
      <sheetName val="Programacion"/>
      <sheetName val="EMPRESAS"/>
      <sheetName val="Mensilizzato"/>
      <sheetName val="&quot;PAGA&quot;"/>
      <sheetName val="PRESUPUESTOS-REV1.xls"/>
      <sheetName val="resum96"/>
      <sheetName val="INSUMOS"/>
      <sheetName val="EQUIPOS"/>
      <sheetName val="TRANS"/>
      <sheetName val="CUADRI"/>
      <sheetName val="EQUI"/>
      <sheetName val="Equipo_Menor"/>
      <sheetName val="ALQUILADO_F-7857-308_"/>
      <sheetName val="Real_Para_tarifas"/>
      <sheetName val="Causa_Posible"/>
      <sheetName val="Base_de_Datos"/>
      <sheetName val="Elementos_Involucrados"/>
      <sheetName val="CRA_MODI"/>
      <sheetName val="REAJUSTESACTA1PROVI"/>
      <sheetName val="Base Datos"/>
      <sheetName val="RELACION DE PRECIOS"/>
      <sheetName val="ACTA 5"/>
      <sheetName val="MODIF. 2"/>
      <sheetName val="MODIF. 3"/>
      <sheetName val="cant"/>
      <sheetName val="par mar19"/>
      <sheetName val="par"/>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strsumm0"/>
      <sheetName val="DUB-823"/>
      <sheetName val="GPI 526"/>
      <sheetName val="SKJ452"/>
      <sheetName val="ITA878"/>
      <sheetName val="AEA-944"/>
      <sheetName val="XXJ617"/>
      <sheetName val="SNG_855"/>
      <sheetName val="VEA 374"/>
      <sheetName val="HFB024"/>
      <sheetName val="PAJ825"/>
      <sheetName val="ó&gt;_x0000__x0001__x0000__x0000__"/>
      <sheetName val="PRESUPUESTO V5"/>
      <sheetName val="1. Preliminares"/>
      <sheetName val="2. Demoliciones"/>
      <sheetName val="3. Elementos y Estructuras"/>
      <sheetName val="4. HVAC"/>
      <sheetName val="8. Recubrimientos y Acabados"/>
      <sheetName val="9. Otros"/>
      <sheetName val="10. Tramites y Licencias"/>
      <sheetName val="RESUMEN S.T.I.M.S.T "/>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Item"/>
      <sheetName val="HER"/>
      <sheetName val="MAT"/>
      <sheetName val="PER"/>
      <sheetName val="Patrimonio_neto_personal"/>
      <sheetName val="Lista_ICCU"/>
      <sheetName val="PRESUPUESTOS-REV1_xls"/>
      <sheetName val="Patrimonio_neto_personal1"/>
      <sheetName val="Paral__11"/>
      <sheetName val="Paral__21"/>
      <sheetName val="Paral__31"/>
      <sheetName val="Paral_41"/>
      <sheetName val="Lista_ICCU1"/>
      <sheetName val="PRESUPUESTOS-REV1_xls1"/>
      <sheetName val="Equipo_Menor2"/>
      <sheetName val="ALQUILADO_F-7857-308_2"/>
      <sheetName val="Real_Para_tarifas2"/>
      <sheetName val="Patrimonio_neto_personal2"/>
      <sheetName val="Paral__12"/>
      <sheetName val="Paral__22"/>
      <sheetName val="Paral__32"/>
      <sheetName val="Paral_42"/>
      <sheetName val="Lista_ICCU2"/>
      <sheetName val="PRESUPUESTOS-REV1_xls2"/>
      <sheetName val="MDC-1_COLOCACION_6"/>
      <sheetName val="D-20_COLOCACION_6"/>
      <sheetName val="TRANSPORTE_MEZCLA_ASFALTICA6"/>
      <sheetName val="EXT_microagomerado6"/>
      <sheetName val="Tramo_26"/>
      <sheetName val="MYE_OBRA6"/>
      <sheetName val="Grafico_Avance6"/>
      <sheetName val="Equipo_Menor4"/>
      <sheetName val="ALQUILADO_F-7857-308_4"/>
      <sheetName val="Real_Para_tarifas4"/>
      <sheetName val="BASE_DE_DATOS_DE_PRECIOS6"/>
      <sheetName val="Patrimonio_neto_personal4"/>
      <sheetName val="Paral__14"/>
      <sheetName val="Paral__24"/>
      <sheetName val="Paral__34"/>
      <sheetName val="Paral_44"/>
      <sheetName val="Lista_ICCU4"/>
      <sheetName val="PRESUPUESTOS-REV1_xls4"/>
      <sheetName val="Equipo_Menor3"/>
      <sheetName val="ALQUILADO_F-7857-308_3"/>
      <sheetName val="Real_Para_tarifas3"/>
      <sheetName val="Patrimonio_neto_personal3"/>
      <sheetName val="Paral__13"/>
      <sheetName val="Paral__23"/>
      <sheetName val="Paral__33"/>
      <sheetName val="Paral_43"/>
      <sheetName val="Lista_ICCU3"/>
      <sheetName val="PRESUPUESTOS-REV1_xls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AIU"/>
    </sheetNames>
    <sheetDataSet>
      <sheetData sheetId="0">
        <row r="2">
          <cell r="A2">
            <v>0</v>
          </cell>
        </row>
      </sheetData>
      <sheetData sheetId="1">
        <row r="2">
          <cell r="A2">
            <v>0</v>
          </cell>
        </row>
      </sheetData>
      <sheetData sheetId="2">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ow r="2">
          <cell r="A2">
            <v>0</v>
          </cell>
        </row>
      </sheetData>
      <sheetData sheetId="750">
        <row r="2">
          <cell r="A2">
            <v>0</v>
          </cell>
        </row>
      </sheetData>
      <sheetData sheetId="751">
        <row r="2">
          <cell r="A2">
            <v>0</v>
          </cell>
        </row>
      </sheetData>
      <sheetData sheetId="752">
        <row r="2">
          <cell r="A2">
            <v>0</v>
          </cell>
        </row>
      </sheetData>
      <sheetData sheetId="753">
        <row r="2">
          <cell r="A2">
            <v>0</v>
          </cell>
        </row>
      </sheetData>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efreshError="1"/>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ow r="2">
          <cell r="A2">
            <v>0</v>
          </cell>
        </row>
      </sheetData>
      <sheetData sheetId="1029">
        <row r="2">
          <cell r="A2">
            <v>0</v>
          </cell>
        </row>
      </sheetData>
      <sheetData sheetId="1030">
        <row r="2">
          <cell r="A2">
            <v>0</v>
          </cell>
        </row>
      </sheetData>
      <sheetData sheetId="1031">
        <row r="2">
          <cell r="A2">
            <v>0</v>
          </cell>
        </row>
      </sheetData>
      <sheetData sheetId="1032">
        <row r="2">
          <cell r="A2">
            <v>0</v>
          </cell>
        </row>
      </sheetData>
      <sheetData sheetId="1033">
        <row r="2">
          <cell r="A2">
            <v>0</v>
          </cell>
        </row>
      </sheetData>
      <sheetData sheetId="1034">
        <row r="2">
          <cell r="A2">
            <v>0</v>
          </cell>
        </row>
      </sheetData>
      <sheetData sheetId="1035">
        <row r="2">
          <cell r="A2">
            <v>0</v>
          </cell>
        </row>
      </sheetData>
      <sheetData sheetId="1036">
        <row r="2">
          <cell r="A2">
            <v>0</v>
          </cell>
        </row>
      </sheetData>
      <sheetData sheetId="1037">
        <row r="2">
          <cell r="A2">
            <v>0</v>
          </cell>
        </row>
      </sheetData>
      <sheetData sheetId="1038">
        <row r="2">
          <cell r="A2">
            <v>0</v>
          </cell>
        </row>
      </sheetData>
      <sheetData sheetId="1039">
        <row r="2">
          <cell r="A2">
            <v>0</v>
          </cell>
        </row>
      </sheetData>
      <sheetData sheetId="1040">
        <row r="2">
          <cell r="A2">
            <v>0</v>
          </cell>
        </row>
      </sheetData>
      <sheetData sheetId="1041">
        <row r="2">
          <cell r="A2">
            <v>0</v>
          </cell>
        </row>
      </sheetData>
      <sheetData sheetId="1042">
        <row r="2">
          <cell r="A2">
            <v>0</v>
          </cell>
        </row>
      </sheetData>
      <sheetData sheetId="1043">
        <row r="2">
          <cell r="A2">
            <v>0</v>
          </cell>
        </row>
      </sheetData>
      <sheetData sheetId="1044">
        <row r="2">
          <cell r="A2">
            <v>0</v>
          </cell>
        </row>
      </sheetData>
      <sheetData sheetId="1045">
        <row r="2">
          <cell r="A2">
            <v>0</v>
          </cell>
        </row>
      </sheetData>
      <sheetData sheetId="1046">
        <row r="2">
          <cell r="A2">
            <v>0</v>
          </cell>
        </row>
      </sheetData>
      <sheetData sheetId="1047">
        <row r="2">
          <cell r="A2">
            <v>0</v>
          </cell>
        </row>
      </sheetData>
      <sheetData sheetId="1048">
        <row r="2">
          <cell r="A2">
            <v>0</v>
          </cell>
        </row>
      </sheetData>
      <sheetData sheetId="1049">
        <row r="2">
          <cell r="A2">
            <v>0</v>
          </cell>
        </row>
      </sheetData>
      <sheetData sheetId="1050">
        <row r="2">
          <cell r="A2">
            <v>0</v>
          </cell>
        </row>
      </sheetData>
      <sheetData sheetId="1051">
        <row r="2">
          <cell r="A2">
            <v>0</v>
          </cell>
        </row>
      </sheetData>
      <sheetData sheetId="1052">
        <row r="2">
          <cell r="A2">
            <v>0</v>
          </cell>
        </row>
      </sheetData>
      <sheetData sheetId="1053">
        <row r="2">
          <cell r="A2">
            <v>0</v>
          </cell>
        </row>
      </sheetData>
      <sheetData sheetId="1054">
        <row r="2">
          <cell r="A2">
            <v>0</v>
          </cell>
        </row>
      </sheetData>
      <sheetData sheetId="1055">
        <row r="2">
          <cell r="A2">
            <v>0</v>
          </cell>
        </row>
      </sheetData>
      <sheetData sheetId="1056">
        <row r="2">
          <cell r="A2">
            <v>0</v>
          </cell>
        </row>
      </sheetData>
      <sheetData sheetId="1057">
        <row r="2">
          <cell r="A2">
            <v>0</v>
          </cell>
        </row>
      </sheetData>
      <sheetData sheetId="1058">
        <row r="2">
          <cell r="A2">
            <v>0</v>
          </cell>
        </row>
      </sheetData>
      <sheetData sheetId="1059">
        <row r="2">
          <cell r="A2">
            <v>0</v>
          </cell>
        </row>
      </sheetData>
      <sheetData sheetId="1060">
        <row r="2">
          <cell r="A2">
            <v>0</v>
          </cell>
        </row>
      </sheetData>
      <sheetData sheetId="1061">
        <row r="2">
          <cell r="A2">
            <v>0</v>
          </cell>
        </row>
      </sheetData>
      <sheetData sheetId="1062">
        <row r="2">
          <cell r="A2">
            <v>0</v>
          </cell>
        </row>
      </sheetData>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ow r="2">
          <cell r="A2">
            <v>0</v>
          </cell>
        </row>
      </sheetData>
      <sheetData sheetId="2787">
        <row r="2">
          <cell r="A2">
            <v>0</v>
          </cell>
        </row>
      </sheetData>
      <sheetData sheetId="2788">
        <row r="2">
          <cell r="A2">
            <v>0</v>
          </cell>
        </row>
      </sheetData>
      <sheetData sheetId="2789">
        <row r="2">
          <cell r="A2">
            <v>0</v>
          </cell>
        </row>
      </sheetData>
      <sheetData sheetId="2790" refreshError="1"/>
      <sheetData sheetId="2791">
        <row r="2">
          <cell r="A2">
            <v>0</v>
          </cell>
        </row>
      </sheetData>
      <sheetData sheetId="2792">
        <row r="2">
          <cell r="A2">
            <v>0</v>
          </cell>
        </row>
      </sheetData>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ow r="2">
          <cell r="A2">
            <v>0</v>
          </cell>
        </row>
      </sheetData>
      <sheetData sheetId="3017" refreshError="1"/>
      <sheetData sheetId="3018" refreshError="1"/>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efreshError="1"/>
      <sheetData sheetId="3100" refreshError="1"/>
      <sheetData sheetId="3101" refreshError="1"/>
      <sheetData sheetId="3102" refreshError="1"/>
      <sheetData sheetId="3103" refreshError="1"/>
      <sheetData sheetId="3104" refreshError="1"/>
      <sheetData sheetId="3105" refreshError="1"/>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efreshError="1"/>
      <sheetData sheetId="3121" refreshError="1"/>
      <sheetData sheetId="3122" refreshError="1"/>
      <sheetData sheetId="3123" refreshError="1"/>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sheetData sheetId="3219">
        <row r="2">
          <cell r="A2">
            <v>0</v>
          </cell>
        </row>
      </sheetData>
      <sheetData sheetId="3220">
        <row r="2">
          <cell r="A2">
            <v>0</v>
          </cell>
        </row>
      </sheetData>
      <sheetData sheetId="3221">
        <row r="2">
          <cell r="A2">
            <v>0</v>
          </cell>
        </row>
      </sheetData>
      <sheetData sheetId="3222"/>
      <sheetData sheetId="3223"/>
      <sheetData sheetId="3224">
        <row r="2">
          <cell r="A2">
            <v>0</v>
          </cell>
        </row>
      </sheetData>
      <sheetData sheetId="3225">
        <row r="2">
          <cell r="A2">
            <v>0</v>
          </cell>
        </row>
      </sheetData>
      <sheetData sheetId="3226">
        <row r="2">
          <cell r="A2">
            <v>0</v>
          </cell>
        </row>
      </sheetData>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row r="2">
          <cell r="A2">
            <v>0</v>
          </cell>
        </row>
      </sheetData>
      <sheetData sheetId="3254"/>
      <sheetData sheetId="3255"/>
      <sheetData sheetId="3256"/>
      <sheetData sheetId="3257"/>
      <sheetData sheetId="3258"/>
      <sheetData sheetId="3259"/>
      <sheetData sheetId="3260"/>
      <sheetData sheetId="3261"/>
      <sheetData sheetId="3262"/>
      <sheetData sheetId="3263">
        <row r="2">
          <cell r="A2">
            <v>0</v>
          </cell>
        </row>
      </sheetData>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row r="2">
          <cell r="A2">
            <v>0</v>
          </cell>
        </row>
      </sheetData>
      <sheetData sheetId="3283"/>
      <sheetData sheetId="3284"/>
      <sheetData sheetId="3285"/>
      <sheetData sheetId="3286"/>
      <sheetData sheetId="3287"/>
      <sheetData sheetId="3288"/>
      <sheetData sheetId="3289"/>
      <sheetData sheetId="3290"/>
      <sheetData sheetId="3291"/>
      <sheetData sheetId="3292">
        <row r="2">
          <cell r="A2">
            <v>0</v>
          </cell>
        </row>
      </sheetData>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sheetData sheetId="3325"/>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sheetData sheetId="3863"/>
      <sheetData sheetId="3864">
        <row r="2">
          <cell r="A2">
            <v>0</v>
          </cell>
        </row>
      </sheetData>
      <sheetData sheetId="3865"/>
      <sheetData sheetId="3866">
        <row r="2">
          <cell r="A2">
            <v>0</v>
          </cell>
        </row>
      </sheetData>
      <sheetData sheetId="3867"/>
      <sheetData sheetId="3868"/>
      <sheetData sheetId="3869"/>
      <sheetData sheetId="3870"/>
      <sheetData sheetId="3871">
        <row r="2">
          <cell r="A2">
            <v>0</v>
          </cell>
        </row>
      </sheetData>
      <sheetData sheetId="3872"/>
      <sheetData sheetId="3873"/>
      <sheetData sheetId="3874"/>
      <sheetData sheetId="3875"/>
      <sheetData sheetId="3876"/>
      <sheetData sheetId="3877"/>
      <sheetData sheetId="3878"/>
      <sheetData sheetId="3879">
        <row r="2">
          <cell r="A2">
            <v>0</v>
          </cell>
        </row>
      </sheetData>
      <sheetData sheetId="3880"/>
      <sheetData sheetId="3881"/>
      <sheetData sheetId="3882"/>
      <sheetData sheetId="3883"/>
      <sheetData sheetId="3884">
        <row r="2">
          <cell r="A2">
            <v>0</v>
          </cell>
        </row>
      </sheetData>
      <sheetData sheetId="3885"/>
      <sheetData sheetId="3886"/>
      <sheetData sheetId="3887"/>
      <sheetData sheetId="3888">
        <row r="2">
          <cell r="A2">
            <v>0</v>
          </cell>
        </row>
      </sheetData>
      <sheetData sheetId="3889">
        <row r="2">
          <cell r="A2">
            <v>0</v>
          </cell>
        </row>
      </sheetData>
      <sheetData sheetId="3890"/>
      <sheetData sheetId="3891"/>
      <sheetData sheetId="3892"/>
      <sheetData sheetId="3893">
        <row r="2">
          <cell r="A2">
            <v>0</v>
          </cell>
        </row>
      </sheetData>
      <sheetData sheetId="3894">
        <row r="2">
          <cell r="A2">
            <v>0</v>
          </cell>
        </row>
      </sheetData>
      <sheetData sheetId="3895"/>
      <sheetData sheetId="3896"/>
      <sheetData sheetId="3897"/>
      <sheetData sheetId="3898">
        <row r="2">
          <cell r="A2">
            <v>0</v>
          </cell>
        </row>
      </sheetData>
      <sheetData sheetId="3899">
        <row r="2">
          <cell r="A2">
            <v>0</v>
          </cell>
        </row>
      </sheetData>
      <sheetData sheetId="3900"/>
      <sheetData sheetId="3901">
        <row r="2">
          <cell r="A2">
            <v>0</v>
          </cell>
        </row>
      </sheetData>
      <sheetData sheetId="3902"/>
      <sheetData sheetId="3903">
        <row r="2">
          <cell r="A2">
            <v>0</v>
          </cell>
        </row>
      </sheetData>
      <sheetData sheetId="3904">
        <row r="2">
          <cell r="A2">
            <v>0</v>
          </cell>
        </row>
      </sheetData>
      <sheetData sheetId="3905">
        <row r="2">
          <cell r="A2">
            <v>0</v>
          </cell>
        </row>
      </sheetData>
      <sheetData sheetId="3906"/>
      <sheetData sheetId="3907"/>
      <sheetData sheetId="3908">
        <row r="2">
          <cell r="A2">
            <v>0</v>
          </cell>
        </row>
      </sheetData>
      <sheetData sheetId="3909">
        <row r="2">
          <cell r="A2">
            <v>0</v>
          </cell>
        </row>
      </sheetData>
      <sheetData sheetId="3910"/>
      <sheetData sheetId="3911"/>
      <sheetData sheetId="3912"/>
      <sheetData sheetId="3913">
        <row r="2">
          <cell r="A2">
            <v>0</v>
          </cell>
        </row>
      </sheetData>
      <sheetData sheetId="3914">
        <row r="2">
          <cell r="A2">
            <v>0</v>
          </cell>
        </row>
      </sheetData>
      <sheetData sheetId="3915"/>
      <sheetData sheetId="3916"/>
      <sheetData sheetId="3917"/>
      <sheetData sheetId="3918">
        <row r="2">
          <cell r="A2">
            <v>0</v>
          </cell>
        </row>
      </sheetData>
      <sheetData sheetId="3919">
        <row r="2">
          <cell r="A2">
            <v>0</v>
          </cell>
        </row>
      </sheetData>
      <sheetData sheetId="3920"/>
      <sheetData sheetId="3921">
        <row r="2">
          <cell r="A2">
            <v>0</v>
          </cell>
        </row>
      </sheetData>
      <sheetData sheetId="3922">
        <row r="2">
          <cell r="A2">
            <v>0</v>
          </cell>
        </row>
      </sheetData>
      <sheetData sheetId="3923">
        <row r="2">
          <cell r="A2">
            <v>0</v>
          </cell>
        </row>
      </sheetData>
      <sheetData sheetId="3924">
        <row r="2">
          <cell r="A2">
            <v>0</v>
          </cell>
        </row>
      </sheetData>
      <sheetData sheetId="3925"/>
      <sheetData sheetId="3926">
        <row r="2">
          <cell r="A2">
            <v>0</v>
          </cell>
        </row>
      </sheetData>
      <sheetData sheetId="3927">
        <row r="2">
          <cell r="A2">
            <v>0</v>
          </cell>
        </row>
      </sheetData>
      <sheetData sheetId="3928"/>
      <sheetData sheetId="3929"/>
      <sheetData sheetId="3930"/>
      <sheetData sheetId="3931">
        <row r="2">
          <cell r="A2">
            <v>0</v>
          </cell>
        </row>
      </sheetData>
      <sheetData sheetId="3932">
        <row r="2">
          <cell r="A2">
            <v>0</v>
          </cell>
        </row>
      </sheetData>
      <sheetData sheetId="3933"/>
      <sheetData sheetId="3934"/>
      <sheetData sheetId="3935"/>
      <sheetData sheetId="3936">
        <row r="2">
          <cell r="A2">
            <v>0</v>
          </cell>
        </row>
      </sheetData>
      <sheetData sheetId="3937">
        <row r="2">
          <cell r="A2">
            <v>0</v>
          </cell>
        </row>
      </sheetData>
      <sheetData sheetId="3938">
        <row r="2">
          <cell r="A2">
            <v>0</v>
          </cell>
        </row>
      </sheetData>
      <sheetData sheetId="3939"/>
      <sheetData sheetId="3940"/>
      <sheetData sheetId="3941">
        <row r="2">
          <cell r="A2">
            <v>0</v>
          </cell>
        </row>
      </sheetData>
      <sheetData sheetId="3942">
        <row r="2">
          <cell r="A2">
            <v>0</v>
          </cell>
        </row>
      </sheetData>
      <sheetData sheetId="3943"/>
      <sheetData sheetId="3944"/>
      <sheetData sheetId="3945"/>
      <sheetData sheetId="3946">
        <row r="2">
          <cell r="A2">
            <v>0</v>
          </cell>
        </row>
      </sheetData>
      <sheetData sheetId="3947">
        <row r="2">
          <cell r="A2">
            <v>0</v>
          </cell>
        </row>
      </sheetData>
      <sheetData sheetId="3948"/>
      <sheetData sheetId="3949"/>
      <sheetData sheetId="3950"/>
      <sheetData sheetId="3951">
        <row r="2">
          <cell r="A2">
            <v>0</v>
          </cell>
        </row>
      </sheetData>
      <sheetData sheetId="3952">
        <row r="2">
          <cell r="A2">
            <v>0</v>
          </cell>
        </row>
      </sheetData>
      <sheetData sheetId="3953"/>
      <sheetData sheetId="3954"/>
      <sheetData sheetId="3955"/>
      <sheetData sheetId="3956">
        <row r="2">
          <cell r="A2">
            <v>0</v>
          </cell>
        </row>
      </sheetData>
      <sheetData sheetId="3957">
        <row r="2">
          <cell r="A2">
            <v>0</v>
          </cell>
        </row>
      </sheetData>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row r="2">
          <cell r="A2">
            <v>0</v>
          </cell>
        </row>
      </sheetData>
      <sheetData sheetId="3985"/>
      <sheetData sheetId="3986"/>
      <sheetData sheetId="3987"/>
      <sheetData sheetId="3988"/>
      <sheetData sheetId="3989"/>
      <sheetData sheetId="3990"/>
      <sheetData sheetId="3991"/>
      <sheetData sheetId="3992"/>
      <sheetData sheetId="3993"/>
      <sheetData sheetId="3994">
        <row r="2">
          <cell r="A2">
            <v>0</v>
          </cell>
        </row>
      </sheetData>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row r="2">
          <cell r="A2">
            <v>0</v>
          </cell>
        </row>
      </sheetData>
      <sheetData sheetId="4031"/>
      <sheetData sheetId="4032"/>
      <sheetData sheetId="4033"/>
      <sheetData sheetId="4034"/>
      <sheetData sheetId="4035">
        <row r="2">
          <cell r="A2">
            <v>0</v>
          </cell>
        </row>
      </sheetData>
      <sheetData sheetId="4036"/>
      <sheetData sheetId="4037"/>
      <sheetData sheetId="4038">
        <row r="2">
          <cell r="A2">
            <v>0</v>
          </cell>
        </row>
      </sheetData>
      <sheetData sheetId="4039"/>
      <sheetData sheetId="4040">
        <row r="2">
          <cell r="A2">
            <v>0</v>
          </cell>
        </row>
      </sheetData>
      <sheetData sheetId="4041"/>
      <sheetData sheetId="4042"/>
      <sheetData sheetId="4043"/>
      <sheetData sheetId="4044"/>
      <sheetData sheetId="4045">
        <row r="2">
          <cell r="A2">
            <v>0</v>
          </cell>
        </row>
      </sheetData>
      <sheetData sheetId="4046"/>
      <sheetData sheetId="4047"/>
      <sheetData sheetId="4048"/>
      <sheetData sheetId="4049"/>
      <sheetData sheetId="4050">
        <row r="2">
          <cell r="A2">
            <v>0</v>
          </cell>
        </row>
      </sheetData>
      <sheetData sheetId="4051"/>
      <sheetData sheetId="4052"/>
      <sheetData sheetId="4053"/>
      <sheetData sheetId="4054"/>
      <sheetData sheetId="4055">
        <row r="2">
          <cell r="A2">
            <v>0</v>
          </cell>
        </row>
      </sheetData>
      <sheetData sheetId="4056"/>
      <sheetData sheetId="4057"/>
      <sheetData sheetId="4058"/>
      <sheetData sheetId="4059"/>
      <sheetData sheetId="4060"/>
      <sheetData sheetId="4061"/>
      <sheetData sheetId="4062"/>
      <sheetData sheetId="4063">
        <row r="2">
          <cell r="A2">
            <v>0</v>
          </cell>
        </row>
      </sheetData>
      <sheetData sheetId="4064"/>
      <sheetData sheetId="4065"/>
      <sheetData sheetId="4066"/>
      <sheetData sheetId="4067"/>
      <sheetData sheetId="4068">
        <row r="2">
          <cell r="A2">
            <v>0</v>
          </cell>
        </row>
      </sheetData>
      <sheetData sheetId="4069"/>
      <sheetData sheetId="4070"/>
      <sheetData sheetId="4071"/>
      <sheetData sheetId="4072">
        <row r="2">
          <cell r="A2">
            <v>0</v>
          </cell>
        </row>
      </sheetData>
      <sheetData sheetId="4073">
        <row r="2">
          <cell r="A2">
            <v>0</v>
          </cell>
        </row>
      </sheetData>
      <sheetData sheetId="4074"/>
      <sheetData sheetId="4075"/>
      <sheetData sheetId="4076"/>
      <sheetData sheetId="4077">
        <row r="2">
          <cell r="A2">
            <v>0</v>
          </cell>
        </row>
      </sheetData>
      <sheetData sheetId="4078">
        <row r="2">
          <cell r="A2">
            <v>0</v>
          </cell>
        </row>
      </sheetData>
      <sheetData sheetId="4079"/>
      <sheetData sheetId="4080"/>
      <sheetData sheetId="4081"/>
      <sheetData sheetId="4082">
        <row r="2">
          <cell r="A2">
            <v>0</v>
          </cell>
        </row>
      </sheetData>
      <sheetData sheetId="4083">
        <row r="2">
          <cell r="A2">
            <v>0</v>
          </cell>
        </row>
      </sheetData>
      <sheetData sheetId="4084"/>
      <sheetData sheetId="4085"/>
      <sheetData sheetId="4086"/>
      <sheetData sheetId="4087">
        <row r="2">
          <cell r="A2">
            <v>0</v>
          </cell>
        </row>
      </sheetData>
      <sheetData sheetId="4088">
        <row r="2">
          <cell r="A2">
            <v>0</v>
          </cell>
        </row>
      </sheetData>
      <sheetData sheetId="4089">
        <row r="2">
          <cell r="A2">
            <v>0</v>
          </cell>
        </row>
      </sheetData>
      <sheetData sheetId="4090"/>
      <sheetData sheetId="4091"/>
      <sheetData sheetId="4092">
        <row r="2">
          <cell r="A2">
            <v>0</v>
          </cell>
        </row>
      </sheetData>
      <sheetData sheetId="4093">
        <row r="2">
          <cell r="A2">
            <v>0</v>
          </cell>
        </row>
      </sheetData>
      <sheetData sheetId="4094">
        <row r="2">
          <cell r="A2">
            <v>0</v>
          </cell>
        </row>
      </sheetData>
      <sheetData sheetId="4095">
        <row r="2">
          <cell r="A2">
            <v>0</v>
          </cell>
        </row>
      </sheetData>
      <sheetData sheetId="4096">
        <row r="2">
          <cell r="A2">
            <v>0</v>
          </cell>
        </row>
      </sheetData>
      <sheetData sheetId="4097">
        <row r="2">
          <cell r="A2">
            <v>0</v>
          </cell>
        </row>
      </sheetData>
      <sheetData sheetId="4098">
        <row r="2">
          <cell r="A2">
            <v>0</v>
          </cell>
        </row>
      </sheetData>
      <sheetData sheetId="4099">
        <row r="2">
          <cell r="A2">
            <v>0</v>
          </cell>
        </row>
      </sheetData>
      <sheetData sheetId="4100"/>
      <sheetData sheetId="4101"/>
      <sheetData sheetId="4102">
        <row r="2">
          <cell r="A2">
            <v>0</v>
          </cell>
        </row>
      </sheetData>
      <sheetData sheetId="4103">
        <row r="2">
          <cell r="A2">
            <v>0</v>
          </cell>
        </row>
      </sheetData>
      <sheetData sheetId="4104"/>
      <sheetData sheetId="4105">
        <row r="2">
          <cell r="A2">
            <v>0</v>
          </cell>
        </row>
      </sheetData>
      <sheetData sheetId="4106">
        <row r="2">
          <cell r="A2">
            <v>0</v>
          </cell>
        </row>
      </sheetData>
      <sheetData sheetId="4107">
        <row r="2">
          <cell r="A2">
            <v>0</v>
          </cell>
        </row>
      </sheetData>
      <sheetData sheetId="4108">
        <row r="2">
          <cell r="A2">
            <v>0</v>
          </cell>
        </row>
      </sheetData>
      <sheetData sheetId="4109"/>
      <sheetData sheetId="4110">
        <row r="2">
          <cell r="A2">
            <v>0</v>
          </cell>
        </row>
      </sheetData>
      <sheetData sheetId="4111">
        <row r="2">
          <cell r="A2">
            <v>0</v>
          </cell>
        </row>
      </sheetData>
      <sheetData sheetId="4112"/>
      <sheetData sheetId="4113"/>
      <sheetData sheetId="4114"/>
      <sheetData sheetId="4115">
        <row r="2">
          <cell r="A2">
            <v>0</v>
          </cell>
        </row>
      </sheetData>
      <sheetData sheetId="4116">
        <row r="2">
          <cell r="A2">
            <v>0</v>
          </cell>
        </row>
      </sheetData>
      <sheetData sheetId="4117"/>
      <sheetData sheetId="4118"/>
      <sheetData sheetId="4119"/>
      <sheetData sheetId="4120">
        <row r="2">
          <cell r="A2">
            <v>0</v>
          </cell>
        </row>
      </sheetData>
      <sheetData sheetId="4121">
        <row r="2">
          <cell r="A2">
            <v>0</v>
          </cell>
        </row>
      </sheetData>
      <sheetData sheetId="4122">
        <row r="2">
          <cell r="A2">
            <v>0</v>
          </cell>
        </row>
      </sheetData>
      <sheetData sheetId="4123"/>
      <sheetData sheetId="4124"/>
      <sheetData sheetId="4125">
        <row r="2">
          <cell r="A2">
            <v>0</v>
          </cell>
        </row>
      </sheetData>
      <sheetData sheetId="4126">
        <row r="2">
          <cell r="A2">
            <v>0</v>
          </cell>
        </row>
      </sheetData>
      <sheetData sheetId="4127"/>
      <sheetData sheetId="4128"/>
      <sheetData sheetId="4129"/>
      <sheetData sheetId="4130">
        <row r="2">
          <cell r="A2">
            <v>0</v>
          </cell>
        </row>
      </sheetData>
      <sheetData sheetId="4131">
        <row r="2">
          <cell r="A2">
            <v>0</v>
          </cell>
        </row>
      </sheetData>
      <sheetData sheetId="4132"/>
      <sheetData sheetId="4133"/>
      <sheetData sheetId="4134"/>
      <sheetData sheetId="4135">
        <row r="2">
          <cell r="A2">
            <v>0</v>
          </cell>
        </row>
      </sheetData>
      <sheetData sheetId="4136">
        <row r="2">
          <cell r="A2">
            <v>0</v>
          </cell>
        </row>
      </sheetData>
      <sheetData sheetId="4137"/>
      <sheetData sheetId="4138"/>
      <sheetData sheetId="4139">
        <row r="2">
          <cell r="A2">
            <v>0</v>
          </cell>
        </row>
      </sheetData>
      <sheetData sheetId="4140">
        <row r="2">
          <cell r="A2">
            <v>0</v>
          </cell>
        </row>
      </sheetData>
      <sheetData sheetId="4141">
        <row r="2">
          <cell r="A2">
            <v>0</v>
          </cell>
        </row>
      </sheetData>
      <sheetData sheetId="4142"/>
      <sheetData sheetId="4143"/>
      <sheetData sheetId="4144"/>
      <sheetData sheetId="4145"/>
      <sheetData sheetId="4146"/>
      <sheetData sheetId="4147"/>
      <sheetData sheetId="4148"/>
      <sheetData sheetId="4149">
        <row r="2">
          <cell r="A2">
            <v>0</v>
          </cell>
        </row>
      </sheetData>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row r="2">
          <cell r="A2">
            <v>0</v>
          </cell>
        </row>
      </sheetData>
      <sheetData sheetId="4215"/>
      <sheetData sheetId="4216"/>
      <sheetData sheetId="4217"/>
      <sheetData sheetId="4218"/>
      <sheetData sheetId="4219">
        <row r="2">
          <cell r="A2">
            <v>0</v>
          </cell>
        </row>
      </sheetData>
      <sheetData sheetId="4220"/>
      <sheetData sheetId="4221"/>
      <sheetData sheetId="4222"/>
      <sheetData sheetId="4223"/>
      <sheetData sheetId="4224">
        <row r="2">
          <cell r="A2">
            <v>0</v>
          </cell>
        </row>
      </sheetData>
      <sheetData sheetId="4225"/>
      <sheetData sheetId="4226"/>
      <sheetData sheetId="4227"/>
      <sheetData sheetId="4228"/>
      <sheetData sheetId="4229">
        <row r="2">
          <cell r="A2">
            <v>0</v>
          </cell>
        </row>
      </sheetData>
      <sheetData sheetId="4230"/>
      <sheetData sheetId="4231"/>
      <sheetData sheetId="4232">
        <row r="2">
          <cell r="A2">
            <v>0</v>
          </cell>
        </row>
      </sheetData>
      <sheetData sheetId="4233"/>
      <sheetData sheetId="4234">
        <row r="2">
          <cell r="A2">
            <v>0</v>
          </cell>
        </row>
      </sheetData>
      <sheetData sheetId="4235"/>
      <sheetData sheetId="4236"/>
      <sheetData sheetId="4237"/>
      <sheetData sheetId="4238"/>
      <sheetData sheetId="4239">
        <row r="2">
          <cell r="A2">
            <v>0</v>
          </cell>
        </row>
      </sheetData>
      <sheetData sheetId="4240"/>
      <sheetData sheetId="4241"/>
      <sheetData sheetId="4242"/>
      <sheetData sheetId="4243"/>
      <sheetData sheetId="4244"/>
      <sheetData sheetId="4245"/>
      <sheetData sheetId="4246"/>
      <sheetData sheetId="4247">
        <row r="2">
          <cell r="A2">
            <v>0</v>
          </cell>
        </row>
      </sheetData>
      <sheetData sheetId="4248"/>
      <sheetData sheetId="4249"/>
      <sheetData sheetId="4250"/>
      <sheetData sheetId="4251"/>
      <sheetData sheetId="4252">
        <row r="2">
          <cell r="A2">
            <v>0</v>
          </cell>
        </row>
      </sheetData>
      <sheetData sheetId="4253"/>
      <sheetData sheetId="4254"/>
      <sheetData sheetId="4255"/>
      <sheetData sheetId="4256"/>
      <sheetData sheetId="4257">
        <row r="2">
          <cell r="A2">
            <v>0</v>
          </cell>
        </row>
      </sheetData>
      <sheetData sheetId="4258"/>
      <sheetData sheetId="4259"/>
      <sheetData sheetId="4260"/>
      <sheetData sheetId="4261"/>
      <sheetData sheetId="4262">
        <row r="2">
          <cell r="A2">
            <v>0</v>
          </cell>
        </row>
      </sheetData>
      <sheetData sheetId="4263"/>
      <sheetData sheetId="4264"/>
      <sheetData sheetId="4265"/>
      <sheetData sheetId="4266"/>
      <sheetData sheetId="4267">
        <row r="2">
          <cell r="A2">
            <v>0</v>
          </cell>
        </row>
      </sheetData>
      <sheetData sheetId="4268"/>
      <sheetData sheetId="4269">
        <row r="2">
          <cell r="A2">
            <v>0</v>
          </cell>
        </row>
      </sheetData>
      <sheetData sheetId="4270"/>
      <sheetData sheetId="4271">
        <row r="2">
          <cell r="A2">
            <v>0</v>
          </cell>
        </row>
      </sheetData>
      <sheetData sheetId="4272">
        <row r="2">
          <cell r="A2">
            <v>0</v>
          </cell>
        </row>
      </sheetData>
      <sheetData sheetId="4273">
        <row r="2">
          <cell r="A2">
            <v>0</v>
          </cell>
        </row>
      </sheetData>
      <sheetData sheetId="4274"/>
      <sheetData sheetId="4275"/>
      <sheetData sheetId="4276"/>
      <sheetData sheetId="4277">
        <row r="2">
          <cell r="A2">
            <v>0</v>
          </cell>
        </row>
      </sheetData>
      <sheetData sheetId="4278"/>
      <sheetData sheetId="4279">
        <row r="2">
          <cell r="A2">
            <v>0</v>
          </cell>
        </row>
      </sheetData>
      <sheetData sheetId="4280"/>
      <sheetData sheetId="4281"/>
      <sheetData sheetId="4282">
        <row r="2">
          <cell r="A2">
            <v>0</v>
          </cell>
        </row>
      </sheetData>
      <sheetData sheetId="4283"/>
      <sheetData sheetId="4284"/>
      <sheetData sheetId="4285"/>
      <sheetData sheetId="4286"/>
      <sheetData sheetId="4287">
        <row r="2">
          <cell r="A2">
            <v>0</v>
          </cell>
        </row>
      </sheetData>
      <sheetData sheetId="4288"/>
      <sheetData sheetId="4289"/>
      <sheetData sheetId="4290">
        <row r="2">
          <cell r="A2">
            <v>0</v>
          </cell>
        </row>
      </sheetData>
      <sheetData sheetId="4291"/>
      <sheetData sheetId="4292">
        <row r="2">
          <cell r="A2">
            <v>0</v>
          </cell>
        </row>
      </sheetData>
      <sheetData sheetId="4293"/>
      <sheetData sheetId="4294"/>
      <sheetData sheetId="4295">
        <row r="2">
          <cell r="A2">
            <v>0</v>
          </cell>
        </row>
      </sheetData>
      <sheetData sheetId="4296"/>
      <sheetData sheetId="4297"/>
      <sheetData sheetId="4298"/>
      <sheetData sheetId="4299"/>
      <sheetData sheetId="4300">
        <row r="2">
          <cell r="A2">
            <v>0</v>
          </cell>
        </row>
      </sheetData>
      <sheetData sheetId="4301"/>
      <sheetData sheetId="4302"/>
      <sheetData sheetId="4303"/>
      <sheetData sheetId="4304"/>
      <sheetData sheetId="4305">
        <row r="2">
          <cell r="A2">
            <v>0</v>
          </cell>
        </row>
      </sheetData>
      <sheetData sheetId="4306">
        <row r="2">
          <cell r="A2">
            <v>0</v>
          </cell>
        </row>
      </sheetData>
      <sheetData sheetId="4307"/>
      <sheetData sheetId="4308"/>
      <sheetData sheetId="4309"/>
      <sheetData sheetId="4310">
        <row r="2">
          <cell r="A2">
            <v>0</v>
          </cell>
        </row>
      </sheetData>
      <sheetData sheetId="4311"/>
      <sheetData sheetId="4312"/>
      <sheetData sheetId="4313"/>
      <sheetData sheetId="4314"/>
      <sheetData sheetId="4315">
        <row r="2">
          <cell r="A2">
            <v>0</v>
          </cell>
        </row>
      </sheetData>
      <sheetData sheetId="4316"/>
      <sheetData sheetId="4317"/>
      <sheetData sheetId="4318"/>
      <sheetData sheetId="4319"/>
      <sheetData sheetId="4320">
        <row r="2">
          <cell r="A2">
            <v>0</v>
          </cell>
        </row>
      </sheetData>
      <sheetData sheetId="4321"/>
      <sheetData sheetId="4322"/>
      <sheetData sheetId="4323">
        <row r="2">
          <cell r="A2">
            <v>0</v>
          </cell>
        </row>
      </sheetData>
      <sheetData sheetId="4324"/>
      <sheetData sheetId="4325">
        <row r="2">
          <cell r="A2">
            <v>0</v>
          </cell>
        </row>
      </sheetData>
      <sheetData sheetId="4326"/>
      <sheetData sheetId="4327"/>
      <sheetData sheetId="4328"/>
      <sheetData sheetId="4329"/>
      <sheetData sheetId="4330"/>
      <sheetData sheetId="4331"/>
      <sheetData sheetId="4332"/>
      <sheetData sheetId="4333">
        <row r="2">
          <cell r="A2">
            <v>0</v>
          </cell>
        </row>
      </sheetData>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row r="2">
          <cell r="A2">
            <v>0</v>
          </cell>
        </row>
      </sheetData>
      <sheetData sheetId="4353"/>
      <sheetData sheetId="4354"/>
      <sheetData sheetId="4355"/>
      <sheetData sheetId="4356"/>
      <sheetData sheetId="4357"/>
      <sheetData sheetId="4358"/>
      <sheetData sheetId="4359"/>
      <sheetData sheetId="4360"/>
      <sheetData sheetId="4361"/>
      <sheetData sheetId="4362">
        <row r="2">
          <cell r="A2">
            <v>0</v>
          </cell>
        </row>
      </sheetData>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row r="2">
          <cell r="A2">
            <v>0</v>
          </cell>
        </row>
      </sheetData>
      <sheetData sheetId="4388">
        <row r="2">
          <cell r="A2">
            <v>0</v>
          </cell>
        </row>
      </sheetData>
      <sheetData sheetId="4389">
        <row r="2">
          <cell r="A2">
            <v>0</v>
          </cell>
        </row>
      </sheetData>
      <sheetData sheetId="4390">
        <row r="2">
          <cell r="A2">
            <v>0</v>
          </cell>
        </row>
      </sheetData>
      <sheetData sheetId="4391">
        <row r="2">
          <cell r="A2">
            <v>0</v>
          </cell>
        </row>
      </sheetData>
      <sheetData sheetId="4392">
        <row r="2">
          <cell r="A2">
            <v>0</v>
          </cell>
        </row>
      </sheetData>
      <sheetData sheetId="4393">
        <row r="2">
          <cell r="A2">
            <v>0</v>
          </cell>
        </row>
      </sheetData>
      <sheetData sheetId="4394"/>
      <sheetData sheetId="4395"/>
      <sheetData sheetId="4396">
        <row r="2">
          <cell r="A2">
            <v>0</v>
          </cell>
        </row>
      </sheetData>
      <sheetData sheetId="4397">
        <row r="2">
          <cell r="A2">
            <v>0</v>
          </cell>
        </row>
      </sheetData>
      <sheetData sheetId="4398">
        <row r="2">
          <cell r="A2">
            <v>0</v>
          </cell>
        </row>
      </sheetData>
      <sheetData sheetId="4399">
        <row r="2">
          <cell r="A2">
            <v>0</v>
          </cell>
        </row>
      </sheetData>
      <sheetData sheetId="4400">
        <row r="2">
          <cell r="A2">
            <v>0</v>
          </cell>
        </row>
      </sheetData>
      <sheetData sheetId="4401">
        <row r="2">
          <cell r="A2">
            <v>0</v>
          </cell>
        </row>
      </sheetData>
      <sheetData sheetId="4402">
        <row r="2">
          <cell r="A2">
            <v>0</v>
          </cell>
        </row>
      </sheetData>
      <sheetData sheetId="4403">
        <row r="2">
          <cell r="A2">
            <v>0</v>
          </cell>
        </row>
      </sheetData>
      <sheetData sheetId="4404"/>
      <sheetData sheetId="4405">
        <row r="2">
          <cell r="A2">
            <v>0</v>
          </cell>
        </row>
      </sheetData>
      <sheetData sheetId="4406">
        <row r="2">
          <cell r="A2">
            <v>0</v>
          </cell>
        </row>
      </sheetData>
      <sheetData sheetId="4407">
        <row r="2">
          <cell r="A2">
            <v>0</v>
          </cell>
        </row>
      </sheetData>
      <sheetData sheetId="4408">
        <row r="2">
          <cell r="A2">
            <v>0</v>
          </cell>
        </row>
      </sheetData>
      <sheetData sheetId="4409">
        <row r="2">
          <cell r="A2">
            <v>0</v>
          </cell>
        </row>
      </sheetData>
      <sheetData sheetId="4410">
        <row r="2">
          <cell r="A2">
            <v>0</v>
          </cell>
        </row>
      </sheetData>
      <sheetData sheetId="4411">
        <row r="2">
          <cell r="A2">
            <v>0</v>
          </cell>
        </row>
      </sheetData>
      <sheetData sheetId="4412">
        <row r="2">
          <cell r="A2">
            <v>0</v>
          </cell>
        </row>
      </sheetData>
      <sheetData sheetId="4413">
        <row r="2">
          <cell r="A2">
            <v>0</v>
          </cell>
        </row>
      </sheetData>
      <sheetData sheetId="4414">
        <row r="2">
          <cell r="A2">
            <v>0</v>
          </cell>
        </row>
      </sheetData>
      <sheetData sheetId="4415">
        <row r="2">
          <cell r="A2">
            <v>0</v>
          </cell>
        </row>
      </sheetData>
      <sheetData sheetId="4416">
        <row r="2">
          <cell r="A2">
            <v>0</v>
          </cell>
        </row>
      </sheetData>
      <sheetData sheetId="4417">
        <row r="2">
          <cell r="A2">
            <v>0</v>
          </cell>
        </row>
      </sheetData>
      <sheetData sheetId="4418">
        <row r="2">
          <cell r="A2">
            <v>0</v>
          </cell>
        </row>
      </sheetData>
      <sheetData sheetId="4419">
        <row r="2">
          <cell r="A2">
            <v>0</v>
          </cell>
        </row>
      </sheetData>
      <sheetData sheetId="4420">
        <row r="2">
          <cell r="A2">
            <v>0</v>
          </cell>
        </row>
      </sheetData>
      <sheetData sheetId="4421">
        <row r="2">
          <cell r="A2">
            <v>0</v>
          </cell>
        </row>
      </sheetData>
      <sheetData sheetId="4422">
        <row r="2">
          <cell r="A2">
            <v>0</v>
          </cell>
        </row>
      </sheetData>
      <sheetData sheetId="4423">
        <row r="2">
          <cell r="A2">
            <v>0</v>
          </cell>
        </row>
      </sheetData>
      <sheetData sheetId="4424">
        <row r="2">
          <cell r="A2">
            <v>0</v>
          </cell>
        </row>
      </sheetData>
      <sheetData sheetId="4425">
        <row r="2">
          <cell r="A2">
            <v>0</v>
          </cell>
        </row>
      </sheetData>
      <sheetData sheetId="4426">
        <row r="2">
          <cell r="A2">
            <v>0</v>
          </cell>
        </row>
      </sheetData>
      <sheetData sheetId="4427">
        <row r="2">
          <cell r="A2">
            <v>0</v>
          </cell>
        </row>
      </sheetData>
      <sheetData sheetId="4428">
        <row r="2">
          <cell r="A2">
            <v>0</v>
          </cell>
        </row>
      </sheetData>
      <sheetData sheetId="4429">
        <row r="2">
          <cell r="A2">
            <v>0</v>
          </cell>
        </row>
      </sheetData>
      <sheetData sheetId="4430">
        <row r="2">
          <cell r="A2">
            <v>0</v>
          </cell>
        </row>
      </sheetData>
      <sheetData sheetId="4431">
        <row r="2">
          <cell r="A2">
            <v>0</v>
          </cell>
        </row>
      </sheetData>
      <sheetData sheetId="4432">
        <row r="2">
          <cell r="A2">
            <v>0</v>
          </cell>
        </row>
      </sheetData>
      <sheetData sheetId="4433">
        <row r="2">
          <cell r="A2">
            <v>0</v>
          </cell>
        </row>
      </sheetData>
      <sheetData sheetId="4434">
        <row r="2">
          <cell r="A2">
            <v>0</v>
          </cell>
        </row>
      </sheetData>
      <sheetData sheetId="4435">
        <row r="2">
          <cell r="A2">
            <v>0</v>
          </cell>
        </row>
      </sheetData>
      <sheetData sheetId="4436">
        <row r="2">
          <cell r="A2">
            <v>0</v>
          </cell>
        </row>
      </sheetData>
      <sheetData sheetId="4437">
        <row r="2">
          <cell r="A2">
            <v>0</v>
          </cell>
        </row>
      </sheetData>
      <sheetData sheetId="4438">
        <row r="2">
          <cell r="A2">
            <v>0</v>
          </cell>
        </row>
      </sheetData>
      <sheetData sheetId="4439">
        <row r="2">
          <cell r="A2">
            <v>0</v>
          </cell>
        </row>
      </sheetData>
      <sheetData sheetId="4440">
        <row r="2">
          <cell r="A2">
            <v>0</v>
          </cell>
        </row>
      </sheetData>
      <sheetData sheetId="4441">
        <row r="2">
          <cell r="A2">
            <v>0</v>
          </cell>
        </row>
      </sheetData>
      <sheetData sheetId="4442">
        <row r="2">
          <cell r="A2">
            <v>0</v>
          </cell>
        </row>
      </sheetData>
      <sheetData sheetId="4443">
        <row r="2">
          <cell r="A2">
            <v>0</v>
          </cell>
        </row>
      </sheetData>
      <sheetData sheetId="4444">
        <row r="2">
          <cell r="A2">
            <v>0</v>
          </cell>
        </row>
      </sheetData>
      <sheetData sheetId="4445">
        <row r="2">
          <cell r="A2">
            <v>0</v>
          </cell>
        </row>
      </sheetData>
      <sheetData sheetId="4446">
        <row r="2">
          <cell r="A2">
            <v>0</v>
          </cell>
        </row>
      </sheetData>
      <sheetData sheetId="4447">
        <row r="2">
          <cell r="A2">
            <v>0</v>
          </cell>
        </row>
      </sheetData>
      <sheetData sheetId="4448">
        <row r="2">
          <cell r="A2">
            <v>0</v>
          </cell>
        </row>
      </sheetData>
      <sheetData sheetId="4449">
        <row r="2">
          <cell r="A2">
            <v>0</v>
          </cell>
        </row>
      </sheetData>
      <sheetData sheetId="4450">
        <row r="2">
          <cell r="A2">
            <v>0</v>
          </cell>
        </row>
      </sheetData>
      <sheetData sheetId="4451">
        <row r="2">
          <cell r="A2">
            <v>0</v>
          </cell>
        </row>
      </sheetData>
      <sheetData sheetId="4452">
        <row r="2">
          <cell r="A2">
            <v>0</v>
          </cell>
        </row>
      </sheetData>
      <sheetData sheetId="4453">
        <row r="2">
          <cell r="A2">
            <v>0</v>
          </cell>
        </row>
      </sheetData>
      <sheetData sheetId="4454">
        <row r="2">
          <cell r="A2">
            <v>0</v>
          </cell>
        </row>
      </sheetData>
      <sheetData sheetId="4455">
        <row r="2">
          <cell r="A2">
            <v>0</v>
          </cell>
        </row>
      </sheetData>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ow r="2">
          <cell r="A2">
            <v>0</v>
          </cell>
        </row>
      </sheetData>
      <sheetData sheetId="4489" refreshError="1"/>
      <sheetData sheetId="4490" refreshError="1"/>
      <sheetData sheetId="4491">
        <row r="2">
          <cell r="A2">
            <v>0</v>
          </cell>
        </row>
      </sheetData>
      <sheetData sheetId="4492">
        <row r="2">
          <cell r="A2">
            <v>0</v>
          </cell>
        </row>
      </sheetData>
      <sheetData sheetId="4493">
        <row r="2">
          <cell r="A2">
            <v>0</v>
          </cell>
        </row>
      </sheetData>
      <sheetData sheetId="4494">
        <row r="2">
          <cell r="A2">
            <v>0</v>
          </cell>
        </row>
      </sheetData>
      <sheetData sheetId="4495">
        <row r="2">
          <cell r="A2">
            <v>0</v>
          </cell>
        </row>
      </sheetData>
      <sheetData sheetId="4496">
        <row r="2">
          <cell r="A2">
            <v>0</v>
          </cell>
        </row>
      </sheetData>
      <sheetData sheetId="4497">
        <row r="2">
          <cell r="A2">
            <v>0</v>
          </cell>
        </row>
      </sheetData>
      <sheetData sheetId="4498">
        <row r="2">
          <cell r="A2">
            <v>0</v>
          </cell>
        </row>
      </sheetData>
      <sheetData sheetId="4499">
        <row r="2">
          <cell r="A2">
            <v>0</v>
          </cell>
        </row>
      </sheetData>
      <sheetData sheetId="4500">
        <row r="2">
          <cell r="A2">
            <v>0</v>
          </cell>
        </row>
      </sheetData>
      <sheetData sheetId="4501">
        <row r="2">
          <cell r="A2">
            <v>0</v>
          </cell>
        </row>
      </sheetData>
      <sheetData sheetId="4502">
        <row r="2">
          <cell r="A2">
            <v>0</v>
          </cell>
        </row>
      </sheetData>
      <sheetData sheetId="4503">
        <row r="2">
          <cell r="A2">
            <v>0</v>
          </cell>
        </row>
      </sheetData>
      <sheetData sheetId="4504">
        <row r="2">
          <cell r="A2">
            <v>0</v>
          </cell>
        </row>
      </sheetData>
      <sheetData sheetId="4505">
        <row r="2">
          <cell r="A2">
            <v>0</v>
          </cell>
        </row>
      </sheetData>
      <sheetData sheetId="4506">
        <row r="2">
          <cell r="A2">
            <v>0</v>
          </cell>
        </row>
      </sheetData>
      <sheetData sheetId="4507">
        <row r="2">
          <cell r="A2">
            <v>0</v>
          </cell>
        </row>
      </sheetData>
      <sheetData sheetId="4508">
        <row r="2">
          <cell r="A2">
            <v>0</v>
          </cell>
        </row>
      </sheetData>
      <sheetData sheetId="4509">
        <row r="2">
          <cell r="A2">
            <v>0</v>
          </cell>
        </row>
      </sheetData>
      <sheetData sheetId="4510">
        <row r="2">
          <cell r="A2">
            <v>0</v>
          </cell>
        </row>
      </sheetData>
      <sheetData sheetId="4511">
        <row r="2">
          <cell r="A2">
            <v>0</v>
          </cell>
        </row>
      </sheetData>
      <sheetData sheetId="4512">
        <row r="2">
          <cell r="A2">
            <v>0</v>
          </cell>
        </row>
      </sheetData>
      <sheetData sheetId="4513">
        <row r="2">
          <cell r="A2">
            <v>0</v>
          </cell>
        </row>
      </sheetData>
      <sheetData sheetId="4514">
        <row r="2">
          <cell r="A2">
            <v>0</v>
          </cell>
        </row>
      </sheetData>
      <sheetData sheetId="4515">
        <row r="2">
          <cell r="A2">
            <v>0</v>
          </cell>
        </row>
      </sheetData>
      <sheetData sheetId="4516">
        <row r="2">
          <cell r="A2">
            <v>0</v>
          </cell>
        </row>
      </sheetData>
      <sheetData sheetId="4517">
        <row r="2">
          <cell r="A2">
            <v>0</v>
          </cell>
        </row>
      </sheetData>
      <sheetData sheetId="4518">
        <row r="2">
          <cell r="A2">
            <v>0</v>
          </cell>
        </row>
      </sheetData>
      <sheetData sheetId="4519">
        <row r="2">
          <cell r="A2">
            <v>0</v>
          </cell>
        </row>
      </sheetData>
      <sheetData sheetId="4520">
        <row r="2">
          <cell r="A2">
            <v>0</v>
          </cell>
        </row>
      </sheetData>
      <sheetData sheetId="4521">
        <row r="2">
          <cell r="A2">
            <v>0</v>
          </cell>
        </row>
      </sheetData>
      <sheetData sheetId="4522">
        <row r="2">
          <cell r="A2">
            <v>0</v>
          </cell>
        </row>
      </sheetData>
      <sheetData sheetId="4523">
        <row r="2">
          <cell r="A2">
            <v>0</v>
          </cell>
        </row>
      </sheetData>
      <sheetData sheetId="4524">
        <row r="2">
          <cell r="A2">
            <v>0</v>
          </cell>
        </row>
      </sheetData>
      <sheetData sheetId="4525">
        <row r="2">
          <cell r="A2">
            <v>0</v>
          </cell>
        </row>
      </sheetData>
      <sheetData sheetId="4526">
        <row r="2">
          <cell r="A2">
            <v>0</v>
          </cell>
        </row>
      </sheetData>
      <sheetData sheetId="4527">
        <row r="2">
          <cell r="A2">
            <v>0</v>
          </cell>
        </row>
      </sheetData>
      <sheetData sheetId="4528">
        <row r="2">
          <cell r="A2">
            <v>0</v>
          </cell>
        </row>
      </sheetData>
      <sheetData sheetId="4529">
        <row r="2">
          <cell r="A2">
            <v>0</v>
          </cell>
        </row>
      </sheetData>
      <sheetData sheetId="4530">
        <row r="2">
          <cell r="A2">
            <v>0</v>
          </cell>
        </row>
      </sheetData>
      <sheetData sheetId="4531">
        <row r="2">
          <cell r="A2">
            <v>0</v>
          </cell>
        </row>
      </sheetData>
      <sheetData sheetId="4532">
        <row r="2">
          <cell r="A2">
            <v>0</v>
          </cell>
        </row>
      </sheetData>
      <sheetData sheetId="4533">
        <row r="2">
          <cell r="A2">
            <v>0</v>
          </cell>
        </row>
      </sheetData>
      <sheetData sheetId="4534">
        <row r="2">
          <cell r="A2">
            <v>0</v>
          </cell>
        </row>
      </sheetData>
      <sheetData sheetId="4535">
        <row r="2">
          <cell r="A2">
            <v>0</v>
          </cell>
        </row>
      </sheetData>
      <sheetData sheetId="4536">
        <row r="2">
          <cell r="A2">
            <v>0</v>
          </cell>
        </row>
      </sheetData>
      <sheetData sheetId="4537">
        <row r="2">
          <cell r="A2">
            <v>0</v>
          </cell>
        </row>
      </sheetData>
      <sheetData sheetId="4538">
        <row r="2">
          <cell r="A2">
            <v>0</v>
          </cell>
        </row>
      </sheetData>
      <sheetData sheetId="4539">
        <row r="2">
          <cell r="A2">
            <v>0</v>
          </cell>
        </row>
      </sheetData>
      <sheetData sheetId="4540">
        <row r="2">
          <cell r="A2">
            <v>0</v>
          </cell>
        </row>
      </sheetData>
      <sheetData sheetId="4541">
        <row r="2">
          <cell r="A2">
            <v>0</v>
          </cell>
        </row>
      </sheetData>
      <sheetData sheetId="4542">
        <row r="2">
          <cell r="A2">
            <v>0</v>
          </cell>
        </row>
      </sheetData>
      <sheetData sheetId="4543">
        <row r="2">
          <cell r="A2">
            <v>0</v>
          </cell>
        </row>
      </sheetData>
      <sheetData sheetId="4544">
        <row r="2">
          <cell r="A2">
            <v>0</v>
          </cell>
        </row>
      </sheetData>
      <sheetData sheetId="4545">
        <row r="2">
          <cell r="A2">
            <v>0</v>
          </cell>
        </row>
      </sheetData>
      <sheetData sheetId="4546">
        <row r="2">
          <cell r="A2">
            <v>0</v>
          </cell>
        </row>
      </sheetData>
      <sheetData sheetId="4547">
        <row r="2">
          <cell r="A2">
            <v>0</v>
          </cell>
        </row>
      </sheetData>
      <sheetData sheetId="4548">
        <row r="2">
          <cell r="A2">
            <v>0</v>
          </cell>
        </row>
      </sheetData>
      <sheetData sheetId="4549">
        <row r="2">
          <cell r="A2">
            <v>0</v>
          </cell>
        </row>
      </sheetData>
      <sheetData sheetId="4550">
        <row r="2">
          <cell r="A2">
            <v>0</v>
          </cell>
        </row>
      </sheetData>
      <sheetData sheetId="4551">
        <row r="2">
          <cell r="A2">
            <v>0</v>
          </cell>
        </row>
      </sheetData>
      <sheetData sheetId="4552">
        <row r="2">
          <cell r="A2">
            <v>0</v>
          </cell>
        </row>
      </sheetData>
      <sheetData sheetId="4553">
        <row r="2">
          <cell r="A2">
            <v>0</v>
          </cell>
        </row>
      </sheetData>
      <sheetData sheetId="4554">
        <row r="2">
          <cell r="A2">
            <v>0</v>
          </cell>
        </row>
      </sheetData>
      <sheetData sheetId="4555">
        <row r="2">
          <cell r="A2">
            <v>0</v>
          </cell>
        </row>
      </sheetData>
      <sheetData sheetId="4556">
        <row r="2">
          <cell r="A2">
            <v>0</v>
          </cell>
        </row>
      </sheetData>
      <sheetData sheetId="4557">
        <row r="2">
          <cell r="A2">
            <v>0</v>
          </cell>
        </row>
      </sheetData>
      <sheetData sheetId="4558">
        <row r="2">
          <cell r="A2">
            <v>0</v>
          </cell>
        </row>
      </sheetData>
      <sheetData sheetId="4559">
        <row r="2">
          <cell r="A2">
            <v>0</v>
          </cell>
        </row>
      </sheetData>
      <sheetData sheetId="4560">
        <row r="2">
          <cell r="A2">
            <v>0</v>
          </cell>
        </row>
      </sheetData>
      <sheetData sheetId="4561">
        <row r="2">
          <cell r="A2">
            <v>0</v>
          </cell>
        </row>
      </sheetData>
      <sheetData sheetId="4562">
        <row r="2">
          <cell r="A2">
            <v>0</v>
          </cell>
        </row>
      </sheetData>
      <sheetData sheetId="4563">
        <row r="2">
          <cell r="A2">
            <v>0</v>
          </cell>
        </row>
      </sheetData>
      <sheetData sheetId="4564">
        <row r="2">
          <cell r="A2">
            <v>0</v>
          </cell>
        </row>
      </sheetData>
      <sheetData sheetId="4565">
        <row r="2">
          <cell r="A2">
            <v>0</v>
          </cell>
        </row>
      </sheetData>
      <sheetData sheetId="4566">
        <row r="2">
          <cell r="A2">
            <v>0</v>
          </cell>
        </row>
      </sheetData>
      <sheetData sheetId="4567">
        <row r="2">
          <cell r="A2">
            <v>0</v>
          </cell>
        </row>
      </sheetData>
      <sheetData sheetId="4568">
        <row r="2">
          <cell r="A2">
            <v>0</v>
          </cell>
        </row>
      </sheetData>
      <sheetData sheetId="4569">
        <row r="2">
          <cell r="A2">
            <v>0</v>
          </cell>
        </row>
      </sheetData>
      <sheetData sheetId="4570">
        <row r="2">
          <cell r="A2">
            <v>0</v>
          </cell>
        </row>
      </sheetData>
      <sheetData sheetId="4571" refreshError="1"/>
      <sheetData sheetId="4572" refreshError="1"/>
      <sheetData sheetId="4573" refreshError="1"/>
      <sheetData sheetId="4574" refreshError="1"/>
      <sheetData sheetId="4575" refreshError="1"/>
      <sheetData sheetId="4576" refreshError="1"/>
      <sheetData sheetId="4577" refreshError="1"/>
      <sheetData sheetId="4578">
        <row r="2">
          <cell r="A2">
            <v>0</v>
          </cell>
        </row>
      </sheetData>
      <sheetData sheetId="4579">
        <row r="2">
          <cell r="A2">
            <v>0</v>
          </cell>
        </row>
      </sheetData>
      <sheetData sheetId="4580">
        <row r="2">
          <cell r="A2">
            <v>0</v>
          </cell>
        </row>
      </sheetData>
      <sheetData sheetId="4581">
        <row r="2">
          <cell r="A2">
            <v>0</v>
          </cell>
        </row>
      </sheetData>
      <sheetData sheetId="4582">
        <row r="2">
          <cell r="A2">
            <v>0</v>
          </cell>
        </row>
      </sheetData>
      <sheetData sheetId="4583">
        <row r="2">
          <cell r="A2">
            <v>0</v>
          </cell>
        </row>
      </sheetData>
      <sheetData sheetId="4584">
        <row r="2">
          <cell r="A2">
            <v>0</v>
          </cell>
        </row>
      </sheetData>
      <sheetData sheetId="4585">
        <row r="2">
          <cell r="A2">
            <v>0</v>
          </cell>
        </row>
      </sheetData>
      <sheetData sheetId="4586">
        <row r="2">
          <cell r="A2">
            <v>0</v>
          </cell>
        </row>
      </sheetData>
      <sheetData sheetId="4587">
        <row r="2">
          <cell r="A2">
            <v>0</v>
          </cell>
        </row>
      </sheetData>
      <sheetData sheetId="4588">
        <row r="2">
          <cell r="A2">
            <v>0</v>
          </cell>
        </row>
      </sheetData>
      <sheetData sheetId="4589">
        <row r="2">
          <cell r="A2">
            <v>0</v>
          </cell>
        </row>
      </sheetData>
      <sheetData sheetId="4590">
        <row r="2">
          <cell r="A2">
            <v>0</v>
          </cell>
        </row>
      </sheetData>
      <sheetData sheetId="4591">
        <row r="2">
          <cell r="A2">
            <v>0</v>
          </cell>
        </row>
      </sheetData>
      <sheetData sheetId="4592" refreshError="1"/>
      <sheetData sheetId="4593" refreshError="1"/>
      <sheetData sheetId="4594" refreshError="1"/>
      <sheetData sheetId="4595" refreshError="1"/>
      <sheetData sheetId="4596">
        <row r="2">
          <cell r="A2">
            <v>0</v>
          </cell>
        </row>
      </sheetData>
      <sheetData sheetId="4597">
        <row r="2">
          <cell r="A2">
            <v>0</v>
          </cell>
        </row>
      </sheetData>
      <sheetData sheetId="4598">
        <row r="2">
          <cell r="A2">
            <v>0</v>
          </cell>
        </row>
      </sheetData>
      <sheetData sheetId="4599">
        <row r="2">
          <cell r="A2">
            <v>0</v>
          </cell>
        </row>
      </sheetData>
      <sheetData sheetId="4600">
        <row r="2">
          <cell r="A2">
            <v>0</v>
          </cell>
        </row>
      </sheetData>
      <sheetData sheetId="4601">
        <row r="2">
          <cell r="A2">
            <v>0</v>
          </cell>
        </row>
      </sheetData>
      <sheetData sheetId="4602">
        <row r="2">
          <cell r="A2">
            <v>0</v>
          </cell>
        </row>
      </sheetData>
      <sheetData sheetId="4603">
        <row r="2">
          <cell r="A2">
            <v>0</v>
          </cell>
        </row>
      </sheetData>
      <sheetData sheetId="4604">
        <row r="2">
          <cell r="A2">
            <v>0</v>
          </cell>
        </row>
      </sheetData>
      <sheetData sheetId="4605">
        <row r="2">
          <cell r="A2">
            <v>0</v>
          </cell>
        </row>
      </sheetData>
      <sheetData sheetId="4606">
        <row r="2">
          <cell r="A2">
            <v>0</v>
          </cell>
        </row>
      </sheetData>
      <sheetData sheetId="4607">
        <row r="2">
          <cell r="A2">
            <v>0</v>
          </cell>
        </row>
      </sheetData>
      <sheetData sheetId="4608">
        <row r="2">
          <cell r="A2">
            <v>0</v>
          </cell>
        </row>
      </sheetData>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row r="2">
          <cell r="A2">
            <v>0</v>
          </cell>
        </row>
      </sheetData>
      <sheetData sheetId="4617">
        <row r="2">
          <cell r="A2">
            <v>0</v>
          </cell>
        </row>
      </sheetData>
      <sheetData sheetId="4618">
        <row r="2">
          <cell r="A2">
            <v>0</v>
          </cell>
        </row>
      </sheetData>
      <sheetData sheetId="4619">
        <row r="2">
          <cell r="A2">
            <v>0</v>
          </cell>
        </row>
      </sheetData>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sheetData sheetId="4641"/>
      <sheetData sheetId="4642"/>
      <sheetData sheetId="4643"/>
      <sheetData sheetId="4644"/>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ow r="2">
          <cell r="A2">
            <v>0</v>
          </cell>
        </row>
      </sheetData>
      <sheetData sheetId="4655">
        <row r="2">
          <cell r="A2">
            <v>0</v>
          </cell>
        </row>
      </sheetData>
      <sheetData sheetId="4656" refreshError="1"/>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sheetData sheetId="4663"/>
      <sheetData sheetId="4664">
        <row r="2">
          <cell r="A2">
            <v>0</v>
          </cell>
        </row>
      </sheetData>
      <sheetData sheetId="4665">
        <row r="2">
          <cell r="A2">
            <v>0</v>
          </cell>
        </row>
      </sheetData>
      <sheetData sheetId="4666" refreshError="1"/>
      <sheetData sheetId="4667" refreshError="1"/>
      <sheetData sheetId="4668">
        <row r="2">
          <cell r="A2">
            <v>0</v>
          </cell>
        </row>
      </sheetData>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efreshError="1"/>
      <sheetData sheetId="4690" refreshError="1"/>
      <sheetData sheetId="4691">
        <row r="2">
          <cell r="A2">
            <v>0</v>
          </cell>
        </row>
      </sheetData>
      <sheetData sheetId="4692">
        <row r="2">
          <cell r="A2">
            <v>0</v>
          </cell>
        </row>
      </sheetData>
      <sheetData sheetId="4693" refreshError="1"/>
      <sheetData sheetId="4694" refreshError="1"/>
      <sheetData sheetId="4695">
        <row r="2">
          <cell r="A2">
            <v>0</v>
          </cell>
        </row>
      </sheetData>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efreshError="1"/>
      <sheetData sheetId="4714" refreshError="1"/>
      <sheetData sheetId="4715" refreshError="1"/>
      <sheetData sheetId="4716" refreshError="1"/>
      <sheetData sheetId="4717" refreshError="1"/>
      <sheetData sheetId="4718">
        <row r="2">
          <cell r="A2">
            <v>0</v>
          </cell>
        </row>
      </sheetData>
      <sheetData sheetId="4719">
        <row r="2">
          <cell r="A2">
            <v>0</v>
          </cell>
        </row>
      </sheetData>
      <sheetData sheetId="4720">
        <row r="2">
          <cell r="A2">
            <v>0</v>
          </cell>
        </row>
      </sheetData>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ow r="2">
          <cell r="A2">
            <v>0</v>
          </cell>
        </row>
      </sheetData>
      <sheetData sheetId="4731">
        <row r="2">
          <cell r="A2">
            <v>0</v>
          </cell>
        </row>
      </sheetData>
      <sheetData sheetId="4732" refreshError="1"/>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ow r="2">
          <cell r="A2">
            <v>0</v>
          </cell>
        </row>
      </sheetData>
      <sheetData sheetId="5589" refreshError="1"/>
      <sheetData sheetId="5590">
        <row r="2">
          <cell r="A2" t="str">
            <v>FORMULARIO N° 4</v>
          </cell>
        </row>
      </sheetData>
      <sheetData sheetId="5591">
        <row r="2">
          <cell r="A2">
            <v>0</v>
          </cell>
        </row>
      </sheetData>
      <sheetData sheetId="5592">
        <row r="2">
          <cell r="A2">
            <v>0</v>
          </cell>
        </row>
      </sheetData>
      <sheetData sheetId="5593">
        <row r="2">
          <cell r="A2">
            <v>0</v>
          </cell>
        </row>
      </sheetData>
      <sheetData sheetId="5594">
        <row r="2">
          <cell r="A2">
            <v>0</v>
          </cell>
        </row>
      </sheetData>
      <sheetData sheetId="5595">
        <row r="2">
          <cell r="A2">
            <v>0</v>
          </cell>
        </row>
      </sheetData>
      <sheetData sheetId="5596">
        <row r="2">
          <cell r="A2">
            <v>0</v>
          </cell>
        </row>
      </sheetData>
      <sheetData sheetId="5597">
        <row r="2">
          <cell r="A2">
            <v>0</v>
          </cell>
        </row>
      </sheetData>
      <sheetData sheetId="5598">
        <row r="2">
          <cell r="A2">
            <v>0</v>
          </cell>
        </row>
      </sheetData>
      <sheetData sheetId="5599">
        <row r="2">
          <cell r="A2">
            <v>0</v>
          </cell>
        </row>
      </sheetData>
      <sheetData sheetId="5600">
        <row r="2">
          <cell r="A2">
            <v>0</v>
          </cell>
        </row>
      </sheetData>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sheetData sheetId="5629"/>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row r="2">
          <cell r="B2" t="str">
            <v>Patrimonio
neto
personal</v>
          </cell>
        </row>
      </sheetData>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_Datos1"/>
      <sheetName val="Presupuesto"/>
      <sheetName val="ACEROS"/>
      <sheetName val="1"/>
      <sheetName val="2"/>
      <sheetName val="3"/>
      <sheetName val="4"/>
      <sheetName val="5"/>
      <sheetName val="6"/>
      <sheetName val="7"/>
      <sheetName val="8"/>
      <sheetName val="9"/>
      <sheetName val="10"/>
      <sheetName val="11"/>
      <sheetName val="12"/>
      <sheetName val="13"/>
      <sheetName val="14"/>
      <sheetName val="15"/>
      <sheetName val="16"/>
      <sheetName val="C123"/>
      <sheetName val="M14"/>
      <sheetName val="Base_Datos"/>
      <sheetName val="Base_Datos2"/>
      <sheetName val="Base_Datos3"/>
      <sheetName val="Base_Datos4"/>
      <sheetName val="Base_Datos5"/>
      <sheetName val="Base Datos"/>
      <sheetName val="Base_Datos8"/>
      <sheetName val="Base_Datos6"/>
      <sheetName val="Base_Datos7"/>
      <sheetName val="Base_Datos9"/>
      <sheetName val="Base_Datos10"/>
      <sheetName val="Hoja1"/>
      <sheetName val="Base_Datos12"/>
      <sheetName val="Base_Datos11"/>
      <sheetName val="AIU"/>
      <sheetName val="MEMORIAS"/>
      <sheetName val="Item"/>
    </sheetNames>
    <sheetDataSet>
      <sheetData sheetId="0"/>
      <sheetData sheetId="1"/>
      <sheetData sheetId="2">
        <row r="7">
          <cell r="B7">
            <v>0.1</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ow r="7">
          <cell r="B7">
            <v>0.1</v>
          </cell>
        </row>
      </sheetData>
      <sheetData sheetId="24">
        <row r="7">
          <cell r="B7">
            <v>0.1</v>
          </cell>
        </row>
      </sheetData>
      <sheetData sheetId="25">
        <row r="7">
          <cell r="B7">
            <v>0.1</v>
          </cell>
        </row>
      </sheetData>
      <sheetData sheetId="26" refreshError="1"/>
      <sheetData sheetId="27">
        <row r="7">
          <cell r="B7">
            <v>0.1</v>
          </cell>
        </row>
      </sheetData>
      <sheetData sheetId="28">
        <row r="7">
          <cell r="B7">
            <v>0.1</v>
          </cell>
        </row>
        <row r="8">
          <cell r="B8">
            <v>0.1</v>
          </cell>
        </row>
        <row r="9">
          <cell r="B9">
            <v>0.08</v>
          </cell>
        </row>
        <row r="43">
          <cell r="B43" t="str">
            <v>ARENA</v>
          </cell>
        </row>
      </sheetData>
      <sheetData sheetId="29">
        <row r="7">
          <cell r="B7">
            <v>0.1</v>
          </cell>
        </row>
      </sheetData>
      <sheetData sheetId="30">
        <row r="7">
          <cell r="B7">
            <v>0.1</v>
          </cell>
        </row>
      </sheetData>
      <sheetData sheetId="31">
        <row r="7">
          <cell r="B7">
            <v>0.1</v>
          </cell>
        </row>
      </sheetData>
      <sheetData sheetId="32">
        <row r="7">
          <cell r="B7">
            <v>0.1</v>
          </cell>
        </row>
      </sheetData>
      <sheetData sheetId="33" refreshError="1"/>
      <sheetData sheetId="34">
        <row r="7">
          <cell r="B7" t="str">
            <v>OBJETO:</v>
          </cell>
        </row>
      </sheetData>
      <sheetData sheetId="35">
        <row r="7">
          <cell r="B7">
            <v>0.1</v>
          </cell>
        </row>
      </sheetData>
      <sheetData sheetId="36" refreshError="1"/>
      <sheetData sheetId="37" refreshError="1"/>
      <sheetData sheetId="38" refreshError="1"/>
      <sheetData sheetId="39"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_Datos1"/>
      <sheetName val="Presupuesto"/>
      <sheetName val="1"/>
      <sheetName val="2"/>
      <sheetName val="3"/>
      <sheetName val="4"/>
      <sheetName val="5"/>
      <sheetName val="6"/>
      <sheetName val="7"/>
      <sheetName val="8"/>
      <sheetName val="9"/>
      <sheetName val="Base_Datos"/>
      <sheetName val="Base_Datos2"/>
      <sheetName val="Base_Datos3"/>
      <sheetName val="Base_Datos4"/>
      <sheetName val="Base_Datos5"/>
      <sheetName val="Base Datos"/>
      <sheetName val="Base_Datos8"/>
      <sheetName val="Base_Datos6"/>
      <sheetName val="Base_Datos7"/>
      <sheetName val="Base_Datos9"/>
      <sheetName val="Base_Datos10"/>
      <sheetName val="Base_Datos12"/>
      <sheetName val="Base_Datos11"/>
      <sheetName val="Item"/>
      <sheetName val="AIU"/>
    </sheetNames>
    <sheetDataSet>
      <sheetData sheetId="0"/>
      <sheetData sheetId="1"/>
      <sheetData sheetId="2">
        <row r="212">
          <cell r="B212" t="str">
            <v>ALAMBRE  No. 8 AWG</v>
          </cell>
        </row>
      </sheetData>
      <sheetData sheetId="3"/>
      <sheetData sheetId="4"/>
      <sheetData sheetId="5"/>
      <sheetData sheetId="6"/>
      <sheetData sheetId="7"/>
      <sheetData sheetId="8"/>
      <sheetData sheetId="9"/>
      <sheetData sheetId="10"/>
      <sheetData sheetId="11"/>
      <sheetData sheetId="12"/>
      <sheetData sheetId="13">
        <row r="212">
          <cell r="B212" t="str">
            <v>ALAMBRE  No. 8 AWG</v>
          </cell>
        </row>
      </sheetData>
      <sheetData sheetId="14">
        <row r="212">
          <cell r="B212" t="str">
            <v>ALAMBRE  No. 8 AWG</v>
          </cell>
        </row>
      </sheetData>
      <sheetData sheetId="15">
        <row r="212">
          <cell r="B212" t="str">
            <v>ALAMBRE  No. 8 AWG</v>
          </cell>
        </row>
      </sheetData>
      <sheetData sheetId="16" refreshError="1"/>
      <sheetData sheetId="17">
        <row r="212">
          <cell r="B212" t="str">
            <v>ALAMBRE  No. 8 AWG</v>
          </cell>
        </row>
      </sheetData>
      <sheetData sheetId="18">
        <row r="212">
          <cell r="B212" t="str">
            <v>ALAMBRE  No. 8 AWG</v>
          </cell>
        </row>
        <row r="213">
          <cell r="B213" t="str">
            <v>DUCTO CONDUIT ELECTR. PVC  1/2"</v>
          </cell>
        </row>
      </sheetData>
      <sheetData sheetId="19">
        <row r="212">
          <cell r="B212" t="str">
            <v>ALAMBRE  No. 8 AWG</v>
          </cell>
        </row>
      </sheetData>
      <sheetData sheetId="20">
        <row r="212">
          <cell r="B212" t="str">
            <v>ALAMBRE  No. 8 AWG</v>
          </cell>
        </row>
      </sheetData>
      <sheetData sheetId="21">
        <row r="212">
          <cell r="B212" t="str">
            <v>ALAMBRE  No. 8 AWG</v>
          </cell>
        </row>
      </sheetData>
      <sheetData sheetId="22">
        <row r="212">
          <cell r="B212" t="str">
            <v>ALAMBRE  No. 8 AWG</v>
          </cell>
        </row>
      </sheetData>
      <sheetData sheetId="23" refreshError="1"/>
      <sheetData sheetId="24" refreshError="1"/>
      <sheetData sheetId="25">
        <row r="212">
          <cell r="B212" t="str">
            <v>ALAMBRE  No. 8 AWG</v>
          </cell>
        </row>
      </sheetData>
      <sheetData sheetId="26" refreshError="1"/>
      <sheetData sheetId="27"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CIOS"/>
      <sheetName val="Base_Datos1"/>
      <sheetName val="Presupuesto_DES21"/>
      <sheetName val="Presupuesto"/>
      <sheetName val="1,1"/>
      <sheetName val="1_21"/>
      <sheetName val="2,1"/>
      <sheetName val="2,2"/>
      <sheetName val="2,3"/>
      <sheetName val="2,4"/>
      <sheetName val="2,5"/>
      <sheetName val="2,6"/>
      <sheetName val="2,7"/>
      <sheetName val="2,8"/>
      <sheetName val="2,9"/>
      <sheetName val="2,10"/>
      <sheetName val="2,11"/>
      <sheetName val="2,12"/>
      <sheetName val="2,13"/>
      <sheetName val="2,14"/>
      <sheetName val="2,15"/>
      <sheetName val="2,16"/>
      <sheetName val="3,1"/>
      <sheetName val="3,2"/>
      <sheetName val="3,3"/>
      <sheetName val="3,4"/>
      <sheetName val="3,5"/>
      <sheetName val="3,6"/>
      <sheetName val="3,7"/>
      <sheetName val="3,8"/>
      <sheetName val="3,9"/>
      <sheetName val="3,10"/>
      <sheetName val="3,11"/>
      <sheetName val="3,12"/>
      <sheetName val="3,13"/>
      <sheetName val="C123_1"/>
      <sheetName val="M14"/>
      <sheetName val="Programación"/>
      <sheetName val="Flujo_de_Fondos1"/>
      <sheetName val="Compilado"/>
      <sheetName val="ACEROS"/>
      <sheetName val="1"/>
      <sheetName val="2"/>
      <sheetName val="4"/>
      <sheetName val="3"/>
      <sheetName val="5"/>
      <sheetName val="6"/>
      <sheetName val="7"/>
      <sheetName val="8"/>
      <sheetName val="9"/>
      <sheetName val="10"/>
      <sheetName val="11"/>
      <sheetName val="12"/>
      <sheetName val="13"/>
      <sheetName val="14"/>
      <sheetName val="15"/>
      <sheetName val="16"/>
      <sheetName val="A_11"/>
      <sheetName val="A_21"/>
      <sheetName val="CANT__MAT_1"/>
      <sheetName val="17"/>
      <sheetName val="18"/>
      <sheetName val="19"/>
      <sheetName val="20"/>
      <sheetName val="21"/>
      <sheetName val="22"/>
      <sheetName val="23"/>
      <sheetName val="24"/>
      <sheetName val="14_1"/>
      <sheetName val="15_1"/>
      <sheetName val="Base_Datos"/>
      <sheetName val="Presupuesto_DES2"/>
      <sheetName val="1_2"/>
      <sheetName val="C123_"/>
      <sheetName val="Flujo_de_Fondos"/>
      <sheetName val="A_1"/>
      <sheetName val="A_2"/>
      <sheetName val="CANT__MAT_"/>
      <sheetName val="14_"/>
      <sheetName val="15_"/>
      <sheetName val="Base_Datos2"/>
      <sheetName val="Presupuesto_DES22"/>
      <sheetName val="1_22"/>
      <sheetName val="C123_2"/>
      <sheetName val="Flujo_de_Fondos2"/>
      <sheetName val="A_12"/>
      <sheetName val="A_22"/>
      <sheetName val="CANT__MAT_2"/>
      <sheetName val="14_2"/>
      <sheetName val="15_2"/>
      <sheetName val="Base_Datos3"/>
      <sheetName val="Presupuesto_DES23"/>
      <sheetName val="1_23"/>
      <sheetName val="C123_3"/>
      <sheetName val="Flujo_de_Fondos3"/>
      <sheetName val="A_13"/>
      <sheetName val="A_23"/>
      <sheetName val="CANT__MAT_3"/>
      <sheetName val="14_3"/>
      <sheetName val="15_3"/>
      <sheetName val="Base_Datos4"/>
      <sheetName val="Presupuesto_DES24"/>
      <sheetName val="1_24"/>
      <sheetName val="C123_4"/>
      <sheetName val="Flujo_de_Fondos4"/>
      <sheetName val="A_14"/>
      <sheetName val="A_24"/>
      <sheetName val="CANT__MAT_4"/>
      <sheetName val="14_4"/>
      <sheetName val="15_4"/>
      <sheetName val="Base_Datos5"/>
      <sheetName val="Presupuesto_DES25"/>
      <sheetName val="1_25"/>
      <sheetName val="C123_5"/>
      <sheetName val="Flujo_de_Fondos5"/>
      <sheetName val="A_15"/>
      <sheetName val="A_25"/>
      <sheetName val="CANT__MAT_5"/>
      <sheetName val="14_5"/>
      <sheetName val="15_5"/>
      <sheetName val="Base Datos"/>
      <sheetName val="Presupuesto DES2"/>
      <sheetName val="1.2"/>
      <sheetName val="C123 "/>
      <sheetName val="Flujo de Fondos"/>
      <sheetName val="A.1"/>
      <sheetName val="A.2"/>
      <sheetName val="CANT. MAT."/>
      <sheetName val="14."/>
      <sheetName val="15."/>
      <sheetName val="Base_Datos8"/>
      <sheetName val="Presupuesto_DES28"/>
      <sheetName val="1_28"/>
      <sheetName val="C123_8"/>
      <sheetName val="Flujo_de_Fondos8"/>
      <sheetName val="A_18"/>
      <sheetName val="A_28"/>
      <sheetName val="CANT__MAT_8"/>
      <sheetName val="14_8"/>
      <sheetName val="15_8"/>
      <sheetName val="Base_Datos6"/>
      <sheetName val="Presupuesto_DES26"/>
      <sheetName val="1_26"/>
      <sheetName val="C123_6"/>
      <sheetName val="Flujo_de_Fondos6"/>
      <sheetName val="A_16"/>
      <sheetName val="A_26"/>
      <sheetName val="CANT__MAT_6"/>
      <sheetName val="14_6"/>
      <sheetName val="15_6"/>
      <sheetName val="Base_Datos7"/>
      <sheetName val="Presupuesto_DES27"/>
      <sheetName val="1_27"/>
      <sheetName val="C123_7"/>
      <sheetName val="Flujo_de_Fondos7"/>
      <sheetName val="A_17"/>
      <sheetName val="A_27"/>
      <sheetName val="CANT__MAT_7"/>
      <sheetName val="14_7"/>
      <sheetName val="15_7"/>
      <sheetName val="Base_Datos9"/>
      <sheetName val="Presupuesto_DES29"/>
      <sheetName val="1_29"/>
      <sheetName val="C123_9"/>
      <sheetName val="Flujo_de_Fondos9"/>
      <sheetName val="A_19"/>
      <sheetName val="A_29"/>
      <sheetName val="CANT__MAT_9"/>
      <sheetName val="14_9"/>
      <sheetName val="15_9"/>
      <sheetName val="Base_Datos10"/>
      <sheetName val="Presupuesto_DES210"/>
      <sheetName val="1_210"/>
      <sheetName val="C123_10"/>
      <sheetName val="Flujo_de_Fondos10"/>
      <sheetName val="A_110"/>
      <sheetName val="A_210"/>
      <sheetName val="CANT__MAT_10"/>
      <sheetName val="14_10"/>
      <sheetName val="15_10"/>
      <sheetName val="Base_Datos12"/>
      <sheetName val="Presupuesto_DES212"/>
      <sheetName val="1_212"/>
      <sheetName val="C123_12"/>
      <sheetName val="Flujo_de_Fondos12"/>
      <sheetName val="A_112"/>
      <sheetName val="A_212"/>
      <sheetName val="CANT__MAT_12"/>
      <sheetName val="14_12"/>
      <sheetName val="15_12"/>
      <sheetName val="Base_Datos11"/>
      <sheetName val="Presupuesto_DES211"/>
      <sheetName val="1_211"/>
      <sheetName val="C123_11"/>
      <sheetName val="Flujo_de_Fondos11"/>
      <sheetName val="A_111"/>
      <sheetName val="A_211"/>
      <sheetName val="CANT__MAT_11"/>
      <sheetName val="14_11"/>
      <sheetName val="15_11"/>
    </sheetNames>
    <sheetDataSet>
      <sheetData sheetId="0"/>
      <sheetData sheetId="1"/>
      <sheetData sheetId="2">
        <row r="4">
          <cell r="B4">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ow r="4">
          <cell r="B4">
            <v>0</v>
          </cell>
        </row>
      </sheetData>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ow r="4">
          <cell r="B4">
            <v>0</v>
          </cell>
        </row>
      </sheetData>
      <sheetData sheetId="72"/>
      <sheetData sheetId="73"/>
      <sheetData sheetId="74"/>
      <sheetData sheetId="75"/>
      <sheetData sheetId="76"/>
      <sheetData sheetId="77"/>
      <sheetData sheetId="78"/>
      <sheetData sheetId="79"/>
      <sheetData sheetId="80"/>
      <sheetData sheetId="81">
        <row r="4">
          <cell r="B4">
            <v>0</v>
          </cell>
        </row>
      </sheetData>
      <sheetData sheetId="82"/>
      <sheetData sheetId="83"/>
      <sheetData sheetId="84"/>
      <sheetData sheetId="85"/>
      <sheetData sheetId="86"/>
      <sheetData sheetId="87"/>
      <sheetData sheetId="88"/>
      <sheetData sheetId="89"/>
      <sheetData sheetId="90"/>
      <sheetData sheetId="91">
        <row r="4">
          <cell r="B4">
            <v>0</v>
          </cell>
        </row>
      </sheetData>
      <sheetData sheetId="92"/>
      <sheetData sheetId="93"/>
      <sheetData sheetId="94"/>
      <sheetData sheetId="95"/>
      <sheetData sheetId="96"/>
      <sheetData sheetId="97"/>
      <sheetData sheetId="98"/>
      <sheetData sheetId="99"/>
      <sheetData sheetId="100"/>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ow r="4">
          <cell r="B4">
            <v>0</v>
          </cell>
        </row>
      </sheetData>
      <sheetData sheetId="112"/>
      <sheetData sheetId="113"/>
      <sheetData sheetId="114"/>
      <sheetData sheetId="115"/>
      <sheetData sheetId="116"/>
      <sheetData sheetId="117"/>
      <sheetData sheetId="118"/>
      <sheetData sheetId="119"/>
      <sheetData sheetId="120"/>
      <sheetData sheetId="121">
        <row r="4">
          <cell r="B4" t="str">
            <v xml:space="preserve"> </v>
          </cell>
        </row>
        <row r="125">
          <cell r="B125" t="str">
            <v>LAVAMANOS ACUACER</v>
          </cell>
        </row>
      </sheetData>
      <sheetData sheetId="122"/>
      <sheetData sheetId="123"/>
      <sheetData sheetId="124"/>
      <sheetData sheetId="125"/>
      <sheetData sheetId="126" refreshError="1"/>
      <sheetData sheetId="127" refreshError="1"/>
      <sheetData sheetId="128" refreshError="1"/>
      <sheetData sheetId="129" refreshError="1"/>
      <sheetData sheetId="130" refreshError="1"/>
      <sheetData sheetId="131">
        <row r="4">
          <cell r="B4">
            <v>0</v>
          </cell>
        </row>
      </sheetData>
      <sheetData sheetId="132"/>
      <sheetData sheetId="133"/>
      <sheetData sheetId="134"/>
      <sheetData sheetId="135"/>
      <sheetData sheetId="136"/>
      <sheetData sheetId="137"/>
      <sheetData sheetId="138"/>
      <sheetData sheetId="139"/>
      <sheetData sheetId="140"/>
      <sheetData sheetId="141">
        <row r="4">
          <cell r="B4">
            <v>0</v>
          </cell>
        </row>
      </sheetData>
      <sheetData sheetId="142"/>
      <sheetData sheetId="143"/>
      <sheetData sheetId="144"/>
      <sheetData sheetId="145"/>
      <sheetData sheetId="146"/>
      <sheetData sheetId="147"/>
      <sheetData sheetId="148"/>
      <sheetData sheetId="149"/>
      <sheetData sheetId="150"/>
      <sheetData sheetId="151">
        <row r="4">
          <cell r="B4">
            <v>0</v>
          </cell>
        </row>
      </sheetData>
      <sheetData sheetId="152"/>
      <sheetData sheetId="153"/>
      <sheetData sheetId="154"/>
      <sheetData sheetId="155"/>
      <sheetData sheetId="156"/>
      <sheetData sheetId="157"/>
      <sheetData sheetId="158"/>
      <sheetData sheetId="159"/>
      <sheetData sheetId="160"/>
      <sheetData sheetId="161">
        <row r="4">
          <cell r="B4">
            <v>0</v>
          </cell>
        </row>
      </sheetData>
      <sheetData sheetId="162"/>
      <sheetData sheetId="163"/>
      <sheetData sheetId="164"/>
      <sheetData sheetId="165"/>
      <sheetData sheetId="166"/>
      <sheetData sheetId="167"/>
      <sheetData sheetId="168"/>
      <sheetData sheetId="169"/>
      <sheetData sheetId="170"/>
      <sheetData sheetId="171" refreshError="1"/>
      <sheetData sheetId="172"/>
      <sheetData sheetId="173"/>
      <sheetData sheetId="174"/>
      <sheetData sheetId="175"/>
      <sheetData sheetId="176"/>
      <sheetData sheetId="177"/>
      <sheetData sheetId="178"/>
      <sheetData sheetId="179"/>
      <sheetData sheetId="180"/>
      <sheetData sheetId="181" refreshError="1"/>
      <sheetData sheetId="182"/>
      <sheetData sheetId="183"/>
      <sheetData sheetId="184"/>
      <sheetData sheetId="185"/>
      <sheetData sheetId="186"/>
      <sheetData sheetId="187"/>
      <sheetData sheetId="188"/>
      <sheetData sheetId="189"/>
      <sheetData sheetId="190"/>
      <sheetData sheetId="191">
        <row r="4">
          <cell r="B4" t="str">
            <v/>
          </cell>
        </row>
      </sheetData>
      <sheetData sheetId="192"/>
      <sheetData sheetId="193"/>
      <sheetData sheetId="194"/>
      <sheetData sheetId="195"/>
      <sheetData sheetId="196" refreshError="1"/>
      <sheetData sheetId="197" refreshError="1"/>
      <sheetData sheetId="198" refreshError="1"/>
      <sheetData sheetId="199" refreshError="1"/>
      <sheetData sheetId="20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CIOS"/>
      <sheetName val="Base_Datos1"/>
      <sheetName val="Presupuesto_DES21"/>
      <sheetName val="Presupuesto"/>
      <sheetName val="1,1"/>
      <sheetName val="1_21"/>
      <sheetName val="2,1"/>
      <sheetName val="2,2"/>
      <sheetName val="2,3"/>
      <sheetName val="2,4"/>
      <sheetName val="2,5"/>
      <sheetName val="2,6"/>
      <sheetName val="2,7"/>
      <sheetName val="2,8"/>
      <sheetName val="2,9"/>
      <sheetName val="2,10"/>
      <sheetName val="2,11"/>
      <sheetName val="2,12"/>
      <sheetName val="2,13"/>
      <sheetName val="2,14"/>
      <sheetName val="2,15"/>
      <sheetName val="2,16"/>
      <sheetName val="3,1"/>
      <sheetName val="3,2"/>
      <sheetName val="3,3"/>
      <sheetName val="3,4"/>
      <sheetName val="3,5"/>
      <sheetName val="3,6"/>
      <sheetName val="3,7"/>
      <sheetName val="3,8"/>
      <sheetName val="3,9"/>
      <sheetName val="3,10"/>
      <sheetName val="3,11"/>
      <sheetName val="3,12"/>
      <sheetName val="3,13"/>
      <sheetName val="C123_1"/>
      <sheetName val="M14"/>
      <sheetName val="Programación"/>
      <sheetName val="Flujo_de_Fondos1"/>
      <sheetName val="Compilad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Base_Datos"/>
      <sheetName val="Presupuesto_DES2"/>
      <sheetName val="1_2"/>
      <sheetName val="C123_"/>
      <sheetName val="Flujo_de_Fondos"/>
      <sheetName val="Base_Datos2"/>
      <sheetName val="Presupuesto_DES22"/>
      <sheetName val="1_22"/>
      <sheetName val="C123_2"/>
      <sheetName val="Flujo_de_Fondos2"/>
      <sheetName val="Base_Datos3"/>
      <sheetName val="Presupuesto_DES23"/>
      <sheetName val="1_23"/>
      <sheetName val="C123_3"/>
      <sheetName val="Flujo_de_Fondos3"/>
      <sheetName val="Base_Datos4"/>
      <sheetName val="Presupuesto_DES24"/>
      <sheetName val="1_24"/>
      <sheetName val="C123_4"/>
      <sheetName val="Flujo_de_Fondos4"/>
      <sheetName val="Base_Datos5"/>
      <sheetName val="Presupuesto_DES25"/>
      <sheetName val="1_25"/>
      <sheetName val="C123_5"/>
      <sheetName val="Flujo_de_Fondos5"/>
      <sheetName val="Base Datos"/>
      <sheetName val="Presupuesto DES2"/>
      <sheetName val="1.2"/>
      <sheetName val="C123 "/>
      <sheetName val="Flujo de Fondos"/>
      <sheetName val="Base_Datos8"/>
      <sheetName val="Presupuesto_DES28"/>
      <sheetName val="1_28"/>
      <sheetName val="C123_8"/>
      <sheetName val="Flujo_de_Fondos8"/>
      <sheetName val="Base_Datos6"/>
      <sheetName val="Presupuesto_DES26"/>
      <sheetName val="1_26"/>
      <sheetName val="C123_6"/>
      <sheetName val="Flujo_de_Fondos6"/>
      <sheetName val="Base_Datos7"/>
      <sheetName val="Presupuesto_DES27"/>
      <sheetName val="1_27"/>
      <sheetName val="C123_7"/>
      <sheetName val="Flujo_de_Fondos7"/>
      <sheetName val="Base_Datos9"/>
      <sheetName val="Presupuesto_DES29"/>
      <sheetName val="1_29"/>
      <sheetName val="C123_9"/>
      <sheetName val="Flujo_de_Fondos9"/>
      <sheetName val="Base_Datos10"/>
      <sheetName val="Presupuesto_DES210"/>
      <sheetName val="1_210"/>
      <sheetName val="C123_10"/>
      <sheetName val="Flujo_de_Fondos10"/>
      <sheetName val="Base_Datos12"/>
      <sheetName val="Presupuesto_DES212"/>
      <sheetName val="1_212"/>
      <sheetName val="C123_12"/>
      <sheetName val="Flujo_de_Fondos12"/>
      <sheetName val="Base_Datos11"/>
      <sheetName val="Presupuesto_DES211"/>
      <sheetName val="1_211"/>
      <sheetName val="C123_11"/>
      <sheetName val="Flujo_de_Fondos11"/>
    </sheetNames>
    <sheetDataSet>
      <sheetData sheetId="0"/>
      <sheetData sheetId="1"/>
      <sheetData sheetId="2">
        <row r="4">
          <cell r="B4">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ow r="4">
          <cell r="B4">
            <v>0</v>
          </cell>
        </row>
      </sheetData>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4">
          <cell r="B4">
            <v>0</v>
          </cell>
        </row>
      </sheetData>
      <sheetData sheetId="92"/>
      <sheetData sheetId="93"/>
      <sheetData sheetId="94"/>
      <sheetData sheetId="95"/>
      <sheetData sheetId="96">
        <row r="4">
          <cell r="B4">
            <v>0</v>
          </cell>
        </row>
      </sheetData>
      <sheetData sheetId="97"/>
      <sheetData sheetId="98"/>
      <sheetData sheetId="99"/>
      <sheetData sheetId="100"/>
      <sheetData sheetId="101">
        <row r="4">
          <cell r="B4">
            <v>0</v>
          </cell>
        </row>
      </sheetData>
      <sheetData sheetId="102"/>
      <sheetData sheetId="103"/>
      <sheetData sheetId="104"/>
      <sheetData sheetId="105"/>
      <sheetData sheetId="106" refreshError="1"/>
      <sheetData sheetId="107" refreshError="1"/>
      <sheetData sheetId="108" refreshError="1"/>
      <sheetData sheetId="109" refreshError="1"/>
      <sheetData sheetId="110" refreshError="1"/>
      <sheetData sheetId="111">
        <row r="4">
          <cell r="B4">
            <v>0</v>
          </cell>
        </row>
      </sheetData>
      <sheetData sheetId="112"/>
      <sheetData sheetId="113"/>
      <sheetData sheetId="114"/>
      <sheetData sheetId="115"/>
      <sheetData sheetId="116">
        <row r="4">
          <cell r="B4" t="str">
            <v xml:space="preserve"> </v>
          </cell>
        </row>
        <row r="11">
          <cell r="B11">
            <v>0.93</v>
          </cell>
        </row>
      </sheetData>
      <sheetData sheetId="117"/>
      <sheetData sheetId="118"/>
      <sheetData sheetId="119"/>
      <sheetData sheetId="120"/>
      <sheetData sheetId="121">
        <row r="4">
          <cell r="B4">
            <v>0</v>
          </cell>
        </row>
      </sheetData>
      <sheetData sheetId="122"/>
      <sheetData sheetId="123"/>
      <sheetData sheetId="124"/>
      <sheetData sheetId="125"/>
      <sheetData sheetId="126">
        <row r="4">
          <cell r="B4">
            <v>0</v>
          </cell>
        </row>
      </sheetData>
      <sheetData sheetId="127"/>
      <sheetData sheetId="128"/>
      <sheetData sheetId="129"/>
      <sheetData sheetId="130"/>
      <sheetData sheetId="131">
        <row r="4">
          <cell r="B4">
            <v>0</v>
          </cell>
        </row>
      </sheetData>
      <sheetData sheetId="132"/>
      <sheetData sheetId="133"/>
      <sheetData sheetId="134"/>
      <sheetData sheetId="135"/>
      <sheetData sheetId="136">
        <row r="4">
          <cell r="B4">
            <v>0</v>
          </cell>
        </row>
      </sheetData>
      <sheetData sheetId="137"/>
      <sheetData sheetId="138"/>
      <sheetData sheetId="139"/>
      <sheetData sheetId="140"/>
      <sheetData sheetId="141" refreshError="1"/>
      <sheetData sheetId="142"/>
      <sheetData sheetId="143"/>
      <sheetData sheetId="144"/>
      <sheetData sheetId="145"/>
      <sheetData sheetId="146" refreshError="1"/>
      <sheetData sheetId="147"/>
      <sheetData sheetId="148"/>
      <sheetData sheetId="149"/>
      <sheetData sheetId="150"/>
      <sheetData sheetId="151">
        <row r="4">
          <cell r="B4" t="str">
            <v/>
          </cell>
        </row>
      </sheetData>
      <sheetData sheetId="152"/>
      <sheetData sheetId="153"/>
      <sheetData sheetId="154"/>
      <sheetData sheetId="155"/>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 val="CANT_PAV-1"/>
      <sheetName val="CANT_PAV-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sheetData sheetId="10"/>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Est y Dis"/>
      <sheetName val="Fondo Ensayos"/>
      <sheetName val="Obra puente"/>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MEMORIAS"/>
      <sheetName val="DATOS DE ENTRADA"/>
      <sheetName val="Datos básicos"/>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Est_y_Dis4"/>
      <sheetName val="Fondo_Ensayos4"/>
      <sheetName val="Obra_puente4"/>
      <sheetName val="Fondo_Ajustes4"/>
      <sheetName val="FACTOR_MULTIPLICADOR4"/>
      <sheetName val="Datos_Generales4"/>
      <sheetName val="APU_ANTICORROSIVO4"/>
      <sheetName val="APU_LIMPIEZA_Y_PINTURA4"/>
      <sheetName val="APU_REFUERZOS4"/>
      <sheetName val="APU_ADECUACIÓN_PASAMANOS4"/>
      <sheetName val="APU_DESMONTE_BARANDA4"/>
      <sheetName val="APU_REINSTALACIÓN_BARANDA4"/>
      <sheetName val="APU_BARANDA_NUEVA4"/>
      <sheetName val="APU_PINTURA_BARANDA4"/>
      <sheetName val="APU_CONCRETO_-_METALDECK4"/>
      <sheetName val="Est_y_Dis2"/>
      <sheetName val="Fondo_Ensayos2"/>
      <sheetName val="Obra_puente2"/>
      <sheetName val="Fondo_Ajustes2"/>
      <sheetName val="FACTOR_MULTIPLICADOR2"/>
      <sheetName val="Datos_Generales2"/>
      <sheetName val="APU_ANTICORROSIVO2"/>
      <sheetName val="APU_LIMPIEZA_Y_PINTURA2"/>
      <sheetName val="APU_REFUERZOS2"/>
      <sheetName val="APU_ADECUACIÓN_PASAMANOS2"/>
      <sheetName val="APU_DESMONTE_BARANDA2"/>
      <sheetName val="APU_REINSTALACIÓN_BARANDA2"/>
      <sheetName val="APU_BARANDA_NUEVA2"/>
      <sheetName val="APU_PINTURA_BARANDA2"/>
      <sheetName val="APU_CONCRETO_-_METALDECK2"/>
      <sheetName val="Est_y_Dis3"/>
      <sheetName val="Fondo_Ensayos3"/>
      <sheetName val="Obra_puente3"/>
      <sheetName val="Fondo_Ajustes3"/>
      <sheetName val="FACTOR_MULTIPLICADOR3"/>
      <sheetName val="Datos_Generales3"/>
      <sheetName val="APU_ANTICORROSIVO3"/>
      <sheetName val="APU_LIMPIEZA_Y_PINTURA3"/>
      <sheetName val="APU_REFUERZOS3"/>
      <sheetName val="APU_ADECUACIÓN_PASAMANOS3"/>
      <sheetName val="APU_DESMONTE_BARANDA3"/>
      <sheetName val="APU_REINSTALACIÓN_BARANDA3"/>
      <sheetName val="APU_BARANDA_NUEVA3"/>
      <sheetName val="APU_PINTURA_BARANDA3"/>
      <sheetName val="APU_CONCRETO_-_METALDECK3"/>
      <sheetName val="Est_y_Dis5"/>
      <sheetName val="Fondo_Ensayos5"/>
      <sheetName val="Obra_puente5"/>
      <sheetName val="Fondo_Ajustes5"/>
      <sheetName val="FACTOR_MULTIPLICADOR5"/>
      <sheetName val="Datos_Generales5"/>
      <sheetName val="APU_ANTICORROSIVO5"/>
      <sheetName val="APU_LIMPIEZA_Y_PINTURA5"/>
      <sheetName val="APU_REFUERZOS5"/>
      <sheetName val="APU_ADECUACIÓN_PASAMANOS5"/>
      <sheetName val="APU_DESMONTE_BARANDA5"/>
      <sheetName val="APU_REINSTALACIÓN_BARANDA5"/>
      <sheetName val="APU_BARANDA_NUEVA5"/>
      <sheetName val="APU_PINTURA_BARANDA5"/>
      <sheetName val="APU_CONCRETO_-_METALDECK5"/>
      <sheetName val="Est_y_Dis6"/>
      <sheetName val="Fondo_Ensayos6"/>
      <sheetName val="Obra_puente6"/>
      <sheetName val="Fondo_Ajustes6"/>
      <sheetName val="FACTOR_MULTIPLICADOR6"/>
      <sheetName val="Datos_Generales6"/>
      <sheetName val="APU_ANTICORROSIVO6"/>
      <sheetName val="APU_LIMPIEZA_Y_PINTURA6"/>
      <sheetName val="APU_REFUERZOS6"/>
      <sheetName val="APU_ADECUACIÓN_PASAMANOS6"/>
      <sheetName val="APU_DESMONTE_BARANDA6"/>
      <sheetName val="APU_REINSTALACIÓN_BARANDA6"/>
      <sheetName val="APU_BARANDA_NUEVA6"/>
      <sheetName val="APU_PINTURA_BARANDA6"/>
      <sheetName val="APU_CONCRETO_-_METALDECK6"/>
      <sheetName val="Est_y_Dis7"/>
      <sheetName val="Fondo_Ensayos7"/>
      <sheetName val="Obra_puente7"/>
      <sheetName val="Fondo_Ajustes7"/>
      <sheetName val="FACTOR_MULTIPLICADOR7"/>
      <sheetName val="Datos_Generales7"/>
      <sheetName val="APU_ANTICORROSIVO7"/>
      <sheetName val="APU_LIMPIEZA_Y_PINTURA7"/>
      <sheetName val="APU_REFUERZOS7"/>
      <sheetName val="APU_ADECUACIÓN_PASAMANOS7"/>
      <sheetName val="APU_DESMONTE_BARANDA7"/>
      <sheetName val="APU_REINSTALACIÓN_BARANDA7"/>
      <sheetName val="APU_BARANDA_NUEVA7"/>
      <sheetName val="APU_PINTURA_BARANDA7"/>
      <sheetName val="APU_CONCRETO_-_METALDECK7"/>
    </sheetNames>
    <sheetDataSet>
      <sheetData sheetId="0">
        <row r="105">
          <cell r="J105">
            <v>0.2394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P."/>
      <sheetName val="original_sist"/>
      <sheetName val="Hoja3"/>
      <sheetName val="DATOS"/>
      <sheetName val="Gener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mat"/>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Equ"/>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Base Datos"/>
      <sheetName val="C122"/>
      <sheetName val="Compilado"/>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C123"/>
      <sheetName val="M14"/>
      <sheetName val="C124"/>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DESCAPOTE"/>
      <sheetName val="RELL"/>
      <sheetName val="SOLADO"/>
      <sheetName val="CICLO"/>
      <sheetName val="VIGACIMENTA"/>
      <sheetName val="VIGADINTEL"/>
      <sheetName val="COL2020"/>
      <sheetName val="ZAP"/>
      <sheetName val="PISOGRES"/>
      <sheetName val="PUERTA"/>
      <sheetName val="VENTANA"/>
      <sheetName val="CUBIERTA"/>
      <sheetName val="ACERO"/>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1.3"/>
      <sheetName val="Programación"/>
      <sheetName val="Presupuesto (2)"/>
      <sheetName val="Presupuesto "/>
      <sheetName val="8.3"/>
      <sheetName val="9.2"/>
      <sheetName val="12.2"/>
      <sheetName val="12.3"/>
      <sheetName val="13.1"/>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ACEROS"/>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CERRAMIENTO"/>
      <sheetName val="ACERO REF"/>
      <sheetName val="BORDILLO"/>
      <sheetName val="PLACA E 0.08"/>
      <sheetName val="PLACA E 0.1"/>
      <sheetName val="EXCV"/>
      <sheetName val="LOC Y REP"/>
      <sheetName val="LOCAL1"/>
      <sheetName val="PRECIOS REF"/>
      <sheetName val="M15"/>
      <sheetName val="M13"/>
      <sheetName val="M12"/>
      <sheetName val="CONCRET"/>
      <sheetName val="MANO OBRA"/>
      <sheetName val="PROG TRAB (2)"/>
      <sheetName val="Compensada"/>
      <sheetName val="CUBS"/>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ACERO DE REF"/>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exc. manual"/>
      <sheetName val="Pres gral"/>
      <sheetName val="loc. replanteo"/>
      <sheetName val="List Equ"/>
      <sheetName val="localizacion topografica"/>
      <sheetName val="List mat"/>
      <sheetName val="PRESENTACIÓN"/>
      <sheetName val="List M.O."/>
      <sheetName val="M1,5"/>
      <sheetName val="M1,4"/>
      <sheetName val="M1,3"/>
      <sheetName val="M1,2"/>
      <sheetName val="C1,2,4"/>
      <sheetName val="C1,2,3"/>
      <sheetName val="C1,2,2"/>
      <sheetName val="localizacion y replanteo"/>
      <sheetName val="concreto3000psi"/>
      <sheetName val="concreto2500psi"/>
      <sheetName val="concreto pobre 1,3,6"/>
      <sheetName val="mortero básico"/>
      <sheetName val="1.1.1"/>
      <sheetName val="1.1.2"/>
      <sheetName val="1.1.3"/>
      <sheetName val="1.1.4"/>
      <sheetName val="1.1.5"/>
      <sheetName val="1.1.6"/>
      <sheetName val="2.3"/>
      <sheetName val="2.4"/>
      <sheetName val="2.5"/>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M 1.4"/>
      <sheetName val="M 1.3"/>
      <sheetName val="C 1.2.4 "/>
      <sheetName val="C1.2.3"/>
      <sheetName val="1,01"/>
      <sheetName val="1,02"/>
      <sheetName val="1,03"/>
      <sheetName val="1,04"/>
      <sheetName val="1,05"/>
      <sheetName val="1,06"/>
      <sheetName val="1,07"/>
      <sheetName val="1,08"/>
      <sheetName val="1,10"/>
      <sheetName val="M1,4 (2)"/>
      <sheetName val="q"/>
      <sheetName val="w"/>
      <sheetName val="3,08"/>
      <sheetName val="3,07"/>
      <sheetName val="3,06"/>
      <sheetName val="3,05"/>
      <sheetName val="3,04"/>
      <sheetName val="3,03"/>
      <sheetName val="3,02"/>
      <sheetName val="3,01"/>
      <sheetName val="2,00"/>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305"/>
      <sheetName val="303"/>
      <sheetName val="302"/>
      <sheetName val="301"/>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19"/>
      <sheetName val="218"/>
      <sheetName val="217"/>
      <sheetName val="216"/>
      <sheetName val="215"/>
      <sheetName val="214"/>
      <sheetName val="213"/>
      <sheetName val="212"/>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88"/>
      <sheetName val="187"/>
      <sheetName val="186"/>
      <sheetName val="185"/>
      <sheetName val="182"/>
      <sheetName val="176"/>
      <sheetName val="174"/>
      <sheetName val="173"/>
      <sheetName val="172"/>
      <sheetName val="170"/>
      <sheetName val="169"/>
      <sheetName val="16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Hoja15"/>
      <sheetName val="Pres gral (2)"/>
      <sheetName val="36 (2)"/>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47,,3"/>
      <sheetName val="638"/>
      <sheetName val="660"/>
      <sheetName val="659"/>
      <sheetName val="658"/>
      <sheetName val="657"/>
      <sheetName val="656"/>
      <sheetName val="655"/>
      <sheetName val="654"/>
      <sheetName val="653"/>
      <sheetName val="649"/>
      <sheetName val="645"/>
      <sheetName val="644"/>
      <sheetName val="687"/>
      <sheetName val="686"/>
      <sheetName val="685"/>
      <sheetName val="684"/>
      <sheetName val="683"/>
      <sheetName val="680"/>
      <sheetName val="679"/>
      <sheetName val="678"/>
      <sheetName val="677"/>
      <sheetName val="675"/>
      <sheetName val="673"/>
      <sheetName val="670"/>
      <sheetName val="669"/>
      <sheetName val="668"/>
      <sheetName val="667"/>
      <sheetName val="666"/>
      <sheetName val="665"/>
      <sheetName val="663"/>
      <sheetName val="664"/>
      <sheetName val="662"/>
      <sheetName val="661"/>
      <sheetName val="688"/>
      <sheetName val="List Equ (2)"/>
      <sheetName val="PRESE"/>
      <sheetName val="CORPOR"/>
      <sheetName val="ANTECED"/>
      <sheetName val="TRANSP"/>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PREESF."/>
      <sheetName val="JUNTAS PTES"/>
      <sheetName val="ESTR. ACERO"/>
      <sheetName val="TUBERIA REF"/>
      <sheetName val="DISIPADOR"/>
      <sheetName val="FILTROS"/>
      <sheetName val="MARCA VIAL"/>
      <sheetName val="OBRAS VARIAS"/>
      <sheetName val="TRANSPORTE"/>
      <sheetName val="ESPECIALES"/>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Macros"/>
      <sheetName val="ATW"/>
      <sheetName val="Lock"/>
      <sheetName val="Select Employee"/>
      <sheetName val="TemplateInformation"/>
      <sheetName val="PRESUPUESTO LICITACIÓN SRN 001"/>
      <sheetName val="SRN_005"/>
      <sheetName val="Base_Datos1"/>
      <sheetName val="Base_Datos"/>
      <sheetName val="Base_Datos2"/>
      <sheetName val="F-3 ACTA COMPROMISO"/>
      <sheetName val="APu1"/>
      <sheetName val="APu2"/>
      <sheetName val="APu3"/>
      <sheetName val="APu4"/>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5.3"/>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CUADRILLA"/>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CANTIDADES DE OBRA"/>
      <sheetName val="DESPIECE REDES"/>
      <sheetName val="4.1 EBAC"/>
      <sheetName val="4.2 IMPULSION"/>
      <sheetName val="4.3 CONDUCCION"/>
      <sheetName val="4.4 TANQUES"/>
      <sheetName val="4.6 REDES"/>
      <sheetName val="4.7 RESUMEN"/>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ADICIONAL X  604"/>
      <sheetName val="ADIC.X 604 DEF."/>
      <sheetName val="4,5"/>
      <sheetName val="4,6"/>
      <sheetName val="4,7"/>
      <sheetName val="4,8"/>
      <sheetName val="4,9"/>
      <sheetName val="4,10"/>
      <sheetName val="5,5"/>
      <sheetName val="6,7"/>
      <sheetName val="9,6"/>
      <sheetName val="9,7"/>
      <sheetName val="10,1,1"/>
      <sheetName val="10,1,2"/>
      <sheetName val="10,1,3"/>
      <sheetName val="10,1,4"/>
      <sheetName val="10,1,5"/>
      <sheetName val="10,1,6"/>
      <sheetName val="10,1,7"/>
      <sheetName val="10,1,8"/>
      <sheetName val="10,1,9"/>
      <sheetName val="10,1,10"/>
      <sheetName val="10,1,11"/>
      <sheetName val="10,1,12"/>
      <sheetName val="10,1,13"/>
      <sheetName val="10,2,1"/>
      <sheetName val="10,2,2"/>
      <sheetName val="10,2,3"/>
      <sheetName val="10,3,1"/>
      <sheetName val="10,3,2"/>
      <sheetName val="10,4,1"/>
      <sheetName val="10,4,2"/>
      <sheetName val="10,4,3"/>
      <sheetName val="10,4,4"/>
      <sheetName val="10,5,1"/>
      <sheetName val="10,5,2"/>
      <sheetName val="10,5,3"/>
      <sheetName val="10,5,4"/>
      <sheetName val="10,5,5"/>
      <sheetName val="10,6,1"/>
      <sheetName val="10,6,2"/>
      <sheetName val="10,6,3"/>
      <sheetName val="10,6,4"/>
      <sheetName val="10,7,1"/>
      <sheetName val="10,7,2"/>
      <sheetName val="10,8,1"/>
      <sheetName val="12,6"/>
      <sheetName val="MORT.1.4"/>
      <sheetName val="MORT.1.3"/>
      <sheetName val="CONC.1500"/>
      <sheetName val="CONC.3000"/>
      <sheetName val="ORIG. + ADIC. x 2104"/>
      <sheetName val="MODIF. CONTRATO 132 DEL 2011"/>
      <sheetName val="14,5"/>
      <sheetName val="14,6"/>
      <sheetName val="14,7"/>
      <sheetName val="14,8"/>
      <sheetName val="14,9"/>
      <sheetName val="PreDES"/>
      <sheetName val="Ba Da"/>
      <sheetName val="PRESP.JJR2006"/>
      <sheetName val="MODIFICATORIO"/>
      <sheetName val="ACTA MODIFICATORIA"/>
      <sheetName val="ACTA PARCIAL"/>
      <sheetName val="1 (2)"/>
      <sheetName val="2 (2)"/>
      <sheetName val="2 (3)"/>
      <sheetName val="2 (4)"/>
      <sheetName val="6 (5)"/>
      <sheetName val="6 (3)"/>
      <sheetName val="6 (4)"/>
      <sheetName val="7(1)"/>
      <sheetName val="8 (2)"/>
      <sheetName val="9 (2)"/>
      <sheetName val="9 (3)"/>
      <sheetName val="10 (2)"/>
      <sheetName val="10 (3)"/>
      <sheetName val="11 (2)"/>
      <sheetName val="11 (3)"/>
      <sheetName val="11 (12)"/>
      <sheetName val="11 (4)"/>
      <sheetName val="11 (5)"/>
      <sheetName val="11 (6)"/>
      <sheetName val="11 (7)"/>
      <sheetName val="11 (8)"/>
      <sheetName val="11 (13)"/>
      <sheetName val="11 (9)"/>
      <sheetName val="11 (10)"/>
      <sheetName val="11 (15)"/>
      <sheetName val="11 (11)"/>
      <sheetName val="11 (14)"/>
      <sheetName val="16 (2)"/>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BDATOS"/>
      <sheetName val="V.R. 13 AL 26 MAR"/>
      <sheetName val="B.A. 13 AL 26 MAR"/>
      <sheetName val="L.M 10 AL 23 DE ABRIL"/>
      <sheetName val="V.R 10 AL 23 ABRIL"/>
      <sheetName val="J.CRUZ 10AL23 ABRIL"/>
      <sheetName val="J. BUELVAS 1-15 FEB"/>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interventoria"/>
      <sheetName val="Preacta N°5"/>
      <sheetName val="Base de Diseñ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resumen carcel x 16.7%"/>
      <sheetName val="resumen carcel "/>
      <sheetName val="resumen carcel con baño x 16.7%"/>
      <sheetName val="resumen carcel con baño"/>
      <sheetName val="Unitario "/>
      <sheetName val="Materiales "/>
      <sheetName val="Auxiliares "/>
      <sheetName val="Análisis de cuadrillas"/>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ANEXO"/>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XX-30"/>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antidades"/>
      <sheetName val="CntrlCantidades"/>
      <sheetName val="Graf_fondos"/>
      <sheetName val="%programado"/>
      <sheetName val="AVANCE"/>
      <sheetName val="curva_Avance"/>
      <sheetName val="ejecutivo"/>
      <sheetName val="Módulo2"/>
      <sheetName val="Módulo3"/>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Sheet3"/>
      <sheetName val="complete events"/>
      <sheetName val="Procedure."/>
      <sheetName val="Resumen Ventas"/>
      <sheetName val="Resumen Regalias"/>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Users\JoseGabriel\Documents\Mi"/>
      <sheetName val="2,01"/>
      <sheetName val="2,02"/>
      <sheetName val="2,03"/>
      <sheetName val="4,01"/>
      <sheetName val="4,02"/>
      <sheetName val="4,03"/>
      <sheetName val="4,04"/>
      <sheetName val="4,05"/>
      <sheetName val="4,06"/>
      <sheetName val="4,07"/>
      <sheetName val="4,08"/>
      <sheetName val="4,09"/>
      <sheetName val="4,11"/>
      <sheetName val="5,01"/>
      <sheetName val="6,01"/>
      <sheetName val="6,02"/>
      <sheetName val="Unitarios"/>
      <sheetName val="CRONOGRAMA Y FLUJO DE FONDOS"/>
      <sheetName val="TRANS-MO-EQUI"/>
      <sheetName val="APU ESTRUCTURAS"/>
      <sheetName val="APU REPLANTEO"/>
      <sheetName val="APU APOYOS MT"/>
      <sheetName val="APU APOYOS BT"/>
      <sheetName val="APU TRAFOS"/>
      <sheetName val="APU REDES"/>
      <sheetName val="APU OTROS"/>
      <sheetName val="CANTIDADES POR PLANO"/>
      <sheetName val="MATERIALES ELECTRICOS"/>
      <sheetName val="BASICOS"/>
      <sheetName val="MO"/>
      <sheetName val="HERR"/>
      <sheetName val="INDIRECTOS"/>
      <sheetName val="DITANCIAS"/>
      <sheetName val="DESCRIPCION"/>
      <sheetName val="2.6.2 Tabla No.1"/>
      <sheetName val="2.6.2 Tabla No.2"/>
      <sheetName val="2.6.2 Tabla No.3"/>
      <sheetName val="2.6.2 Tabla No.4"/>
      <sheetName val="2.6.2 Tabla No.5 "/>
      <sheetName val="2.6.2 Tabla No.6"/>
      <sheetName val="2.6.2 Tabla No.7"/>
      <sheetName val="2.6.2 Tabla No.8"/>
      <sheetName val="2.6.2 Tabla No.9"/>
      <sheetName val="2.6.2 Tabla No.10"/>
      <sheetName val="2.6.2 Tabla No.11"/>
      <sheetName val="2.6.2 Tabla No.12"/>
      <sheetName val="2.6.2 Tabla No.13"/>
      <sheetName val="2.6.2 Tabla No.14"/>
      <sheetName val="Trabajos específicos"/>
      <sheetName val="Salarios promigas"/>
      <sheetName val="localizacion (estructuras)"/>
      <sheetName val="640.3 "/>
      <sheetName val="NODOS"/>
      <sheetName val="TUBERIAS"/>
      <sheetName val="PPTO AREA URBANA"/>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EST0798"/>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6"/>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PLANO"/>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Graficos"/>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Informe"/>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General"/>
      <sheetName val="HHxACT"/>
      <sheetName val="HHxACT (2)"/>
      <sheetName val="RESUMEN PROYECTO"/>
      <sheetName val="RESUMEN ESP"/>
      <sheetName val="RESUMEN (2)"/>
      <sheetName val="ANX 1 RESUMEN GENERAL (2)"/>
      <sheetName val="OBRAS SEBASTOPOL "/>
      <sheetName val="OBRAS SANTA ROSA  (2)"/>
      <sheetName val="OBRAS SANTA ROSA"/>
      <sheetName val="Proyecc 30-Nov-12"/>
      <sheetName val="CONTRACTUAL"/>
      <sheetName val="MODIFICATORIO 1"/>
      <sheetName val="MODIFICATORIO 2"/>
      <sheetName val="AULAS"/>
      <sheetName val="PARCIAL 1"/>
      <sheetName val="PARCIAL 2 INTER"/>
      <sheetName val="PARCIAL 2 OBRA"/>
      <sheetName val="PARCIAL 3 OBRA"/>
      <sheetName val="TIEMPOS"/>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APU BASICOS"/>
      <sheetName val="CANTIDADES Y PRECIO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PPTO (VIEJO)"/>
      <sheetName val="CO"/>
      <sheetName val="PPTO"/>
      <sheetName val="LISTA APU"/>
      <sheetName val="MANUAL"/>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TARIF2002"/>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DISEÑO HIDROSANITARIO"/>
      <sheetName val="DISEÑO ELECTRICO"/>
      <sheetName val="OBRA EJECUTADA"/>
      <sheetName val="OBRA EJECUTADA POR CANCELAR"/>
      <sheetName val="OBRA A EJECUTAR"/>
      <sheetName val="BALANCE 1P INICIAL"/>
      <sheetName val="BALANCE 1P FINAL"/>
      <sheetName val="MDEO"/>
      <sheetName val="C-M-H"/>
      <sheetName val="ELECTRICO"/>
      <sheetName val="Vuelta"/>
      <sheetName val="Presupuesto_Via_distribuidora"/>
      <sheetName val="Presupuesto V2 "/>
      <sheetName val="Hoja6"/>
      <sheetName val="Hoja7"/>
      <sheetName val="Hoja10"/>
      <sheetName val="Hoja11"/>
      <sheetName val="Hoja12"/>
      <sheetName val="Hoja13"/>
      <sheetName val="Hoja14"/>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
      <sheetName val="armada"/>
      <sheetName val="RESUMEN ITEMS (2)"/>
      <sheetName val="RESUMEN ITEMS"/>
      <sheetName val="OBRAS"/>
      <sheetName val="drenaje"/>
      <sheetName val="protec"/>
      <sheetName val="ubicacion"/>
      <sheetName val="contenido"/>
      <sheetName val="PORTADAS"/>
      <sheetName val="INV"/>
      <sheetName val="AASHTO"/>
      <sheetName val="PROY ORIGINAL"/>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CUADBASI"/>
      <sheetName val="todos"/>
      <sheetName val="CONTROL AJUSTES"/>
      <sheetName val="Ind_SerieEmpcanasta gral y obra"/>
      <sheetName val="H de RUTA"/>
      <sheetName val="AFECTACION PRES"/>
      <sheetName val="DISTRIBUCIÓN"/>
      <sheetName val="ACTA DE MODIFICACION  (2)"/>
      <sheetName val="CONT_ADI"/>
      <sheetName val="EQALT"/>
      <sheetName val="anexo2"/>
      <sheetName val="CDItem"/>
      <sheetName val="BASES"/>
      <sheetName val="ARMENIA-CLUB DE TIRO"/>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Base_de_Diseño"/>
      <sheetName val="Ppto_total"/>
      <sheetName val="Resumen_tubería"/>
      <sheetName val="Tabla_4_1_Distrito_Nº1"/>
      <sheetName val="Tabla_4_2_Distrito_Nº2"/>
      <sheetName val="Tabal_4_3_Resumén_distritos"/>
      <sheetName val="Tabla_4_4_Sistemas"/>
      <sheetName val="Ppto_alcantarillado"/>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NALISIS BASICOS"/>
      <sheetName val="062"/>
      <sheetName val="062 (2)"/>
      <sheetName val="062_(2)"/>
      <sheetName val="INSUMOS (2)"/>
      <sheetName val="ITEM"/>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Recursos"/>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Sand Amount Calc"/>
      <sheetName val="Wash Pipe Tally"/>
      <sheetName val="SAND CALC HEIGHT-GRAFICA"/>
      <sheetName val="Risk A"/>
      <sheetName val="estimulacion "/>
      <sheetName val="CT &amp; N2"/>
      <sheetName val="fluidos"/>
      <sheetName val="Cementación"/>
      <sheetName val="PULI-3"/>
      <sheetName val="PULI-7"/>
      <sheetName val="PULI-7 WTF"/>
      <sheetName val="Chart2"/>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Jul 12 2005"/>
      <sheetName val="Costos_Apiay_Este_2"/>
      <sheetName val="surveys"/>
      <sheetName val="Plan view"/>
      <sheetName val="Vertical section"/>
      <sheetName val="BHA#4 STD"/>
      <sheetName val="Parameter Julio (12)"/>
      <sheetName val="Input details here"/>
      <sheetName val="1.Scorecard"/>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9. MLWD Performance Sp(1)"/>
      <sheetName val="19. MLWD Performance Eng(2)"/>
      <sheetName val="19. DD Performance Sp (3)"/>
      <sheetName val="19. DD Performance Eng (4)"/>
      <sheetName val="20. Wishlist"/>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bha#2"/>
      <sheetName val="bha#6"/>
      <sheetName val="bha#7"/>
      <sheetName val="bha#8"/>
      <sheetName val="Bit Records"/>
      <sheetName val="Rotación"/>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Tks"/>
      <sheetName val="Novedades"/>
      <sheetName val="Pruebas"/>
      <sheetName val="Quimicos"/>
      <sheetName val="Database"/>
      <sheetName val="Marché"/>
      <sheetName val="Slb"/>
      <sheetName val="Welltest"/>
      <sheetName val="Well Status"/>
      <sheetName val="BalSCHL"/>
      <sheetName val="BALSCHLAGUA-1"/>
      <sheetName val="Mto"/>
      <sheetName val="PPF"/>
      <sheetName val="Gas Skid"/>
      <sheetName val="Nom Gas ECOGAS"/>
      <sheetName val="Nomina Gas ECP"/>
      <sheetName val="Rep"/>
      <sheetName val="CURVA 1"/>
      <sheetName val="CAL2"/>
      <sheetName val="TK 482"/>
      <sheetName val="Module2"/>
      <sheetName val="DATA BASE HORA A HORA"/>
      <sheetName val="Reporte produccion Abanico 33 S"/>
      <sheetName val="Est. Mec. La Hocha"/>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INFORMATION"/>
      <sheetName val="CALCULATIONS"/>
      <sheetName val="RESULTS"/>
      <sheetName val="Module1"/>
      <sheetName val="SOLDADURA CBE 1093"/>
      <sheetName val="SOLDADURA CBE 1093 (2)"/>
      <sheetName val="PULLING PH-07-06-24-12-2010"/>
      <sheetName val="RS-FB-12 PH-07-06-24-12-2010 "/>
      <sheetName val="Running JAZ AD-02-24-12-2010"/>
      <sheetName val="RS-FB-12-JAZ AD-02-24-12-2010"/>
      <sheetName val="Resumido"/>
      <sheetName val="FBG-903,  LH-22- 8-01-2011"/>
      <sheetName val="FBG-903,  LH-22 29-11-2010"/>
      <sheetName val="SARTA PCP FINAL"/>
      <sheetName val="R.S. LC 2930- 17-OCT -11"/>
      <sheetName val="SOLDADURA LC-2930-"/>
      <sheetName val="FBG-903,  LH-19 06-01-2011"/>
      <sheetName val="RS. LH-19. PESCA. 07-01-2011"/>
      <sheetName val="DEFINITIVO LH-19 "/>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Gráfico1"/>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Tabla 5A"/>
      <sheetName val="LiquidarTK"/>
      <sheetName val="D.GUA.TK"/>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aCCIDENTES DE 19"/>
      <sheetName val="Form8_bombas"/>
      <sheetName val="Form8_h2"/>
      <sheetName val="Form8_lubricacion"/>
      <sheetName val="Form8_regeneracion"/>
      <sheetName val="tub"/>
      <sheetName val="val"/>
      <sheetName val="tub_lub"/>
      <sheetName val="pintura"/>
      <sheetName val="partidas_cant_tub_final_04"/>
      <sheetName val="PACC Contratacion"/>
      <sheetName val="Contratacion PME v021"/>
      <sheetName val="PREACTA No. 1 MAYO DE 2009"/>
      <sheetName val="Vr Ejecu Preacta No. 1 MAY 2009"/>
      <sheetName val="CAMBIA"/>
      <sheetName val="preac-1"/>
      <sheetName val="preac-2"/>
      <sheetName val="preac-3"/>
      <sheetName val="preac-8"/>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Valor ejecutado semanal"/>
      <sheetName val="4a Semana de Abril-09"/>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MEJORAMIENTO "/>
      <sheetName val="PIEDRA FILTRO"/>
      <sheetName val="POLVILLO"/>
      <sheetName val="ARENA DEL GUABO"/>
      <sheetName val="CRUDO"/>
      <sheetName val="Supuestos"/>
      <sheetName val="P&amp;G 2011"/>
      <sheetName val="FCL 2011"/>
      <sheetName val="Resumen General"/>
      <sheetName val="Hipotesi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VR-PROP MOD 1"/>
      <sheetName val="FORMULA"/>
      <sheetName val="PRECIO"/>
      <sheetName val="I M"/>
      <sheetName val="SOÑANDO"/>
      <sheetName val="EV 424 CON 5 (2)"/>
      <sheetName val="Precios no oficial"/>
      <sheetName val="OFERTA ECON"/>
      <sheetName val="\Users\aljipego\Downloads\Víncu"/>
      <sheetName val="COMPONENTE II"/>
      <sheetName val="CONSOLIDADO."/>
      <sheetName val="PtoOficial"/>
      <sheetName val="APU II"/>
      <sheetName val="Hora efectiva (base calendario)"/>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SALARIOS"/>
      <sheetName val="equipos1"/>
      <sheetName val="PRESOC"/>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LN5-CHC.4-7-SS7"/>
      <sheetName val="PRES_RES"/>
      <sheetName val="PRES_GEN"/>
      <sheetName val="ANALISIS DE CANTIDADES"/>
      <sheetName val="APU-2"/>
      <sheetName val="JUSTIFICACION AIU"/>
      <sheetName val="CRONOGRAMA DE OBRA"/>
      <sheetName val="COMPONENTES"/>
      <sheetName val="XComponentes"/>
      <sheetName val="XActividades"/>
      <sheetName val="Datos entrada"/>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INICIO"/>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Factores"/>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PROPUESTA PRESENTADA"/>
      <sheetName val="comparprecunit"/>
      <sheetName val="reversión"/>
      <sheetName val="(1)"/>
      <sheetName val="(2)"/>
      <sheetName val="(3)"/>
      <sheetName val="PROPUESTA"/>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HITO I (Fase I)"/>
      <sheetName val="Hito II (Actualización)"/>
      <sheetName val="PRESUPUESTO ORDEN DE SERVICIO"/>
      <sheetName val="Covid19 Consultoria"/>
      <sheetName val="INDICMICROEMP"/>
      <sheetName val="[aCCIDENTES DE 1995 - 1996.xls]"/>
      <sheetName val="Datos Básicos"/>
      <sheetName val="SUB APU"/>
      <sheetName val="OBRA"/>
      <sheetName val="factor (2)"/>
      <sheetName val="VentaMes"/>
      <sheetName val="Tecnicos"/>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APU PART"/>
      <sheetName val="PPTOS"/>
      <sheetName val="Borrable"/>
      <sheetName val="Analisis de Precios Unitarios A"/>
      <sheetName val="Analisis%20de%20Precios%20Unita"/>
      <sheetName val="APU_PART1"/>
      <sheetName val="A__P__U_1"/>
      <sheetName val="Analisis_de_Precios_Unitarios_1"/>
      <sheetName val="APU_PART"/>
      <sheetName val="A__P__U_"/>
      <sheetName val="Analisis_de_Precios_Unitarios_A"/>
      <sheetName val="AiuApoSaraBrut2000"/>
      <sheetName val="MA"/>
      <sheetName val="PT"/>
      <sheetName val="admon99"/>
      <sheetName val="nelson"/>
      <sheetName val="SALIDA"/>
      <sheetName val="glvc"/>
      <sheetName val="cyrb"/>
      <sheetName val="gapr"/>
      <sheetName val="Precios 08-arquit en proceso"/>
      <sheetName val="unit2008-ARQUIT EN PROCESO"/>
      <sheetName val="Precios 08-vias"/>
      <sheetName val="unit2008-VIAS"/>
      <sheetName val="Costo Real 2008"/>
      <sheetName val="ACEROS 60000 PSI"/>
      <sheetName val="RENDI"/>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Ppto EL COPEY"/>
      <sheetName val="bocatoma"/>
      <sheetName val="ANALISIS DE PRECIOS BASICOS"/>
      <sheetName val="PRESUPUESTO GENERAL"/>
      <sheetName val="P. MATERIAL A.C.T CER"/>
      <sheetName val="P. TOTALES"/>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G.G"/>
      <sheetName val="TIEMPO-TRAB"/>
      <sheetName val="COLILLAS"/>
      <sheetName val="CONSO-PERSON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 val="MES 1"/>
      <sheetName val="ACTAS DE OBRA"/>
      <sheetName val="ProgramaInversiones21"/>
      <sheetName val="ActaModif"/>
      <sheetName val="FR 19"/>
      <sheetName val="ActaModif DEF HA 6DIC"/>
      <sheetName val="ActaReciboParcial21 DEF HA 6dic"/>
      <sheetName val="ProgramaInversiones21 DEF HA 6d"/>
      <sheetName val="ActaReajuste21PROV DEF HA Dic06"/>
      <sheetName val="Ind_SerieEmpcanasta gral y  SEP"/>
      <sheetName val="CONTROL AJUST 20 DEF HA Dic06"/>
      <sheetName val="ActaReajuste20DEF DEF HA Dic06 "/>
      <sheetName val="ActaReajuste20DEF"/>
      <sheetName val="CONTROL AJUST 20"/>
      <sheetName val="ActaReajuste21PROV"/>
      <sheetName val="CONTROL AJUST 21"/>
      <sheetName val="ActaReciboParcial21"/>
      <sheetName val="PREACTA_LHS21"/>
      <sheetName val="PREACTA LHS"/>
      <sheetName val="PREACTA_CASS21"/>
      <sheetName val="resRoceria"/>
      <sheetName val="resDescapote"/>
      <sheetName val="resExplanacion"/>
      <sheetName val="resRemDerrumbes"/>
      <sheetName val="CONF-DEPOSITOS"/>
      <sheetName val="Trans a Botaderos"/>
      <sheetName val="resSubbase"/>
      <sheetName val="TranSubbase"/>
      <sheetName val="resBase"/>
      <sheetName val="TranBase"/>
      <sheetName val="resMezcla"/>
      <sheetName val="TranMezcla"/>
      <sheetName val="resExcVarMatComSec"/>
      <sheetName val="resExcVarROCASec"/>
      <sheetName val="resConcreD"/>
      <sheetName val="resConcreF"/>
      <sheetName val="resAcero60"/>
      <sheetName val="resCunetas"/>
      <sheetName val="resGeotex"/>
      <sheetName val="resMateFiltro"/>
      <sheetName val="resRemAlc"/>
      <sheetName val="resDemolEstru"/>
      <sheetName val="resEmpradiz"/>
      <sheetName val="resGeomalla"/>
      <sheetName val="resAfirmado"/>
      <sheetName val="TranAfirmado"/>
      <sheetName val="27060-27600"/>
      <sheetName val="27600-27990"/>
      <sheetName val="28000-28500"/>
      <sheetName val="31065 - 31085"/>
      <sheetName val=" EXC VAR 31065 - 31085"/>
      <sheetName val="roce y desc "/>
      <sheetName val="Explan"/>
      <sheetName val="sobreancho k45"/>
      <sheetName val="Sobreancho K44"/>
      <sheetName val="deposito 10"/>
      <sheetName val="deposito 7"/>
      <sheetName val="Empradiz"/>
      <sheetName val="ActaReajuste21DEF"/>
      <sheetName val="ActaReajuste22PROV"/>
      <sheetName val="CONTROL AJUST 22"/>
      <sheetName val="Reprogramacion22"/>
      <sheetName val="ActaReciboParcial22"/>
      <sheetName val="PREACTA_LHS22"/>
      <sheetName val="PREACTA_CASS22"/>
      <sheetName val="resRellenEstruc"/>
      <sheetName val="resTub900"/>
      <sheetName val="Reajuste23PROV"/>
      <sheetName val="Reajuste22DEF"/>
      <sheetName val="CONTROL AJUST 23"/>
      <sheetName val="Reprogramacion23"/>
      <sheetName val="ActaReciboParcial23"/>
      <sheetName val="PREACTA_LHS23"/>
      <sheetName val="PREACTA_CASS23"/>
      <sheetName val="resLineDemarContinua"/>
      <sheetName val="social encano"/>
      <sheetName val="27+830 - 30+700"/>
      <sheetName val="31+060 - 31+270"/>
      <sheetName val="RESUMEN FACTURACION"/>
      <sheetName val="RESUMEN AJUSTES"/>
      <sheetName val="H. Ruta Ajus-Prv 12)"/>
      <sheetName val="H. Ruta Acta 12"/>
      <sheetName val="ICCP-Agosto"/>
      <sheetName val="Acta de Ajuste N. 12 Def."/>
      <sheetName val="Acta de Ajuste N. 12 PROV  "/>
      <sheetName val="Acta N.12 - Septiemb"/>
      <sheetName val="Seguim-12"/>
      <sheetName val="Acta N.12 - Septiem (Lhs) "/>
      <sheetName val="Acta N.12 - Sept (Cass)"/>
      <sheetName val="1-Local y Rep. (LHS)"/>
      <sheetName val="1-Local y Rep. (CASS) "/>
      <sheetName val="2-Desmonte. (LHS)"/>
      <sheetName val="2-Desmonte. (CASS)"/>
      <sheetName val="3- Demolicion (CASS)"/>
      <sheetName val="3- Remocion de Alcan (CASS)"/>
      <sheetName val="5- Retiro de Cerca (LHS)"/>
      <sheetName val="5- Retiro de Cerca (CASS)"/>
      <sheetName val="6-Explanacion (LHS)"/>
      <sheetName val="6-Explanacion (CASS) "/>
      <sheetName val="10-Conformacion (LHS) "/>
      <sheetName val="10-Conformacion (CASS)"/>
      <sheetName val="Mant. Vial (CASS)"/>
      <sheetName val="PAV HIDRAULICO LHS"/>
      <sheetName val="14-Exc. Var.  (LHS) "/>
      <sheetName val="14-Exc. Var (CASS).  "/>
      <sheetName val="16-Exc. Bajo Agua (CASS). "/>
      <sheetName val="17-Relleno estruct (LHS) "/>
      <sheetName val="17, Rellenos Estr.(CASS)"/>
      <sheetName val="20, Ccto D (LHS) "/>
      <sheetName val="20, Ccto D (CASS)"/>
      <sheetName val="21, Ccto F (LHS) "/>
      <sheetName val="21, Ccto F (CASS)"/>
      <sheetName val="22, Ccto G (CASS)"/>
      <sheetName val="24, Acero de refuerzo (LHS)"/>
      <sheetName val="24, Acero de ref. (CASS) "/>
      <sheetName val="26, Tuberia (LHS)"/>
      <sheetName val="26, Tuberia (CASS)"/>
      <sheetName val="28, Geotextil (LHS)"/>
      <sheetName val="28, Mat. Filtrante (CASS) "/>
      <sheetName val="28, Mat. Cobertura (LHS) "/>
      <sheetName val="28, Mat. Filtrante (LHS) "/>
      <sheetName val="28, Geotextil (CASS)  ()"/>
      <sheetName val="41- Cerca de Alambre  (LHS)"/>
      <sheetName val="41- Cerca de Alambre  (CASS)"/>
      <sheetName val="42, Limp. Alcanta."/>
      <sheetName val="44-Transp. EX (LHS)"/>
      <sheetName val="44-Transp. -Ex (CASS)"/>
      <sheetName val="45- Mejoramiento (LHS)"/>
      <sheetName val="45- Mejoramiento (CASS)"/>
      <sheetName val="46-Base (LHS) "/>
      <sheetName val="46-Base (CASS)"/>
      <sheetName val="48, Geotextil (CASS) "/>
      <sheetName val="48- Geotextil (LHS) "/>
      <sheetName val="49, Geomalla (LHS)"/>
      <sheetName val="50 - Derrumbes"/>
      <sheetName val="CONVERSION "/>
      <sheetName val="Acta Modif-4"/>
      <sheetName val="Reprograma 4"/>
      <sheetName val="Hoja resumen"/>
      <sheetName val="CORTE EXPLANACION"/>
      <sheetName val="Localizacion"/>
      <sheetName val="REMOCION ALCANTARILLAS"/>
      <sheetName val="demolicion de estructuras"/>
      <sheetName val="Desmonte y Limpieza"/>
      <sheetName val="Excavacion de explanacion"/>
      <sheetName val="Confornmacion de Sobrantes"/>
      <sheetName val="cercas de alambre"/>
      <sheetName val="Geotextil para separacion de su"/>
      <sheetName val="Lleno de Cajeo "/>
      <sheetName val="Excavaciones varias"/>
      <sheetName val="Excavaciones en Roca"/>
      <sheetName val="Placa de concreto MR"/>
      <sheetName val="Material filtrante"/>
      <sheetName val="Material de Cobertura"/>
      <sheetName val="Geiotextil para Filtros"/>
      <sheetName val="Tuberia de 36"/>
      <sheetName val="Concreto D"/>
      <sheetName val="Relleno estructural"/>
      <sheetName val="Gavion"/>
      <sheetName val="prea pueblo rico"/>
      <sheetName val="Conformacion de Calzada existen"/>
      <sheetName val="Mejoramiento subrasante"/>
      <sheetName val="Geomalla Completa"/>
      <sheetName val="MejoR"/>
      <sheetName val="Limpieza alcantarillas"/>
      <sheetName val="Excavaciones en Roca 1"/>
      <sheetName val="derrumbes "/>
      <sheetName val="Gavion 2"/>
      <sheetName val="Mejoramiento de banca"/>
      <sheetName val="Cunetas tipo D"/>
      <sheetName val="preacta Unidas"/>
      <sheetName val="Excavacion de explanacion roca"/>
      <sheetName val="remocion de cercas"/>
      <sheetName val="ADICION MANTENIMIENTO"/>
      <sheetName val="CONFORMACION BANCA"/>
      <sheetName val="Excavacion en Roca"/>
      <sheetName val="Concreto TIPO G"/>
      <sheetName val="Instalacion de Cercas"/>
      <sheetName val="Mejor. inv. suelo existente"/>
      <sheetName val="TRANSPORTE DE DERRUMBES"/>
      <sheetName val="TRA. Derrumbes"/>
      <sheetName val="Maquinaria."/>
      <sheetName val="Jornales."/>
      <sheetName val="Tra. Mat. Adicion"/>
      <sheetName val="MEJORAMIENTO DE SRASANTE"/>
      <sheetName val="PRESUPUESTO OFICIAL TMQ"/>
      <sheetName val="PRESUPUESTO OFICIAL TCP"/>
      <sheetName val="presupuesto x kilometro"/>
      <sheetName val="Geotextil NT-4000"/>
      <sheetName val="Excavaciones Bajo Agua"/>
      <sheetName val="Geotextil para Filtros"/>
      <sheetName val="Geot. 4000"/>
      <sheetName val="Concreto C"/>
      <sheetName val="CONFORMACION DE BANCA"/>
      <sheetName val="Concreto F (2)"/>
      <sheetName val="TRANSPORTE 1"/>
      <sheetName val="TRANSPORTE  X ESTACION DE DERRU"/>
      <sheetName val="Mejoramiento suelo existente"/>
      <sheetName val="\Users\JoseGabriel\Downloads\Ví"/>
      <sheetName val="COMPROBANTE"/>
      <sheetName val="CAJAMENOR"/>
      <sheetName val="NOMINA"/>
      <sheetName val="BCO CENTRO"/>
      <sheetName val="BCO NTE(1)"/>
      <sheetName val="BCO NTE (2)"/>
      <sheetName val="ORDENPAGO"/>
      <sheetName val="RECIBOCAJA"/>
      <sheetName val="ESTADOCUENTA"/>
      <sheetName val="ORDENCOMPRA"/>
      <sheetName val="1,,6"/>
      <sheetName val="5,6"/>
      <sheetName val="5,7"/>
      <sheetName val="8.8"/>
      <sheetName val="8.9"/>
      <sheetName val="8.10"/>
      <sheetName val="8.11"/>
      <sheetName val="8.12"/>
      <sheetName val="8.13"/>
      <sheetName val="13,3"/>
      <sheetName val="13,4"/>
      <sheetName val="tomas"/>
      <sheetName val="GAB CONTROL"/>
      <sheetName val="sal lum"/>
      <sheetName val="Lum MH"/>
      <sheetName val="cel me di 2"/>
      <sheetName val="celd prot 2"/>
      <sheetName val="baj zunchada "/>
      <sheetName val="MT"/>
      <sheetName val="T2 INVENT MT"/>
      <sheetName val="T3 INVE BT"/>
      <sheetName val="x2"/>
      <sheetName val="x1"/>
      <sheetName val="$$$"/>
      <sheetName val="TR Sum"/>
      <sheetName val="Sub34.5 "/>
      <sheetName val="Sub 2"/>
      <sheetName val="MT (2)"/>
      <sheetName val="BT"/>
      <sheetName val="PT Ac. In"/>
      <sheetName val="Repra TR"/>
      <sheetName val="Lum"/>
      <sheetName val="RECLOSED"/>
      <sheetName val="RECONECTADOR"/>
      <sheetName val="LA320"/>
      <sheetName val="LA320 sin lonch"/>
      <sheetName val="LA321"/>
      <sheetName val="LA321 sin loch"/>
      <sheetName val="LA322"/>
      <sheetName val="LA324"/>
      <sheetName val="LA324 -1"/>
      <sheetName val="LA326"/>
      <sheetName val="LA327"/>
      <sheetName val="LA329"/>
      <sheetName val="LA336"/>
      <sheetName val="Lonchera"/>
      <sheetName val="cruce aereo"/>
      <sheetName val="3x2-0+1x1-0"/>
      <sheetName val="3x1-0+1x2"/>
      <sheetName val="3x2+1x4"/>
      <sheetName val="2x8"/>
      <sheetName val="AP 280"/>
      <sheetName val="CS 274"/>
      <sheetName val="CS -275"/>
      <sheetName val="CS 276 "/>
      <sheetName val="pt acero"/>
      <sheetName val="Barraje"/>
      <sheetName val="Empalmes"/>
      <sheetName val="2x14"/>
      <sheetName val="PUESTTIERRA BT"/>
      <sheetName val="RETIE"/>
      <sheetName val="AP"/>
      <sheetName val="PRESUPUESTO  V2 AET"/>
      <sheetName val="PRESUPUESTO  V2 DISEÑADOR"/>
      <sheetName val="INTERV AET"/>
      <sheetName val="INTERV DISEÑ"/>
      <sheetName val="RES"/>
      <sheetName val="CRON"/>
      <sheetName val="FLUJO"/>
      <sheetName val="MAQ (2)"/>
      <sheetName val="ALQ MAQ"/>
      <sheetName val="TUBOS"/>
      <sheetName val="EBI 1 de 7 "/>
      <sheetName val="EBI 2 de 7"/>
      <sheetName val="EBI 3 de 7"/>
      <sheetName val="EBI 4 de 7"/>
      <sheetName val="EBI 5 de 7"/>
      <sheetName val="EBI 6 de 7"/>
      <sheetName val="EBI 7 DE 7"/>
      <sheetName val="PE-01-A"/>
      <sheetName val="PE-05 (2)"/>
      <sheetName val="FF 4000"/>
      <sheetName val="FSEG ING Y EGR"/>
      <sheetName val="MAQ"/>
      <sheetName val="FSEG"/>
      <sheetName val="CRONOG"/>
      <sheetName val="cronogram"/>
      <sheetName val="7 (21)"/>
      <sheetName val="7 (20)"/>
      <sheetName val="7 (19)"/>
      <sheetName val="7 (18)"/>
      <sheetName val="26 (2)"/>
      <sheetName val="7 (17)"/>
      <sheetName val="7 (16)"/>
      <sheetName val="7 (15)"/>
      <sheetName val="7 (14)"/>
      <sheetName val="7 (13)"/>
      <sheetName val="7 (12)"/>
      <sheetName val="7 (11)"/>
      <sheetName val="7 (10)"/>
      <sheetName val="7 (9)"/>
      <sheetName val="7 (8)"/>
      <sheetName val="7 (7)"/>
      <sheetName val="7 (6)"/>
      <sheetName val="7 (5)"/>
      <sheetName val="7 (4)"/>
      <sheetName val="EXPERIENCIA PROFESIONALES (4)"/>
      <sheetName val="EXPERIENCIA PROFESIONALES (3)"/>
      <sheetName val="presentacion (2)"/>
      <sheetName val="COSTO TOTAL (2)"/>
      <sheetName val="R-514 (4)"/>
      <sheetName val="R-514 (3)"/>
      <sheetName val="presentacion (3)"/>
      <sheetName val="1 (3)"/>
      <sheetName val="F.P.S."/>
      <sheetName val="COSTO TOTAL"/>
      <sheetName val="4 (2)"/>
      <sheetName val="8 (13)"/>
      <sheetName val="17 (2)"/>
      <sheetName val="17 (3)"/>
      <sheetName val="17 (4)"/>
      <sheetName val="25 (5)"/>
      <sheetName val="25 (3)"/>
      <sheetName val="25 (4)"/>
      <sheetName val="7 (3)"/>
      <sheetName val="14 (5)"/>
      <sheetName val="14 (3)"/>
      <sheetName val="14 (4)"/>
      <sheetName val="14 (6)"/>
      <sheetName val="8 (3)"/>
      <sheetName val="16 (3)"/>
      <sheetName val="14 (7)"/>
      <sheetName val="17 (5)"/>
      <sheetName val="VILLA OLIMPICA"/>
      <sheetName val="UNITARIOS GENERALES"/>
      <sheetName val="PE_02"/>
      <sheetName val="Estruc_ Tarif"/>
      <sheetName val="5094-2003"/>
      <sheetName val="\Documents and Settings\Adminis"/>
      <sheetName val="UNITARIOS GENERALES.xls"/>
      <sheetName val="5. MODIFICATORIA"/>
      <sheetName val="letra"/>
      <sheetName val="\Users\Juan\Downloads\Users\USU"/>
      <sheetName val="\Users\user\Library\Mail Downlo"/>
      <sheetName val="CONS"/>
      <sheetName val="CRA.MODI"/>
      <sheetName val="\Cofinanciacion\FICHAS Y FORMAT"/>
      <sheetName val="\A\Cofinanciacion\FICHAS Y FORM"/>
      <sheetName val="F.M.  2.27 Interv (2013)"/>
      <sheetName val="SUPERV"/>
      <sheetName val="CONSULTORIA"/>
      <sheetName val="INTERVENTORIA SE YOPAL"/>
      <sheetName val="5.7"/>
      <sheetName val="8.4"/>
      <sheetName val="8.5"/>
      <sheetName val="8.6"/>
      <sheetName val="9.5"/>
      <sheetName val="9.6"/>
      <sheetName val="9.7"/>
      <sheetName val="9.8"/>
      <sheetName val="9.9"/>
      <sheetName val="9.10"/>
      <sheetName val="9.11"/>
      <sheetName val="9.12"/>
      <sheetName val="9.13"/>
      <sheetName val="9.14"/>
      <sheetName val="9.15"/>
      <sheetName val="9.16"/>
      <sheetName val="9.17"/>
      <sheetName val="9.18"/>
      <sheetName val="9.19"/>
      <sheetName val="9.20"/>
      <sheetName val="9.21"/>
      <sheetName val="9.22"/>
      <sheetName val="9.23"/>
      <sheetName val="PRESUPUESTO OBRA "/>
      <sheetName val="P (2)"/>
      <sheetName val="2-FIJACION1"/>
      <sheetName val="2-FIJACION1 (2)"/>
      <sheetName val="ACTA DE FIJACION DE PRECIOS"/>
      <sheetName val="bolardo"/>
      <sheetName val="POSTE AP"/>
      <sheetName val="tab conden"/>
      <sheetName val="tablero emer"/>
      <sheetName val="condensa"/>
      <sheetName val="MAREMARE"/>
      <sheetName val="INTERVENTORIA SE mare"/>
      <sheetName val="cadena"/>
      <sheetName val="MAREMARE (2)"/>
      <sheetName val="tablero (3)"/>
      <sheetName val="PROYECTO SE YOPAL (2)"/>
      <sheetName val="AIRES"/>
      <sheetName val="4X2 CU"/>
      <sheetName val="LOTEO"/>
      <sheetName val="PARQUE TAMARA"/>
      <sheetName val="internas"/>
      <sheetName val="Barraje (3)"/>
      <sheetName val="Barraje (2)"/>
      <sheetName val="00"/>
      <sheetName val="punta"/>
      <sheetName val="4x10+12"/>
      <sheetName val="UPS6"/>
      <sheetName val="PARQUE TAMARA (2)"/>
      <sheetName val="8X000"/>
      <sheetName val="250mcm"/>
      <sheetName val="0"/>
      <sheetName val="TR300KVA"/>
      <sheetName val="1&quot; y 3&quot; emt"/>
      <sheetName val="TABLEROS D"/>
      <sheetName val="TCAP"/>
      <sheetName val="3X8+10"/>
      <sheetName val="bajante1.5&quot;"/>
      <sheetName val="megacolegio"/>
      <sheetName val="PUNTA CAP"/>
      <sheetName val="PUESTTIERRAmejor (2)"/>
      <sheetName val="planta"/>
      <sheetName val="transfer"/>
      <sheetName val="ups15"/>
      <sheetName val="TGD"/>
      <sheetName val="celda trafo"/>
      <sheetName val="celda protec"/>
      <sheetName val="celda medida"/>
      <sheetName val="celda entrada"/>
      <sheetName val="premoldeado"/>
      <sheetName val="tab aisl"/>
      <sheetName val="potenc"/>
      <sheetName val="CAJA 40X40"/>
      <sheetName val="CURVAEMT"/>
      <sheetName val="EMT 0.5"/>
      <sheetName val="GABINETE"/>
      <sheetName val="PATCH"/>
      <sheetName val="TR160KVA"/>
      <sheetName val="1x4"/>
      <sheetName val="1x10"/>
      <sheetName val="2x48"/>
      <sheetName val="TOMA BIFASE"/>
      <sheetName val="toma emt"/>
      <sheetName val="na 250"/>
      <sheetName val="fibra"/>
      <sheetName val="C12"/>
      <sheetName val="TAB VK"/>
      <sheetName val="pulsador"/>
      <sheetName val="keytone"/>
      <sheetName val="utp"/>
      <sheetName val="4CERO"/>
      <sheetName val="hospital"/>
      <sheetName val="ducto"/>
      <sheetName val="CANALETA"/>
      <sheetName val="4x4"/>
      <sheetName val="XLPE 2"/>
      <sheetName val="cadenas"/>
      <sheetName val="AE319 (2)"/>
      <sheetName val="tablero (2)"/>
      <sheetName val="polidepor monterrey"/>
      <sheetName val="2x10+12"/>
      <sheetName val="2X8+10"/>
      <sheetName val="bajante2&quot;"/>
      <sheetName val="emt2&quot;"/>
      <sheetName val="PROYECTOR"/>
      <sheetName val="T24"/>
      <sheetName val="1x6"/>
      <sheetName val="3x4"/>
      <sheetName val="3X2"/>
      <sheetName val="AE319"/>
      <sheetName val="4x(0000)"/>
      <sheetName val="ESTADIO VNUEVA"/>
      <sheetName val="bajante 3,4&quot;"/>
      <sheetName val="1x8"/>
      <sheetName val="KIT AP"/>
      <sheetName val="USUARIOS PZA"/>
      <sheetName val="sistema bomba solar"/>
      <sheetName val="reflector"/>
      <sheetName val="SLP COL"/>
      <sheetName val="PVC4&quot; (2)"/>
      <sheetName val="4X2"/>
      <sheetName val="4X8+10"/>
      <sheetName val="TALLER OBRAS"/>
      <sheetName val="PTAP PZA"/>
      <sheetName val="4X6"/>
      <sheetName val="PVC4&quot;"/>
      <sheetName val="8x(00)"/>
      <sheetName val="SUJECIÓN"/>
      <sheetName val="4X10"/>
      <sheetName val="tablero"/>
      <sheetName val="4x8"/>
      <sheetName val="bajante1&quot;"/>
      <sheetName val="BOMBA POZO TALLERES"/>
      <sheetName val="XLPE (2)"/>
      <sheetName val="XLPE"/>
      <sheetName val="bajante4&quot;"/>
      <sheetName val="ALUMBRADO PUENTE OROCUE"/>
      <sheetName val="brisasDsirivana"/>
      <sheetName val="PALOMAS.GUA"/>
      <sheetName val="CALCETA"/>
      <sheetName val="sirivana nunchia"/>
      <sheetName val="MT.MANARE"/>
      <sheetName val="APU.MT.PLANT.AGUAS.RES"/>
      <sheetName val="APU.PLANT.AGU.RES"/>
      <sheetName val="APU.AGU.RES"/>
      <sheetName val="SALITRE AGU"/>
      <sheetName val="MILITAR"/>
      <sheetName val="COLEGIO"/>
      <sheetName val="AP VIA COLINA"/>
      <sheetName val="P TRITU PZA"/>
      <sheetName val="ITENCA"/>
      <sheetName val="CHARTE"/>
      <sheetName val="cajaacom"/>
      <sheetName val="3X95+50"/>
      <sheetName val="PROYECTO SE YOPAL"/>
      <sheetName val="3X35+50"/>
      <sheetName val="PUESTTIERRAmejor"/>
      <sheetName val="VILLA ROSITA"/>
      <sheetName val="Lum (2)"/>
      <sheetName val="7.12"/>
      <sheetName val="COT"/>
      <sheetName val="P750"/>
      <sheetName val="LA322 sin lonc"/>
      <sheetName val="3x95+1x50"/>
      <sheetName val="3x35+1x50"/>
      <sheetName val="3x70+1x50"/>
      <sheetName val="RETILAP"/>
      <sheetName val="EMPRA"/>
      <sheetName val="refor"/>
      <sheetName val="repara"/>
      <sheetName val="LA209"/>
      <sheetName val="LA221"/>
      <sheetName val="urbanismo aguazul"/>
      <sheetName val="xxx"/>
      <sheetName val="mat 1"/>
      <sheetName val="mat 2"/>
      <sheetName val="PRES INTERV "/>
      <sheetName val="1."/>
      <sheetName val="2."/>
      <sheetName val="3."/>
      <sheetName val="4. "/>
      <sheetName val="5."/>
      <sheetName val="6."/>
      <sheetName val="7."/>
      <sheetName val="8."/>
      <sheetName val="26."/>
      <sheetName val="27."/>
      <sheetName val="28."/>
      <sheetName val="29."/>
      <sheetName val="M-HER.TRA.MO"/>
      <sheetName val="x45"/>
      <sheetName val="Anexo No. 5"/>
      <sheetName val="A.I.U."/>
      <sheetName val="RESUMEN OFERTAS"/>
      <sheetName val="RESUMEN GRUPO II (LA PAZ)"/>
      <sheetName val="RESUMEN GRUPO I -BELLA LUZ"/>
      <sheetName val="1.1 torrecill 12mt"/>
      <sheetName val="1.2 torrecill 8mt"/>
      <sheetName val="2,1TEMPLETE MT DIRECTOA T"/>
      <sheetName val="2,2MONTAJE RETENIDA BT"/>
      <sheetName val="3,1ESTR. MT TP ANCLAJE 3F."/>
      <sheetName val="3,2ARMA-SIM-TRI-FIN-3H"/>
      <sheetName val="3,3CADENA"/>
      <sheetName val="3,4AISLADOR PASO"/>
      <sheetName val="4 PROTECC MONOF"/>
      <sheetName val="5.1 3H MT"/>
      <sheetName val="5.2 3HBT"/>
      <sheetName val="6 PERCHA 1"/>
      <sheetName val="7,1 transf 15kva "/>
      <sheetName val="8 PUESTA A TIERR TRASF MON"/>
      <sheetName val="9 PUESTA A TIERR  "/>
      <sheetName val=" 10 TRAMITES ENRGI "/>
      <sheetName val="1.1POSTE 12X750"/>
      <sheetName val="1.2POSTE 8X510"/>
      <sheetName val="2,1TEMPLETE MT DIREC A T  "/>
      <sheetName val="2,2TEMP MIXTO"/>
      <sheetName val="2,3TEMP BT A T"/>
      <sheetName val="3,1EST. ALINECION 2F"/>
      <sheetName val="3,2ESTR. TIPO ANGULO"/>
      <sheetName val="3,3ESTR TIPO FIN L 2F"/>
      <sheetName val="3,4ESTR TIPO ANCLAJE 2"/>
      <sheetName val="3,5CADENA AMARRE"/>
      <sheetName val="3,6 ESTR 701 M"/>
      <sheetName val="4 PROTECC MON"/>
      <sheetName val="5.1 H MT (2)"/>
      <sheetName val="5,2cable trens 1-0"/>
      <sheetName val="5,3cable trens DUPLEX"/>
      <sheetName val="6,1armado LINEA. "/>
      <sheetName val="6.2  PERCHA "/>
      <sheetName val="7,1 trans-15kva "/>
      <sheetName val="8 PUESTA A TIERR MON "/>
      <sheetName val="9 PUESTA  TIERR   "/>
      <sheetName val=" 10 TRAMITES ENERGI "/>
      <sheetName val="11 REPLANTEO"/>
      <sheetName val="12 .1acometida"/>
      <sheetName val="12,2 red"/>
      <sheetName val="13.1CIMENT MT"/>
      <sheetName val="13.2CIMENT BT"/>
      <sheetName val="13.3templ"/>
      <sheetName val="F.P.S"/>
      <sheetName val="F.M 2,4"/>
      <sheetName val="F.M 1,5"/>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 val="TABLA DE EE"/>
      <sheetName val="Tabla dinámica"/>
      <sheetName val="Tabla maestra"/>
      <sheetName val="CC 5090"/>
      <sheetName val="CC 5091-92-93"/>
      <sheetName val="CC 5095"/>
      <sheetName val="CC 5094"/>
      <sheetName val="CC 5098"/>
      <sheetName val="TABLA AUXILIAR CC 5094"/>
      <sheetName val="PROGRAMA TANQUES"/>
      <sheetName val="Areas Tanques"/>
      <sheetName val="CA-3029"/>
      <sheetName val="CA-2919"/>
      <sheetName val="CA-3033"/>
      <sheetName val="Consumibles"/>
      <sheetName val="InfoTKs"/>
      <sheetName val="5090-2003"/>
      <sheetName val="5091-2003"/>
      <sheetName val="5092-2003"/>
      <sheetName val="5093-2003"/>
      <sheetName val="5095-2003"/>
      <sheetName val="5098-2003"/>
      <sheetName val="BUSPLA02-07"/>
      <sheetName val="Eq. loc."/>
      <sheetName val="Eq. perm."/>
      <sheetName val="A.P.U. Loc."/>
      <sheetName val="A.P.U. Mant."/>
      <sheetName val="Anexo  - Tarifas"/>
      <sheetName val="Cantidades Estimadas"/>
      <sheetName val="LOCAL Y REPLANT "/>
      <sheetName val="EXCAVACION"/>
      <sheetName val="CONCRETO 2500 PSI POSTES"/>
      <sheetName val="CONCRETO 2500 PSI MALLA"/>
      <sheetName val="RETIRO MALLA"/>
      <sheetName val="ASEO Y LIMPIEZA FINAL"/>
      <sheetName val="MANO DE OBRA CIVIL"/>
      <sheetName val="REV (ENERO 28-99)"/>
      <sheetName val="723 L Flex"/>
      <sheetName val="2121 L Flex"/>
      <sheetName val="Cant Flex SS-99"/>
      <sheetName val="2590 L Gas Vte"/>
      <sheetName val="Cant 2590 L Gas Vte"/>
      <sheetName val="2192 Cv"/>
      <sheetName val="Cant 2192 Cv"/>
      <sheetName val="2231 Cv"/>
      <sheetName val="Cant 2231 Cv"/>
      <sheetName val="2250 L Flex"/>
      <sheetName val="2251 L Flex"/>
      <sheetName val="2253 L Flex"/>
      <sheetName val="Cant Flex SS-95B"/>
      <sheetName val="2231 L Flex"/>
      <sheetName val="2231 Cant Flex"/>
      <sheetName val="2368 Cv"/>
      <sheetName val="Cant 2368 Cv"/>
      <sheetName val="2368 L Flex"/>
      <sheetName val="2368 Cant Flex"/>
      <sheetName val="Cant Flex SS-88"/>
      <sheetName val="2369 Cv"/>
      <sheetName val="Cant 2369 Cv"/>
      <sheetName val="2369 L Flex"/>
      <sheetName val="2369 Cant Flex"/>
      <sheetName val="2370 Cv"/>
      <sheetName val="Cant 2370 Cv"/>
      <sheetName val="2370 L Flex"/>
      <sheetName val="2370 Cant Flex"/>
      <sheetName val="2394 Cv"/>
      <sheetName val="Cant 2394 Cv"/>
      <sheetName val="2394 L Flex"/>
      <sheetName val="2394 Cant Flex"/>
      <sheetName val="2459 Cv"/>
      <sheetName val="Cant 2459 Cv"/>
      <sheetName val="2459 L Flex"/>
      <sheetName val="2459 Cant Flex"/>
      <sheetName val="Cant Flex SS-88 F"/>
      <sheetName val="2461 L Flex"/>
      <sheetName val="2476 Cv"/>
      <sheetName val="Cant 2476 Cv"/>
      <sheetName val="2476 L Flex"/>
      <sheetName val="Cant 2476"/>
      <sheetName val="2604 Cv"/>
      <sheetName val="Cant 2604 Cv"/>
      <sheetName val="2604 L Flex"/>
      <sheetName val="2604 Cant Flex"/>
      <sheetName val="2658 Cv"/>
      <sheetName val="Cant 2658 Cv"/>
      <sheetName val="2658 L"/>
      <sheetName val="Cant 2658"/>
      <sheetName val="2659 Cv"/>
      <sheetName val="Cant 2659 Cv"/>
      <sheetName val="2659 L Flex"/>
      <sheetName val="2659 Cant Flex"/>
      <sheetName val="2661 Cv"/>
      <sheetName val="Cant 2661 Cv"/>
      <sheetName val="2661 L Flex"/>
      <sheetName val="2661 Cant Flex"/>
      <sheetName val="2918 L Flex"/>
      <sheetName val="2919 L Flex"/>
      <sheetName val="2919 Cant Flex"/>
      <sheetName val="2933 L Flex"/>
      <sheetName val="Cant Flex SS-77A"/>
      <sheetName val="Est.02 Cheque Wemco"/>
      <sheetName val="via carrilera"/>
      <sheetName val="Ht Lin Trf E3 E2"/>
      <sheetName val="1U"/>
      <sheetName val="2213"/>
      <sheetName val="2324"/>
      <sheetName val="C2PP3"/>
      <sheetName val="161 L"/>
      <sheetName val="183 Desm"/>
      <sheetName val="371 Desm Gas"/>
      <sheetName val="436 L"/>
      <sheetName val="448 L"/>
      <sheetName val="467 Desm"/>
      <sheetName val="473 Cv"/>
      <sheetName val="473 L"/>
      <sheetName val="486 Cv"/>
      <sheetName val="486 Flex"/>
      <sheetName val="718 Desm"/>
      <sheetName val="755 Cv y F"/>
      <sheetName val="755 L"/>
      <sheetName val="764 Cv"/>
      <sheetName val="769 L"/>
      <sheetName val="794 Cv"/>
      <sheetName val="794 Flex"/>
      <sheetName val="890 Cv"/>
      <sheetName val="890 L"/>
      <sheetName val="926 Rep Desm"/>
      <sheetName val="1023 L"/>
      <sheetName val="1047 L Saldo"/>
      <sheetName val="1054 Desm"/>
      <sheetName val="1056 Desm"/>
      <sheetName val="1056 Flex"/>
      <sheetName val="1126 Desm"/>
      <sheetName val="1124 Desm"/>
      <sheetName val="1140 Desm"/>
      <sheetName val="1216 L Vte"/>
      <sheetName val="1216 Desm"/>
      <sheetName val="1256 L"/>
      <sheetName val="1481 Cv"/>
      <sheetName val="1481 L"/>
      <sheetName val="1494 Cv"/>
      <sheetName val="1494 L"/>
      <sheetName val="1674 L"/>
      <sheetName val="1676 Desm"/>
      <sheetName val="1884 Desm"/>
      <sheetName val="2076 Desm"/>
      <sheetName val="2094 Desm"/>
      <sheetName val="2097 Cv"/>
      <sheetName val="2097 Flex"/>
      <sheetName val="2085 Desm"/>
      <sheetName val="2100 Vte"/>
      <sheetName val="2102 Desm"/>
      <sheetName val="2167 Cv y F"/>
      <sheetName val="2167 Cv"/>
      <sheetName val="2167 L"/>
      <sheetName val="2181 Desm"/>
      <sheetName val="2183 Desm"/>
      <sheetName val="2206 Cv"/>
      <sheetName val="2206 L"/>
      <sheetName val="2207 Cv"/>
      <sheetName val="2209 Desm"/>
      <sheetName val="2324 Cv"/>
      <sheetName val="2332 Desm"/>
      <sheetName val="2351 L"/>
      <sheetName val="2351 Flex"/>
      <sheetName val="2381 Desm"/>
      <sheetName val="2399 Flex"/>
      <sheetName val="2576 L"/>
      <sheetName val="2637 Cv"/>
      <sheetName val="2797 Cv"/>
      <sheetName val="2797 L"/>
      <sheetName val="155 L"/>
      <sheetName val="88 Ph"/>
      <sheetName val="318 Ph"/>
      <sheetName val="515 Ph"/>
      <sheetName val="740 Ph"/>
      <sheetName val="917 Ph"/>
      <sheetName val="926 Ph"/>
      <sheetName val="998  Vte Ph"/>
      <sheetName val="1689 Ph"/>
      <sheetName val="SABANA L CRUDO DIC 387002"/>
      <sheetName val="1u Cv Mod"/>
      <sheetName val="AVISOS"/>
      <sheetName val="88 L"/>
      <sheetName val="105 Desm"/>
      <sheetName val="118 Cv"/>
      <sheetName val="118 L Flex"/>
      <sheetName val="119 L Flex"/>
      <sheetName val="183 Cv"/>
      <sheetName val="183 L"/>
      <sheetName val="189 Cv"/>
      <sheetName val="189 L Flex"/>
      <sheetName val="190 Desm"/>
      <sheetName val="271 Cv"/>
      <sheetName val="271 L Flex"/>
      <sheetName val="287 pintura marco H"/>
      <sheetName val="454 Desm"/>
      <sheetName val="466 Cv"/>
      <sheetName val="480 pintura marco H"/>
      <sheetName val="509 pintura marco H"/>
      <sheetName val="527 pintura marco H"/>
      <sheetName val="555 Cv"/>
      <sheetName val="563 Cv"/>
      <sheetName val="563 L"/>
      <sheetName val="571 Cv"/>
      <sheetName val="571 L"/>
      <sheetName val="590 pintura marco H"/>
      <sheetName val="617 pintura marco H"/>
      <sheetName val="637 pintura marco H"/>
      <sheetName val="652 Cv Desm y M"/>
      <sheetName val="718 Cv"/>
      <sheetName val="718 L Flex"/>
      <sheetName val="724 Desm"/>
      <sheetName val="740 L Flex"/>
      <sheetName val="748 Desm"/>
      <sheetName val="810 Flush"/>
      <sheetName val="820 Desm"/>
      <sheetName val="842 Desm"/>
      <sheetName val="889 Desm"/>
      <sheetName val="1066 Cv"/>
      <sheetName val="1066 L Flex"/>
      <sheetName val="1084 Cv"/>
      <sheetName val="1084 L"/>
      <sheetName val="1198 Cv"/>
      <sheetName val="1199 L sald"/>
      <sheetName val="1508 Cv"/>
      <sheetName val="1508 Vte"/>
      <sheetName val="1636 L Flex Rep"/>
      <sheetName val="1655 L Flex"/>
      <sheetName val="1666 Desm"/>
      <sheetName val="1679 Cv"/>
      <sheetName val="1837 Desm"/>
      <sheetName val="1839 Desm"/>
      <sheetName val="2026 Cv"/>
      <sheetName val="2026 L sald"/>
      <sheetName val="2034 pintura marco H"/>
      <sheetName val="2108 L Flex"/>
      <sheetName val="2109 L Flex"/>
      <sheetName val="2145 Pintura marco H"/>
      <sheetName val="2153 L Flex"/>
      <sheetName val="2157 L Flex"/>
      <sheetName val="2161 pintura marco H"/>
      <sheetName val="2320 Cv"/>
      <sheetName val="2320 L Flex Rep"/>
      <sheetName val="2327 pintura marco H"/>
      <sheetName val="2586 Cv"/>
      <sheetName val="2598 Cv"/>
      <sheetName val="2601 Cv"/>
      <sheetName val="2602 Cv"/>
      <sheetName val="2636 Cv"/>
      <sheetName val="2738 Cv"/>
      <sheetName val="2738 L Flex"/>
      <sheetName val="4IJ2 pintura marco H"/>
      <sheetName val="blanco (5)"/>
      <sheetName val="1u Cv"/>
      <sheetName val="Flex blanco"/>
      <sheetName val="SABANA AGO CRUDO 997306"/>
      <sheetName val="SABANA AGO CRUDO 397019"/>
      <sheetName val="SABANA AGO CRUDO 397024"/>
      <sheetName val="2100 L Flex"/>
      <sheetName val="2226 Rep Flex"/>
      <sheetName val="856 Desm"/>
      <sheetName val="856 L Vte"/>
      <sheetName val="2617 Desm"/>
      <sheetName val="2617 L Flex"/>
      <sheetName val="2628 L Flex"/>
      <sheetName val="2629 Desm"/>
      <sheetName val="2629 L Flex"/>
      <sheetName val="2617"/>
      <sheetName val="772 L Rep"/>
      <sheetName val="789 Desm Casing"/>
      <sheetName val="2109 Rep Flex"/>
      <sheetName val="2139 Cv"/>
      <sheetName val="2139 Conex Flex"/>
      <sheetName val="2145 Clampon"/>
      <sheetName val="2153 Rep Flex"/>
      <sheetName val="2194 L Fex"/>
      <sheetName val="2283 Cv"/>
      <sheetName val="2283 L Flex Conex"/>
      <sheetName val="2289 Cv"/>
      <sheetName val="2289 L Flex Conex"/>
      <sheetName val="2520 Cv"/>
      <sheetName val="2520 L Flex Conex"/>
      <sheetName val="2521 Cv"/>
      <sheetName val="2521 L Flex Conex"/>
      <sheetName val="2583 L Flex"/>
      <sheetName val="2598 Rep"/>
      <sheetName val="2600 Rep"/>
      <sheetName val="2603 L Flex"/>
      <sheetName val="2605 L Flex"/>
      <sheetName val="2623 L Flex"/>
      <sheetName val="2644 L Flex"/>
      <sheetName val="2649 L Flex"/>
      <sheetName val="2663 L Flex"/>
      <sheetName val="2670 L Flex"/>
      <sheetName val="2672 Cv"/>
      <sheetName val="2672 L Flex Conex"/>
      <sheetName val="2734 Cv"/>
      <sheetName val="2734 L Flex Conex"/>
      <sheetName val="2889 Cv"/>
      <sheetName val="2889 L Flex Conex"/>
      <sheetName val="2900 L Flex"/>
      <sheetName val="2901 L Flex"/>
      <sheetName val="2903 L Flex"/>
      <sheetName val="2905 L Flex"/>
      <sheetName val="Cant 2100 L Flex"/>
      <sheetName val="2100 Conex Flex"/>
      <sheetName val="2139"/>
      <sheetName val="2194 (2)"/>
      <sheetName val="2283"/>
      <sheetName val="2289"/>
      <sheetName val="2520"/>
      <sheetName val="2521"/>
      <sheetName val="2603"/>
      <sheetName val="2604 (2)"/>
      <sheetName val="2617 B"/>
      <sheetName val="2628"/>
      <sheetName val="2629"/>
      <sheetName val="2644"/>
      <sheetName val="2672"/>
      <sheetName val="2734"/>
      <sheetName val="2889"/>
      <sheetName val="SABANA PLTA DESH MAYO AFE477006"/>
      <sheetName val="Descargue Tratador"/>
      <sheetName val="Transp Pta Desh"/>
      <sheetName val="SABANA Bomba MAYO AFE47"/>
      <sheetName val="bomba P-215c Est2"/>
      <sheetName val="SS 34 Lg 6"/>
      <sheetName val="SS 34 Lm 3"/>
      <sheetName val="SS 34 Str"/>
      <sheetName val="SS 38 Lg 6"/>
      <sheetName val="SS 38a Lg 4"/>
      <sheetName val="SS 38a Lm 3"/>
      <sheetName val="SS 38a Str"/>
      <sheetName val="SS 42 Str Ampl"/>
      <sheetName val="SS 42 Str Ampl (2)"/>
      <sheetName val="SS 45 Lg 6"/>
      <sheetName val="SS 45 Lm 3"/>
      <sheetName val="SS 45 Str"/>
      <sheetName val="SS 49 Lg 4"/>
      <sheetName val="SS 49 Lm 3"/>
      <sheetName val="SS 49 Str"/>
      <sheetName val="SS 77A Lg 4"/>
      <sheetName val="SS 77A Lm 2"/>
      <sheetName val="SS 77A Str"/>
      <sheetName val="SS 88B Str"/>
      <sheetName val="SS 88B Lg 6"/>
      <sheetName val="SS 88B Lm"/>
      <sheetName val="SS 98A Lg 6"/>
      <sheetName val="SS 98a Lm 3"/>
      <sheetName val="SS 140 Lg"/>
      <sheetName val="SS 140 Lm"/>
      <sheetName val="SS 140 Str"/>
      <sheetName val="SS 575 Lg 6"/>
      <sheetName val="SS 575 Lm 3"/>
      <sheetName val="SS 575 Str"/>
      <sheetName val="SS 49 Lg 3"/>
      <sheetName val="CARGUE MAT SATURADO"/>
      <sheetName val="ANDAMIOS"/>
      <sheetName val="ANDAMIOS (2)"/>
      <sheetName val="ANDAMIOS (3)"/>
      <sheetName val="Cant Transp Mat Saturado"/>
      <sheetName val="ANDAMIOS DEFINITIVO"/>
      <sheetName val="Resumen por AFE 397019"/>
      <sheetName val="4IJ2 L Flex"/>
      <sheetName val="DATA BASE"/>
      <sheetName val="RES.1"/>
      <sheetName val="FORMATO 1"/>
      <sheetName val="RES.2"/>
      <sheetName val="FORMATO 2"/>
      <sheetName val="RES.3"/>
      <sheetName val="FORMATO 3"/>
      <sheetName val="RES.4"/>
      <sheetName val="FORMATO 4"/>
      <sheetName val="RES.5"/>
      <sheetName val="FORMATO 5"/>
      <sheetName val="RES.6"/>
      <sheetName val="FORMATO 6"/>
      <sheetName val="RES.7"/>
      <sheetName val="FORMATO 7"/>
      <sheetName val="RES.8"/>
      <sheetName val="FORMATO 8"/>
      <sheetName val="RES.9"/>
      <sheetName val="FORMATO 9"/>
      <sheetName val="RES.10"/>
      <sheetName val="FORMATO 10"/>
      <sheetName val="SABANA L CRUDO SEPT 387002"/>
      <sheetName val="SABANA PIA SEPT 477004"/>
      <sheetName val="Hot tap planta 5"/>
      <sheetName val="Hot tap pia 5"/>
      <sheetName val="1U L"/>
      <sheetName val="Oleoducto Reparac"/>
      <sheetName val="Paleteros"/>
      <sheetName val="Paleteros (2)"/>
      <sheetName val="43  F y Cv"/>
      <sheetName val="94 Desm"/>
      <sheetName val="107 L"/>
      <sheetName val="113  Cv"/>
      <sheetName val="113 L"/>
      <sheetName val="119 Desm"/>
      <sheetName val="121  Cv"/>
      <sheetName val="121 L"/>
      <sheetName val="141 Cv"/>
      <sheetName val="141 L Conex Temp"/>
      <sheetName val="271 Desm"/>
      <sheetName val="305 Desm"/>
      <sheetName val="318  Cv"/>
      <sheetName val="318 L"/>
      <sheetName val="333 L Desm"/>
      <sheetName val="341 L"/>
      <sheetName val="341 L Flex"/>
      <sheetName val="342 Pintura"/>
      <sheetName val="357 Desm"/>
      <sheetName val="362 L Desm"/>
      <sheetName val="421 Pintura"/>
      <sheetName val="458 Desm"/>
      <sheetName val="473 Desm"/>
      <sheetName val="476 Desm"/>
      <sheetName val="509 Cv"/>
      <sheetName val="515 Cv"/>
      <sheetName val="515 L"/>
      <sheetName val="551 Pintura"/>
      <sheetName val="563 L Desm"/>
      <sheetName val="588 Cv"/>
      <sheetName val="588 L"/>
      <sheetName val="730 emerg"/>
      <sheetName val="744 Desm"/>
      <sheetName val="765 L"/>
      <sheetName val="797 L"/>
      <sheetName val="836 Cv"/>
      <sheetName val="836 L"/>
      <sheetName val="865 Cv"/>
      <sheetName val="865 Ly Col"/>
      <sheetName val="876 Cv"/>
      <sheetName val="884 L Flex"/>
      <sheetName val="890 Desm"/>
      <sheetName val="902 marco H"/>
      <sheetName val="916 L"/>
      <sheetName val="917 Cv"/>
      <sheetName val="917 F"/>
      <sheetName val="926 Cv"/>
      <sheetName val="926 L"/>
      <sheetName val="998 L"/>
      <sheetName val="998-466 Col y Desm"/>
      <sheetName val="1025 Cv"/>
      <sheetName val="1025 L y Colect"/>
      <sheetName val="1056 L Flex"/>
      <sheetName val="1061 Desm"/>
      <sheetName val="1070 Cv"/>
      <sheetName val="1070 L"/>
      <sheetName val="1124 L Flex"/>
      <sheetName val="1140 L Flex"/>
      <sheetName val="1194 Cv"/>
      <sheetName val="1200 Cv"/>
      <sheetName val="1216 Cv Pint"/>
      <sheetName val="1332 Cv"/>
      <sheetName val="1332 L"/>
      <sheetName val="1344  Cv y F"/>
      <sheetName val="1494 Desm"/>
      <sheetName val="1673 L"/>
      <sheetName val="1686 Cv"/>
      <sheetName val="1686 L Flex"/>
      <sheetName val="1689  Cv"/>
      <sheetName val="1689 L"/>
      <sheetName val="1720  Cv"/>
      <sheetName val="1720 L"/>
      <sheetName val="1746 Desm"/>
      <sheetName val="1794 Desm"/>
      <sheetName val="1884 L Flex"/>
      <sheetName val="2026 L"/>
      <sheetName val="2048 L Desm"/>
      <sheetName val="2054 Cv"/>
      <sheetName val="2054 L Flex"/>
      <sheetName val="2066 L Desm"/>
      <sheetName val="2094 L Flex"/>
      <sheetName val="2102 L Flex"/>
      <sheetName val="2105 Cv"/>
      <sheetName val="2105 LF"/>
      <sheetName val="2112 L Desm"/>
      <sheetName val="2149 Desm"/>
      <sheetName val="2167 L Flex"/>
      <sheetName val="2181 Trenton"/>
      <sheetName val="2182 Cv"/>
      <sheetName val="2182  Flex 2"/>
      <sheetName val="2183 L Flex"/>
      <sheetName val="2206 Reparac Flex"/>
      <sheetName val="2208 Cv"/>
      <sheetName val="2208 L Flex"/>
      <sheetName val="2212 L Desm"/>
      <sheetName val="2213 Cv"/>
      <sheetName val="2213 L"/>
      <sheetName val="2324 L"/>
      <sheetName val="2328 Cv"/>
      <sheetName val="2328 L"/>
      <sheetName val="2330 L Desm"/>
      <sheetName val="2331 Cv"/>
      <sheetName val="2332 L Flex"/>
      <sheetName val="2339 L Desm"/>
      <sheetName val="2377 L Flex"/>
      <sheetName val="2379 Cv"/>
      <sheetName val="2379 L Flex"/>
      <sheetName val="2400 Cv"/>
      <sheetName val="2400 L Flex"/>
      <sheetName val="2637 L Flex"/>
      <sheetName val="INCID. SALARIAL"/>
      <sheetName val="ESTRUCTURAS"/>
      <sheetName val="1,2,1"/>
      <sheetName val="1,2,2"/>
      <sheetName val="1,2,3"/>
      <sheetName val="1,2,4"/>
      <sheetName val="1,2,5"/>
      <sheetName val="1,3,1"/>
      <sheetName val="1,3,2"/>
      <sheetName val="1,3,3,1"/>
      <sheetName val="1,3,3,2"/>
      <sheetName val="1,3,3,3"/>
      <sheetName val="1,3,4"/>
      <sheetName val="1,3,5"/>
      <sheetName val="1,3,6,1"/>
      <sheetName val="1,3,6,2"/>
      <sheetName val="1,3,7"/>
      <sheetName val="1,3,8,1"/>
      <sheetName val="1,3,8,2"/>
      <sheetName val="2,7"/>
      <sheetName val="2,8"/>
      <sheetName val="2,9"/>
      <sheetName val="2,10"/>
      <sheetName val="2,11"/>
      <sheetName val="2,12"/>
      <sheetName val="2,13"/>
      <sheetName val="2,14"/>
      <sheetName val="2,15,1"/>
      <sheetName val="2,15,2"/>
      <sheetName val="2,15,3"/>
      <sheetName val="2,16"/>
      <sheetName val="2,17"/>
      <sheetName val="2,18"/>
      <sheetName val="2,19"/>
      <sheetName val="2,20"/>
      <sheetName val="3,15"/>
      <sheetName val="3,16"/>
      <sheetName val="105 KG"/>
      <sheetName val="210 KG"/>
      <sheetName val="4SALAR1"/>
      <sheetName val="ANALISIS AIU"/>
      <sheetName val="3,17"/>
      <sheetName val="3,18"/>
      <sheetName val="3,19"/>
      <sheetName val="3,20"/>
      <sheetName val="3,21"/>
      <sheetName val="3,22"/>
      <sheetName val="3,23"/>
      <sheetName val="3,24"/>
      <sheetName val="3,25"/>
      <sheetName val="3,26"/>
      <sheetName val="3,27"/>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sheetName val="3,49"/>
      <sheetName val="3,50"/>
      <sheetName val="3,51"/>
      <sheetName val="3,52"/>
      <sheetName val="3,53"/>
      <sheetName val="3,54"/>
      <sheetName val="3,55"/>
      <sheetName val="3,56"/>
      <sheetName val="Transporte por cobrar"/>
      <sheetName val="INF-SEM-INT"/>
      <sheetName val="DATOS SEMANALES"/>
      <sheetName val="CONTRATO EST_TEC"/>
      <sheetName val="Form. Inf. Semanal"/>
      <sheetName val="Curva S "/>
      <sheetName val="Registro Fotográfico"/>
      <sheetName val="Relacion Trabajadores"/>
      <sheetName val="PROPUESTA UN AÑO 2012"/>
      <sheetName val="DOS  OPERADORES"/>
      <sheetName val="AAP"/>
      <sheetName val="Lista de Chequeo Facturación"/>
      <sheetName val="MO ELECTRI"/>
      <sheetName val="PRESUPUESTO POZOS"/>
      <sheetName val="ANALISIS UNITARIOS "/>
      <sheetName val="ANALISIS U. POZOS"/>
      <sheetName val="MEMORIA DE CANTIDADES"/>
      <sheetName val="MEMORIA DE CANTIDADES POZOS"/>
      <sheetName val="MORTEROS Y CONCRETOS"/>
      <sheetName val="Aobra_1"/>
      <sheetName val="Amodif_1"/>
      <sheetName val="Res_Antequera"/>
      <sheetName val="Las_Brisas"/>
      <sheetName val="Res_LasBrisas"/>
      <sheetName val="Las_Palmas"/>
      <sheetName val="Res_LasPalmas"/>
      <sheetName val="Res_Zapatosa"/>
      <sheetName val="San_Andres"/>
      <sheetName val="Res_SanAndres"/>
      <sheetName val="Puerto_Oculto"/>
      <sheetName val="Res_PtoOculto"/>
      <sheetName val="San_Jose"/>
      <sheetName val="Res_SanJose"/>
      <sheetName val="Resumen_Gral"/>
      <sheetName val="A_P_U_"/>
      <sheetName val="A_P_U__CONC_4000"/>
      <sheetName val="Apu_Ambiental"/>
      <sheetName val="Mano_de_obra"/>
      <sheetName val="Presupuestos_TODOS_-_NO_PRINT"/>
      <sheetName val="Acta_N°_1"/>
      <sheetName val="16-6_"/>
      <sheetName val="14-6_"/>
      <sheetName val="12-6_"/>
      <sheetName val="24&quot;_"/>
      <sheetName val="16&quot;_"/>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RESUMEN_"/>
      <sheetName val="Preacta_N°5"/>
      <sheetName val="comparacion_de_flujos"/>
      <sheetName val="FONDO_LEJANO"/>
      <sheetName val="FONDO_CERCANO"/>
      <sheetName val="CUADRO_MATRIZ_DE_ACTIV"/>
      <sheetName val="CUADRO_LISTA_DE_ACTIVI"/>
      <sheetName val="Memoria_de_Calculos"/>
      <sheetName val="EQUIPOS_Y_MATERIALES"/>
      <sheetName val="310_1"/>
      <sheetName val="201P_1"/>
      <sheetName val="210_2_4"/>
      <sheetName val="220_1"/>
      <sheetName val="201_7"/>
      <sheetName val="311P_1"/>
      <sheetName val="600_1"/>
      <sheetName val="610_1"/>
      <sheetName val="630_6"/>
      <sheetName val="630_4"/>
      <sheetName val="640_1"/>
      <sheetName val="900_2"/>
      <sheetName val="V_R__13_AL_26_MAR"/>
      <sheetName val="B_A__13_AL_26_MAR"/>
      <sheetName val="L_M_10_AL_23_DE_ABRIL"/>
      <sheetName val="V_R_10_AL_23_ABRIL"/>
      <sheetName val="J_CRUZ_10AL23_ABRIL"/>
      <sheetName val="J__BUELVAS_1-15_FEB"/>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ow r="6">
          <cell r="A6" t="str">
            <v>TOPÓGRAFO</v>
          </cell>
        </row>
      </sheetData>
      <sheetData sheetId="72"/>
      <sheetData sheetId="73"/>
      <sheetData sheetId="74"/>
      <sheetData sheetId="75" refreshError="1"/>
      <sheetData sheetId="76" refreshError="1"/>
      <sheetData sheetId="77" refreshError="1"/>
      <sheetData sheetId="78" refreshError="1"/>
      <sheetData sheetId="79">
        <row r="168">
          <cell r="D168">
            <v>10046</v>
          </cell>
        </row>
      </sheetData>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ow r="5">
          <cell r="E5" t="str">
            <v>CANTIDAD</v>
          </cell>
        </row>
      </sheetData>
      <sheetData sheetId="189">
        <row r="5">
          <cell r="E5" t="str">
            <v>CANTIDAD</v>
          </cell>
        </row>
      </sheetData>
      <sheetData sheetId="190">
        <row r="1">
          <cell r="A1" t="str">
            <v>ITEM</v>
          </cell>
        </row>
      </sheetData>
      <sheetData sheetId="191">
        <row r="1">
          <cell r="A1" t="str">
            <v>EQUIPO</v>
          </cell>
        </row>
      </sheetData>
      <sheetData sheetId="192">
        <row r="1">
          <cell r="A1" t="str">
            <v>ADMINISTRACION</v>
          </cell>
        </row>
      </sheetData>
      <sheetData sheetId="193">
        <row r="5">
          <cell r="E5" t="str">
            <v>CANTIDAD</v>
          </cell>
        </row>
      </sheetData>
      <sheetData sheetId="194">
        <row r="5">
          <cell r="E5" t="str">
            <v>CANTIDAD</v>
          </cell>
        </row>
      </sheetData>
      <sheetData sheetId="195">
        <row r="5">
          <cell r="E5" t="str">
            <v>CANTIDAD</v>
          </cell>
        </row>
      </sheetData>
      <sheetData sheetId="196"/>
      <sheetData sheetId="197" refreshError="1"/>
      <sheetData sheetId="198" refreshError="1"/>
      <sheetData sheetId="199" refreshError="1"/>
      <sheetData sheetId="200">
        <row r="33">
          <cell r="C33">
            <v>0.77967625899280601</v>
          </cell>
        </row>
      </sheetData>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row r="1">
          <cell r="A1" t="str">
            <v>ADMINISTRACION</v>
          </cell>
        </row>
      </sheetData>
      <sheetData sheetId="207"/>
      <sheetData sheetId="208"/>
      <sheetData sheetId="209"/>
      <sheetData sheetId="210">
        <row r="33">
          <cell r="C33">
            <v>0.77967625899280601</v>
          </cell>
        </row>
      </sheetData>
      <sheetData sheetId="211"/>
      <sheetData sheetId="212"/>
      <sheetData sheetId="213"/>
      <sheetData sheetId="214"/>
      <sheetData sheetId="215"/>
      <sheetData sheetId="216">
        <row r="1">
          <cell r="A1" t="str">
            <v>ITEM</v>
          </cell>
        </row>
      </sheetData>
      <sheetData sheetId="217">
        <row r="1">
          <cell r="A1" t="str">
            <v>EQUIPO</v>
          </cell>
        </row>
      </sheetData>
      <sheetData sheetId="218">
        <row r="1">
          <cell r="A1" t="str">
            <v>ADMINISTRACION</v>
          </cell>
        </row>
      </sheetData>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row r="2">
          <cell r="A2">
            <v>2</v>
          </cell>
        </row>
      </sheetData>
      <sheetData sheetId="240">
        <row r="1">
          <cell r="A1" t="str">
            <v>ITEM</v>
          </cell>
        </row>
      </sheetData>
      <sheetData sheetId="241">
        <row r="1">
          <cell r="A1" t="str">
            <v>EQUIPO</v>
          </cell>
        </row>
      </sheetData>
      <sheetData sheetId="242">
        <row r="1">
          <cell r="A1" t="str">
            <v>ADMINISTRACION</v>
          </cell>
        </row>
      </sheetData>
      <sheetData sheetId="243">
        <row r="1">
          <cell r="A1" t="str">
            <v>ADMINISTRACION</v>
          </cell>
        </row>
      </sheetData>
      <sheetData sheetId="244">
        <row r="1">
          <cell r="A1" t="str">
            <v>ADMINISTRACION</v>
          </cell>
        </row>
      </sheetData>
      <sheetData sheetId="245"/>
      <sheetData sheetId="246"/>
      <sheetData sheetId="247"/>
      <sheetData sheetId="248"/>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row r="5">
          <cell r="E5" t="str">
            <v>CANTIDAD</v>
          </cell>
        </row>
      </sheetData>
      <sheetData sheetId="261">
        <row r="5">
          <cell r="E5" t="str">
            <v>CANTIDAD</v>
          </cell>
        </row>
      </sheetData>
      <sheetData sheetId="262">
        <row r="5">
          <cell r="E5" t="str">
            <v>CANTIDAD</v>
          </cell>
        </row>
      </sheetData>
      <sheetData sheetId="263">
        <row r="1">
          <cell r="A1" t="str">
            <v>ITEM</v>
          </cell>
        </row>
      </sheetData>
      <sheetData sheetId="264">
        <row r="1">
          <cell r="A1" t="str">
            <v>EQUIPO</v>
          </cell>
        </row>
      </sheetData>
      <sheetData sheetId="265">
        <row r="1">
          <cell r="A1" t="str">
            <v>ADMINISTRACION</v>
          </cell>
        </row>
      </sheetData>
      <sheetData sheetId="266">
        <row r="5">
          <cell r="E5" t="str">
            <v>CANTIDAD</v>
          </cell>
        </row>
      </sheetData>
      <sheetData sheetId="267">
        <row r="5">
          <cell r="E5" t="str">
            <v>CANTIDAD</v>
          </cell>
        </row>
      </sheetData>
      <sheetData sheetId="268"/>
      <sheetData sheetId="269"/>
      <sheetData sheetId="270"/>
      <sheetData sheetId="271"/>
      <sheetData sheetId="272"/>
      <sheetData sheetId="273"/>
      <sheetData sheetId="274"/>
      <sheetData sheetId="275"/>
      <sheetData sheetId="276">
        <row r="2">
          <cell r="A2">
            <v>2</v>
          </cell>
        </row>
      </sheetData>
      <sheetData sheetId="277">
        <row r="1">
          <cell r="A1" t="str">
            <v>ITEM</v>
          </cell>
        </row>
      </sheetData>
      <sheetData sheetId="278">
        <row r="1">
          <cell r="A1" t="str">
            <v>EQUIPO</v>
          </cell>
        </row>
      </sheetData>
      <sheetData sheetId="279">
        <row r="1">
          <cell r="A1" t="str">
            <v>ADMINISTRACION</v>
          </cell>
        </row>
      </sheetData>
      <sheetData sheetId="280">
        <row r="1">
          <cell r="A1" t="str">
            <v>ADMINISTRACION</v>
          </cell>
        </row>
      </sheetData>
      <sheetData sheetId="281">
        <row r="1">
          <cell r="A1" t="str">
            <v>ADMINISTRACION</v>
          </cell>
        </row>
      </sheetData>
      <sheetData sheetId="282"/>
      <sheetData sheetId="283">
        <row r="5">
          <cell r="A5" t="str">
            <v>Desperdicio</v>
          </cell>
        </row>
      </sheetData>
      <sheetData sheetId="284">
        <row r="7">
          <cell r="A7" t="str">
            <v>Herramientas Menores</v>
          </cell>
        </row>
      </sheetData>
      <sheetData sheetId="285">
        <row r="6">
          <cell r="A6" t="str">
            <v>TOPÓGRAFO</v>
          </cell>
        </row>
      </sheetData>
      <sheetData sheetId="286"/>
      <sheetData sheetId="287"/>
      <sheetData sheetId="288"/>
      <sheetData sheetId="289"/>
      <sheetData sheetId="290"/>
      <sheetData sheetId="291"/>
      <sheetData sheetId="292"/>
      <sheetData sheetId="293">
        <row r="1">
          <cell r="A1" t="str">
            <v>ITEM</v>
          </cell>
        </row>
      </sheetData>
      <sheetData sheetId="294">
        <row r="1">
          <cell r="A1" t="str">
            <v>EQUIPO</v>
          </cell>
        </row>
      </sheetData>
      <sheetData sheetId="295">
        <row r="1">
          <cell r="A1" t="str">
            <v>ADMINISTRACION</v>
          </cell>
        </row>
      </sheetData>
      <sheetData sheetId="296"/>
      <sheetData sheetId="297"/>
      <sheetData sheetId="298"/>
      <sheetData sheetId="299"/>
      <sheetData sheetId="300"/>
      <sheetData sheetId="301"/>
      <sheetData sheetId="302"/>
      <sheetData sheetId="303"/>
      <sheetData sheetId="304"/>
      <sheetData sheetId="305"/>
      <sheetData sheetId="306"/>
      <sheetData sheetId="307">
        <row r="1">
          <cell r="A1" t="str">
            <v>ITEM</v>
          </cell>
        </row>
      </sheetData>
      <sheetData sheetId="308">
        <row r="1">
          <cell r="A1" t="str">
            <v>ITEM</v>
          </cell>
        </row>
      </sheetData>
      <sheetData sheetId="309">
        <row r="1">
          <cell r="A1" t="str">
            <v>EQUIPO</v>
          </cell>
        </row>
      </sheetData>
      <sheetData sheetId="310">
        <row r="1">
          <cell r="A1" t="str">
            <v>ADMINISTRACION</v>
          </cell>
        </row>
      </sheetData>
      <sheetData sheetId="311"/>
      <sheetData sheetId="312"/>
      <sheetData sheetId="313">
        <row r="2">
          <cell r="A2">
            <v>2</v>
          </cell>
        </row>
      </sheetData>
      <sheetData sheetId="314">
        <row r="1">
          <cell r="A1" t="str">
            <v>ITEM</v>
          </cell>
        </row>
      </sheetData>
      <sheetData sheetId="315">
        <row r="1">
          <cell r="A1" t="str">
            <v>EQUIPO</v>
          </cell>
        </row>
      </sheetData>
      <sheetData sheetId="316">
        <row r="1">
          <cell r="A1" t="str">
            <v>ADMINISTRACION</v>
          </cell>
        </row>
      </sheetData>
      <sheetData sheetId="317"/>
      <sheetData sheetId="318">
        <row r="1">
          <cell r="A1" t="str">
            <v>ADMINISTRACION</v>
          </cell>
        </row>
      </sheetData>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row r="1">
          <cell r="A1" t="str">
            <v>ITEM</v>
          </cell>
        </row>
      </sheetData>
      <sheetData sheetId="345">
        <row r="1">
          <cell r="A1" t="str">
            <v>EQUIPO</v>
          </cell>
        </row>
      </sheetData>
      <sheetData sheetId="346">
        <row r="1">
          <cell r="A1" t="str">
            <v>ADMINISTRACION</v>
          </cell>
        </row>
      </sheetData>
      <sheetData sheetId="347">
        <row r="1">
          <cell r="A1" t="str">
            <v>ITEM</v>
          </cell>
        </row>
      </sheetData>
      <sheetData sheetId="348"/>
      <sheetData sheetId="349">
        <row r="1">
          <cell r="A1" t="str">
            <v>EQUIPO</v>
          </cell>
        </row>
      </sheetData>
      <sheetData sheetId="350"/>
      <sheetData sheetId="351">
        <row r="1">
          <cell r="A1" t="str">
            <v>ADMINISTRACION</v>
          </cell>
        </row>
      </sheetData>
      <sheetData sheetId="352"/>
      <sheetData sheetId="353"/>
      <sheetData sheetId="354"/>
      <sheetData sheetId="355"/>
      <sheetData sheetId="356">
        <row r="1">
          <cell r="A1" t="str">
            <v>ITEM</v>
          </cell>
        </row>
      </sheetData>
      <sheetData sheetId="357">
        <row r="1">
          <cell r="A1" t="str">
            <v>EQUIPO</v>
          </cell>
        </row>
      </sheetData>
      <sheetData sheetId="358">
        <row r="1">
          <cell r="A1" t="str">
            <v>ADMINISTRACION</v>
          </cell>
        </row>
      </sheetData>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row r="1">
          <cell r="A1" t="str">
            <v>ITEM</v>
          </cell>
        </row>
      </sheetData>
      <sheetData sheetId="382">
        <row r="1">
          <cell r="A1" t="str">
            <v>EQUIPO</v>
          </cell>
        </row>
      </sheetData>
      <sheetData sheetId="383">
        <row r="1">
          <cell r="A1" t="str">
            <v>ADMINISTRACION</v>
          </cell>
        </row>
      </sheetData>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row r="1">
          <cell r="A1" t="str">
            <v>ITEM</v>
          </cell>
        </row>
      </sheetData>
      <sheetData sheetId="399">
        <row r="1">
          <cell r="A1" t="str">
            <v>EQUIPO</v>
          </cell>
        </row>
      </sheetData>
      <sheetData sheetId="400">
        <row r="1">
          <cell r="A1" t="str">
            <v>ADMINISTRACION</v>
          </cell>
        </row>
      </sheetData>
      <sheetData sheetId="401"/>
      <sheetData sheetId="402"/>
      <sheetData sheetId="403"/>
      <sheetData sheetId="404"/>
      <sheetData sheetId="405"/>
      <sheetData sheetId="406"/>
      <sheetData sheetId="407"/>
      <sheetData sheetId="408"/>
      <sheetData sheetId="409"/>
      <sheetData sheetId="410"/>
      <sheetData sheetId="411"/>
      <sheetData sheetId="412"/>
      <sheetData sheetId="413">
        <row r="1">
          <cell r="A1" t="str">
            <v>INSTITUTO NACIONAL DE VIAS</v>
          </cell>
        </row>
      </sheetData>
      <sheetData sheetId="414"/>
      <sheetData sheetId="415"/>
      <sheetData sheetId="416"/>
      <sheetData sheetId="417"/>
      <sheetData sheetId="418">
        <row r="1">
          <cell r="B1" t="str">
            <v>CTO-102-2002</v>
          </cell>
        </row>
      </sheetData>
      <sheetData sheetId="419">
        <row r="1">
          <cell r="A1" t="str">
            <v>INSTITUTO NACIONAL DE VIAS</v>
          </cell>
        </row>
      </sheetData>
      <sheetData sheetId="420"/>
      <sheetData sheetId="421"/>
      <sheetData sheetId="422">
        <row r="1">
          <cell r="A1" t="str">
            <v>ITEM</v>
          </cell>
        </row>
      </sheetData>
      <sheetData sheetId="423"/>
      <sheetData sheetId="424"/>
      <sheetData sheetId="425">
        <row r="1">
          <cell r="A1" t="str">
            <v>INSTITUTO NACIONAL DE VIAS</v>
          </cell>
        </row>
      </sheetData>
      <sheetData sheetId="426"/>
      <sheetData sheetId="427"/>
      <sheetData sheetId="428">
        <row r="1">
          <cell r="A1" t="str">
            <v>EQUIPO</v>
          </cell>
        </row>
      </sheetData>
      <sheetData sheetId="429"/>
      <sheetData sheetId="430"/>
      <sheetData sheetId="431"/>
      <sheetData sheetId="432"/>
      <sheetData sheetId="433"/>
      <sheetData sheetId="434"/>
      <sheetData sheetId="435">
        <row r="1">
          <cell r="A1" t="str">
            <v>ITEM</v>
          </cell>
        </row>
      </sheetData>
      <sheetData sheetId="436">
        <row r="1">
          <cell r="A1" t="str">
            <v>EQUIPO</v>
          </cell>
        </row>
      </sheetData>
      <sheetData sheetId="437">
        <row r="1">
          <cell r="A1" t="str">
            <v>ADMINISTRACION</v>
          </cell>
        </row>
      </sheetData>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row r="33">
          <cell r="C33">
            <v>0.77967625899280601</v>
          </cell>
        </row>
      </sheetData>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row r="1">
          <cell r="A1" t="str">
            <v>ITEM</v>
          </cell>
        </row>
      </sheetData>
      <sheetData sheetId="467">
        <row r="1">
          <cell r="A1" t="str">
            <v>EQUIPO</v>
          </cell>
        </row>
      </sheetData>
      <sheetData sheetId="468">
        <row r="1">
          <cell r="A1" t="str">
            <v>ADMINISTRACION</v>
          </cell>
        </row>
      </sheetData>
      <sheetData sheetId="469">
        <row r="6">
          <cell r="A6" t="str">
            <v>TOPÓGRAFO</v>
          </cell>
        </row>
      </sheetData>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sheetData sheetId="493"/>
      <sheetData sheetId="494"/>
      <sheetData sheetId="495"/>
      <sheetData sheetId="496">
        <row r="33">
          <cell r="C33">
            <v>0.77967625899280601</v>
          </cell>
        </row>
      </sheetData>
      <sheetData sheetId="497"/>
      <sheetData sheetId="498"/>
      <sheetData sheetId="499"/>
      <sheetData sheetId="500">
        <row r="1">
          <cell r="B1" t="str">
            <v>CTO-102-2002</v>
          </cell>
        </row>
      </sheetData>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row r="168">
          <cell r="D168">
            <v>10046</v>
          </cell>
        </row>
      </sheetData>
      <sheetData sheetId="513">
        <row r="5">
          <cell r="E5" t="str">
            <v>CANTIDAD</v>
          </cell>
        </row>
      </sheetData>
      <sheetData sheetId="514">
        <row r="5">
          <cell r="E5" t="str">
            <v>CANTIDAD</v>
          </cell>
        </row>
      </sheetData>
      <sheetData sheetId="515">
        <row r="5">
          <cell r="E5" t="str">
            <v>CANTIDAD</v>
          </cell>
        </row>
      </sheetData>
      <sheetData sheetId="516">
        <row r="5">
          <cell r="E5" t="str">
            <v>CANTIDAD</v>
          </cell>
        </row>
      </sheetData>
      <sheetData sheetId="517">
        <row r="4">
          <cell r="B4" t="str">
            <v/>
          </cell>
        </row>
      </sheetData>
      <sheetData sheetId="518">
        <row r="5">
          <cell r="E5" t="str">
            <v>CANTIDAD</v>
          </cell>
        </row>
      </sheetData>
      <sheetData sheetId="519">
        <row r="5">
          <cell r="E5" t="str">
            <v>CANTIDAD</v>
          </cell>
        </row>
      </sheetData>
      <sheetData sheetId="520">
        <row r="5">
          <cell r="E5" t="str">
            <v>CANTIDAD</v>
          </cell>
        </row>
      </sheetData>
      <sheetData sheetId="521">
        <row r="5">
          <cell r="E5" t="str">
            <v>CANTIDAD</v>
          </cell>
        </row>
      </sheetData>
      <sheetData sheetId="522">
        <row r="5">
          <cell r="E5" t="str">
            <v>CANTIDAD</v>
          </cell>
        </row>
      </sheetData>
      <sheetData sheetId="523">
        <row r="4">
          <cell r="B4" t="str">
            <v/>
          </cell>
        </row>
      </sheetData>
      <sheetData sheetId="524"/>
      <sheetData sheetId="525"/>
      <sheetData sheetId="526">
        <row r="7">
          <cell r="A7" t="str">
            <v>Herramientas Menores</v>
          </cell>
        </row>
      </sheetData>
      <sheetData sheetId="527">
        <row r="2">
          <cell r="A2" t="str">
            <v>ACTA No</v>
          </cell>
        </row>
      </sheetData>
      <sheetData sheetId="528">
        <row r="5">
          <cell r="A5" t="str">
            <v>Desperdicio</v>
          </cell>
        </row>
      </sheetData>
      <sheetData sheetId="529">
        <row r="7">
          <cell r="A7" t="str">
            <v>Herramientas Menores</v>
          </cell>
        </row>
      </sheetData>
      <sheetData sheetId="530">
        <row r="6">
          <cell r="A6" t="str">
            <v>TOPÓGRAFO</v>
          </cell>
        </row>
      </sheetData>
      <sheetData sheetId="531">
        <row r="5">
          <cell r="A5" t="str">
            <v>Desperdicio</v>
          </cell>
        </row>
      </sheetData>
      <sheetData sheetId="532"/>
      <sheetData sheetId="533"/>
      <sheetData sheetId="534">
        <row r="5">
          <cell r="A5">
            <v>1</v>
          </cell>
        </row>
      </sheetData>
      <sheetData sheetId="535" refreshError="1"/>
      <sheetData sheetId="536" refreshError="1"/>
      <sheetData sheetId="537" refreshError="1"/>
      <sheetData sheetId="538">
        <row r="5">
          <cell r="E5" t="str">
            <v>CANTIDAD</v>
          </cell>
        </row>
      </sheetData>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row r="2">
          <cell r="A2" t="str">
            <v>ACTA No</v>
          </cell>
        </row>
      </sheetData>
      <sheetData sheetId="564"/>
      <sheetData sheetId="565">
        <row r="1">
          <cell r="A1" t="str">
            <v>INSTITUTO NACIONAL DE VIAS</v>
          </cell>
        </row>
      </sheetData>
      <sheetData sheetId="566">
        <row r="1">
          <cell r="A1" t="str">
            <v>ITEM</v>
          </cell>
        </row>
      </sheetData>
      <sheetData sheetId="567" refreshError="1"/>
      <sheetData sheetId="568" refreshError="1"/>
      <sheetData sheetId="569" refreshError="1"/>
      <sheetData sheetId="570">
        <row r="1">
          <cell r="B1" t="str">
            <v>CTO-102-2002</v>
          </cell>
        </row>
      </sheetData>
      <sheetData sheetId="571">
        <row r="7">
          <cell r="B7">
            <v>0.1</v>
          </cell>
        </row>
      </sheetData>
      <sheetData sheetId="572">
        <row r="7">
          <cell r="B7">
            <v>0.1</v>
          </cell>
        </row>
      </sheetData>
      <sheetData sheetId="573"/>
      <sheetData sheetId="574"/>
      <sheetData sheetId="575"/>
      <sheetData sheetId="576"/>
      <sheetData sheetId="577"/>
      <sheetData sheetId="578"/>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row r="1">
          <cell r="A1" t="str">
            <v>INSTITUTO NACIONAL DE VIAS</v>
          </cell>
        </row>
      </sheetData>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ow r="1">
          <cell r="A1" t="str">
            <v>INSTITUTO NACIONAL DE VIAS</v>
          </cell>
        </row>
      </sheetData>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sheetData sheetId="855"/>
      <sheetData sheetId="856"/>
      <sheetData sheetId="857">
        <row r="1">
          <cell r="A1" t="str">
            <v>INSTITUTO NACIONAL DE VIAS</v>
          </cell>
        </row>
      </sheetData>
      <sheetData sheetId="858" refreshError="1"/>
      <sheetData sheetId="859" refreshError="1"/>
      <sheetData sheetId="860" refreshError="1"/>
      <sheetData sheetId="861">
        <row r="5">
          <cell r="E5" t="str">
            <v>CANTIDAD</v>
          </cell>
        </row>
      </sheetData>
      <sheetData sheetId="862">
        <row r="5">
          <cell r="E5" t="str">
            <v>CANTIDAD</v>
          </cell>
        </row>
      </sheetData>
      <sheetData sheetId="863">
        <row r="5">
          <cell r="E5" t="str">
            <v>CANTIDAD</v>
          </cell>
        </row>
      </sheetData>
      <sheetData sheetId="864">
        <row r="5">
          <cell r="E5" t="str">
            <v>CANTIDAD</v>
          </cell>
        </row>
      </sheetData>
      <sheetData sheetId="865">
        <row r="5">
          <cell r="E5" t="str">
            <v>CANTIDAD</v>
          </cell>
        </row>
      </sheetData>
      <sheetData sheetId="866">
        <row r="5">
          <cell r="E5" t="str">
            <v>CANTIDAD</v>
          </cell>
        </row>
      </sheetData>
      <sheetData sheetId="867">
        <row r="5">
          <cell r="E5" t="str">
            <v>CANTIDAD</v>
          </cell>
        </row>
      </sheetData>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sheetData sheetId="903" refreshError="1"/>
      <sheetData sheetId="904" refreshError="1"/>
      <sheetData sheetId="905" refreshError="1"/>
      <sheetData sheetId="906" refreshError="1"/>
      <sheetData sheetId="907" refreshError="1"/>
      <sheetData sheetId="908" refreshError="1"/>
      <sheetData sheetId="909" refreshError="1"/>
      <sheetData sheetId="910">
        <row r="1">
          <cell r="A1" t="str">
            <v>ABRAZADERA DE SALIDA TIPO 1</v>
          </cell>
        </row>
      </sheetData>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sheetData sheetId="930"/>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row r="5">
          <cell r="E5" t="str">
            <v>CANTIDAD</v>
          </cell>
        </row>
      </sheetData>
      <sheetData sheetId="980" refreshError="1"/>
      <sheetData sheetId="981" refreshError="1"/>
      <sheetData sheetId="982">
        <row r="1">
          <cell r="A1" t="str">
            <v>ITEM</v>
          </cell>
        </row>
      </sheetData>
      <sheetData sheetId="983">
        <row r="1">
          <cell r="A1" t="str">
            <v>EQUIPO</v>
          </cell>
        </row>
      </sheetData>
      <sheetData sheetId="984">
        <row r="51">
          <cell r="D51">
            <v>698</v>
          </cell>
        </row>
      </sheetData>
      <sheetData sheetId="985">
        <row r="1">
          <cell r="A1" t="str">
            <v>ADMINISTRACION</v>
          </cell>
        </row>
      </sheetData>
      <sheetData sheetId="986">
        <row r="5">
          <cell r="E5" t="str">
            <v>CANTIDAD</v>
          </cell>
        </row>
      </sheetData>
      <sheetData sheetId="987">
        <row r="5">
          <cell r="E5" t="str">
            <v>CANTIDAD</v>
          </cell>
        </row>
      </sheetData>
      <sheetData sheetId="988">
        <row r="5">
          <cell r="E5" t="str">
            <v>CANTIDAD</v>
          </cell>
        </row>
      </sheetData>
      <sheetData sheetId="989"/>
      <sheetData sheetId="990"/>
      <sheetData sheetId="991"/>
      <sheetData sheetId="992"/>
      <sheetData sheetId="993"/>
      <sheetData sheetId="994"/>
      <sheetData sheetId="995"/>
      <sheetData sheetId="996"/>
      <sheetData sheetId="997">
        <row r="33">
          <cell r="C33">
            <v>0.77967625899280601</v>
          </cell>
        </row>
      </sheetData>
      <sheetData sheetId="998">
        <row r="1">
          <cell r="A1" t="str">
            <v>ITEM</v>
          </cell>
        </row>
      </sheetData>
      <sheetData sheetId="999">
        <row r="1">
          <cell r="A1" t="str">
            <v>EQUIPO</v>
          </cell>
        </row>
      </sheetData>
      <sheetData sheetId="1000">
        <row r="1">
          <cell r="A1" t="str">
            <v>ADMINISTRACION</v>
          </cell>
        </row>
      </sheetData>
      <sheetData sheetId="1001">
        <row r="1">
          <cell r="A1" t="str">
            <v>EQUIPO</v>
          </cell>
        </row>
      </sheetData>
      <sheetData sheetId="1002">
        <row r="1">
          <cell r="A1" t="str">
            <v>ADMINISTRACION</v>
          </cell>
        </row>
      </sheetData>
      <sheetData sheetId="1003"/>
      <sheetData sheetId="1004"/>
      <sheetData sheetId="1005">
        <row r="1">
          <cell r="B1" t="str">
            <v>CTO-102-2002</v>
          </cell>
        </row>
      </sheetData>
      <sheetData sheetId="1006">
        <row r="5">
          <cell r="E5" t="str">
            <v>CANTIDAD</v>
          </cell>
        </row>
      </sheetData>
      <sheetData sheetId="1007">
        <row r="5">
          <cell r="E5" t="str">
            <v>CANTIDAD</v>
          </cell>
        </row>
      </sheetData>
      <sheetData sheetId="1008"/>
      <sheetData sheetId="1009">
        <row r="50">
          <cell r="H50">
            <v>971</v>
          </cell>
        </row>
      </sheetData>
      <sheetData sheetId="1010">
        <row r="50">
          <cell r="H50">
            <v>1192</v>
          </cell>
        </row>
      </sheetData>
      <sheetData sheetId="1011"/>
      <sheetData sheetId="1012"/>
      <sheetData sheetId="1013">
        <row r="33">
          <cell r="C33">
            <v>0.77967625899280601</v>
          </cell>
        </row>
      </sheetData>
      <sheetData sheetId="1014"/>
      <sheetData sheetId="1015">
        <row r="4">
          <cell r="B4" t="str">
            <v xml:space="preserve"> Bisagra Pivotante </v>
          </cell>
        </row>
      </sheetData>
      <sheetData sheetId="1016"/>
      <sheetData sheetId="1017"/>
      <sheetData sheetId="1018"/>
      <sheetData sheetId="1019">
        <row r="1">
          <cell r="B1" t="str">
            <v>CTO-102-2002</v>
          </cell>
        </row>
      </sheetData>
      <sheetData sheetId="1020"/>
      <sheetData sheetId="1021">
        <row r="1">
          <cell r="B1" t="str">
            <v>CTO-102-2002</v>
          </cell>
        </row>
      </sheetData>
      <sheetData sheetId="1022"/>
      <sheetData sheetId="1023">
        <row r="33">
          <cell r="C33">
            <v>0.77967625899280601</v>
          </cell>
        </row>
      </sheetData>
      <sheetData sheetId="1024"/>
      <sheetData sheetId="1025">
        <row r="1">
          <cell r="A1" t="str">
            <v>1P</v>
          </cell>
        </row>
      </sheetData>
      <sheetData sheetId="1026">
        <row r="50">
          <cell r="H50">
            <v>1192</v>
          </cell>
        </row>
      </sheetData>
      <sheetData sheetId="1027">
        <row r="5">
          <cell r="E5" t="str">
            <v>CANTIDAD</v>
          </cell>
        </row>
      </sheetData>
      <sheetData sheetId="1028">
        <row r="168">
          <cell r="D168">
            <v>10046</v>
          </cell>
        </row>
      </sheetData>
      <sheetData sheetId="1029">
        <row r="51">
          <cell r="D51">
            <v>698</v>
          </cell>
        </row>
      </sheetData>
      <sheetData sheetId="1030"/>
      <sheetData sheetId="1031"/>
      <sheetData sheetId="1032"/>
      <sheetData sheetId="1033"/>
      <sheetData sheetId="1034"/>
      <sheetData sheetId="1035"/>
      <sheetData sheetId="1036"/>
      <sheetData sheetId="1037"/>
      <sheetData sheetId="1038"/>
      <sheetData sheetId="1039">
        <row r="4">
          <cell r="B4" t="str">
            <v xml:space="preserve"> Bisagra Pivotante </v>
          </cell>
        </row>
      </sheetData>
      <sheetData sheetId="1040">
        <row r="41">
          <cell r="G41">
            <v>4237.2145748987859</v>
          </cell>
        </row>
      </sheetData>
      <sheetData sheetId="1041"/>
      <sheetData sheetId="1042">
        <row r="33">
          <cell r="C33">
            <v>0.77967625899280601</v>
          </cell>
        </row>
      </sheetData>
      <sheetData sheetId="1043"/>
      <sheetData sheetId="1044">
        <row r="33">
          <cell r="C33">
            <v>0.77967625899280601</v>
          </cell>
        </row>
      </sheetData>
      <sheetData sheetId="1045"/>
      <sheetData sheetId="1046"/>
      <sheetData sheetId="1047"/>
      <sheetData sheetId="1048"/>
      <sheetData sheetId="1049">
        <row r="33">
          <cell r="C33">
            <v>0.77967625899280601</v>
          </cell>
        </row>
      </sheetData>
      <sheetData sheetId="1050"/>
      <sheetData sheetId="1051">
        <row r="52">
          <cell r="H52">
            <v>117768</v>
          </cell>
        </row>
      </sheetData>
      <sheetData sheetId="1052" refreshError="1"/>
      <sheetData sheetId="1053"/>
      <sheetData sheetId="1054">
        <row r="52">
          <cell r="H52">
            <v>117768</v>
          </cell>
        </row>
      </sheetData>
      <sheetData sheetId="1055"/>
      <sheetData sheetId="1056">
        <row r="33">
          <cell r="C33">
            <v>0.77967625899280601</v>
          </cell>
        </row>
      </sheetData>
      <sheetData sheetId="1057">
        <row r="33">
          <cell r="C33">
            <v>0.77967625899280601</v>
          </cell>
        </row>
      </sheetData>
      <sheetData sheetId="1058"/>
      <sheetData sheetId="1059">
        <row r="33">
          <cell r="C33">
            <v>0.77967625899280601</v>
          </cell>
        </row>
      </sheetData>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sheetData sheetId="1579"/>
      <sheetData sheetId="1580"/>
      <sheetData sheetId="1581"/>
      <sheetData sheetId="1582"/>
      <sheetData sheetId="1583"/>
      <sheetData sheetId="1584" refreshError="1"/>
      <sheetData sheetId="1585" refreshError="1"/>
      <sheetData sheetId="1586" refreshError="1"/>
      <sheetData sheetId="1587" refreshError="1"/>
      <sheetData sheetId="1588" refreshError="1"/>
      <sheetData sheetId="1589" refreshError="1"/>
      <sheetData sheetId="1590" refreshError="1"/>
      <sheetData sheetId="1591"/>
      <sheetData sheetId="1592">
        <row r="18">
          <cell r="C18">
            <v>9000</v>
          </cell>
        </row>
      </sheetData>
      <sheetData sheetId="1593">
        <row r="154">
          <cell r="G154">
            <v>12880</v>
          </cell>
        </row>
      </sheetData>
      <sheetData sheetId="1594"/>
      <sheetData sheetId="1595"/>
      <sheetData sheetId="1596"/>
      <sheetData sheetId="1597"/>
      <sheetData sheetId="1598"/>
      <sheetData sheetId="1599"/>
      <sheetData sheetId="1600"/>
      <sheetData sheetId="1601">
        <row r="18">
          <cell r="C18">
            <v>7000</v>
          </cell>
        </row>
      </sheetData>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row r="4">
          <cell r="B4" t="str">
            <v/>
          </cell>
        </row>
      </sheetData>
      <sheetData sheetId="1620"/>
      <sheetData sheetId="1621"/>
      <sheetData sheetId="1622"/>
      <sheetData sheetId="1623">
        <row r="18">
          <cell r="C18">
            <v>7000</v>
          </cell>
        </row>
      </sheetData>
      <sheetData sheetId="1624"/>
      <sheetData sheetId="1625">
        <row r="4">
          <cell r="B4" t="str">
            <v/>
          </cell>
        </row>
      </sheetData>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row r="18">
          <cell r="C18">
            <v>7000</v>
          </cell>
        </row>
      </sheetData>
      <sheetData sheetId="1639"/>
      <sheetData sheetId="1640">
        <row r="4">
          <cell r="B4">
            <v>0</v>
          </cell>
        </row>
      </sheetData>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refreshError="1"/>
      <sheetData sheetId="1654" refreshError="1"/>
      <sheetData sheetId="1655"/>
      <sheetData sheetId="1656" refreshError="1"/>
      <sheetData sheetId="1657"/>
      <sheetData sheetId="1658" refreshError="1"/>
      <sheetData sheetId="1659" refreshError="1"/>
      <sheetData sheetId="1660" refreshError="1"/>
      <sheetData sheetId="1661"/>
      <sheetData sheetId="1662"/>
      <sheetData sheetId="1663"/>
      <sheetData sheetId="1664"/>
      <sheetData sheetId="1665"/>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row r="2">
          <cell r="A2" t="str">
            <v>CODIGO</v>
          </cell>
        </row>
      </sheetData>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row r="168">
          <cell r="D168">
            <v>0.16</v>
          </cell>
        </row>
      </sheetData>
      <sheetData sheetId="1708"/>
      <sheetData sheetId="1709">
        <row r="7">
          <cell r="B7">
            <v>1</v>
          </cell>
        </row>
      </sheetData>
      <sheetData sheetId="1710">
        <row r="33">
          <cell r="G33">
            <v>0.59504299999999999</v>
          </cell>
        </row>
      </sheetData>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row r="8">
          <cell r="A8">
            <v>2.1</v>
          </cell>
        </row>
      </sheetData>
      <sheetData sheetId="2422">
        <row r="8">
          <cell r="A8">
            <v>3.1</v>
          </cell>
        </row>
      </sheetData>
      <sheetData sheetId="2423">
        <row r="8">
          <cell r="A8">
            <v>2.1</v>
          </cell>
        </row>
      </sheetData>
      <sheetData sheetId="2424">
        <row r="8">
          <cell r="A8">
            <v>3.1</v>
          </cell>
        </row>
      </sheetData>
      <sheetData sheetId="2425">
        <row r="8">
          <cell r="A8">
            <v>2.1</v>
          </cell>
        </row>
      </sheetData>
      <sheetData sheetId="2426">
        <row r="8">
          <cell r="A8">
            <v>3.1</v>
          </cell>
        </row>
      </sheetData>
      <sheetData sheetId="2427"/>
      <sheetData sheetId="2428">
        <row r="3">
          <cell r="A3">
            <v>1</v>
          </cell>
        </row>
      </sheetData>
      <sheetData sheetId="2429"/>
      <sheetData sheetId="2430">
        <row r="3">
          <cell r="A3">
            <v>1</v>
          </cell>
        </row>
      </sheetData>
      <sheetData sheetId="2431"/>
      <sheetData sheetId="2432">
        <row r="3">
          <cell r="A3">
            <v>1</v>
          </cell>
        </row>
      </sheetData>
      <sheetData sheetId="2433"/>
      <sheetData sheetId="2434"/>
      <sheetData sheetId="2435">
        <row r="1">
          <cell r="A1" t="str">
            <v>LISTADO DE INSUMOS GENERAL</v>
          </cell>
        </row>
      </sheetData>
      <sheetData sheetId="2436"/>
      <sheetData sheetId="2437">
        <row r="1">
          <cell r="A1" t="str">
            <v>LISTADO DE INSUMOS GENERAL</v>
          </cell>
        </row>
      </sheetData>
      <sheetData sheetId="2438"/>
      <sheetData sheetId="2439">
        <row r="1">
          <cell r="A1" t="str">
            <v>LISTADO DE INSUMOS GENERAL</v>
          </cell>
        </row>
      </sheetData>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row r="5">
          <cell r="E5" t="str">
            <v>CANTIDAD</v>
          </cell>
        </row>
      </sheetData>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ow r="18">
          <cell r="C18">
            <v>7000</v>
          </cell>
        </row>
      </sheetData>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sheetData sheetId="2750"/>
      <sheetData sheetId="2751">
        <row r="6">
          <cell r="A6" t="str">
            <v>TOPÓGRAFO</v>
          </cell>
        </row>
      </sheetData>
      <sheetData sheetId="2752" refreshError="1"/>
      <sheetData sheetId="2753">
        <row r="5">
          <cell r="A5" t="str">
            <v>Desperdicio</v>
          </cell>
        </row>
      </sheetData>
      <sheetData sheetId="2754">
        <row r="7">
          <cell r="A7" t="str">
            <v>Herramientas Menores</v>
          </cell>
        </row>
      </sheetData>
      <sheetData sheetId="2755">
        <row r="5">
          <cell r="A5" t="str">
            <v>Desperdicio</v>
          </cell>
        </row>
      </sheetData>
      <sheetData sheetId="2756">
        <row r="7">
          <cell r="A7" t="str">
            <v>Herramientas Menores</v>
          </cell>
        </row>
      </sheetData>
      <sheetData sheetId="2757">
        <row r="6">
          <cell r="A6" t="str">
            <v>TOPÓGRAFO</v>
          </cell>
        </row>
      </sheetData>
      <sheetData sheetId="2758"/>
      <sheetData sheetId="2759"/>
      <sheetData sheetId="2760"/>
      <sheetData sheetId="2761"/>
      <sheetData sheetId="2762"/>
      <sheetData sheetId="2763">
        <row r="162">
          <cell r="G162">
            <v>68799</v>
          </cell>
        </row>
      </sheetData>
      <sheetData sheetId="2764"/>
      <sheetData sheetId="2765"/>
      <sheetData sheetId="2766"/>
      <sheetData sheetId="2767"/>
      <sheetData sheetId="2768"/>
      <sheetData sheetId="2769">
        <row r="18">
          <cell r="C18">
            <v>9000</v>
          </cell>
        </row>
      </sheetData>
      <sheetData sheetId="2770">
        <row r="5">
          <cell r="A5" t="str">
            <v>Desperdicio</v>
          </cell>
        </row>
      </sheetData>
      <sheetData sheetId="2771">
        <row r="7">
          <cell r="A7" t="str">
            <v>Herramientas Menores</v>
          </cell>
        </row>
      </sheetData>
      <sheetData sheetId="2772">
        <row r="6">
          <cell r="A6" t="str">
            <v>TOPÓGRAFO</v>
          </cell>
        </row>
      </sheetData>
      <sheetData sheetId="2773">
        <row r="18">
          <cell r="C18">
            <v>7000</v>
          </cell>
        </row>
      </sheetData>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row r="1">
          <cell r="A1" t="str">
            <v>EQUIPO</v>
          </cell>
        </row>
      </sheetData>
      <sheetData sheetId="2804">
        <row r="1">
          <cell r="A1" t="str">
            <v>ADMINISTRACION</v>
          </cell>
        </row>
      </sheetData>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sheetData sheetId="2904" refreshError="1"/>
      <sheetData sheetId="2905" refreshError="1"/>
      <sheetData sheetId="2906" refreshError="1"/>
      <sheetData sheetId="2907" refreshError="1"/>
      <sheetData sheetId="2908" refreshError="1"/>
      <sheetData sheetId="2909" refreshError="1"/>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refreshError="1"/>
      <sheetData sheetId="2930" refreshError="1"/>
      <sheetData sheetId="2931" refreshError="1"/>
      <sheetData sheetId="2932" refreshError="1"/>
      <sheetData sheetId="2933" refreshError="1"/>
      <sheetData sheetId="2934" refreshError="1"/>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row r="4">
          <cell r="B4" t="str">
            <v/>
          </cell>
        </row>
        <row r="22">
          <cell r="B22" t="str">
            <v>BULLDOZER D8</v>
          </cell>
        </row>
      </sheetData>
      <sheetData sheetId="2954"/>
      <sheetData sheetId="2955"/>
      <sheetData sheetId="2956"/>
      <sheetData sheetId="2957"/>
      <sheetData sheetId="2958">
        <row r="5">
          <cell r="E5" t="str">
            <v>CANTIDAD</v>
          </cell>
        </row>
      </sheetData>
      <sheetData sheetId="2959">
        <row r="5">
          <cell r="E5" t="str">
            <v>CANTIDAD</v>
          </cell>
        </row>
      </sheetData>
      <sheetData sheetId="2960">
        <row r="154">
          <cell r="G154">
            <v>12880</v>
          </cell>
        </row>
      </sheetData>
      <sheetData sheetId="2961"/>
      <sheetData sheetId="2962"/>
      <sheetData sheetId="2963"/>
      <sheetData sheetId="2964"/>
      <sheetData sheetId="2965">
        <row r="21">
          <cell r="G21" t="b">
            <v>0</v>
          </cell>
        </row>
      </sheetData>
      <sheetData sheetId="2966">
        <row r="21">
          <cell r="G21" t="b">
            <v>0</v>
          </cell>
        </row>
      </sheetData>
      <sheetData sheetId="2967"/>
      <sheetData sheetId="2968"/>
      <sheetData sheetId="2969"/>
      <sheetData sheetId="2970"/>
      <sheetData sheetId="2971">
        <row r="5">
          <cell r="A5" t="str">
            <v>Desperdicio</v>
          </cell>
        </row>
      </sheetData>
      <sheetData sheetId="2972">
        <row r="7">
          <cell r="A7" t="str">
            <v>Herramientas Menores</v>
          </cell>
        </row>
      </sheetData>
      <sheetData sheetId="2973"/>
      <sheetData sheetId="2974">
        <row r="18">
          <cell r="C18">
            <v>7000</v>
          </cell>
        </row>
      </sheetData>
      <sheetData sheetId="2975"/>
      <sheetData sheetId="2976"/>
      <sheetData sheetId="2977"/>
      <sheetData sheetId="2978"/>
      <sheetData sheetId="2979"/>
      <sheetData sheetId="2980">
        <row r="21">
          <cell r="G21" t="b">
            <v>0</v>
          </cell>
        </row>
      </sheetData>
      <sheetData sheetId="2981"/>
      <sheetData sheetId="2982"/>
      <sheetData sheetId="2983"/>
      <sheetData sheetId="2984"/>
      <sheetData sheetId="2985"/>
      <sheetData sheetId="2986"/>
      <sheetData sheetId="2987">
        <row r="18">
          <cell r="C18">
            <v>7000</v>
          </cell>
        </row>
      </sheetData>
      <sheetData sheetId="2988"/>
      <sheetData sheetId="2989">
        <row r="5">
          <cell r="A5" t="str">
            <v>Desperdicio</v>
          </cell>
        </row>
      </sheetData>
      <sheetData sheetId="2990">
        <row r="7">
          <cell r="A7" t="str">
            <v>Herramientas Menores</v>
          </cell>
        </row>
      </sheetData>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row r="4">
          <cell r="B4" t="str">
            <v/>
          </cell>
        </row>
      </sheetData>
      <sheetData sheetId="3004"/>
      <sheetData sheetId="3005"/>
      <sheetData sheetId="3006"/>
      <sheetData sheetId="3007"/>
      <sheetData sheetId="3008"/>
      <sheetData sheetId="3009">
        <row r="4">
          <cell r="B4" t="str">
            <v/>
          </cell>
        </row>
      </sheetData>
      <sheetData sheetId="3010"/>
      <sheetData sheetId="3011"/>
      <sheetData sheetId="3012"/>
      <sheetData sheetId="3013"/>
      <sheetData sheetId="3014"/>
      <sheetData sheetId="3015"/>
      <sheetData sheetId="3016"/>
      <sheetData sheetId="3017"/>
      <sheetData sheetId="3018"/>
      <sheetData sheetId="3019"/>
      <sheetData sheetId="3020"/>
      <sheetData sheetId="3021">
        <row r="18">
          <cell r="C18">
            <v>7000</v>
          </cell>
        </row>
      </sheetData>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ow r="5">
          <cell r="E5" t="str">
            <v>CANTIDAD</v>
          </cell>
        </row>
      </sheetData>
      <sheetData sheetId="3760">
        <row r="5">
          <cell r="E5" t="str">
            <v>CANTIDAD</v>
          </cell>
        </row>
      </sheetData>
      <sheetData sheetId="3761">
        <row r="5">
          <cell r="E5" t="str">
            <v>CANTIDAD</v>
          </cell>
        </row>
      </sheetData>
      <sheetData sheetId="3762">
        <row r="5">
          <cell r="E5" t="str">
            <v>CANTIDAD</v>
          </cell>
        </row>
      </sheetData>
      <sheetData sheetId="3763">
        <row r="5">
          <cell r="E5" t="str">
            <v>CANTIDAD</v>
          </cell>
        </row>
      </sheetData>
      <sheetData sheetId="3764">
        <row r="5">
          <cell r="E5" t="str">
            <v>CANTIDAD</v>
          </cell>
        </row>
      </sheetData>
      <sheetData sheetId="3765">
        <row r="5">
          <cell r="E5" t="str">
            <v>CANTIDAD</v>
          </cell>
        </row>
      </sheetData>
      <sheetData sheetId="3766"/>
      <sheetData sheetId="3767"/>
      <sheetData sheetId="3768"/>
      <sheetData sheetId="3769"/>
      <sheetData sheetId="3770"/>
      <sheetData sheetId="3771">
        <row r="5">
          <cell r="E5" t="str">
            <v>CANTIDAD</v>
          </cell>
        </row>
      </sheetData>
      <sheetData sheetId="3772">
        <row r="5">
          <cell r="E5" t="str">
            <v>CANTIDAD</v>
          </cell>
        </row>
      </sheetData>
      <sheetData sheetId="3773">
        <row r="5">
          <cell r="E5" t="str">
            <v>CANTIDAD</v>
          </cell>
        </row>
      </sheetData>
      <sheetData sheetId="3774">
        <row r="5">
          <cell r="E5" t="str">
            <v>CANTIDAD</v>
          </cell>
        </row>
      </sheetData>
      <sheetData sheetId="3775">
        <row r="5">
          <cell r="E5" t="str">
            <v>CANTIDAD</v>
          </cell>
        </row>
      </sheetData>
      <sheetData sheetId="3776">
        <row r="5">
          <cell r="E5" t="str">
            <v>CANTIDAD</v>
          </cell>
        </row>
      </sheetData>
      <sheetData sheetId="3777">
        <row r="5">
          <cell r="E5" t="str">
            <v>CANTIDAD</v>
          </cell>
        </row>
      </sheetData>
      <sheetData sheetId="3778">
        <row r="5">
          <cell r="E5" t="str">
            <v>CANTIDAD</v>
          </cell>
        </row>
      </sheetData>
      <sheetData sheetId="3779">
        <row r="5">
          <cell r="E5" t="str">
            <v>CANTIDAD</v>
          </cell>
        </row>
      </sheetData>
      <sheetData sheetId="3780">
        <row r="5">
          <cell r="E5" t="str">
            <v>CANTIDAD</v>
          </cell>
        </row>
      </sheetData>
      <sheetData sheetId="3781"/>
      <sheetData sheetId="3782"/>
      <sheetData sheetId="3783"/>
      <sheetData sheetId="3784"/>
      <sheetData sheetId="3785"/>
      <sheetData sheetId="3786">
        <row r="1">
          <cell r="A1" t="str">
            <v>ITEM</v>
          </cell>
        </row>
      </sheetData>
      <sheetData sheetId="3787">
        <row r="1">
          <cell r="A1" t="str">
            <v>EQUIPO</v>
          </cell>
        </row>
      </sheetData>
      <sheetData sheetId="3788" refreshError="1"/>
      <sheetData sheetId="3789">
        <row r="5">
          <cell r="E5" t="str">
            <v>CANTIDAD</v>
          </cell>
        </row>
      </sheetData>
      <sheetData sheetId="3790">
        <row r="5">
          <cell r="E5" t="str">
            <v>CANTIDAD</v>
          </cell>
        </row>
      </sheetData>
      <sheetData sheetId="3791">
        <row r="5">
          <cell r="E5" t="str">
            <v>CANTIDAD</v>
          </cell>
        </row>
      </sheetData>
      <sheetData sheetId="3792">
        <row r="5">
          <cell r="E5" t="str">
            <v>CANTIDAD</v>
          </cell>
        </row>
      </sheetData>
      <sheetData sheetId="3793">
        <row r="5">
          <cell r="E5" t="str">
            <v>CANTIDAD</v>
          </cell>
        </row>
      </sheetData>
      <sheetData sheetId="3794">
        <row r="5">
          <cell r="E5" t="str">
            <v>CANTIDAD</v>
          </cell>
        </row>
      </sheetData>
      <sheetData sheetId="3795">
        <row r="5">
          <cell r="E5" t="str">
            <v>CANTIDAD</v>
          </cell>
        </row>
      </sheetData>
      <sheetData sheetId="3796">
        <row r="5">
          <cell r="E5" t="str">
            <v>CANTIDAD</v>
          </cell>
        </row>
      </sheetData>
      <sheetData sheetId="3797"/>
      <sheetData sheetId="3798"/>
      <sheetData sheetId="3799">
        <row r="4">
          <cell r="B4" t="str">
            <v/>
          </cell>
        </row>
      </sheetData>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ow r="1">
          <cell r="A1" t="str">
            <v>ADMINISTRACION</v>
          </cell>
        </row>
      </sheetData>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sheetData sheetId="3940"/>
      <sheetData sheetId="3941"/>
      <sheetData sheetId="3942" refreshError="1"/>
      <sheetData sheetId="3943" refreshError="1"/>
      <sheetData sheetId="3944" refreshError="1"/>
      <sheetData sheetId="3945" refreshError="1"/>
      <sheetData sheetId="3946" refreshError="1"/>
      <sheetData sheetId="3947" refreshError="1"/>
      <sheetData sheetId="3948"/>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sheetData sheetId="4049">
        <row r="1">
          <cell r="A1" t="str">
            <v>ITEM</v>
          </cell>
        </row>
      </sheetData>
      <sheetData sheetId="4050">
        <row r="1">
          <cell r="A1" t="str">
            <v>EQUIPO</v>
          </cell>
        </row>
      </sheetData>
      <sheetData sheetId="4051">
        <row r="1">
          <cell r="A1" t="str">
            <v>ITEM</v>
          </cell>
        </row>
      </sheetData>
      <sheetData sheetId="4052">
        <row r="1">
          <cell r="A1" t="str">
            <v>EQUIPO</v>
          </cell>
        </row>
      </sheetData>
      <sheetData sheetId="4053">
        <row r="1">
          <cell r="A1" t="str">
            <v>ADMINISTRACION</v>
          </cell>
        </row>
      </sheetData>
      <sheetData sheetId="4054"/>
      <sheetData sheetId="4055">
        <row r="5">
          <cell r="A5" t="str">
            <v>Desperdicio</v>
          </cell>
        </row>
      </sheetData>
      <sheetData sheetId="4056">
        <row r="7">
          <cell r="A7" t="str">
            <v>Herramientas Menores</v>
          </cell>
        </row>
      </sheetData>
      <sheetData sheetId="4057">
        <row r="6">
          <cell r="A6" t="str">
            <v>TOPÓGRAFO</v>
          </cell>
        </row>
      </sheetData>
      <sheetData sheetId="4058"/>
      <sheetData sheetId="4059"/>
      <sheetData sheetId="4060"/>
      <sheetData sheetId="4061"/>
      <sheetData sheetId="4062"/>
      <sheetData sheetId="4063"/>
      <sheetData sheetId="4064"/>
      <sheetData sheetId="4065"/>
      <sheetData sheetId="4066">
        <row r="1">
          <cell r="A1" t="str">
            <v>ITEM</v>
          </cell>
        </row>
      </sheetData>
      <sheetData sheetId="4067">
        <row r="1">
          <cell r="A1" t="str">
            <v>EQUIPO</v>
          </cell>
        </row>
      </sheetData>
      <sheetData sheetId="4068">
        <row r="1">
          <cell r="A1" t="str">
            <v>ADMINISTRACION</v>
          </cell>
        </row>
      </sheetData>
      <sheetData sheetId="4069">
        <row r="1">
          <cell r="A1" t="str">
            <v>EQUIPO</v>
          </cell>
        </row>
      </sheetData>
      <sheetData sheetId="4070">
        <row r="1">
          <cell r="A1" t="str">
            <v>ADMINISTRACION</v>
          </cell>
        </row>
      </sheetData>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row r="1">
          <cell r="A1" t="str">
            <v>EQUIPO</v>
          </cell>
        </row>
      </sheetData>
      <sheetData sheetId="4114">
        <row r="1">
          <cell r="A1" t="str">
            <v>ADMINISTRACION</v>
          </cell>
        </row>
      </sheetData>
      <sheetData sheetId="4115"/>
      <sheetData sheetId="4116"/>
      <sheetData sheetId="4117">
        <row r="5">
          <cell r="E5" t="str">
            <v>CANTIDAD</v>
          </cell>
        </row>
      </sheetData>
      <sheetData sheetId="4118">
        <row r="5">
          <cell r="E5" t="str">
            <v>CANTIDAD</v>
          </cell>
        </row>
      </sheetData>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ow r="5">
          <cell r="E5" t="str">
            <v>CANTIDAD</v>
          </cell>
        </row>
      </sheetData>
      <sheetData sheetId="4137">
        <row r="5">
          <cell r="E5" t="str">
            <v>CANTIDAD</v>
          </cell>
        </row>
      </sheetData>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ow r="5">
          <cell r="E5" t="str">
            <v>CANTIDAD</v>
          </cell>
        </row>
      </sheetData>
      <sheetData sheetId="4173" refreshError="1"/>
      <sheetData sheetId="4174" refreshError="1"/>
      <sheetData sheetId="4175" refreshError="1"/>
      <sheetData sheetId="4176">
        <row r="162">
          <cell r="G162">
            <v>68799</v>
          </cell>
        </row>
      </sheetData>
      <sheetData sheetId="4177">
        <row r="21">
          <cell r="G21" t="b">
            <v>0</v>
          </cell>
        </row>
      </sheetData>
      <sheetData sheetId="4178"/>
      <sheetData sheetId="4179"/>
      <sheetData sheetId="4180">
        <row r="5">
          <cell r="A5" t="str">
            <v>Desperdicio</v>
          </cell>
        </row>
      </sheetData>
      <sheetData sheetId="4181">
        <row r="7">
          <cell r="A7" t="str">
            <v>Herramientas Menores</v>
          </cell>
        </row>
      </sheetData>
      <sheetData sheetId="4182">
        <row r="6">
          <cell r="A6" t="str">
            <v>TOPÓGRAFO</v>
          </cell>
        </row>
      </sheetData>
      <sheetData sheetId="4183">
        <row r="5">
          <cell r="A5" t="str">
            <v>Desperdicio</v>
          </cell>
        </row>
      </sheetData>
      <sheetData sheetId="4184">
        <row r="7">
          <cell r="A7" t="str">
            <v>Herramientas Menores</v>
          </cell>
        </row>
      </sheetData>
      <sheetData sheetId="4185">
        <row r="6">
          <cell r="A6" t="str">
            <v>TOPÓGRAFO</v>
          </cell>
        </row>
      </sheetData>
      <sheetData sheetId="4186"/>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ow r="162">
          <cell r="G162">
            <v>68799</v>
          </cell>
        </row>
      </sheetData>
      <sheetData sheetId="4207">
        <row r="21">
          <cell r="G21" t="b">
            <v>0</v>
          </cell>
        </row>
      </sheetData>
      <sheetData sheetId="4208"/>
      <sheetData sheetId="4209"/>
      <sheetData sheetId="4210">
        <row r="5">
          <cell r="A5" t="str">
            <v>Desperdicio</v>
          </cell>
        </row>
      </sheetData>
      <sheetData sheetId="4211">
        <row r="7">
          <cell r="A7" t="str">
            <v>Herramientas Menores</v>
          </cell>
        </row>
      </sheetData>
      <sheetData sheetId="4212">
        <row r="6">
          <cell r="A6" t="str">
            <v>TOPÓGRAFO</v>
          </cell>
        </row>
      </sheetData>
      <sheetData sheetId="4213">
        <row r="5">
          <cell r="A5" t="str">
            <v>Desperdicio</v>
          </cell>
        </row>
      </sheetData>
      <sheetData sheetId="4214">
        <row r="7">
          <cell r="A7" t="str">
            <v>Herramientas Menores</v>
          </cell>
        </row>
      </sheetData>
      <sheetData sheetId="4215">
        <row r="6">
          <cell r="A6" t="str">
            <v>TOPÓGRAFO</v>
          </cell>
        </row>
      </sheetData>
      <sheetData sheetId="4216">
        <row r="5">
          <cell r="A5" t="str">
            <v>Desperdicio</v>
          </cell>
        </row>
      </sheetData>
      <sheetData sheetId="4217">
        <row r="7">
          <cell r="A7" t="str">
            <v>Herramientas Menores</v>
          </cell>
        </row>
      </sheetData>
      <sheetData sheetId="4218">
        <row r="6">
          <cell r="A6" t="str">
            <v>TOPÓGRAFO</v>
          </cell>
        </row>
      </sheetData>
      <sheetData sheetId="4219"/>
      <sheetData sheetId="4220"/>
      <sheetData sheetId="4221" refreshError="1"/>
      <sheetData sheetId="4222" refreshError="1"/>
      <sheetData sheetId="4223">
        <row r="7">
          <cell r="B7">
            <v>0.1</v>
          </cell>
        </row>
      </sheetData>
      <sheetData sheetId="4224">
        <row r="7">
          <cell r="B7">
            <v>0.1</v>
          </cell>
        </row>
      </sheetData>
      <sheetData sheetId="4225"/>
      <sheetData sheetId="4226" refreshError="1"/>
      <sheetData sheetId="4227" refreshError="1"/>
      <sheetData sheetId="4228" refreshError="1"/>
      <sheetData sheetId="4229" refreshError="1"/>
      <sheetData sheetId="4230" refreshError="1"/>
      <sheetData sheetId="4231"/>
      <sheetData sheetId="4232">
        <row r="6">
          <cell r="A6" t="str">
            <v>TOPÓGRAFO</v>
          </cell>
        </row>
      </sheetData>
      <sheetData sheetId="4233"/>
      <sheetData sheetId="4234">
        <row r="5">
          <cell r="E5" t="str">
            <v>CANTIDAD</v>
          </cell>
        </row>
      </sheetData>
      <sheetData sheetId="4235">
        <row r="5">
          <cell r="E5" t="str">
            <v>CANTIDAD</v>
          </cell>
        </row>
      </sheetData>
      <sheetData sheetId="4236">
        <row r="5">
          <cell r="E5" t="str">
            <v>CANTIDAD</v>
          </cell>
        </row>
      </sheetData>
      <sheetData sheetId="4237">
        <row r="5">
          <cell r="E5" t="str">
            <v>CANTIDAD</v>
          </cell>
        </row>
      </sheetData>
      <sheetData sheetId="4238">
        <row r="5">
          <cell r="E5" t="str">
            <v>CANTIDAD</v>
          </cell>
        </row>
      </sheetData>
      <sheetData sheetId="4239">
        <row r="5">
          <cell r="E5" t="str">
            <v>CANTIDAD</v>
          </cell>
        </row>
      </sheetData>
      <sheetData sheetId="4240">
        <row r="5">
          <cell r="E5" t="str">
            <v>CANTIDAD</v>
          </cell>
        </row>
      </sheetData>
      <sheetData sheetId="4241">
        <row r="5">
          <cell r="E5" t="str">
            <v>CANTIDAD</v>
          </cell>
        </row>
      </sheetData>
      <sheetData sheetId="4242">
        <row r="5">
          <cell r="E5" t="str">
            <v>CANTIDAD</v>
          </cell>
        </row>
      </sheetData>
      <sheetData sheetId="4243">
        <row r="5">
          <cell r="E5" t="str">
            <v>CANTIDAD</v>
          </cell>
        </row>
      </sheetData>
      <sheetData sheetId="4244">
        <row r="5">
          <cell r="E5" t="str">
            <v>CANTIDAD</v>
          </cell>
        </row>
      </sheetData>
      <sheetData sheetId="4245">
        <row r="5">
          <cell r="E5" t="str">
            <v>CANTIDAD</v>
          </cell>
        </row>
      </sheetData>
      <sheetData sheetId="4246">
        <row r="5">
          <cell r="E5" t="str">
            <v>CANTIDAD</v>
          </cell>
        </row>
      </sheetData>
      <sheetData sheetId="4247">
        <row r="5">
          <cell r="E5" t="str">
            <v>CANTIDAD</v>
          </cell>
        </row>
      </sheetData>
      <sheetData sheetId="4248">
        <row r="5">
          <cell r="E5" t="str">
            <v>CANTIDAD</v>
          </cell>
        </row>
      </sheetData>
      <sheetData sheetId="4249">
        <row r="5">
          <cell r="E5" t="str">
            <v>CANTIDAD</v>
          </cell>
        </row>
      </sheetData>
      <sheetData sheetId="4250"/>
      <sheetData sheetId="4251"/>
      <sheetData sheetId="4252"/>
      <sheetData sheetId="4253"/>
      <sheetData sheetId="4254"/>
      <sheetData sheetId="4255"/>
      <sheetData sheetId="4256"/>
      <sheetData sheetId="4257"/>
      <sheetData sheetId="4258">
        <row r="1">
          <cell r="A1" t="str">
            <v>INSTITUTO NACIONAL DE VIAS</v>
          </cell>
        </row>
      </sheetData>
      <sheetData sheetId="4259"/>
      <sheetData sheetId="4260">
        <row r="1">
          <cell r="A1" t="str">
            <v>INSTITUTO NACIONAL DE VIAS</v>
          </cell>
        </row>
      </sheetData>
      <sheetData sheetId="4261"/>
      <sheetData sheetId="4262"/>
      <sheetData sheetId="4263"/>
      <sheetData sheetId="4264"/>
      <sheetData sheetId="4265"/>
      <sheetData sheetId="4266">
        <row r="1">
          <cell r="A1" t="str">
            <v>INSTITUTO NACIONAL DE VIAS</v>
          </cell>
        </row>
      </sheetData>
      <sheetData sheetId="4267"/>
      <sheetData sheetId="4268">
        <row r="1">
          <cell r="A1" t="str">
            <v>INSTITUTO NACIONAL DE VIAS</v>
          </cell>
        </row>
      </sheetData>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row r="7">
          <cell r="B7">
            <v>0.1</v>
          </cell>
        </row>
      </sheetData>
      <sheetData sheetId="4287">
        <row r="7">
          <cell r="B7">
            <v>0.1</v>
          </cell>
        </row>
      </sheetData>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row r="1">
          <cell r="A1" t="str">
            <v>INSTITUTO NACIONAL DE VIAS</v>
          </cell>
        </row>
      </sheetData>
      <sheetData sheetId="4317"/>
      <sheetData sheetId="4318"/>
      <sheetData sheetId="4319"/>
      <sheetData sheetId="4320"/>
      <sheetData sheetId="4321"/>
      <sheetData sheetId="4322"/>
      <sheetData sheetId="4323"/>
      <sheetData sheetId="4324">
        <row r="1">
          <cell r="A1" t="str">
            <v>INSTITUTO NACIONAL DE VIAS</v>
          </cell>
        </row>
      </sheetData>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row r="1">
          <cell r="A1" t="str">
            <v>EQUIPO</v>
          </cell>
        </row>
      </sheetData>
      <sheetData sheetId="4352">
        <row r="1">
          <cell r="A1" t="str">
            <v>ADMINISTRACION</v>
          </cell>
        </row>
      </sheetData>
      <sheetData sheetId="4353">
        <row r="1">
          <cell r="A1" t="str">
            <v>EQUIPO</v>
          </cell>
        </row>
      </sheetData>
      <sheetData sheetId="4354">
        <row r="1">
          <cell r="A1" t="str">
            <v>ADMINISTRACION</v>
          </cell>
        </row>
      </sheetData>
      <sheetData sheetId="4355">
        <row r="1">
          <cell r="A1" t="str">
            <v>EQUIPO</v>
          </cell>
        </row>
      </sheetData>
      <sheetData sheetId="4356">
        <row r="1">
          <cell r="A1" t="str">
            <v>ADMINISTRACION</v>
          </cell>
        </row>
      </sheetData>
      <sheetData sheetId="4357">
        <row r="1">
          <cell r="A1" t="str">
            <v>EQUIPO</v>
          </cell>
        </row>
      </sheetData>
      <sheetData sheetId="4358">
        <row r="1">
          <cell r="A1" t="str">
            <v>ADMINISTRACION</v>
          </cell>
        </row>
      </sheetData>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row r="1">
          <cell r="A1" t="str">
            <v>ITEM</v>
          </cell>
        </row>
      </sheetData>
      <sheetData sheetId="4396">
        <row r="1">
          <cell r="A1" t="str">
            <v>EQUIPO</v>
          </cell>
        </row>
      </sheetData>
      <sheetData sheetId="4397">
        <row r="1">
          <cell r="A1" t="str">
            <v>ITEM</v>
          </cell>
        </row>
      </sheetData>
      <sheetData sheetId="4398">
        <row r="1">
          <cell r="A1" t="str">
            <v>EQUIPO</v>
          </cell>
        </row>
      </sheetData>
      <sheetData sheetId="4399">
        <row r="1">
          <cell r="A1" t="str">
            <v>ITEM</v>
          </cell>
        </row>
      </sheetData>
      <sheetData sheetId="4400">
        <row r="1">
          <cell r="A1" t="str">
            <v>EQUIPO</v>
          </cell>
        </row>
      </sheetData>
      <sheetData sheetId="4401">
        <row r="1">
          <cell r="A1" t="str">
            <v>ADMINISTRACION</v>
          </cell>
        </row>
      </sheetData>
      <sheetData sheetId="4402">
        <row r="1">
          <cell r="A1" t="str">
            <v>EQUIPO</v>
          </cell>
        </row>
      </sheetData>
      <sheetData sheetId="4403">
        <row r="1">
          <cell r="A1" t="str">
            <v>ADMINISTRACION</v>
          </cell>
        </row>
      </sheetData>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row r="16">
          <cell r="A16" t="str">
            <v>ABONO 10-30-10</v>
          </cell>
        </row>
      </sheetData>
      <sheetData sheetId="4445"/>
      <sheetData sheetId="4446">
        <row r="16">
          <cell r="A16" t="str">
            <v>ABONO 10-30-10</v>
          </cell>
        </row>
      </sheetData>
      <sheetData sheetId="4447"/>
      <sheetData sheetId="4448">
        <row r="16">
          <cell r="A16" t="str">
            <v>ABONO 10-30-10</v>
          </cell>
        </row>
        <row r="17">
          <cell r="A17" t="str">
            <v>ABONO TIERRA NEGRA, GALLINAZA, CASCARILLA 40 KG</v>
          </cell>
        </row>
        <row r="18">
          <cell r="A18" t="str">
            <v>ABONO UREA</v>
          </cell>
        </row>
        <row r="19">
          <cell r="A19" t="str">
            <v>ACARREO ASFALTO</v>
          </cell>
        </row>
        <row r="20">
          <cell r="A20" t="str">
            <v>ACERO DE REFUERZO, INCLUYE ALAMBRE</v>
          </cell>
        </row>
        <row r="21">
          <cell r="A21" t="str">
            <v>ACERO ESTRUCTURAL LAMINADO ASTM-500</v>
          </cell>
        </row>
        <row r="22">
          <cell r="A22" t="str">
            <v xml:space="preserve">ADHESIVO UNION IMPORTADA </v>
          </cell>
        </row>
        <row r="23">
          <cell r="A23" t="str">
            <v>ADOQUIN ECOLOGICO</v>
          </cell>
        </row>
        <row r="24">
          <cell r="A24" t="str">
            <v xml:space="preserve">AGUA </v>
          </cell>
        </row>
        <row r="25">
          <cell r="A25" t="str">
            <v>ALAMBRE NEGRO</v>
          </cell>
        </row>
        <row r="26">
          <cell r="A26" t="str">
            <v>ANDAMIO 2 SECCIONES</v>
          </cell>
        </row>
        <row r="27">
          <cell r="A27" t="str">
            <v>ANDAMIOS 1 SECCION</v>
          </cell>
        </row>
        <row r="28">
          <cell r="A28" t="str">
            <v>ANDAMIOS 3 SECCIONES</v>
          </cell>
        </row>
        <row r="29">
          <cell r="A29" t="str">
            <v>ANGULO 1'' X 3/16'' (4,5MMX25MM)</v>
          </cell>
        </row>
        <row r="30">
          <cell r="A30" t="str">
            <v>ANTICORROSIVO ROJO TIPO PINTUCO</v>
          </cell>
        </row>
        <row r="31">
          <cell r="A31" t="str">
            <v>APARCABICICLETA OMEGA VB01 O SIMILAR .Acabados: zincado electrolítico y pintura poliéster en polvo color gris RAl 9006 Anclaje: mediante 4 pernos de expansión m8. Incluye transporte, cargue y descargue, materiales, herramienta e instalación.</v>
          </cell>
        </row>
        <row r="32">
          <cell r="A32" t="str">
            <v>APARCABICICLETA OMEGA VBF06 O SIMILAR Material: Hierro.Acabados: Galvanizado en caliente.Anclaje: mediante pernos de expansión m8 Incluye transporte, cargue y descargue, materiales, herramienta e instalación.</v>
          </cell>
        </row>
        <row r="33">
          <cell r="A33" t="str">
            <v>ARBOL ACOBO H=1,8</v>
          </cell>
        </row>
        <row r="34">
          <cell r="A34" t="str">
            <v>ARCOS CANCHA DE FUTBOL 7.32 * 2.44 TUB 31/2'' * 3MM</v>
          </cell>
        </row>
        <row r="35">
          <cell r="A35" t="str">
            <v>ARENA DE PEÑA</v>
          </cell>
        </row>
        <row r="36">
          <cell r="A36" t="str">
            <v>ARENA SILICEA</v>
          </cell>
        </row>
        <row r="37">
          <cell r="A37" t="str">
            <v>BALANCIN COLECTIVO LA FLOR JB20A O SIMILAR Paneles: Tableros contrachapados de 22 mm.Pintura: 3 manos (5 en los cantos) de esmalte poliuretano texturado exento de plomo y con alta resistencia a la meteorización.Piezas de plástico: Polietileno, polipropile</v>
          </cell>
        </row>
        <row r="38">
          <cell r="A38" t="str">
            <v>Balastro compactado base esp 0,10m</v>
          </cell>
        </row>
        <row r="39">
          <cell r="A39" t="str">
            <v>Balastro compactado base esp 0,10m</v>
          </cell>
        </row>
        <row r="40">
          <cell r="A40" t="str">
            <v>BALASTRO RIO GUATIQUIA  T.M. 1" EN OBRA SUELTO</v>
          </cell>
        </row>
        <row r="41">
          <cell r="A41" t="str">
            <v>Banca en concreto M-30 con espaldar metalico</v>
          </cell>
        </row>
        <row r="42">
          <cell r="A42" t="str">
            <v xml:space="preserve">BARANDA ACE INOX PASAM T 2" PARAL 11/2" BARAN 5/8"     </v>
          </cell>
        </row>
        <row r="43">
          <cell r="A43" t="str">
            <v>BASE GRANULAR (NORMAS INVIAS 330)</v>
          </cell>
        </row>
        <row r="44">
          <cell r="A44" t="str">
            <v>BISAGRA 240HIERRO 3''</v>
          </cell>
        </row>
        <row r="45">
          <cell r="A45" t="str">
            <v>BLOQUE N°5 FLEXA</v>
          </cell>
        </row>
        <row r="46">
          <cell r="A46" t="str">
            <v>BLOQUE DE CEMENTO MACIZO 4.2 MPA DE 6X10X20 CM, COLOR</v>
          </cell>
        </row>
        <row r="47">
          <cell r="A47" t="str">
            <v>BROCHA PICASSO 2''</v>
          </cell>
        </row>
        <row r="48">
          <cell r="A48" t="str">
            <v>CAL DOLOMITA</v>
          </cell>
        </row>
        <row r="49">
          <cell r="A49" t="str">
            <v>CAMILLA (9 DIAS)</v>
          </cell>
        </row>
        <row r="50">
          <cell r="A50" t="str">
            <v>Caneca en acero inoxidable tipo barcelona M-121</v>
          </cell>
        </row>
        <row r="51">
          <cell r="A51" t="str">
            <v>Cargue y descargue</v>
          </cell>
        </row>
        <row r="52">
          <cell r="A52" t="str">
            <v>Cargue y descargue</v>
          </cell>
        </row>
        <row r="53">
          <cell r="A53" t="str">
            <v xml:space="preserve">CARGUE Y DESCARGUE </v>
          </cell>
        </row>
        <row r="54">
          <cell r="A54" t="str">
            <v>Cargue y descargue juegos tipo 1</v>
          </cell>
        </row>
        <row r="55">
          <cell r="A55" t="str">
            <v>Cargue y descargue juegos tipo 2</v>
          </cell>
        </row>
        <row r="56">
          <cell r="A56" t="str">
            <v xml:space="preserve">CAUCHO GRANULADO </v>
          </cell>
        </row>
        <row r="57">
          <cell r="A57" t="str">
            <v>CEMENTO BLANCO</v>
          </cell>
        </row>
        <row r="58">
          <cell r="A58" t="str">
            <v xml:space="preserve">CEMENTO GRIS </v>
          </cell>
        </row>
        <row r="59">
          <cell r="A59" t="str">
            <v>CERCHAS (3ML x 9 DIAS)</v>
          </cell>
        </row>
        <row r="60">
          <cell r="A60" t="str">
            <v xml:space="preserve">CERR. CHAPA YALE 987 DE SOBREPONER </v>
          </cell>
        </row>
        <row r="61">
          <cell r="A61" t="str">
            <v>CILINDRO</v>
          </cell>
        </row>
        <row r="62">
          <cell r="A62" t="str">
            <v>CINTA DE ENMASCARAR 24 MM X 40M TESA</v>
          </cell>
        </row>
        <row r="63">
          <cell r="A63" t="str">
            <v xml:space="preserve">CINTA UNION IMPORTADA A=30 CM </v>
          </cell>
        </row>
        <row r="64">
          <cell r="A64" t="str">
            <v>CLORO FRANULADO</v>
          </cell>
        </row>
        <row r="65">
          <cell r="A65" t="str">
            <v>CODO 90 SANITARIO 2'' CXE PAVCO</v>
          </cell>
        </row>
        <row r="66">
          <cell r="A66" t="str">
            <v>CODO 90 SANITARIO 3'' CXE PAVCO</v>
          </cell>
        </row>
        <row r="67">
          <cell r="A67" t="str">
            <v>COMISION TOPOGRAFICA</v>
          </cell>
        </row>
        <row r="68">
          <cell r="A68" t="str">
            <v>COMPACTADOR DE LLANTAS</v>
          </cell>
        </row>
        <row r="69">
          <cell r="A69" t="str">
            <v>COMPRESOR MARTILLO  + OPERARIO</v>
          </cell>
        </row>
        <row r="70">
          <cell r="A70" t="str">
            <v>CONCRETO 3000 PSI</v>
          </cell>
        </row>
        <row r="71">
          <cell r="A71" t="str">
            <v>Concreto de 3000 psi</v>
          </cell>
        </row>
        <row r="72">
          <cell r="A72" t="str">
            <v>CONCRETO DE 4000 P S I</v>
          </cell>
        </row>
        <row r="73">
          <cell r="A73" t="str">
            <v>CONCRETOS CICLOPEO DE 3000 P.S.I</v>
          </cell>
        </row>
        <row r="74">
          <cell r="A74" t="str">
            <v>CONCRETOS DE 2000 P.S.I</v>
          </cell>
        </row>
        <row r="75">
          <cell r="A75" t="str">
            <v>CUADRILLA  1</v>
          </cell>
        </row>
        <row r="76">
          <cell r="A76" t="str">
            <v xml:space="preserve">CUADRILLA (M.O. BB) INSTALACIONES </v>
          </cell>
        </row>
        <row r="77">
          <cell r="A77" t="str">
            <v xml:space="preserve">CUADRILLA (M.O.BB) INSTALACIONES </v>
          </cell>
        </row>
        <row r="78">
          <cell r="A78" t="str">
            <v>CUADRILLA 1</v>
          </cell>
        </row>
        <row r="79">
          <cell r="A79" t="str">
            <v>CUADRILLA 2</v>
          </cell>
        </row>
        <row r="80">
          <cell r="A80" t="str">
            <v>CUADRILLA 3</v>
          </cell>
        </row>
        <row r="81">
          <cell r="A81" t="str">
            <v>CUADRILLA especial</v>
          </cell>
        </row>
        <row r="82">
          <cell r="A82" t="str">
            <v>CUARTÓN 5*5*3m</v>
          </cell>
        </row>
        <row r="83">
          <cell r="A83" t="str">
            <v>DECK EN MADERA ECOLÓGICA 15 X 2,5 X 3,00 incluye instalación</v>
          </cell>
        </row>
        <row r="84">
          <cell r="A84" t="str">
            <v>DURANTA H=0,3MT</v>
          </cell>
        </row>
        <row r="85">
          <cell r="A85" t="str">
            <v xml:space="preserve">EMULSION ASFALTICA </v>
          </cell>
        </row>
        <row r="86">
          <cell r="A86" t="str">
            <v>EQUIPO DE OXI CORTE</v>
          </cell>
        </row>
        <row r="87">
          <cell r="A87" t="str">
            <v xml:space="preserve">EQUIPO DE SOLDADURA </v>
          </cell>
        </row>
        <row r="88">
          <cell r="A88" t="str">
            <v>Equipo topografico</v>
          </cell>
        </row>
        <row r="89">
          <cell r="A89" t="str">
            <v xml:space="preserve">EQUIPOS DE INSTALACION (TOLVA HIDRAULICA, CEPILLO HIDRAULICO, CUATRIMOTO, TOLVA MANUAL Y EQUIPO DE ENSAMBLAJE), INCLUYE TRANSPORTE  </v>
          </cell>
        </row>
        <row r="90">
          <cell r="A90" t="str">
            <v xml:space="preserve">ESMALTE DOMESTICO INT ALTA CALIDAD </v>
          </cell>
        </row>
        <row r="91">
          <cell r="A91" t="str">
            <v>ESMALTE SINTETICO</v>
          </cell>
        </row>
        <row r="92">
          <cell r="A92" t="str">
            <v>ESTACION TOPOGRAFICA, INCLUYE NIVEL</v>
          </cell>
        </row>
        <row r="93">
          <cell r="A93" t="str">
            <v>EXCAVACION MANUAL Y RETIRO</v>
          </cell>
        </row>
        <row r="94">
          <cell r="A94" t="str">
            <v>Excavación manual y retiro de escombros</v>
          </cell>
        </row>
        <row r="95">
          <cell r="A95" t="str">
            <v>FILODENDRO H=0,4MT</v>
          </cell>
        </row>
        <row r="96">
          <cell r="A96" t="str">
            <v>FLETE</v>
          </cell>
        </row>
        <row r="97">
          <cell r="A97" t="str">
            <v>FORMALETA</v>
          </cell>
        </row>
        <row r="98">
          <cell r="A98" t="str">
            <v>FORMALETA METALICA SARDINEL  1 DIA</v>
          </cell>
        </row>
        <row r="99">
          <cell r="A99" t="str">
            <v>GASOLINA ROJA</v>
          </cell>
        </row>
        <row r="100">
          <cell r="A100" t="str">
            <v>GEOTEXTIL NT 2000</v>
          </cell>
        </row>
        <row r="101">
          <cell r="A101" t="str">
            <v>GEOTEXTIL NT1600</v>
          </cell>
        </row>
        <row r="102">
          <cell r="A102" t="str">
            <v>GRAMA SINTETICA</v>
          </cell>
        </row>
        <row r="103">
          <cell r="A103" t="str">
            <v>GRAMA TRENZA INCLUYE TRANSP.</v>
          </cell>
        </row>
        <row r="104">
          <cell r="A104" t="str">
            <v>GRAVA TRITURA R  T.M. 1" EN OBRA SUELTO</v>
          </cell>
        </row>
        <row r="105">
          <cell r="A105" t="str">
            <v xml:space="preserve">GUAYA DE 1/4 RECUBIERTA EN CAUCHO </v>
          </cell>
        </row>
        <row r="106">
          <cell r="A106" t="str">
            <v xml:space="preserve">HERRAMIENTA MENOR </v>
          </cell>
        </row>
        <row r="107">
          <cell r="A107" t="str">
            <v xml:space="preserve">HERRAMIENTA MENOR </v>
          </cell>
        </row>
        <row r="108">
          <cell r="A108" t="str">
            <v>HERRAMIENTA MENOR  3%  M.O</v>
          </cell>
        </row>
        <row r="109">
          <cell r="A109" t="str">
            <v>HERRAMIENTA MENOR  3%  M.O ESPECIAL</v>
          </cell>
        </row>
        <row r="110">
          <cell r="A110" t="str">
            <v>HIDROJET 1700 PSI BOQUILLA ROTATIVA</v>
          </cell>
        </row>
        <row r="111">
          <cell r="A111" t="str">
            <v>HOJA PARA SEGUETA</v>
          </cell>
        </row>
        <row r="112">
          <cell r="A112" t="str">
            <v>LIJA DE AGUA # 100</v>
          </cell>
        </row>
        <row r="113">
          <cell r="A113" t="str">
            <v xml:space="preserve">LIJA DE AGUA PROFINAL *31*5GRANO 120-150-180 </v>
          </cell>
        </row>
        <row r="114">
          <cell r="A114" t="str">
            <v xml:space="preserve">LIMPIADOR REMOVEDOR 1/8 NOVAFORT </v>
          </cell>
        </row>
        <row r="115">
          <cell r="A115" t="str">
            <v>LIMPIADOR/SOLDADURA  1/4 GL</v>
          </cell>
        </row>
        <row r="116">
          <cell r="A116" t="str">
            <v>LINEAS DE DEMARCACION HORIZONTAL DE 12 Cm DE ANCHO, CON PINTURA TIPO TRAFICO</v>
          </cell>
        </row>
        <row r="117">
          <cell r="A117" t="str">
            <v>Loseta tipo IDU</v>
          </cell>
        </row>
        <row r="118">
          <cell r="A118" t="str">
            <v>LUMINARIA DUNA SENIOR ILND20 O SIMIMLAR aplicación: Columnas de 8 a 12 metros. Cuerpo: inyección de aluminio de alta resistencia y durabilidad. acabado en color raL9007.Difusor: Vidrio lenticular templado.Fijación: instalación lateral-top Ø60mm.equipos el</v>
          </cell>
        </row>
        <row r="119">
          <cell r="A119" t="str">
            <v>MALLA ESLABONADA 2'X2'' No 10, 3,4MM</v>
          </cell>
        </row>
        <row r="120">
          <cell r="A120" t="str">
            <v xml:space="preserve">MANO DE OBRA </v>
          </cell>
        </row>
        <row r="121">
          <cell r="A121" t="str">
            <v>MEZCLA ASFALTICA MDC-1</v>
          </cell>
        </row>
        <row r="122">
          <cell r="A122" t="str">
            <v>MEZCLADORA DE CONCRETO</v>
          </cell>
        </row>
        <row r="123">
          <cell r="A123" t="str">
            <v>MINERALES Y CEMENTO PARA ESMALTE</v>
          </cell>
        </row>
        <row r="124">
          <cell r="A124" t="str">
            <v>MNYLON No. 2</v>
          </cell>
        </row>
        <row r="125">
          <cell r="A125" t="str">
            <v>MODULO EN MALLA ESLABONADA DE CALIBRE 10 DE 2"X2", CON MARCO EN ANGULO DE 1/12"X3/16", REFUERZO CENTRAL Y CINTA METALICA PERIMETRAL DE 1/2"X1/8", INCLUYE ANTICORROSIVO Y PINTURA EN ESMALTE.</v>
          </cell>
        </row>
        <row r="126">
          <cell r="A126" t="str">
            <v>MOLDE TIPO TAPETE PARA CONCRETO ESTAMPADO</v>
          </cell>
        </row>
        <row r="127">
          <cell r="A127" t="str">
            <v>MOLDURA ESQUINERA EN MADERA</v>
          </cell>
        </row>
        <row r="128">
          <cell r="A128" t="str">
            <v>MORDAZA Y CUÑA DE 0,80 ( SEMANA)</v>
          </cell>
        </row>
        <row r="129">
          <cell r="A129" t="str">
            <v>MORTERO 1:3</v>
          </cell>
        </row>
        <row r="130">
          <cell r="A130" t="str">
            <v>MORTERO 1:4</v>
          </cell>
        </row>
        <row r="131">
          <cell r="A131" t="str">
            <v>Mortero de nivelacion</v>
          </cell>
        </row>
        <row r="132">
          <cell r="A132" t="str">
            <v>MOTONIVELADORA</v>
          </cell>
        </row>
        <row r="133">
          <cell r="A133" t="str">
            <v>PALMA BOTELLA H=2 A 2,5MT</v>
          </cell>
        </row>
        <row r="134">
          <cell r="A134" t="str">
            <v>PALMA BOTELLA H=5 A 6 MT</v>
          </cell>
        </row>
        <row r="135">
          <cell r="A135" t="str">
            <v>PALMA CATECHU H=2,5</v>
          </cell>
        </row>
        <row r="136">
          <cell r="A136" t="str">
            <v>PALMA COLA DE ZORRO H=2,0</v>
          </cell>
        </row>
        <row r="137">
          <cell r="A137" t="str">
            <v>PALMA LIVISTONA H=1,2</v>
          </cell>
        </row>
        <row r="138">
          <cell r="A138" t="str">
            <v>PALMA MANILLA H=2,5MT</v>
          </cell>
        </row>
        <row r="139">
          <cell r="A139" t="str">
            <v>PALMA ROJA H=1,4</v>
          </cell>
        </row>
        <row r="140">
          <cell r="A140" t="str">
            <v>PARALES METALICOS (9 DIAS)</v>
          </cell>
        </row>
        <row r="141">
          <cell r="A141" t="str">
            <v>PARALES METALICOS (9 DIAS)UND</v>
          </cell>
        </row>
        <row r="142">
          <cell r="A142" t="str">
            <v>PERROS PARA GUAYA DE 1/4</v>
          </cell>
        </row>
        <row r="143">
          <cell r="A143" t="str">
            <v xml:space="preserve">PIEDRA BOLA DE OCOA    </v>
          </cell>
        </row>
        <row r="144">
          <cell r="A144" t="str">
            <v>PINTURA ( ESMALTE )</v>
          </cell>
        </row>
        <row r="145">
          <cell r="A145" t="str">
            <v>PINTURA CANCHAS  ESMALTE EPOXICO</v>
          </cell>
        </row>
        <row r="146">
          <cell r="A146" t="str">
            <v>PIOLA</v>
          </cell>
        </row>
        <row r="147">
          <cell r="A147" t="str">
            <v xml:space="preserve">PLANCHONES </v>
          </cell>
        </row>
        <row r="148">
          <cell r="A148" t="str">
            <v>PLATINA 2'' X 3/16''GEN</v>
          </cell>
        </row>
        <row r="149">
          <cell r="A149" t="str">
            <v>Prefabricado Bloque de cemento A-10 Dim. 0,80X0,20X0,50</v>
          </cell>
        </row>
        <row r="150">
          <cell r="A150" t="str">
            <v>PREFABRICADO BORDILLO DE CEMENTO A-80 DOM. 0,80X0,20X0,35</v>
          </cell>
        </row>
        <row r="151">
          <cell r="A151" t="str">
            <v xml:space="preserve">PREFABRICADO RAMPA ESPECIAL TIPO A-100 DIM. 0,6X0,2X0,5 </v>
          </cell>
        </row>
        <row r="152">
          <cell r="A152" t="str">
            <v xml:space="preserve">PULIDORA MANUAL CON DISCO  </v>
          </cell>
        </row>
        <row r="153">
          <cell r="A153" t="str">
            <v>PUNTILLA  1"</v>
          </cell>
        </row>
        <row r="154">
          <cell r="A154" t="str">
            <v>PUNTILLA 2"</v>
          </cell>
        </row>
        <row r="155">
          <cell r="A155" t="str">
            <v>RECEBO COMPACTADO</v>
          </cell>
        </row>
        <row r="156">
          <cell r="A156" t="str">
            <v>RELLENO DE RIO TAMAÑO MAXIMO 2"</v>
          </cell>
        </row>
        <row r="157">
          <cell r="A157" t="str">
            <v>RELLENO CONTENIDO ARCILLA</v>
          </cell>
        </row>
        <row r="158">
          <cell r="A158" t="str">
            <v xml:space="preserve">REJILLA 3X2'' SOSCO (ANTICUCARCHAS) ALUMINIO </v>
          </cell>
        </row>
        <row r="159">
          <cell r="A159" t="str">
            <v>REJILLA 4'' TRADICIONNAL COBRE</v>
          </cell>
        </row>
        <row r="160">
          <cell r="A160" t="str">
            <v>REPISA  5*10*3M</v>
          </cell>
        </row>
        <row r="161">
          <cell r="A161" t="str">
            <v>RETROEXCAVADORA</v>
          </cell>
        </row>
        <row r="162">
          <cell r="A162" t="str">
            <v>RETROEXCAVADORA ORUGA</v>
          </cell>
        </row>
        <row r="163">
          <cell r="A163" t="str">
            <v xml:space="preserve">RODILLO DE FELPA </v>
          </cell>
        </row>
        <row r="164">
          <cell r="A164" t="str">
            <v>SEPAROL SIKA 15 KG NEUTRO</v>
          </cell>
        </row>
        <row r="165">
          <cell r="A165" t="str">
            <v xml:space="preserve">SIFON SANITARIO 2'' PVC </v>
          </cell>
        </row>
        <row r="166">
          <cell r="A166" t="str">
            <v>SIKA 1</v>
          </cell>
        </row>
        <row r="167">
          <cell r="A167" t="str">
            <v>SIKAGUARD DÉCOR 18 KILOS</v>
          </cell>
        </row>
        <row r="168">
          <cell r="A168" t="str">
            <v>SOLDADURA 6013  X 1/8</v>
          </cell>
        </row>
        <row r="169">
          <cell r="A169" t="str">
            <v>SOLDADURA PVC LIQUIDA 1/4GL</v>
          </cell>
        </row>
        <row r="170">
          <cell r="A170" t="str">
            <v>SUBBASE GRANULAR (RIO GUAYURIBA, NORMA INVIAS 320)</v>
          </cell>
        </row>
        <row r="171">
          <cell r="A171" t="str">
            <v>Suministro e instalacion Bolardo bajo hierro M-62 o similar</v>
          </cell>
        </row>
        <row r="172">
          <cell r="A172" t="str">
            <v>Suministro e instalacion Protector de arbol M-91 o similar</v>
          </cell>
        </row>
        <row r="173">
          <cell r="A173" t="str">
            <v>TABLA BURRA 3"30'3M</v>
          </cell>
        </row>
        <row r="174">
          <cell r="A174" t="str">
            <v>TABLA ORDINARIA  3*10*3M</v>
          </cell>
        </row>
        <row r="175">
          <cell r="A175" t="str">
            <v>TENSORES PARA GUAYA DE 1/4</v>
          </cell>
        </row>
        <row r="176">
          <cell r="A176" t="str">
            <v>TERMINADORA DE ASFALTOS</v>
          </cell>
        </row>
        <row r="177">
          <cell r="A177" t="str">
            <v>THINER</v>
          </cell>
        </row>
        <row r="178">
          <cell r="A178" t="str">
            <v>TIERRA NEGRA (INCLUYE ABONO)</v>
          </cell>
        </row>
        <row r="179">
          <cell r="A179" t="str">
            <v>TIRA ALISTADO 3-3"3M</v>
          </cell>
        </row>
        <row r="180">
          <cell r="A180" t="str">
            <v>TOLETE COMUN</v>
          </cell>
        </row>
        <row r="181">
          <cell r="A181" t="str">
            <v>TRANSPORTE</v>
          </cell>
        </row>
        <row r="182">
          <cell r="A182" t="str">
            <v>TRANSPORTE BOGOTA / VILLAVICENCIO</v>
          </cell>
        </row>
        <row r="183">
          <cell r="A183" t="str">
            <v>Transporte Bogota / Villavicencio camion 10 ton</v>
          </cell>
        </row>
        <row r="184">
          <cell r="A184" t="str">
            <v>Transporte Bogota / Villavicencio camion 10 ton</v>
          </cell>
        </row>
        <row r="185">
          <cell r="A185" t="str">
            <v xml:space="preserve">TRANSPORTE BOGOTA/ VILLAVICENCIO </v>
          </cell>
        </row>
        <row r="186">
          <cell r="A186" t="str">
            <v>TRANSPORTE ESPECIAL PALMA</v>
          </cell>
        </row>
        <row r="187">
          <cell r="A187" t="str">
            <v>TRANSPORTE ESPECIAL PALMA 2</v>
          </cell>
        </row>
        <row r="188">
          <cell r="A188" t="str">
            <v>TRANSPORTE ESPECIAL PALMA 3</v>
          </cell>
        </row>
        <row r="189">
          <cell r="A189" t="str">
            <v>TRANSPORTE ESPECIAL PALMA 4</v>
          </cell>
        </row>
        <row r="190">
          <cell r="A190" t="str">
            <v>TRANSPORTE ESPECIAL PALMA 5</v>
          </cell>
        </row>
        <row r="191">
          <cell r="A191" t="str">
            <v>TRANSPORTE ESPECIAL PALMA 6</v>
          </cell>
        </row>
        <row r="192">
          <cell r="A192" t="str">
            <v>TRANSPORTE ESPECIAL PALMA 7</v>
          </cell>
        </row>
        <row r="193">
          <cell r="A193" t="str">
            <v>Transporte Volqueta de 5 m3</v>
          </cell>
        </row>
        <row r="194">
          <cell r="A194" t="str">
            <v>TUBERIA A.N1 LIVIANO 2,3 MM (0,090'')</v>
          </cell>
        </row>
        <row r="195">
          <cell r="A195" t="str">
            <v>TUBERIA PVC 1"</v>
          </cell>
        </row>
        <row r="196">
          <cell r="A196" t="str">
            <v>TUBO DRENAJE PVC 100MM PACVO</v>
          </cell>
        </row>
        <row r="197">
          <cell r="A197" t="str">
            <v>TUBO GALVANIZADO 2'' LIVIANO E= 0,075 (1,90MM)</v>
          </cell>
        </row>
        <row r="198">
          <cell r="A198" t="str">
            <v>TUBO PVC DE 3"</v>
          </cell>
        </row>
        <row r="199">
          <cell r="A199" t="str">
            <v>TUBO SANITARIO 4''PVC PAVCO</v>
          </cell>
        </row>
        <row r="200">
          <cell r="A200" t="str">
            <v>Tubo PVC NOVAFORT de 6"</v>
          </cell>
        </row>
        <row r="201">
          <cell r="A201" t="str">
            <v>UNION  PVC  3"</v>
          </cell>
        </row>
        <row r="202">
          <cell r="A202" t="str">
            <v>Unión NOVAFORT 6"</v>
          </cell>
        </row>
        <row r="203">
          <cell r="A203" t="str">
            <v>UNION TUBO DREN 100MM (4'') PAVCO.</v>
          </cell>
        </row>
        <row r="204">
          <cell r="A204" t="str">
            <v>VARA DE CLAVO</v>
          </cell>
        </row>
        <row r="205">
          <cell r="A205" t="str">
            <v>VIBRADOR A GASOLINA</v>
          </cell>
        </row>
        <row r="206">
          <cell r="A206" t="str">
            <v>VIBRO RANA</v>
          </cell>
        </row>
        <row r="207">
          <cell r="A207" t="str">
            <v xml:space="preserve">VINILO TIPO 1 (VINILTEX O SIMILAR) </v>
          </cell>
        </row>
        <row r="208">
          <cell r="A208" t="str">
            <v>VOLQUETA DE 5 M3</v>
          </cell>
        </row>
        <row r="209">
          <cell r="A209" t="str">
            <v>TRANSPORTE ESPECIAL PALMA 8</v>
          </cell>
        </row>
        <row r="210">
          <cell r="A210" t="str">
            <v>TRANSPORTE ESPECIAL PALMA 9</v>
          </cell>
        </row>
        <row r="211">
          <cell r="A211" t="str">
            <v>TRANSPORTE ESPECIAL PALMA 10</v>
          </cell>
        </row>
        <row r="212">
          <cell r="A212" t="str">
            <v>GRUA</v>
          </cell>
        </row>
        <row r="213">
          <cell r="A213" t="str">
            <v xml:space="preserve">concreto de 5000 psi </v>
          </cell>
        </row>
        <row r="214">
          <cell r="A214" t="str">
            <v>IRRIGADOR</v>
          </cell>
        </row>
        <row r="215">
          <cell r="A215" t="str">
            <v>EMULSION ASFALTICA</v>
          </cell>
        </row>
        <row r="216">
          <cell r="A216" t="str">
            <v>VIBROCOMPACTADOR</v>
          </cell>
        </row>
        <row r="217">
          <cell r="A217" t="str">
            <v>PERGOLA TUBO PTS 200X100 A MM PIE DE  REY DE 1.2 X 2.4 LAMINA HR CAL. 6 MM , PIE DE REY 5X8 CMMCAL 5 MM X 4 UND BASE PLATINA DE 35X35X25 MM CUATRO ORIFICIOS ANCLAJES DE 35 CM X 25 MM CON PERNOS Y ARANDELAS X 4 UND INCLUYEN CORTES DE PLASMA PROTECCION WAST</v>
          </cell>
        </row>
        <row r="218">
          <cell r="A218" t="str">
            <v>PORTALIBROS EN CONCRETO Y TUBO ACABADO OXIDADO</v>
          </cell>
        </row>
        <row r="219">
          <cell r="A219" t="str">
            <v>BICICLETERO EN TUBO DE ACERO INOXIDABLE 14 D=1 1/2" EN ESPIRAL, QUE SE APOYA AL SUELO EN DOS BASES DE ALUMINIO. LONGITUD=1,2 MT.</v>
          </cell>
        </row>
        <row r="220">
          <cell r="A220" t="str">
            <v>PORTALIBROS TUBO ACABADO OXIDADO</v>
          </cell>
        </row>
        <row r="221">
          <cell r="A221" t="str">
            <v>LAMINA ACABADO OXIDADO</v>
          </cell>
        </row>
        <row r="222">
          <cell r="A222" t="str">
            <v>MALLA ELECTROSOLDADA M-159  GRAFIL 5.5 MM C/150</v>
          </cell>
        </row>
        <row r="223">
          <cell r="A223" t="str">
            <v>BICICLETERO EN TUBO DE ACERO INOXIDABLE 14 D=1 1/2" EN ESPIRAL, QUE SE APOYA AL SUELO EN DOS BASES DE ALUMINIO. LONGITUD=1,2 MT.</v>
          </cell>
        </row>
        <row r="224">
          <cell r="A224" t="str">
            <v>Motosierra</v>
          </cell>
        </row>
        <row r="225">
          <cell r="A225" t="str">
            <v>Volqueta</v>
          </cell>
        </row>
        <row r="226">
          <cell r="A226" t="str">
            <v>Alquiler carro canasta incluye conductor y operarios</v>
          </cell>
        </row>
        <row r="227">
          <cell r="A227" t="str">
            <v>Manto de poliester para control de erosión
TERRATRAC TRM 15</v>
          </cell>
        </row>
        <row r="228">
          <cell r="A228" t="str">
            <v>ARBOL - ESPECIE NATIVA TIPO PALO DE CRUZ, CARBONERO O OITI</v>
          </cell>
        </row>
        <row r="229">
          <cell r="A229" t="str">
            <v>CERRAMIENTO FORMA DE LAPIZ EN TUBO GALVANIZADO PINTURA POLIURETANO</v>
          </cell>
        </row>
        <row r="230">
          <cell r="A230" t="str">
            <v>ROCODROMO PARA PRACTICA DE ESCALADA PEQUEÑAS PAREDES CON LA FORMA DE LA LETRA A, FABRICADO EN POLIESTER POR CAPAS, INTERIOR DE LA PIEZA EN ESTRUCTURA METALICA, PRESAS DE AGARRE EN RESINA DE POLIESTER CON CARGA MINERAL, TORNILLOS ZINCADOS Y EN ACERO INOXID</v>
          </cell>
        </row>
        <row r="231">
          <cell r="A231" t="str">
            <v>MUELLE DIMENSIÓN 0,75X0,84X0,32 MT SIMULA MOTONETA VESPA FABRICADO EN PANELES HDPE DE 18 MM, POLIETILENO DE ALTA DENSIDAD, PIEZAS METALICAS EN ACERO ZINCADO Y LACADO, ALUMINIO ANODIZADO Y TORNILLERIA EN ACERO GALVANIZADO</v>
          </cell>
        </row>
        <row r="232">
          <cell r="A232" t="str">
            <v>MUELLE DIMENSION 0,76X0,86X0,44 MT  CONFORMADO POR DOS ESTRELLAS, FABRICADO EN PANELES HDPE DE 18 MM, POLIETILENO DE ALTA DENSIDAD, PIEZAS METALICAS EN ACERO ZINCADO Y LACADO, ALUMINIO ANODIZADO Y TORNILLERIA EN ACERO GALVANIZADO</v>
          </cell>
        </row>
        <row r="233">
          <cell r="A233" t="str">
            <v>MUELLE DIMENSION 0,77X0,89X0,26 MT CON FORMA DE ESTRELLA FUGAZ, FABRICADO EN PANELES HDPE DE 18 MM, POLIETILENO DE ALTA DENSIDAD, PIEZAS METALICAS EN ACERO ZINCADO Y LACADO, ALUMINIO ANODIZADO Y TORNILLERIA EN ACERO GALVANIZADO</v>
          </cell>
        </row>
        <row r="234">
          <cell r="A234" t="str">
            <v>MUELLE DIMENSION 0,73X0,95X0,25 MT CON FORMA DE CANGURO,  FABRICADO EN PANELES HDPE DE 18 MM, POLIETILENO DE ALTA DENSIDAD, PIEZAS METALICAS EN ACERO ZINCADO Y LACADO, ALUMINIO ANODIZADO Y TORNILLERIA EN ACERO GALVANIZADO</v>
          </cell>
        </row>
        <row r="235">
          <cell r="A235" t="str">
            <v xml:space="preserve">BALANCIN COLECTIVO DIMENSION 0,90X0,90X0,64 MT CON FORMA DE FLOR, TABLERO CONTRACHAPADO, LAMINADO,LACADO DE 22 MM., PIEZAS METALICAS EN ACERO Y ALUMINIO ANODIZADO </v>
          </cell>
        </row>
        <row r="236">
          <cell r="A236" t="str">
            <v>TOBOGAN DIMENSION 3,4X2,24X1,90 MT, EN POLIETILENO, POLIPROPILENO Y POLIAMIDA, PIEZAS METALICAS EN ACERO ZINCADO Y LACADO Y ALUMINIO ANODIZADO.</v>
          </cell>
        </row>
        <row r="237">
          <cell r="A237" t="str">
            <v>TOBOGAN DIMENSION 1,09X1,75X0,51 MT EN FORMA DE PATO POSTES EN MADERA LAMINADA DE PINO ESCANDINAVO, TABLERO CONTRACHAPADO, LAMINADO, LACADO DE 22 MM, PIEZAS PLASTICAS DE POLIETILENO, POLIPROPILENO Y POLIAMIDA, PIEZAS METALICAS EN ACERO Y ALUMINIO ANODIZAD</v>
          </cell>
        </row>
        <row r="238">
          <cell r="A238" t="str">
            <v>CONJUNTO MODULAR DIMENSION 3,81X3,12X2,93 MT CON POSTES DE MADERA LAMINADA DE PINO ESCANDINAVO, PÁNELES HDPE POLIETILENO DE ALTA DENSIDAD, LAMINADO HPL DE ALTA PRESION, PIEZAS DE PLASTICO EN POLIETILENO Y POLIPROPILENO, PIEZAS METALICAS EN ACERO Y ALUMINI</v>
          </cell>
        </row>
        <row r="239">
          <cell r="A239" t="str">
            <v>GEOTEXTIL NT1500</v>
          </cell>
        </row>
        <row r="240">
          <cell r="A240" t="str">
            <v>CODO 45 D=6" PVC SANITARIO</v>
          </cell>
        </row>
        <row r="241">
          <cell r="A241" t="str">
            <v>YEE D=6" PVC SANITARIO</v>
          </cell>
        </row>
        <row r="242">
          <cell r="A242" t="str">
            <v>PREFABRICADO CAÑUELA DIM 0,8X0,3X0,225</v>
          </cell>
        </row>
        <row r="243">
          <cell r="A243" t="str">
            <v>REJILLA EN CONCRETO PREFABRICADA</v>
          </cell>
        </row>
        <row r="244">
          <cell r="A244" t="str">
            <v>CANCHA MULTIPLE ESTRUCTURA METALICA DEPORT. MULTIF. ACRILICO</v>
          </cell>
        </row>
        <row r="245">
          <cell r="A245" t="str">
            <v>MODULOS EN TUBO METÁLICO GALVANIZADO CODIGO DE BARRAS, MARCO EN TUBO PTS 100X100 2,5 MM, ESLABONES SEGÚN PLANO  EN CALIBRE 3" 3 MM, 2" 2MM Y 1" 1 MM, PINTURA EN WAST PRIMER , ACABADO EN POLIURETANO</v>
          </cell>
        </row>
        <row r="246">
          <cell r="A246" t="str">
            <v>LADRILLO PRENSADO SANTAFE</v>
          </cell>
        </row>
        <row r="247">
          <cell r="A247" t="str">
            <v xml:space="preserve">CERRAMIENTO MALLA EN TUBO GALVANIZADO 3,5 METROS X 2 UND, 3" 3 MM, PINTURA TUBOS CON WAST PRIMER, ACABADO PINTURA POLIURETANO ALTOS SOLIDOS, MALLA NYLOS 100% PROTECTOR SOLAR 3 MM </v>
          </cell>
        </row>
        <row r="248">
          <cell r="A248" t="str">
            <v>GRUA  TELESCOPICA</v>
          </cell>
        </row>
        <row r="249">
          <cell r="A249" t="str">
            <v>ANTICORROSIVO CORMATO DE ZINC</v>
          </cell>
        </row>
        <row r="250">
          <cell r="A250" t="str">
            <v>TEJA SENCILLA ALUZINC CALIBRE 26 TIPO C PINTURA POLIESTER HORNEABLE POR DOS CARAS, HUNTER DOUGLAS O SIMILAR</v>
          </cell>
        </row>
        <row r="251">
          <cell r="A251" t="str">
            <v>TORNILLO AUTOPERFORANTE</v>
          </cell>
        </row>
        <row r="252">
          <cell r="A252" t="str">
            <v>ARANDELA EN PVC NEOPRENO</v>
          </cell>
        </row>
        <row r="253">
          <cell r="A253" t="str">
            <v>CLIP CAPELOTE</v>
          </cell>
        </row>
        <row r="254">
          <cell r="A254" t="str">
            <v>UNION  PVC 4"</v>
          </cell>
        </row>
        <row r="255">
          <cell r="A255" t="str">
            <v>CANAL LAMINA COLL ROLLED CAL 20</v>
          </cell>
        </row>
        <row r="256">
          <cell r="A256" t="str">
            <v>SOPORTE METALICO CANAL</v>
          </cell>
        </row>
        <row r="257">
          <cell r="A257" t="str">
            <v>CODO 90 PVC 4"</v>
          </cell>
        </row>
        <row r="258">
          <cell r="A258" t="str">
            <v>CASETON REFORZADO EN GUADUA ANCHO PROM 0,85 Y ALT 0,50 (INCLUYE TRANSPORTE)</v>
          </cell>
        </row>
        <row r="259">
          <cell r="A259" t="str">
            <v>TIJERAS PARA FORMALETA (26 DIAS)</v>
          </cell>
        </row>
        <row r="260">
          <cell r="A260" t="str">
            <v>PARAL TELESCOPICO LARGO (26 DIAS)</v>
          </cell>
        </row>
        <row r="261">
          <cell r="A261" t="str">
            <v>CRECHA DE 3 ML (26 DIAS)</v>
          </cell>
        </row>
        <row r="262">
          <cell r="A262" t="str">
            <v>PLUMA ELECTRICA CON 2 VALDES Y GUAYA DE 40 ML</v>
          </cell>
        </row>
        <row r="263">
          <cell r="A263" t="str">
            <v>CAMILLA MADERA  (26 DIAS)</v>
          </cell>
        </row>
        <row r="264">
          <cell r="A264" t="str">
            <v>TIRA DE ALISTADO 3*3*3M</v>
          </cell>
        </row>
        <row r="265">
          <cell r="A265" t="str">
            <v>MOLDURA ESQUINERA EN MADERA</v>
          </cell>
        </row>
        <row r="266">
          <cell r="A266" t="str">
            <v>GEOTEXTIL NT 1800</v>
          </cell>
        </row>
        <row r="267">
          <cell r="A267" t="str">
            <v>TUBERIA PERFORADA D=6"</v>
          </cell>
        </row>
        <row r="268">
          <cell r="A268" t="str">
            <v>TUBERIA PERFORADA D=4"</v>
          </cell>
        </row>
        <row r="269">
          <cell r="A269" t="str">
            <v>TUBERIA ALCANTARILLADO D=10"</v>
          </cell>
        </row>
        <row r="270">
          <cell r="A270" t="str">
            <v>CODO 45 PVC 4"</v>
          </cell>
        </row>
        <row r="271">
          <cell r="A271" t="str">
            <v>KIT SILLA YEE 10"X6" ALCANTARILLADO</v>
          </cell>
        </row>
        <row r="272">
          <cell r="A272" t="str">
            <v>GEOMEMBRANA</v>
          </cell>
        </row>
        <row r="273">
          <cell r="A273" t="str">
            <v>ARENA DE RIO SIN SELECCIONAR</v>
          </cell>
        </row>
        <row r="274">
          <cell r="A274" t="str">
            <v>MARCO METALICO 1X1</v>
          </cell>
        </row>
        <row r="275">
          <cell r="A275" t="str">
            <v>ESCALERA POZO INSPECCION</v>
          </cell>
        </row>
        <row r="276">
          <cell r="A276" t="str">
            <v>FORMALETA POZO INSPECCION</v>
          </cell>
        </row>
        <row r="277">
          <cell r="A277" t="str">
            <v>TUBO SANITARIO 4"</v>
          </cell>
        </row>
        <row r="278">
          <cell r="A278" t="str">
            <v>Bomba sumergible para aguas residuales BARNES NE 3 5-1-4-110 Potencia 0.5 HP o SIMILAR</v>
          </cell>
        </row>
        <row r="279">
          <cell r="A279" t="str">
            <v>TUBO PVC PRESION RDE 21 D=3"</v>
          </cell>
        </row>
        <row r="280">
          <cell r="A280" t="str">
            <v>UNION PVC PRESION D=3"</v>
          </cell>
        </row>
        <row r="281">
          <cell r="A281" t="str">
            <v>ARO BASE Y TAPA EN HF</v>
          </cell>
        </row>
        <row r="282">
          <cell r="A282" t="str">
            <v>FORMALETA TAPA</v>
          </cell>
        </row>
        <row r="283">
          <cell r="A283" t="str">
            <v>CERRAMIENTO EN TUBO GALVANIZADO 3,5 MTS.X 2 UNIDADES, 3" 3 MM, PINTURA TUBOS CON WASH PRIMER, ACABADO PINTURA POLIURETANO ALTOS SOLIDOS, MALLA NYLON 100% PROTECTOR SOLAR 3 MM CON SUS RESPECTIVOS AMARRES E INSTALACION ALTURA 3 MTS.</v>
          </cell>
        </row>
        <row r="284">
          <cell r="A284" t="str">
            <v>BENTONITAX50 KG</v>
          </cell>
        </row>
        <row r="285">
          <cell r="A285" t="str">
            <v>CABLE COBRE DESNUDO AWG 2/0</v>
          </cell>
        </row>
        <row r="286">
          <cell r="A286" t="str">
            <v>CABLE COBRE DESNUDO AWG 4</v>
          </cell>
        </row>
        <row r="287">
          <cell r="A287" t="str">
            <v>CONECT VARILLA CW 5/8"</v>
          </cell>
        </row>
        <row r="288">
          <cell r="A288" t="str">
            <v>SOLDADURA P/COBRE</v>
          </cell>
        </row>
        <row r="289">
          <cell r="A289" t="str">
            <v>TUBO CONDUIT PVC 1"</v>
          </cell>
        </row>
        <row r="290">
          <cell r="A290" t="str">
            <v>VARILLA CW 5/8"X2.4</v>
          </cell>
        </row>
        <row r="291">
          <cell r="A291" t="str">
            <v>CUADRILLA ELECTRICA</v>
          </cell>
        </row>
        <row r="292">
          <cell r="A292" t="str">
            <v>SENSORES DE MOVIMIENTO</v>
          </cell>
        </row>
        <row r="293">
          <cell r="A293" t="str">
            <v>SENSORES MONOXIDO CARBONO</v>
          </cell>
        </row>
        <row r="294">
          <cell r="A294" t="str">
            <v>Tubo PVC  de 3/4"</v>
          </cell>
        </row>
        <row r="295">
          <cell r="A295" t="str">
            <v>Alambre cu desnudo AWG 14</v>
          </cell>
        </row>
        <row r="296">
          <cell r="A296" t="str">
            <v>Alambre aislado No. 1 0 THHN- cobre awg</v>
          </cell>
        </row>
        <row r="297">
          <cell r="A297" t="str">
            <v>Interruptor sencillo</v>
          </cell>
        </row>
        <row r="298">
          <cell r="A298" t="str">
            <v>union gavanizada EMT 1/2"</v>
          </cell>
        </row>
        <row r="299">
          <cell r="A299" t="str">
            <v>Caja  5.800 metalica</v>
          </cell>
        </row>
        <row r="300">
          <cell r="A300" t="str">
            <v>Estopa 1 Kilo</v>
          </cell>
        </row>
        <row r="301">
          <cell r="A301" t="str">
            <v>Curva galvanizada EMT 1/2"</v>
          </cell>
        </row>
        <row r="302">
          <cell r="A302" t="str">
            <v>Adap terminal galvanizado EMT 1/2"</v>
          </cell>
        </row>
        <row r="303">
          <cell r="A303" t="str">
            <v>LUMINARIA HERMETICA 2X32</v>
          </cell>
        </row>
        <row r="304">
          <cell r="A304" t="str">
            <v xml:space="preserve">caja plastica octogonal </v>
          </cell>
        </row>
        <row r="305">
          <cell r="A305" t="str">
            <v>Marco Perfil "T" de 1" por 3/4" Electro estatico blanco</v>
          </cell>
        </row>
        <row r="306">
          <cell r="A306" t="str">
            <v>TABLERO GENERAL</v>
          </cell>
        </row>
        <row r="307">
          <cell r="A307" t="str">
            <v>EXTRACTOR DE AIRE</v>
          </cell>
        </row>
        <row r="308">
          <cell r="A308" t="str">
            <v>LUMINARIA DE EMERGENCIA</v>
          </cell>
        </row>
        <row r="309">
          <cell r="A309" t="str">
            <v>LADRILLO GRAN FORMATO SANTA FE DE ,39x,19x,05</v>
          </cell>
        </row>
        <row r="310">
          <cell r="A310" t="str">
            <v>TABLA CHAPA  3*30*3M</v>
          </cell>
        </row>
        <row r="311">
          <cell r="A311" t="str">
            <v xml:space="preserve">GRANITO  N°3 </v>
          </cell>
        </row>
        <row r="312">
          <cell r="A312" t="str">
            <v>MARMOLINA</v>
          </cell>
        </row>
        <row r="313">
          <cell r="A313" t="str">
            <v>COLOR MINERAL</v>
          </cell>
        </row>
        <row r="314">
          <cell r="A314" t="str">
            <v>CEMENTO BLANCO</v>
          </cell>
        </row>
        <row r="315">
          <cell r="A315" t="str">
            <v>PULIDORA MAS OPERARIO</v>
          </cell>
        </row>
        <row r="316">
          <cell r="A316" t="str">
            <v>GRAVILLA No2</v>
          </cell>
        </row>
        <row r="317">
          <cell r="A317" t="str">
            <v>CERAMICA MUROS 20X20</v>
          </cell>
        </row>
        <row r="318">
          <cell r="A318" t="str">
            <v>PEGANTE PARA CERAMICA PEGACOR GRIS O SIMILAR</v>
          </cell>
        </row>
        <row r="319">
          <cell r="A319" t="str">
            <v>BOQUILLA</v>
          </cell>
        </row>
        <row r="320">
          <cell r="A320" t="str">
            <v>SANITARIO CON FLUXOMETRO</v>
          </cell>
        </row>
        <row r="321">
          <cell r="A321" t="str">
            <v>ORINAL INSTITUCIONAL MEDIANO + ACCESORIOS</v>
          </cell>
        </row>
        <row r="322">
          <cell r="A322" t="str">
            <v>GRIFERIA ORINAL</v>
          </cell>
        </row>
        <row r="323">
          <cell r="A323" t="str">
            <v>GRAPAS,GANCHOS</v>
          </cell>
        </row>
        <row r="324">
          <cell r="A324" t="str">
            <v>SIFON BOTELLA GRIS</v>
          </cell>
        </row>
        <row r="325">
          <cell r="A325" t="str">
            <v>SELLADOR ETERNA 1/8"</v>
          </cell>
        </row>
        <row r="326">
          <cell r="A326" t="str">
            <v xml:space="preserve">LAVAMANOS SOBREPONER </v>
          </cell>
        </row>
        <row r="327">
          <cell r="A327" t="str">
            <v>GRAPA CHAZOS  Y TORNILLOS</v>
          </cell>
        </row>
        <row r="328">
          <cell r="A328" t="str">
            <v>SELLADOR ETERNA 1/8"</v>
          </cell>
        </row>
        <row r="329">
          <cell r="A329" t="str">
            <v>LIMPIADOR Y SOLDADURA 1/4 GL</v>
          </cell>
        </row>
        <row r="330">
          <cell r="A330" t="str">
            <v>CINTA TEFLON</v>
          </cell>
        </row>
        <row r="331">
          <cell r="A331" t="str">
            <v>GRIFERIA LAVAMANOS GRIVAL O SIMILAR 8" CROMO</v>
          </cell>
        </row>
        <row r="332">
          <cell r="A332" t="str">
            <v>PUERTA EN VIDRIO TEMPLADO DE 10 MM, CERRADURA MANIJA PIVOTANTE</v>
          </cell>
        </row>
        <row r="333">
          <cell r="A333" t="str">
            <v>VENTANA ALUMINIO SISTEMA PROYECTANTE PISAVIDRIO</v>
          </cell>
        </row>
        <row r="334">
          <cell r="A334" t="str">
            <v>VENTANA EN ALUMINIO SISTEMA PERSIANA FIJA</v>
          </cell>
        </row>
        <row r="335">
          <cell r="A335" t="str">
            <v>PUERTA TABLERO CORRIDO  MARCO 2X0.9</v>
          </cell>
        </row>
        <row r="336">
          <cell r="A336" t="str">
            <v>PUERTA TABLERO CORRIDO  MARCO, CERR. L. GALV  C20 2X0.70</v>
          </cell>
        </row>
        <row r="337">
          <cell r="A337" t="str">
            <v>DIVISIONES EN LAMINA COLL ROLED CAL 18 ENTAMBORADA</v>
          </cell>
        </row>
        <row r="338">
          <cell r="A338" t="str">
            <v>CERRADURA 987 YALE LCR20 2X0.90</v>
          </cell>
        </row>
        <row r="339">
          <cell r="A339" t="str">
            <v>ESPATULA</v>
          </cell>
        </row>
        <row r="340">
          <cell r="A340" t="str">
            <v>AGUA CARROTANQUE PEQ</v>
          </cell>
        </row>
        <row r="341">
          <cell r="A341" t="str">
            <v xml:space="preserve">VINILO TIPO 1 (VINILTEX O SIMILAR) </v>
          </cell>
        </row>
        <row r="342">
          <cell r="A342" t="str">
            <v xml:space="preserve">RODILLO DE FELPA </v>
          </cell>
        </row>
        <row r="343">
          <cell r="A343" t="str">
            <v>ESMALTE SINTETICO</v>
          </cell>
        </row>
        <row r="344">
          <cell r="A344" t="str">
            <v>THINER</v>
          </cell>
        </row>
        <row r="345">
          <cell r="A345" t="str">
            <v>LIJA DE AGUA # 100</v>
          </cell>
        </row>
        <row r="346">
          <cell r="A346" t="str">
            <v>SIFON SANIT. SOLO 3"</v>
          </cell>
        </row>
        <row r="347">
          <cell r="A347" t="str">
            <v>REJILLA S-3X2" SIFÓN</v>
          </cell>
        </row>
        <row r="348">
          <cell r="A348" t="str">
            <v>SIFON SANIT. SOLO 4"</v>
          </cell>
        </row>
        <row r="349">
          <cell r="A349" t="str">
            <v>REJILLA S-4X3" SIFÓN</v>
          </cell>
        </row>
        <row r="350">
          <cell r="A350" t="str">
            <v>ACCESORIO SANITARIO 6"</v>
          </cell>
        </row>
        <row r="351">
          <cell r="A351" t="str">
            <v>REJILLA S-6X4" SIFÓN</v>
          </cell>
        </row>
        <row r="352">
          <cell r="A352" t="str">
            <v>YEE D=4" PVC SANITARIA</v>
          </cell>
        </row>
        <row r="353">
          <cell r="A353" t="str">
            <v>YEE D=4" PVC SANITARIA DOBLE</v>
          </cell>
        </row>
        <row r="354">
          <cell r="A354" t="str">
            <v>YEE D=2" PVC SANITARIA</v>
          </cell>
        </row>
        <row r="355">
          <cell r="A355" t="str">
            <v>CODO D=2" PVC SANITARIO</v>
          </cell>
        </row>
        <row r="356">
          <cell r="A356" t="str">
            <v>BUJE SOLDADO 4"X2" PVC SANITARIO</v>
          </cell>
        </row>
        <row r="357">
          <cell r="A357" t="str">
            <v>TAPON D=4" PVC SANITARIO</v>
          </cell>
        </row>
        <row r="358">
          <cell r="A358" t="str">
            <v>TUBO PVC PRESION 1 1/4"</v>
          </cell>
        </row>
        <row r="359">
          <cell r="A359" t="str">
            <v>TUBO PVC PRESION 1"</v>
          </cell>
        </row>
        <row r="360">
          <cell r="A360" t="str">
            <v>TUBO PVC PRESION 3/4"</v>
          </cell>
        </row>
        <row r="361">
          <cell r="A361" t="str">
            <v>TUBO PVC PRESION 1/2"</v>
          </cell>
        </row>
        <row r="362">
          <cell r="A362" t="str">
            <v>INSTALACION ELECTRICA BOMBA SUMERGIBLE</v>
          </cell>
        </row>
        <row r="363">
          <cell r="A363" t="str">
            <v>CODO PVC PRESION  1 1/4"</v>
          </cell>
        </row>
        <row r="364">
          <cell r="A364" t="str">
            <v>CODO PVC PRESION  1"</v>
          </cell>
        </row>
        <row r="365">
          <cell r="A365" t="str">
            <v>CODO PVC PRESION  3/4"</v>
          </cell>
        </row>
        <row r="366">
          <cell r="A366" t="str">
            <v>CODO PVC PRESION  1/2"</v>
          </cell>
        </row>
        <row r="367">
          <cell r="A367" t="str">
            <v>TEE PVC PRESION  1 1/4"</v>
          </cell>
        </row>
        <row r="368">
          <cell r="A368" t="str">
            <v>TEE PVC PRESION  1"</v>
          </cell>
        </row>
        <row r="369">
          <cell r="A369" t="str">
            <v>TEE PVC PRESION  3/4"</v>
          </cell>
        </row>
        <row r="370">
          <cell r="A370" t="str">
            <v>REDUCCION  PVC PRESION  1 1/4" A 1"</v>
          </cell>
        </row>
        <row r="371">
          <cell r="A371" t="str">
            <v>REDUCCION  PVC PRESION  1" A 3/4"</v>
          </cell>
        </row>
        <row r="372">
          <cell r="A372" t="str">
            <v>REDUCCION  PVC PRESION  3/4" A 1/2"</v>
          </cell>
        </row>
        <row r="373">
          <cell r="A373" t="str">
            <v>ACOPLE DE Ø1"</v>
          </cell>
        </row>
        <row r="374">
          <cell r="A374" t="str">
            <v>MICROMEDIDOR DE AGUA Ø1"</v>
          </cell>
        </row>
        <row r="375">
          <cell r="A375" t="str">
            <v>REGISTRO DE CORTE 1"</v>
          </cell>
        </row>
        <row r="376">
          <cell r="A376" t="str">
            <v>SELLADOR USO GENERAL</v>
          </cell>
        </row>
        <row r="377">
          <cell r="A377" t="str">
            <v>ACOPLE DE Ø1 1/4"</v>
          </cell>
        </row>
        <row r="378">
          <cell r="A378" t="str">
            <v>MICROMEDIDOR DE AGUA Ø1 1/4"</v>
          </cell>
        </row>
        <row r="379">
          <cell r="A379" t="str">
            <v>REGISTRO DE CORTE 1 1/4"</v>
          </cell>
        </row>
        <row r="380">
          <cell r="A380" t="str">
            <v>CINTA TEFLON</v>
          </cell>
        </row>
        <row r="381">
          <cell r="A381" t="str">
            <v>REGISTRO DE CORTE DE 3/4"</v>
          </cell>
        </row>
        <row r="382">
          <cell r="A382" t="str">
            <v>ALAMBRE AISLADO  No.12 THHN-THWN 90  600V</v>
          </cell>
        </row>
        <row r="383">
          <cell r="A383" t="str">
            <v xml:space="preserve"> ALAMBRE Cu DESNUDO AWG 14</v>
          </cell>
        </row>
        <row r="384">
          <cell r="A384" t="str">
            <v>BOQUILLAS  METAL  ½ "+ TUERCA</v>
          </cell>
        </row>
        <row r="385">
          <cell r="A385" t="str">
            <v xml:space="preserve"> CAJA 5800 GALV. RG100</v>
          </cell>
        </row>
        <row r="386">
          <cell r="A386" t="str">
            <v xml:space="preserve"> LIMPIADOR   REMOVEDOR 1/16 TIPO  PAVCO</v>
          </cell>
        </row>
        <row r="387">
          <cell r="A387" t="str">
            <v>SOLDADURA PVC LIQUIDA  ¼ GL</v>
          </cell>
        </row>
        <row r="388">
          <cell r="A388" t="str">
            <v xml:space="preserve">TOMA DOBLE AMERICANA 600 POLO TIERRA </v>
          </cell>
        </row>
        <row r="389">
          <cell r="A389" t="str">
            <v xml:space="preserve"> TUBO CONDUIT   PVC   ½ "</v>
          </cell>
        </row>
        <row r="390">
          <cell r="A390" t="str">
            <v>Tubo PVC  de 3/4"</v>
          </cell>
        </row>
        <row r="391">
          <cell r="A391" t="str">
            <v>Alambre aislado No. 1 0 THHN- cobre awg</v>
          </cell>
        </row>
        <row r="392">
          <cell r="A392" t="str">
            <v>Boquillas Metalicas con tuerca 1/2"</v>
          </cell>
        </row>
        <row r="393">
          <cell r="A393" t="str">
            <v xml:space="preserve">Caja  5.800 Plastica </v>
          </cell>
        </row>
        <row r="394">
          <cell r="A394" t="str">
            <v>union PVC  de 3/4"</v>
          </cell>
        </row>
        <row r="395">
          <cell r="A395" t="str">
            <v>Curva PVC  de 3/4"</v>
          </cell>
        </row>
        <row r="396">
          <cell r="A396" t="str">
            <v>Adap terminal PVC  de 3/4"</v>
          </cell>
        </row>
        <row r="397">
          <cell r="A397" t="str">
            <v>Toma doble polo tierra GFCI</v>
          </cell>
        </row>
        <row r="398">
          <cell r="A398" t="str">
            <v>ALAMBRE AISLADO No.10 THHN-THWN 90  600V</v>
          </cell>
        </row>
        <row r="399">
          <cell r="A399" t="str">
            <v>CAJA 4 X 4 CON SUPLEMENTO</v>
          </cell>
        </row>
        <row r="400">
          <cell r="A400" t="str">
            <v>ESTOPA X 1 KILO</v>
          </cell>
        </row>
        <row r="401">
          <cell r="A401" t="str">
            <v>TOMA CORRIENTE BIFASICA 20 AMP</v>
          </cell>
        </row>
        <row r="402">
          <cell r="A402" t="str">
            <v>CAJA 5800 GALVANIZADA RG100</v>
          </cell>
        </row>
        <row r="403">
          <cell r="A403" t="str">
            <v>TOMA TRIFASICA 50 AMP</v>
          </cell>
        </row>
        <row r="404">
          <cell r="A404" t="str">
            <v>INTERRUPTOR SENCILLO ABITARE AVE</v>
          </cell>
        </row>
        <row r="405">
          <cell r="A405" t="str">
            <v>ROSETA PORCELANA</v>
          </cell>
        </row>
        <row r="406">
          <cell r="A406" t="str">
            <v>BOQUILLAS METALICAS CON TUERCA 1/2"</v>
          </cell>
        </row>
        <row r="407">
          <cell r="A407" t="str">
            <v xml:space="preserve">Face plate </v>
          </cell>
        </row>
        <row r="408">
          <cell r="A408" t="str">
            <v>caja 40 mm dexon</v>
          </cell>
        </row>
        <row r="409">
          <cell r="A409" t="str">
            <v>patch cord 3  mts  cat  6 cert.</v>
          </cell>
        </row>
        <row r="410">
          <cell r="A410" t="str">
            <v>Cable  Utp  cat 6</v>
          </cell>
        </row>
        <row r="411">
          <cell r="A411" t="str">
            <v>Jack keystone RJ45 cat 6</v>
          </cell>
        </row>
        <row r="412">
          <cell r="A412" t="str">
            <v>tubo conduit 3/4 PVC</v>
          </cell>
        </row>
        <row r="413">
          <cell r="A413" t="str">
            <v>UNION GALVANIZADA EMT 1/2"</v>
          </cell>
        </row>
        <row r="414">
          <cell r="A414" t="str">
            <v>Curva galvanizada EMT 1/2"</v>
          </cell>
        </row>
        <row r="415">
          <cell r="A415" t="str">
            <v>ADAPTADOR TERMINAL GALVANIZADO EMT 1/2"</v>
          </cell>
        </row>
        <row r="416">
          <cell r="A416" t="str">
            <v>PANEL LED 120X60 CM</v>
          </cell>
        </row>
        <row r="417">
          <cell r="A417" t="str">
            <v>MARCO PERFIL "T" DE 1" POR 3/4" ELECTRO ESTATICO BLANCO</v>
          </cell>
        </row>
        <row r="418">
          <cell r="A418" t="str">
            <v xml:space="preserve">caja plastica octogonal </v>
          </cell>
        </row>
        <row r="419">
          <cell r="A419" t="str">
            <v>BALA LED 3W</v>
          </cell>
        </row>
        <row r="420">
          <cell r="A420" t="str">
            <v>APLIQUE 60 W</v>
          </cell>
        </row>
        <row r="421">
          <cell r="A421" t="str">
            <v>UPS 10 KVA</v>
          </cell>
        </row>
        <row r="422">
          <cell r="A422" t="str">
            <v>RACK</v>
          </cell>
        </row>
        <row r="423">
          <cell r="A423" t="str">
            <v>MANTO METAL FL100</v>
          </cell>
        </row>
        <row r="424">
          <cell r="A424" t="str">
            <v>EMULSION ASFALTICA SIKA O SIMILAR</v>
          </cell>
        </row>
        <row r="425">
          <cell r="A425" t="str">
            <v>ALUMOL</v>
          </cell>
        </row>
        <row r="426">
          <cell r="A426" t="str">
            <v>TABLON CUCUTA GRAFILADO 25 X 25</v>
          </cell>
        </row>
        <row r="427">
          <cell r="A427" t="str">
            <v>COLOR MINERAL ROJO</v>
          </cell>
        </row>
        <row r="428">
          <cell r="A428" t="str">
            <v>GRAVILLA LAVADA N° 2</v>
          </cell>
        </row>
        <row r="429">
          <cell r="A429" t="str">
            <v>SANITARIO  + ACCESORIOS</v>
          </cell>
        </row>
        <row r="430">
          <cell r="A430" t="str">
            <v>CINTA TEFLON</v>
          </cell>
        </row>
        <row r="431">
          <cell r="A431" t="str">
            <v>LAVAMANOS + GRIFERIA+ ACSESORIOS</v>
          </cell>
        </row>
        <row r="432">
          <cell r="A432" t="str">
            <v>GRAPA CHAZOS  Y TORNILLOS</v>
          </cell>
        </row>
        <row r="433">
          <cell r="A433" t="str">
            <v xml:space="preserve">JUEGO DE INCRUSTACIONES </v>
          </cell>
        </row>
        <row r="434">
          <cell r="A434" t="str">
            <v>LAVAPLATOS 1.20x0.60 INC GRIFERIA</v>
          </cell>
        </row>
        <row r="435">
          <cell r="A435" t="str">
            <v>ACOPLE METALFLEX LAVAP-LAVAM MANGUERA FLEXIBLE MET</v>
          </cell>
        </row>
        <row r="436">
          <cell r="A436" t="str">
            <v>PUERTA TABLERO CORRIDO  MARCO 2X1</v>
          </cell>
        </row>
        <row r="437">
          <cell r="A437" t="str">
            <v>TUBO PVC SANITARIO 3"</v>
          </cell>
        </row>
        <row r="438">
          <cell r="A438" t="str">
            <v>CODO PVC 3" 90º</v>
          </cell>
        </row>
        <row r="439">
          <cell r="A439" t="str">
            <v>CODO PVC 4" 90º</v>
          </cell>
        </row>
        <row r="440">
          <cell r="A440" t="str">
            <v>REGISTRO D=1/2"</v>
          </cell>
        </row>
        <row r="441">
          <cell r="A441" t="str">
            <v>UNIVERSAL 1/2"</v>
          </cell>
        </row>
        <row r="442">
          <cell r="A442" t="str">
            <v>TOMA DOBLE</v>
          </cell>
        </row>
        <row r="443">
          <cell r="A443" t="str">
            <v>Toma doble polo tierra Hospitalario</v>
          </cell>
        </row>
        <row r="444">
          <cell r="A444" t="str">
            <v>INTERRUPTOR AUT 1 X 30 AMP. 2230E1</v>
          </cell>
        </row>
        <row r="445">
          <cell r="A445" t="str">
            <v xml:space="preserve"> INTERRUPTOR TRIPOLAR DE 3*50 A</v>
          </cell>
        </row>
        <row r="446">
          <cell r="A446" t="str">
            <v>PUESTA A TIERRA COMPLETA</v>
          </cell>
        </row>
        <row r="447">
          <cell r="A447" t="str">
            <v>TABLERO 8 CIRCUITOS TRIF. TWS</v>
          </cell>
        </row>
        <row r="448">
          <cell r="A448" t="str">
            <v>VENTANA ALUMINIO CORREDIZA CON VIDRIO</v>
          </cell>
        </row>
        <row r="449">
          <cell r="A449" t="str">
            <v>ARENA DE RIO PARA  CAMA TUBERIA</v>
          </cell>
        </row>
        <row r="450">
          <cell r="A450" t="str">
            <v>Tubo PVC NOVAFORT de 8"</v>
          </cell>
        </row>
        <row r="451">
          <cell r="A451" t="str">
            <v>Union NOVAFORT 8"</v>
          </cell>
        </row>
        <row r="452">
          <cell r="A452" t="str">
            <v>Union NOVAFORT 6"</v>
          </cell>
        </row>
        <row r="453">
          <cell r="A453" t="str">
            <v>Tuvo PVC NOVAFORT de 10"</v>
          </cell>
        </row>
        <row r="454">
          <cell r="A454" t="str">
            <v>Union NOVAFORT 10"</v>
          </cell>
        </row>
        <row r="455">
          <cell r="A455" t="str">
            <v>Tuvo PVC NOVAFORT de 12"</v>
          </cell>
        </row>
        <row r="456">
          <cell r="A456" t="str">
            <v>Union NOVAFORT 12"</v>
          </cell>
        </row>
        <row r="457">
          <cell r="A457" t="str">
            <v>Tuvo PVC NOVAFORT de 14"</v>
          </cell>
        </row>
        <row r="458">
          <cell r="A458" t="str">
            <v>Union NOVAFORT 14"</v>
          </cell>
        </row>
        <row r="459">
          <cell r="A459" t="str">
            <v>Tuvo PVC NOVAFORT de 16"</v>
          </cell>
        </row>
        <row r="460">
          <cell r="A460" t="str">
            <v>Union NOVAFORT 16"</v>
          </cell>
        </row>
        <row r="461">
          <cell r="A461" t="str">
            <v>Tubo PVC CONDUIT 2" tipo pesado</v>
          </cell>
        </row>
        <row r="462">
          <cell r="A462" t="str">
            <v>Tubo PVC CONDUIT 1 1/2" tipo pesado</v>
          </cell>
        </row>
        <row r="463">
          <cell r="A463" t="str">
            <v>Tubo PVC CONDUIT 4" tipo pesado</v>
          </cell>
        </row>
        <row r="464">
          <cell r="A464" t="str">
            <v>TABLERO GENERAL ESPECIAL</v>
          </cell>
        </row>
        <row r="465">
          <cell r="A465" t="str">
            <v xml:space="preserve"> INTERRUPTOR AUT 1 X 30 AMP. 2230E1</v>
          </cell>
        </row>
        <row r="466">
          <cell r="A466" t="str">
            <v>INTERRUPTOR INDUSTRIAL TRIPOLAR DE 3*100 A</v>
          </cell>
        </row>
        <row r="467">
          <cell r="A467" t="str">
            <v xml:space="preserve"> PUESTA A TIERRA COMPLETA</v>
          </cell>
        </row>
        <row r="468">
          <cell r="A468" t="str">
            <v>TABLERO 18 CIRCUITOS TRIF. TWS</v>
          </cell>
        </row>
        <row r="469">
          <cell r="A469" t="str">
            <v xml:space="preserve"> TABLERO 12 CIRCUITOS TRIF. TWS</v>
          </cell>
        </row>
        <row r="470">
          <cell r="A470" t="str">
            <v>ACOMETIDA 4/0 TRIFASICA</v>
          </cell>
        </row>
        <row r="471">
          <cell r="A471" t="str">
            <v>ACOMETIDA TRIFASICA THW 2</v>
          </cell>
        </row>
        <row r="472">
          <cell r="A472" t="str">
            <v>ACOMETIDA TRIFASICA THW 8</v>
          </cell>
        </row>
        <row r="473">
          <cell r="A473" t="str">
            <v>ACOMETIDA TIRFASICA THW 1/0</v>
          </cell>
        </row>
        <row r="474">
          <cell r="A474" t="str">
            <v>ACOMETIDA TRIFASICA THW4</v>
          </cell>
        </row>
        <row r="475">
          <cell r="A475" t="str">
            <v>ACOMETIDA TRIFASICA THW 2/0</v>
          </cell>
        </row>
        <row r="476">
          <cell r="A476" t="str">
            <v>Cable XLPE N° 2</v>
          </cell>
        </row>
        <row r="477">
          <cell r="A477" t="str">
            <v>arandela  de  presion 1/2</v>
          </cell>
        </row>
        <row r="478">
          <cell r="A478" t="str">
            <v>arandela  de  presion 5/8</v>
          </cell>
        </row>
        <row r="479">
          <cell r="A479" t="str">
            <v>perno  de  maquina 1/2 *11/2 carriaje</v>
          </cell>
        </row>
        <row r="480">
          <cell r="A480" t="str">
            <v>hilo  fusible tipo h 13,2 kv 5 amp</v>
          </cell>
        </row>
        <row r="481">
          <cell r="A481" t="str">
            <v>collarin 1/4 6-8-2 salidas</v>
          </cell>
        </row>
        <row r="482">
          <cell r="A482" t="str">
            <v>collarin una  salida 5-6"</v>
          </cell>
        </row>
        <row r="483">
          <cell r="A483" t="str">
            <v xml:space="preserve">cortacircuito  15 kv </v>
          </cell>
        </row>
        <row r="484">
          <cell r="A484" t="str">
            <v>cruceta metalica 2m 3/16</v>
          </cell>
        </row>
        <row r="485">
          <cell r="A485" t="str">
            <v>diagonal  angulo metalica de 68cm</v>
          </cell>
        </row>
        <row r="486">
          <cell r="A486" t="str">
            <v>ESPARRAGO ROSCADO DE 4 TUERCAS 5/8x12 "</v>
          </cell>
        </row>
        <row r="487">
          <cell r="A487" t="str">
            <v>grapa p/operar en  caliente</v>
          </cell>
        </row>
        <row r="488">
          <cell r="A488" t="str">
            <v>hebillas bandit 5/8"</v>
          </cell>
        </row>
        <row r="489">
          <cell r="A489" t="str">
            <v>cinta bandit 5/8"</v>
          </cell>
        </row>
        <row r="490">
          <cell r="A490" t="str">
            <v>Herramienta Especializada Para Trabajo en Linea Viva</v>
          </cell>
        </row>
        <row r="491">
          <cell r="A491" t="str">
            <v>Grua Canasta Para Trabajo en Linea Viva</v>
          </cell>
        </row>
        <row r="492">
          <cell r="A492" t="str">
            <v>Oficial Especializado</v>
          </cell>
        </row>
        <row r="493">
          <cell r="A493" t="str">
            <v>Ayudante Especializado</v>
          </cell>
        </row>
        <row r="494">
          <cell r="A494" t="str">
            <v>Ayudante Especializado</v>
          </cell>
        </row>
        <row r="495">
          <cell r="A495" t="str">
            <v>BARRAJE BT 200</v>
          </cell>
        </row>
        <row r="496">
          <cell r="A496" t="str">
            <v>BARRAJE BT 600</v>
          </cell>
        </row>
        <row r="497">
          <cell r="A497" t="str">
            <v>Transformador semisumergible 75kVA</v>
          </cell>
        </row>
        <row r="498">
          <cell r="A498" t="str">
            <v>RED COMPACTA</v>
          </cell>
        </row>
        <row r="499">
          <cell r="A499" t="str">
            <v>Poste Metalico Galvanizado Oleron Brazo Triple de 6.0 m</v>
          </cell>
        </row>
        <row r="500">
          <cell r="A500" t="str">
            <v>Canastilla de Pernos Galvanizada de 1/2" * 0,75 m</v>
          </cell>
        </row>
        <row r="501">
          <cell r="A501" t="str">
            <v>Luminaria Orion Led de 20 W</v>
          </cell>
        </row>
        <row r="502">
          <cell r="A502" t="str">
            <v>Cimentacion de 30X30X100 cm3 en concreto de 3000 psi</v>
          </cell>
        </row>
        <row r="503">
          <cell r="A503" t="str">
            <v>Cable encauchetado 3x14 Cobre</v>
          </cell>
        </row>
        <row r="504">
          <cell r="A504" t="str">
            <v>Empalme de BT en Derivacion Reichem</v>
          </cell>
        </row>
        <row r="505">
          <cell r="A505" t="str">
            <v>Varilla de Cobre de 5/8" * 1,20</v>
          </cell>
        </row>
        <row r="506">
          <cell r="A506" t="str">
            <v>Alambre desnudo de Cobre No 10</v>
          </cell>
        </row>
        <row r="507">
          <cell r="A507" t="str">
            <v>Tuberia Flexible PVC de 1 1/2"</v>
          </cell>
        </row>
        <row r="508">
          <cell r="A508" t="str">
            <v>TRANSPORTES Poste Metalico y luminarias</v>
          </cell>
        </row>
        <row r="509">
          <cell r="A509" t="str">
            <v>Otros TRANSPORTES</v>
          </cell>
        </row>
        <row r="510">
          <cell r="A510" t="str">
            <v>ANDAMIOS CERTIFICADOS</v>
          </cell>
        </row>
        <row r="511">
          <cell r="A511" t="str">
            <v>Poste Metalico Galvanizado Sextante 2 Brazo Doble de 9.0 m</v>
          </cell>
        </row>
        <row r="512">
          <cell r="A512" t="str">
            <v>Canastilla de Pernos Galvanizada de 3/4" * 1,0 m</v>
          </cell>
        </row>
        <row r="513">
          <cell r="A513" t="str">
            <v>Luminaria GC HV 616 Led de 180 W</v>
          </cell>
        </row>
        <row r="514">
          <cell r="A514" t="str">
            <v>Cimentacion de 40X40X120 cm3 en concreto de 3000 psi</v>
          </cell>
        </row>
        <row r="515">
          <cell r="A515" t="str">
            <v>Poste Metalico Galvanizado Fario de 10.0 m</v>
          </cell>
        </row>
        <row r="516">
          <cell r="A516" t="str">
            <v>Luminaria GC HV 616 Led de 180 W</v>
          </cell>
        </row>
        <row r="517">
          <cell r="A517" t="str">
            <v>GRUA HIDRAULICA</v>
          </cell>
        </row>
        <row r="518">
          <cell r="A518" t="str">
            <v>Poste Metalico Galvanizado Lisboa de 10.0 m</v>
          </cell>
        </row>
        <row r="519">
          <cell r="A519" t="str">
            <v>Poste Metalico Galvanizado Bolarado con policarbonato</v>
          </cell>
        </row>
        <row r="520">
          <cell r="A520" t="str">
            <v>Sistema luminoso ECO led de 2X18 W</v>
          </cell>
        </row>
        <row r="521">
          <cell r="A521" t="str">
            <v>Cimentacion de 30X30X100 cm3 en concreto de 3000 psi</v>
          </cell>
        </row>
        <row r="522">
          <cell r="A522" t="str">
            <v>Herraje de Fijacion</v>
          </cell>
        </row>
        <row r="523">
          <cell r="A523" t="str">
            <v>Plataforma Hidraulica</v>
          </cell>
        </row>
        <row r="524">
          <cell r="A524" t="str">
            <v>Luminaria Bala de Led 3 W IP 68</v>
          </cell>
        </row>
        <row r="525">
          <cell r="A525" t="str">
            <v>Cimentacion de 15X15X30 cm3 en concreto de 3000 psi</v>
          </cell>
        </row>
        <row r="526">
          <cell r="A526" t="str">
            <v>Cable encauchetado 3x14 Cobre</v>
          </cell>
        </row>
        <row r="527">
          <cell r="A527" t="str">
            <v>Caja metalica Galvanizada deFijacion</v>
          </cell>
        </row>
        <row r="528">
          <cell r="A528" t="str">
            <v>ESTRUCTURA METALICA Y CUBIERTA EN LONA FERRARI 902 0 SIMILAR</v>
          </cell>
        </row>
        <row r="529">
          <cell r="A529" t="str">
            <v>ESMALTE EPOXICO</v>
          </cell>
        </row>
        <row r="530">
          <cell r="A530" t="str">
            <v>MARCO EN TUBO PTS 100X100 2,5 mm ESLABONES SEGÚN PLANO EN CALIBRE 3" 3 mm, 2" 2MM Y 1" 2 MM, TRABAJO ARTESANAL ARBOLES LINEALES DE ENTREPAÑO PINTURA EN WAST PRIMER, ACABADO EN POLIURETANO, INCLUYE MANO DE OBRA</v>
          </cell>
        </row>
        <row r="531">
          <cell r="A531" t="str">
            <v>TAPA METALICA 3/16" CORRUGADA, INCLUYE MARCO Y  BISAGRAS</v>
          </cell>
        </row>
        <row r="532">
          <cell r="A532" t="str">
            <v>MAMPOSTERIA LADRILLO TOLETE E=.25</v>
          </cell>
        </row>
        <row r="533">
          <cell r="A533" t="str">
            <v>MARCO TAPA CONCRETO EN ANGULO 2 1/2"X2 1/2" X 3/16", 072X0,72</v>
          </cell>
        </row>
        <row r="534">
          <cell r="A534" t="str">
            <v>MAMAPOSTERIA LADRILLO TOLETE E=0,12 MT</v>
          </cell>
        </row>
        <row r="535">
          <cell r="A535" t="str">
            <v>MARCO TAPA CONCRETO EN ANGULO 2 1/2"X2 1/2" X 3/16", 1.3X0.80</v>
          </cell>
        </row>
      </sheetData>
      <sheetData sheetId="4449"/>
      <sheetData sheetId="4450">
        <row r="16">
          <cell r="A16" t="str">
            <v>ABONO 10-30-10</v>
          </cell>
        </row>
      </sheetData>
      <sheetData sheetId="4451">
        <row r="6">
          <cell r="A6" t="str">
            <v>TOPÓGRAFO</v>
          </cell>
        </row>
      </sheetData>
      <sheetData sheetId="4452"/>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row r="33">
          <cell r="C33">
            <v>0.77967625899280601</v>
          </cell>
        </row>
      </sheetData>
      <sheetData sheetId="4498">
        <row r="168">
          <cell r="D168">
            <v>10046</v>
          </cell>
        </row>
      </sheetData>
      <sheetData sheetId="4499"/>
      <sheetData sheetId="4500"/>
      <sheetData sheetId="4501">
        <row r="1">
          <cell r="B1" t="str">
            <v>CTO-102-2002</v>
          </cell>
        </row>
      </sheetData>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sheetData sheetId="4737"/>
      <sheetData sheetId="4738"/>
      <sheetData sheetId="4739"/>
      <sheetData sheetId="4740"/>
      <sheetData sheetId="4741"/>
      <sheetData sheetId="4742"/>
      <sheetData sheetId="4743">
        <row r="7">
          <cell r="B7">
            <v>0.1</v>
          </cell>
        </row>
      </sheetData>
      <sheetData sheetId="4744">
        <row r="6">
          <cell r="A6" t="str">
            <v>TOPÓGRAFO</v>
          </cell>
        </row>
      </sheetData>
      <sheetData sheetId="4745" refreshError="1"/>
      <sheetData sheetId="4746" refreshError="1"/>
      <sheetData sheetId="4747" refreshError="1"/>
      <sheetData sheetId="4748" refreshError="1"/>
      <sheetData sheetId="4749" refreshError="1"/>
      <sheetData sheetId="4750" refreshError="1"/>
      <sheetData sheetId="4751" refreshError="1"/>
      <sheetData sheetId="4752"/>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sheetData sheetId="4793"/>
      <sheetData sheetId="4794"/>
      <sheetData sheetId="4795"/>
      <sheetData sheetId="4796"/>
      <sheetData sheetId="4797"/>
      <sheetData sheetId="4798"/>
      <sheetData sheetId="4799"/>
      <sheetData sheetId="4800"/>
      <sheetData sheetId="4801"/>
      <sheetData sheetId="4802" refreshError="1"/>
      <sheetData sheetId="4803" refreshError="1"/>
      <sheetData sheetId="4804"/>
      <sheetData sheetId="4805" refreshError="1"/>
      <sheetData sheetId="4806" refreshError="1"/>
      <sheetData sheetId="4807" refreshError="1"/>
      <sheetData sheetId="4808">
        <row r="33">
          <cell r="C33">
            <v>0.77967625899280601</v>
          </cell>
        </row>
      </sheetData>
      <sheetData sheetId="4809" refreshError="1"/>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sheetData sheetId="4896" refreshError="1"/>
      <sheetData sheetId="4897">
        <row r="1">
          <cell r="B1" t="str">
            <v>CTO-102-2002</v>
          </cell>
        </row>
      </sheetData>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row r="2">
          <cell r="A2" t="str">
            <v>ACTA No</v>
          </cell>
        </row>
      </sheetData>
      <sheetData sheetId="4919">
        <row r="2">
          <cell r="A2" t="str">
            <v>ACTA No</v>
          </cell>
        </row>
      </sheetData>
      <sheetData sheetId="4920">
        <row r="1">
          <cell r="B1" t="str">
            <v>CTO-102-2002</v>
          </cell>
        </row>
      </sheetData>
      <sheetData sheetId="4921"/>
      <sheetData sheetId="4922"/>
      <sheetData sheetId="4923"/>
      <sheetData sheetId="4924"/>
      <sheetData sheetId="4925"/>
      <sheetData sheetId="4926"/>
      <sheetData sheetId="4927"/>
      <sheetData sheetId="4928"/>
      <sheetData sheetId="4929"/>
      <sheetData sheetId="4930"/>
      <sheetData sheetId="4931">
        <row r="33">
          <cell r="C33">
            <v>0.77967625899280601</v>
          </cell>
        </row>
      </sheetData>
      <sheetData sheetId="4932"/>
      <sheetData sheetId="4933"/>
      <sheetData sheetId="4934"/>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sheetData sheetId="4958"/>
      <sheetData sheetId="4959"/>
      <sheetData sheetId="4960"/>
      <sheetData sheetId="4961" refreshError="1"/>
      <sheetData sheetId="4962">
        <row r="525">
          <cell r="K525">
            <v>1695.87</v>
          </cell>
        </row>
      </sheetData>
      <sheetData sheetId="4963">
        <row r="525">
          <cell r="K525">
            <v>3577.94</v>
          </cell>
        </row>
      </sheetData>
      <sheetData sheetId="4964">
        <row r="525">
          <cell r="K525">
            <v>5147.76</v>
          </cell>
        </row>
      </sheetData>
      <sheetData sheetId="4965">
        <row r="525">
          <cell r="K525">
            <v>4940.1099999999997</v>
          </cell>
        </row>
      </sheetData>
      <sheetData sheetId="4966">
        <row r="526">
          <cell r="K526">
            <v>695.98</v>
          </cell>
        </row>
      </sheetData>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row r="36">
          <cell r="G36">
            <v>271000.00000162207</v>
          </cell>
        </row>
      </sheetData>
      <sheetData sheetId="4990">
        <row r="33">
          <cell r="G33">
            <v>283000.00002693152</v>
          </cell>
        </row>
      </sheetData>
      <sheetData sheetId="4991">
        <row r="33">
          <cell r="G33">
            <v>290000.00000013626</v>
          </cell>
        </row>
      </sheetData>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refreshError="1"/>
      <sheetData sheetId="5072" refreshError="1"/>
      <sheetData sheetId="5073" refreshError="1"/>
      <sheetData sheetId="5074" refreshError="1"/>
      <sheetData sheetId="5075" refreshError="1"/>
      <sheetData sheetId="5076"/>
      <sheetData sheetId="5077"/>
      <sheetData sheetId="5078"/>
      <sheetData sheetId="5079" refreshError="1"/>
      <sheetData sheetId="5080">
        <row r="11">
          <cell r="A11">
            <v>1</v>
          </cell>
        </row>
      </sheetData>
      <sheetData sheetId="5081">
        <row r="4">
          <cell r="C4" t="str">
            <v>INTERVENTORIA TECNICO ADMINISTRATIVA PARA LA CONSTRUCCION, INSTALACION DE EQUIPOS, PRUEBAS Y PUESTA EN MARCHA DEL SISTEMA DE SECTORIZACION DEL OLEODUCTO TRANSANDINO.</v>
          </cell>
        </row>
      </sheetData>
      <sheetData sheetId="5082"/>
      <sheetData sheetId="5083"/>
      <sheetData sheetId="5084"/>
      <sheetData sheetId="5085"/>
      <sheetData sheetId="5086"/>
      <sheetData sheetId="5087"/>
      <sheetData sheetId="5088"/>
      <sheetData sheetId="5089"/>
      <sheetData sheetId="5090" refreshError="1"/>
      <sheetData sheetId="5091" refreshError="1"/>
      <sheetData sheetId="5092" refreshError="1"/>
      <sheetData sheetId="5093" refreshError="1"/>
      <sheetData sheetId="5094">
        <row r="9">
          <cell r="D9" t="str">
            <v>FECHA</v>
          </cell>
        </row>
      </sheetData>
      <sheetData sheetId="5095"/>
      <sheetData sheetId="5096"/>
      <sheetData sheetId="5097"/>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sheetData sheetId="5123"/>
      <sheetData sheetId="5124"/>
      <sheetData sheetId="5125"/>
      <sheetData sheetId="5126">
        <row r="6">
          <cell r="A6" t="str">
            <v>CO-A1</v>
          </cell>
        </row>
      </sheetData>
      <sheetData sheetId="5127"/>
      <sheetData sheetId="5128" refreshError="1"/>
      <sheetData sheetId="5129"/>
      <sheetData sheetId="5130"/>
      <sheetData sheetId="5131"/>
      <sheetData sheetId="5132">
        <row r="4">
          <cell r="E4" t="str">
            <v>GUPCO</v>
          </cell>
        </row>
      </sheetData>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refreshError="1"/>
      <sheetData sheetId="5146"/>
      <sheetData sheetId="5147"/>
      <sheetData sheetId="5148"/>
      <sheetData sheetId="5149"/>
      <sheetData sheetId="5150"/>
      <sheetData sheetId="5151"/>
      <sheetData sheetId="5152" refreshError="1"/>
      <sheetData sheetId="5153" refreshError="1"/>
      <sheetData sheetId="5154" refreshError="1"/>
      <sheetData sheetId="5155" refreshError="1"/>
      <sheetData sheetId="5156" refreshError="1"/>
      <sheetData sheetId="5157" refreshError="1"/>
      <sheetData sheetId="5158" refreshError="1"/>
      <sheetData sheetId="5159"/>
      <sheetData sheetId="5160" refreshError="1"/>
      <sheetData sheetId="5161"/>
      <sheetData sheetId="5162" refreshError="1"/>
      <sheetData sheetId="5163"/>
      <sheetData sheetId="5164"/>
      <sheetData sheetId="5165"/>
      <sheetData sheetId="5166"/>
      <sheetData sheetId="5167"/>
      <sheetData sheetId="5168"/>
      <sheetData sheetId="5169"/>
      <sheetData sheetId="5170"/>
      <sheetData sheetId="5171"/>
      <sheetData sheetId="5172"/>
      <sheetData sheetId="5173" refreshError="1"/>
      <sheetData sheetId="5174"/>
      <sheetData sheetId="5175"/>
      <sheetData sheetId="5176"/>
      <sheetData sheetId="5177"/>
      <sheetData sheetId="5178" refreshError="1"/>
      <sheetData sheetId="5179" refreshError="1"/>
      <sheetData sheetId="5180" refreshError="1"/>
      <sheetData sheetId="5181"/>
      <sheetData sheetId="5182" refreshError="1"/>
      <sheetData sheetId="5183" refreshError="1"/>
      <sheetData sheetId="5184"/>
      <sheetData sheetId="5185"/>
      <sheetData sheetId="5186" refreshError="1"/>
      <sheetData sheetId="5187" refreshError="1"/>
      <sheetData sheetId="5188"/>
      <sheetData sheetId="5189" refreshError="1"/>
      <sheetData sheetId="5190" refreshError="1"/>
      <sheetData sheetId="5191"/>
      <sheetData sheetId="5192"/>
      <sheetData sheetId="5193"/>
      <sheetData sheetId="5194"/>
      <sheetData sheetId="5195"/>
      <sheetData sheetId="5196"/>
      <sheetData sheetId="5197"/>
      <sheetData sheetId="5198"/>
      <sheetData sheetId="5199"/>
      <sheetData sheetId="5200"/>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sheetData sheetId="5227"/>
      <sheetData sheetId="5228"/>
      <sheetData sheetId="5229"/>
      <sheetData sheetId="5230"/>
      <sheetData sheetId="5231"/>
      <sheetData sheetId="5232"/>
      <sheetData sheetId="5233"/>
      <sheetData sheetId="5234"/>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row r="82">
          <cell r="B82" t="str">
            <v>ING. NESTOR FABIAN PEREZ MATEUS</v>
          </cell>
        </row>
      </sheetData>
      <sheetData sheetId="5260"/>
      <sheetData sheetId="5261"/>
      <sheetData sheetId="5262">
        <row r="4">
          <cell r="A4">
            <v>0</v>
          </cell>
        </row>
      </sheetData>
      <sheetData sheetId="5263"/>
      <sheetData sheetId="5264">
        <row r="3">
          <cell r="A3">
            <v>5.0999999999999996</v>
          </cell>
        </row>
      </sheetData>
      <sheetData sheetId="5265" refreshError="1"/>
      <sheetData sheetId="5266"/>
      <sheetData sheetId="5267" refreshError="1"/>
      <sheetData sheetId="5268" refreshError="1"/>
      <sheetData sheetId="5269"/>
      <sheetData sheetId="5270"/>
      <sheetData sheetId="5271"/>
      <sheetData sheetId="5272"/>
      <sheetData sheetId="5273"/>
      <sheetData sheetId="5274"/>
      <sheetData sheetId="5275"/>
      <sheetData sheetId="5276"/>
      <sheetData sheetId="5277"/>
      <sheetData sheetId="5278"/>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row r="1">
          <cell r="A1" t="str">
            <v>ITEM</v>
          </cell>
        </row>
      </sheetData>
      <sheetData sheetId="5675">
        <row r="1">
          <cell r="A1" t="str">
            <v>EQUIPO</v>
          </cell>
        </row>
      </sheetData>
      <sheetData sheetId="5676">
        <row r="1">
          <cell r="A1" t="str">
            <v>ADMINISTRACION</v>
          </cell>
        </row>
      </sheetData>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row r="1">
          <cell r="A1" t="str">
            <v>ITEM</v>
          </cell>
        </row>
      </sheetData>
      <sheetData sheetId="5696">
        <row r="1">
          <cell r="A1" t="str">
            <v>EQUIPO</v>
          </cell>
        </row>
      </sheetData>
      <sheetData sheetId="5697">
        <row r="1">
          <cell r="A1" t="str">
            <v>ADMINISTRACION</v>
          </cell>
        </row>
      </sheetData>
      <sheetData sheetId="5698"/>
      <sheetData sheetId="5699"/>
      <sheetData sheetId="5700"/>
      <sheetData sheetId="5701"/>
      <sheetData sheetId="5702"/>
      <sheetData sheetId="5703">
        <row r="1">
          <cell r="A1" t="str">
            <v>ITEM</v>
          </cell>
        </row>
      </sheetData>
      <sheetData sheetId="5704">
        <row r="1">
          <cell r="A1" t="str">
            <v>EQUIPO</v>
          </cell>
        </row>
      </sheetData>
      <sheetData sheetId="5705">
        <row r="1">
          <cell r="A1" t="str">
            <v>ADMINISTRACION</v>
          </cell>
        </row>
      </sheetData>
      <sheetData sheetId="5706"/>
      <sheetData sheetId="5707"/>
      <sheetData sheetId="5708"/>
      <sheetData sheetId="5709"/>
      <sheetData sheetId="5710"/>
      <sheetData sheetId="5711"/>
      <sheetData sheetId="5712"/>
      <sheetData sheetId="5713"/>
      <sheetData sheetId="5714">
        <row r="1">
          <cell r="A1" t="str">
            <v>ITEM</v>
          </cell>
        </row>
      </sheetData>
      <sheetData sheetId="5715">
        <row r="1">
          <cell r="A1" t="str">
            <v>EQUIPO</v>
          </cell>
        </row>
      </sheetData>
      <sheetData sheetId="5716">
        <row r="1">
          <cell r="A1" t="str">
            <v>ADMINISTRACION</v>
          </cell>
        </row>
      </sheetData>
      <sheetData sheetId="5717"/>
      <sheetData sheetId="5718"/>
      <sheetData sheetId="5719"/>
      <sheetData sheetId="5720"/>
      <sheetData sheetId="5721"/>
      <sheetData sheetId="5722"/>
      <sheetData sheetId="5723"/>
      <sheetData sheetId="5724"/>
      <sheetData sheetId="5725"/>
      <sheetData sheetId="5726"/>
      <sheetData sheetId="5727"/>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sheetData sheetId="5780"/>
      <sheetData sheetId="5781"/>
      <sheetData sheetId="5782"/>
      <sheetData sheetId="5783"/>
      <sheetData sheetId="5784" refreshError="1"/>
      <sheetData sheetId="5785" refreshError="1"/>
      <sheetData sheetId="5786" refreshError="1"/>
      <sheetData sheetId="5787" refreshError="1"/>
      <sheetData sheetId="5788" refreshError="1"/>
      <sheetData sheetId="5789" refreshError="1"/>
      <sheetData sheetId="5790" refreshError="1"/>
      <sheetData sheetId="5791"/>
      <sheetData sheetId="5792"/>
      <sheetData sheetId="5793">
        <row r="1">
          <cell r="W1" t="str">
            <v>TR0001</v>
          </cell>
        </row>
      </sheetData>
      <sheetData sheetId="5794"/>
      <sheetData sheetId="5795"/>
      <sheetData sheetId="5796"/>
      <sheetData sheetId="5797"/>
      <sheetData sheetId="5798"/>
      <sheetData sheetId="5799"/>
      <sheetData sheetId="5800">
        <row r="2">
          <cell r="C2">
            <v>2</v>
          </cell>
        </row>
      </sheetData>
      <sheetData sheetId="5801"/>
      <sheetData sheetId="5802">
        <row r="5">
          <cell r="G5">
            <v>1</v>
          </cell>
        </row>
      </sheetData>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refreshError="1"/>
      <sheetData sheetId="5819" refreshError="1"/>
      <sheetData sheetId="5820" refreshError="1"/>
      <sheetData sheetId="5821"/>
      <sheetData sheetId="5822"/>
      <sheetData sheetId="5823"/>
      <sheetData sheetId="5824"/>
      <sheetData sheetId="5825"/>
      <sheetData sheetId="5826"/>
      <sheetData sheetId="5827">
        <row r="9">
          <cell r="E9">
            <v>19.379681052981429</v>
          </cell>
        </row>
      </sheetData>
      <sheetData sheetId="5828">
        <row r="9">
          <cell r="E9">
            <v>19.372852455375334</v>
          </cell>
        </row>
      </sheetData>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sheetData sheetId="5949">
        <row r="8">
          <cell r="E8">
            <v>1939047</v>
          </cell>
        </row>
      </sheetData>
      <sheetData sheetId="5950"/>
      <sheetData sheetId="5951"/>
      <sheetData sheetId="5952"/>
      <sheetData sheetId="5953"/>
      <sheetData sheetId="5954"/>
      <sheetData sheetId="5955"/>
      <sheetData sheetId="5956"/>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sheetData sheetId="5968"/>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sheetData sheetId="6193" refreshError="1"/>
      <sheetData sheetId="6194"/>
      <sheetData sheetId="6195"/>
      <sheetData sheetId="6196"/>
      <sheetData sheetId="6197"/>
      <sheetData sheetId="6198"/>
      <sheetData sheetId="6199"/>
      <sheetData sheetId="6200"/>
      <sheetData sheetId="6201"/>
      <sheetData sheetId="6202"/>
      <sheetData sheetId="6203"/>
      <sheetData sheetId="6204"/>
      <sheetData sheetId="6205"/>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sheetData sheetId="6221" refreshError="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sheetData sheetId="6253"/>
      <sheetData sheetId="6254"/>
      <sheetData sheetId="6255"/>
      <sheetData sheetId="6256"/>
      <sheetData sheetId="6257" refreshError="1"/>
      <sheetData sheetId="6258" refreshError="1"/>
      <sheetData sheetId="6259" refreshError="1"/>
      <sheetData sheetId="6260"/>
      <sheetData sheetId="626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sheetData sheetId="6273" refreshError="1"/>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refreshError="1"/>
      <sheetData sheetId="6287" refreshError="1"/>
      <sheetData sheetId="6288" refreshError="1"/>
      <sheetData sheetId="6289" refreshError="1"/>
      <sheetData sheetId="6290"/>
      <sheetData sheetId="6291"/>
      <sheetData sheetId="6292"/>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sheetData sheetId="6317" refreshError="1"/>
      <sheetData sheetId="6318"/>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sheetData sheetId="6390"/>
      <sheetData sheetId="6391"/>
      <sheetData sheetId="6392"/>
      <sheetData sheetId="6393"/>
      <sheetData sheetId="6394"/>
      <sheetData sheetId="6395"/>
      <sheetData sheetId="6396"/>
      <sheetData sheetId="6397"/>
      <sheetData sheetId="6398"/>
      <sheetData sheetId="6399"/>
      <sheetData sheetId="6400" refreshError="1"/>
      <sheetData sheetId="6401"/>
      <sheetData sheetId="6402"/>
      <sheetData sheetId="6403"/>
      <sheetData sheetId="6404"/>
      <sheetData sheetId="6405"/>
      <sheetData sheetId="6406"/>
      <sheetData sheetId="6407"/>
      <sheetData sheetId="6408"/>
      <sheetData sheetId="6409"/>
      <sheetData sheetId="6410"/>
      <sheetData sheetId="6411"/>
      <sheetData sheetId="6412"/>
      <sheetData sheetId="6413"/>
      <sheetData sheetId="6414"/>
      <sheetData sheetId="6415"/>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row r="1">
          <cell r="A1" t="str">
            <v>ITEM</v>
          </cell>
        </row>
      </sheetData>
      <sheetData sheetId="6434">
        <row r="1">
          <cell r="A1" t="str">
            <v>EQUIPO</v>
          </cell>
        </row>
      </sheetData>
      <sheetData sheetId="6435">
        <row r="1">
          <cell r="A1" t="str">
            <v>ADMINISTRACION</v>
          </cell>
        </row>
      </sheetData>
      <sheetData sheetId="6436"/>
      <sheetData sheetId="6437"/>
      <sheetData sheetId="6438"/>
      <sheetData sheetId="6439"/>
      <sheetData sheetId="6440"/>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ow r="1">
          <cell r="C1">
            <v>0.2</v>
          </cell>
        </row>
      </sheetData>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sheetData sheetId="6577"/>
      <sheetData sheetId="6578" refreshError="1"/>
      <sheetData sheetId="6579" refreshError="1"/>
      <sheetData sheetId="6580" refreshError="1"/>
      <sheetData sheetId="6581" refreshError="1"/>
      <sheetData sheetId="6582" refreshError="1"/>
      <sheetData sheetId="6583" refreshError="1"/>
      <sheetData sheetId="6584"/>
      <sheetData sheetId="6585"/>
      <sheetData sheetId="6586"/>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sheetData sheetId="6692"/>
      <sheetData sheetId="6693"/>
      <sheetData sheetId="6694"/>
      <sheetData sheetId="6695"/>
      <sheetData sheetId="6696"/>
      <sheetData sheetId="6697"/>
      <sheetData sheetId="6698"/>
      <sheetData sheetId="6699"/>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sheetData sheetId="6732"/>
      <sheetData sheetId="6733"/>
      <sheetData sheetId="6734"/>
      <sheetData sheetId="6735"/>
      <sheetData sheetId="6736" refreshError="1"/>
      <sheetData sheetId="6737" refreshError="1"/>
      <sheetData sheetId="6738"/>
      <sheetData sheetId="6739"/>
      <sheetData sheetId="6740"/>
      <sheetData sheetId="6741"/>
      <sheetData sheetId="6742"/>
      <sheetData sheetId="6743"/>
      <sheetData sheetId="6744"/>
      <sheetData sheetId="6745" refreshError="1"/>
      <sheetData sheetId="6746" refreshError="1"/>
      <sheetData sheetId="6747" refreshError="1"/>
      <sheetData sheetId="6748" refreshError="1"/>
      <sheetData sheetId="6749" refreshError="1"/>
      <sheetData sheetId="6750" refreshError="1"/>
      <sheetData sheetId="6751"/>
      <sheetData sheetId="6752"/>
      <sheetData sheetId="6753"/>
      <sheetData sheetId="6754"/>
      <sheetData sheetId="6755"/>
      <sheetData sheetId="6756"/>
      <sheetData sheetId="6757"/>
      <sheetData sheetId="6758"/>
      <sheetData sheetId="6759" refreshError="1"/>
      <sheetData sheetId="6760" refreshError="1"/>
      <sheetData sheetId="6761" refreshError="1"/>
      <sheetData sheetId="6762" refreshError="1"/>
      <sheetData sheetId="6763" refreshError="1"/>
      <sheetData sheetId="6764"/>
      <sheetData sheetId="6765"/>
      <sheetData sheetId="6766"/>
      <sheetData sheetId="6767"/>
      <sheetData sheetId="6768"/>
      <sheetData sheetId="6769"/>
      <sheetData sheetId="6770"/>
      <sheetData sheetId="6771"/>
      <sheetData sheetId="6772"/>
      <sheetData sheetId="6773"/>
      <sheetData sheetId="6774"/>
      <sheetData sheetId="6775"/>
      <sheetData sheetId="6776"/>
      <sheetData sheetId="6777"/>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sheetData sheetId="6829"/>
      <sheetData sheetId="6830"/>
      <sheetData sheetId="6831"/>
      <sheetData sheetId="6832"/>
      <sheetData sheetId="6833"/>
      <sheetData sheetId="6834"/>
      <sheetData sheetId="6835"/>
      <sheetData sheetId="6836"/>
      <sheetData sheetId="6837"/>
      <sheetData sheetId="6838"/>
      <sheetData sheetId="6839"/>
      <sheetData sheetId="6840"/>
      <sheetData sheetId="6841"/>
      <sheetData sheetId="6842"/>
      <sheetData sheetId="6843"/>
      <sheetData sheetId="6844"/>
      <sheetData sheetId="6845"/>
      <sheetData sheetId="6846"/>
      <sheetData sheetId="6847"/>
      <sheetData sheetId="6848" refreshError="1"/>
      <sheetData sheetId="6849" refreshError="1"/>
      <sheetData sheetId="6850" refreshError="1"/>
      <sheetData sheetId="6851" refreshError="1"/>
      <sheetData sheetId="6852" refreshError="1"/>
      <sheetData sheetId="6853" refreshError="1"/>
      <sheetData sheetId="6854" refreshError="1"/>
      <sheetData sheetId="6855"/>
      <sheetData sheetId="6856"/>
      <sheetData sheetId="6857"/>
      <sheetData sheetId="6858"/>
      <sheetData sheetId="6859"/>
      <sheetData sheetId="6860"/>
      <sheetData sheetId="6861"/>
      <sheetData sheetId="6862"/>
      <sheetData sheetId="6863"/>
      <sheetData sheetId="6864"/>
      <sheetData sheetId="6865"/>
      <sheetData sheetId="6866"/>
      <sheetData sheetId="6867"/>
      <sheetData sheetId="6868"/>
      <sheetData sheetId="6869"/>
      <sheetData sheetId="6870"/>
      <sheetData sheetId="687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sheetData sheetId="6900" refreshError="1"/>
      <sheetData sheetId="6901" refreshError="1"/>
      <sheetData sheetId="6902" refreshError="1"/>
      <sheetData sheetId="6903" refreshError="1"/>
      <sheetData sheetId="6904" refreshError="1"/>
      <sheetData sheetId="6905" refreshError="1"/>
      <sheetData sheetId="6906" refreshError="1"/>
      <sheetData sheetId="6907"/>
      <sheetData sheetId="6908" refreshError="1"/>
      <sheetData sheetId="6909" refreshError="1"/>
      <sheetData sheetId="6910" refreshError="1"/>
      <sheetData sheetId="6911" refreshError="1"/>
      <sheetData sheetId="6912" refreshError="1"/>
      <sheetData sheetId="6913" refreshError="1"/>
      <sheetData sheetId="6914"/>
      <sheetData sheetId="6915"/>
      <sheetData sheetId="6916"/>
      <sheetData sheetId="6917"/>
      <sheetData sheetId="6918">
        <row r="47">
          <cell r="H47">
            <v>17098.051632633331</v>
          </cell>
        </row>
      </sheetData>
      <sheetData sheetId="6919">
        <row r="47">
          <cell r="H47">
            <v>13407.454219619998</v>
          </cell>
        </row>
      </sheetData>
      <sheetData sheetId="6920">
        <row r="47">
          <cell r="H47">
            <v>13178.048204541665</v>
          </cell>
        </row>
      </sheetData>
      <sheetData sheetId="6921">
        <row r="47">
          <cell r="H47">
            <v>17098.051632633331</v>
          </cell>
        </row>
      </sheetData>
      <sheetData sheetId="6922">
        <row r="47">
          <cell r="H47">
            <v>13407.454219619998</v>
          </cell>
        </row>
      </sheetData>
      <sheetData sheetId="6923">
        <row r="47">
          <cell r="H47">
            <v>13178.048204541665</v>
          </cell>
        </row>
      </sheetData>
      <sheetData sheetId="6924">
        <row r="47">
          <cell r="H47">
            <v>19729.199486104168</v>
          </cell>
        </row>
      </sheetData>
      <sheetData sheetId="6925">
        <row r="47">
          <cell r="H47">
            <v>38405.002915416662</v>
          </cell>
        </row>
      </sheetData>
      <sheetData sheetId="6926">
        <row r="47">
          <cell r="H47">
            <v>41159.979021230996</v>
          </cell>
        </row>
      </sheetData>
      <sheetData sheetId="6927">
        <row r="47">
          <cell r="H47">
            <v>16020</v>
          </cell>
        </row>
      </sheetData>
      <sheetData sheetId="6928">
        <row r="47">
          <cell r="H47">
            <v>11675</v>
          </cell>
        </row>
      </sheetData>
      <sheetData sheetId="6929">
        <row r="47">
          <cell r="H47">
            <v>382683.1643235588</v>
          </cell>
        </row>
      </sheetData>
      <sheetData sheetId="6930">
        <row r="47">
          <cell r="H47">
            <v>27108.482479999999</v>
          </cell>
        </row>
      </sheetData>
      <sheetData sheetId="6931">
        <row r="47">
          <cell r="H47">
            <v>18945.0351992</v>
          </cell>
        </row>
      </sheetData>
      <sheetData sheetId="6932">
        <row r="47">
          <cell r="H47">
            <v>88016.225274879995</v>
          </cell>
        </row>
      </sheetData>
      <sheetData sheetId="6933">
        <row r="47">
          <cell r="H47">
            <v>11296.680928966078</v>
          </cell>
        </row>
      </sheetData>
      <sheetData sheetId="6934">
        <row r="47">
          <cell r="H47">
            <v>19660.483631249997</v>
          </cell>
        </row>
      </sheetData>
      <sheetData sheetId="6935">
        <row r="47">
          <cell r="H47">
            <v>19660.483631249997</v>
          </cell>
        </row>
      </sheetData>
      <sheetData sheetId="6936">
        <row r="47">
          <cell r="H47">
            <v>19660.483631249997</v>
          </cell>
        </row>
      </sheetData>
      <sheetData sheetId="6937">
        <row r="47">
          <cell r="H47">
            <v>39947.116768272004</v>
          </cell>
        </row>
      </sheetData>
      <sheetData sheetId="6938">
        <row r="47">
          <cell r="H47">
            <v>37450.421970255004</v>
          </cell>
        </row>
      </sheetData>
      <sheetData sheetId="6939">
        <row r="47">
          <cell r="H47">
            <v>5631.4338221939006</v>
          </cell>
        </row>
      </sheetData>
      <sheetData sheetId="6940">
        <row r="47">
          <cell r="H47">
            <v>29691.867138751997</v>
          </cell>
        </row>
      </sheetData>
      <sheetData sheetId="6941">
        <row r="47">
          <cell r="H47">
            <v>10601.359883464</v>
          </cell>
        </row>
      </sheetData>
      <sheetData sheetId="6942">
        <row r="47">
          <cell r="H47">
            <v>16440.07876665</v>
          </cell>
        </row>
      </sheetData>
      <sheetData sheetId="6943">
        <row r="47">
          <cell r="H47">
            <v>7502.6541280530009</v>
          </cell>
        </row>
      </sheetData>
      <sheetData sheetId="6944">
        <row r="47">
          <cell r="H47">
            <v>63269.394041350002</v>
          </cell>
        </row>
      </sheetData>
      <sheetData sheetId="6945">
        <row r="47">
          <cell r="H47">
            <v>38708.912732384997</v>
          </cell>
        </row>
      </sheetData>
      <sheetData sheetId="6946">
        <row r="47">
          <cell r="H47">
            <v>30140.654422727453</v>
          </cell>
        </row>
      </sheetData>
      <sheetData sheetId="6947">
        <row r="47">
          <cell r="H47">
            <v>39628.094655192057</v>
          </cell>
        </row>
      </sheetData>
      <sheetData sheetId="6948">
        <row r="47">
          <cell r="H47">
            <v>38729.542446049003</v>
          </cell>
        </row>
      </sheetData>
      <sheetData sheetId="6949">
        <row r="47">
          <cell r="H47">
            <v>7116.936965586</v>
          </cell>
        </row>
      </sheetData>
      <sheetData sheetId="6950">
        <row r="47">
          <cell r="H47">
            <v>9391.2743470000005</v>
          </cell>
        </row>
      </sheetData>
      <sheetData sheetId="6951">
        <row r="47">
          <cell r="H47">
            <v>8500.0189065630984</v>
          </cell>
        </row>
      </sheetData>
      <sheetData sheetId="6952">
        <row r="47">
          <cell r="H47">
            <v>32499.094423904498</v>
          </cell>
        </row>
      </sheetData>
      <sheetData sheetId="6953">
        <row r="47">
          <cell r="H47">
            <v>51817.028777055006</v>
          </cell>
        </row>
      </sheetData>
      <sheetData sheetId="6954">
        <row r="47">
          <cell r="H47">
            <v>55430.1575333</v>
          </cell>
        </row>
      </sheetData>
      <sheetData sheetId="6955">
        <row r="47">
          <cell r="H47">
            <v>25786.003498499998</v>
          </cell>
        </row>
      </sheetData>
      <sheetData sheetId="6956">
        <row r="47">
          <cell r="H47">
            <v>21993.806973733335</v>
          </cell>
        </row>
      </sheetData>
      <sheetData sheetId="6957"/>
      <sheetData sheetId="6958"/>
      <sheetData sheetId="6959"/>
      <sheetData sheetId="6960">
        <row r="47">
          <cell r="H47">
            <v>21941.348275</v>
          </cell>
        </row>
      </sheetData>
      <sheetData sheetId="6961">
        <row r="47">
          <cell r="H47">
            <v>576269.26239999989</v>
          </cell>
        </row>
      </sheetData>
      <sheetData sheetId="6962">
        <row r="48">
          <cell r="H48">
            <v>640370.66537874995</v>
          </cell>
        </row>
      </sheetData>
      <sheetData sheetId="6963">
        <row r="47">
          <cell r="H47">
            <v>21941.348275</v>
          </cell>
        </row>
      </sheetData>
      <sheetData sheetId="6964">
        <row r="47">
          <cell r="H47">
            <v>576269.26239999989</v>
          </cell>
        </row>
      </sheetData>
      <sheetData sheetId="6965">
        <row r="47">
          <cell r="H47">
            <v>9078.6352040999991</v>
          </cell>
        </row>
      </sheetData>
      <sheetData sheetId="6966">
        <row r="49">
          <cell r="H49">
            <v>83961.133243064003</v>
          </cell>
        </row>
      </sheetData>
      <sheetData sheetId="6967">
        <row r="47">
          <cell r="H47">
            <v>14670.136122054002</v>
          </cell>
        </row>
      </sheetData>
      <sheetData sheetId="6968">
        <row r="47">
          <cell r="H47">
            <v>9078.6352040999991</v>
          </cell>
        </row>
      </sheetData>
      <sheetData sheetId="6969">
        <row r="51">
          <cell r="H51">
            <v>117309.4992738</v>
          </cell>
        </row>
      </sheetData>
      <sheetData sheetId="6970"/>
      <sheetData sheetId="6971"/>
      <sheetData sheetId="6972"/>
      <sheetData sheetId="6973"/>
      <sheetData sheetId="6974"/>
      <sheetData sheetId="6975"/>
      <sheetData sheetId="6976"/>
      <sheetData sheetId="6977"/>
      <sheetData sheetId="6978"/>
      <sheetData sheetId="6979"/>
      <sheetData sheetId="6980"/>
      <sheetData sheetId="6981"/>
      <sheetData sheetId="6982"/>
      <sheetData sheetId="6983"/>
      <sheetData sheetId="6984"/>
      <sheetData sheetId="6985"/>
      <sheetData sheetId="6986"/>
      <sheetData sheetId="6987"/>
      <sheetData sheetId="6988"/>
      <sheetData sheetId="6989"/>
      <sheetData sheetId="6990"/>
      <sheetData sheetId="6991"/>
      <sheetData sheetId="6992"/>
      <sheetData sheetId="6993"/>
      <sheetData sheetId="6994"/>
      <sheetData sheetId="6995"/>
      <sheetData sheetId="6996"/>
      <sheetData sheetId="6997"/>
      <sheetData sheetId="6998"/>
      <sheetData sheetId="6999"/>
      <sheetData sheetId="7000"/>
      <sheetData sheetId="7001"/>
      <sheetData sheetId="7002"/>
      <sheetData sheetId="7003"/>
      <sheetData sheetId="7004"/>
      <sheetData sheetId="7005"/>
      <sheetData sheetId="7006"/>
      <sheetData sheetId="7007"/>
      <sheetData sheetId="7008"/>
      <sheetData sheetId="7009"/>
      <sheetData sheetId="7010"/>
      <sheetData sheetId="7011"/>
      <sheetData sheetId="7012"/>
      <sheetData sheetId="7013"/>
      <sheetData sheetId="7014"/>
      <sheetData sheetId="7015"/>
      <sheetData sheetId="7016"/>
      <sheetData sheetId="7017"/>
      <sheetData sheetId="7018"/>
      <sheetData sheetId="7019"/>
      <sheetData sheetId="7020"/>
      <sheetData sheetId="7021"/>
      <sheetData sheetId="7022"/>
      <sheetData sheetId="7023"/>
      <sheetData sheetId="7024"/>
      <sheetData sheetId="7025"/>
      <sheetData sheetId="7026"/>
      <sheetData sheetId="7027">
        <row r="1">
          <cell r="A1" t="str">
            <v>Name</v>
          </cell>
        </row>
      </sheetData>
      <sheetData sheetId="7028"/>
      <sheetData sheetId="7029"/>
      <sheetData sheetId="7030"/>
      <sheetData sheetId="7031"/>
      <sheetData sheetId="7032"/>
      <sheetData sheetId="7033"/>
      <sheetData sheetId="7034"/>
      <sheetData sheetId="7035"/>
      <sheetData sheetId="7036"/>
      <sheetData sheetId="7037"/>
      <sheetData sheetId="7038"/>
      <sheetData sheetId="7039"/>
      <sheetData sheetId="7040"/>
      <sheetData sheetId="7041"/>
      <sheetData sheetId="7042"/>
      <sheetData sheetId="7043"/>
      <sheetData sheetId="7044"/>
      <sheetData sheetId="7045"/>
      <sheetData sheetId="7046"/>
      <sheetData sheetId="7047"/>
      <sheetData sheetId="7048"/>
      <sheetData sheetId="7049"/>
      <sheetData sheetId="7050"/>
      <sheetData sheetId="7051"/>
      <sheetData sheetId="7052"/>
      <sheetData sheetId="7053"/>
      <sheetData sheetId="7054"/>
      <sheetData sheetId="7055"/>
      <sheetData sheetId="7056"/>
      <sheetData sheetId="7057"/>
      <sheetData sheetId="7058"/>
      <sheetData sheetId="7059"/>
      <sheetData sheetId="7060"/>
      <sheetData sheetId="7061"/>
      <sheetData sheetId="7062"/>
      <sheetData sheetId="7063"/>
      <sheetData sheetId="7064"/>
      <sheetData sheetId="7065"/>
      <sheetData sheetId="7066"/>
      <sheetData sheetId="7067"/>
      <sheetData sheetId="7068"/>
      <sheetData sheetId="7069"/>
      <sheetData sheetId="7070"/>
      <sheetData sheetId="7071"/>
      <sheetData sheetId="7072"/>
      <sheetData sheetId="7073"/>
      <sheetData sheetId="7074"/>
      <sheetData sheetId="7075"/>
      <sheetData sheetId="7076"/>
      <sheetData sheetId="7077"/>
      <sheetData sheetId="7078"/>
      <sheetData sheetId="7079"/>
      <sheetData sheetId="7080"/>
      <sheetData sheetId="7081"/>
      <sheetData sheetId="7082"/>
      <sheetData sheetId="7083"/>
      <sheetData sheetId="7084"/>
      <sheetData sheetId="7085"/>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sheetData sheetId="7108"/>
      <sheetData sheetId="7109"/>
      <sheetData sheetId="7110"/>
      <sheetData sheetId="7111"/>
      <sheetData sheetId="7112"/>
      <sheetData sheetId="7113"/>
      <sheetData sheetId="7114"/>
      <sheetData sheetId="7115"/>
      <sheetData sheetId="7116"/>
      <sheetData sheetId="7117"/>
      <sheetData sheetId="7118"/>
      <sheetData sheetId="7119"/>
      <sheetData sheetId="7120"/>
      <sheetData sheetId="7121"/>
      <sheetData sheetId="7122"/>
      <sheetData sheetId="7123"/>
      <sheetData sheetId="7124"/>
      <sheetData sheetId="7125"/>
      <sheetData sheetId="7126"/>
      <sheetData sheetId="7127"/>
      <sheetData sheetId="7128"/>
      <sheetData sheetId="7129"/>
      <sheetData sheetId="7130"/>
      <sheetData sheetId="7131"/>
      <sheetData sheetId="7132"/>
      <sheetData sheetId="7133"/>
      <sheetData sheetId="7134"/>
      <sheetData sheetId="7135"/>
      <sheetData sheetId="7136"/>
      <sheetData sheetId="7137"/>
      <sheetData sheetId="7138"/>
      <sheetData sheetId="7139"/>
      <sheetData sheetId="7140"/>
      <sheetData sheetId="7141"/>
      <sheetData sheetId="7142"/>
      <sheetData sheetId="7143"/>
      <sheetData sheetId="7144"/>
      <sheetData sheetId="7145"/>
      <sheetData sheetId="7146"/>
      <sheetData sheetId="7147"/>
      <sheetData sheetId="7148"/>
      <sheetData sheetId="7149"/>
      <sheetData sheetId="7150"/>
      <sheetData sheetId="7151"/>
      <sheetData sheetId="7152"/>
      <sheetData sheetId="7153"/>
      <sheetData sheetId="7154"/>
      <sheetData sheetId="7155"/>
      <sheetData sheetId="7156"/>
      <sheetData sheetId="7157"/>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sheetData sheetId="7181"/>
      <sheetData sheetId="7182"/>
      <sheetData sheetId="7183"/>
      <sheetData sheetId="7184"/>
      <sheetData sheetId="7185"/>
      <sheetData sheetId="7186"/>
      <sheetData sheetId="7187"/>
      <sheetData sheetId="7188"/>
      <sheetData sheetId="7189"/>
      <sheetData sheetId="7190"/>
      <sheetData sheetId="7191"/>
      <sheetData sheetId="7192"/>
      <sheetData sheetId="7193"/>
      <sheetData sheetId="7194" refreshError="1"/>
      <sheetData sheetId="7195">
        <row r="1">
          <cell r="A1" t="str">
            <v>MINISTERIO DE EDUCACION NACIONAL</v>
          </cell>
        </row>
      </sheetData>
      <sheetData sheetId="7196"/>
      <sheetData sheetId="7197"/>
      <sheetData sheetId="7198" refreshError="1"/>
      <sheetData sheetId="7199"/>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ow r="4">
          <cell r="E4" t="str">
            <v>GUPCO</v>
          </cell>
        </row>
      </sheetData>
      <sheetData sheetId="7432"/>
      <sheetData sheetId="7433"/>
      <sheetData sheetId="7434"/>
      <sheetData sheetId="7435" refreshError="1"/>
      <sheetData sheetId="7436" refreshError="1"/>
      <sheetData sheetId="7437" refreshError="1"/>
      <sheetData sheetId="7438" refreshError="1"/>
      <sheetData sheetId="7439" refreshError="1"/>
      <sheetData sheetId="7440" refreshError="1"/>
      <sheetData sheetId="7441"/>
      <sheetData sheetId="7442"/>
      <sheetData sheetId="7443" refreshError="1"/>
      <sheetData sheetId="7444"/>
      <sheetData sheetId="7445"/>
      <sheetData sheetId="7446"/>
      <sheetData sheetId="7447"/>
      <sheetData sheetId="7448"/>
      <sheetData sheetId="7449"/>
      <sheetData sheetId="7450"/>
      <sheetData sheetId="745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sheetData sheetId="7463" refreshError="1"/>
      <sheetData sheetId="7464" refreshError="1"/>
      <sheetData sheetId="7465"/>
      <sheetData sheetId="7466" refreshError="1"/>
      <sheetData sheetId="7467"/>
      <sheetData sheetId="7468"/>
      <sheetData sheetId="7469"/>
      <sheetData sheetId="7470"/>
      <sheetData sheetId="7471"/>
      <sheetData sheetId="7472"/>
      <sheetData sheetId="7473" refreshError="1"/>
      <sheetData sheetId="7474"/>
      <sheetData sheetId="7475" refreshError="1"/>
      <sheetData sheetId="7476"/>
      <sheetData sheetId="7477" refreshError="1"/>
      <sheetData sheetId="7478" refreshError="1"/>
      <sheetData sheetId="7479" refreshError="1"/>
      <sheetData sheetId="7480"/>
      <sheetData sheetId="7481"/>
      <sheetData sheetId="7482"/>
      <sheetData sheetId="7483"/>
      <sheetData sheetId="7484"/>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sheetData sheetId="7498"/>
      <sheetData sheetId="7499"/>
      <sheetData sheetId="7500"/>
      <sheetData sheetId="7501"/>
      <sheetData sheetId="7502"/>
      <sheetData sheetId="7503"/>
      <sheetData sheetId="7504"/>
      <sheetData sheetId="7505"/>
      <sheetData sheetId="7506"/>
      <sheetData sheetId="7507"/>
      <sheetData sheetId="7508"/>
      <sheetData sheetId="7509"/>
      <sheetData sheetId="7510"/>
      <sheetData sheetId="7511"/>
      <sheetData sheetId="7512"/>
      <sheetData sheetId="7513"/>
      <sheetData sheetId="7514"/>
      <sheetData sheetId="7515"/>
      <sheetData sheetId="7516"/>
      <sheetData sheetId="7517"/>
      <sheetData sheetId="7518"/>
      <sheetData sheetId="7519"/>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sheetData sheetId="7531"/>
      <sheetData sheetId="7532"/>
      <sheetData sheetId="7533"/>
      <sheetData sheetId="7534"/>
      <sheetData sheetId="7535"/>
      <sheetData sheetId="7536"/>
      <sheetData sheetId="7537"/>
      <sheetData sheetId="7538" refreshError="1"/>
      <sheetData sheetId="7539" refreshError="1"/>
      <sheetData sheetId="7540" refreshError="1"/>
      <sheetData sheetId="7541" refreshError="1"/>
      <sheetData sheetId="7542" refreshError="1"/>
      <sheetData sheetId="7543" refreshError="1"/>
      <sheetData sheetId="7544"/>
      <sheetData sheetId="7545"/>
      <sheetData sheetId="7546"/>
      <sheetData sheetId="7547"/>
      <sheetData sheetId="7548"/>
      <sheetData sheetId="7549"/>
      <sheetData sheetId="7550"/>
      <sheetData sheetId="7551"/>
      <sheetData sheetId="7552"/>
      <sheetData sheetId="7553"/>
      <sheetData sheetId="7554"/>
      <sheetData sheetId="7555" refreshError="1"/>
      <sheetData sheetId="7556" refreshError="1"/>
      <sheetData sheetId="7557" refreshError="1"/>
      <sheetData sheetId="7558" refreshError="1"/>
      <sheetData sheetId="7559" refreshError="1"/>
      <sheetData sheetId="7560"/>
      <sheetData sheetId="7561"/>
      <sheetData sheetId="7562" refreshError="1"/>
      <sheetData sheetId="7563"/>
      <sheetData sheetId="7564">
        <row r="4">
          <cell r="B4">
            <v>39886</v>
          </cell>
        </row>
      </sheetData>
      <sheetData sheetId="7565"/>
      <sheetData sheetId="7566"/>
      <sheetData sheetId="7567"/>
      <sheetData sheetId="7568"/>
      <sheetData sheetId="7569"/>
      <sheetData sheetId="7570"/>
      <sheetData sheetId="7571">
        <row r="4">
          <cell r="B4">
            <v>39886</v>
          </cell>
        </row>
      </sheetData>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refreshError="1"/>
      <sheetData sheetId="7597" refreshError="1"/>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refreshError="1"/>
      <sheetData sheetId="7618"/>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sheetData sheetId="7690"/>
      <sheetData sheetId="7691"/>
      <sheetData sheetId="7692">
        <row r="4">
          <cell r="E4" t="str">
            <v>GUPCO</v>
          </cell>
        </row>
      </sheetData>
      <sheetData sheetId="7693"/>
      <sheetData sheetId="7694"/>
      <sheetData sheetId="7695"/>
      <sheetData sheetId="7696"/>
      <sheetData sheetId="7697"/>
      <sheetData sheetId="7698" refreshError="1"/>
      <sheetData sheetId="7699"/>
      <sheetData sheetId="7700" refreshError="1"/>
      <sheetData sheetId="7701"/>
      <sheetData sheetId="7702" refreshError="1"/>
      <sheetData sheetId="7703" refreshError="1"/>
      <sheetData sheetId="7704" refreshError="1"/>
      <sheetData sheetId="7705" refreshError="1"/>
      <sheetData sheetId="7706"/>
      <sheetData sheetId="7707"/>
      <sheetData sheetId="7708"/>
      <sheetData sheetId="7709"/>
      <sheetData sheetId="7710"/>
      <sheetData sheetId="7711" refreshError="1"/>
      <sheetData sheetId="7712" refreshError="1"/>
      <sheetData sheetId="7713" refreshError="1"/>
      <sheetData sheetId="7714" refreshError="1"/>
      <sheetData sheetId="7715" refreshError="1"/>
      <sheetData sheetId="7716" refreshError="1"/>
      <sheetData sheetId="7717" refreshError="1"/>
      <sheetData sheetId="7718"/>
      <sheetData sheetId="7719"/>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sheetData sheetId="7761"/>
      <sheetData sheetId="7762"/>
      <sheetData sheetId="7763"/>
      <sheetData sheetId="7764"/>
      <sheetData sheetId="7765"/>
      <sheetData sheetId="7766"/>
      <sheetData sheetId="7767"/>
      <sheetData sheetId="7768"/>
      <sheetData sheetId="7769"/>
      <sheetData sheetId="7770"/>
      <sheetData sheetId="7771"/>
      <sheetData sheetId="7772"/>
      <sheetData sheetId="7773" refreshError="1"/>
      <sheetData sheetId="7774"/>
      <sheetData sheetId="7775" refreshError="1"/>
      <sheetData sheetId="7776"/>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refreshError="1"/>
      <sheetData sheetId="7790" refreshError="1"/>
      <sheetData sheetId="7791"/>
      <sheetData sheetId="7792"/>
      <sheetData sheetId="7793"/>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sheetData sheetId="7805"/>
      <sheetData sheetId="7806"/>
      <sheetData sheetId="7807"/>
      <sheetData sheetId="7808"/>
      <sheetData sheetId="7809"/>
      <sheetData sheetId="7810"/>
      <sheetData sheetId="7811"/>
      <sheetData sheetId="7812"/>
      <sheetData sheetId="7813"/>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sheetData sheetId="7849"/>
      <sheetData sheetId="7850">
        <row r="6">
          <cell r="AB6">
            <v>40179</v>
          </cell>
        </row>
      </sheetData>
      <sheetData sheetId="7851"/>
      <sheetData sheetId="7852"/>
      <sheetData sheetId="7853"/>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sheetData sheetId="7917"/>
      <sheetData sheetId="7918"/>
      <sheetData sheetId="7919" refreshError="1"/>
      <sheetData sheetId="7920" refreshError="1"/>
      <sheetData sheetId="7921" refreshError="1"/>
      <sheetData sheetId="7922" refreshError="1"/>
      <sheetData sheetId="7923"/>
      <sheetData sheetId="7924"/>
      <sheetData sheetId="7925"/>
      <sheetData sheetId="7926"/>
      <sheetData sheetId="7927"/>
      <sheetData sheetId="7928"/>
      <sheetData sheetId="7929"/>
      <sheetData sheetId="7930"/>
      <sheetData sheetId="7931"/>
      <sheetData sheetId="7932"/>
      <sheetData sheetId="7933"/>
      <sheetData sheetId="7934"/>
      <sheetData sheetId="7935"/>
      <sheetData sheetId="7936"/>
      <sheetData sheetId="7937"/>
      <sheetData sheetId="7938"/>
      <sheetData sheetId="7939"/>
      <sheetData sheetId="7940"/>
      <sheetData sheetId="7941"/>
      <sheetData sheetId="7942"/>
      <sheetData sheetId="7943"/>
      <sheetData sheetId="7944"/>
      <sheetData sheetId="7945"/>
      <sheetData sheetId="7946"/>
      <sheetData sheetId="7947"/>
      <sheetData sheetId="7948"/>
      <sheetData sheetId="7949"/>
      <sheetData sheetId="7950"/>
      <sheetData sheetId="7951"/>
      <sheetData sheetId="7952"/>
      <sheetData sheetId="7953"/>
      <sheetData sheetId="7954"/>
      <sheetData sheetId="7955"/>
      <sheetData sheetId="7956"/>
      <sheetData sheetId="7957"/>
      <sheetData sheetId="7958"/>
      <sheetData sheetId="7959"/>
      <sheetData sheetId="7960"/>
      <sheetData sheetId="7961"/>
      <sheetData sheetId="7962"/>
      <sheetData sheetId="7963"/>
      <sheetData sheetId="7964"/>
      <sheetData sheetId="7965"/>
      <sheetData sheetId="7966"/>
      <sheetData sheetId="7967"/>
      <sheetData sheetId="7968"/>
      <sheetData sheetId="7969"/>
      <sheetData sheetId="7970"/>
      <sheetData sheetId="7971"/>
      <sheetData sheetId="7972"/>
      <sheetData sheetId="7973"/>
      <sheetData sheetId="7974"/>
      <sheetData sheetId="7975"/>
      <sheetData sheetId="7976"/>
      <sheetData sheetId="7977"/>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sheetData sheetId="8060"/>
      <sheetData sheetId="8061" refreshError="1"/>
      <sheetData sheetId="8062"/>
      <sheetData sheetId="8063" refreshError="1"/>
      <sheetData sheetId="8064"/>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sheetData sheetId="8075"/>
      <sheetData sheetId="8076"/>
      <sheetData sheetId="8077"/>
      <sheetData sheetId="8078"/>
      <sheetData sheetId="8079"/>
      <sheetData sheetId="8080"/>
      <sheetData sheetId="8081"/>
      <sheetData sheetId="8082"/>
      <sheetData sheetId="8083"/>
      <sheetData sheetId="8084"/>
      <sheetData sheetId="8085"/>
      <sheetData sheetId="8086"/>
      <sheetData sheetId="8087"/>
      <sheetData sheetId="8088"/>
      <sheetData sheetId="8089"/>
      <sheetData sheetId="8090"/>
      <sheetData sheetId="809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sheetData sheetId="8104"/>
      <sheetData sheetId="8105"/>
      <sheetData sheetId="8106"/>
      <sheetData sheetId="8107"/>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sheetData sheetId="8123"/>
      <sheetData sheetId="8124"/>
      <sheetData sheetId="8125"/>
      <sheetData sheetId="8126"/>
      <sheetData sheetId="8127"/>
      <sheetData sheetId="8128"/>
      <sheetData sheetId="8129"/>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sheetData sheetId="8164">
        <row r="1">
          <cell r="A1" t="str">
            <v>ITEM</v>
          </cell>
        </row>
      </sheetData>
      <sheetData sheetId="8165">
        <row r="1">
          <cell r="A1" t="str">
            <v>ADMINISTRACION</v>
          </cell>
        </row>
      </sheetData>
      <sheetData sheetId="8166"/>
      <sheetData sheetId="8167"/>
      <sheetData sheetId="8168"/>
      <sheetData sheetId="8169"/>
      <sheetData sheetId="8170"/>
      <sheetData sheetId="8171"/>
      <sheetData sheetId="8172"/>
      <sheetData sheetId="8173"/>
      <sheetData sheetId="8174"/>
      <sheetData sheetId="8175"/>
      <sheetData sheetId="8176"/>
      <sheetData sheetId="8177"/>
      <sheetData sheetId="8178"/>
      <sheetData sheetId="8179"/>
      <sheetData sheetId="8180"/>
      <sheetData sheetId="8181"/>
      <sheetData sheetId="8182"/>
      <sheetData sheetId="8183"/>
      <sheetData sheetId="8184"/>
      <sheetData sheetId="8185"/>
      <sheetData sheetId="8186"/>
      <sheetData sheetId="8187">
        <row r="1">
          <cell r="B1" t="str">
            <v>CTO-102-2002</v>
          </cell>
        </row>
      </sheetData>
      <sheetData sheetId="8188"/>
      <sheetData sheetId="8189"/>
      <sheetData sheetId="8190"/>
      <sheetData sheetId="8191"/>
      <sheetData sheetId="8192"/>
      <sheetData sheetId="8193">
        <row r="1">
          <cell r="A1" t="str">
            <v>ITEM</v>
          </cell>
        </row>
      </sheetData>
      <sheetData sheetId="8194">
        <row r="1">
          <cell r="A1" t="str">
            <v>EQUIPO</v>
          </cell>
        </row>
      </sheetData>
      <sheetData sheetId="8195">
        <row r="1">
          <cell r="A1" t="str">
            <v>ADMINISTRACION</v>
          </cell>
        </row>
      </sheetData>
      <sheetData sheetId="8196"/>
      <sheetData sheetId="8197"/>
      <sheetData sheetId="8198"/>
      <sheetData sheetId="8199"/>
      <sheetData sheetId="8200"/>
      <sheetData sheetId="8201"/>
      <sheetData sheetId="8202"/>
      <sheetData sheetId="8203"/>
      <sheetData sheetId="8204"/>
      <sheetData sheetId="8205"/>
      <sheetData sheetId="8206"/>
      <sheetData sheetId="8207"/>
      <sheetData sheetId="8208"/>
      <sheetData sheetId="8209"/>
      <sheetData sheetId="8210"/>
      <sheetData sheetId="8211"/>
      <sheetData sheetId="8212"/>
      <sheetData sheetId="8213"/>
      <sheetData sheetId="8214"/>
      <sheetData sheetId="8215"/>
      <sheetData sheetId="8216"/>
      <sheetData sheetId="8217"/>
      <sheetData sheetId="8218"/>
      <sheetData sheetId="8219"/>
      <sheetData sheetId="8220"/>
      <sheetData sheetId="8221"/>
      <sheetData sheetId="8222"/>
      <sheetData sheetId="8223"/>
      <sheetData sheetId="8224"/>
      <sheetData sheetId="8225"/>
      <sheetData sheetId="8226"/>
      <sheetData sheetId="8227"/>
      <sheetData sheetId="8228"/>
      <sheetData sheetId="8229"/>
      <sheetData sheetId="8230"/>
      <sheetData sheetId="8231"/>
      <sheetData sheetId="8232"/>
      <sheetData sheetId="8233"/>
      <sheetData sheetId="8234"/>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sheetData sheetId="8272"/>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sheetData sheetId="8335"/>
      <sheetData sheetId="8336" refreshError="1"/>
      <sheetData sheetId="8337" refreshError="1"/>
      <sheetData sheetId="8338"/>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sheetData sheetId="8349"/>
      <sheetData sheetId="8350"/>
      <sheetData sheetId="8351"/>
      <sheetData sheetId="8352"/>
      <sheetData sheetId="8353">
        <row r="1">
          <cell r="B1" t="str">
            <v>CTO-102-2002</v>
          </cell>
        </row>
      </sheetData>
      <sheetData sheetId="8354"/>
      <sheetData sheetId="8355"/>
      <sheetData sheetId="8356"/>
      <sheetData sheetId="8357"/>
      <sheetData sheetId="8358"/>
      <sheetData sheetId="8359"/>
      <sheetData sheetId="8360"/>
      <sheetData sheetId="8361"/>
      <sheetData sheetId="8362"/>
      <sheetData sheetId="8363">
        <row r="1">
          <cell r="B1" t="str">
            <v>CTO-102-2002</v>
          </cell>
        </row>
      </sheetData>
      <sheetData sheetId="8364"/>
      <sheetData sheetId="8365"/>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refreshError="1"/>
      <sheetData sheetId="8375" refreshError="1"/>
      <sheetData sheetId="8376" refreshError="1"/>
      <sheetData sheetId="8377"/>
      <sheetData sheetId="8378"/>
      <sheetData sheetId="8379"/>
      <sheetData sheetId="8380"/>
      <sheetData sheetId="8381"/>
      <sheetData sheetId="8382"/>
      <sheetData sheetId="8383"/>
      <sheetData sheetId="8384"/>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refreshError="1"/>
      <sheetData sheetId="8395" refreshError="1"/>
      <sheetData sheetId="8396" refreshError="1"/>
      <sheetData sheetId="8397" refreshError="1"/>
      <sheetData sheetId="8398" refreshError="1"/>
      <sheetData sheetId="8399" refreshError="1"/>
      <sheetData sheetId="8400" refreshError="1"/>
      <sheetData sheetId="8401"/>
      <sheetData sheetId="8402"/>
      <sheetData sheetId="8403"/>
      <sheetData sheetId="8404"/>
      <sheetData sheetId="8405"/>
      <sheetData sheetId="8406"/>
      <sheetData sheetId="8407"/>
      <sheetData sheetId="8408"/>
      <sheetData sheetId="8409"/>
      <sheetData sheetId="8410"/>
      <sheetData sheetId="8411">
        <row r="7">
          <cell r="A7" t="str">
            <v>NE-CSJM01</v>
          </cell>
        </row>
      </sheetData>
      <sheetData sheetId="8412">
        <row r="7">
          <cell r="A7" t="str">
            <v>NE-CSJM01</v>
          </cell>
        </row>
      </sheetData>
      <sheetData sheetId="8413">
        <row r="1">
          <cell r="B1" t="str">
            <v>CTO-102-2002</v>
          </cell>
        </row>
      </sheetData>
      <sheetData sheetId="8414"/>
      <sheetData sheetId="8415"/>
      <sheetData sheetId="8416"/>
      <sheetData sheetId="8417"/>
      <sheetData sheetId="8418"/>
      <sheetData sheetId="8419"/>
      <sheetData sheetId="8420" refreshError="1"/>
      <sheetData sheetId="8421" refreshError="1"/>
      <sheetData sheetId="8422"/>
      <sheetData sheetId="8423"/>
      <sheetData sheetId="8424"/>
      <sheetData sheetId="8425"/>
      <sheetData sheetId="8426"/>
      <sheetData sheetId="8427"/>
      <sheetData sheetId="8428"/>
      <sheetData sheetId="8429"/>
      <sheetData sheetId="8430"/>
      <sheetData sheetId="8431"/>
      <sheetData sheetId="8432"/>
      <sheetData sheetId="8433"/>
      <sheetData sheetId="8434"/>
      <sheetData sheetId="8435"/>
      <sheetData sheetId="8436"/>
      <sheetData sheetId="8437"/>
      <sheetData sheetId="8438"/>
      <sheetData sheetId="8439"/>
      <sheetData sheetId="8440"/>
      <sheetData sheetId="8441"/>
      <sheetData sheetId="8442"/>
      <sheetData sheetId="8443"/>
      <sheetData sheetId="8444"/>
      <sheetData sheetId="8445"/>
      <sheetData sheetId="8446"/>
      <sheetData sheetId="8447"/>
      <sheetData sheetId="8448"/>
      <sheetData sheetId="8449">
        <row r="1">
          <cell r="A1" t="str">
            <v>INSTITUTO NACIONAL DE VIAS</v>
          </cell>
        </row>
      </sheetData>
      <sheetData sheetId="8450"/>
      <sheetData sheetId="8451"/>
      <sheetData sheetId="8452"/>
      <sheetData sheetId="8453"/>
      <sheetData sheetId="8454"/>
      <sheetData sheetId="8455"/>
      <sheetData sheetId="8456"/>
      <sheetData sheetId="8457"/>
      <sheetData sheetId="8458"/>
      <sheetData sheetId="8459"/>
      <sheetData sheetId="8460"/>
      <sheetData sheetId="8461"/>
      <sheetData sheetId="8462"/>
      <sheetData sheetId="8463"/>
      <sheetData sheetId="8464"/>
      <sheetData sheetId="8465"/>
      <sheetData sheetId="8466"/>
      <sheetData sheetId="8467"/>
      <sheetData sheetId="8468"/>
      <sheetData sheetId="8469"/>
      <sheetData sheetId="8470"/>
      <sheetData sheetId="8471"/>
      <sheetData sheetId="8472"/>
      <sheetData sheetId="8473"/>
      <sheetData sheetId="8474"/>
      <sheetData sheetId="8475"/>
      <sheetData sheetId="8476"/>
      <sheetData sheetId="8477"/>
      <sheetData sheetId="8478"/>
      <sheetData sheetId="8479">
        <row r="1">
          <cell r="A1" t="str">
            <v>INSTITUTO NACIONAL DE VIAS</v>
          </cell>
        </row>
      </sheetData>
      <sheetData sheetId="8480"/>
      <sheetData sheetId="8481"/>
      <sheetData sheetId="8482"/>
      <sheetData sheetId="8483"/>
      <sheetData sheetId="8484"/>
      <sheetData sheetId="8485"/>
      <sheetData sheetId="8486"/>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sheetData sheetId="8499"/>
      <sheetData sheetId="8500"/>
      <sheetData sheetId="8501"/>
      <sheetData sheetId="8502"/>
      <sheetData sheetId="8503"/>
      <sheetData sheetId="8504"/>
      <sheetData sheetId="8505"/>
      <sheetData sheetId="8506"/>
      <sheetData sheetId="8507"/>
      <sheetData sheetId="8508"/>
      <sheetData sheetId="8509"/>
      <sheetData sheetId="8510" refreshError="1"/>
      <sheetData sheetId="8511"/>
      <sheetData sheetId="8512" refreshError="1"/>
      <sheetData sheetId="8513" refreshError="1"/>
      <sheetData sheetId="8514" refreshError="1"/>
      <sheetData sheetId="8515" refreshError="1"/>
      <sheetData sheetId="8516"/>
      <sheetData sheetId="8517">
        <row r="1">
          <cell r="A1" t="str">
            <v>INSTITUTO NACIONAL DE VIAS</v>
          </cell>
        </row>
      </sheetData>
      <sheetData sheetId="8518" refreshError="1"/>
      <sheetData sheetId="8519"/>
      <sheetData sheetId="8520"/>
      <sheetData sheetId="8521"/>
      <sheetData sheetId="8522"/>
      <sheetData sheetId="8523"/>
      <sheetData sheetId="8524"/>
      <sheetData sheetId="8525"/>
      <sheetData sheetId="8526"/>
      <sheetData sheetId="8527"/>
      <sheetData sheetId="8528"/>
      <sheetData sheetId="8529"/>
      <sheetData sheetId="8530"/>
      <sheetData sheetId="8531"/>
      <sheetData sheetId="8532"/>
      <sheetData sheetId="8533"/>
      <sheetData sheetId="8534"/>
      <sheetData sheetId="8535"/>
      <sheetData sheetId="8536"/>
      <sheetData sheetId="8537"/>
      <sheetData sheetId="8538"/>
      <sheetData sheetId="8539"/>
      <sheetData sheetId="8540"/>
      <sheetData sheetId="8541"/>
      <sheetData sheetId="8542"/>
      <sheetData sheetId="8543"/>
      <sheetData sheetId="8544"/>
      <sheetData sheetId="8545"/>
      <sheetData sheetId="8546"/>
      <sheetData sheetId="8547"/>
      <sheetData sheetId="8548"/>
      <sheetData sheetId="8549" refreshError="1"/>
      <sheetData sheetId="8550"/>
      <sheetData sheetId="8551" refreshError="1"/>
      <sheetData sheetId="8552"/>
      <sheetData sheetId="8553" refreshError="1"/>
      <sheetData sheetId="8554" refreshError="1"/>
      <sheetData sheetId="8555" refreshError="1"/>
      <sheetData sheetId="8556" refreshError="1"/>
      <sheetData sheetId="8557" refreshError="1"/>
      <sheetData sheetId="8558"/>
      <sheetData sheetId="8559" refreshError="1"/>
      <sheetData sheetId="8560" refreshError="1"/>
      <sheetData sheetId="8561" refreshError="1"/>
      <sheetData sheetId="8562" refreshError="1"/>
      <sheetData sheetId="8563" refreshError="1"/>
      <sheetData sheetId="8564" refreshError="1"/>
      <sheetData sheetId="8565" refreshError="1"/>
      <sheetData sheetId="8566"/>
      <sheetData sheetId="8567"/>
      <sheetData sheetId="8568"/>
      <sheetData sheetId="8569"/>
      <sheetData sheetId="8570">
        <row r="103">
          <cell r="C103" t="str">
            <v>EXP</v>
          </cell>
        </row>
      </sheetData>
      <sheetData sheetId="8571" refreshError="1"/>
      <sheetData sheetId="8572"/>
      <sheetData sheetId="8573">
        <row r="147">
          <cell r="B147" t="str">
            <v>SUB TOTAL OBRAS DE  INSTALACIONES ELÉCTRICAS DE LAS ESTACIONES (Urbanismo)</v>
          </cell>
        </row>
      </sheetData>
      <sheetData sheetId="8574"/>
      <sheetData sheetId="8575"/>
      <sheetData sheetId="8576"/>
      <sheetData sheetId="8577"/>
      <sheetData sheetId="8578"/>
      <sheetData sheetId="8579"/>
      <sheetData sheetId="8580"/>
      <sheetData sheetId="8581"/>
      <sheetData sheetId="8582"/>
      <sheetData sheetId="8583"/>
      <sheetData sheetId="8584"/>
      <sheetData sheetId="8585"/>
      <sheetData sheetId="8586"/>
      <sheetData sheetId="8587"/>
      <sheetData sheetId="8588"/>
      <sheetData sheetId="8589"/>
      <sheetData sheetId="8590"/>
      <sheetData sheetId="8591"/>
      <sheetData sheetId="8592"/>
      <sheetData sheetId="8593"/>
      <sheetData sheetId="8594"/>
      <sheetData sheetId="8595"/>
      <sheetData sheetId="8596"/>
      <sheetData sheetId="8597"/>
      <sheetData sheetId="8598"/>
      <sheetData sheetId="8599"/>
      <sheetData sheetId="8600"/>
      <sheetData sheetId="8601"/>
      <sheetData sheetId="8602"/>
      <sheetData sheetId="8603"/>
      <sheetData sheetId="8604"/>
      <sheetData sheetId="8605"/>
      <sheetData sheetId="8606"/>
      <sheetData sheetId="8607"/>
      <sheetData sheetId="8608"/>
      <sheetData sheetId="8609"/>
      <sheetData sheetId="8610"/>
      <sheetData sheetId="8611"/>
      <sheetData sheetId="8612"/>
      <sheetData sheetId="8613"/>
      <sheetData sheetId="8614"/>
      <sheetData sheetId="8615"/>
      <sheetData sheetId="8616"/>
      <sheetData sheetId="8617"/>
      <sheetData sheetId="8618"/>
      <sheetData sheetId="8619"/>
      <sheetData sheetId="8620"/>
      <sheetData sheetId="8621"/>
      <sheetData sheetId="8622"/>
      <sheetData sheetId="8623"/>
      <sheetData sheetId="8624"/>
      <sheetData sheetId="8625"/>
      <sheetData sheetId="8626"/>
      <sheetData sheetId="8627"/>
      <sheetData sheetId="8628"/>
      <sheetData sheetId="8629"/>
      <sheetData sheetId="8630"/>
      <sheetData sheetId="8631"/>
      <sheetData sheetId="8632"/>
      <sheetData sheetId="8633"/>
      <sheetData sheetId="8634"/>
      <sheetData sheetId="8635"/>
      <sheetData sheetId="8636"/>
      <sheetData sheetId="8637"/>
      <sheetData sheetId="8638"/>
      <sheetData sheetId="8639"/>
      <sheetData sheetId="8640"/>
      <sheetData sheetId="8641"/>
      <sheetData sheetId="8642"/>
      <sheetData sheetId="8643"/>
      <sheetData sheetId="8644"/>
      <sheetData sheetId="8645"/>
      <sheetData sheetId="8646"/>
      <sheetData sheetId="8647"/>
      <sheetData sheetId="8648"/>
      <sheetData sheetId="8649"/>
      <sheetData sheetId="8650"/>
      <sheetData sheetId="8651"/>
      <sheetData sheetId="8652"/>
      <sheetData sheetId="8653"/>
      <sheetData sheetId="8654"/>
      <sheetData sheetId="8655"/>
      <sheetData sheetId="8656"/>
      <sheetData sheetId="8657"/>
      <sheetData sheetId="8658"/>
      <sheetData sheetId="8659"/>
      <sheetData sheetId="8660"/>
      <sheetData sheetId="8661"/>
      <sheetData sheetId="8662"/>
      <sheetData sheetId="8663"/>
      <sheetData sheetId="8664"/>
      <sheetData sheetId="8665"/>
      <sheetData sheetId="8666"/>
      <sheetData sheetId="8667"/>
      <sheetData sheetId="8668"/>
      <sheetData sheetId="8669"/>
      <sheetData sheetId="8670"/>
      <sheetData sheetId="8671"/>
      <sheetData sheetId="8672"/>
      <sheetData sheetId="8673"/>
      <sheetData sheetId="8674"/>
      <sheetData sheetId="8675"/>
      <sheetData sheetId="8676"/>
      <sheetData sheetId="8677"/>
      <sheetData sheetId="8678"/>
      <sheetData sheetId="8679"/>
      <sheetData sheetId="8680"/>
      <sheetData sheetId="8681"/>
      <sheetData sheetId="8682"/>
      <sheetData sheetId="8683"/>
      <sheetData sheetId="8684"/>
      <sheetData sheetId="8685"/>
      <sheetData sheetId="8686"/>
      <sheetData sheetId="8687"/>
      <sheetData sheetId="8688"/>
      <sheetData sheetId="8689"/>
      <sheetData sheetId="8690"/>
      <sheetData sheetId="8691"/>
      <sheetData sheetId="8692"/>
      <sheetData sheetId="8693"/>
      <sheetData sheetId="8694"/>
      <sheetData sheetId="8695"/>
      <sheetData sheetId="8696"/>
      <sheetData sheetId="8697"/>
      <sheetData sheetId="8698"/>
      <sheetData sheetId="8699"/>
      <sheetData sheetId="8700"/>
      <sheetData sheetId="8701"/>
      <sheetData sheetId="8702"/>
      <sheetData sheetId="8703"/>
      <sheetData sheetId="8704"/>
      <sheetData sheetId="8705"/>
      <sheetData sheetId="8706"/>
      <sheetData sheetId="8707"/>
      <sheetData sheetId="8708"/>
      <sheetData sheetId="8709"/>
      <sheetData sheetId="8710"/>
      <sheetData sheetId="8711"/>
      <sheetData sheetId="8712"/>
      <sheetData sheetId="8713"/>
      <sheetData sheetId="8714"/>
      <sheetData sheetId="8715"/>
      <sheetData sheetId="8716"/>
      <sheetData sheetId="8717"/>
      <sheetData sheetId="8718"/>
      <sheetData sheetId="8719"/>
      <sheetData sheetId="8720"/>
      <sheetData sheetId="8721"/>
      <sheetData sheetId="8722"/>
      <sheetData sheetId="8723"/>
      <sheetData sheetId="8724"/>
      <sheetData sheetId="8725"/>
      <sheetData sheetId="8726"/>
      <sheetData sheetId="8727"/>
      <sheetData sheetId="8728"/>
      <sheetData sheetId="8729"/>
      <sheetData sheetId="8730"/>
      <sheetData sheetId="8731"/>
      <sheetData sheetId="8732"/>
      <sheetData sheetId="8733"/>
      <sheetData sheetId="8734"/>
      <sheetData sheetId="8735"/>
      <sheetData sheetId="8736"/>
      <sheetData sheetId="8737"/>
      <sheetData sheetId="8738"/>
      <sheetData sheetId="8739"/>
      <sheetData sheetId="8740"/>
      <sheetData sheetId="8741"/>
      <sheetData sheetId="8742"/>
      <sheetData sheetId="8743"/>
      <sheetData sheetId="8744"/>
      <sheetData sheetId="8745"/>
      <sheetData sheetId="8746"/>
      <sheetData sheetId="8747"/>
      <sheetData sheetId="8748"/>
      <sheetData sheetId="8749"/>
      <sheetData sheetId="8750"/>
      <sheetData sheetId="8751"/>
      <sheetData sheetId="8752"/>
      <sheetData sheetId="8753"/>
      <sheetData sheetId="8754"/>
      <sheetData sheetId="8755"/>
      <sheetData sheetId="8756"/>
      <sheetData sheetId="8757"/>
      <sheetData sheetId="8758"/>
      <sheetData sheetId="8759"/>
      <sheetData sheetId="8760"/>
      <sheetData sheetId="8761"/>
      <sheetData sheetId="8762"/>
      <sheetData sheetId="8763"/>
      <sheetData sheetId="8764"/>
      <sheetData sheetId="8765"/>
      <sheetData sheetId="8766"/>
      <sheetData sheetId="8767"/>
      <sheetData sheetId="8768"/>
      <sheetData sheetId="8769"/>
      <sheetData sheetId="8770"/>
      <sheetData sheetId="8771"/>
      <sheetData sheetId="8772"/>
      <sheetData sheetId="8773"/>
      <sheetData sheetId="8774"/>
      <sheetData sheetId="8775"/>
      <sheetData sheetId="8776"/>
      <sheetData sheetId="8777"/>
      <sheetData sheetId="8778"/>
      <sheetData sheetId="8779"/>
      <sheetData sheetId="8780"/>
      <sheetData sheetId="8781"/>
      <sheetData sheetId="8782"/>
      <sheetData sheetId="8783"/>
      <sheetData sheetId="8784"/>
      <sheetData sheetId="8785"/>
      <sheetData sheetId="8786"/>
      <sheetData sheetId="8787"/>
      <sheetData sheetId="8788"/>
      <sheetData sheetId="8789"/>
      <sheetData sheetId="8790"/>
      <sheetData sheetId="8791"/>
      <sheetData sheetId="8792"/>
      <sheetData sheetId="8793"/>
      <sheetData sheetId="8794"/>
      <sheetData sheetId="8795"/>
      <sheetData sheetId="8796"/>
      <sheetData sheetId="8797"/>
      <sheetData sheetId="8798"/>
      <sheetData sheetId="8799"/>
      <sheetData sheetId="8800"/>
      <sheetData sheetId="8801"/>
      <sheetData sheetId="8802"/>
      <sheetData sheetId="8803"/>
      <sheetData sheetId="8804"/>
      <sheetData sheetId="8805"/>
      <sheetData sheetId="8806"/>
      <sheetData sheetId="8807"/>
      <sheetData sheetId="8808"/>
      <sheetData sheetId="8809"/>
      <sheetData sheetId="8810"/>
      <sheetData sheetId="8811"/>
      <sheetData sheetId="8812"/>
      <sheetData sheetId="8813"/>
      <sheetData sheetId="8814"/>
      <sheetData sheetId="8815"/>
      <sheetData sheetId="8816"/>
      <sheetData sheetId="8817"/>
      <sheetData sheetId="8818"/>
      <sheetData sheetId="8819"/>
      <sheetData sheetId="8820"/>
      <sheetData sheetId="8821"/>
      <sheetData sheetId="8822"/>
      <sheetData sheetId="8823"/>
      <sheetData sheetId="8824"/>
      <sheetData sheetId="8825"/>
      <sheetData sheetId="8826"/>
      <sheetData sheetId="8827"/>
      <sheetData sheetId="8828"/>
      <sheetData sheetId="8829"/>
      <sheetData sheetId="8830"/>
      <sheetData sheetId="8831"/>
      <sheetData sheetId="8832"/>
      <sheetData sheetId="8833"/>
      <sheetData sheetId="8834"/>
      <sheetData sheetId="8835"/>
      <sheetData sheetId="8836"/>
      <sheetData sheetId="8837"/>
      <sheetData sheetId="8838"/>
      <sheetData sheetId="8839"/>
      <sheetData sheetId="8840"/>
      <sheetData sheetId="8841"/>
      <sheetData sheetId="8842"/>
      <sheetData sheetId="8843"/>
      <sheetData sheetId="8844"/>
      <sheetData sheetId="8845"/>
      <sheetData sheetId="8846"/>
      <sheetData sheetId="8847"/>
      <sheetData sheetId="8848"/>
      <sheetData sheetId="8849"/>
      <sheetData sheetId="8850"/>
      <sheetData sheetId="8851"/>
      <sheetData sheetId="8852"/>
      <sheetData sheetId="8853"/>
      <sheetData sheetId="8854"/>
      <sheetData sheetId="8855"/>
      <sheetData sheetId="8856"/>
      <sheetData sheetId="8857"/>
      <sheetData sheetId="8858"/>
      <sheetData sheetId="8859"/>
      <sheetData sheetId="8860"/>
      <sheetData sheetId="8861"/>
      <sheetData sheetId="8862"/>
      <sheetData sheetId="8863"/>
      <sheetData sheetId="8864"/>
      <sheetData sheetId="8865"/>
      <sheetData sheetId="8866"/>
      <sheetData sheetId="8867"/>
      <sheetData sheetId="8868"/>
      <sheetData sheetId="8869"/>
      <sheetData sheetId="8870"/>
      <sheetData sheetId="8871"/>
      <sheetData sheetId="8872"/>
      <sheetData sheetId="8873"/>
      <sheetData sheetId="8874"/>
      <sheetData sheetId="8875"/>
      <sheetData sheetId="8876"/>
      <sheetData sheetId="8877"/>
      <sheetData sheetId="8878"/>
      <sheetData sheetId="8879"/>
      <sheetData sheetId="8880"/>
      <sheetData sheetId="8881"/>
      <sheetData sheetId="8882"/>
      <sheetData sheetId="8883"/>
      <sheetData sheetId="8884"/>
      <sheetData sheetId="8885"/>
      <sheetData sheetId="8886"/>
      <sheetData sheetId="8887"/>
      <sheetData sheetId="8888"/>
      <sheetData sheetId="8889"/>
      <sheetData sheetId="8890"/>
      <sheetData sheetId="8891"/>
      <sheetData sheetId="8892"/>
      <sheetData sheetId="8893"/>
      <sheetData sheetId="8894"/>
      <sheetData sheetId="8895"/>
      <sheetData sheetId="8896"/>
      <sheetData sheetId="8897"/>
      <sheetData sheetId="8898"/>
      <sheetData sheetId="8899"/>
      <sheetData sheetId="8900"/>
      <sheetData sheetId="8901"/>
      <sheetData sheetId="8902"/>
      <sheetData sheetId="8903"/>
      <sheetData sheetId="8904"/>
      <sheetData sheetId="8905"/>
      <sheetData sheetId="8906"/>
      <sheetData sheetId="8907"/>
      <sheetData sheetId="8908"/>
      <sheetData sheetId="8909"/>
      <sheetData sheetId="8910"/>
      <sheetData sheetId="8911"/>
      <sheetData sheetId="8912"/>
      <sheetData sheetId="8913"/>
      <sheetData sheetId="8914"/>
      <sheetData sheetId="8915"/>
      <sheetData sheetId="8916"/>
      <sheetData sheetId="8917"/>
      <sheetData sheetId="8918"/>
      <sheetData sheetId="8919"/>
      <sheetData sheetId="8920"/>
      <sheetData sheetId="8921"/>
      <sheetData sheetId="8922"/>
      <sheetData sheetId="8923"/>
      <sheetData sheetId="8924"/>
      <sheetData sheetId="8925"/>
      <sheetData sheetId="8926"/>
      <sheetData sheetId="8927"/>
      <sheetData sheetId="8928"/>
      <sheetData sheetId="8929"/>
      <sheetData sheetId="8930"/>
      <sheetData sheetId="8931"/>
      <sheetData sheetId="8932"/>
      <sheetData sheetId="8933"/>
      <sheetData sheetId="8934"/>
      <sheetData sheetId="8935"/>
      <sheetData sheetId="8936"/>
      <sheetData sheetId="8937"/>
      <sheetData sheetId="8938"/>
      <sheetData sheetId="8939"/>
      <sheetData sheetId="8940"/>
      <sheetData sheetId="8941"/>
      <sheetData sheetId="8942"/>
      <sheetData sheetId="8943"/>
      <sheetData sheetId="8944"/>
      <sheetData sheetId="8945"/>
      <sheetData sheetId="8946"/>
      <sheetData sheetId="8947"/>
      <sheetData sheetId="8948"/>
      <sheetData sheetId="8949"/>
      <sheetData sheetId="8950"/>
      <sheetData sheetId="8951"/>
      <sheetData sheetId="8952" refreshError="1"/>
      <sheetData sheetId="8953"/>
      <sheetData sheetId="8954"/>
      <sheetData sheetId="8955" refreshError="1"/>
      <sheetData sheetId="8956"/>
      <sheetData sheetId="8957"/>
      <sheetData sheetId="8958"/>
      <sheetData sheetId="8959"/>
      <sheetData sheetId="8960"/>
      <sheetData sheetId="8961"/>
      <sheetData sheetId="8962"/>
      <sheetData sheetId="8963"/>
      <sheetData sheetId="8964"/>
      <sheetData sheetId="8965"/>
      <sheetData sheetId="8966"/>
      <sheetData sheetId="8967"/>
      <sheetData sheetId="8968"/>
      <sheetData sheetId="8969"/>
      <sheetData sheetId="8970"/>
      <sheetData sheetId="8971"/>
      <sheetData sheetId="8972"/>
      <sheetData sheetId="8973"/>
      <sheetData sheetId="8974"/>
      <sheetData sheetId="8975"/>
      <sheetData sheetId="8976"/>
      <sheetData sheetId="8977"/>
      <sheetData sheetId="8978" refreshError="1"/>
      <sheetData sheetId="8979" refreshError="1"/>
      <sheetData sheetId="8980"/>
      <sheetData sheetId="8981"/>
      <sheetData sheetId="8982">
        <row r="2">
          <cell r="A2" t="str">
            <v>HOSPITAL HERNANDO MONCALEANO PERDOMO ETAPA 1</v>
          </cell>
        </row>
      </sheetData>
      <sheetData sheetId="8983"/>
      <sheetData sheetId="8984">
        <row r="2">
          <cell r="A2" t="str">
            <v>HOSPITAL HERNANDO MONCALEANO PERDOMO ETAPA 2 A</v>
          </cell>
        </row>
      </sheetData>
      <sheetData sheetId="8985">
        <row r="2">
          <cell r="A2" t="str">
            <v>HOSPITAL HERNANDO MONCALEANO PERDOMO ETAPA 2B</v>
          </cell>
        </row>
      </sheetData>
      <sheetData sheetId="8986"/>
      <sheetData sheetId="8987"/>
      <sheetData sheetId="8988"/>
      <sheetData sheetId="8989"/>
      <sheetData sheetId="8990"/>
      <sheetData sheetId="8991" refreshError="1"/>
      <sheetData sheetId="8992"/>
      <sheetData sheetId="8993"/>
      <sheetData sheetId="8994" refreshError="1"/>
      <sheetData sheetId="8995"/>
      <sheetData sheetId="8996"/>
      <sheetData sheetId="8997"/>
      <sheetData sheetId="8998"/>
      <sheetData sheetId="8999"/>
      <sheetData sheetId="9000"/>
      <sheetData sheetId="9001"/>
      <sheetData sheetId="9002"/>
      <sheetData sheetId="9003"/>
      <sheetData sheetId="9004"/>
      <sheetData sheetId="9005">
        <row r="12">
          <cell r="A12" t="str">
            <v>COSTOS DE TRANSPORTE</v>
          </cell>
        </row>
      </sheetData>
      <sheetData sheetId="9006"/>
      <sheetData sheetId="9007"/>
      <sheetData sheetId="9008"/>
      <sheetData sheetId="9009"/>
      <sheetData sheetId="9010"/>
      <sheetData sheetId="9011"/>
      <sheetData sheetId="9012"/>
      <sheetData sheetId="9013"/>
      <sheetData sheetId="9014"/>
      <sheetData sheetId="9015"/>
      <sheetData sheetId="9016"/>
      <sheetData sheetId="9017"/>
      <sheetData sheetId="9018"/>
      <sheetData sheetId="9019"/>
      <sheetData sheetId="9020"/>
      <sheetData sheetId="9021"/>
      <sheetData sheetId="9022"/>
      <sheetData sheetId="9023"/>
      <sheetData sheetId="9024"/>
      <sheetData sheetId="9025"/>
      <sheetData sheetId="9026"/>
      <sheetData sheetId="9027"/>
      <sheetData sheetId="9028"/>
      <sheetData sheetId="9029"/>
      <sheetData sheetId="9030"/>
      <sheetData sheetId="9031"/>
      <sheetData sheetId="9032"/>
      <sheetData sheetId="9033"/>
      <sheetData sheetId="9034"/>
      <sheetData sheetId="9035"/>
      <sheetData sheetId="9036"/>
      <sheetData sheetId="9037"/>
      <sheetData sheetId="9038"/>
      <sheetData sheetId="9039"/>
      <sheetData sheetId="9040"/>
      <sheetData sheetId="9041"/>
      <sheetData sheetId="9042"/>
      <sheetData sheetId="9043"/>
      <sheetData sheetId="9044"/>
      <sheetData sheetId="9045"/>
      <sheetData sheetId="9046"/>
      <sheetData sheetId="9047"/>
      <sheetData sheetId="9048"/>
      <sheetData sheetId="9049"/>
      <sheetData sheetId="9050"/>
      <sheetData sheetId="9051"/>
      <sheetData sheetId="9052"/>
      <sheetData sheetId="9053"/>
      <sheetData sheetId="9054"/>
      <sheetData sheetId="9055"/>
      <sheetData sheetId="9056"/>
      <sheetData sheetId="9057"/>
      <sheetData sheetId="9058"/>
      <sheetData sheetId="9059"/>
      <sheetData sheetId="9060"/>
      <sheetData sheetId="9061"/>
      <sheetData sheetId="9062"/>
      <sheetData sheetId="9063"/>
      <sheetData sheetId="9064"/>
      <sheetData sheetId="9065"/>
      <sheetData sheetId="9066"/>
      <sheetData sheetId="9067"/>
      <sheetData sheetId="9068"/>
      <sheetData sheetId="9069"/>
      <sheetData sheetId="9070"/>
      <sheetData sheetId="9071"/>
      <sheetData sheetId="9072"/>
      <sheetData sheetId="9073"/>
      <sheetData sheetId="9074"/>
      <sheetData sheetId="9075"/>
      <sheetData sheetId="9076"/>
      <sheetData sheetId="9077"/>
      <sheetData sheetId="9078"/>
      <sheetData sheetId="9079"/>
      <sheetData sheetId="9080"/>
      <sheetData sheetId="9081"/>
      <sheetData sheetId="9082"/>
      <sheetData sheetId="9083"/>
      <sheetData sheetId="9084"/>
      <sheetData sheetId="9085"/>
      <sheetData sheetId="9086"/>
      <sheetData sheetId="9087"/>
      <sheetData sheetId="9088"/>
      <sheetData sheetId="9089"/>
      <sheetData sheetId="9090"/>
      <sheetData sheetId="9091"/>
      <sheetData sheetId="9092"/>
      <sheetData sheetId="9093"/>
      <sheetData sheetId="9094"/>
      <sheetData sheetId="9095"/>
      <sheetData sheetId="9096"/>
      <sheetData sheetId="9097"/>
      <sheetData sheetId="9098"/>
      <sheetData sheetId="9099"/>
      <sheetData sheetId="9100"/>
      <sheetData sheetId="9101"/>
      <sheetData sheetId="9102"/>
      <sheetData sheetId="9103"/>
      <sheetData sheetId="9104"/>
      <sheetData sheetId="9105"/>
      <sheetData sheetId="9106"/>
      <sheetData sheetId="9107"/>
      <sheetData sheetId="9108"/>
      <sheetData sheetId="9109"/>
      <sheetData sheetId="9110"/>
      <sheetData sheetId="9111"/>
      <sheetData sheetId="9112"/>
      <sheetData sheetId="9113"/>
      <sheetData sheetId="9114"/>
      <sheetData sheetId="9115"/>
      <sheetData sheetId="9116"/>
      <sheetData sheetId="9117"/>
      <sheetData sheetId="9118"/>
      <sheetData sheetId="9119"/>
      <sheetData sheetId="9120"/>
      <sheetData sheetId="9121"/>
      <sheetData sheetId="9122"/>
      <sheetData sheetId="9123"/>
      <sheetData sheetId="9124"/>
      <sheetData sheetId="9125"/>
      <sheetData sheetId="9126"/>
      <sheetData sheetId="9127"/>
      <sheetData sheetId="9128"/>
      <sheetData sheetId="9129"/>
      <sheetData sheetId="9130"/>
      <sheetData sheetId="9131"/>
      <sheetData sheetId="9132"/>
      <sheetData sheetId="9133"/>
      <sheetData sheetId="9134"/>
      <sheetData sheetId="9135"/>
      <sheetData sheetId="9136"/>
      <sheetData sheetId="9137"/>
      <sheetData sheetId="9138"/>
      <sheetData sheetId="9139"/>
      <sheetData sheetId="9140"/>
      <sheetData sheetId="9141"/>
      <sheetData sheetId="9142"/>
      <sheetData sheetId="9143"/>
      <sheetData sheetId="9144"/>
      <sheetData sheetId="9145"/>
      <sheetData sheetId="9146"/>
      <sheetData sheetId="9147"/>
      <sheetData sheetId="9148"/>
      <sheetData sheetId="9149"/>
      <sheetData sheetId="9150"/>
      <sheetData sheetId="9151"/>
      <sheetData sheetId="9152"/>
      <sheetData sheetId="9153"/>
      <sheetData sheetId="9154"/>
      <sheetData sheetId="9155"/>
      <sheetData sheetId="9156"/>
      <sheetData sheetId="9157"/>
      <sheetData sheetId="9158"/>
      <sheetData sheetId="9159"/>
      <sheetData sheetId="9160"/>
      <sheetData sheetId="9161"/>
      <sheetData sheetId="9162"/>
      <sheetData sheetId="9163"/>
      <sheetData sheetId="9164"/>
      <sheetData sheetId="9165"/>
      <sheetData sheetId="9166"/>
      <sheetData sheetId="9167"/>
      <sheetData sheetId="9168"/>
      <sheetData sheetId="9169"/>
      <sheetData sheetId="9170"/>
      <sheetData sheetId="9171"/>
      <sheetData sheetId="9172"/>
      <sheetData sheetId="9173"/>
      <sheetData sheetId="9174"/>
      <sheetData sheetId="9175"/>
      <sheetData sheetId="9176"/>
      <sheetData sheetId="9177"/>
      <sheetData sheetId="9178"/>
      <sheetData sheetId="9179"/>
      <sheetData sheetId="9180"/>
      <sheetData sheetId="9181"/>
      <sheetData sheetId="9182"/>
      <sheetData sheetId="9183"/>
      <sheetData sheetId="9184"/>
      <sheetData sheetId="9185"/>
      <sheetData sheetId="9186"/>
      <sheetData sheetId="9187"/>
      <sheetData sheetId="9188"/>
      <sheetData sheetId="9189"/>
      <sheetData sheetId="9190"/>
      <sheetData sheetId="9191"/>
      <sheetData sheetId="9192"/>
      <sheetData sheetId="9193"/>
      <sheetData sheetId="9194"/>
      <sheetData sheetId="9195"/>
      <sheetData sheetId="9196"/>
      <sheetData sheetId="9197"/>
      <sheetData sheetId="9198"/>
      <sheetData sheetId="9199"/>
      <sheetData sheetId="9200"/>
      <sheetData sheetId="9201"/>
      <sheetData sheetId="9202"/>
      <sheetData sheetId="9203"/>
      <sheetData sheetId="9204"/>
      <sheetData sheetId="9205"/>
      <sheetData sheetId="9206"/>
      <sheetData sheetId="9207"/>
      <sheetData sheetId="9208"/>
      <sheetData sheetId="9209"/>
      <sheetData sheetId="9210"/>
      <sheetData sheetId="9211"/>
      <sheetData sheetId="9212"/>
      <sheetData sheetId="9213"/>
      <sheetData sheetId="9214"/>
      <sheetData sheetId="9215"/>
      <sheetData sheetId="9216"/>
      <sheetData sheetId="9217"/>
      <sheetData sheetId="9218"/>
      <sheetData sheetId="9219"/>
      <sheetData sheetId="9220"/>
      <sheetData sheetId="9221"/>
      <sheetData sheetId="9222"/>
      <sheetData sheetId="9223"/>
      <sheetData sheetId="9224"/>
      <sheetData sheetId="9225"/>
      <sheetData sheetId="9226"/>
      <sheetData sheetId="9227"/>
      <sheetData sheetId="9228"/>
      <sheetData sheetId="9229"/>
      <sheetData sheetId="9230"/>
      <sheetData sheetId="9231"/>
      <sheetData sheetId="9232"/>
      <sheetData sheetId="9233"/>
      <sheetData sheetId="9234"/>
      <sheetData sheetId="9235"/>
      <sheetData sheetId="9236"/>
      <sheetData sheetId="9237"/>
      <sheetData sheetId="9238"/>
      <sheetData sheetId="9239"/>
      <sheetData sheetId="9240"/>
      <sheetData sheetId="9241"/>
      <sheetData sheetId="9242"/>
      <sheetData sheetId="9243"/>
      <sheetData sheetId="9244"/>
      <sheetData sheetId="9245"/>
      <sheetData sheetId="9246"/>
      <sheetData sheetId="9247"/>
      <sheetData sheetId="9248"/>
      <sheetData sheetId="9249"/>
      <sheetData sheetId="9250"/>
      <sheetData sheetId="9251"/>
      <sheetData sheetId="9252"/>
      <sheetData sheetId="9253"/>
      <sheetData sheetId="9254"/>
      <sheetData sheetId="9255"/>
      <sheetData sheetId="9256"/>
      <sheetData sheetId="9257"/>
      <sheetData sheetId="9258"/>
      <sheetData sheetId="9259"/>
      <sheetData sheetId="9260"/>
      <sheetData sheetId="9261"/>
      <sheetData sheetId="9262"/>
      <sheetData sheetId="9263"/>
      <sheetData sheetId="9264"/>
      <sheetData sheetId="9265"/>
      <sheetData sheetId="9266"/>
      <sheetData sheetId="9267"/>
      <sheetData sheetId="9268"/>
      <sheetData sheetId="9269"/>
      <sheetData sheetId="9270"/>
      <sheetData sheetId="9271"/>
      <sheetData sheetId="9272"/>
      <sheetData sheetId="9273"/>
      <sheetData sheetId="9274"/>
      <sheetData sheetId="9275"/>
      <sheetData sheetId="9276"/>
      <sheetData sheetId="9277"/>
      <sheetData sheetId="9278"/>
      <sheetData sheetId="9279"/>
      <sheetData sheetId="9280"/>
      <sheetData sheetId="9281"/>
      <sheetData sheetId="9282"/>
      <sheetData sheetId="9283"/>
      <sheetData sheetId="9284" refreshError="1"/>
      <sheetData sheetId="9285" refreshError="1"/>
      <sheetData sheetId="9286" refreshError="1"/>
      <sheetData sheetId="9287" refreshError="1"/>
      <sheetData sheetId="9288" refreshError="1"/>
      <sheetData sheetId="9289" refreshError="1"/>
      <sheetData sheetId="9290" refreshError="1"/>
      <sheetData sheetId="9291" refreshError="1"/>
      <sheetData sheetId="9292" refreshError="1"/>
      <sheetData sheetId="9293" refreshError="1"/>
      <sheetData sheetId="9294" refreshError="1"/>
      <sheetData sheetId="9295" refreshError="1"/>
      <sheetData sheetId="9296" refreshError="1"/>
      <sheetData sheetId="9297" refreshError="1"/>
      <sheetData sheetId="9298" refreshError="1"/>
      <sheetData sheetId="9299" refreshError="1"/>
      <sheetData sheetId="9300" refreshError="1"/>
      <sheetData sheetId="9301" refreshError="1"/>
      <sheetData sheetId="9302" refreshError="1"/>
      <sheetData sheetId="9303" refreshError="1"/>
      <sheetData sheetId="9304" refreshError="1"/>
      <sheetData sheetId="9305" refreshError="1"/>
      <sheetData sheetId="9306" refreshError="1"/>
      <sheetData sheetId="9307" refreshError="1"/>
      <sheetData sheetId="9308" refreshError="1"/>
      <sheetData sheetId="9309" refreshError="1"/>
      <sheetData sheetId="9310" refreshError="1"/>
      <sheetData sheetId="9311"/>
      <sheetData sheetId="9312"/>
      <sheetData sheetId="9313"/>
      <sheetData sheetId="9314"/>
      <sheetData sheetId="9315"/>
      <sheetData sheetId="9316"/>
      <sheetData sheetId="9317"/>
      <sheetData sheetId="9318"/>
      <sheetData sheetId="9319"/>
      <sheetData sheetId="9320"/>
      <sheetData sheetId="9321"/>
      <sheetData sheetId="9322"/>
      <sheetData sheetId="9323"/>
      <sheetData sheetId="9324"/>
      <sheetData sheetId="9325"/>
      <sheetData sheetId="9326"/>
      <sheetData sheetId="9327"/>
      <sheetData sheetId="9328"/>
      <sheetData sheetId="9329"/>
      <sheetData sheetId="9330"/>
      <sheetData sheetId="9331"/>
      <sheetData sheetId="9332"/>
      <sheetData sheetId="9333"/>
      <sheetData sheetId="9334"/>
      <sheetData sheetId="9335"/>
      <sheetData sheetId="9336"/>
      <sheetData sheetId="9337"/>
      <sheetData sheetId="9338"/>
      <sheetData sheetId="9339"/>
      <sheetData sheetId="9340"/>
      <sheetData sheetId="9341"/>
      <sheetData sheetId="9342"/>
      <sheetData sheetId="9343"/>
      <sheetData sheetId="9344"/>
      <sheetData sheetId="9345"/>
      <sheetData sheetId="9346"/>
      <sheetData sheetId="9347"/>
      <sheetData sheetId="9348"/>
      <sheetData sheetId="9349"/>
      <sheetData sheetId="9350"/>
      <sheetData sheetId="9351"/>
      <sheetData sheetId="9352"/>
      <sheetData sheetId="9353"/>
      <sheetData sheetId="9354"/>
      <sheetData sheetId="9355"/>
      <sheetData sheetId="9356"/>
      <sheetData sheetId="9357"/>
      <sheetData sheetId="9358"/>
      <sheetData sheetId="9359"/>
      <sheetData sheetId="9360"/>
      <sheetData sheetId="9361"/>
      <sheetData sheetId="9362"/>
      <sheetData sheetId="9363"/>
      <sheetData sheetId="9364"/>
      <sheetData sheetId="9365"/>
      <sheetData sheetId="9366"/>
      <sheetData sheetId="9367"/>
      <sheetData sheetId="9368"/>
      <sheetData sheetId="9369"/>
      <sheetData sheetId="9370"/>
      <sheetData sheetId="9371"/>
      <sheetData sheetId="9372"/>
      <sheetData sheetId="9373"/>
      <sheetData sheetId="9374" refreshError="1"/>
      <sheetData sheetId="9375" refreshError="1"/>
      <sheetData sheetId="9376" refreshError="1"/>
      <sheetData sheetId="9377" refreshError="1"/>
      <sheetData sheetId="9378" refreshError="1"/>
      <sheetData sheetId="9379"/>
      <sheetData sheetId="9380" refreshError="1"/>
      <sheetData sheetId="9381"/>
      <sheetData sheetId="9382"/>
      <sheetData sheetId="9383"/>
      <sheetData sheetId="9384"/>
      <sheetData sheetId="9385"/>
      <sheetData sheetId="9386"/>
      <sheetData sheetId="9387" refreshError="1"/>
      <sheetData sheetId="9388" refreshError="1"/>
      <sheetData sheetId="9389" refreshError="1"/>
      <sheetData sheetId="9390"/>
      <sheetData sheetId="9391" refreshError="1"/>
      <sheetData sheetId="9392"/>
      <sheetData sheetId="9393" refreshError="1"/>
      <sheetData sheetId="9394" refreshError="1"/>
      <sheetData sheetId="9395" refreshError="1"/>
      <sheetData sheetId="9396" refreshError="1"/>
      <sheetData sheetId="9397" refreshError="1"/>
      <sheetData sheetId="9398" refreshError="1"/>
      <sheetData sheetId="9399" refreshError="1"/>
      <sheetData sheetId="9400" refreshError="1"/>
      <sheetData sheetId="9401" refreshError="1"/>
      <sheetData sheetId="9402" refreshError="1"/>
      <sheetData sheetId="9403" refreshError="1"/>
      <sheetData sheetId="9404" refreshError="1"/>
      <sheetData sheetId="9405" refreshError="1"/>
      <sheetData sheetId="9406" refreshError="1"/>
      <sheetData sheetId="9407" refreshError="1"/>
      <sheetData sheetId="9408" refreshError="1"/>
      <sheetData sheetId="9409" refreshError="1"/>
      <sheetData sheetId="9410" refreshError="1"/>
      <sheetData sheetId="9411" refreshError="1"/>
      <sheetData sheetId="9412" refreshError="1"/>
      <sheetData sheetId="9413" refreshError="1"/>
      <sheetData sheetId="9414" refreshError="1"/>
      <sheetData sheetId="9415" refreshError="1"/>
      <sheetData sheetId="9416" refreshError="1"/>
      <sheetData sheetId="9417"/>
      <sheetData sheetId="9418" refreshError="1"/>
      <sheetData sheetId="9419" refreshError="1"/>
      <sheetData sheetId="9420" refreshError="1"/>
      <sheetData sheetId="9421"/>
      <sheetData sheetId="9422"/>
      <sheetData sheetId="9423"/>
      <sheetData sheetId="9424"/>
      <sheetData sheetId="9425"/>
      <sheetData sheetId="9426"/>
      <sheetData sheetId="9427"/>
      <sheetData sheetId="9428"/>
      <sheetData sheetId="9429"/>
      <sheetData sheetId="9430"/>
      <sheetData sheetId="9431"/>
      <sheetData sheetId="9432"/>
      <sheetData sheetId="9433"/>
      <sheetData sheetId="9434"/>
      <sheetData sheetId="9435"/>
      <sheetData sheetId="9436"/>
      <sheetData sheetId="9437"/>
      <sheetData sheetId="9438"/>
      <sheetData sheetId="9439"/>
      <sheetData sheetId="9440"/>
      <sheetData sheetId="9441"/>
      <sheetData sheetId="9442"/>
      <sheetData sheetId="9443"/>
      <sheetData sheetId="9444"/>
      <sheetData sheetId="9445"/>
      <sheetData sheetId="9446"/>
      <sheetData sheetId="9447"/>
      <sheetData sheetId="9448" refreshError="1"/>
      <sheetData sheetId="9449" refreshError="1"/>
      <sheetData sheetId="9450"/>
      <sheetData sheetId="9451"/>
      <sheetData sheetId="9452"/>
      <sheetData sheetId="9453"/>
      <sheetData sheetId="9454"/>
      <sheetData sheetId="9455"/>
      <sheetData sheetId="9456" refreshError="1"/>
      <sheetData sheetId="9457" refreshError="1"/>
      <sheetData sheetId="9458" refreshError="1"/>
      <sheetData sheetId="9459"/>
      <sheetData sheetId="9460" refreshError="1"/>
      <sheetData sheetId="9461"/>
      <sheetData sheetId="9462" refreshError="1"/>
      <sheetData sheetId="9463" refreshError="1"/>
      <sheetData sheetId="9464" refreshError="1"/>
      <sheetData sheetId="9465" refreshError="1"/>
      <sheetData sheetId="9466" refreshError="1"/>
      <sheetData sheetId="9467" refreshError="1"/>
      <sheetData sheetId="9468" refreshError="1"/>
      <sheetData sheetId="9469" refreshError="1"/>
      <sheetData sheetId="9470" refreshError="1"/>
      <sheetData sheetId="9471" refreshError="1"/>
      <sheetData sheetId="9472" refreshError="1"/>
      <sheetData sheetId="9473" refreshError="1"/>
      <sheetData sheetId="9474" refreshError="1"/>
      <sheetData sheetId="9475" refreshError="1"/>
      <sheetData sheetId="9476" refreshError="1"/>
      <sheetData sheetId="9477" refreshError="1"/>
      <sheetData sheetId="9478" refreshError="1"/>
      <sheetData sheetId="9479" refreshError="1"/>
      <sheetData sheetId="9480" refreshError="1"/>
      <sheetData sheetId="9481" refreshError="1"/>
      <sheetData sheetId="9482" refreshError="1"/>
      <sheetData sheetId="9483" refreshError="1"/>
      <sheetData sheetId="9484" refreshError="1"/>
      <sheetData sheetId="9485"/>
      <sheetData sheetId="9486" refreshError="1"/>
      <sheetData sheetId="9487" refreshError="1"/>
      <sheetData sheetId="9488" refreshError="1"/>
      <sheetData sheetId="9489"/>
      <sheetData sheetId="9490"/>
      <sheetData sheetId="9491"/>
      <sheetData sheetId="9492" refreshError="1"/>
      <sheetData sheetId="9493" refreshError="1"/>
      <sheetData sheetId="9494" refreshError="1"/>
      <sheetData sheetId="9495" refreshError="1"/>
      <sheetData sheetId="9496" refreshError="1"/>
      <sheetData sheetId="9497" refreshError="1"/>
      <sheetData sheetId="9498" refreshError="1"/>
      <sheetData sheetId="9499" refreshError="1"/>
      <sheetData sheetId="9500" refreshError="1"/>
      <sheetData sheetId="9501" refreshError="1"/>
      <sheetData sheetId="9502" refreshError="1"/>
      <sheetData sheetId="9503" refreshError="1"/>
      <sheetData sheetId="9504" refreshError="1"/>
      <sheetData sheetId="9505" refreshError="1"/>
      <sheetData sheetId="9506" refreshError="1"/>
      <sheetData sheetId="9507" refreshError="1"/>
      <sheetData sheetId="9508" refreshError="1"/>
      <sheetData sheetId="9509" refreshError="1"/>
      <sheetData sheetId="9510" refreshError="1"/>
      <sheetData sheetId="9511" refreshError="1"/>
      <sheetData sheetId="9512" refreshError="1"/>
      <sheetData sheetId="9513" refreshError="1"/>
      <sheetData sheetId="9514" refreshError="1"/>
      <sheetData sheetId="9515" refreshError="1"/>
      <sheetData sheetId="9516" refreshError="1"/>
      <sheetData sheetId="9517" refreshError="1"/>
      <sheetData sheetId="9518" refreshError="1"/>
      <sheetData sheetId="9519" refreshError="1"/>
      <sheetData sheetId="9520" refreshError="1"/>
      <sheetData sheetId="9521" refreshError="1"/>
      <sheetData sheetId="9522" refreshError="1"/>
      <sheetData sheetId="9523" refreshError="1"/>
      <sheetData sheetId="9524" refreshError="1"/>
      <sheetData sheetId="9525" refreshError="1"/>
      <sheetData sheetId="9526" refreshError="1"/>
      <sheetData sheetId="9527" refreshError="1"/>
      <sheetData sheetId="9528" refreshError="1"/>
      <sheetData sheetId="9529" refreshError="1"/>
      <sheetData sheetId="9530" refreshError="1"/>
      <sheetData sheetId="9531" refreshError="1"/>
      <sheetData sheetId="9532" refreshError="1"/>
      <sheetData sheetId="9533" refreshError="1"/>
      <sheetData sheetId="9534" refreshError="1"/>
      <sheetData sheetId="9535" refreshError="1"/>
      <sheetData sheetId="9536" refreshError="1"/>
      <sheetData sheetId="9537" refreshError="1"/>
      <sheetData sheetId="9538" refreshError="1"/>
      <sheetData sheetId="9539" refreshError="1"/>
      <sheetData sheetId="9540" refreshError="1"/>
      <sheetData sheetId="9541" refreshError="1"/>
      <sheetData sheetId="9542" refreshError="1"/>
      <sheetData sheetId="9543" refreshError="1"/>
      <sheetData sheetId="9544" refreshError="1"/>
      <sheetData sheetId="9545" refreshError="1"/>
      <sheetData sheetId="9546" refreshError="1"/>
      <sheetData sheetId="9547" refreshError="1"/>
      <sheetData sheetId="9548" refreshError="1"/>
      <sheetData sheetId="9549" refreshError="1"/>
      <sheetData sheetId="9550" refreshError="1"/>
      <sheetData sheetId="9551" refreshError="1"/>
      <sheetData sheetId="9552" refreshError="1"/>
      <sheetData sheetId="9553" refreshError="1"/>
      <sheetData sheetId="9554" refreshError="1"/>
      <sheetData sheetId="9555" refreshError="1"/>
      <sheetData sheetId="9556" refreshError="1"/>
      <sheetData sheetId="9557" refreshError="1"/>
      <sheetData sheetId="9558" refreshError="1"/>
      <sheetData sheetId="9559" refreshError="1"/>
      <sheetData sheetId="9560" refreshError="1"/>
      <sheetData sheetId="9561" refreshError="1"/>
      <sheetData sheetId="9562" refreshError="1"/>
      <sheetData sheetId="9563" refreshError="1"/>
      <sheetData sheetId="9564" refreshError="1"/>
      <sheetData sheetId="9565" refreshError="1"/>
      <sheetData sheetId="9566" refreshError="1"/>
      <sheetData sheetId="9567" refreshError="1"/>
      <sheetData sheetId="9568" refreshError="1"/>
      <sheetData sheetId="9569" refreshError="1"/>
      <sheetData sheetId="9570"/>
      <sheetData sheetId="9571"/>
      <sheetData sheetId="9572"/>
      <sheetData sheetId="9573"/>
      <sheetData sheetId="9574"/>
      <sheetData sheetId="9575"/>
      <sheetData sheetId="9576"/>
      <sheetData sheetId="9577"/>
      <sheetData sheetId="9578"/>
      <sheetData sheetId="9579"/>
      <sheetData sheetId="9580"/>
      <sheetData sheetId="9581"/>
      <sheetData sheetId="9582"/>
      <sheetData sheetId="9583" refreshError="1"/>
      <sheetData sheetId="9584" refreshError="1"/>
      <sheetData sheetId="9585" refreshError="1"/>
      <sheetData sheetId="9586" refreshError="1"/>
      <sheetData sheetId="9587" refreshError="1"/>
      <sheetData sheetId="9588" refreshError="1"/>
      <sheetData sheetId="9589" refreshError="1"/>
      <sheetData sheetId="9590" refreshError="1"/>
      <sheetData sheetId="9591" refreshError="1"/>
      <sheetData sheetId="9592" refreshError="1"/>
      <sheetData sheetId="9593" refreshError="1"/>
      <sheetData sheetId="9594" refreshError="1"/>
      <sheetData sheetId="9595" refreshError="1"/>
      <sheetData sheetId="9596" refreshError="1"/>
      <sheetData sheetId="9597" refreshError="1"/>
      <sheetData sheetId="9598" refreshError="1"/>
      <sheetData sheetId="9599" refreshError="1"/>
      <sheetData sheetId="9600" refreshError="1"/>
      <sheetData sheetId="9601" refreshError="1"/>
      <sheetData sheetId="9602" refreshError="1"/>
      <sheetData sheetId="9603" refreshError="1"/>
      <sheetData sheetId="9604" refreshError="1"/>
      <sheetData sheetId="9605" refreshError="1"/>
      <sheetData sheetId="9606" refreshError="1"/>
      <sheetData sheetId="9607" refreshError="1"/>
      <sheetData sheetId="9608" refreshError="1"/>
      <sheetData sheetId="9609" refreshError="1"/>
      <sheetData sheetId="9610" refreshError="1"/>
      <sheetData sheetId="9611" refreshError="1"/>
      <sheetData sheetId="9612" refreshError="1"/>
      <sheetData sheetId="9613" refreshError="1"/>
      <sheetData sheetId="9614" refreshError="1"/>
      <sheetData sheetId="9615" refreshError="1"/>
      <sheetData sheetId="9616" refreshError="1"/>
      <sheetData sheetId="9617" refreshError="1"/>
      <sheetData sheetId="9618" refreshError="1"/>
      <sheetData sheetId="9619" refreshError="1"/>
      <sheetData sheetId="9620" refreshError="1"/>
      <sheetData sheetId="9621" refreshError="1"/>
      <sheetData sheetId="9622" refreshError="1"/>
      <sheetData sheetId="9623" refreshError="1"/>
      <sheetData sheetId="9624" refreshError="1"/>
      <sheetData sheetId="9625" refreshError="1"/>
      <sheetData sheetId="9626"/>
      <sheetData sheetId="9627"/>
      <sheetData sheetId="9628"/>
      <sheetData sheetId="9629"/>
      <sheetData sheetId="9630"/>
      <sheetData sheetId="9631"/>
      <sheetData sheetId="9632"/>
      <sheetData sheetId="9633"/>
      <sheetData sheetId="9634" refreshError="1"/>
      <sheetData sheetId="9635"/>
      <sheetData sheetId="9636"/>
      <sheetData sheetId="9637"/>
      <sheetData sheetId="9638"/>
      <sheetData sheetId="9639"/>
      <sheetData sheetId="9640"/>
      <sheetData sheetId="9641"/>
      <sheetData sheetId="9642"/>
      <sheetData sheetId="9643"/>
      <sheetData sheetId="9644"/>
      <sheetData sheetId="9645"/>
      <sheetData sheetId="9646"/>
      <sheetData sheetId="9647"/>
      <sheetData sheetId="9648"/>
      <sheetData sheetId="9649"/>
      <sheetData sheetId="9650"/>
      <sheetData sheetId="9651"/>
      <sheetData sheetId="9652"/>
      <sheetData sheetId="9653"/>
      <sheetData sheetId="9654"/>
      <sheetData sheetId="9655"/>
      <sheetData sheetId="9656"/>
      <sheetData sheetId="9657"/>
      <sheetData sheetId="9658"/>
      <sheetData sheetId="9659"/>
      <sheetData sheetId="9660"/>
      <sheetData sheetId="9661"/>
      <sheetData sheetId="9662"/>
      <sheetData sheetId="9663"/>
      <sheetData sheetId="9664"/>
      <sheetData sheetId="9665"/>
      <sheetData sheetId="9666"/>
      <sheetData sheetId="9667"/>
      <sheetData sheetId="9668"/>
      <sheetData sheetId="9669"/>
      <sheetData sheetId="9670"/>
      <sheetData sheetId="9671"/>
      <sheetData sheetId="9672"/>
      <sheetData sheetId="9673"/>
      <sheetData sheetId="9674"/>
      <sheetData sheetId="9675"/>
      <sheetData sheetId="9676"/>
      <sheetData sheetId="9677"/>
      <sheetData sheetId="9678"/>
      <sheetData sheetId="9679"/>
      <sheetData sheetId="9680"/>
      <sheetData sheetId="9681" refreshError="1"/>
      <sheetData sheetId="9682"/>
      <sheetData sheetId="9683"/>
      <sheetData sheetId="9684" refreshError="1"/>
      <sheetData sheetId="9685" refreshError="1"/>
      <sheetData sheetId="9686" refreshError="1"/>
      <sheetData sheetId="9687" refreshError="1"/>
      <sheetData sheetId="9688" refreshError="1"/>
      <sheetData sheetId="9689" refreshError="1"/>
      <sheetData sheetId="9690" refreshError="1"/>
      <sheetData sheetId="9691" refreshError="1"/>
      <sheetData sheetId="9692"/>
      <sheetData sheetId="9693" refreshError="1"/>
      <sheetData sheetId="9694"/>
      <sheetData sheetId="9695"/>
      <sheetData sheetId="9696"/>
      <sheetData sheetId="9697"/>
      <sheetData sheetId="9698"/>
      <sheetData sheetId="9699"/>
      <sheetData sheetId="9700"/>
      <sheetData sheetId="9701"/>
      <sheetData sheetId="9702"/>
      <sheetData sheetId="9703"/>
      <sheetData sheetId="9704" refreshError="1"/>
      <sheetData sheetId="9705"/>
      <sheetData sheetId="9706"/>
      <sheetData sheetId="9707" refreshError="1"/>
      <sheetData sheetId="9708" refreshError="1"/>
      <sheetData sheetId="9709" refreshError="1"/>
      <sheetData sheetId="9710" refreshError="1"/>
      <sheetData sheetId="9711" refreshError="1"/>
      <sheetData sheetId="9712" refreshError="1"/>
      <sheetData sheetId="9713" refreshError="1"/>
      <sheetData sheetId="9714" refreshError="1"/>
      <sheetData sheetId="9715" refreshError="1"/>
      <sheetData sheetId="9716" refreshError="1"/>
      <sheetData sheetId="9717" refreshError="1"/>
      <sheetData sheetId="9718" refreshError="1"/>
      <sheetData sheetId="9719" refreshError="1"/>
      <sheetData sheetId="9720" refreshError="1"/>
      <sheetData sheetId="9721" refreshError="1"/>
      <sheetData sheetId="9722" refreshError="1"/>
      <sheetData sheetId="9723" refreshError="1"/>
      <sheetData sheetId="9724" refreshError="1"/>
      <sheetData sheetId="9725" refreshError="1"/>
      <sheetData sheetId="9726" refreshError="1"/>
      <sheetData sheetId="9727" refreshError="1"/>
      <sheetData sheetId="9728" refreshError="1"/>
      <sheetData sheetId="9729" refreshError="1"/>
      <sheetData sheetId="9730" refreshError="1"/>
      <sheetData sheetId="9731" refreshError="1"/>
      <sheetData sheetId="9732" refreshError="1"/>
      <sheetData sheetId="9733" refreshError="1"/>
      <sheetData sheetId="9734" refreshError="1"/>
      <sheetData sheetId="9735" refreshError="1"/>
      <sheetData sheetId="9736" refreshError="1"/>
      <sheetData sheetId="9737" refreshError="1"/>
      <sheetData sheetId="9738" refreshError="1"/>
      <sheetData sheetId="9739" refreshError="1"/>
      <sheetData sheetId="9740" refreshError="1"/>
      <sheetData sheetId="9741" refreshError="1"/>
      <sheetData sheetId="9742" refreshError="1"/>
      <sheetData sheetId="9743" refreshError="1"/>
      <sheetData sheetId="9744" refreshError="1"/>
      <sheetData sheetId="9745" refreshError="1"/>
      <sheetData sheetId="9746" refreshError="1"/>
      <sheetData sheetId="9747" refreshError="1"/>
      <sheetData sheetId="9748" refreshError="1"/>
      <sheetData sheetId="9749" refreshError="1"/>
      <sheetData sheetId="9750" refreshError="1"/>
      <sheetData sheetId="9751" refreshError="1"/>
      <sheetData sheetId="9752" refreshError="1"/>
      <sheetData sheetId="9753" refreshError="1"/>
      <sheetData sheetId="9754" refreshError="1"/>
      <sheetData sheetId="9755" refreshError="1"/>
      <sheetData sheetId="9756" refreshError="1"/>
      <sheetData sheetId="9757" refreshError="1"/>
      <sheetData sheetId="9758" refreshError="1"/>
      <sheetData sheetId="9759" refreshError="1"/>
      <sheetData sheetId="9760" refreshError="1"/>
      <sheetData sheetId="9761" refreshError="1"/>
      <sheetData sheetId="9762" refreshError="1"/>
      <sheetData sheetId="9763"/>
      <sheetData sheetId="9764"/>
      <sheetData sheetId="9765"/>
      <sheetData sheetId="9766"/>
      <sheetData sheetId="9767"/>
      <sheetData sheetId="9768"/>
      <sheetData sheetId="9769"/>
      <sheetData sheetId="9770"/>
      <sheetData sheetId="9771"/>
      <sheetData sheetId="9772"/>
      <sheetData sheetId="9773"/>
      <sheetData sheetId="9774"/>
      <sheetData sheetId="9775"/>
      <sheetData sheetId="9776"/>
      <sheetData sheetId="9777"/>
      <sheetData sheetId="9778"/>
      <sheetData sheetId="9779"/>
      <sheetData sheetId="9780"/>
      <sheetData sheetId="9781"/>
      <sheetData sheetId="9782"/>
      <sheetData sheetId="9783"/>
      <sheetData sheetId="9784"/>
      <sheetData sheetId="9785"/>
      <sheetData sheetId="9786"/>
      <sheetData sheetId="9787"/>
      <sheetData sheetId="9788"/>
      <sheetData sheetId="9789"/>
      <sheetData sheetId="9790"/>
      <sheetData sheetId="9791"/>
      <sheetData sheetId="9792"/>
      <sheetData sheetId="9793"/>
      <sheetData sheetId="9794"/>
      <sheetData sheetId="9795"/>
      <sheetData sheetId="9796"/>
      <sheetData sheetId="9797"/>
      <sheetData sheetId="9798"/>
      <sheetData sheetId="9799"/>
      <sheetData sheetId="9800"/>
      <sheetData sheetId="9801"/>
      <sheetData sheetId="9802"/>
      <sheetData sheetId="9803"/>
      <sheetData sheetId="9804"/>
      <sheetData sheetId="9805"/>
      <sheetData sheetId="9806"/>
      <sheetData sheetId="9807"/>
      <sheetData sheetId="9808"/>
      <sheetData sheetId="9809"/>
      <sheetData sheetId="9810" refreshError="1"/>
      <sheetData sheetId="9811" refreshError="1"/>
      <sheetData sheetId="9812" refreshError="1"/>
      <sheetData sheetId="9813" refreshError="1"/>
      <sheetData sheetId="9814"/>
      <sheetData sheetId="9815" refreshError="1"/>
      <sheetData sheetId="9816" refreshError="1"/>
      <sheetData sheetId="9817" refreshError="1"/>
      <sheetData sheetId="9818" refreshError="1"/>
      <sheetData sheetId="9819" refreshError="1"/>
      <sheetData sheetId="9820" refreshError="1"/>
      <sheetData sheetId="9821" refreshError="1"/>
      <sheetData sheetId="9822" refreshError="1"/>
      <sheetData sheetId="9823" refreshError="1"/>
      <sheetData sheetId="9824" refreshError="1"/>
      <sheetData sheetId="9825" refreshError="1"/>
      <sheetData sheetId="9826" refreshError="1"/>
      <sheetData sheetId="9827" refreshError="1"/>
      <sheetData sheetId="9828" refreshError="1"/>
      <sheetData sheetId="9829" refreshError="1"/>
      <sheetData sheetId="9830" refreshError="1"/>
      <sheetData sheetId="9831" refreshError="1"/>
      <sheetData sheetId="9832" refreshError="1"/>
      <sheetData sheetId="9833" refreshError="1"/>
      <sheetData sheetId="9834" refreshError="1"/>
      <sheetData sheetId="9835" refreshError="1"/>
      <sheetData sheetId="9836" refreshError="1"/>
      <sheetData sheetId="9837" refreshError="1"/>
      <sheetData sheetId="9838" refreshError="1"/>
      <sheetData sheetId="9839" refreshError="1"/>
      <sheetData sheetId="9840" refreshError="1"/>
      <sheetData sheetId="9841" refreshError="1"/>
      <sheetData sheetId="9842" refreshError="1"/>
      <sheetData sheetId="9843" refreshError="1"/>
      <sheetData sheetId="9844" refreshError="1"/>
      <sheetData sheetId="9845" refreshError="1"/>
      <sheetData sheetId="9846" refreshError="1"/>
      <sheetData sheetId="9847" refreshError="1"/>
      <sheetData sheetId="9848" refreshError="1"/>
      <sheetData sheetId="9849" refreshError="1"/>
      <sheetData sheetId="9850" refreshError="1"/>
      <sheetData sheetId="9851" refreshError="1"/>
      <sheetData sheetId="9852" refreshError="1"/>
      <sheetData sheetId="9853" refreshError="1"/>
      <sheetData sheetId="9854" refreshError="1"/>
      <sheetData sheetId="9855" refreshError="1"/>
      <sheetData sheetId="9856"/>
      <sheetData sheetId="9857"/>
      <sheetData sheetId="9858"/>
      <sheetData sheetId="9859"/>
      <sheetData sheetId="9860"/>
      <sheetData sheetId="9861"/>
      <sheetData sheetId="9862"/>
      <sheetData sheetId="9863"/>
      <sheetData sheetId="9864"/>
      <sheetData sheetId="9865"/>
      <sheetData sheetId="9866"/>
      <sheetData sheetId="9867"/>
      <sheetData sheetId="9868"/>
      <sheetData sheetId="9869"/>
      <sheetData sheetId="9870"/>
      <sheetData sheetId="9871"/>
      <sheetData sheetId="9872"/>
      <sheetData sheetId="9873"/>
      <sheetData sheetId="9874"/>
      <sheetData sheetId="9875"/>
      <sheetData sheetId="9876"/>
      <sheetData sheetId="9877"/>
      <sheetData sheetId="9878" refreshError="1"/>
      <sheetData sheetId="9879"/>
      <sheetData sheetId="9880"/>
      <sheetData sheetId="9881"/>
      <sheetData sheetId="9882"/>
      <sheetData sheetId="9883" refreshError="1"/>
      <sheetData sheetId="9884" refreshError="1"/>
      <sheetData sheetId="9885" refreshError="1"/>
      <sheetData sheetId="9886"/>
      <sheetData sheetId="9887"/>
      <sheetData sheetId="9888"/>
      <sheetData sheetId="9889"/>
      <sheetData sheetId="9890"/>
      <sheetData sheetId="9891"/>
      <sheetData sheetId="9892"/>
      <sheetData sheetId="9893"/>
      <sheetData sheetId="9894"/>
      <sheetData sheetId="9895"/>
      <sheetData sheetId="9896"/>
      <sheetData sheetId="9897"/>
      <sheetData sheetId="9898"/>
      <sheetData sheetId="9899"/>
      <sheetData sheetId="9900" refreshError="1"/>
      <sheetData sheetId="9901" refreshError="1"/>
      <sheetData sheetId="9902" refreshError="1"/>
      <sheetData sheetId="9903" refreshError="1"/>
      <sheetData sheetId="9904" refreshError="1"/>
      <sheetData sheetId="9905" refreshError="1"/>
      <sheetData sheetId="9906" refreshError="1"/>
      <sheetData sheetId="9907" refreshError="1"/>
      <sheetData sheetId="9908" refreshError="1"/>
      <sheetData sheetId="9909" refreshError="1"/>
      <sheetData sheetId="9910"/>
      <sheetData sheetId="9911"/>
      <sheetData sheetId="9912" refreshError="1"/>
      <sheetData sheetId="9913" refreshError="1"/>
      <sheetData sheetId="9914" refreshError="1"/>
      <sheetData sheetId="9915" refreshError="1"/>
      <sheetData sheetId="9916" refreshError="1"/>
      <sheetData sheetId="9917" refreshError="1"/>
      <sheetData sheetId="9918" refreshError="1"/>
      <sheetData sheetId="9919" refreshError="1"/>
      <sheetData sheetId="9920" refreshError="1"/>
      <sheetData sheetId="9921" refreshError="1"/>
      <sheetData sheetId="9922"/>
      <sheetData sheetId="9923" refreshError="1"/>
      <sheetData sheetId="9924" refreshError="1"/>
      <sheetData sheetId="9925" refreshError="1"/>
      <sheetData sheetId="9926" refreshError="1"/>
      <sheetData sheetId="9927" refreshError="1"/>
      <sheetData sheetId="9928" refreshError="1"/>
      <sheetData sheetId="9929"/>
      <sheetData sheetId="9930"/>
      <sheetData sheetId="9931"/>
      <sheetData sheetId="9932" refreshError="1"/>
      <sheetData sheetId="9933" refreshError="1"/>
      <sheetData sheetId="9934"/>
      <sheetData sheetId="9935"/>
      <sheetData sheetId="9936"/>
      <sheetData sheetId="9937"/>
      <sheetData sheetId="9938"/>
      <sheetData sheetId="9939" refreshError="1"/>
      <sheetData sheetId="9940" refreshError="1"/>
      <sheetData sheetId="9941"/>
      <sheetData sheetId="9942" refreshError="1"/>
      <sheetData sheetId="9943"/>
      <sheetData sheetId="9944"/>
      <sheetData sheetId="9945" refreshError="1"/>
      <sheetData sheetId="9946" refreshError="1"/>
      <sheetData sheetId="9947"/>
      <sheetData sheetId="9948"/>
      <sheetData sheetId="9949"/>
      <sheetData sheetId="9950"/>
      <sheetData sheetId="9951"/>
      <sheetData sheetId="9952"/>
      <sheetData sheetId="9953"/>
      <sheetData sheetId="9954"/>
      <sheetData sheetId="9955"/>
      <sheetData sheetId="9956" refreshError="1"/>
      <sheetData sheetId="9957" refreshError="1"/>
      <sheetData sheetId="9958" refreshError="1"/>
      <sheetData sheetId="9959" refreshError="1"/>
      <sheetData sheetId="9960" refreshError="1"/>
      <sheetData sheetId="9961" refreshError="1"/>
      <sheetData sheetId="9962" refreshError="1"/>
      <sheetData sheetId="9963" refreshError="1"/>
      <sheetData sheetId="9964" refreshError="1"/>
      <sheetData sheetId="9965" refreshError="1"/>
      <sheetData sheetId="9966" refreshError="1"/>
      <sheetData sheetId="9967" refreshError="1"/>
      <sheetData sheetId="9968" refreshError="1"/>
      <sheetData sheetId="9969" refreshError="1"/>
      <sheetData sheetId="9970" refreshError="1"/>
      <sheetData sheetId="9971" refreshError="1"/>
      <sheetData sheetId="9972" refreshError="1"/>
      <sheetData sheetId="9973" refreshError="1"/>
      <sheetData sheetId="9974" refreshError="1"/>
      <sheetData sheetId="9975" refreshError="1"/>
      <sheetData sheetId="9976" refreshError="1"/>
      <sheetData sheetId="9977" refreshError="1"/>
      <sheetData sheetId="9978" refreshError="1"/>
      <sheetData sheetId="9979" refreshError="1"/>
      <sheetData sheetId="9980" refreshError="1"/>
      <sheetData sheetId="9981" refreshError="1"/>
      <sheetData sheetId="9982" refreshError="1"/>
      <sheetData sheetId="9983" refreshError="1"/>
      <sheetData sheetId="9984" refreshError="1"/>
      <sheetData sheetId="9985" refreshError="1"/>
      <sheetData sheetId="9986" refreshError="1"/>
      <sheetData sheetId="9987" refreshError="1"/>
      <sheetData sheetId="9988" refreshError="1"/>
      <sheetData sheetId="9989" refreshError="1"/>
      <sheetData sheetId="9990" refreshError="1"/>
      <sheetData sheetId="9991" refreshError="1"/>
      <sheetData sheetId="9992"/>
      <sheetData sheetId="9993" refreshError="1"/>
      <sheetData sheetId="9994"/>
      <sheetData sheetId="9995" refreshError="1"/>
      <sheetData sheetId="9996" refreshError="1"/>
      <sheetData sheetId="9997" refreshError="1"/>
      <sheetData sheetId="9998"/>
      <sheetData sheetId="9999"/>
      <sheetData sheetId="10000">
        <row r="6">
          <cell r="A6" t="str">
            <v>CONTRATISTA:</v>
          </cell>
        </row>
      </sheetData>
      <sheetData sheetId="10001" refreshError="1"/>
      <sheetData sheetId="10002" refreshError="1"/>
      <sheetData sheetId="10003" refreshError="1"/>
      <sheetData sheetId="10004"/>
      <sheetData sheetId="10005"/>
      <sheetData sheetId="10006"/>
      <sheetData sheetId="10007"/>
      <sheetData sheetId="10008"/>
      <sheetData sheetId="10009"/>
      <sheetData sheetId="10010"/>
      <sheetData sheetId="10011"/>
      <sheetData sheetId="10012" refreshError="1"/>
      <sheetData sheetId="10013"/>
      <sheetData sheetId="10014"/>
      <sheetData sheetId="10015"/>
      <sheetData sheetId="10016"/>
      <sheetData sheetId="10017"/>
      <sheetData sheetId="10018"/>
      <sheetData sheetId="10019"/>
      <sheetData sheetId="10020"/>
      <sheetData sheetId="10021"/>
      <sheetData sheetId="10022"/>
      <sheetData sheetId="10023"/>
      <sheetData sheetId="10024"/>
      <sheetData sheetId="10025"/>
      <sheetData sheetId="10026"/>
      <sheetData sheetId="10027"/>
      <sheetData sheetId="10028"/>
      <sheetData sheetId="10029"/>
      <sheetData sheetId="10030"/>
      <sheetData sheetId="10031" refreshError="1"/>
      <sheetData sheetId="10032" refreshError="1"/>
      <sheetData sheetId="10033" refreshError="1"/>
      <sheetData sheetId="10034" refreshError="1"/>
      <sheetData sheetId="10035" refreshError="1"/>
      <sheetData sheetId="10036" refreshError="1"/>
      <sheetData sheetId="10037" refreshError="1"/>
      <sheetData sheetId="10038" refreshError="1"/>
      <sheetData sheetId="10039" refreshError="1"/>
      <sheetData sheetId="10040" refreshError="1"/>
      <sheetData sheetId="10041" refreshError="1"/>
      <sheetData sheetId="10042" refreshError="1"/>
      <sheetData sheetId="10043" refreshError="1"/>
      <sheetData sheetId="10044" refreshError="1"/>
      <sheetData sheetId="10045" refreshError="1"/>
      <sheetData sheetId="10046" refreshError="1"/>
      <sheetData sheetId="10047" refreshError="1"/>
      <sheetData sheetId="10048" refreshError="1"/>
      <sheetData sheetId="10049" refreshError="1"/>
      <sheetData sheetId="10050" refreshError="1"/>
      <sheetData sheetId="10051" refreshError="1"/>
      <sheetData sheetId="10052"/>
      <sheetData sheetId="10053" refreshError="1"/>
      <sheetData sheetId="10054" refreshError="1"/>
      <sheetData sheetId="10055" refreshError="1"/>
      <sheetData sheetId="10056" refreshError="1"/>
      <sheetData sheetId="10057" refreshError="1"/>
      <sheetData sheetId="10058"/>
      <sheetData sheetId="10059"/>
      <sheetData sheetId="10060"/>
      <sheetData sheetId="10061"/>
      <sheetData sheetId="10062"/>
      <sheetData sheetId="10063"/>
      <sheetData sheetId="10064"/>
      <sheetData sheetId="10065"/>
      <sheetData sheetId="10066"/>
      <sheetData sheetId="10067" refreshError="1"/>
      <sheetData sheetId="10068" refreshError="1"/>
      <sheetData sheetId="10069" refreshError="1"/>
      <sheetData sheetId="10070" refreshError="1"/>
      <sheetData sheetId="10071" refreshError="1"/>
      <sheetData sheetId="10072" refreshError="1"/>
      <sheetData sheetId="10073" refreshError="1"/>
      <sheetData sheetId="10074" refreshError="1"/>
      <sheetData sheetId="10075" refreshError="1"/>
      <sheetData sheetId="10076" refreshError="1"/>
      <sheetData sheetId="10077" refreshError="1"/>
      <sheetData sheetId="10078" refreshError="1"/>
      <sheetData sheetId="10079" refreshError="1"/>
      <sheetData sheetId="10080" refreshError="1"/>
      <sheetData sheetId="10081" refreshError="1"/>
      <sheetData sheetId="10082" refreshError="1"/>
      <sheetData sheetId="10083" refreshError="1"/>
      <sheetData sheetId="10084" refreshError="1"/>
      <sheetData sheetId="10085" refreshError="1"/>
      <sheetData sheetId="10086" refreshError="1"/>
      <sheetData sheetId="10087" refreshError="1"/>
      <sheetData sheetId="10088" refreshError="1"/>
      <sheetData sheetId="10089" refreshError="1"/>
      <sheetData sheetId="10090" refreshError="1"/>
      <sheetData sheetId="10091" refreshError="1"/>
      <sheetData sheetId="10092" refreshError="1"/>
      <sheetData sheetId="10093" refreshError="1"/>
      <sheetData sheetId="10094" refreshError="1"/>
      <sheetData sheetId="10095" refreshError="1"/>
      <sheetData sheetId="10096" refreshError="1"/>
      <sheetData sheetId="10097" refreshError="1"/>
      <sheetData sheetId="10098" refreshError="1"/>
      <sheetData sheetId="10099" refreshError="1"/>
      <sheetData sheetId="10100" refreshError="1"/>
      <sheetData sheetId="10101" refreshError="1"/>
      <sheetData sheetId="10102" refreshError="1"/>
      <sheetData sheetId="10103" refreshError="1"/>
      <sheetData sheetId="10104" refreshError="1"/>
      <sheetData sheetId="10105" refreshError="1"/>
      <sheetData sheetId="10106" refreshError="1"/>
      <sheetData sheetId="10107" refreshError="1"/>
      <sheetData sheetId="10108" refreshError="1"/>
      <sheetData sheetId="10109" refreshError="1"/>
      <sheetData sheetId="10110" refreshError="1"/>
      <sheetData sheetId="10111" refreshError="1"/>
      <sheetData sheetId="10112" refreshError="1"/>
      <sheetData sheetId="10113" refreshError="1"/>
      <sheetData sheetId="10114" refreshError="1"/>
      <sheetData sheetId="10115" refreshError="1"/>
      <sheetData sheetId="10116" refreshError="1"/>
      <sheetData sheetId="10117" refreshError="1"/>
      <sheetData sheetId="10118" refreshError="1"/>
      <sheetData sheetId="10119" refreshError="1"/>
      <sheetData sheetId="10120" refreshError="1"/>
      <sheetData sheetId="10121" refreshError="1"/>
      <sheetData sheetId="10122" refreshError="1"/>
      <sheetData sheetId="10123" refreshError="1"/>
      <sheetData sheetId="10124" refreshError="1"/>
      <sheetData sheetId="10125" refreshError="1"/>
      <sheetData sheetId="10126" refreshError="1"/>
      <sheetData sheetId="10127" refreshError="1"/>
      <sheetData sheetId="10128" refreshError="1"/>
      <sheetData sheetId="10129" refreshError="1"/>
      <sheetData sheetId="10130" refreshError="1"/>
      <sheetData sheetId="10131" refreshError="1"/>
      <sheetData sheetId="10132" refreshError="1"/>
      <sheetData sheetId="10133" refreshError="1"/>
      <sheetData sheetId="10134" refreshError="1"/>
      <sheetData sheetId="10135" refreshError="1"/>
      <sheetData sheetId="10136" refreshError="1"/>
      <sheetData sheetId="10137" refreshError="1"/>
      <sheetData sheetId="10138" refreshError="1"/>
      <sheetData sheetId="10139" refreshError="1"/>
      <sheetData sheetId="10140" refreshError="1"/>
      <sheetData sheetId="10141" refreshError="1"/>
      <sheetData sheetId="10142" refreshError="1"/>
      <sheetData sheetId="10143" refreshError="1"/>
      <sheetData sheetId="10144" refreshError="1"/>
      <sheetData sheetId="10145" refreshError="1"/>
      <sheetData sheetId="10146" refreshError="1"/>
      <sheetData sheetId="10147" refreshError="1"/>
      <sheetData sheetId="10148" refreshError="1"/>
      <sheetData sheetId="10149" refreshError="1"/>
      <sheetData sheetId="10150" refreshError="1"/>
      <sheetData sheetId="10151" refreshError="1"/>
      <sheetData sheetId="10152" refreshError="1"/>
      <sheetData sheetId="10153" refreshError="1"/>
      <sheetData sheetId="10154" refreshError="1"/>
      <sheetData sheetId="10155" refreshError="1"/>
      <sheetData sheetId="10156" refreshError="1"/>
      <sheetData sheetId="10157" refreshError="1"/>
      <sheetData sheetId="10158" refreshError="1"/>
      <sheetData sheetId="10159" refreshError="1"/>
      <sheetData sheetId="10160" refreshError="1"/>
      <sheetData sheetId="10161" refreshError="1"/>
      <sheetData sheetId="10162" refreshError="1"/>
      <sheetData sheetId="10163" refreshError="1"/>
      <sheetData sheetId="10164" refreshError="1"/>
      <sheetData sheetId="10165" refreshError="1"/>
      <sheetData sheetId="10166" refreshError="1"/>
      <sheetData sheetId="10167" refreshError="1"/>
      <sheetData sheetId="10168" refreshError="1"/>
      <sheetData sheetId="10169" refreshError="1"/>
      <sheetData sheetId="10170" refreshError="1"/>
      <sheetData sheetId="10171" refreshError="1"/>
      <sheetData sheetId="10172" refreshError="1"/>
      <sheetData sheetId="10173" refreshError="1"/>
      <sheetData sheetId="10174" refreshError="1"/>
      <sheetData sheetId="10175" refreshError="1"/>
      <sheetData sheetId="10176" refreshError="1"/>
      <sheetData sheetId="10177" refreshError="1"/>
      <sheetData sheetId="10178" refreshError="1"/>
      <sheetData sheetId="10179" refreshError="1"/>
      <sheetData sheetId="10180" refreshError="1"/>
      <sheetData sheetId="10181" refreshError="1"/>
      <sheetData sheetId="10182" refreshError="1"/>
      <sheetData sheetId="10183" refreshError="1"/>
      <sheetData sheetId="10184" refreshError="1"/>
      <sheetData sheetId="10185" refreshError="1"/>
      <sheetData sheetId="10186" refreshError="1"/>
      <sheetData sheetId="10187" refreshError="1"/>
      <sheetData sheetId="10188" refreshError="1"/>
      <sheetData sheetId="10189" refreshError="1"/>
      <sheetData sheetId="10190" refreshError="1"/>
      <sheetData sheetId="10191" refreshError="1"/>
      <sheetData sheetId="10192" refreshError="1"/>
      <sheetData sheetId="10193" refreshError="1"/>
      <sheetData sheetId="10194" refreshError="1"/>
      <sheetData sheetId="10195" refreshError="1"/>
      <sheetData sheetId="10196" refreshError="1"/>
      <sheetData sheetId="10197" refreshError="1"/>
      <sheetData sheetId="10198" refreshError="1"/>
      <sheetData sheetId="10199" refreshError="1"/>
      <sheetData sheetId="10200" refreshError="1"/>
      <sheetData sheetId="10201" refreshError="1"/>
      <sheetData sheetId="10202" refreshError="1"/>
      <sheetData sheetId="10203" refreshError="1"/>
      <sheetData sheetId="10204" refreshError="1"/>
      <sheetData sheetId="10205" refreshError="1"/>
      <sheetData sheetId="10206" refreshError="1"/>
      <sheetData sheetId="10207" refreshError="1"/>
      <sheetData sheetId="10208" refreshError="1"/>
      <sheetData sheetId="10209" refreshError="1"/>
      <sheetData sheetId="10210" refreshError="1"/>
      <sheetData sheetId="10211" refreshError="1"/>
      <sheetData sheetId="10212" refreshError="1"/>
      <sheetData sheetId="10213" refreshError="1"/>
      <sheetData sheetId="10214" refreshError="1"/>
      <sheetData sheetId="10215" refreshError="1"/>
      <sheetData sheetId="10216" refreshError="1"/>
      <sheetData sheetId="10217" refreshError="1"/>
      <sheetData sheetId="10218" refreshError="1"/>
      <sheetData sheetId="10219" refreshError="1"/>
      <sheetData sheetId="10220" refreshError="1"/>
      <sheetData sheetId="10221" refreshError="1"/>
      <sheetData sheetId="10222" refreshError="1"/>
      <sheetData sheetId="10223" refreshError="1"/>
      <sheetData sheetId="10224" refreshError="1"/>
      <sheetData sheetId="10225" refreshError="1"/>
      <sheetData sheetId="10226" refreshError="1"/>
      <sheetData sheetId="10227" refreshError="1"/>
      <sheetData sheetId="10228" refreshError="1"/>
      <sheetData sheetId="10229" refreshError="1"/>
      <sheetData sheetId="10230" refreshError="1"/>
      <sheetData sheetId="10231" refreshError="1"/>
      <sheetData sheetId="10232" refreshError="1"/>
      <sheetData sheetId="10233" refreshError="1"/>
      <sheetData sheetId="10234" refreshError="1"/>
      <sheetData sheetId="10235" refreshError="1"/>
      <sheetData sheetId="10236" refreshError="1"/>
      <sheetData sheetId="10237" refreshError="1"/>
      <sheetData sheetId="10238" refreshError="1"/>
      <sheetData sheetId="10239" refreshError="1"/>
      <sheetData sheetId="10240" refreshError="1"/>
      <sheetData sheetId="10241" refreshError="1"/>
      <sheetData sheetId="10242" refreshError="1"/>
      <sheetData sheetId="10243" refreshError="1"/>
      <sheetData sheetId="10244" refreshError="1"/>
      <sheetData sheetId="10245" refreshError="1"/>
      <sheetData sheetId="10246" refreshError="1"/>
      <sheetData sheetId="10247" refreshError="1"/>
      <sheetData sheetId="10248" refreshError="1"/>
      <sheetData sheetId="10249" refreshError="1"/>
      <sheetData sheetId="10250" refreshError="1"/>
      <sheetData sheetId="10251" refreshError="1"/>
      <sheetData sheetId="10252" refreshError="1"/>
      <sheetData sheetId="10253" refreshError="1"/>
      <sheetData sheetId="10254" refreshError="1"/>
      <sheetData sheetId="10255" refreshError="1"/>
      <sheetData sheetId="10256" refreshError="1"/>
      <sheetData sheetId="10257" refreshError="1"/>
      <sheetData sheetId="10258"/>
      <sheetData sheetId="10259"/>
      <sheetData sheetId="10260"/>
      <sheetData sheetId="10261"/>
      <sheetData sheetId="10262"/>
      <sheetData sheetId="10263"/>
      <sheetData sheetId="10264"/>
      <sheetData sheetId="10265"/>
      <sheetData sheetId="10266"/>
      <sheetData sheetId="10267"/>
      <sheetData sheetId="10268"/>
      <sheetData sheetId="10269"/>
      <sheetData sheetId="10270"/>
      <sheetData sheetId="10271"/>
      <sheetData sheetId="10272"/>
      <sheetData sheetId="10273"/>
      <sheetData sheetId="10274"/>
      <sheetData sheetId="10275"/>
      <sheetData sheetId="10276"/>
      <sheetData sheetId="10277"/>
      <sheetData sheetId="10278"/>
      <sheetData sheetId="10279"/>
      <sheetData sheetId="10280"/>
      <sheetData sheetId="10281"/>
      <sheetData sheetId="10282"/>
      <sheetData sheetId="10283"/>
      <sheetData sheetId="10284"/>
      <sheetData sheetId="10285"/>
      <sheetData sheetId="10286"/>
      <sheetData sheetId="10287"/>
      <sheetData sheetId="10288"/>
      <sheetData sheetId="10289"/>
      <sheetData sheetId="10290"/>
      <sheetData sheetId="10291"/>
      <sheetData sheetId="10292"/>
      <sheetData sheetId="10293"/>
      <sheetData sheetId="10294"/>
      <sheetData sheetId="10295"/>
      <sheetData sheetId="10296"/>
      <sheetData sheetId="10297"/>
      <sheetData sheetId="10298"/>
      <sheetData sheetId="10299"/>
      <sheetData sheetId="10300"/>
      <sheetData sheetId="10301"/>
      <sheetData sheetId="10302"/>
      <sheetData sheetId="10303"/>
      <sheetData sheetId="10304"/>
      <sheetData sheetId="10305"/>
      <sheetData sheetId="10306" refreshError="1"/>
      <sheetData sheetId="10307" refreshError="1"/>
      <sheetData sheetId="10308" refreshError="1"/>
      <sheetData sheetId="10309" refreshError="1"/>
      <sheetData sheetId="10310" refreshError="1"/>
      <sheetData sheetId="10311" refreshError="1"/>
      <sheetData sheetId="10312" refreshError="1"/>
      <sheetData sheetId="10313" refreshError="1"/>
      <sheetData sheetId="10314" refreshError="1"/>
      <sheetData sheetId="10315" refreshError="1"/>
      <sheetData sheetId="10316" refreshError="1"/>
      <sheetData sheetId="10317" refreshError="1"/>
      <sheetData sheetId="10318" refreshError="1"/>
      <sheetData sheetId="10319" refreshError="1"/>
      <sheetData sheetId="10320" refreshError="1"/>
      <sheetData sheetId="10321" refreshError="1"/>
      <sheetData sheetId="10322" refreshError="1"/>
      <sheetData sheetId="10323" refreshError="1"/>
      <sheetData sheetId="10324" refreshError="1"/>
      <sheetData sheetId="10325"/>
      <sheetData sheetId="10326"/>
      <sheetData sheetId="10327"/>
      <sheetData sheetId="10328"/>
      <sheetData sheetId="10329"/>
      <sheetData sheetId="10330"/>
      <sheetData sheetId="10331"/>
      <sheetData sheetId="10332"/>
      <sheetData sheetId="10333"/>
      <sheetData sheetId="10334"/>
      <sheetData sheetId="10335"/>
      <sheetData sheetId="10336"/>
      <sheetData sheetId="10337"/>
      <sheetData sheetId="10338"/>
      <sheetData sheetId="10339"/>
      <sheetData sheetId="10340"/>
      <sheetData sheetId="10341"/>
      <sheetData sheetId="10342"/>
      <sheetData sheetId="10343"/>
      <sheetData sheetId="10344"/>
      <sheetData sheetId="10345"/>
      <sheetData sheetId="10346"/>
      <sheetData sheetId="10347"/>
      <sheetData sheetId="10348"/>
      <sheetData sheetId="10349"/>
      <sheetData sheetId="10350"/>
      <sheetData sheetId="10351"/>
      <sheetData sheetId="10352"/>
      <sheetData sheetId="10353"/>
      <sheetData sheetId="10354"/>
      <sheetData sheetId="10355"/>
      <sheetData sheetId="10356"/>
      <sheetData sheetId="10357"/>
      <sheetData sheetId="10358"/>
      <sheetData sheetId="10359"/>
      <sheetData sheetId="10360"/>
      <sheetData sheetId="10361"/>
      <sheetData sheetId="10362"/>
      <sheetData sheetId="10363"/>
      <sheetData sheetId="10364"/>
      <sheetData sheetId="10365"/>
      <sheetData sheetId="10366"/>
      <sheetData sheetId="10367"/>
      <sheetData sheetId="10368"/>
      <sheetData sheetId="10369"/>
      <sheetData sheetId="10370"/>
      <sheetData sheetId="10371"/>
      <sheetData sheetId="10372"/>
      <sheetData sheetId="10373"/>
      <sheetData sheetId="10374" refreshError="1"/>
      <sheetData sheetId="10375" refreshError="1"/>
      <sheetData sheetId="10376" refreshError="1"/>
      <sheetData sheetId="10377" refreshError="1"/>
      <sheetData sheetId="10378" refreshError="1"/>
      <sheetData sheetId="10379" refreshError="1"/>
      <sheetData sheetId="10380" refreshError="1"/>
      <sheetData sheetId="10381" refreshError="1"/>
      <sheetData sheetId="10382" refreshError="1"/>
      <sheetData sheetId="10383" refreshError="1"/>
      <sheetData sheetId="10384" refreshError="1"/>
      <sheetData sheetId="10385" refreshError="1"/>
      <sheetData sheetId="10386" refreshError="1"/>
      <sheetData sheetId="10387" refreshError="1"/>
      <sheetData sheetId="10388">
        <row r="71">
          <cell r="G71">
            <v>227</v>
          </cell>
        </row>
      </sheetData>
      <sheetData sheetId="10389"/>
      <sheetData sheetId="10390"/>
      <sheetData sheetId="10391"/>
      <sheetData sheetId="10392"/>
      <sheetData sheetId="10393"/>
      <sheetData sheetId="10394"/>
      <sheetData sheetId="10395"/>
      <sheetData sheetId="10396"/>
      <sheetData sheetId="10397"/>
      <sheetData sheetId="10398"/>
      <sheetData sheetId="10399"/>
      <sheetData sheetId="10400"/>
      <sheetData sheetId="10401"/>
      <sheetData sheetId="10402"/>
      <sheetData sheetId="10403"/>
      <sheetData sheetId="10404"/>
      <sheetData sheetId="10405"/>
      <sheetData sheetId="10406"/>
      <sheetData sheetId="10407"/>
      <sheetData sheetId="10408"/>
      <sheetData sheetId="10409"/>
      <sheetData sheetId="10410"/>
      <sheetData sheetId="10411"/>
      <sheetData sheetId="10412"/>
      <sheetData sheetId="10413"/>
      <sheetData sheetId="10414"/>
      <sheetData sheetId="10415"/>
      <sheetData sheetId="10416"/>
      <sheetData sheetId="10417"/>
      <sheetData sheetId="10418"/>
      <sheetData sheetId="10419" refreshError="1"/>
      <sheetData sheetId="10420" refreshError="1"/>
      <sheetData sheetId="10421" refreshError="1"/>
      <sheetData sheetId="10422" refreshError="1"/>
      <sheetData sheetId="10423" refreshError="1"/>
      <sheetData sheetId="10424" refreshError="1"/>
      <sheetData sheetId="10425" refreshError="1"/>
      <sheetData sheetId="10426" refreshError="1"/>
      <sheetData sheetId="10427" refreshError="1"/>
      <sheetData sheetId="10428" refreshError="1"/>
      <sheetData sheetId="10429" refreshError="1"/>
      <sheetData sheetId="10430" refreshError="1"/>
      <sheetData sheetId="10431" refreshError="1"/>
      <sheetData sheetId="10432" refreshError="1"/>
      <sheetData sheetId="10433" refreshError="1"/>
      <sheetData sheetId="10434" refreshError="1"/>
      <sheetData sheetId="10435" refreshError="1"/>
      <sheetData sheetId="10436" refreshError="1"/>
      <sheetData sheetId="10437" refreshError="1"/>
      <sheetData sheetId="10438" refreshError="1"/>
      <sheetData sheetId="10439" refreshError="1"/>
      <sheetData sheetId="10440" refreshError="1"/>
      <sheetData sheetId="10441" refreshError="1"/>
      <sheetData sheetId="10442" refreshError="1"/>
      <sheetData sheetId="10443" refreshError="1"/>
      <sheetData sheetId="10444" refreshError="1"/>
      <sheetData sheetId="10445" refreshError="1"/>
      <sheetData sheetId="10446" refreshError="1"/>
      <sheetData sheetId="10447" refreshError="1"/>
      <sheetData sheetId="10448" refreshError="1"/>
      <sheetData sheetId="10449" refreshError="1"/>
      <sheetData sheetId="10450" refreshError="1"/>
      <sheetData sheetId="10451" refreshError="1"/>
      <sheetData sheetId="10452" refreshError="1"/>
      <sheetData sheetId="10453" refreshError="1"/>
      <sheetData sheetId="10454" refreshError="1"/>
      <sheetData sheetId="10455" refreshError="1"/>
      <sheetData sheetId="10456" refreshError="1"/>
      <sheetData sheetId="10457" refreshError="1"/>
      <sheetData sheetId="10458" refreshError="1"/>
      <sheetData sheetId="10459" refreshError="1"/>
      <sheetData sheetId="10460" refreshError="1"/>
      <sheetData sheetId="10461" refreshError="1"/>
      <sheetData sheetId="10462" refreshError="1"/>
      <sheetData sheetId="10463" refreshError="1"/>
      <sheetData sheetId="10464" refreshError="1"/>
      <sheetData sheetId="10465" refreshError="1"/>
      <sheetData sheetId="10466" refreshError="1"/>
      <sheetData sheetId="10467" refreshError="1"/>
      <sheetData sheetId="10468" refreshError="1"/>
      <sheetData sheetId="10469" refreshError="1"/>
      <sheetData sheetId="10470" refreshError="1"/>
      <sheetData sheetId="10471" refreshError="1"/>
      <sheetData sheetId="10472" refreshError="1"/>
      <sheetData sheetId="10473" refreshError="1"/>
      <sheetData sheetId="10474" refreshError="1"/>
      <sheetData sheetId="10475" refreshError="1"/>
      <sheetData sheetId="10476" refreshError="1"/>
      <sheetData sheetId="10477" refreshError="1"/>
      <sheetData sheetId="10478" refreshError="1"/>
      <sheetData sheetId="10479" refreshError="1"/>
      <sheetData sheetId="10480" refreshError="1"/>
      <sheetData sheetId="10481" refreshError="1"/>
      <sheetData sheetId="10482" refreshError="1"/>
      <sheetData sheetId="10483" refreshError="1"/>
      <sheetData sheetId="10484" refreshError="1"/>
      <sheetData sheetId="10485" refreshError="1"/>
      <sheetData sheetId="10486" refreshError="1"/>
      <sheetData sheetId="10487" refreshError="1"/>
      <sheetData sheetId="10488" refreshError="1"/>
      <sheetData sheetId="10489" refreshError="1"/>
      <sheetData sheetId="10490" refreshError="1"/>
      <sheetData sheetId="10491" refreshError="1"/>
      <sheetData sheetId="10492" refreshError="1"/>
      <sheetData sheetId="10493" refreshError="1"/>
      <sheetData sheetId="10494" refreshError="1"/>
      <sheetData sheetId="10495" refreshError="1"/>
      <sheetData sheetId="10496" refreshError="1"/>
      <sheetData sheetId="10497" refreshError="1"/>
      <sheetData sheetId="10498" refreshError="1"/>
      <sheetData sheetId="10499" refreshError="1"/>
      <sheetData sheetId="10500" refreshError="1"/>
      <sheetData sheetId="10501" refreshError="1"/>
      <sheetData sheetId="10502" refreshError="1"/>
      <sheetData sheetId="10503" refreshError="1"/>
      <sheetData sheetId="10504" refreshError="1"/>
      <sheetData sheetId="10505" refreshError="1"/>
      <sheetData sheetId="10506" refreshError="1"/>
      <sheetData sheetId="10507" refreshError="1"/>
      <sheetData sheetId="10508" refreshError="1"/>
      <sheetData sheetId="10509" refreshError="1"/>
      <sheetData sheetId="10510" refreshError="1"/>
      <sheetData sheetId="10511" refreshError="1"/>
      <sheetData sheetId="10512" refreshError="1"/>
      <sheetData sheetId="10513" refreshError="1"/>
      <sheetData sheetId="10514" refreshError="1"/>
      <sheetData sheetId="10515" refreshError="1"/>
      <sheetData sheetId="10516" refreshError="1"/>
      <sheetData sheetId="10517" refreshError="1"/>
      <sheetData sheetId="10518" refreshError="1"/>
      <sheetData sheetId="10519" refreshError="1"/>
      <sheetData sheetId="10520" refreshError="1"/>
      <sheetData sheetId="10521" refreshError="1"/>
      <sheetData sheetId="10522" refreshError="1"/>
      <sheetData sheetId="10523" refreshError="1"/>
      <sheetData sheetId="10524" refreshError="1"/>
      <sheetData sheetId="10525" refreshError="1"/>
      <sheetData sheetId="10526" refreshError="1"/>
      <sheetData sheetId="10527" refreshError="1"/>
      <sheetData sheetId="10528" refreshError="1"/>
      <sheetData sheetId="10529" refreshError="1"/>
      <sheetData sheetId="10530" refreshError="1"/>
      <sheetData sheetId="10531" refreshError="1"/>
      <sheetData sheetId="10532" refreshError="1"/>
      <sheetData sheetId="10533" refreshError="1"/>
      <sheetData sheetId="10534" refreshError="1"/>
      <sheetData sheetId="10535" refreshError="1"/>
      <sheetData sheetId="10536" refreshError="1"/>
      <sheetData sheetId="10537" refreshError="1"/>
      <sheetData sheetId="10538" refreshError="1"/>
      <sheetData sheetId="10539" refreshError="1"/>
      <sheetData sheetId="10540" refreshError="1"/>
      <sheetData sheetId="10541" refreshError="1"/>
      <sheetData sheetId="10542" refreshError="1"/>
      <sheetData sheetId="10543" refreshError="1"/>
      <sheetData sheetId="10544" refreshError="1"/>
      <sheetData sheetId="10545" refreshError="1"/>
      <sheetData sheetId="10546" refreshError="1"/>
      <sheetData sheetId="10547" refreshError="1"/>
      <sheetData sheetId="10548" refreshError="1"/>
      <sheetData sheetId="10549" refreshError="1"/>
      <sheetData sheetId="10550" refreshError="1"/>
      <sheetData sheetId="10551" refreshError="1"/>
      <sheetData sheetId="10552" refreshError="1"/>
      <sheetData sheetId="10553" refreshError="1"/>
      <sheetData sheetId="10554"/>
      <sheetData sheetId="10555"/>
      <sheetData sheetId="10556"/>
      <sheetData sheetId="10557"/>
      <sheetData sheetId="10558"/>
      <sheetData sheetId="10559"/>
      <sheetData sheetId="10560"/>
      <sheetData sheetId="10561"/>
      <sheetData sheetId="10562"/>
      <sheetData sheetId="10563"/>
      <sheetData sheetId="10564"/>
      <sheetData sheetId="10565"/>
      <sheetData sheetId="10566"/>
      <sheetData sheetId="10567" refreshError="1"/>
      <sheetData sheetId="10568" refreshError="1"/>
      <sheetData sheetId="10569" refreshError="1"/>
      <sheetData sheetId="10570" refreshError="1"/>
      <sheetData sheetId="10571" refreshError="1"/>
      <sheetData sheetId="10572" refreshError="1"/>
      <sheetData sheetId="10573" refreshError="1"/>
      <sheetData sheetId="10574" refreshError="1"/>
      <sheetData sheetId="10575" refreshError="1"/>
      <sheetData sheetId="10576" refreshError="1"/>
      <sheetData sheetId="10577" refreshError="1"/>
      <sheetData sheetId="10578" refreshError="1"/>
      <sheetData sheetId="10579" refreshError="1"/>
      <sheetData sheetId="10580" refreshError="1"/>
      <sheetData sheetId="10581" refreshError="1"/>
      <sheetData sheetId="10582" refreshError="1"/>
      <sheetData sheetId="10583" refreshError="1"/>
      <sheetData sheetId="10584" refreshError="1"/>
      <sheetData sheetId="10585" refreshError="1"/>
      <sheetData sheetId="10586"/>
      <sheetData sheetId="10587" refreshError="1"/>
      <sheetData sheetId="10588" refreshError="1"/>
      <sheetData sheetId="10589" refreshError="1"/>
      <sheetData sheetId="10590" refreshError="1"/>
      <sheetData sheetId="10591" refreshError="1"/>
      <sheetData sheetId="10592" refreshError="1"/>
      <sheetData sheetId="10593" refreshError="1"/>
      <sheetData sheetId="10594" refreshError="1"/>
      <sheetData sheetId="10595" refreshError="1"/>
      <sheetData sheetId="10596" refreshError="1"/>
      <sheetData sheetId="10597" refreshError="1"/>
      <sheetData sheetId="10598" refreshError="1"/>
      <sheetData sheetId="10599" refreshError="1"/>
      <sheetData sheetId="10600" refreshError="1"/>
      <sheetData sheetId="10601" refreshError="1"/>
      <sheetData sheetId="10602" refreshError="1"/>
      <sheetData sheetId="10603" refreshError="1"/>
      <sheetData sheetId="10604" refreshError="1"/>
      <sheetData sheetId="10605" refreshError="1"/>
      <sheetData sheetId="10606" refreshError="1"/>
      <sheetData sheetId="10607" refreshError="1"/>
      <sheetData sheetId="10608" refreshError="1"/>
      <sheetData sheetId="10609" refreshError="1"/>
      <sheetData sheetId="10610" refreshError="1"/>
      <sheetData sheetId="10611" refreshError="1"/>
      <sheetData sheetId="10612" refreshError="1"/>
      <sheetData sheetId="10613" refreshError="1"/>
      <sheetData sheetId="10614" refreshError="1"/>
      <sheetData sheetId="10615" refreshError="1"/>
      <sheetData sheetId="10616" refreshError="1"/>
      <sheetData sheetId="10617" refreshError="1"/>
      <sheetData sheetId="10618" refreshError="1"/>
      <sheetData sheetId="10619" refreshError="1"/>
      <sheetData sheetId="10620" refreshError="1"/>
      <sheetData sheetId="10621" refreshError="1"/>
      <sheetData sheetId="10622" refreshError="1"/>
      <sheetData sheetId="10623" refreshError="1"/>
      <sheetData sheetId="10624" refreshError="1"/>
      <sheetData sheetId="10625" refreshError="1"/>
      <sheetData sheetId="10626" refreshError="1"/>
      <sheetData sheetId="10627" refreshError="1"/>
      <sheetData sheetId="10628" refreshError="1"/>
      <sheetData sheetId="10629" refreshError="1"/>
      <sheetData sheetId="10630" refreshError="1"/>
      <sheetData sheetId="10631" refreshError="1"/>
      <sheetData sheetId="10632" refreshError="1"/>
      <sheetData sheetId="10633" refreshError="1"/>
      <sheetData sheetId="10634"/>
      <sheetData sheetId="10635"/>
      <sheetData sheetId="10636"/>
      <sheetData sheetId="10637"/>
      <sheetData sheetId="10638"/>
      <sheetData sheetId="10639"/>
      <sheetData sheetId="10640"/>
      <sheetData sheetId="10641"/>
      <sheetData sheetId="10642"/>
      <sheetData sheetId="10643"/>
      <sheetData sheetId="10644"/>
      <sheetData sheetId="10645"/>
      <sheetData sheetId="10646"/>
      <sheetData sheetId="10647"/>
      <sheetData sheetId="10648"/>
      <sheetData sheetId="10649"/>
      <sheetData sheetId="10650"/>
      <sheetData sheetId="10651"/>
      <sheetData sheetId="10652"/>
      <sheetData sheetId="10653"/>
      <sheetData sheetId="10654"/>
      <sheetData sheetId="10655"/>
      <sheetData sheetId="10656"/>
      <sheetData sheetId="10657"/>
      <sheetData sheetId="10658"/>
      <sheetData sheetId="10659"/>
      <sheetData sheetId="10660"/>
      <sheetData sheetId="10661"/>
      <sheetData sheetId="10662"/>
      <sheetData sheetId="10663"/>
      <sheetData sheetId="10664"/>
      <sheetData sheetId="10665"/>
      <sheetData sheetId="10666"/>
      <sheetData sheetId="10667"/>
      <sheetData sheetId="10668"/>
      <sheetData sheetId="10669"/>
      <sheetData sheetId="10670"/>
      <sheetData sheetId="10671"/>
      <sheetData sheetId="10672"/>
      <sheetData sheetId="10673"/>
      <sheetData sheetId="10674"/>
      <sheetData sheetId="10675"/>
      <sheetData sheetId="10676"/>
      <sheetData sheetId="10677"/>
      <sheetData sheetId="10678"/>
      <sheetData sheetId="10679"/>
      <sheetData sheetId="10680"/>
      <sheetData sheetId="10681" refreshError="1"/>
      <sheetData sheetId="10682" refreshError="1"/>
      <sheetData sheetId="10683" refreshError="1"/>
      <sheetData sheetId="10684" refreshError="1"/>
      <sheetData sheetId="10685" refreshError="1"/>
      <sheetData sheetId="10686" refreshError="1"/>
      <sheetData sheetId="10687" refreshError="1"/>
      <sheetData sheetId="10688"/>
      <sheetData sheetId="10689" refreshError="1"/>
      <sheetData sheetId="10690" refreshError="1"/>
      <sheetData sheetId="10691" refreshError="1"/>
      <sheetData sheetId="10692" refreshError="1"/>
      <sheetData sheetId="10693" refreshError="1"/>
      <sheetData sheetId="10694" refreshError="1"/>
      <sheetData sheetId="10695" refreshError="1"/>
      <sheetData sheetId="10696" refreshError="1"/>
      <sheetData sheetId="10697" refreshError="1"/>
      <sheetData sheetId="10698" refreshError="1"/>
      <sheetData sheetId="10699"/>
      <sheetData sheetId="10700"/>
      <sheetData sheetId="10701"/>
      <sheetData sheetId="10702"/>
      <sheetData sheetId="10703"/>
      <sheetData sheetId="10704"/>
      <sheetData sheetId="10705"/>
      <sheetData sheetId="10706"/>
      <sheetData sheetId="10707"/>
      <sheetData sheetId="10708"/>
      <sheetData sheetId="10709"/>
      <sheetData sheetId="10710"/>
      <sheetData sheetId="10711"/>
      <sheetData sheetId="10712"/>
      <sheetData sheetId="10713"/>
      <sheetData sheetId="10714"/>
      <sheetData sheetId="10715"/>
      <sheetData sheetId="10716"/>
      <sheetData sheetId="10717"/>
      <sheetData sheetId="10718"/>
      <sheetData sheetId="10719"/>
      <sheetData sheetId="10720"/>
      <sheetData sheetId="10721"/>
      <sheetData sheetId="10722"/>
      <sheetData sheetId="10723"/>
      <sheetData sheetId="10724"/>
      <sheetData sheetId="10725"/>
      <sheetData sheetId="10726"/>
      <sheetData sheetId="10727"/>
      <sheetData sheetId="10728"/>
      <sheetData sheetId="10729"/>
      <sheetData sheetId="10730"/>
      <sheetData sheetId="10731"/>
      <sheetData sheetId="10732"/>
      <sheetData sheetId="10733" refreshError="1"/>
      <sheetData sheetId="10734"/>
      <sheetData sheetId="10735"/>
      <sheetData sheetId="10736"/>
      <sheetData sheetId="10737"/>
      <sheetData sheetId="10738"/>
      <sheetData sheetId="10739"/>
      <sheetData sheetId="10740"/>
      <sheetData sheetId="10741" refreshError="1"/>
      <sheetData sheetId="10742"/>
      <sheetData sheetId="10743"/>
      <sheetData sheetId="10744" refreshError="1"/>
      <sheetData sheetId="10745" refreshError="1"/>
      <sheetData sheetId="10746" refreshError="1"/>
      <sheetData sheetId="10747" refreshError="1"/>
      <sheetData sheetId="10748" refreshError="1"/>
      <sheetData sheetId="10749" refreshError="1"/>
      <sheetData sheetId="10750" refreshError="1"/>
      <sheetData sheetId="10751" refreshError="1"/>
      <sheetData sheetId="10752" refreshError="1"/>
      <sheetData sheetId="10753" refreshError="1"/>
      <sheetData sheetId="10754" refreshError="1"/>
      <sheetData sheetId="10755" refreshError="1"/>
      <sheetData sheetId="10756" refreshError="1"/>
      <sheetData sheetId="10757" refreshError="1"/>
      <sheetData sheetId="10758" refreshError="1"/>
      <sheetData sheetId="10759" refreshError="1"/>
      <sheetData sheetId="10760" refreshError="1"/>
      <sheetData sheetId="10761" refreshError="1"/>
      <sheetData sheetId="10762" refreshError="1"/>
      <sheetData sheetId="10763" refreshError="1"/>
      <sheetData sheetId="10764" refreshError="1"/>
      <sheetData sheetId="10765" refreshError="1"/>
      <sheetData sheetId="10766" refreshError="1"/>
      <sheetData sheetId="10767" refreshError="1"/>
      <sheetData sheetId="10768" refreshError="1"/>
      <sheetData sheetId="10769" refreshError="1"/>
      <sheetData sheetId="10770" refreshError="1"/>
      <sheetData sheetId="10771" refreshError="1"/>
      <sheetData sheetId="10772"/>
      <sheetData sheetId="10773"/>
      <sheetData sheetId="10774"/>
      <sheetData sheetId="10775"/>
      <sheetData sheetId="10776"/>
      <sheetData sheetId="10777"/>
      <sheetData sheetId="10778"/>
      <sheetData sheetId="10779"/>
      <sheetData sheetId="10780"/>
      <sheetData sheetId="10781"/>
      <sheetData sheetId="10782"/>
      <sheetData sheetId="10783"/>
      <sheetData sheetId="10784"/>
      <sheetData sheetId="10785"/>
      <sheetData sheetId="10786"/>
      <sheetData sheetId="10787"/>
      <sheetData sheetId="10788"/>
      <sheetData sheetId="10789"/>
      <sheetData sheetId="10790"/>
      <sheetData sheetId="10791"/>
      <sheetData sheetId="10792"/>
      <sheetData sheetId="10793"/>
      <sheetData sheetId="10794"/>
      <sheetData sheetId="10795"/>
      <sheetData sheetId="10796"/>
      <sheetData sheetId="10797"/>
      <sheetData sheetId="10798"/>
      <sheetData sheetId="10799"/>
      <sheetData sheetId="10800"/>
      <sheetData sheetId="10801"/>
      <sheetData sheetId="10802"/>
      <sheetData sheetId="10803"/>
      <sheetData sheetId="10804"/>
      <sheetData sheetId="10805"/>
      <sheetData sheetId="10806"/>
      <sheetData sheetId="10807"/>
      <sheetData sheetId="10808"/>
      <sheetData sheetId="10809"/>
      <sheetData sheetId="10810"/>
      <sheetData sheetId="10811"/>
      <sheetData sheetId="10812"/>
      <sheetData sheetId="10813"/>
      <sheetData sheetId="10814"/>
      <sheetData sheetId="10815"/>
      <sheetData sheetId="10816"/>
      <sheetData sheetId="10817"/>
      <sheetData sheetId="10818"/>
      <sheetData sheetId="10819"/>
      <sheetData sheetId="10820"/>
      <sheetData sheetId="10821"/>
      <sheetData sheetId="10822"/>
      <sheetData sheetId="10823"/>
      <sheetData sheetId="10824"/>
      <sheetData sheetId="10825"/>
      <sheetData sheetId="10826"/>
      <sheetData sheetId="10827"/>
      <sheetData sheetId="10828"/>
      <sheetData sheetId="10829"/>
      <sheetData sheetId="10830"/>
      <sheetData sheetId="10831"/>
      <sheetData sheetId="10832"/>
      <sheetData sheetId="10833"/>
      <sheetData sheetId="10834">
        <row r="3">
          <cell r="A3">
            <v>4.0999999999999996</v>
          </cell>
        </row>
      </sheetData>
      <sheetData sheetId="10835">
        <row r="3">
          <cell r="A3">
            <v>5.0999999999999996</v>
          </cell>
        </row>
      </sheetData>
      <sheetData sheetId="10836"/>
      <sheetData sheetId="10837"/>
      <sheetData sheetId="10838"/>
      <sheetData sheetId="10839">
        <row r="1">
          <cell r="A1" t="str">
            <v>MEZCLA PARA CONCRETOS</v>
          </cell>
        </row>
      </sheetData>
      <sheetData sheetId="10840"/>
      <sheetData sheetId="10841"/>
      <sheetData sheetId="10842"/>
      <sheetData sheetId="10843"/>
      <sheetData sheetId="10844">
        <row r="3">
          <cell r="C3" t="str">
            <v>ACOPLE ROSCADO P/ TUBERÍA  FLEX</v>
          </cell>
        </row>
      </sheetData>
      <sheetData sheetId="10845"/>
      <sheetData sheetId="10846"/>
      <sheetData sheetId="10847">
        <row r="3">
          <cell r="A3">
            <v>4.0999999999999996</v>
          </cell>
        </row>
      </sheetData>
      <sheetData sheetId="10848">
        <row r="3">
          <cell r="A3">
            <v>5.0999999999999996</v>
          </cell>
        </row>
      </sheetData>
      <sheetData sheetId="10849" refreshError="1"/>
      <sheetData sheetId="10850"/>
      <sheetData sheetId="10851">
        <row r="1">
          <cell r="A1" t="str">
            <v>MEZCLA PARA CONCRETOS</v>
          </cell>
        </row>
      </sheetData>
      <sheetData sheetId="10852"/>
      <sheetData sheetId="10853"/>
      <sheetData sheetId="10854"/>
      <sheetData sheetId="10855"/>
      <sheetData sheetId="10856">
        <row r="3">
          <cell r="C3" t="str">
            <v>ACOPLE ROSCADO P/ TUBERÍA  FLEX</v>
          </cell>
        </row>
      </sheetData>
      <sheetData sheetId="10857"/>
      <sheetData sheetId="10858"/>
      <sheetData sheetId="10859"/>
      <sheetData sheetId="10860"/>
      <sheetData sheetId="10861">
        <row r="7">
          <cell r="D7" t="str">
            <v>V/UNITARIO COSTO DIRECTO</v>
          </cell>
        </row>
      </sheetData>
      <sheetData sheetId="10862"/>
      <sheetData sheetId="10863">
        <row r="3">
          <cell r="C3" t="str">
            <v>ACOPLE ROSCADO P/ TUBERÍA  FLEX</v>
          </cell>
        </row>
      </sheetData>
      <sheetData sheetId="10864"/>
      <sheetData sheetId="10865"/>
      <sheetData sheetId="10866"/>
      <sheetData sheetId="10867"/>
      <sheetData sheetId="10868"/>
      <sheetData sheetId="10869"/>
      <sheetData sheetId="10870"/>
      <sheetData sheetId="10871">
        <row r="6">
          <cell r="B6">
            <v>38355</v>
          </cell>
        </row>
      </sheetData>
      <sheetData sheetId="10872"/>
      <sheetData sheetId="10873"/>
      <sheetData sheetId="10874"/>
      <sheetData sheetId="10875"/>
      <sheetData sheetId="10876"/>
      <sheetData sheetId="10877"/>
      <sheetData sheetId="10878"/>
      <sheetData sheetId="10879"/>
      <sheetData sheetId="10880"/>
      <sheetData sheetId="10881"/>
      <sheetData sheetId="10882"/>
      <sheetData sheetId="10883"/>
      <sheetData sheetId="10884"/>
      <sheetData sheetId="10885"/>
      <sheetData sheetId="10886"/>
      <sheetData sheetId="10887"/>
      <sheetData sheetId="10888"/>
      <sheetData sheetId="10889"/>
      <sheetData sheetId="10890">
        <row r="3">
          <cell r="A3">
            <v>4.0999999999999996</v>
          </cell>
        </row>
      </sheetData>
      <sheetData sheetId="10891">
        <row r="3">
          <cell r="A3">
            <v>5.0999999999999996</v>
          </cell>
        </row>
      </sheetData>
      <sheetData sheetId="10892"/>
      <sheetData sheetId="10893"/>
      <sheetData sheetId="10894"/>
      <sheetData sheetId="10895">
        <row r="1">
          <cell r="A1" t="str">
            <v>MEZCLA PARA CONCRETOS</v>
          </cell>
        </row>
      </sheetData>
      <sheetData sheetId="10896"/>
      <sheetData sheetId="10897"/>
      <sheetData sheetId="10898"/>
      <sheetData sheetId="10899"/>
      <sheetData sheetId="10900"/>
      <sheetData sheetId="10901"/>
      <sheetData sheetId="10902"/>
      <sheetData sheetId="10903"/>
      <sheetData sheetId="10904"/>
      <sheetData sheetId="10905">
        <row r="7">
          <cell r="D7" t="str">
            <v>V/UNITARIO COSTO DIRECTO</v>
          </cell>
        </row>
      </sheetData>
      <sheetData sheetId="10906"/>
      <sheetData sheetId="10907"/>
      <sheetData sheetId="10908"/>
      <sheetData sheetId="10909"/>
      <sheetData sheetId="10910"/>
      <sheetData sheetId="10911"/>
      <sheetData sheetId="10912"/>
      <sheetData sheetId="10913"/>
      <sheetData sheetId="10914"/>
      <sheetData sheetId="10915"/>
      <sheetData sheetId="10916"/>
      <sheetData sheetId="10917"/>
      <sheetData sheetId="10918"/>
      <sheetData sheetId="10919"/>
      <sheetData sheetId="10920"/>
      <sheetData sheetId="10921"/>
      <sheetData sheetId="10922"/>
      <sheetData sheetId="10923"/>
      <sheetData sheetId="10924"/>
      <sheetData sheetId="10925"/>
      <sheetData sheetId="10926"/>
      <sheetData sheetId="10927"/>
      <sheetData sheetId="10928"/>
      <sheetData sheetId="10929"/>
      <sheetData sheetId="10930"/>
      <sheetData sheetId="10931"/>
      <sheetData sheetId="10932"/>
      <sheetData sheetId="10933"/>
      <sheetData sheetId="10934" refreshError="1"/>
      <sheetData sheetId="10935" refreshError="1"/>
      <sheetData sheetId="10936" refreshError="1"/>
      <sheetData sheetId="10937" refreshError="1"/>
      <sheetData sheetId="10938" refreshError="1"/>
      <sheetData sheetId="10939" refreshError="1"/>
      <sheetData sheetId="10940" refreshError="1"/>
      <sheetData sheetId="10941" refreshError="1"/>
      <sheetData sheetId="10942" refreshError="1"/>
      <sheetData sheetId="10943" refreshError="1"/>
      <sheetData sheetId="10944" refreshError="1"/>
      <sheetData sheetId="10945" refreshError="1"/>
      <sheetData sheetId="10946" refreshError="1"/>
      <sheetData sheetId="10947" refreshError="1"/>
      <sheetData sheetId="10948" refreshError="1"/>
      <sheetData sheetId="10949" refreshError="1"/>
      <sheetData sheetId="10950" refreshError="1"/>
      <sheetData sheetId="10951" refreshError="1"/>
      <sheetData sheetId="10952" refreshError="1"/>
      <sheetData sheetId="10953" refreshError="1"/>
      <sheetData sheetId="10954" refreshError="1"/>
      <sheetData sheetId="10955" refreshError="1"/>
      <sheetData sheetId="10956" refreshError="1"/>
      <sheetData sheetId="10957" refreshError="1"/>
      <sheetData sheetId="10958" refreshError="1"/>
      <sheetData sheetId="10959" refreshError="1"/>
      <sheetData sheetId="10960" refreshError="1"/>
      <sheetData sheetId="10961" refreshError="1"/>
      <sheetData sheetId="10962" refreshError="1"/>
      <sheetData sheetId="10963" refreshError="1"/>
      <sheetData sheetId="10964" refreshError="1"/>
      <sheetData sheetId="10965" refreshError="1"/>
      <sheetData sheetId="10966" refreshError="1"/>
      <sheetData sheetId="10967" refreshError="1"/>
      <sheetData sheetId="10968" refreshError="1"/>
      <sheetData sheetId="10969" refreshError="1"/>
      <sheetData sheetId="10970" refreshError="1"/>
      <sheetData sheetId="10971" refreshError="1"/>
      <sheetData sheetId="10972" refreshError="1"/>
      <sheetData sheetId="10973" refreshError="1"/>
      <sheetData sheetId="10974" refreshError="1"/>
      <sheetData sheetId="10975" refreshError="1"/>
      <sheetData sheetId="10976" refreshError="1"/>
      <sheetData sheetId="10977" refreshError="1"/>
      <sheetData sheetId="10978" refreshError="1"/>
      <sheetData sheetId="10979" refreshError="1"/>
      <sheetData sheetId="10980" refreshError="1"/>
      <sheetData sheetId="10981" refreshError="1"/>
      <sheetData sheetId="10982" refreshError="1"/>
      <sheetData sheetId="10983" refreshError="1"/>
      <sheetData sheetId="10984" refreshError="1"/>
      <sheetData sheetId="10985" refreshError="1"/>
      <sheetData sheetId="10986" refreshError="1"/>
      <sheetData sheetId="10987" refreshError="1"/>
      <sheetData sheetId="10988" refreshError="1"/>
      <sheetData sheetId="10989" refreshError="1"/>
      <sheetData sheetId="10990" refreshError="1"/>
      <sheetData sheetId="10991" refreshError="1"/>
      <sheetData sheetId="10992" refreshError="1"/>
      <sheetData sheetId="10993" refreshError="1"/>
      <sheetData sheetId="10994" refreshError="1"/>
      <sheetData sheetId="10995" refreshError="1"/>
      <sheetData sheetId="10996" refreshError="1"/>
      <sheetData sheetId="10997" refreshError="1"/>
      <sheetData sheetId="10998" refreshError="1"/>
      <sheetData sheetId="10999" refreshError="1"/>
      <sheetData sheetId="11000" refreshError="1"/>
      <sheetData sheetId="11001" refreshError="1"/>
      <sheetData sheetId="11002" refreshError="1"/>
      <sheetData sheetId="11003" refreshError="1"/>
      <sheetData sheetId="11004" refreshError="1"/>
      <sheetData sheetId="11005" refreshError="1"/>
      <sheetData sheetId="11006" refreshError="1"/>
      <sheetData sheetId="11007" refreshError="1"/>
      <sheetData sheetId="11008" refreshError="1"/>
      <sheetData sheetId="11009" refreshError="1"/>
      <sheetData sheetId="11010" refreshError="1"/>
      <sheetData sheetId="11011" refreshError="1"/>
      <sheetData sheetId="11012" refreshError="1"/>
      <sheetData sheetId="11013" refreshError="1"/>
      <sheetData sheetId="11014" refreshError="1"/>
      <sheetData sheetId="11015" refreshError="1"/>
      <sheetData sheetId="11016" refreshError="1"/>
      <sheetData sheetId="11017" refreshError="1"/>
      <sheetData sheetId="11018" refreshError="1"/>
      <sheetData sheetId="11019" refreshError="1"/>
      <sheetData sheetId="11020" refreshError="1"/>
      <sheetData sheetId="11021" refreshError="1"/>
      <sheetData sheetId="11022" refreshError="1"/>
      <sheetData sheetId="11023" refreshError="1"/>
      <sheetData sheetId="11024" refreshError="1"/>
      <sheetData sheetId="11025" refreshError="1"/>
      <sheetData sheetId="11026" refreshError="1"/>
      <sheetData sheetId="11027" refreshError="1"/>
      <sheetData sheetId="11028" refreshError="1"/>
      <sheetData sheetId="11029" refreshError="1"/>
      <sheetData sheetId="11030" refreshError="1"/>
      <sheetData sheetId="11031" refreshError="1"/>
      <sheetData sheetId="11032" refreshError="1"/>
      <sheetData sheetId="11033" refreshError="1"/>
      <sheetData sheetId="11034" refreshError="1"/>
      <sheetData sheetId="11035" refreshError="1"/>
      <sheetData sheetId="11036" refreshError="1"/>
      <sheetData sheetId="11037" refreshError="1"/>
      <sheetData sheetId="11038" refreshError="1"/>
      <sheetData sheetId="11039" refreshError="1"/>
      <sheetData sheetId="11040" refreshError="1"/>
      <sheetData sheetId="11041" refreshError="1"/>
      <sheetData sheetId="11042" refreshError="1"/>
      <sheetData sheetId="11043" refreshError="1"/>
      <sheetData sheetId="11044" refreshError="1"/>
      <sheetData sheetId="11045" refreshError="1"/>
      <sheetData sheetId="11046" refreshError="1"/>
      <sheetData sheetId="11047" refreshError="1"/>
      <sheetData sheetId="11048" refreshError="1"/>
      <sheetData sheetId="11049" refreshError="1"/>
      <sheetData sheetId="11050" refreshError="1"/>
      <sheetData sheetId="11051" refreshError="1"/>
      <sheetData sheetId="11052" refreshError="1"/>
      <sheetData sheetId="11053" refreshError="1"/>
      <sheetData sheetId="11054" refreshError="1"/>
      <sheetData sheetId="11055" refreshError="1"/>
      <sheetData sheetId="11056" refreshError="1"/>
      <sheetData sheetId="11057" refreshError="1"/>
      <sheetData sheetId="11058" refreshError="1"/>
      <sheetData sheetId="11059" refreshError="1"/>
      <sheetData sheetId="11060" refreshError="1"/>
      <sheetData sheetId="11061" refreshError="1"/>
      <sheetData sheetId="11062" refreshError="1"/>
      <sheetData sheetId="11063" refreshError="1"/>
      <sheetData sheetId="11064" refreshError="1"/>
      <sheetData sheetId="11065" refreshError="1"/>
      <sheetData sheetId="11066" refreshError="1"/>
      <sheetData sheetId="11067" refreshError="1"/>
      <sheetData sheetId="11068" refreshError="1"/>
      <sheetData sheetId="11069" refreshError="1"/>
      <sheetData sheetId="11070" refreshError="1"/>
      <sheetData sheetId="11071" refreshError="1"/>
      <sheetData sheetId="11072" refreshError="1"/>
      <sheetData sheetId="11073" refreshError="1"/>
      <sheetData sheetId="11074" refreshError="1"/>
      <sheetData sheetId="11075" refreshError="1"/>
      <sheetData sheetId="11076" refreshError="1"/>
      <sheetData sheetId="11077" refreshError="1"/>
      <sheetData sheetId="11078" refreshError="1"/>
      <sheetData sheetId="11079" refreshError="1"/>
      <sheetData sheetId="11080" refreshError="1"/>
      <sheetData sheetId="11081" refreshError="1"/>
      <sheetData sheetId="11082" refreshError="1"/>
      <sheetData sheetId="11083" refreshError="1"/>
      <sheetData sheetId="11084" refreshError="1"/>
      <sheetData sheetId="11085" refreshError="1"/>
      <sheetData sheetId="11086" refreshError="1"/>
      <sheetData sheetId="11087" refreshError="1"/>
      <sheetData sheetId="11088" refreshError="1"/>
      <sheetData sheetId="11089" refreshError="1"/>
      <sheetData sheetId="11090" refreshError="1"/>
      <sheetData sheetId="11091" refreshError="1"/>
      <sheetData sheetId="11092" refreshError="1"/>
      <sheetData sheetId="11093" refreshError="1"/>
      <sheetData sheetId="11094" refreshError="1"/>
      <sheetData sheetId="11095" refreshError="1"/>
      <sheetData sheetId="11096" refreshError="1"/>
      <sheetData sheetId="11097" refreshError="1"/>
      <sheetData sheetId="11098" refreshError="1"/>
      <sheetData sheetId="11099" refreshError="1"/>
      <sheetData sheetId="11100" refreshError="1"/>
      <sheetData sheetId="11101" refreshError="1"/>
      <sheetData sheetId="11102" refreshError="1"/>
      <sheetData sheetId="11103" refreshError="1"/>
      <sheetData sheetId="11104" refreshError="1"/>
      <sheetData sheetId="11105" refreshError="1"/>
      <sheetData sheetId="11106" refreshError="1"/>
      <sheetData sheetId="11107" refreshError="1"/>
      <sheetData sheetId="11108" refreshError="1"/>
      <sheetData sheetId="11109" refreshError="1"/>
      <sheetData sheetId="11110" refreshError="1"/>
      <sheetData sheetId="11111" refreshError="1"/>
      <sheetData sheetId="11112" refreshError="1"/>
      <sheetData sheetId="11113" refreshError="1"/>
      <sheetData sheetId="11114" refreshError="1"/>
      <sheetData sheetId="11115" refreshError="1"/>
      <sheetData sheetId="11116" refreshError="1"/>
      <sheetData sheetId="11117" refreshError="1"/>
      <sheetData sheetId="11118" refreshError="1"/>
      <sheetData sheetId="11119" refreshError="1"/>
      <sheetData sheetId="11120" refreshError="1"/>
      <sheetData sheetId="11121" refreshError="1"/>
      <sheetData sheetId="11122" refreshError="1"/>
      <sheetData sheetId="11123" refreshError="1"/>
      <sheetData sheetId="11124" refreshError="1"/>
      <sheetData sheetId="11125" refreshError="1"/>
      <sheetData sheetId="11126" refreshError="1"/>
      <sheetData sheetId="11127" refreshError="1"/>
      <sheetData sheetId="11128" refreshError="1"/>
      <sheetData sheetId="11129" refreshError="1"/>
      <sheetData sheetId="11130" refreshError="1"/>
      <sheetData sheetId="11131" refreshError="1"/>
      <sheetData sheetId="11132" refreshError="1"/>
      <sheetData sheetId="11133" refreshError="1"/>
      <sheetData sheetId="11134" refreshError="1"/>
      <sheetData sheetId="11135" refreshError="1"/>
      <sheetData sheetId="11136" refreshError="1"/>
      <sheetData sheetId="11137" refreshError="1"/>
      <sheetData sheetId="11138" refreshError="1"/>
      <sheetData sheetId="11139" refreshError="1"/>
      <sheetData sheetId="11140" refreshError="1"/>
      <sheetData sheetId="11141" refreshError="1"/>
      <sheetData sheetId="11142" refreshError="1"/>
      <sheetData sheetId="11143" refreshError="1"/>
      <sheetData sheetId="11144" refreshError="1"/>
      <sheetData sheetId="11145" refreshError="1"/>
      <sheetData sheetId="11146" refreshError="1"/>
      <sheetData sheetId="11147" refreshError="1"/>
      <sheetData sheetId="11148" refreshError="1"/>
      <sheetData sheetId="11149" refreshError="1"/>
      <sheetData sheetId="11150" refreshError="1"/>
      <sheetData sheetId="11151" refreshError="1"/>
      <sheetData sheetId="11152" refreshError="1"/>
      <sheetData sheetId="11153" refreshError="1"/>
      <sheetData sheetId="11154" refreshError="1"/>
      <sheetData sheetId="11155" refreshError="1"/>
      <sheetData sheetId="11156" refreshError="1"/>
      <sheetData sheetId="11157" refreshError="1"/>
      <sheetData sheetId="11158" refreshError="1"/>
      <sheetData sheetId="11159" refreshError="1"/>
      <sheetData sheetId="11160" refreshError="1"/>
      <sheetData sheetId="11161" refreshError="1"/>
      <sheetData sheetId="11162" refreshError="1"/>
      <sheetData sheetId="11163" refreshError="1"/>
      <sheetData sheetId="11164" refreshError="1"/>
      <sheetData sheetId="11165" refreshError="1"/>
      <sheetData sheetId="11166" refreshError="1"/>
      <sheetData sheetId="11167" refreshError="1"/>
      <sheetData sheetId="11168" refreshError="1"/>
      <sheetData sheetId="11169" refreshError="1"/>
      <sheetData sheetId="11170" refreshError="1"/>
      <sheetData sheetId="11171" refreshError="1"/>
      <sheetData sheetId="11172" refreshError="1"/>
      <sheetData sheetId="11173" refreshError="1"/>
      <sheetData sheetId="11174" refreshError="1"/>
      <sheetData sheetId="11175" refreshError="1"/>
      <sheetData sheetId="11176" refreshError="1"/>
      <sheetData sheetId="11177" refreshError="1"/>
      <sheetData sheetId="11178" refreshError="1"/>
      <sheetData sheetId="11179" refreshError="1"/>
      <sheetData sheetId="11180" refreshError="1"/>
      <sheetData sheetId="11181" refreshError="1"/>
      <sheetData sheetId="11182" refreshError="1"/>
      <sheetData sheetId="11183" refreshError="1"/>
      <sheetData sheetId="11184" refreshError="1"/>
      <sheetData sheetId="11185" refreshError="1"/>
      <sheetData sheetId="11186" refreshError="1"/>
      <sheetData sheetId="11187" refreshError="1"/>
      <sheetData sheetId="11188" refreshError="1"/>
      <sheetData sheetId="11189" refreshError="1"/>
      <sheetData sheetId="11190" refreshError="1"/>
      <sheetData sheetId="11191" refreshError="1"/>
      <sheetData sheetId="11192" refreshError="1"/>
      <sheetData sheetId="11193" refreshError="1"/>
      <sheetData sheetId="11194" refreshError="1"/>
      <sheetData sheetId="11195" refreshError="1"/>
      <sheetData sheetId="11196" refreshError="1"/>
      <sheetData sheetId="11197" refreshError="1"/>
      <sheetData sheetId="11198" refreshError="1"/>
      <sheetData sheetId="11199" refreshError="1"/>
      <sheetData sheetId="11200" refreshError="1"/>
      <sheetData sheetId="11201" refreshError="1"/>
      <sheetData sheetId="11202" refreshError="1"/>
      <sheetData sheetId="11203" refreshError="1"/>
      <sheetData sheetId="11204" refreshError="1"/>
      <sheetData sheetId="11205" refreshError="1"/>
      <sheetData sheetId="11206" refreshError="1"/>
      <sheetData sheetId="11207" refreshError="1"/>
      <sheetData sheetId="11208" refreshError="1"/>
      <sheetData sheetId="11209" refreshError="1"/>
      <sheetData sheetId="11210" refreshError="1"/>
      <sheetData sheetId="11211" refreshError="1"/>
      <sheetData sheetId="11212" refreshError="1"/>
      <sheetData sheetId="11213" refreshError="1"/>
      <sheetData sheetId="11214" refreshError="1"/>
      <sheetData sheetId="11215" refreshError="1"/>
      <sheetData sheetId="11216" refreshError="1"/>
      <sheetData sheetId="11217" refreshError="1"/>
      <sheetData sheetId="11218" refreshError="1"/>
      <sheetData sheetId="11219" refreshError="1"/>
      <sheetData sheetId="11220" refreshError="1"/>
      <sheetData sheetId="11221" refreshError="1"/>
      <sheetData sheetId="11222" refreshError="1"/>
      <sheetData sheetId="11223" refreshError="1"/>
      <sheetData sheetId="11224" refreshError="1"/>
      <sheetData sheetId="11225" refreshError="1"/>
      <sheetData sheetId="11226" refreshError="1"/>
      <sheetData sheetId="11227" refreshError="1"/>
      <sheetData sheetId="11228" refreshError="1"/>
      <sheetData sheetId="11229" refreshError="1"/>
      <sheetData sheetId="11230" refreshError="1"/>
      <sheetData sheetId="11231" refreshError="1"/>
      <sheetData sheetId="11232" refreshError="1"/>
      <sheetData sheetId="11233" refreshError="1"/>
      <sheetData sheetId="11234" refreshError="1"/>
      <sheetData sheetId="11235" refreshError="1"/>
      <sheetData sheetId="11236" refreshError="1"/>
      <sheetData sheetId="11237" refreshError="1"/>
      <sheetData sheetId="11238" refreshError="1"/>
      <sheetData sheetId="11239" refreshError="1"/>
      <sheetData sheetId="11240" refreshError="1"/>
      <sheetData sheetId="11241" refreshError="1"/>
      <sheetData sheetId="11242" refreshError="1"/>
      <sheetData sheetId="11243" refreshError="1"/>
      <sheetData sheetId="11244" refreshError="1"/>
      <sheetData sheetId="11245" refreshError="1"/>
      <sheetData sheetId="11246" refreshError="1"/>
      <sheetData sheetId="11247" refreshError="1"/>
      <sheetData sheetId="11248" refreshError="1"/>
      <sheetData sheetId="11249" refreshError="1"/>
      <sheetData sheetId="11250" refreshError="1"/>
      <sheetData sheetId="11251" refreshError="1"/>
      <sheetData sheetId="11252" refreshError="1"/>
      <sheetData sheetId="11253" refreshError="1"/>
      <sheetData sheetId="11254"/>
      <sheetData sheetId="11255"/>
      <sheetData sheetId="11256"/>
      <sheetData sheetId="11257"/>
      <sheetData sheetId="11258"/>
      <sheetData sheetId="11259"/>
      <sheetData sheetId="11260"/>
      <sheetData sheetId="11261"/>
      <sheetData sheetId="11262"/>
      <sheetData sheetId="11263"/>
      <sheetData sheetId="11264"/>
      <sheetData sheetId="11265"/>
      <sheetData sheetId="11266"/>
      <sheetData sheetId="11267"/>
      <sheetData sheetId="11268"/>
      <sheetData sheetId="11269"/>
      <sheetData sheetId="11270">
        <row r="4">
          <cell r="B4" t="str">
            <v xml:space="preserve"> Bisagra Pivotante </v>
          </cell>
        </row>
      </sheetData>
      <sheetData sheetId="11271"/>
      <sheetData sheetId="11272"/>
      <sheetData sheetId="11273"/>
      <sheetData sheetId="11274"/>
      <sheetData sheetId="11275"/>
      <sheetData sheetId="11276"/>
      <sheetData sheetId="11277"/>
      <sheetData sheetId="11278"/>
      <sheetData sheetId="11279"/>
      <sheetData sheetId="11280"/>
      <sheetData sheetId="11281"/>
      <sheetData sheetId="11282"/>
      <sheetData sheetId="11283"/>
      <sheetData sheetId="11284"/>
      <sheetData sheetId="11285"/>
      <sheetData sheetId="11286"/>
      <sheetData sheetId="11287"/>
      <sheetData sheetId="11288"/>
      <sheetData sheetId="11289"/>
      <sheetData sheetId="11290"/>
      <sheetData sheetId="11291"/>
      <sheetData sheetId="11292"/>
      <sheetData sheetId="11293"/>
      <sheetData sheetId="11294"/>
      <sheetData sheetId="11295"/>
      <sheetData sheetId="11296"/>
      <sheetData sheetId="11297"/>
      <sheetData sheetId="11298"/>
      <sheetData sheetId="11299"/>
      <sheetData sheetId="11300"/>
      <sheetData sheetId="11301"/>
      <sheetData sheetId="11302"/>
      <sheetData sheetId="11303"/>
      <sheetData sheetId="11304"/>
      <sheetData sheetId="11305"/>
      <sheetData sheetId="11306"/>
      <sheetData sheetId="11307"/>
      <sheetData sheetId="11308"/>
      <sheetData sheetId="11309">
        <row r="33">
          <cell r="C33">
            <v>0.77967625899280601</v>
          </cell>
        </row>
      </sheetData>
      <sheetData sheetId="11310"/>
      <sheetData sheetId="11311"/>
      <sheetData sheetId="11312"/>
      <sheetData sheetId="11313"/>
      <sheetData sheetId="11314"/>
      <sheetData sheetId="11315"/>
      <sheetData sheetId="11316"/>
      <sheetData sheetId="11317"/>
      <sheetData sheetId="11318"/>
      <sheetData sheetId="11319"/>
      <sheetData sheetId="11320"/>
      <sheetData sheetId="11321"/>
      <sheetData sheetId="11322"/>
      <sheetData sheetId="11323"/>
      <sheetData sheetId="11324"/>
      <sheetData sheetId="11325"/>
      <sheetData sheetId="11326"/>
      <sheetData sheetId="11327"/>
      <sheetData sheetId="11328"/>
      <sheetData sheetId="11329"/>
      <sheetData sheetId="11330"/>
      <sheetData sheetId="11331"/>
      <sheetData sheetId="11332"/>
      <sheetData sheetId="11333"/>
      <sheetData sheetId="11334"/>
      <sheetData sheetId="11335"/>
      <sheetData sheetId="11336"/>
      <sheetData sheetId="11337"/>
      <sheetData sheetId="11338"/>
      <sheetData sheetId="11339"/>
      <sheetData sheetId="11340"/>
      <sheetData sheetId="11341"/>
      <sheetData sheetId="11342"/>
      <sheetData sheetId="11343"/>
      <sheetData sheetId="11344"/>
      <sheetData sheetId="11345"/>
      <sheetData sheetId="11346"/>
      <sheetData sheetId="11347"/>
      <sheetData sheetId="11348"/>
      <sheetData sheetId="11349"/>
      <sheetData sheetId="11350"/>
      <sheetData sheetId="11351"/>
      <sheetData sheetId="11352"/>
      <sheetData sheetId="11353"/>
      <sheetData sheetId="11354"/>
      <sheetData sheetId="11355"/>
      <sheetData sheetId="11356"/>
      <sheetData sheetId="11357"/>
      <sheetData sheetId="11358"/>
      <sheetData sheetId="11359"/>
      <sheetData sheetId="11360"/>
      <sheetData sheetId="11361"/>
      <sheetData sheetId="11362"/>
      <sheetData sheetId="11363"/>
      <sheetData sheetId="11364"/>
      <sheetData sheetId="11365"/>
      <sheetData sheetId="11366"/>
      <sheetData sheetId="11367"/>
      <sheetData sheetId="11368"/>
      <sheetData sheetId="11369"/>
      <sheetData sheetId="11370"/>
      <sheetData sheetId="11371"/>
      <sheetData sheetId="11372"/>
      <sheetData sheetId="11373"/>
      <sheetData sheetId="11374"/>
      <sheetData sheetId="11375"/>
      <sheetData sheetId="11376"/>
      <sheetData sheetId="11377"/>
      <sheetData sheetId="11378"/>
      <sheetData sheetId="11379"/>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 val="1_1_1"/>
      <sheetName val="1_2_1"/>
      <sheetName val="1_2_2"/>
      <sheetName val="1_2_3"/>
      <sheetName val="1_2_4"/>
      <sheetName val="1_2_5"/>
      <sheetName val="1_2_6"/>
      <sheetName val="1_3_1"/>
      <sheetName val="1_3_2"/>
      <sheetName val="1_4_1"/>
      <sheetName val="1_4_2"/>
      <sheetName val="1_4_3"/>
      <sheetName val="1_4_4"/>
      <sheetName val="1_4_5"/>
      <sheetName val="1_4_6"/>
      <sheetName val="1_4_7"/>
      <sheetName val="1_4_8"/>
      <sheetName val="1_4_9"/>
      <sheetName val="1_4_10"/>
      <sheetName val="1_4_11"/>
      <sheetName val="1_4_12"/>
      <sheetName val="1_4_13"/>
      <sheetName val="1_4_14"/>
      <sheetName val="1_5_1"/>
      <sheetName val="1_5_2"/>
      <sheetName val="1_5_3"/>
      <sheetName val="2_1_1"/>
      <sheetName val="2_1_2"/>
      <sheetName val="2_1_3"/>
      <sheetName val="2_1_4"/>
      <sheetName val="2_1_5"/>
      <sheetName val="2_1_6"/>
      <sheetName val="2_1_7"/>
      <sheetName val="2_1_8"/>
      <sheetName val="2_1_9"/>
      <sheetName val="2_1_10"/>
      <sheetName val="2_1_11"/>
      <sheetName val="2_1_12"/>
      <sheetName val="2_1_13"/>
      <sheetName val="2_1_14"/>
      <sheetName val="2_1_15"/>
      <sheetName val="2_1_16"/>
      <sheetName val="2_1_17"/>
      <sheetName val="2_1_18"/>
      <sheetName val="2_1_19"/>
      <sheetName val="2_1_20"/>
      <sheetName val="2_1_21"/>
      <sheetName val="2_1_22"/>
      <sheetName val="2_1_23"/>
      <sheetName val="2_1_24"/>
      <sheetName val="2_1_25"/>
      <sheetName val="2_1_26"/>
      <sheetName val="2_2_1"/>
      <sheetName val="2_2_2"/>
      <sheetName val="2_2_3"/>
      <sheetName val="2_2_4"/>
      <sheetName val="2_4_1"/>
      <sheetName val="2_4_2"/>
      <sheetName val="2_4_3"/>
      <sheetName val="2_4_4"/>
      <sheetName val="2_4_5"/>
      <sheetName val="2_4_6"/>
      <sheetName val="2_4_7"/>
      <sheetName val="3_1_1"/>
      <sheetName val="3_1_2"/>
      <sheetName val="3_1_3"/>
      <sheetName val="3_1_4"/>
      <sheetName val="3_1_5"/>
      <sheetName val="3_1_6"/>
      <sheetName val="3_2_1"/>
      <sheetName val="3_2_2"/>
      <sheetName val="3_2_3"/>
      <sheetName val="3_2_4"/>
      <sheetName val="3_2_5"/>
      <sheetName val="3_2_6"/>
      <sheetName val="3_2_7"/>
      <sheetName val="4_1_1"/>
      <sheetName val="4_1_2"/>
      <sheetName val="4_1_3"/>
      <sheetName val="4_1_4"/>
      <sheetName val="4_2_1"/>
      <sheetName val="4_2_2"/>
      <sheetName val="4_2_3"/>
      <sheetName val="4_2_4"/>
      <sheetName val="4_2_5"/>
      <sheetName val="4_2_6"/>
      <sheetName val="4_3_1"/>
      <sheetName val="4_3_2"/>
      <sheetName val="4_6_1"/>
      <sheetName val="4_6_2"/>
      <sheetName val="4_6_3"/>
      <sheetName val="4_6_4"/>
      <sheetName val="4_6_5"/>
      <sheetName val="4_6_6"/>
      <sheetName val="4_6_7"/>
      <sheetName val="4_6_8"/>
      <sheetName val="4_6_9"/>
      <sheetName val="4_6_10"/>
      <sheetName val="4_6_11"/>
      <sheetName val="4_6_12"/>
      <sheetName val="4_6_13"/>
      <sheetName val="4_6_14"/>
      <sheetName val="4_6_15"/>
      <sheetName val="4_6_16"/>
      <sheetName val="4_6_17"/>
      <sheetName val="4_6_18"/>
      <sheetName val="4_6_19"/>
      <sheetName val="4_6_20"/>
      <sheetName val="4_6_21"/>
      <sheetName val="4_6_22"/>
      <sheetName val="4_6_23"/>
      <sheetName val="4_6_24"/>
      <sheetName val="4_6_25"/>
      <sheetName val="4_6_26"/>
      <sheetName val="4_6_27"/>
      <sheetName val="4_6_28"/>
      <sheetName val="4_6_29"/>
      <sheetName val="4_6_30"/>
      <sheetName val="4_6_31"/>
      <sheetName val="4_6_32"/>
      <sheetName val="4_6_33"/>
      <sheetName val="4_6_34"/>
      <sheetName val="4_6_35"/>
      <sheetName val="4_6_36"/>
      <sheetName val="4_6_37"/>
      <sheetName val="4_6_38"/>
      <sheetName val="4_6_39"/>
      <sheetName val="4_6_40"/>
      <sheetName val="4_6_41"/>
      <sheetName val="4_6_42"/>
      <sheetName val="4_6_43"/>
      <sheetName val="4_6_44"/>
      <sheetName val="4_6_45"/>
      <sheetName val="4_6_46"/>
      <sheetName val="4_6_47"/>
      <sheetName val="4_6_48"/>
      <sheetName val="4_6_49"/>
      <sheetName val="4_6_50"/>
      <sheetName val="4_6_51"/>
      <sheetName val="4_6_52"/>
      <sheetName val="4_6_53"/>
      <sheetName val="4_6_54"/>
      <sheetName val="4_6_55"/>
      <sheetName val="4_6_56"/>
      <sheetName val="4_6_57"/>
      <sheetName val="4_6_58"/>
      <sheetName val="4_6_59"/>
      <sheetName val="4_6_60"/>
      <sheetName val="4_6_61"/>
      <sheetName val="4_6_62"/>
      <sheetName val="4_6_63"/>
      <sheetName val="4_6_64"/>
      <sheetName val="4_6_65"/>
      <sheetName val="4_6_66"/>
      <sheetName val="4_6_67"/>
      <sheetName val="4_6_68"/>
      <sheetName val="4_6_69"/>
      <sheetName val="4_6_70"/>
      <sheetName val="4_6_71"/>
      <sheetName val="4_6_72"/>
      <sheetName val="4_6_73"/>
      <sheetName val="4_6_74"/>
      <sheetName val="4_6_75"/>
      <sheetName val="4_6_76"/>
      <sheetName val="4_6_77"/>
      <sheetName val="4_6_78"/>
      <sheetName val="4_6_79"/>
      <sheetName val="4_6_80"/>
      <sheetName val="4_6_81"/>
      <sheetName val="4_6_82"/>
      <sheetName val="4_6_83"/>
      <sheetName val="4_6_84"/>
      <sheetName val="4_6_85"/>
      <sheetName val="4_6_86"/>
      <sheetName val="4_6_87"/>
      <sheetName val="4_6_88"/>
      <sheetName val="4_6_89"/>
      <sheetName val="4_6_90"/>
      <sheetName val="4_7_1"/>
      <sheetName val="4_7_2"/>
      <sheetName val="4_7_3"/>
      <sheetName val="4_7_5"/>
      <sheetName val="4_7_6"/>
      <sheetName val="4_7_7"/>
      <sheetName val="4_7_8"/>
      <sheetName val="4_7_9"/>
      <sheetName val="4_7_10"/>
      <sheetName val="4_7_11"/>
      <sheetName val="4_8_1"/>
      <sheetName val="4_8_2"/>
      <sheetName val="4_8_3"/>
      <sheetName val="4_8_4"/>
      <sheetName val="4_8_5"/>
      <sheetName val="4_8_6"/>
      <sheetName val="4_8_7"/>
      <sheetName val="4_8_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PRESUPUESTO"/>
    </sheetNames>
    <sheetDataSet>
      <sheetData sheetId="0">
        <row r="222">
          <cell r="G222">
            <v>28355</v>
          </cell>
        </row>
        <row r="277">
          <cell r="G277">
            <v>215327</v>
          </cell>
        </row>
        <row r="331">
          <cell r="G331">
            <v>99627</v>
          </cell>
        </row>
        <row r="655">
          <cell r="G655">
            <v>590467</v>
          </cell>
        </row>
      </sheetData>
      <sheetData sheetId="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ACEROS"/>
      <sheetName val="1"/>
      <sheetName val="2"/>
      <sheetName val="3"/>
      <sheetName val="4"/>
      <sheetName val="5"/>
      <sheetName val="6"/>
      <sheetName val="7"/>
      <sheetName val="8"/>
      <sheetName val="9"/>
      <sheetName val="10"/>
      <sheetName val="11"/>
      <sheetName val="12"/>
      <sheetName val="13"/>
      <sheetName val="14"/>
      <sheetName val="15"/>
      <sheetName val="16"/>
      <sheetName val="C123"/>
      <sheetName val="M14"/>
    </sheetNames>
    <sheetDataSet>
      <sheetData sheetId="0"/>
      <sheetData sheetId="1"/>
      <sheetData sheetId="2">
        <row r="7">
          <cell r="B7">
            <v>0.1</v>
          </cell>
        </row>
        <row r="8">
          <cell r="B8">
            <v>0.1</v>
          </cell>
        </row>
        <row r="9">
          <cell r="B9">
            <v>0.08</v>
          </cell>
        </row>
        <row r="43">
          <cell r="B43" t="str">
            <v>ARENA</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1"/>
      <sheetName val="2"/>
      <sheetName val="3"/>
      <sheetName val="4"/>
      <sheetName val="5"/>
      <sheetName val="6"/>
      <sheetName val="7"/>
      <sheetName val="8"/>
      <sheetName val="9"/>
    </sheetNames>
    <sheetDataSet>
      <sheetData sheetId="0"/>
      <sheetData sheetId="1"/>
      <sheetData sheetId="2">
        <row r="212">
          <cell r="B212" t="str">
            <v>ALAMBRE  No. 8 AWG</v>
          </cell>
        </row>
        <row r="213">
          <cell r="B213" t="str">
            <v>DUCTO CONDUIT ELECTR. PVC  1/2"</v>
          </cell>
        </row>
      </sheetData>
      <sheetData sheetId="3"/>
      <sheetData sheetId="4"/>
      <sheetData sheetId="5"/>
      <sheetData sheetId="6"/>
      <sheetData sheetId="7"/>
      <sheetData sheetId="8"/>
      <sheetData sheetId="9"/>
      <sheetData sheetId="10"/>
      <sheetData sheetId="11"/>
      <sheetData sheetId="12"/>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ACEROS"/>
      <sheetName val="1"/>
      <sheetName val="2"/>
      <sheetName val="4"/>
      <sheetName val="3"/>
      <sheetName val="5"/>
      <sheetName val="6"/>
      <sheetName val="7"/>
      <sheetName val="8"/>
      <sheetName val="9"/>
      <sheetName val="10"/>
      <sheetName val="11"/>
      <sheetName val="12"/>
      <sheetName val="13"/>
      <sheetName val="14"/>
      <sheetName val="15"/>
      <sheetName val="16"/>
      <sheetName val="A.1"/>
      <sheetName val="A.2"/>
      <sheetName val="CANT. MAT."/>
      <sheetName val="17"/>
      <sheetName val="18"/>
      <sheetName val="19"/>
      <sheetName val="20"/>
      <sheetName val="21"/>
      <sheetName val="22"/>
      <sheetName val="23"/>
      <sheetName val="24"/>
      <sheetName val="14."/>
      <sheetName val="15."/>
    </sheetNames>
    <sheetDataSet>
      <sheetData sheetId="0"/>
      <sheetData sheetId="1" refreshError="1"/>
      <sheetData sheetId="2">
        <row r="4">
          <cell r="B4" t="str">
            <v xml:space="preserve"> </v>
          </cell>
        </row>
        <row r="125">
          <cell r="B125" t="str">
            <v>MORTERO 1:4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s>
    <sheetDataSet>
      <sheetData sheetId="0"/>
      <sheetData sheetId="1"/>
      <sheetData sheetId="2">
        <row r="4">
          <cell r="B4" t="str">
            <v xml:space="preserve"> </v>
          </cell>
        </row>
        <row r="11">
          <cell r="B11">
            <v>0.93</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TAPA 50 SMMLV"/>
      <sheetName val="PYG aptos"/>
      <sheetName val="67,15% APT Y 32,85% CASAS ACIDO"/>
      <sheetName val="PYG COMBINADO ACIDO"/>
      <sheetName val="67,15% APT Y 32,85% CASAS"/>
      <sheetName val="PYG COMBINADO"/>
      <sheetName val="FLUJO DE CAJA"/>
      <sheetName val="SUPUESTOS"/>
    </sheetNames>
    <sheetDataSet>
      <sheetData sheetId="0"/>
      <sheetData sheetId="1"/>
      <sheetData sheetId="2"/>
      <sheetData sheetId="3"/>
      <sheetData sheetId="4"/>
      <sheetData sheetId="5"/>
      <sheetData sheetId="6"/>
      <sheetData sheetId="7"/>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ACEROS"/>
      <sheetName val="1"/>
      <sheetName val="2"/>
      <sheetName val="3"/>
      <sheetName val="4"/>
      <sheetName val="5"/>
      <sheetName val="6"/>
      <sheetName val="7"/>
      <sheetName val="8"/>
      <sheetName val="9"/>
      <sheetName val="10"/>
      <sheetName val="11"/>
      <sheetName val="12"/>
      <sheetName val="13"/>
      <sheetName val="14"/>
      <sheetName val="15"/>
      <sheetName val="16"/>
      <sheetName val="C123"/>
      <sheetName val="M14"/>
    </sheetNames>
    <sheetDataSet>
      <sheetData sheetId="0"/>
      <sheetData sheetId="1"/>
      <sheetData sheetId="2">
        <row r="7">
          <cell r="B7">
            <v>0.1</v>
          </cell>
        </row>
        <row r="8">
          <cell r="B8">
            <v>0.1</v>
          </cell>
        </row>
        <row r="9">
          <cell r="B9">
            <v>0.08</v>
          </cell>
        </row>
        <row r="29">
          <cell r="B29" t="str">
            <v>MEZCLADORA</v>
          </cell>
        </row>
        <row r="43">
          <cell r="B43" t="str">
            <v>ARENA</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OG TRAB (2)"/>
      <sheetName val="PROG TRAB"/>
      <sheetName val="Presupuesto"/>
      <sheetName val="Compensad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s>
    <sheetDataSet>
      <sheetData sheetId="0" refreshError="1"/>
      <sheetData sheetId="1" refreshError="1"/>
      <sheetData sheetId="2">
        <row r="4">
          <cell r="B4" t="str">
            <v xml:space="preserve"> </v>
          </cell>
        </row>
        <row r="5">
          <cell r="B5" t="str">
            <v>VALOR</v>
          </cell>
          <cell r="C5" t="str">
            <v>NOMBRE</v>
          </cell>
        </row>
        <row r="7">
          <cell r="B7">
            <v>0.1</v>
          </cell>
          <cell r="C7" t="str">
            <v>ADMINISTRACION</v>
          </cell>
        </row>
        <row r="8">
          <cell r="B8">
            <v>0.15</v>
          </cell>
          <cell r="C8" t="str">
            <v>IMPREVISTOS</v>
          </cell>
        </row>
        <row r="9">
          <cell r="B9">
            <v>0.05</v>
          </cell>
          <cell r="C9" t="str">
            <v>UTILIDAD</v>
          </cell>
        </row>
        <row r="10">
          <cell r="B10">
            <v>0.3</v>
          </cell>
          <cell r="C10" t="str">
            <v>AIU</v>
          </cell>
        </row>
        <row r="11">
          <cell r="B11">
            <v>1.1000000000000001</v>
          </cell>
          <cell r="C11" t="str">
            <v>PREST SOCIALES</v>
          </cell>
        </row>
        <row r="12">
          <cell r="C12" t="str">
            <v>IVA</v>
          </cell>
        </row>
        <row r="19">
          <cell r="B19" t="str">
            <v>NOMBRE</v>
          </cell>
          <cell r="C19" t="str">
            <v>UNIDAD</v>
          </cell>
          <cell r="D19" t="str">
            <v>PRECIO</v>
          </cell>
        </row>
        <row r="20">
          <cell r="B20" t="str">
            <v>RETROEXCAVADORA</v>
          </cell>
          <cell r="C20" t="str">
            <v>HORA</v>
          </cell>
          <cell r="D20">
            <v>50000</v>
          </cell>
          <cell r="E20">
            <v>0</v>
          </cell>
          <cell r="F20">
            <v>0</v>
          </cell>
        </row>
        <row r="21">
          <cell r="B21" t="str">
            <v>BULLDOZER D6</v>
          </cell>
          <cell r="C21" t="str">
            <v>HORA</v>
          </cell>
          <cell r="D21">
            <v>45000</v>
          </cell>
          <cell r="E21">
            <v>0</v>
          </cell>
          <cell r="F21">
            <v>0</v>
          </cell>
        </row>
        <row r="22">
          <cell r="B22" t="str">
            <v>BULLDOZER D8</v>
          </cell>
          <cell r="C22" t="str">
            <v>HORA</v>
          </cell>
          <cell r="D22">
            <v>85000</v>
          </cell>
          <cell r="E22">
            <v>0</v>
          </cell>
          <cell r="F22">
            <v>0</v>
          </cell>
        </row>
        <row r="23">
          <cell r="B23" t="str">
            <v>MOTONIVELADORA</v>
          </cell>
          <cell r="C23" t="str">
            <v>HORA</v>
          </cell>
          <cell r="D23">
            <v>50000</v>
          </cell>
          <cell r="E23">
            <v>0</v>
          </cell>
          <cell r="F23">
            <v>0</v>
          </cell>
        </row>
        <row r="24">
          <cell r="B24" t="str">
            <v>VIBROCOMPACTADOR</v>
          </cell>
          <cell r="C24" t="str">
            <v>HORA</v>
          </cell>
          <cell r="D24">
            <v>35000</v>
          </cell>
          <cell r="E24">
            <v>0</v>
          </cell>
          <cell r="F24">
            <v>0</v>
          </cell>
        </row>
        <row r="25">
          <cell r="B25" t="str">
            <v>CARROTANQUE</v>
          </cell>
          <cell r="C25" t="str">
            <v>HORA</v>
          </cell>
          <cell r="E25">
            <v>0</v>
          </cell>
          <cell r="F25">
            <v>0</v>
          </cell>
        </row>
        <row r="26">
          <cell r="B26" t="str">
            <v>RETROCARGADOR</v>
          </cell>
          <cell r="C26" t="str">
            <v>HORA</v>
          </cell>
          <cell r="E26">
            <v>0</v>
          </cell>
          <cell r="F26">
            <v>0</v>
          </cell>
        </row>
        <row r="27">
          <cell r="B27" t="str">
            <v xml:space="preserve">VOLQUETA </v>
          </cell>
          <cell r="C27" t="str">
            <v>M3</v>
          </cell>
          <cell r="D27">
            <v>2000</v>
          </cell>
          <cell r="E27">
            <v>54666.666666666664</v>
          </cell>
          <cell r="F27" t="str">
            <v>RETROEXCAVADORA</v>
          </cell>
        </row>
        <row r="28">
          <cell r="B28" t="str">
            <v>VOLQUETA POR HORAS</v>
          </cell>
          <cell r="C28" t="str">
            <v>HORA</v>
          </cell>
          <cell r="D28">
            <v>400</v>
          </cell>
          <cell r="E28">
            <v>0</v>
          </cell>
          <cell r="F28">
            <v>0</v>
          </cell>
        </row>
        <row r="29">
          <cell r="B29" t="str">
            <v>MEZCLADORA</v>
          </cell>
          <cell r="C29" t="str">
            <v>HORA</v>
          </cell>
          <cell r="D29">
            <v>6500</v>
          </cell>
          <cell r="E29">
            <v>0</v>
          </cell>
          <cell r="F29">
            <v>0</v>
          </cell>
        </row>
        <row r="30">
          <cell r="B30" t="str">
            <v>VIBRADOR</v>
          </cell>
          <cell r="C30" t="str">
            <v>HORA</v>
          </cell>
          <cell r="D30">
            <v>5000</v>
          </cell>
          <cell r="E30">
            <v>0</v>
          </cell>
          <cell r="F30">
            <v>0</v>
          </cell>
        </row>
        <row r="31">
          <cell r="B31" t="str">
            <v>EQ. DE PERFORACION</v>
          </cell>
          <cell r="C31" t="str">
            <v>HORA</v>
          </cell>
          <cell r="D31">
            <v>25000</v>
          </cell>
          <cell r="E31">
            <v>0</v>
          </cell>
          <cell r="F31">
            <v>0</v>
          </cell>
        </row>
        <row r="32">
          <cell r="B32" t="str">
            <v>ANDAMIOS</v>
          </cell>
          <cell r="C32" t="str">
            <v>HORA</v>
          </cell>
          <cell r="D32">
            <v>800</v>
          </cell>
          <cell r="E32">
            <v>659200</v>
          </cell>
          <cell r="F32" t="str">
            <v>RETROEXCAVADORA</v>
          </cell>
        </row>
        <row r="33">
          <cell r="B33" t="str">
            <v>COMPRESOR</v>
          </cell>
          <cell r="C33" t="str">
            <v>HORA</v>
          </cell>
          <cell r="D33">
            <v>5000</v>
          </cell>
          <cell r="E33">
            <v>0</v>
          </cell>
          <cell r="F33">
            <v>0</v>
          </cell>
        </row>
        <row r="34">
          <cell r="B34" t="str">
            <v>XXX</v>
          </cell>
          <cell r="C34" t="str">
            <v>HORA</v>
          </cell>
          <cell r="E34">
            <v>0</v>
          </cell>
          <cell r="F34">
            <v>0</v>
          </cell>
        </row>
        <row r="35">
          <cell r="B35" t="str">
            <v>XXX</v>
          </cell>
          <cell r="E35">
            <v>0</v>
          </cell>
          <cell r="F35">
            <v>0</v>
          </cell>
        </row>
        <row r="36">
          <cell r="B36" t="str">
            <v>XXX</v>
          </cell>
          <cell r="C36" t="str">
            <v>HORA</v>
          </cell>
          <cell r="E36">
            <v>0</v>
          </cell>
          <cell r="F36">
            <v>0</v>
          </cell>
        </row>
        <row r="37">
          <cell r="B37" t="str">
            <v>XXX</v>
          </cell>
          <cell r="C37" t="str">
            <v>HORA</v>
          </cell>
          <cell r="E37">
            <v>0</v>
          </cell>
          <cell r="F37">
            <v>0</v>
          </cell>
        </row>
        <row r="38">
          <cell r="B38" t="str">
            <v>XXX</v>
          </cell>
          <cell r="C38" t="str">
            <v>HORA</v>
          </cell>
          <cell r="E38">
            <v>0</v>
          </cell>
          <cell r="F38">
            <v>0</v>
          </cell>
        </row>
        <row r="39">
          <cell r="B39" t="str">
            <v>XXX</v>
          </cell>
          <cell r="C39" t="str">
            <v>HORA</v>
          </cell>
          <cell r="E39">
            <v>0</v>
          </cell>
          <cell r="F39">
            <v>0</v>
          </cell>
        </row>
        <row r="42">
          <cell r="B42" t="str">
            <v>NOMBRE</v>
          </cell>
          <cell r="C42" t="str">
            <v>UNIDAD</v>
          </cell>
          <cell r="D42" t="str">
            <v>PRECIO</v>
          </cell>
        </row>
        <row r="43">
          <cell r="B43" t="str">
            <v>ARENA</v>
          </cell>
          <cell r="C43" t="str">
            <v>M3</v>
          </cell>
          <cell r="D43">
            <v>8000</v>
          </cell>
          <cell r="E43">
            <v>0</v>
          </cell>
        </row>
        <row r="44">
          <cell r="B44" t="str">
            <v>TRITURADO</v>
          </cell>
          <cell r="C44" t="str">
            <v>M3</v>
          </cell>
          <cell r="D44">
            <v>60000</v>
          </cell>
          <cell r="E44">
            <v>0</v>
          </cell>
        </row>
        <row r="45">
          <cell r="B45" t="str">
            <v>CEMENTO</v>
          </cell>
          <cell r="C45" t="str">
            <v>KG</v>
          </cell>
          <cell r="D45">
            <v>360</v>
          </cell>
          <cell r="E45">
            <v>0</v>
          </cell>
        </row>
        <row r="46">
          <cell r="B46" t="str">
            <v>AGUA</v>
          </cell>
          <cell r="C46" t="str">
            <v>LT</v>
          </cell>
          <cell r="D46">
            <v>50</v>
          </cell>
          <cell r="E46">
            <v>0</v>
          </cell>
        </row>
        <row r="47">
          <cell r="B47" t="str">
            <v>BLOQUE No 5</v>
          </cell>
          <cell r="C47" t="str">
            <v>UND</v>
          </cell>
          <cell r="D47">
            <v>520</v>
          </cell>
          <cell r="E47">
            <v>1703520</v>
          </cell>
        </row>
        <row r="48">
          <cell r="B48" t="str">
            <v>ACERO 60000 PSI</v>
          </cell>
          <cell r="C48" t="str">
            <v>KG</v>
          </cell>
          <cell r="D48">
            <v>1650</v>
          </cell>
          <cell r="E48">
            <v>0</v>
          </cell>
        </row>
        <row r="49">
          <cell r="B49" t="str">
            <v>ALAMBRE NEGRO</v>
          </cell>
          <cell r="C49" t="str">
            <v>KG</v>
          </cell>
          <cell r="D49">
            <v>1300</v>
          </cell>
          <cell r="E49">
            <v>0</v>
          </cell>
        </row>
        <row r="50">
          <cell r="B50" t="str">
            <v>PLATINA 1/4"* 4"</v>
          </cell>
          <cell r="C50" t="str">
            <v>ML</v>
          </cell>
          <cell r="D50">
            <v>5000</v>
          </cell>
          <cell r="E50">
            <v>0</v>
          </cell>
        </row>
        <row r="51">
          <cell r="B51" t="str">
            <v>TUBERIA PVC  RDE 21 1"</v>
          </cell>
          <cell r="C51" t="str">
            <v>ML</v>
          </cell>
          <cell r="D51">
            <v>1000</v>
          </cell>
          <cell r="E51">
            <v>0</v>
          </cell>
        </row>
        <row r="52">
          <cell r="B52" t="str">
            <v>TUBERIA PVC  RDE 21 1 1/4"</v>
          </cell>
          <cell r="C52" t="str">
            <v>ML</v>
          </cell>
          <cell r="D52">
            <v>1670</v>
          </cell>
          <cell r="E52">
            <v>0</v>
          </cell>
        </row>
        <row r="53">
          <cell r="B53" t="str">
            <v>TUBERIA PVC RDE 21  1 1/2"</v>
          </cell>
          <cell r="C53" t="str">
            <v>ML</v>
          </cell>
          <cell r="D53">
            <v>2200</v>
          </cell>
          <cell r="E53">
            <v>0</v>
          </cell>
        </row>
        <row r="54">
          <cell r="B54" t="str">
            <v>TUBERIA PVC RDE 21  2"</v>
          </cell>
          <cell r="C54" t="str">
            <v>ML</v>
          </cell>
          <cell r="D54">
            <v>6024</v>
          </cell>
          <cell r="E54">
            <v>0</v>
          </cell>
        </row>
        <row r="55">
          <cell r="B55" t="str">
            <v>TUBERIA PVC RDE 21  2 1/2"</v>
          </cell>
          <cell r="C55" t="str">
            <v>ML</v>
          </cell>
          <cell r="D55">
            <v>2500</v>
          </cell>
          <cell r="E55">
            <v>0</v>
          </cell>
        </row>
        <row r="56">
          <cell r="B56" t="str">
            <v>TUBERIA PVC RDE 21  3"</v>
          </cell>
          <cell r="C56" t="str">
            <v>ML</v>
          </cell>
          <cell r="D56">
            <v>5000</v>
          </cell>
          <cell r="E56">
            <v>0</v>
          </cell>
        </row>
        <row r="57">
          <cell r="B57" t="str">
            <v>TUBERIA PVC RDE 21  4"</v>
          </cell>
          <cell r="C57" t="str">
            <v>ML</v>
          </cell>
          <cell r="D57">
            <v>8200</v>
          </cell>
          <cell r="E57">
            <v>0</v>
          </cell>
        </row>
        <row r="58">
          <cell r="B58" t="str">
            <v>ACCESORIOS PVC 1 1/4"</v>
          </cell>
          <cell r="C58" t="str">
            <v>UND</v>
          </cell>
          <cell r="D58">
            <v>1400</v>
          </cell>
          <cell r="E58">
            <v>0</v>
          </cell>
        </row>
        <row r="59">
          <cell r="B59" t="str">
            <v>ACCESORIOS PVC 1 1/2"</v>
          </cell>
          <cell r="C59" t="str">
            <v>UND</v>
          </cell>
          <cell r="D59">
            <v>1800</v>
          </cell>
          <cell r="E59">
            <v>0</v>
          </cell>
        </row>
        <row r="60">
          <cell r="B60" t="str">
            <v>ACCESORIOS PVC 2"</v>
          </cell>
          <cell r="C60" t="str">
            <v>UND</v>
          </cell>
          <cell r="D60">
            <v>3100</v>
          </cell>
          <cell r="E60">
            <v>0</v>
          </cell>
        </row>
        <row r="61">
          <cell r="B61" t="str">
            <v>ACCESORIOS PVC 2 1/2"</v>
          </cell>
          <cell r="C61" t="str">
            <v>UND</v>
          </cell>
          <cell r="D61">
            <v>4200</v>
          </cell>
          <cell r="E61">
            <v>0</v>
          </cell>
        </row>
        <row r="62">
          <cell r="B62" t="str">
            <v>ACCESORIOS PVC 3"</v>
          </cell>
          <cell r="C62" t="str">
            <v>UND</v>
          </cell>
          <cell r="D62">
            <v>8200</v>
          </cell>
          <cell r="E62">
            <v>0</v>
          </cell>
        </row>
        <row r="63">
          <cell r="B63" t="str">
            <v>ACCESORIOS PVC 4"</v>
          </cell>
          <cell r="C63" t="str">
            <v>UND</v>
          </cell>
          <cell r="D63">
            <v>18500</v>
          </cell>
          <cell r="E63">
            <v>0</v>
          </cell>
        </row>
        <row r="64">
          <cell r="B64" t="str">
            <v>LIMPIADOR PVC</v>
          </cell>
          <cell r="C64" t="str">
            <v>1/4 GAL</v>
          </cell>
          <cell r="D64">
            <v>25000</v>
          </cell>
          <cell r="E64">
            <v>0</v>
          </cell>
        </row>
        <row r="65">
          <cell r="B65" t="str">
            <v>SOLDADURA PVC</v>
          </cell>
          <cell r="C65" t="str">
            <v>1/4 GAL</v>
          </cell>
          <cell r="D65">
            <v>27000</v>
          </cell>
          <cell r="E65">
            <v>0</v>
          </cell>
        </row>
        <row r="66">
          <cell r="B66" t="str">
            <v>COLLAR DE DERIVACION</v>
          </cell>
          <cell r="C66" t="str">
            <v>UND</v>
          </cell>
          <cell r="D66">
            <v>3500</v>
          </cell>
          <cell r="E66">
            <v>0</v>
          </cell>
        </row>
        <row r="67">
          <cell r="B67" t="str">
            <v>REGISTRO DE INCORPORACION</v>
          </cell>
          <cell r="C67" t="str">
            <v>UND</v>
          </cell>
          <cell r="D67">
            <v>1500</v>
          </cell>
          <cell r="E67">
            <v>0</v>
          </cell>
        </row>
        <row r="68">
          <cell r="B68" t="str">
            <v>MANGUERA FLEXIBLE</v>
          </cell>
          <cell r="C68" t="str">
            <v>ML</v>
          </cell>
          <cell r="D68">
            <v>1500</v>
          </cell>
          <cell r="E68">
            <v>0</v>
          </cell>
        </row>
        <row r="69">
          <cell r="B69" t="str">
            <v>MORTERO 1:3</v>
          </cell>
          <cell r="C69" t="str">
            <v>M3</v>
          </cell>
          <cell r="D69">
            <v>224558</v>
          </cell>
          <cell r="E69">
            <v>2365943.0880000005</v>
          </cell>
        </row>
        <row r="70">
          <cell r="B70" t="str">
            <v>ACCESORIOS PVC 1/2"</v>
          </cell>
          <cell r="C70" t="str">
            <v>UND</v>
          </cell>
          <cell r="D70">
            <v>400</v>
          </cell>
          <cell r="E70">
            <v>0</v>
          </cell>
        </row>
        <row r="71">
          <cell r="B71" t="str">
            <v>TUBERIA PVC 6"</v>
          </cell>
          <cell r="C71" t="str">
            <v>ML</v>
          </cell>
          <cell r="D71">
            <v>12922</v>
          </cell>
          <cell r="E71">
            <v>0</v>
          </cell>
        </row>
        <row r="72">
          <cell r="B72" t="str">
            <v>ACCESORIOS PVC 6"</v>
          </cell>
          <cell r="C72" t="str">
            <v>UND</v>
          </cell>
          <cell r="D72">
            <v>16000</v>
          </cell>
          <cell r="E72">
            <v>0</v>
          </cell>
        </row>
        <row r="73">
          <cell r="B73" t="str">
            <v>GRAVILLA No 2</v>
          </cell>
          <cell r="C73" t="str">
            <v>M3</v>
          </cell>
          <cell r="D73">
            <v>90000</v>
          </cell>
          <cell r="E73">
            <v>0</v>
          </cell>
        </row>
        <row r="74">
          <cell r="B74" t="str">
            <v>LAMINA DE ICOPOR  e= 2 Cm</v>
          </cell>
          <cell r="C74" t="str">
            <v>UND</v>
          </cell>
          <cell r="D74">
            <v>4500</v>
          </cell>
          <cell r="E74">
            <v>0</v>
          </cell>
        </row>
        <row r="75">
          <cell r="B75" t="str">
            <v>RIELES DE ALUMINIO</v>
          </cell>
          <cell r="C75" t="str">
            <v>ML</v>
          </cell>
          <cell r="D75">
            <v>8500</v>
          </cell>
          <cell r="E75">
            <v>0</v>
          </cell>
        </row>
        <row r="76">
          <cell r="B76" t="str">
            <v>ALAMBRE DULCE</v>
          </cell>
          <cell r="C76" t="str">
            <v>KG</v>
          </cell>
          <cell r="D76">
            <v>1500</v>
          </cell>
          <cell r="E76">
            <v>0</v>
          </cell>
        </row>
        <row r="77">
          <cell r="B77" t="str">
            <v>ACRILICO TRANSPARENTE</v>
          </cell>
          <cell r="C77" t="str">
            <v>M2</v>
          </cell>
          <cell r="D77">
            <v>60000</v>
          </cell>
          <cell r="E77">
            <v>0</v>
          </cell>
        </row>
        <row r="78">
          <cell r="B78" t="str">
            <v>ARMADURA METALICA</v>
          </cell>
          <cell r="C78" t="str">
            <v>ML</v>
          </cell>
          <cell r="D78">
            <v>22000</v>
          </cell>
          <cell r="E78">
            <v>0</v>
          </cell>
        </row>
        <row r="79">
          <cell r="B79" t="str">
            <v>VINILTEX</v>
          </cell>
          <cell r="C79" t="str">
            <v>GAL</v>
          </cell>
          <cell r="D79">
            <v>30500</v>
          </cell>
          <cell r="E79">
            <v>0</v>
          </cell>
        </row>
        <row r="80">
          <cell r="B80" t="str">
            <v>HOJA METALICA Cal 20</v>
          </cell>
          <cell r="C80" t="str">
            <v>M2</v>
          </cell>
          <cell r="D80">
            <v>9500</v>
          </cell>
        </row>
        <row r="81">
          <cell r="B81" t="str">
            <v>TUBO METALICO 2X1</v>
          </cell>
          <cell r="C81" t="str">
            <v>ML</v>
          </cell>
          <cell r="D81">
            <v>9800</v>
          </cell>
        </row>
        <row r="82">
          <cell r="B82" t="str">
            <v>TUBO  METALICO 1X1</v>
          </cell>
          <cell r="C82" t="str">
            <v>ML</v>
          </cell>
          <cell r="D82">
            <v>5900</v>
          </cell>
        </row>
        <row r="83">
          <cell r="B83" t="str">
            <v>VIDRIO</v>
          </cell>
          <cell r="C83" t="str">
            <v>M2</v>
          </cell>
          <cell r="D83">
            <v>22200</v>
          </cell>
        </row>
        <row r="84">
          <cell r="B84" t="str">
            <v>TEJA A.C</v>
          </cell>
          <cell r="C84" t="str">
            <v>M2</v>
          </cell>
          <cell r="D84">
            <v>9950</v>
          </cell>
        </row>
        <row r="85">
          <cell r="B85" t="str">
            <v>CANALETA 90</v>
          </cell>
          <cell r="C85" t="str">
            <v>M2</v>
          </cell>
          <cell r="D85">
            <v>20000</v>
          </cell>
        </row>
        <row r="86">
          <cell r="B86" t="str">
            <v>AMARRES METALICOS</v>
          </cell>
          <cell r="C86" t="str">
            <v>UN</v>
          </cell>
          <cell r="D86">
            <v>350</v>
          </cell>
        </row>
        <row r="87">
          <cell r="B87" t="str">
            <v>ESMALTE DOMESTICO</v>
          </cell>
          <cell r="C87" t="str">
            <v>GAL</v>
          </cell>
          <cell r="D87">
            <v>33700</v>
          </cell>
        </row>
        <row r="88">
          <cell r="B88" t="str">
            <v>MADERA</v>
          </cell>
          <cell r="C88" t="str">
            <v>UN</v>
          </cell>
          <cell r="D88">
            <v>3000</v>
          </cell>
        </row>
        <row r="89">
          <cell r="B89" t="str">
            <v>PUNTILLAS</v>
          </cell>
          <cell r="C89" t="str">
            <v>LB</v>
          </cell>
          <cell r="D89">
            <v>900</v>
          </cell>
        </row>
        <row r="90">
          <cell r="B90" t="str">
            <v>PIEDRA BOLA</v>
          </cell>
          <cell r="C90" t="str">
            <v>M3</v>
          </cell>
          <cell r="D90">
            <v>36000</v>
          </cell>
        </row>
        <row r="91">
          <cell r="B91" t="str">
            <v xml:space="preserve">CABALLETE </v>
          </cell>
          <cell r="C91" t="str">
            <v>UN</v>
          </cell>
          <cell r="D91">
            <v>9600</v>
          </cell>
        </row>
        <row r="92">
          <cell r="B92" t="str">
            <v>BLOQUE EN ARCILLA H5</v>
          </cell>
          <cell r="C92" t="str">
            <v>UND</v>
          </cell>
          <cell r="D92">
            <v>550</v>
          </cell>
        </row>
        <row r="93">
          <cell r="B93" t="str">
            <v>PINTURA EN ANTICORROSIVO</v>
          </cell>
          <cell r="C93" t="str">
            <v>GAL</v>
          </cell>
          <cell r="D93">
            <v>26800</v>
          </cell>
        </row>
        <row r="94">
          <cell r="B94" t="str">
            <v>AMARRE DE ALAMBRE</v>
          </cell>
          <cell r="C94" t="str">
            <v>UND</v>
          </cell>
          <cell r="D94">
            <v>60</v>
          </cell>
        </row>
        <row r="95">
          <cell r="B95" t="str">
            <v>PUERTAVENTANA</v>
          </cell>
          <cell r="C95" t="str">
            <v>M2</v>
          </cell>
          <cell r="D95">
            <v>38000</v>
          </cell>
        </row>
        <row r="96">
          <cell r="B96" t="str">
            <v>CHAPA</v>
          </cell>
          <cell r="C96" t="str">
            <v>UND</v>
          </cell>
          <cell r="D96">
            <v>13000</v>
          </cell>
        </row>
        <row r="97">
          <cell r="B97" t="str">
            <v>DILATACIONES</v>
          </cell>
          <cell r="C97" t="str">
            <v>ML</v>
          </cell>
          <cell r="D97">
            <v>950</v>
          </cell>
        </row>
        <row r="98">
          <cell r="B98" t="str">
            <v>ACESORIOS ELECTRICOS</v>
          </cell>
          <cell r="C98" t="str">
            <v>GL</v>
          </cell>
        </row>
        <row r="99">
          <cell r="B99" t="str">
            <v>CABLE No 12</v>
          </cell>
          <cell r="C99" t="str">
            <v>ML</v>
          </cell>
          <cell r="D99">
            <v>230</v>
          </cell>
        </row>
        <row r="100">
          <cell r="B100" t="str">
            <v>TUBO CONDUIT TIPO LIVIANO</v>
          </cell>
          <cell r="C100" t="str">
            <v>ML</v>
          </cell>
          <cell r="D100">
            <v>1000</v>
          </cell>
        </row>
        <row r="101">
          <cell r="B101" t="str">
            <v>VENTANA METALICA</v>
          </cell>
          <cell r="C101" t="str">
            <v>M2</v>
          </cell>
          <cell r="D101">
            <v>45000</v>
          </cell>
        </row>
        <row r="102">
          <cell r="B102" t="str">
            <v>LAVAPLATOS INOXIDABLE</v>
          </cell>
          <cell r="C102" t="str">
            <v>UND</v>
          </cell>
          <cell r="D102">
            <v>299000</v>
          </cell>
        </row>
        <row r="103">
          <cell r="B103" t="str">
            <v>MEZCLADOR</v>
          </cell>
          <cell r="C103" t="str">
            <v>UND</v>
          </cell>
          <cell r="D103">
            <v>19000</v>
          </cell>
        </row>
        <row r="104">
          <cell r="B104" t="str">
            <v>MANGUERA 1/2 X 1/2</v>
          </cell>
          <cell r="C104" t="str">
            <v>UND</v>
          </cell>
          <cell r="D104">
            <v>5000</v>
          </cell>
        </row>
        <row r="105">
          <cell r="B105" t="str">
            <v>PINTURA GRIS BASALTO</v>
          </cell>
          <cell r="C105" t="str">
            <v>GAL</v>
          </cell>
          <cell r="D105">
            <v>26800</v>
          </cell>
        </row>
        <row r="106">
          <cell r="B106" t="str">
            <v>PINTURA BARNIZ</v>
          </cell>
          <cell r="C106" t="str">
            <v>GAL</v>
          </cell>
          <cell r="D106">
            <v>25000</v>
          </cell>
        </row>
        <row r="107">
          <cell r="B107" t="str">
            <v>TUBO CONDUIT TIPO PESADO</v>
          </cell>
          <cell r="C107" t="str">
            <v>ML</v>
          </cell>
          <cell r="D107">
            <v>1500</v>
          </cell>
        </row>
        <row r="108">
          <cell r="B108" t="str">
            <v>ESTUCO</v>
          </cell>
          <cell r="C108" t="str">
            <v>KG</v>
          </cell>
          <cell r="D108">
            <v>750</v>
          </cell>
        </row>
        <row r="109">
          <cell r="B109" t="str">
            <v>MURO EN BLOUE</v>
          </cell>
          <cell r="C109" t="str">
            <v>M2</v>
          </cell>
          <cell r="D109">
            <v>15800</v>
          </cell>
        </row>
        <row r="110">
          <cell r="B110" t="str">
            <v>DURMIENTES EN MADERA DE .05X.1</v>
          </cell>
          <cell r="C110" t="str">
            <v>ML</v>
          </cell>
          <cell r="D110">
            <v>4000</v>
          </cell>
        </row>
        <row r="111">
          <cell r="B111" t="str">
            <v>MACHIMBRE PARA PISO</v>
          </cell>
          <cell r="C111" t="str">
            <v>M2</v>
          </cell>
          <cell r="D111">
            <v>12000</v>
          </cell>
        </row>
        <row r="112">
          <cell r="B112" t="str">
            <v>ESTACAS DE MADERA</v>
          </cell>
          <cell r="C112" t="str">
            <v>UND</v>
          </cell>
          <cell r="D112">
            <v>500</v>
          </cell>
        </row>
        <row r="113">
          <cell r="B113" t="str">
            <v>DILATACIONES</v>
          </cell>
          <cell r="C113" t="str">
            <v>ML</v>
          </cell>
          <cell r="D113">
            <v>650</v>
          </cell>
        </row>
        <row r="114">
          <cell r="B114" t="str">
            <v>CONCRETO DE 3000 PSI</v>
          </cell>
          <cell r="C114" t="str">
            <v>M3</v>
          </cell>
          <cell r="D114">
            <v>253931</v>
          </cell>
        </row>
        <row r="115">
          <cell r="B115" t="str">
            <v>BREA</v>
          </cell>
          <cell r="C115" t="str">
            <v>KG</v>
          </cell>
          <cell r="D115">
            <v>650</v>
          </cell>
        </row>
        <row r="116">
          <cell r="B116" t="str">
            <v>HIERRO DE REFUERZO</v>
          </cell>
          <cell r="C116" t="str">
            <v>KG</v>
          </cell>
          <cell r="D116">
            <v>1950</v>
          </cell>
        </row>
        <row r="117">
          <cell r="B117" t="str">
            <v>PASADORES DE CARGA</v>
          </cell>
          <cell r="C117" t="str">
            <v>ML</v>
          </cell>
          <cell r="D117">
            <v>790</v>
          </cell>
        </row>
        <row r="118">
          <cell r="B118" t="str">
            <v xml:space="preserve">SUB BASE GRANULAR </v>
          </cell>
          <cell r="C118" t="str">
            <v>M3</v>
          </cell>
          <cell r="D118">
            <v>32000</v>
          </cell>
        </row>
        <row r="119">
          <cell r="B119" t="str">
            <v>PEGO PARA LOSA</v>
          </cell>
          <cell r="C119" t="str">
            <v>KG</v>
          </cell>
          <cell r="D119">
            <v>770</v>
          </cell>
        </row>
        <row r="120">
          <cell r="B120" t="str">
            <v>ENCHAPE DE PISOS</v>
          </cell>
          <cell r="C120" t="str">
            <v>M2</v>
          </cell>
          <cell r="D120">
            <v>17265</v>
          </cell>
        </row>
        <row r="121">
          <cell r="B121" t="str">
            <v>ENCHAPE DE MUROS</v>
          </cell>
          <cell r="C121" t="str">
            <v>M2</v>
          </cell>
          <cell r="D121">
            <v>15250</v>
          </cell>
        </row>
        <row r="122">
          <cell r="B122" t="str">
            <v>LAMPARA FLUORESCENTE SENCILLA</v>
          </cell>
          <cell r="C122" t="str">
            <v>UND</v>
          </cell>
          <cell r="D122">
            <v>16000</v>
          </cell>
        </row>
        <row r="123">
          <cell r="B123" t="str">
            <v>TASA  SANITARIA Cr 102 DE CORONA</v>
          </cell>
          <cell r="C123" t="str">
            <v>UND</v>
          </cell>
          <cell r="D123">
            <v>125000</v>
          </cell>
        </row>
        <row r="124">
          <cell r="B124" t="str">
            <v>TUBO NOVAFORT 8"</v>
          </cell>
          <cell r="C124" t="str">
            <v>ML</v>
          </cell>
          <cell r="D124">
            <v>19243</v>
          </cell>
        </row>
        <row r="125">
          <cell r="B125" t="str">
            <v>MORTERO DE 3000 PSI</v>
          </cell>
          <cell r="C125" t="str">
            <v>M3</v>
          </cell>
          <cell r="D125">
            <v>148778</v>
          </cell>
        </row>
        <row r="126">
          <cell r="B126" t="str">
            <v>TUBO PVC-P 3/4"</v>
          </cell>
          <cell r="C126" t="str">
            <v>ML</v>
          </cell>
          <cell r="D126">
            <v>1000</v>
          </cell>
        </row>
        <row r="127">
          <cell r="B127" t="str">
            <v>ACCESORIO PVC P 3/4"</v>
          </cell>
          <cell r="C127" t="str">
            <v>UND</v>
          </cell>
          <cell r="D127">
            <v>850</v>
          </cell>
        </row>
        <row r="128">
          <cell r="B128" t="str">
            <v>SILLA YEE 8X6</v>
          </cell>
          <cell r="C128" t="str">
            <v>UND</v>
          </cell>
          <cell r="D128">
            <v>24100</v>
          </cell>
        </row>
        <row r="129">
          <cell r="B129" t="str">
            <v>UNION PVC S 6"</v>
          </cell>
          <cell r="C129" t="str">
            <v>UND</v>
          </cell>
          <cell r="D129">
            <v>10675</v>
          </cell>
        </row>
        <row r="130">
          <cell r="B130" t="str">
            <v>ADHESIVO</v>
          </cell>
          <cell r="C130" t="str">
            <v>GAL</v>
          </cell>
          <cell r="D130">
            <v>58000</v>
          </cell>
        </row>
        <row r="131">
          <cell r="B131" t="str">
            <v>ACONDICIONADOR</v>
          </cell>
          <cell r="C131" t="str">
            <v>GAL</v>
          </cell>
          <cell r="D131">
            <v>52812</v>
          </cell>
        </row>
        <row r="132">
          <cell r="B132" t="str">
            <v xml:space="preserve">CAJA DE INSPECCION </v>
          </cell>
          <cell r="C132" t="str">
            <v>UND</v>
          </cell>
          <cell r="D132">
            <v>55000</v>
          </cell>
        </row>
        <row r="133">
          <cell r="B133" t="str">
            <v>TUBERIA PVC RDE 21 6"</v>
          </cell>
          <cell r="C133" t="str">
            <v>ML</v>
          </cell>
          <cell r="D133">
            <v>40407</v>
          </cell>
        </row>
        <row r="134">
          <cell r="B134" t="str">
            <v>ACCESORIOS PVC P 1/2"</v>
          </cell>
          <cell r="C134" t="str">
            <v>UND</v>
          </cell>
          <cell r="D134">
            <v>450</v>
          </cell>
        </row>
        <row r="135">
          <cell r="B135" t="str">
            <v>UNION DE REPARACION DE 10"</v>
          </cell>
          <cell r="C135" t="str">
            <v>UND</v>
          </cell>
          <cell r="D135">
            <v>262478</v>
          </cell>
        </row>
        <row r="136">
          <cell r="B136" t="str">
            <v>REDUCCION HF 10X6</v>
          </cell>
          <cell r="C136" t="str">
            <v>UND</v>
          </cell>
          <cell r="D136">
            <v>191400</v>
          </cell>
        </row>
        <row r="137">
          <cell r="B137" t="str">
            <v>VALVULA DE COMPUERTA DE EXT.LISO</v>
          </cell>
          <cell r="C137" t="str">
            <v>UND</v>
          </cell>
          <cell r="D137">
            <v>870250</v>
          </cell>
        </row>
        <row r="138">
          <cell r="B138" t="str">
            <v>CODO PVC P 6"</v>
          </cell>
          <cell r="C138" t="str">
            <v>UND</v>
          </cell>
          <cell r="D138">
            <v>182360</v>
          </cell>
        </row>
        <row r="139">
          <cell r="B139" t="str">
            <v>REDUCCION HF 6X4</v>
          </cell>
          <cell r="C139" t="str">
            <v>UND</v>
          </cell>
          <cell r="D139">
            <v>58700</v>
          </cell>
        </row>
        <row r="140">
          <cell r="B140" t="str">
            <v>TEE HF 6X6X3</v>
          </cell>
          <cell r="C140" t="str">
            <v>UND</v>
          </cell>
          <cell r="D140">
            <v>84216</v>
          </cell>
        </row>
        <row r="141">
          <cell r="B141" t="str">
            <v>TEE 4X4X3 PVC P</v>
          </cell>
          <cell r="C141" t="str">
            <v>UND</v>
          </cell>
          <cell r="D141">
            <v>71922</v>
          </cell>
        </row>
        <row r="142">
          <cell r="B142" t="str">
            <v>TEE 4X3X2 PVC P</v>
          </cell>
          <cell r="C142" t="str">
            <v>UND</v>
          </cell>
          <cell r="D142">
            <v>61375</v>
          </cell>
        </row>
        <row r="143">
          <cell r="B143" t="str">
            <v>CRUCETA 4X4X2X2 HF</v>
          </cell>
          <cell r="C143" t="str">
            <v>UND</v>
          </cell>
          <cell r="D143">
            <v>63800</v>
          </cell>
        </row>
        <row r="144">
          <cell r="B144" t="str">
            <v>CRUCETA DE 3X3X2X2 HF</v>
          </cell>
          <cell r="C144" t="str">
            <v>UND</v>
          </cell>
          <cell r="D144">
            <v>43384</v>
          </cell>
        </row>
        <row r="145">
          <cell r="B145" t="str">
            <v>TEE 3X3X2 PVC</v>
          </cell>
          <cell r="C145" t="str">
            <v>UND</v>
          </cell>
          <cell r="D145">
            <v>40367</v>
          </cell>
        </row>
        <row r="146">
          <cell r="B146" t="str">
            <v>REDUCCION 3X2 PVC P</v>
          </cell>
          <cell r="C146" t="str">
            <v>UND</v>
          </cell>
          <cell r="D146">
            <v>5172</v>
          </cell>
        </row>
        <row r="147">
          <cell r="B147" t="str">
            <v>CODO 3" 90 RADIO LARGO</v>
          </cell>
          <cell r="C147" t="str">
            <v>UND</v>
          </cell>
          <cell r="D147">
            <v>35637</v>
          </cell>
        </row>
        <row r="148">
          <cell r="B148" t="str">
            <v>TEE 2X2X2 PVC</v>
          </cell>
          <cell r="C148" t="str">
            <v>UND</v>
          </cell>
          <cell r="D148">
            <v>21143</v>
          </cell>
        </row>
        <row r="149">
          <cell r="B149" t="str">
            <v>CRUCETA 2X2X2X2 HF</v>
          </cell>
          <cell r="C149" t="str">
            <v>UND</v>
          </cell>
          <cell r="D149">
            <v>33176</v>
          </cell>
        </row>
        <row r="150">
          <cell r="B150" t="str">
            <v>TAPON PVC P 2"</v>
          </cell>
          <cell r="C150" t="str">
            <v>UND</v>
          </cell>
          <cell r="D150">
            <v>1664</v>
          </cell>
        </row>
        <row r="151">
          <cell r="B151" t="str">
            <v>COLLAR DE DERIVACION 3 X 1/2</v>
          </cell>
          <cell r="C151" t="str">
            <v>UND</v>
          </cell>
          <cell r="D151">
            <v>8278</v>
          </cell>
        </row>
        <row r="152">
          <cell r="B152" t="str">
            <v>COLLAR DE DERIVACIÓN 2 X 1/2"</v>
          </cell>
          <cell r="C152" t="str">
            <v>UND</v>
          </cell>
          <cell r="D152">
            <v>3100</v>
          </cell>
        </row>
        <row r="153">
          <cell r="B153" t="str">
            <v>CAJA DE REGISTRO</v>
          </cell>
          <cell r="C153" t="str">
            <v>UND</v>
          </cell>
          <cell r="D153">
            <v>19500</v>
          </cell>
        </row>
        <row r="154">
          <cell r="B154" t="str">
            <v>TAPA CAJA DE REGISTRO HF</v>
          </cell>
          <cell r="C154" t="str">
            <v>UND</v>
          </cell>
          <cell r="D154">
            <v>25000</v>
          </cell>
        </row>
        <row r="155">
          <cell r="B155" t="str">
            <v>EXCAVACIÓN MANUAL</v>
          </cell>
          <cell r="C155" t="str">
            <v>M3</v>
          </cell>
          <cell r="D155">
            <v>13029</v>
          </cell>
        </row>
        <row r="156">
          <cell r="B156" t="str">
            <v xml:space="preserve">CABALLETE </v>
          </cell>
          <cell r="C156" t="str">
            <v>UND</v>
          </cell>
          <cell r="D156">
            <v>9600</v>
          </cell>
        </row>
        <row r="157">
          <cell r="B157" t="str">
            <v>CEMENTO BLANCO</v>
          </cell>
          <cell r="C157" t="str">
            <v>KG</v>
          </cell>
          <cell r="D157">
            <v>550</v>
          </cell>
        </row>
        <row r="158">
          <cell r="B158" t="str">
            <v>LAVAMANOS SENCILLO CORONA</v>
          </cell>
          <cell r="C158" t="str">
            <v>UND</v>
          </cell>
          <cell r="D158">
            <v>45500</v>
          </cell>
        </row>
        <row r="159">
          <cell r="B159" t="str">
            <v>LLAVES PARA LAVAMANOS GRIFER</v>
          </cell>
          <cell r="C159" t="str">
            <v>UND</v>
          </cell>
          <cell r="D159">
            <v>11700</v>
          </cell>
        </row>
        <row r="160">
          <cell r="B160" t="str">
            <v xml:space="preserve">CURVAS 1/2 T.L </v>
          </cell>
          <cell r="C160" t="str">
            <v>UND</v>
          </cell>
          <cell r="D160">
            <v>100</v>
          </cell>
        </row>
        <row r="161">
          <cell r="B161" t="str">
            <v>CAJAS RECTANGULARES</v>
          </cell>
          <cell r="C161" t="str">
            <v>UND</v>
          </cell>
          <cell r="D161">
            <v>500</v>
          </cell>
        </row>
        <row r="162">
          <cell r="B162" t="str">
            <v>CAJAS OCTOGONALES</v>
          </cell>
          <cell r="C162" t="str">
            <v>UND</v>
          </cell>
          <cell r="D162">
            <v>500</v>
          </cell>
        </row>
        <row r="163">
          <cell r="B163" t="str">
            <v>APAGADOR SENCILLO LUMINEX</v>
          </cell>
          <cell r="C163" t="str">
            <v>UND</v>
          </cell>
          <cell r="D163">
            <v>2700</v>
          </cell>
        </row>
        <row r="164">
          <cell r="B164" t="str">
            <v>APAGADOR DOBLE LUMINEX</v>
          </cell>
          <cell r="C164" t="str">
            <v>UND</v>
          </cell>
          <cell r="D164">
            <v>3900</v>
          </cell>
        </row>
        <row r="165">
          <cell r="B165" t="str">
            <v>TOMA DOBLE</v>
          </cell>
          <cell r="C165" t="str">
            <v>UND</v>
          </cell>
          <cell r="D165">
            <v>3600</v>
          </cell>
        </row>
        <row r="166">
          <cell r="B166" t="str">
            <v>POLO A TIERRA LUMINEX</v>
          </cell>
          <cell r="C166" t="str">
            <v>UND</v>
          </cell>
          <cell r="D166">
            <v>3800</v>
          </cell>
        </row>
        <row r="167">
          <cell r="B167" t="str">
            <v>ACCESORIOS ELECTRICOS</v>
          </cell>
          <cell r="C167" t="str">
            <v>UND</v>
          </cell>
          <cell r="D167">
            <v>6000</v>
          </cell>
        </row>
        <row r="168">
          <cell r="B168" t="str">
            <v>CAJA CONTADOR</v>
          </cell>
          <cell r="C168" t="str">
            <v>UND</v>
          </cell>
          <cell r="D168">
            <v>16500</v>
          </cell>
        </row>
        <row r="169">
          <cell r="B169" t="str">
            <v>TABELON</v>
          </cell>
          <cell r="C169" t="str">
            <v>UND</v>
          </cell>
          <cell r="D169">
            <v>2900</v>
          </cell>
        </row>
        <row r="170">
          <cell r="B170" t="str">
            <v>RIEL IPN 100</v>
          </cell>
          <cell r="C170" t="str">
            <v>ML</v>
          </cell>
          <cell r="D170">
            <v>15250</v>
          </cell>
        </row>
        <row r="171">
          <cell r="B171" t="str">
            <v>MINERAL AMERICANO</v>
          </cell>
          <cell r="C171" t="str">
            <v>KG</v>
          </cell>
          <cell r="D171">
            <v>6000</v>
          </cell>
        </row>
        <row r="172">
          <cell r="B172" t="str">
            <v>REJA METALICA EN  TUBO 1 X 1</v>
          </cell>
          <cell r="C172" t="str">
            <v>ML</v>
          </cell>
          <cell r="D172">
            <v>35000</v>
          </cell>
        </row>
        <row r="173">
          <cell r="B173" t="str">
            <v>SOLDADURA</v>
          </cell>
          <cell r="C173" t="str">
            <v>KG</v>
          </cell>
          <cell r="D173">
            <v>900</v>
          </cell>
        </row>
        <row r="174">
          <cell r="B174" t="str">
            <v>PINTURA PARA TABLERO X 1/4</v>
          </cell>
          <cell r="C174" t="str">
            <v>1/4 GAL</v>
          </cell>
          <cell r="D174">
            <v>25000</v>
          </cell>
        </row>
        <row r="175">
          <cell r="B175" t="str">
            <v>PIRLAN DE BRONCE</v>
          </cell>
          <cell r="C175" t="str">
            <v>ML</v>
          </cell>
          <cell r="D175">
            <v>1900</v>
          </cell>
        </row>
        <row r="179">
          <cell r="C179" t="str">
            <v>UND</v>
          </cell>
          <cell r="D179">
            <v>84216</v>
          </cell>
        </row>
        <row r="180">
          <cell r="E180">
            <v>0</v>
          </cell>
        </row>
        <row r="182">
          <cell r="B182" t="str">
            <v>NOMBRE</v>
          </cell>
          <cell r="C182" t="str">
            <v>UNIDAD</v>
          </cell>
          <cell r="D182" t="str">
            <v>PRECIO</v>
          </cell>
        </row>
        <row r="183">
          <cell r="B183" t="str">
            <v>MAESTRO</v>
          </cell>
          <cell r="C183" t="str">
            <v>JORNAL</v>
          </cell>
          <cell r="D183">
            <v>30000</v>
          </cell>
          <cell r="E183">
            <v>0</v>
          </cell>
        </row>
        <row r="184">
          <cell r="B184" t="str">
            <v>OFICIAL</v>
          </cell>
          <cell r="C184" t="str">
            <v>JORNAL</v>
          </cell>
          <cell r="D184">
            <v>21890</v>
          </cell>
          <cell r="E184">
            <v>4660456.5123128798</v>
          </cell>
        </row>
        <row r="185">
          <cell r="B185" t="str">
            <v>OBRERO</v>
          </cell>
          <cell r="C185" t="str">
            <v>JORNAL</v>
          </cell>
          <cell r="D185">
            <v>14960</v>
          </cell>
          <cell r="E185">
            <v>6337855.3783221534</v>
          </cell>
        </row>
        <row r="186">
          <cell r="B186" t="str">
            <v>EQUIPO DE TOPOGRAFIA</v>
          </cell>
          <cell r="C186" t="str">
            <v>DIA</v>
          </cell>
          <cell r="D186">
            <v>100000</v>
          </cell>
          <cell r="E186">
            <v>0</v>
          </cell>
        </row>
        <row r="187">
          <cell r="B187" t="str">
            <v>METALURGICO</v>
          </cell>
          <cell r="C187" t="str">
            <v>DIA</v>
          </cell>
          <cell r="D187">
            <v>80000</v>
          </cell>
          <cell r="E187">
            <v>0</v>
          </cell>
        </row>
        <row r="188">
          <cell r="B188" t="str">
            <v>TECNICO ELECTRICO</v>
          </cell>
          <cell r="C188" t="str">
            <v>DIA</v>
          </cell>
          <cell r="D188">
            <v>40000</v>
          </cell>
          <cell r="E188">
            <v>0</v>
          </cell>
        </row>
        <row r="189">
          <cell r="B189" t="str">
            <v>xxx</v>
          </cell>
          <cell r="E189">
            <v>0</v>
          </cell>
        </row>
        <row r="190">
          <cell r="B190" t="str">
            <v>xxx</v>
          </cell>
          <cell r="E190">
            <v>0</v>
          </cell>
        </row>
        <row r="191">
          <cell r="B191" t="str">
            <v>xxx</v>
          </cell>
          <cell r="E191">
            <v>0</v>
          </cell>
        </row>
        <row r="192">
          <cell r="B192" t="str">
            <v>xxx</v>
          </cell>
          <cell r="E192">
            <v>0</v>
          </cell>
        </row>
        <row r="194">
          <cell r="B194" t="str">
            <v>NOMBRE</v>
          </cell>
          <cell r="C194" t="str">
            <v>UNIDAD</v>
          </cell>
          <cell r="D194" t="str">
            <v>PRECIO</v>
          </cell>
        </row>
        <row r="195">
          <cell r="B195" t="str">
            <v>HERRAMIENTA MENOR</v>
          </cell>
          <cell r="C195" t="str">
            <v>UND</v>
          </cell>
          <cell r="D195">
            <v>0</v>
          </cell>
          <cell r="E195">
            <v>587101.82053175161</v>
          </cell>
        </row>
        <row r="196">
          <cell r="B196" t="str">
            <v>FORMALETA</v>
          </cell>
          <cell r="C196" t="str">
            <v>GLB</v>
          </cell>
          <cell r="D196">
            <v>20000</v>
          </cell>
          <cell r="E196">
            <v>0</v>
          </cell>
        </row>
        <row r="197">
          <cell r="B197" t="str">
            <v>ESTACAS MADERA</v>
          </cell>
          <cell r="C197" t="str">
            <v>UND</v>
          </cell>
          <cell r="D197">
            <v>500</v>
          </cell>
          <cell r="E197">
            <v>0</v>
          </cell>
        </row>
        <row r="198">
          <cell r="B198" t="str">
            <v>BOMBA SUMERGIBLE</v>
          </cell>
          <cell r="C198" t="str">
            <v>UND</v>
          </cell>
          <cell r="D198">
            <v>2250000</v>
          </cell>
          <cell r="E198">
            <v>0</v>
          </cell>
        </row>
        <row r="199">
          <cell r="B199" t="str">
            <v>TEJA ACEROLIT</v>
          </cell>
          <cell r="C199" t="str">
            <v>UND</v>
          </cell>
          <cell r="D199">
            <v>15000</v>
          </cell>
          <cell r="E199">
            <v>0</v>
          </cell>
        </row>
        <row r="200">
          <cell r="B200" t="str">
            <v>PUERTA EN LAMINA</v>
          </cell>
          <cell r="C200" t="str">
            <v>UND</v>
          </cell>
          <cell r="D200">
            <v>58000</v>
          </cell>
          <cell r="E200">
            <v>0</v>
          </cell>
        </row>
        <row r="201">
          <cell r="B201" t="str">
            <v>HERRAMIENTA M.</v>
          </cell>
          <cell r="C201" t="str">
            <v>UND</v>
          </cell>
          <cell r="D201">
            <v>250</v>
          </cell>
          <cell r="E201">
            <v>0</v>
          </cell>
        </row>
        <row r="202">
          <cell r="B202" t="str">
            <v>HERRAMIENTAS MENOR</v>
          </cell>
          <cell r="C202" t="str">
            <v>UND</v>
          </cell>
          <cell r="D202">
            <v>1000</v>
          </cell>
          <cell r="E202">
            <v>0</v>
          </cell>
        </row>
        <row r="203">
          <cell r="B203" t="str">
            <v>FORMALETA EN MADERA PULIDA</v>
          </cell>
          <cell r="C203" t="str">
            <v>ML</v>
          </cell>
          <cell r="D203">
            <v>2300</v>
          </cell>
          <cell r="E203">
            <v>340400</v>
          </cell>
        </row>
        <row r="204">
          <cell r="B204" t="str">
            <v>XXX</v>
          </cell>
          <cell r="E204">
            <v>0</v>
          </cell>
        </row>
        <row r="205">
          <cell r="B205" t="str">
            <v>XXX</v>
          </cell>
          <cell r="E205">
            <v>0</v>
          </cell>
        </row>
        <row r="206">
          <cell r="B206" t="str">
            <v>XXX</v>
          </cell>
          <cell r="E206">
            <v>0</v>
          </cell>
        </row>
        <row r="207">
          <cell r="B207" t="str">
            <v>XXX</v>
          </cell>
          <cell r="E207">
            <v>0</v>
          </cell>
        </row>
        <row r="208">
          <cell r="B208" t="str">
            <v>XXX</v>
          </cell>
          <cell r="E208">
            <v>0</v>
          </cell>
        </row>
        <row r="209">
          <cell r="B209" t="str">
            <v>XXX</v>
          </cell>
          <cell r="E209">
            <v>0</v>
          </cell>
        </row>
        <row r="210">
          <cell r="B210" t="str">
            <v>XXX</v>
          </cell>
          <cell r="E210">
            <v>0</v>
          </cell>
        </row>
        <row r="211">
          <cell r="B211" t="str">
            <v>XXX</v>
          </cell>
          <cell r="E211">
            <v>0</v>
          </cell>
        </row>
        <row r="212">
          <cell r="B212" t="str">
            <v>XXX</v>
          </cell>
          <cell r="E212">
            <v>0</v>
          </cell>
        </row>
        <row r="213">
          <cell r="B213" t="str">
            <v>XXX</v>
          </cell>
          <cell r="E213">
            <v>0</v>
          </cell>
        </row>
        <row r="214">
          <cell r="B214" t="str">
            <v>XXX</v>
          </cell>
          <cell r="E214">
            <v>0</v>
          </cell>
        </row>
        <row r="215">
          <cell r="B215" t="str">
            <v>XXX</v>
          </cell>
          <cell r="E215">
            <v>0</v>
          </cell>
        </row>
        <row r="216">
          <cell r="B216" t="str">
            <v>XXX</v>
          </cell>
          <cell r="E216">
            <v>0</v>
          </cell>
        </row>
      </sheetData>
      <sheetData sheetId="3" refreshError="1"/>
      <sheetData sheetId="4" refreshError="1"/>
      <sheetData sheetId="5" refreshError="1"/>
      <sheetData sheetId="6" refreshError="1"/>
      <sheetData sheetId="7"/>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sheetData sheetId="24"/>
      <sheetData sheetId="25"/>
      <sheetData sheetId="26"/>
      <sheetData sheetId="27"/>
      <sheetData sheetId="28" refreshError="1"/>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1"/>
      <sheetName val="2"/>
      <sheetName val="3"/>
      <sheetName val="4"/>
      <sheetName val="5"/>
      <sheetName val="6"/>
      <sheetName val="7"/>
      <sheetName val="8"/>
      <sheetName val="9"/>
    </sheetNames>
    <sheetDataSet>
      <sheetData sheetId="0"/>
      <sheetData sheetId="1"/>
      <sheetData sheetId="2">
        <row r="212">
          <cell r="B212" t="str">
            <v>ALAMBRE  No. 8 AWG</v>
          </cell>
        </row>
        <row r="213">
          <cell r="B213" t="str">
            <v>DUCTO CONDUIT ELECTR. PVC  1/2"</v>
          </cell>
        </row>
      </sheetData>
      <sheetData sheetId="3"/>
      <sheetData sheetId="4"/>
      <sheetData sheetId="5"/>
      <sheetData sheetId="6"/>
      <sheetData sheetId="7"/>
      <sheetData sheetId="8"/>
      <sheetData sheetId="9"/>
      <sheetData sheetId="10"/>
      <sheetData sheetId="11"/>
      <sheetData sheetId="12"/>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ACEROS"/>
      <sheetName val="1"/>
      <sheetName val="2"/>
      <sheetName val="4"/>
      <sheetName val="3"/>
      <sheetName val="5"/>
      <sheetName val="6"/>
      <sheetName val="7"/>
      <sheetName val="8"/>
      <sheetName val="9"/>
      <sheetName val="10"/>
      <sheetName val="11"/>
      <sheetName val="12"/>
      <sheetName val="13"/>
      <sheetName val="14"/>
      <sheetName val="15"/>
      <sheetName val="16"/>
      <sheetName val="A.1"/>
      <sheetName val="A.2"/>
      <sheetName val="CANT. MAT."/>
      <sheetName val="17"/>
      <sheetName val="18"/>
      <sheetName val="19"/>
      <sheetName val="20"/>
      <sheetName val="21"/>
      <sheetName val="22"/>
      <sheetName val="23"/>
      <sheetName val="24"/>
      <sheetName val="14."/>
      <sheetName val="15."/>
    </sheetNames>
    <sheetDataSet>
      <sheetData sheetId="0"/>
      <sheetData sheetId="1" refreshError="1"/>
      <sheetData sheetId="2">
        <row r="4">
          <cell r="B4" t="str">
            <v/>
          </cell>
        </row>
        <row r="5">
          <cell r="B5" t="str">
            <v>VALOR</v>
          </cell>
          <cell r="C5" t="str">
            <v>NOMBRE</v>
          </cell>
        </row>
        <row r="7">
          <cell r="B7">
            <v>0.1</v>
          </cell>
          <cell r="C7" t="str">
            <v>ADMINISTRACION</v>
          </cell>
        </row>
        <row r="8">
          <cell r="B8">
            <v>0.05</v>
          </cell>
          <cell r="C8" t="str">
            <v>IMPREVISTOS</v>
          </cell>
        </row>
        <row r="9">
          <cell r="B9">
            <v>0.1</v>
          </cell>
          <cell r="C9" t="str">
            <v>UTILIDAD</v>
          </cell>
        </row>
        <row r="10">
          <cell r="B10">
            <v>0.25</v>
          </cell>
          <cell r="C10" t="str">
            <v>AIU</v>
          </cell>
        </row>
        <row r="11">
          <cell r="B11">
            <v>0.93</v>
          </cell>
          <cell r="C11" t="str">
            <v>PREST SOCIALES</v>
          </cell>
        </row>
        <row r="12">
          <cell r="C12" t="str">
            <v>IVA</v>
          </cell>
        </row>
        <row r="19">
          <cell r="B19" t="str">
            <v>NOMBRE</v>
          </cell>
          <cell r="C19" t="str">
            <v>UNIDAD</v>
          </cell>
          <cell r="D19" t="str">
            <v>PRECIO</v>
          </cell>
        </row>
        <row r="20">
          <cell r="B20" t="str">
            <v>RETROEXCAVADORA</v>
          </cell>
          <cell r="C20" t="str">
            <v>HORA</v>
          </cell>
          <cell r="D20">
            <v>50000</v>
          </cell>
          <cell r="E20">
            <v>0</v>
          </cell>
          <cell r="F20">
            <v>0</v>
          </cell>
        </row>
        <row r="21">
          <cell r="B21" t="str">
            <v>BULLDOZER D6</v>
          </cell>
          <cell r="C21" t="str">
            <v>HORA</v>
          </cell>
          <cell r="D21">
            <v>45000</v>
          </cell>
          <cell r="E21">
            <v>0</v>
          </cell>
          <cell r="F21">
            <v>0</v>
          </cell>
        </row>
        <row r="22">
          <cell r="B22" t="str">
            <v>BULLDOZER D8</v>
          </cell>
          <cell r="C22" t="str">
            <v>HORA</v>
          </cell>
          <cell r="D22">
            <v>85000</v>
          </cell>
          <cell r="E22">
            <v>0</v>
          </cell>
          <cell r="F22">
            <v>0</v>
          </cell>
        </row>
        <row r="23">
          <cell r="B23" t="str">
            <v>MOTONIVELADORA</v>
          </cell>
          <cell r="C23" t="str">
            <v>HORA</v>
          </cell>
          <cell r="D23">
            <v>50000</v>
          </cell>
          <cell r="E23">
            <v>0</v>
          </cell>
          <cell r="F23">
            <v>0</v>
          </cell>
        </row>
        <row r="24">
          <cell r="B24" t="str">
            <v>VIBROCOMPACTADOR</v>
          </cell>
          <cell r="C24" t="str">
            <v>HORA</v>
          </cell>
          <cell r="D24">
            <v>35000</v>
          </cell>
          <cell r="E24">
            <v>0</v>
          </cell>
          <cell r="F24">
            <v>0</v>
          </cell>
        </row>
        <row r="25">
          <cell r="B25" t="str">
            <v>CARROTANQUE</v>
          </cell>
          <cell r="C25" t="str">
            <v>HORA</v>
          </cell>
          <cell r="E25">
            <v>0</v>
          </cell>
          <cell r="F25">
            <v>0</v>
          </cell>
        </row>
        <row r="26">
          <cell r="B26" t="str">
            <v>RETROCARGADOR</v>
          </cell>
          <cell r="C26" t="str">
            <v>HORA</v>
          </cell>
          <cell r="E26">
            <v>0</v>
          </cell>
          <cell r="F26">
            <v>0</v>
          </cell>
        </row>
        <row r="27">
          <cell r="B27" t="str">
            <v xml:space="preserve">VOLQUETA </v>
          </cell>
          <cell r="C27" t="str">
            <v>M3</v>
          </cell>
          <cell r="D27">
            <v>2500</v>
          </cell>
          <cell r="E27">
            <v>0</v>
          </cell>
          <cell r="F27">
            <v>0</v>
          </cell>
        </row>
        <row r="28">
          <cell r="B28" t="str">
            <v>VOLQUETA POR HORAS</v>
          </cell>
          <cell r="C28" t="str">
            <v>HORA</v>
          </cell>
          <cell r="D28">
            <v>400</v>
          </cell>
          <cell r="E28">
            <v>0</v>
          </cell>
          <cell r="F28">
            <v>0</v>
          </cell>
        </row>
        <row r="29">
          <cell r="B29" t="str">
            <v>MEZCLADORA</v>
          </cell>
          <cell r="C29" t="str">
            <v>HORA</v>
          </cell>
          <cell r="D29">
            <v>9000</v>
          </cell>
          <cell r="E29">
            <v>0</v>
          </cell>
          <cell r="F29">
            <v>0</v>
          </cell>
        </row>
        <row r="30">
          <cell r="B30" t="str">
            <v>VIBRADOR ELECTRICO</v>
          </cell>
          <cell r="C30" t="str">
            <v>d/M</v>
          </cell>
          <cell r="D30">
            <v>43000</v>
          </cell>
          <cell r="E30">
            <v>0</v>
          </cell>
          <cell r="F30">
            <v>0</v>
          </cell>
        </row>
        <row r="31">
          <cell r="B31" t="str">
            <v>EQ. DE PERFORACION</v>
          </cell>
          <cell r="C31" t="str">
            <v>HORA</v>
          </cell>
          <cell r="D31">
            <v>25000</v>
          </cell>
          <cell r="E31">
            <v>0</v>
          </cell>
          <cell r="F31">
            <v>0</v>
          </cell>
        </row>
        <row r="32">
          <cell r="B32" t="str">
            <v xml:space="preserve">ANDAMIO METALICO </v>
          </cell>
          <cell r="C32" t="str">
            <v>d/M</v>
          </cell>
          <cell r="D32">
            <v>800</v>
          </cell>
          <cell r="E32">
            <v>0</v>
          </cell>
          <cell r="F32">
            <v>0</v>
          </cell>
        </row>
        <row r="33">
          <cell r="B33" t="str">
            <v>COMPRESOR</v>
          </cell>
          <cell r="C33" t="str">
            <v>HORA</v>
          </cell>
          <cell r="D33">
            <v>5000</v>
          </cell>
          <cell r="E33">
            <v>0</v>
          </cell>
          <cell r="F33">
            <v>0</v>
          </cell>
        </row>
        <row r="34">
          <cell r="B34" t="str">
            <v>MOTOBOMA</v>
          </cell>
          <cell r="C34" t="str">
            <v>HORA</v>
          </cell>
          <cell r="D34">
            <v>20000</v>
          </cell>
          <cell r="E34">
            <v>0</v>
          </cell>
          <cell r="F34">
            <v>0</v>
          </cell>
        </row>
        <row r="35">
          <cell r="B35" t="str">
            <v>VOLQUETA</v>
          </cell>
          <cell r="C35" t="str">
            <v>M3/KM</v>
          </cell>
          <cell r="D35">
            <v>300</v>
          </cell>
          <cell r="E35">
            <v>0</v>
          </cell>
          <cell r="F35">
            <v>0</v>
          </cell>
        </row>
        <row r="36">
          <cell r="B36" t="str">
            <v>EQUIPO DE TOPOGRAFIA</v>
          </cell>
          <cell r="C36" t="str">
            <v>DIA</v>
          </cell>
          <cell r="D36">
            <v>80000</v>
          </cell>
          <cell r="E36">
            <v>0</v>
          </cell>
          <cell r="F36">
            <v>0</v>
          </cell>
        </row>
        <row r="37">
          <cell r="B37" t="str">
            <v>XXX</v>
          </cell>
          <cell r="C37" t="str">
            <v>HORA</v>
          </cell>
          <cell r="E37">
            <v>0</v>
          </cell>
          <cell r="F37">
            <v>0</v>
          </cell>
        </row>
        <row r="38">
          <cell r="B38" t="str">
            <v>XXX</v>
          </cell>
          <cell r="C38" t="str">
            <v>HORA</v>
          </cell>
          <cell r="E38">
            <v>0</v>
          </cell>
          <cell r="F38">
            <v>0</v>
          </cell>
        </row>
        <row r="39">
          <cell r="B39" t="str">
            <v>XXX</v>
          </cell>
          <cell r="C39" t="str">
            <v>HORA</v>
          </cell>
          <cell r="E39">
            <v>0</v>
          </cell>
          <cell r="F39">
            <v>0</v>
          </cell>
        </row>
        <row r="42">
          <cell r="B42" t="str">
            <v>NOMBRE</v>
          </cell>
          <cell r="C42" t="str">
            <v>UNIDAD</v>
          </cell>
          <cell r="D42" t="str">
            <v>PRECIO</v>
          </cell>
        </row>
        <row r="43">
          <cell r="B43" t="str">
            <v>ARENA</v>
          </cell>
          <cell r="C43" t="str">
            <v>M3</v>
          </cell>
          <cell r="D43">
            <v>9000</v>
          </cell>
          <cell r="E43">
            <v>0</v>
          </cell>
        </row>
        <row r="44">
          <cell r="B44" t="str">
            <v>TRITURADO</v>
          </cell>
          <cell r="C44" t="str">
            <v>M3</v>
          </cell>
          <cell r="D44">
            <v>60000</v>
          </cell>
          <cell r="E44">
            <v>0</v>
          </cell>
        </row>
        <row r="45">
          <cell r="B45" t="str">
            <v>CEMENTO</v>
          </cell>
          <cell r="C45" t="str">
            <v>KG</v>
          </cell>
          <cell r="D45">
            <v>440</v>
          </cell>
          <cell r="E45">
            <v>0</v>
          </cell>
        </row>
        <row r="46">
          <cell r="B46" t="str">
            <v>AGUA</v>
          </cell>
          <cell r="C46" t="str">
            <v>LT</v>
          </cell>
          <cell r="D46">
            <v>10</v>
          </cell>
          <cell r="E46">
            <v>0</v>
          </cell>
        </row>
        <row r="47">
          <cell r="B47" t="str">
            <v>BLOQUE MACIZO DE CEMENTO 0.1×0.2×0.4</v>
          </cell>
          <cell r="C47" t="str">
            <v>UND</v>
          </cell>
          <cell r="D47">
            <v>650</v>
          </cell>
          <cell r="E47">
            <v>0</v>
          </cell>
        </row>
        <row r="48">
          <cell r="B48" t="str">
            <v>Hierro 4200 kg/cm2</v>
          </cell>
          <cell r="C48" t="str">
            <v>KG</v>
          </cell>
          <cell r="D48">
            <v>1100</v>
          </cell>
          <cell r="E48">
            <v>0</v>
          </cell>
        </row>
        <row r="49">
          <cell r="B49" t="str">
            <v>ALAMBRE NEGRO</v>
          </cell>
          <cell r="C49" t="str">
            <v>KG</v>
          </cell>
          <cell r="D49">
            <v>1500</v>
          </cell>
          <cell r="E49">
            <v>0</v>
          </cell>
        </row>
        <row r="50">
          <cell r="B50" t="str">
            <v>PLATINA 1/4"* 4"</v>
          </cell>
          <cell r="C50" t="str">
            <v>ML</v>
          </cell>
          <cell r="D50">
            <v>5000</v>
          </cell>
          <cell r="E50">
            <v>0</v>
          </cell>
        </row>
        <row r="51">
          <cell r="B51" t="str">
            <v>TUBERIA PVC  RDE 21 1"</v>
          </cell>
          <cell r="C51" t="str">
            <v>ML</v>
          </cell>
          <cell r="D51">
            <v>1000</v>
          </cell>
          <cell r="E51">
            <v>0</v>
          </cell>
        </row>
        <row r="52">
          <cell r="B52" t="str">
            <v>TUBERIA PVC  RDE 21 1 1/4"</v>
          </cell>
          <cell r="C52" t="str">
            <v>ML</v>
          </cell>
          <cell r="D52">
            <v>1670</v>
          </cell>
          <cell r="E52">
            <v>0</v>
          </cell>
        </row>
        <row r="53">
          <cell r="B53" t="str">
            <v>TUBERIA PVC RDE 21  1 1/2"</v>
          </cell>
          <cell r="C53" t="str">
            <v>ML</v>
          </cell>
          <cell r="D53">
            <v>2200</v>
          </cell>
          <cell r="E53">
            <v>0</v>
          </cell>
        </row>
        <row r="54">
          <cell r="B54" t="str">
            <v>TUBERIA PVC RDE 21  2"</v>
          </cell>
          <cell r="C54" t="str">
            <v>ML</v>
          </cell>
          <cell r="D54">
            <v>6024</v>
          </cell>
          <cell r="E54">
            <v>0</v>
          </cell>
        </row>
        <row r="55">
          <cell r="B55" t="str">
            <v>TUBERIA PVC RDE 21  2 1/2"</v>
          </cell>
          <cell r="C55" t="str">
            <v>ML</v>
          </cell>
          <cell r="D55">
            <v>2500</v>
          </cell>
          <cell r="E55">
            <v>0</v>
          </cell>
        </row>
        <row r="56">
          <cell r="B56" t="str">
            <v>TUBERIA PVC RDE 21  3"</v>
          </cell>
          <cell r="C56" t="str">
            <v>ML</v>
          </cell>
          <cell r="D56">
            <v>5000</v>
          </cell>
          <cell r="E56">
            <v>0</v>
          </cell>
        </row>
        <row r="57">
          <cell r="B57" t="str">
            <v>TUBERIA PVC RDE 21  4"</v>
          </cell>
          <cell r="C57" t="str">
            <v>ML</v>
          </cell>
          <cell r="D57">
            <v>6000</v>
          </cell>
          <cell r="E57">
            <v>0</v>
          </cell>
        </row>
        <row r="58">
          <cell r="B58" t="str">
            <v>ACCESORIOS PVC 1 1/4"</v>
          </cell>
          <cell r="C58" t="str">
            <v>UND</v>
          </cell>
          <cell r="D58">
            <v>1400</v>
          </cell>
          <cell r="E58">
            <v>0</v>
          </cell>
        </row>
        <row r="59">
          <cell r="B59" t="str">
            <v>ACCESORIOS PVC 1 1/2"</v>
          </cell>
          <cell r="C59" t="str">
            <v>UND</v>
          </cell>
          <cell r="D59">
            <v>1800</v>
          </cell>
          <cell r="E59">
            <v>0</v>
          </cell>
        </row>
        <row r="60">
          <cell r="B60" t="str">
            <v>ACCESORIOS PVC 2"</v>
          </cell>
          <cell r="C60" t="str">
            <v>UND</v>
          </cell>
          <cell r="D60">
            <v>2200</v>
          </cell>
          <cell r="E60">
            <v>0</v>
          </cell>
        </row>
        <row r="61">
          <cell r="B61" t="str">
            <v>ACCESORIOS PVC 2 1/2"</v>
          </cell>
          <cell r="C61" t="str">
            <v>UND</v>
          </cell>
          <cell r="D61">
            <v>4200</v>
          </cell>
          <cell r="E61">
            <v>0</v>
          </cell>
        </row>
        <row r="62">
          <cell r="B62" t="str">
            <v>ACCESORIOS PVC 3"</v>
          </cell>
          <cell r="C62" t="str">
            <v>UND</v>
          </cell>
          <cell r="D62">
            <v>8200</v>
          </cell>
          <cell r="E62">
            <v>0</v>
          </cell>
        </row>
        <row r="63">
          <cell r="B63" t="str">
            <v>ACCESORIOS PVC 4"</v>
          </cell>
          <cell r="C63" t="str">
            <v>UND</v>
          </cell>
          <cell r="D63">
            <v>4600</v>
          </cell>
          <cell r="E63">
            <v>0</v>
          </cell>
        </row>
        <row r="64">
          <cell r="B64" t="str">
            <v>LIMPIADOR PVC</v>
          </cell>
          <cell r="C64" t="str">
            <v>1/4 GAL</v>
          </cell>
          <cell r="D64">
            <v>25000</v>
          </cell>
          <cell r="E64">
            <v>0</v>
          </cell>
        </row>
        <row r="65">
          <cell r="B65" t="str">
            <v>SOLDADURA PVC</v>
          </cell>
          <cell r="C65" t="str">
            <v>1/4 GAL</v>
          </cell>
          <cell r="D65">
            <v>27000</v>
          </cell>
          <cell r="E65">
            <v>0</v>
          </cell>
        </row>
        <row r="66">
          <cell r="B66" t="str">
            <v>COLLAR DE DERIVACION</v>
          </cell>
          <cell r="C66" t="str">
            <v>UND</v>
          </cell>
          <cell r="D66">
            <v>3500</v>
          </cell>
          <cell r="E66">
            <v>0</v>
          </cell>
        </row>
        <row r="67">
          <cell r="B67" t="str">
            <v>REGISTRO DE INCORPORACION</v>
          </cell>
          <cell r="C67" t="str">
            <v>UND</v>
          </cell>
          <cell r="D67">
            <v>1500</v>
          </cell>
          <cell r="E67">
            <v>0</v>
          </cell>
        </row>
        <row r="68">
          <cell r="B68" t="str">
            <v>MANGUERA FLEXIBLE</v>
          </cell>
          <cell r="C68" t="str">
            <v>ML</v>
          </cell>
          <cell r="D68">
            <v>1500</v>
          </cell>
          <cell r="E68">
            <v>0</v>
          </cell>
        </row>
        <row r="69">
          <cell r="B69" t="str">
            <v>MORTERO 1:3</v>
          </cell>
          <cell r="C69" t="str">
            <v>LT</v>
          </cell>
          <cell r="D69">
            <v>200</v>
          </cell>
          <cell r="E69">
            <v>0</v>
          </cell>
        </row>
        <row r="70">
          <cell r="B70" t="str">
            <v>ACCESORIOS PVC 1/2"</v>
          </cell>
          <cell r="C70" t="str">
            <v>UND</v>
          </cell>
          <cell r="D70">
            <v>350</v>
          </cell>
          <cell r="E70">
            <v>0</v>
          </cell>
        </row>
        <row r="71">
          <cell r="B71" t="str">
            <v>TUBERIA PVC 6"</v>
          </cell>
          <cell r="C71" t="str">
            <v>ML</v>
          </cell>
          <cell r="D71">
            <v>12922</v>
          </cell>
          <cell r="E71">
            <v>0</v>
          </cell>
        </row>
        <row r="72">
          <cell r="B72" t="str">
            <v>ACCESORIOS PVC 6"</v>
          </cell>
          <cell r="C72" t="str">
            <v>UND</v>
          </cell>
          <cell r="D72">
            <v>16000</v>
          </cell>
          <cell r="E72">
            <v>0</v>
          </cell>
        </row>
        <row r="73">
          <cell r="B73" t="str">
            <v>GRAVILLA No 2</v>
          </cell>
          <cell r="C73" t="str">
            <v>M3</v>
          </cell>
          <cell r="D73">
            <v>90000</v>
          </cell>
          <cell r="E73">
            <v>0</v>
          </cell>
        </row>
        <row r="74">
          <cell r="B74" t="str">
            <v>LAMINA DE ICOPOR  e= 2 Cm</v>
          </cell>
          <cell r="C74" t="str">
            <v>UND</v>
          </cell>
          <cell r="D74">
            <v>4500</v>
          </cell>
          <cell r="E74">
            <v>0</v>
          </cell>
        </row>
        <row r="75">
          <cell r="B75" t="str">
            <v>RIELES DE ALUMINIO</v>
          </cell>
          <cell r="C75" t="str">
            <v>ML</v>
          </cell>
          <cell r="D75">
            <v>8500</v>
          </cell>
          <cell r="E75">
            <v>0</v>
          </cell>
        </row>
        <row r="76">
          <cell r="B76" t="str">
            <v>ASFALTO SOLIDO</v>
          </cell>
          <cell r="C76" t="str">
            <v>KG</v>
          </cell>
          <cell r="D76">
            <v>200</v>
          </cell>
          <cell r="E76">
            <v>0</v>
          </cell>
        </row>
        <row r="77">
          <cell r="B77" t="str">
            <v>ACRILICO TRANSPARENTE</v>
          </cell>
          <cell r="C77" t="str">
            <v>M2</v>
          </cell>
          <cell r="D77">
            <v>60000</v>
          </cell>
          <cell r="E77">
            <v>0</v>
          </cell>
        </row>
        <row r="78">
          <cell r="B78" t="str">
            <v>ARMADURA METALICA</v>
          </cell>
          <cell r="C78" t="str">
            <v>ML</v>
          </cell>
          <cell r="D78">
            <v>22000</v>
          </cell>
          <cell r="E78">
            <v>0</v>
          </cell>
        </row>
        <row r="79">
          <cell r="B79" t="str">
            <v>PINTURA DE VINILO</v>
          </cell>
          <cell r="C79" t="str">
            <v>GAL</v>
          </cell>
          <cell r="D79">
            <v>33550</v>
          </cell>
          <cell r="E79">
            <v>0</v>
          </cell>
        </row>
        <row r="80">
          <cell r="B80" t="str">
            <v>HOJA METALICA Cal 20</v>
          </cell>
          <cell r="C80" t="str">
            <v>M2</v>
          </cell>
          <cell r="D80">
            <v>9500</v>
          </cell>
        </row>
        <row r="81">
          <cell r="B81" t="str">
            <v>TUBO METALICO 2X11/2</v>
          </cell>
          <cell r="C81" t="str">
            <v>ML</v>
          </cell>
          <cell r="D81">
            <v>3450</v>
          </cell>
        </row>
        <row r="82">
          <cell r="B82" t="str">
            <v>TUBO  METALICO 1X1</v>
          </cell>
          <cell r="C82" t="str">
            <v>ML</v>
          </cell>
          <cell r="D82">
            <v>5900</v>
          </cell>
        </row>
        <row r="83">
          <cell r="B83" t="str">
            <v>VIDRIO</v>
          </cell>
          <cell r="C83" t="str">
            <v>M2</v>
          </cell>
          <cell r="D83">
            <v>17500</v>
          </cell>
        </row>
        <row r="84">
          <cell r="B84" t="str">
            <v xml:space="preserve">TEJA ONDULADA ETERNIT Nº8 2,4×0,9 </v>
          </cell>
          <cell r="C84" t="str">
            <v>M2</v>
          </cell>
          <cell r="D84">
            <v>23000</v>
          </cell>
        </row>
        <row r="85">
          <cell r="B85" t="str">
            <v>CANALETA 90</v>
          </cell>
          <cell r="C85" t="str">
            <v>M2</v>
          </cell>
          <cell r="D85">
            <v>20000</v>
          </cell>
        </row>
        <row r="86">
          <cell r="B86" t="str">
            <v>AMARRE ALAMBRE TEJA AC</v>
          </cell>
          <cell r="C86" t="str">
            <v>UN</v>
          </cell>
          <cell r="D86">
            <v>50</v>
          </cell>
        </row>
        <row r="87">
          <cell r="B87" t="str">
            <v>ESMALTE DOMESTICO</v>
          </cell>
          <cell r="C87" t="str">
            <v>GAL</v>
          </cell>
          <cell r="D87">
            <v>33700</v>
          </cell>
        </row>
        <row r="88">
          <cell r="B88" t="str">
            <v>TABLA ORDINARIA</v>
          </cell>
          <cell r="C88" t="str">
            <v>ML</v>
          </cell>
          <cell r="D88">
            <v>1500</v>
          </cell>
        </row>
        <row r="89">
          <cell r="B89" t="str">
            <v>PUNTILLAS</v>
          </cell>
          <cell r="C89" t="str">
            <v>LB</v>
          </cell>
          <cell r="D89">
            <v>1500</v>
          </cell>
        </row>
        <row r="90">
          <cell r="B90" t="str">
            <v>PIEDRA BOLA</v>
          </cell>
          <cell r="C90" t="str">
            <v>M3</v>
          </cell>
          <cell r="D90">
            <v>14000</v>
          </cell>
        </row>
        <row r="91">
          <cell r="B91" t="str">
            <v xml:space="preserve">CABALLETE </v>
          </cell>
          <cell r="C91" t="str">
            <v>UN</v>
          </cell>
          <cell r="D91">
            <v>9600</v>
          </cell>
        </row>
        <row r="92">
          <cell r="B92" t="str">
            <v>BLOQUE EN ARCILLA H5</v>
          </cell>
          <cell r="C92" t="str">
            <v>UND</v>
          </cell>
          <cell r="D92">
            <v>550</v>
          </cell>
        </row>
        <row r="93">
          <cell r="B93" t="str">
            <v>PINTURA EN ANTICORROSIVO</v>
          </cell>
          <cell r="C93" t="str">
            <v>GAL</v>
          </cell>
          <cell r="D93">
            <v>24800</v>
          </cell>
        </row>
        <row r="94">
          <cell r="B94" t="str">
            <v>AMARRE DE ALAMBRE</v>
          </cell>
          <cell r="C94" t="str">
            <v>UND</v>
          </cell>
          <cell r="D94">
            <v>60</v>
          </cell>
        </row>
        <row r="95">
          <cell r="B95" t="str">
            <v>PUERTAVENTANA</v>
          </cell>
          <cell r="C95" t="str">
            <v>M2</v>
          </cell>
          <cell r="D95">
            <v>38000</v>
          </cell>
        </row>
        <row r="96">
          <cell r="B96" t="str">
            <v>CHAPA</v>
          </cell>
          <cell r="C96" t="str">
            <v>UND</v>
          </cell>
          <cell r="D96">
            <v>13000</v>
          </cell>
        </row>
        <row r="97">
          <cell r="B97" t="str">
            <v>DILATACIONES</v>
          </cell>
          <cell r="C97" t="str">
            <v>ML</v>
          </cell>
          <cell r="D97">
            <v>950</v>
          </cell>
        </row>
        <row r="98">
          <cell r="B98" t="str">
            <v>ACESORIOS ELECTRICOS</v>
          </cell>
          <cell r="C98" t="str">
            <v>GL</v>
          </cell>
        </row>
        <row r="99">
          <cell r="B99" t="str">
            <v>CABLE No 12</v>
          </cell>
          <cell r="C99" t="str">
            <v>ML</v>
          </cell>
          <cell r="D99">
            <v>230</v>
          </cell>
        </row>
        <row r="100">
          <cell r="B100" t="str">
            <v>TUBO CONDUIT TIPO LIVIANO</v>
          </cell>
          <cell r="C100" t="str">
            <v>ML</v>
          </cell>
          <cell r="D100">
            <v>500</v>
          </cell>
        </row>
        <row r="101">
          <cell r="B101" t="str">
            <v>VENTANA METALICA</v>
          </cell>
          <cell r="C101" t="str">
            <v>M2</v>
          </cell>
          <cell r="D101">
            <v>45000</v>
          </cell>
        </row>
        <row r="102">
          <cell r="B102" t="str">
            <v>LAVAPLATOS INOXIDABLE</v>
          </cell>
          <cell r="C102" t="str">
            <v>UND</v>
          </cell>
          <cell r="D102">
            <v>299000</v>
          </cell>
        </row>
        <row r="103">
          <cell r="B103" t="str">
            <v>MEZCLADOR</v>
          </cell>
          <cell r="C103" t="str">
            <v>UND</v>
          </cell>
          <cell r="D103">
            <v>19000</v>
          </cell>
        </row>
        <row r="104">
          <cell r="B104" t="str">
            <v>MANGUERA 1/2 X 1/2</v>
          </cell>
          <cell r="C104" t="str">
            <v>UND</v>
          </cell>
          <cell r="D104">
            <v>5000</v>
          </cell>
        </row>
        <row r="105">
          <cell r="B105" t="str">
            <v>PINTURA ESMALTE</v>
          </cell>
          <cell r="C105" t="str">
            <v>GAL</v>
          </cell>
          <cell r="D105">
            <v>39000</v>
          </cell>
        </row>
        <row r="106">
          <cell r="B106" t="str">
            <v>PINTURA BARNIZ</v>
          </cell>
          <cell r="C106" t="str">
            <v>GAL</v>
          </cell>
          <cell r="D106">
            <v>25000</v>
          </cell>
        </row>
        <row r="107">
          <cell r="B107" t="str">
            <v>CAL PROMICAL</v>
          </cell>
          <cell r="C107" t="str">
            <v>KG</v>
          </cell>
          <cell r="D107">
            <v>120</v>
          </cell>
        </row>
        <row r="108">
          <cell r="B108" t="str">
            <v>ESTUCO</v>
          </cell>
          <cell r="C108" t="str">
            <v>KG</v>
          </cell>
          <cell r="D108">
            <v>750</v>
          </cell>
        </row>
        <row r="109">
          <cell r="B109" t="str">
            <v>MURO EN BLOUE</v>
          </cell>
          <cell r="C109" t="str">
            <v>M2</v>
          </cell>
          <cell r="D109">
            <v>15800</v>
          </cell>
        </row>
        <row r="110">
          <cell r="B110" t="str">
            <v>DURMIENTES EN MADERA DE .06X.1</v>
          </cell>
          <cell r="C110" t="str">
            <v>ML</v>
          </cell>
          <cell r="D110">
            <v>2000</v>
          </cell>
        </row>
        <row r="111">
          <cell r="B111" t="str">
            <v>MACHIMBRE PARA PISO</v>
          </cell>
          <cell r="C111" t="str">
            <v>M2</v>
          </cell>
          <cell r="D111">
            <v>15000</v>
          </cell>
        </row>
        <row r="112">
          <cell r="B112" t="str">
            <v>ESTACAS DE MADERA</v>
          </cell>
          <cell r="C112" t="str">
            <v>UND</v>
          </cell>
          <cell r="D112">
            <v>500</v>
          </cell>
        </row>
        <row r="113">
          <cell r="B113" t="str">
            <v>DILATACIONES</v>
          </cell>
          <cell r="C113" t="str">
            <v>ML</v>
          </cell>
          <cell r="D113">
            <v>650</v>
          </cell>
        </row>
        <row r="114">
          <cell r="B114" t="str">
            <v>CONCRETO DE 1:2:3½</v>
          </cell>
          <cell r="C114" t="str">
            <v>M3</v>
          </cell>
          <cell r="D114">
            <v>207201.951</v>
          </cell>
        </row>
        <row r="115">
          <cell r="B115" t="str">
            <v>BREA</v>
          </cell>
          <cell r="C115" t="str">
            <v>KG</v>
          </cell>
          <cell r="D115">
            <v>650</v>
          </cell>
        </row>
        <row r="116">
          <cell r="B116" t="str">
            <v>HIERRO DE REFUERZO Ø=½"</v>
          </cell>
          <cell r="C116" t="str">
            <v>KG</v>
          </cell>
          <cell r="D116">
            <v>1200</v>
          </cell>
        </row>
        <row r="117">
          <cell r="B117" t="str">
            <v>HIERRO DE REFUERZO Ø=3/8"</v>
          </cell>
          <cell r="C117" t="str">
            <v>KG</v>
          </cell>
          <cell r="D117">
            <v>1100</v>
          </cell>
        </row>
        <row r="118">
          <cell r="B118" t="str">
            <v xml:space="preserve">SUB BASE GRANULAR </v>
          </cell>
          <cell r="C118" t="str">
            <v>M3</v>
          </cell>
          <cell r="D118">
            <v>32000</v>
          </cell>
        </row>
        <row r="119">
          <cell r="B119" t="str">
            <v>PEGO PARA LOSA</v>
          </cell>
          <cell r="C119" t="str">
            <v>KG</v>
          </cell>
          <cell r="D119">
            <v>770</v>
          </cell>
        </row>
        <row r="120">
          <cell r="B120" t="str">
            <v>ENCHAPE DE PISOS 0.30x0.30 TIPO PESADO</v>
          </cell>
          <cell r="C120" t="str">
            <v>M2</v>
          </cell>
          <cell r="D120">
            <v>19725</v>
          </cell>
        </row>
        <row r="121">
          <cell r="B121" t="str">
            <v>ENCHAPE DE MUROS</v>
          </cell>
          <cell r="C121" t="str">
            <v>M2</v>
          </cell>
          <cell r="D121">
            <v>15250</v>
          </cell>
        </row>
        <row r="122">
          <cell r="B122" t="str">
            <v>LAMPARA FLUORESCENTE SENCILLA</v>
          </cell>
          <cell r="C122" t="str">
            <v>UND</v>
          </cell>
          <cell r="D122">
            <v>24500</v>
          </cell>
        </row>
        <row r="123">
          <cell r="B123" t="str">
            <v>TASA  SANITARIA Cr 102 DE CORONA</v>
          </cell>
          <cell r="C123" t="str">
            <v>UND</v>
          </cell>
          <cell r="D123">
            <v>125000</v>
          </cell>
        </row>
        <row r="124">
          <cell r="B124" t="str">
            <v>TUBO NOVAFORT 8"</v>
          </cell>
          <cell r="C124" t="str">
            <v>ML</v>
          </cell>
          <cell r="D124">
            <v>19243</v>
          </cell>
        </row>
        <row r="125">
          <cell r="B125" t="str">
            <v>MORTERO 1:4</v>
          </cell>
          <cell r="C125" t="str">
            <v>M3</v>
          </cell>
          <cell r="D125">
            <v>174184.701</v>
          </cell>
        </row>
        <row r="126">
          <cell r="B126" t="str">
            <v>KEROSENE</v>
          </cell>
          <cell r="C126" t="str">
            <v>GAL</v>
          </cell>
          <cell r="D126">
            <v>2000</v>
          </cell>
        </row>
        <row r="127">
          <cell r="B127" t="str">
            <v>MANTO IMPER. 3mm CON PINTURA PLACA</v>
          </cell>
          <cell r="C127" t="str">
            <v>UND</v>
          </cell>
          <cell r="D127">
            <v>13650</v>
          </cell>
        </row>
        <row r="128">
          <cell r="B128" t="str">
            <v>SEGUETA</v>
          </cell>
          <cell r="C128" t="str">
            <v>UND</v>
          </cell>
          <cell r="D128">
            <v>2500</v>
          </cell>
        </row>
        <row r="129">
          <cell r="B129" t="str">
            <v>UNION PVC S 6"</v>
          </cell>
          <cell r="C129" t="str">
            <v>UND</v>
          </cell>
          <cell r="D129">
            <v>10675</v>
          </cell>
        </row>
        <row r="130">
          <cell r="B130" t="str">
            <v>ADHESIVO</v>
          </cell>
          <cell r="C130" t="str">
            <v>GAL</v>
          </cell>
          <cell r="D130">
            <v>58000</v>
          </cell>
        </row>
        <row r="131">
          <cell r="B131" t="str">
            <v>ACONDICIONADOR</v>
          </cell>
          <cell r="C131" t="str">
            <v>GAL</v>
          </cell>
          <cell r="D131">
            <v>52812</v>
          </cell>
        </row>
        <row r="132">
          <cell r="B132" t="str">
            <v>CAJA DE INSPECCION  .6 X .6 mt</v>
          </cell>
          <cell r="C132" t="str">
            <v>UND</v>
          </cell>
          <cell r="D132">
            <v>40000</v>
          </cell>
        </row>
        <row r="133">
          <cell r="B133" t="str">
            <v>TUBERIA PVC RDE 21 6"</v>
          </cell>
          <cell r="C133" t="str">
            <v>ML</v>
          </cell>
          <cell r="D133">
            <v>40407</v>
          </cell>
        </row>
        <row r="134">
          <cell r="B134" t="str">
            <v>TUBERIA PVC P 1/2</v>
          </cell>
          <cell r="C134" t="str">
            <v>UND</v>
          </cell>
          <cell r="D134">
            <v>500</v>
          </cell>
        </row>
        <row r="135">
          <cell r="B135" t="str">
            <v>UNION DE REPARACION DE 10"</v>
          </cell>
          <cell r="C135" t="str">
            <v>UND</v>
          </cell>
          <cell r="D135">
            <v>262478</v>
          </cell>
        </row>
        <row r="136">
          <cell r="B136" t="str">
            <v>REDUCCION HF 10X6</v>
          </cell>
          <cell r="C136" t="str">
            <v>UND</v>
          </cell>
          <cell r="D136">
            <v>191400</v>
          </cell>
        </row>
        <row r="137">
          <cell r="B137" t="str">
            <v>VALVULA DE COMPUERTA DE EXT.LISO</v>
          </cell>
          <cell r="C137" t="str">
            <v>UND</v>
          </cell>
          <cell r="D137">
            <v>870250</v>
          </cell>
        </row>
        <row r="138">
          <cell r="B138" t="str">
            <v>CODO PVC P 6"</v>
          </cell>
          <cell r="C138" t="str">
            <v>UND</v>
          </cell>
          <cell r="D138">
            <v>182360</v>
          </cell>
        </row>
        <row r="139">
          <cell r="B139" t="str">
            <v>REDUCCION HF 6X4</v>
          </cell>
          <cell r="C139" t="str">
            <v>UND</v>
          </cell>
          <cell r="D139">
            <v>58700</v>
          </cell>
        </row>
        <row r="140">
          <cell r="B140" t="str">
            <v>TEE HF 6X6X3</v>
          </cell>
          <cell r="C140" t="str">
            <v>UND</v>
          </cell>
          <cell r="D140">
            <v>84216</v>
          </cell>
        </row>
        <row r="141">
          <cell r="B141" t="str">
            <v>TEE 4X4X3 PVC P</v>
          </cell>
          <cell r="C141" t="str">
            <v>UND</v>
          </cell>
          <cell r="D141">
            <v>71922</v>
          </cell>
        </row>
        <row r="142">
          <cell r="B142" t="str">
            <v>TEE 4X3X2 PVC P</v>
          </cell>
          <cell r="C142" t="str">
            <v>UND</v>
          </cell>
          <cell r="D142">
            <v>61375</v>
          </cell>
        </row>
        <row r="143">
          <cell r="B143" t="str">
            <v>CRUCETA 4X4X2X2 HF</v>
          </cell>
          <cell r="C143" t="str">
            <v>UND</v>
          </cell>
          <cell r="D143">
            <v>63800</v>
          </cell>
        </row>
        <row r="144">
          <cell r="B144" t="str">
            <v>CRUCETA DE 3X3X2X2 HF</v>
          </cell>
          <cell r="C144" t="str">
            <v>UND</v>
          </cell>
          <cell r="D144">
            <v>43384</v>
          </cell>
        </row>
        <row r="145">
          <cell r="B145" t="str">
            <v>TEE 3X3X2 PVC</v>
          </cell>
          <cell r="C145" t="str">
            <v>UND</v>
          </cell>
          <cell r="D145">
            <v>40367</v>
          </cell>
        </row>
        <row r="146">
          <cell r="B146" t="str">
            <v>REDUCCION 3X2 PVC P</v>
          </cell>
          <cell r="C146" t="str">
            <v>UND</v>
          </cell>
          <cell r="D146">
            <v>5172</v>
          </cell>
        </row>
        <row r="147">
          <cell r="B147" t="str">
            <v>CODO 3" 90 RADIO LARGO</v>
          </cell>
          <cell r="C147" t="str">
            <v>UND</v>
          </cell>
          <cell r="D147">
            <v>35637</v>
          </cell>
        </row>
        <row r="148">
          <cell r="B148" t="str">
            <v>TEE 2X2X2 PVC</v>
          </cell>
          <cell r="C148" t="str">
            <v>UND</v>
          </cell>
          <cell r="D148">
            <v>21143</v>
          </cell>
        </row>
        <row r="149">
          <cell r="B149" t="str">
            <v>CRUCETA 2X2X2X2 HF</v>
          </cell>
          <cell r="C149" t="str">
            <v>UND</v>
          </cell>
          <cell r="D149">
            <v>33176</v>
          </cell>
        </row>
        <row r="150">
          <cell r="B150" t="str">
            <v>TAPON PVC P 2"</v>
          </cell>
          <cell r="C150" t="str">
            <v>UND</v>
          </cell>
          <cell r="D150">
            <v>1664</v>
          </cell>
        </row>
        <row r="151">
          <cell r="B151" t="str">
            <v>COLLAR DE DERIVACION 3 X 1/2</v>
          </cell>
          <cell r="C151" t="str">
            <v>UND</v>
          </cell>
          <cell r="D151">
            <v>8278</v>
          </cell>
        </row>
        <row r="152">
          <cell r="B152" t="str">
            <v>COLLAR DE DERIVACIÓN 2 X 1/2"</v>
          </cell>
          <cell r="C152" t="str">
            <v>UND</v>
          </cell>
          <cell r="D152">
            <v>3100</v>
          </cell>
        </row>
        <row r="153">
          <cell r="B153" t="str">
            <v>CAJA DE REGISTRO</v>
          </cell>
          <cell r="C153" t="str">
            <v>UND</v>
          </cell>
          <cell r="D153">
            <v>19500</v>
          </cell>
        </row>
        <row r="154">
          <cell r="B154" t="str">
            <v>TAPA CAJA DE REGISTRO HF</v>
          </cell>
          <cell r="C154" t="str">
            <v>UND</v>
          </cell>
          <cell r="D154">
            <v>25000</v>
          </cell>
        </row>
        <row r="155">
          <cell r="B155" t="str">
            <v>EXCAVACIÓN MANUAL</v>
          </cell>
          <cell r="C155" t="str">
            <v>M3</v>
          </cell>
          <cell r="D155">
            <v>13029</v>
          </cell>
        </row>
        <row r="156">
          <cell r="B156" t="str">
            <v xml:space="preserve">CABALLETE </v>
          </cell>
          <cell r="C156" t="str">
            <v>UND</v>
          </cell>
          <cell r="D156">
            <v>9600</v>
          </cell>
        </row>
        <row r="157">
          <cell r="B157" t="str">
            <v>CEMENTO BLANCO</v>
          </cell>
          <cell r="C157" t="str">
            <v>KG</v>
          </cell>
          <cell r="D157">
            <v>550</v>
          </cell>
        </row>
        <row r="158">
          <cell r="B158" t="str">
            <v>LAVAMANOS SENCILLO CORONA</v>
          </cell>
          <cell r="C158" t="str">
            <v>UND</v>
          </cell>
          <cell r="D158">
            <v>45500</v>
          </cell>
        </row>
        <row r="159">
          <cell r="B159" t="str">
            <v>LLAVES PARA LAVAMANOS GRIFER</v>
          </cell>
          <cell r="C159" t="str">
            <v>UND</v>
          </cell>
          <cell r="D159">
            <v>11700</v>
          </cell>
        </row>
        <row r="160">
          <cell r="B160" t="str">
            <v xml:space="preserve">CURVAS 1/2 T.L </v>
          </cell>
          <cell r="C160" t="str">
            <v>UND</v>
          </cell>
          <cell r="D160">
            <v>100</v>
          </cell>
        </row>
        <row r="161">
          <cell r="B161" t="str">
            <v>CAJAS RECTANGULARES</v>
          </cell>
          <cell r="C161" t="str">
            <v>UND</v>
          </cell>
          <cell r="D161">
            <v>500</v>
          </cell>
        </row>
        <row r="162">
          <cell r="B162" t="str">
            <v>CAJAS OCTOGONALES</v>
          </cell>
          <cell r="C162" t="str">
            <v>UND</v>
          </cell>
          <cell r="D162">
            <v>500</v>
          </cell>
        </row>
        <row r="163">
          <cell r="B163" t="str">
            <v>APAGADOR SENCILLO LUMINEX</v>
          </cell>
          <cell r="C163" t="str">
            <v>UND</v>
          </cell>
          <cell r="D163">
            <v>2700</v>
          </cell>
        </row>
        <row r="164">
          <cell r="B164" t="str">
            <v>APAGADOR DOBLE LUMINEX</v>
          </cell>
          <cell r="C164" t="str">
            <v>UND</v>
          </cell>
          <cell r="D164">
            <v>3900</v>
          </cell>
        </row>
        <row r="165">
          <cell r="B165" t="str">
            <v>TOMA DOBLE</v>
          </cell>
          <cell r="C165" t="str">
            <v>UND</v>
          </cell>
          <cell r="D165">
            <v>3600</v>
          </cell>
        </row>
        <row r="166">
          <cell r="B166" t="str">
            <v>POLO A TIERRA LUMINEX</v>
          </cell>
          <cell r="C166" t="str">
            <v>UND</v>
          </cell>
          <cell r="D166">
            <v>3800</v>
          </cell>
        </row>
        <row r="167">
          <cell r="B167" t="str">
            <v>ACCESORIOS ELECTRICOS</v>
          </cell>
          <cell r="C167" t="str">
            <v>UND</v>
          </cell>
          <cell r="D167">
            <v>4500</v>
          </cell>
        </row>
        <row r="168">
          <cell r="B168" t="str">
            <v>CAJA CONTADOR</v>
          </cell>
          <cell r="C168" t="str">
            <v>UND</v>
          </cell>
          <cell r="D168">
            <v>16500</v>
          </cell>
        </row>
        <row r="169">
          <cell r="B169" t="str">
            <v>TABELON</v>
          </cell>
          <cell r="C169" t="str">
            <v>UND</v>
          </cell>
          <cell r="D169">
            <v>1800</v>
          </cell>
        </row>
        <row r="170">
          <cell r="B170" t="str">
            <v>RIEL IPN 100</v>
          </cell>
          <cell r="C170" t="str">
            <v>ML</v>
          </cell>
          <cell r="D170">
            <v>15250</v>
          </cell>
        </row>
        <row r="171">
          <cell r="B171" t="str">
            <v>ANGULO DE 1 1/2"× 1/8"</v>
          </cell>
          <cell r="C171" t="str">
            <v>KG</v>
          </cell>
          <cell r="D171">
            <v>2000</v>
          </cell>
        </row>
        <row r="172">
          <cell r="B172" t="str">
            <v>REJA METALICA EN  TUBO 1 X 1</v>
          </cell>
          <cell r="C172" t="str">
            <v>ML</v>
          </cell>
          <cell r="D172">
            <v>35000</v>
          </cell>
        </row>
        <row r="173">
          <cell r="B173" t="str">
            <v>SOLDADURA 6013 1/8"</v>
          </cell>
          <cell r="C173" t="str">
            <v>KG</v>
          </cell>
          <cell r="D173">
            <v>6000</v>
          </cell>
        </row>
        <row r="174">
          <cell r="B174" t="str">
            <v>PINTURA PARA TABLERO X 1/4</v>
          </cell>
          <cell r="C174" t="str">
            <v>1/4 GAL</v>
          </cell>
          <cell r="D174">
            <v>25000</v>
          </cell>
        </row>
        <row r="175">
          <cell r="B175" t="str">
            <v>RELLENO EN MATERIAL COMUN</v>
          </cell>
          <cell r="C175" t="str">
            <v>M3</v>
          </cell>
          <cell r="D175">
            <v>9000</v>
          </cell>
        </row>
        <row r="176">
          <cell r="B176" t="str">
            <v xml:space="preserve">CANAL METALICA </v>
          </cell>
          <cell r="C176" t="str">
            <v>ML</v>
          </cell>
          <cell r="D176">
            <v>10000</v>
          </cell>
        </row>
        <row r="177">
          <cell r="B177" t="str">
            <v>BISAGRAS</v>
          </cell>
          <cell r="C177" t="str">
            <v>UND</v>
          </cell>
          <cell r="D177">
            <v>2000</v>
          </cell>
        </row>
        <row r="178">
          <cell r="B178" t="str">
            <v>ACERO FIGURADO 60.000PSI Ø=½"</v>
          </cell>
          <cell r="C178" t="str">
            <v>KG</v>
          </cell>
          <cell r="D178">
            <v>1100</v>
          </cell>
        </row>
        <row r="179">
          <cell r="B179" t="str">
            <v>CLOSET DE MADERA</v>
          </cell>
          <cell r="C179" t="str">
            <v>UND</v>
          </cell>
          <cell r="D179">
            <v>280000</v>
          </cell>
        </row>
        <row r="180">
          <cell r="B180" t="str">
            <v>LIMPIADOR LIQUIDO</v>
          </cell>
          <cell r="C180" t="str">
            <v>FRASCO</v>
          </cell>
          <cell r="D180">
            <v>3500</v>
          </cell>
        </row>
        <row r="181">
          <cell r="B181" t="str">
            <v>CABLE No 10</v>
          </cell>
          <cell r="C181" t="str">
            <v>ML</v>
          </cell>
          <cell r="D181">
            <v>400</v>
          </cell>
        </row>
        <row r="182">
          <cell r="B182" t="str">
            <v>TACOS 30 AMP</v>
          </cell>
          <cell r="C182" t="str">
            <v>UND</v>
          </cell>
          <cell r="D182">
            <v>4700</v>
          </cell>
        </row>
        <row r="183">
          <cell r="B183" t="str">
            <v>FLOTADOR 3/4</v>
          </cell>
          <cell r="C183" t="str">
            <v>UND</v>
          </cell>
          <cell r="D183">
            <v>15000</v>
          </cell>
        </row>
        <row r="184">
          <cell r="B184" t="str">
            <v>IMPERABILIZANTE SIKA 1</v>
          </cell>
          <cell r="C184" t="str">
            <v>GAL</v>
          </cell>
          <cell r="D184">
            <v>12000</v>
          </cell>
        </row>
        <row r="185">
          <cell r="B185" t="str">
            <v>LADRILLO ROSADO</v>
          </cell>
          <cell r="C185" t="str">
            <v>UND</v>
          </cell>
          <cell r="D185">
            <v>450</v>
          </cell>
        </row>
        <row r="186">
          <cell r="B186" t="str">
            <v>HIERRO DE REFUERZO DE 60.000 PSI</v>
          </cell>
          <cell r="C186" t="str">
            <v>KG</v>
          </cell>
          <cell r="D186">
            <v>1300</v>
          </cell>
        </row>
        <row r="187">
          <cell r="B187" t="str">
            <v>TUBO METALICO DE3X1½</v>
          </cell>
          <cell r="C187" t="str">
            <v>ML</v>
          </cell>
          <cell r="D187">
            <v>3100</v>
          </cell>
        </row>
        <row r="188">
          <cell r="B188" t="str">
            <v>TUBO  PVC S 4"</v>
          </cell>
          <cell r="C188" t="str">
            <v>ML</v>
          </cell>
          <cell r="D188">
            <v>6000</v>
          </cell>
        </row>
        <row r="189">
          <cell r="B189" t="str">
            <v>TUBO PVC-S 2"</v>
          </cell>
          <cell r="C189" t="str">
            <v>ML</v>
          </cell>
          <cell r="D189">
            <v>3400</v>
          </cell>
        </row>
        <row r="190">
          <cell r="B190" t="str">
            <v>PINTURA SIKACOLOR</v>
          </cell>
          <cell r="C190" t="str">
            <v>GAL</v>
          </cell>
          <cell r="D190">
            <v>45000</v>
          </cell>
        </row>
        <row r="191">
          <cell r="B191" t="str">
            <v>CERCHA  EN VARILLA ADE 3/4 X 5/8</v>
          </cell>
          <cell r="C191" t="str">
            <v>ML</v>
          </cell>
          <cell r="D191">
            <v>21500</v>
          </cell>
        </row>
        <row r="192">
          <cell r="B192" t="str">
            <v>ENTRAMADO EN MADERA</v>
          </cell>
          <cell r="C192" t="str">
            <v>GLOBAL</v>
          </cell>
          <cell r="D192">
            <v>10000</v>
          </cell>
        </row>
        <row r="193">
          <cell r="B193" t="str">
            <v>CORREA DE ½ X 3/8</v>
          </cell>
          <cell r="C193" t="str">
            <v>ML</v>
          </cell>
          <cell r="D193">
            <v>10500</v>
          </cell>
        </row>
        <row r="194">
          <cell r="B194" t="str">
            <v>LAMINA DE ZINC</v>
          </cell>
          <cell r="C194" t="str">
            <v>M2</v>
          </cell>
          <cell r="D194">
            <v>3800</v>
          </cell>
        </row>
        <row r="195">
          <cell r="B195" t="str">
            <v>TUBO METALICO DE 4" X 2"</v>
          </cell>
          <cell r="C195" t="str">
            <v>ML</v>
          </cell>
          <cell r="D195">
            <v>23000</v>
          </cell>
        </row>
        <row r="196">
          <cell r="B196" t="str">
            <v>MALLA ESLABONADA h = 1,8 mt</v>
          </cell>
          <cell r="C196" t="str">
            <v>ML</v>
          </cell>
          <cell r="D196">
            <v>6800</v>
          </cell>
        </row>
        <row r="197">
          <cell r="B197" t="str">
            <v>PLATINA DE ½ X 3/16</v>
          </cell>
          <cell r="C197" t="str">
            <v>ML</v>
          </cell>
          <cell r="D197">
            <v>1000</v>
          </cell>
        </row>
        <row r="198">
          <cell r="B198" t="str">
            <v>TUBO NEGRO  2" TIPO PESADO</v>
          </cell>
          <cell r="C198" t="str">
            <v>ML</v>
          </cell>
          <cell r="D198">
            <v>7200</v>
          </cell>
        </row>
        <row r="199">
          <cell r="B199" t="str">
            <v>MALLA ESLABONADA cal. 12 2.5"×2.5"</v>
          </cell>
          <cell r="C199" t="str">
            <v>M2</v>
          </cell>
          <cell r="D199">
            <v>3900</v>
          </cell>
        </row>
        <row r="200">
          <cell r="B200" t="str">
            <v>ANGULO  DE 3/4 X 1/8</v>
          </cell>
          <cell r="C200" t="str">
            <v>ML</v>
          </cell>
          <cell r="D200">
            <v>2500</v>
          </cell>
        </row>
        <row r="201">
          <cell r="B201" t="str">
            <v>CONCRETO CICLOPEO</v>
          </cell>
          <cell r="C201" t="str">
            <v>M3</v>
          </cell>
          <cell r="D201">
            <v>210163</v>
          </cell>
        </row>
        <row r="202">
          <cell r="B202" t="str">
            <v>TINER</v>
          </cell>
          <cell r="C202" t="str">
            <v>LT</v>
          </cell>
          <cell r="D202">
            <v>2500</v>
          </cell>
        </row>
        <row r="203">
          <cell r="B203" t="str">
            <v>CABLE 1/0 AWG Cu THW</v>
          </cell>
          <cell r="C203" t="str">
            <v>KM</v>
          </cell>
          <cell r="D203">
            <v>7000</v>
          </cell>
        </row>
        <row r="204">
          <cell r="B204" t="str">
            <v>CABLE  2 AWG Cu THW</v>
          </cell>
          <cell r="C204" t="str">
            <v>KM</v>
          </cell>
          <cell r="D204">
            <v>4698000</v>
          </cell>
        </row>
        <row r="205">
          <cell r="B205" t="str">
            <v>DUCTO CONDUIT ELECTR. PVC  2"</v>
          </cell>
          <cell r="C205" t="str">
            <v>ML</v>
          </cell>
          <cell r="D205">
            <v>8000</v>
          </cell>
        </row>
        <row r="206">
          <cell r="B206" t="str">
            <v>CURVA 90 CONDUIT PVC 2"</v>
          </cell>
          <cell r="C206" t="str">
            <v>UNIDAD</v>
          </cell>
          <cell r="D206">
            <v>6300</v>
          </cell>
        </row>
        <row r="207">
          <cell r="B207" t="str">
            <v xml:space="preserve">ROSETA DE BAKELITA DE 4" </v>
          </cell>
          <cell r="C207" t="str">
            <v>UNIDAD</v>
          </cell>
          <cell r="D207">
            <v>920</v>
          </cell>
        </row>
        <row r="208">
          <cell r="B208" t="str">
            <v>TOMACORRIENTE POLO/TIERRA 15A LEVITON</v>
          </cell>
          <cell r="C208" t="str">
            <v>UNIDAD</v>
          </cell>
          <cell r="D208">
            <v>2500</v>
          </cell>
        </row>
        <row r="209">
          <cell r="B209" t="str">
            <v>INTERRUPTOR SENCILLO</v>
          </cell>
          <cell r="C209" t="str">
            <v>UNIDAD</v>
          </cell>
          <cell r="D209">
            <v>3400</v>
          </cell>
        </row>
        <row r="210">
          <cell r="B210" t="str">
            <v>INTERRUPTOR SENC. CONMUTABLE</v>
          </cell>
          <cell r="C210" t="str">
            <v>UNIDAD</v>
          </cell>
          <cell r="D210">
            <v>5800</v>
          </cell>
        </row>
        <row r="211">
          <cell r="B211" t="str">
            <v>BOMBILLO</v>
          </cell>
          <cell r="C211" t="str">
            <v>UNIDAD</v>
          </cell>
          <cell r="D211">
            <v>500</v>
          </cell>
        </row>
        <row r="212">
          <cell r="B212" t="str">
            <v>ALAMBRE  No. 8 AWG</v>
          </cell>
          <cell r="C212" t="str">
            <v>ML</v>
          </cell>
          <cell r="D212">
            <v>750</v>
          </cell>
        </row>
        <row r="213">
          <cell r="B213" t="str">
            <v>DUCTO CONDUIT ELECTR. PVC  1/2"</v>
          </cell>
          <cell r="C213" t="str">
            <v>ML</v>
          </cell>
          <cell r="D213">
            <v>1450</v>
          </cell>
        </row>
        <row r="214">
          <cell r="B214" t="str">
            <v>CURVA 90 CONDUIT PVC 1/2"</v>
          </cell>
          <cell r="C214" t="str">
            <v>UNIDAD</v>
          </cell>
          <cell r="D214">
            <v>300</v>
          </cell>
        </row>
        <row r="215">
          <cell r="B215" t="str">
            <v>CAJA GALVANIZADA D=4*4</v>
          </cell>
          <cell r="C215" t="str">
            <v>UNIDAD</v>
          </cell>
          <cell r="D215">
            <v>1000</v>
          </cell>
        </row>
        <row r="216">
          <cell r="B216" t="str">
            <v>ALAMBRE No. 10 AWG</v>
          </cell>
          <cell r="C216" t="str">
            <v>ML</v>
          </cell>
          <cell r="D216">
            <v>420</v>
          </cell>
        </row>
        <row r="219">
          <cell r="B219" t="str">
            <v>NOMBRE</v>
          </cell>
          <cell r="C219" t="str">
            <v>UNIDAD</v>
          </cell>
          <cell r="D219" t="str">
            <v>PRECIO</v>
          </cell>
        </row>
        <row r="220">
          <cell r="B220" t="str">
            <v>MAESTRO</v>
          </cell>
          <cell r="C220" t="str">
            <v>JORNAL</v>
          </cell>
          <cell r="D220">
            <v>30000</v>
          </cell>
          <cell r="E220">
            <v>0</v>
          </cell>
        </row>
        <row r="221">
          <cell r="B221" t="str">
            <v>OFICIAL</v>
          </cell>
          <cell r="C221" t="str">
            <v>JORNAL</v>
          </cell>
          <cell r="D221">
            <v>22328</v>
          </cell>
          <cell r="E221">
            <v>0</v>
          </cell>
        </row>
        <row r="222">
          <cell r="B222" t="str">
            <v>OBRERO</v>
          </cell>
          <cell r="C222" t="str">
            <v>JORNAL</v>
          </cell>
          <cell r="D222">
            <v>15588</v>
          </cell>
          <cell r="E222">
            <v>47634.33</v>
          </cell>
        </row>
        <row r="223">
          <cell r="B223" t="str">
            <v>CUADRILLA DE TOPOGRAFIA 1×2×2</v>
          </cell>
          <cell r="C223" t="str">
            <v>DIA</v>
          </cell>
          <cell r="D223">
            <v>100000</v>
          </cell>
          <cell r="E223">
            <v>5874.4375</v>
          </cell>
        </row>
        <row r="224">
          <cell r="B224" t="str">
            <v>METALURGICO</v>
          </cell>
          <cell r="C224" t="str">
            <v>DIA</v>
          </cell>
          <cell r="D224">
            <v>60000</v>
          </cell>
          <cell r="E224">
            <v>0</v>
          </cell>
        </row>
        <row r="225">
          <cell r="B225" t="str">
            <v>TECNICO ELECTRICO</v>
          </cell>
          <cell r="C225" t="str">
            <v>DIA</v>
          </cell>
          <cell r="D225">
            <v>40000</v>
          </cell>
          <cell r="E225">
            <v>0</v>
          </cell>
        </row>
        <row r="226">
          <cell r="B226" t="str">
            <v>xxx</v>
          </cell>
          <cell r="E226">
            <v>0</v>
          </cell>
        </row>
        <row r="227">
          <cell r="B227" t="str">
            <v>xxx</v>
          </cell>
          <cell r="E227">
            <v>0</v>
          </cell>
        </row>
        <row r="228">
          <cell r="B228" t="str">
            <v>xxx</v>
          </cell>
          <cell r="E228">
            <v>0</v>
          </cell>
        </row>
        <row r="229">
          <cell r="B229" t="str">
            <v>xxx</v>
          </cell>
          <cell r="E229">
            <v>0</v>
          </cell>
        </row>
        <row r="231">
          <cell r="B231" t="str">
            <v>NOMBRE</v>
          </cell>
          <cell r="C231" t="str">
            <v>UNIDAD</v>
          </cell>
          <cell r="D231" t="str">
            <v>PRECIO</v>
          </cell>
        </row>
        <row r="232">
          <cell r="B232" t="str">
            <v>HERRAMIENTA MENOR</v>
          </cell>
          <cell r="C232" t="str">
            <v>GLB</v>
          </cell>
          <cell r="D232">
            <v>1500</v>
          </cell>
          <cell r="E232">
            <v>2675.4383750000002</v>
          </cell>
        </row>
        <row r="233">
          <cell r="B233" t="str">
            <v>FORMALETA</v>
          </cell>
          <cell r="C233" t="str">
            <v>GLB</v>
          </cell>
          <cell r="D233">
            <v>20000</v>
          </cell>
          <cell r="E233">
            <v>0</v>
          </cell>
        </row>
        <row r="234">
          <cell r="B234" t="str">
            <v>ESTACAS MADERA</v>
          </cell>
          <cell r="C234" t="str">
            <v>UND</v>
          </cell>
          <cell r="D234">
            <v>500</v>
          </cell>
          <cell r="E234">
            <v>0</v>
          </cell>
        </row>
        <row r="235">
          <cell r="B235" t="str">
            <v>BOMBA SUMERGIBLE</v>
          </cell>
          <cell r="C235" t="str">
            <v>UND</v>
          </cell>
          <cell r="D235">
            <v>2250000</v>
          </cell>
          <cell r="E235">
            <v>0</v>
          </cell>
        </row>
        <row r="236">
          <cell r="B236" t="str">
            <v>TEJA ACEROLIT</v>
          </cell>
          <cell r="C236" t="str">
            <v>UND</v>
          </cell>
          <cell r="D236">
            <v>15000</v>
          </cell>
          <cell r="E236">
            <v>0</v>
          </cell>
        </row>
        <row r="237">
          <cell r="B237" t="str">
            <v>PUERTA EN LAMINA</v>
          </cell>
          <cell r="C237" t="str">
            <v>UND</v>
          </cell>
          <cell r="D237">
            <v>58000</v>
          </cell>
          <cell r="E237">
            <v>0</v>
          </cell>
        </row>
        <row r="238">
          <cell r="B238" t="str">
            <v>HERRAMIENTA M.</v>
          </cell>
          <cell r="C238" t="str">
            <v>GLB</v>
          </cell>
          <cell r="D238">
            <v>250</v>
          </cell>
          <cell r="E238">
            <v>0</v>
          </cell>
        </row>
        <row r="239">
          <cell r="B239" t="str">
            <v>HERRAMIENTAS MENOR</v>
          </cell>
          <cell r="C239" t="str">
            <v>GLB</v>
          </cell>
          <cell r="D239">
            <v>1000</v>
          </cell>
          <cell r="E239">
            <v>0</v>
          </cell>
        </row>
        <row r="240">
          <cell r="B240" t="str">
            <v>FORMALETA EN MADERA PULIDA</v>
          </cell>
          <cell r="C240" t="str">
            <v>ML</v>
          </cell>
          <cell r="D240">
            <v>1500</v>
          </cell>
          <cell r="E240">
            <v>0</v>
          </cell>
        </row>
        <row r="241">
          <cell r="B241" t="str">
            <v>FORMALETA METALICA 1×0.25</v>
          </cell>
          <cell r="C241" t="str">
            <v>DIA</v>
          </cell>
          <cell r="D241">
            <v>40</v>
          </cell>
          <cell r="E241">
            <v>0</v>
          </cell>
        </row>
        <row r="242">
          <cell r="B242" t="str">
            <v>TABLERO DE MADERA</v>
          </cell>
          <cell r="C242" t="str">
            <v>d/M</v>
          </cell>
          <cell r="D242">
            <v>90</v>
          </cell>
          <cell r="E242">
            <v>0</v>
          </cell>
        </row>
        <row r="243">
          <cell r="B243" t="str">
            <v>PARAL METALICO (TELESCOPICO)</v>
          </cell>
          <cell r="C243" t="str">
            <v>d/M</v>
          </cell>
          <cell r="D243">
            <v>90</v>
          </cell>
          <cell r="E243">
            <v>0</v>
          </cell>
          <cell r="F243" t="str">
            <v>3metros</v>
          </cell>
        </row>
        <row r="244">
          <cell r="B244" t="str">
            <v>CERCHA METALICA DE 3M</v>
          </cell>
          <cell r="C244" t="str">
            <v>d/M</v>
          </cell>
          <cell r="D244">
            <v>90</v>
          </cell>
          <cell r="E244">
            <v>0</v>
          </cell>
        </row>
        <row r="245">
          <cell r="B245" t="str">
            <v>FORMALETA METALICA 1×0.5 M-Und</v>
          </cell>
          <cell r="C245" t="str">
            <v>DIA</v>
          </cell>
          <cell r="D245">
            <v>60</v>
          </cell>
          <cell r="E245">
            <v>0</v>
          </cell>
        </row>
        <row r="246">
          <cell r="B246" t="str">
            <v>XXX</v>
          </cell>
          <cell r="E246">
            <v>0</v>
          </cell>
        </row>
        <row r="247">
          <cell r="B247" t="str">
            <v>XXX</v>
          </cell>
          <cell r="E247">
            <v>0</v>
          </cell>
        </row>
        <row r="248">
          <cell r="B248" t="str">
            <v>XXX</v>
          </cell>
          <cell r="E248">
            <v>0</v>
          </cell>
        </row>
        <row r="249">
          <cell r="B249" t="str">
            <v>XXX</v>
          </cell>
          <cell r="E249">
            <v>0</v>
          </cell>
        </row>
        <row r="250">
          <cell r="B250" t="str">
            <v>XXX</v>
          </cell>
          <cell r="E250">
            <v>0</v>
          </cell>
        </row>
        <row r="251">
          <cell r="B251" t="str">
            <v>XXX</v>
          </cell>
          <cell r="E251">
            <v>0</v>
          </cell>
        </row>
        <row r="252">
          <cell r="B252" t="str">
            <v>XXX</v>
          </cell>
          <cell r="E252">
            <v>0</v>
          </cell>
        </row>
        <row r="253">
          <cell r="B253" t="str">
            <v>XXX</v>
          </cell>
          <cell r="E253">
            <v>0</v>
          </cell>
        </row>
        <row r="254">
          <cell r="D254" t="str">
            <v/>
          </cell>
        </row>
        <row r="255">
          <cell r="D255" t="str">
            <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s>
    <sheetDataSet>
      <sheetData sheetId="0"/>
      <sheetData sheetId="1"/>
      <sheetData sheetId="2">
        <row r="4">
          <cell r="B4" t="str">
            <v/>
          </cell>
        </row>
        <row r="5">
          <cell r="B5" t="str">
            <v>VALOR</v>
          </cell>
          <cell r="C5" t="str">
            <v>NOMBRE</v>
          </cell>
        </row>
        <row r="7">
          <cell r="B7">
            <v>0.15</v>
          </cell>
          <cell r="C7" t="str">
            <v>ADMINISTRACION</v>
          </cell>
        </row>
        <row r="8">
          <cell r="B8">
            <v>0.1</v>
          </cell>
          <cell r="C8" t="str">
            <v>IMPREVISTOS</v>
          </cell>
        </row>
        <row r="9">
          <cell r="B9">
            <v>0.05</v>
          </cell>
          <cell r="C9" t="str">
            <v>UTILIDAD</v>
          </cell>
        </row>
        <row r="10">
          <cell r="B10">
            <v>0.3</v>
          </cell>
          <cell r="C10" t="str">
            <v>AIU</v>
          </cell>
        </row>
        <row r="11">
          <cell r="B11">
            <v>0.93</v>
          </cell>
          <cell r="C11" t="str">
            <v>PREST SOCIALES</v>
          </cell>
        </row>
        <row r="12">
          <cell r="C12" t="str">
            <v>IVA</v>
          </cell>
        </row>
        <row r="19">
          <cell r="B19" t="str">
            <v>NOMBRE</v>
          </cell>
          <cell r="C19" t="str">
            <v>UNIDAD</v>
          </cell>
          <cell r="D19" t="str">
            <v>PRECIO</v>
          </cell>
        </row>
        <row r="20">
          <cell r="B20" t="str">
            <v>RETROEXCAVADORA</v>
          </cell>
          <cell r="C20" t="str">
            <v>HORA</v>
          </cell>
          <cell r="D20">
            <v>50000</v>
          </cell>
          <cell r="E20">
            <v>0</v>
          </cell>
          <cell r="F20">
            <v>0</v>
          </cell>
        </row>
        <row r="21">
          <cell r="B21" t="str">
            <v>BULLDOZER D6</v>
          </cell>
          <cell r="C21" t="str">
            <v>HORA</v>
          </cell>
          <cell r="D21">
            <v>45000</v>
          </cell>
          <cell r="E21">
            <v>0</v>
          </cell>
          <cell r="F21">
            <v>0</v>
          </cell>
        </row>
        <row r="22">
          <cell r="B22" t="str">
            <v>BULLDOZER D8</v>
          </cell>
          <cell r="C22" t="str">
            <v>HORA</v>
          </cell>
          <cell r="D22">
            <v>85000</v>
          </cell>
          <cell r="E22">
            <v>0</v>
          </cell>
          <cell r="F22">
            <v>0</v>
          </cell>
        </row>
        <row r="23">
          <cell r="B23" t="str">
            <v>MOTONIVELADORA</v>
          </cell>
          <cell r="C23" t="str">
            <v>HORA</v>
          </cell>
          <cell r="D23">
            <v>42500</v>
          </cell>
          <cell r="E23">
            <v>0</v>
          </cell>
          <cell r="F23">
            <v>0</v>
          </cell>
        </row>
        <row r="24">
          <cell r="B24" t="str">
            <v>VIBROCOMPACTADOR</v>
          </cell>
          <cell r="C24" t="str">
            <v>HORA</v>
          </cell>
          <cell r="D24">
            <v>30000</v>
          </cell>
          <cell r="E24">
            <v>0</v>
          </cell>
          <cell r="F24">
            <v>0</v>
          </cell>
        </row>
        <row r="25">
          <cell r="B25" t="str">
            <v>CARROTANQUE</v>
          </cell>
          <cell r="C25" t="str">
            <v>HORA</v>
          </cell>
          <cell r="E25">
            <v>0</v>
          </cell>
          <cell r="F25">
            <v>0</v>
          </cell>
        </row>
        <row r="26">
          <cell r="B26" t="str">
            <v>RETROCARGADOR</v>
          </cell>
          <cell r="C26" t="str">
            <v>HORA</v>
          </cell>
          <cell r="E26">
            <v>0</v>
          </cell>
          <cell r="F26">
            <v>0</v>
          </cell>
        </row>
        <row r="27">
          <cell r="B27" t="str">
            <v>VOLQUETA POR VIAJES</v>
          </cell>
          <cell r="C27" t="str">
            <v>HORA</v>
          </cell>
          <cell r="E27">
            <v>0</v>
          </cell>
          <cell r="F27">
            <v>0</v>
          </cell>
        </row>
        <row r="28">
          <cell r="B28" t="str">
            <v>VOLQUETA POR HORAS</v>
          </cell>
          <cell r="C28" t="str">
            <v>HORA</v>
          </cell>
          <cell r="D28">
            <v>400</v>
          </cell>
          <cell r="E28">
            <v>0</v>
          </cell>
          <cell r="F28">
            <v>0</v>
          </cell>
        </row>
        <row r="29">
          <cell r="B29" t="str">
            <v>MEZCLADORA</v>
          </cell>
          <cell r="C29" t="str">
            <v>HORA</v>
          </cell>
          <cell r="D29">
            <v>6500</v>
          </cell>
          <cell r="E29">
            <v>0</v>
          </cell>
          <cell r="F29">
            <v>0</v>
          </cell>
        </row>
        <row r="30">
          <cell r="B30" t="str">
            <v>VIBRADOR</v>
          </cell>
          <cell r="C30" t="str">
            <v>HORA</v>
          </cell>
          <cell r="D30">
            <v>5000</v>
          </cell>
          <cell r="E30">
            <v>0</v>
          </cell>
          <cell r="F30">
            <v>0</v>
          </cell>
        </row>
        <row r="31">
          <cell r="B31" t="str">
            <v>EQ. DE PERFORACION</v>
          </cell>
          <cell r="C31" t="str">
            <v>HORA</v>
          </cell>
          <cell r="D31">
            <v>25000</v>
          </cell>
          <cell r="E31">
            <v>0</v>
          </cell>
          <cell r="F31">
            <v>0</v>
          </cell>
        </row>
        <row r="32">
          <cell r="B32" t="str">
            <v>ANDAMIOS</v>
          </cell>
          <cell r="C32" t="str">
            <v>HORA</v>
          </cell>
          <cell r="D32">
            <v>200</v>
          </cell>
          <cell r="E32">
            <v>7220</v>
          </cell>
          <cell r="F32" t="str">
            <v>RETROEXCAVADORA</v>
          </cell>
        </row>
        <row r="33">
          <cell r="B33" t="str">
            <v>COMPRESOR</v>
          </cell>
          <cell r="C33" t="str">
            <v>HORA</v>
          </cell>
          <cell r="D33">
            <v>5000</v>
          </cell>
          <cell r="E33">
            <v>0</v>
          </cell>
          <cell r="F33">
            <v>0</v>
          </cell>
        </row>
        <row r="34">
          <cell r="B34" t="str">
            <v>XXX</v>
          </cell>
          <cell r="C34" t="str">
            <v>HORA</v>
          </cell>
          <cell r="E34">
            <v>0</v>
          </cell>
          <cell r="F34">
            <v>0</v>
          </cell>
        </row>
        <row r="35">
          <cell r="B35" t="str">
            <v>XXX</v>
          </cell>
          <cell r="E35">
            <v>0</v>
          </cell>
          <cell r="F35">
            <v>0</v>
          </cell>
        </row>
        <row r="36">
          <cell r="B36" t="str">
            <v>XXX</v>
          </cell>
          <cell r="C36" t="str">
            <v>HORA</v>
          </cell>
          <cell r="E36">
            <v>0</v>
          </cell>
          <cell r="F36">
            <v>0</v>
          </cell>
        </row>
        <row r="37">
          <cell r="B37" t="str">
            <v>XXX</v>
          </cell>
          <cell r="C37" t="str">
            <v>HORA</v>
          </cell>
          <cell r="E37">
            <v>0</v>
          </cell>
          <cell r="F37">
            <v>0</v>
          </cell>
        </row>
        <row r="38">
          <cell r="B38" t="str">
            <v>XXX</v>
          </cell>
          <cell r="C38" t="str">
            <v>HORA</v>
          </cell>
          <cell r="E38">
            <v>0</v>
          </cell>
          <cell r="F38">
            <v>0</v>
          </cell>
        </row>
        <row r="39">
          <cell r="B39" t="str">
            <v>XXX</v>
          </cell>
          <cell r="C39" t="str">
            <v>HORA</v>
          </cell>
          <cell r="E39">
            <v>0</v>
          </cell>
          <cell r="F39">
            <v>0</v>
          </cell>
        </row>
        <row r="42">
          <cell r="B42" t="str">
            <v>NOMBRE</v>
          </cell>
          <cell r="C42" t="str">
            <v>UNIDAD</v>
          </cell>
          <cell r="D42" t="str">
            <v>PRECIO</v>
          </cell>
        </row>
        <row r="43">
          <cell r="B43" t="str">
            <v>ARENA</v>
          </cell>
          <cell r="C43" t="str">
            <v>M3</v>
          </cell>
          <cell r="D43">
            <v>8000</v>
          </cell>
          <cell r="E43">
            <v>0</v>
          </cell>
        </row>
        <row r="44">
          <cell r="B44" t="str">
            <v>TRITURADO</v>
          </cell>
          <cell r="C44" t="str">
            <v>M3</v>
          </cell>
          <cell r="D44">
            <v>60000</v>
          </cell>
          <cell r="E44">
            <v>0</v>
          </cell>
        </row>
        <row r="45">
          <cell r="B45" t="str">
            <v>CEMENTO</v>
          </cell>
          <cell r="C45" t="str">
            <v>KG</v>
          </cell>
          <cell r="D45">
            <v>260</v>
          </cell>
          <cell r="E45">
            <v>0</v>
          </cell>
        </row>
        <row r="46">
          <cell r="B46" t="str">
            <v>AGUA</v>
          </cell>
          <cell r="C46" t="str">
            <v>LT</v>
          </cell>
          <cell r="D46">
            <v>50</v>
          </cell>
          <cell r="E46">
            <v>0</v>
          </cell>
        </row>
        <row r="47">
          <cell r="B47" t="str">
            <v>BLOQUE MACIZO DE CEMENTO</v>
          </cell>
          <cell r="C47" t="str">
            <v>UND</v>
          </cell>
          <cell r="D47">
            <v>450</v>
          </cell>
          <cell r="E47">
            <v>0</v>
          </cell>
        </row>
        <row r="48">
          <cell r="B48" t="str">
            <v>ACERO 60000 PSI</v>
          </cell>
          <cell r="C48" t="str">
            <v>KG</v>
          </cell>
          <cell r="D48">
            <v>1350</v>
          </cell>
          <cell r="E48">
            <v>311904</v>
          </cell>
        </row>
        <row r="49">
          <cell r="B49" t="str">
            <v>ALAMBRE NEGRO</v>
          </cell>
          <cell r="C49" t="str">
            <v>KG</v>
          </cell>
          <cell r="D49">
            <v>1000</v>
          </cell>
          <cell r="E49">
            <v>1083</v>
          </cell>
        </row>
        <row r="50">
          <cell r="B50" t="str">
            <v>PLATINA 1/4"* 4"</v>
          </cell>
          <cell r="C50" t="str">
            <v>ML</v>
          </cell>
          <cell r="D50">
            <v>5000</v>
          </cell>
          <cell r="E50">
            <v>0</v>
          </cell>
        </row>
        <row r="51">
          <cell r="B51" t="str">
            <v>TUBERIA PVC  RDE 21 1"</v>
          </cell>
          <cell r="C51" t="str">
            <v>ML</v>
          </cell>
          <cell r="D51">
            <v>1000</v>
          </cell>
          <cell r="E51">
            <v>0</v>
          </cell>
        </row>
        <row r="52">
          <cell r="B52" t="str">
            <v>TUBERIA PVC  RDE 21 1 1/4"</v>
          </cell>
          <cell r="C52" t="str">
            <v>ML</v>
          </cell>
          <cell r="D52">
            <v>1670</v>
          </cell>
          <cell r="E52">
            <v>0</v>
          </cell>
        </row>
        <row r="53">
          <cell r="B53" t="str">
            <v>TUBERIA PVC RDE 21  1 1/2"</v>
          </cell>
          <cell r="C53" t="str">
            <v>ML</v>
          </cell>
          <cell r="D53">
            <v>2200</v>
          </cell>
          <cell r="E53">
            <v>0</v>
          </cell>
        </row>
        <row r="54">
          <cell r="B54" t="str">
            <v>TUBERIA PVC RDE 21  2"</v>
          </cell>
          <cell r="C54" t="str">
            <v>ML</v>
          </cell>
          <cell r="D54">
            <v>2500</v>
          </cell>
          <cell r="E54">
            <v>0</v>
          </cell>
        </row>
        <row r="55">
          <cell r="B55" t="str">
            <v>TUBERIA PVC RDE 21  2 1/2"</v>
          </cell>
          <cell r="C55" t="str">
            <v>ML</v>
          </cell>
          <cell r="D55">
            <v>3400</v>
          </cell>
          <cell r="E55">
            <v>0</v>
          </cell>
        </row>
        <row r="56">
          <cell r="B56" t="str">
            <v>TUBERIA PVC RDE 21  3"</v>
          </cell>
          <cell r="C56" t="str">
            <v>ML</v>
          </cell>
          <cell r="D56">
            <v>5000</v>
          </cell>
          <cell r="E56">
            <v>0</v>
          </cell>
        </row>
        <row r="57">
          <cell r="B57" t="str">
            <v>TUBERIA PVC RDE 21  4"</v>
          </cell>
          <cell r="C57" t="str">
            <v>ML</v>
          </cell>
          <cell r="D57">
            <v>8200</v>
          </cell>
          <cell r="E57">
            <v>0</v>
          </cell>
        </row>
        <row r="58">
          <cell r="B58" t="str">
            <v>ACCESORIOS PVC 1 1/4"</v>
          </cell>
          <cell r="C58" t="str">
            <v>UND</v>
          </cell>
          <cell r="D58">
            <v>1400</v>
          </cell>
          <cell r="E58">
            <v>0</v>
          </cell>
        </row>
        <row r="59">
          <cell r="B59" t="str">
            <v>ACCESORIOS PVC 1 1/2"</v>
          </cell>
          <cell r="C59" t="str">
            <v>UND</v>
          </cell>
          <cell r="D59">
            <v>1800</v>
          </cell>
          <cell r="E59">
            <v>0</v>
          </cell>
        </row>
        <row r="60">
          <cell r="B60" t="str">
            <v>ACCESORIOS PVC 2"</v>
          </cell>
          <cell r="C60" t="str">
            <v>UND</v>
          </cell>
          <cell r="D60">
            <v>3100</v>
          </cell>
          <cell r="E60">
            <v>0</v>
          </cell>
        </row>
        <row r="61">
          <cell r="B61" t="str">
            <v>ACCESORIOS PVC 2 1/2"</v>
          </cell>
          <cell r="C61" t="str">
            <v>UND</v>
          </cell>
          <cell r="D61">
            <v>4200</v>
          </cell>
          <cell r="E61">
            <v>0</v>
          </cell>
        </row>
        <row r="62">
          <cell r="B62" t="str">
            <v>ACCESORIOS PVC 3"</v>
          </cell>
          <cell r="C62" t="str">
            <v>UND</v>
          </cell>
          <cell r="D62">
            <v>8200</v>
          </cell>
          <cell r="E62">
            <v>0</v>
          </cell>
        </row>
        <row r="63">
          <cell r="B63" t="str">
            <v>ACCESORIOS PVC 4"</v>
          </cell>
          <cell r="C63" t="str">
            <v>UND</v>
          </cell>
          <cell r="D63">
            <v>18500</v>
          </cell>
          <cell r="E63">
            <v>0</v>
          </cell>
        </row>
        <row r="64">
          <cell r="B64" t="str">
            <v>LIMPIADOR PVC</v>
          </cell>
          <cell r="C64" t="str">
            <v>1/4 GAL</v>
          </cell>
          <cell r="D64">
            <v>25000</v>
          </cell>
          <cell r="E64">
            <v>0</v>
          </cell>
        </row>
        <row r="65">
          <cell r="B65" t="str">
            <v>SOLDADURA PVC</v>
          </cell>
          <cell r="C65" t="str">
            <v>1/4 GAL</v>
          </cell>
          <cell r="D65">
            <v>27000</v>
          </cell>
          <cell r="E65">
            <v>0</v>
          </cell>
        </row>
        <row r="66">
          <cell r="B66" t="str">
            <v>COLLAR DE DERIVACION</v>
          </cell>
          <cell r="C66" t="str">
            <v>UND</v>
          </cell>
          <cell r="D66">
            <v>3500</v>
          </cell>
          <cell r="E66">
            <v>0</v>
          </cell>
        </row>
        <row r="67">
          <cell r="B67" t="str">
            <v>REGISTRO DE INCORPORACION</v>
          </cell>
          <cell r="C67" t="str">
            <v>UND</v>
          </cell>
          <cell r="D67">
            <v>1500</v>
          </cell>
          <cell r="E67">
            <v>0</v>
          </cell>
        </row>
        <row r="68">
          <cell r="B68" t="str">
            <v>MANGUERA FLEXIBLE</v>
          </cell>
          <cell r="C68" t="str">
            <v>ML</v>
          </cell>
          <cell r="D68">
            <v>1500</v>
          </cell>
          <cell r="E68">
            <v>0</v>
          </cell>
        </row>
        <row r="69">
          <cell r="B69" t="str">
            <v>MORTERO 1:3</v>
          </cell>
          <cell r="C69" t="str">
            <v>LT</v>
          </cell>
          <cell r="D69">
            <v>200</v>
          </cell>
          <cell r="E69">
            <v>0</v>
          </cell>
        </row>
        <row r="70">
          <cell r="B70" t="str">
            <v>ACCESORIOS PVC 1/2"</v>
          </cell>
          <cell r="C70" t="str">
            <v>UND</v>
          </cell>
          <cell r="D70">
            <v>400</v>
          </cell>
          <cell r="E70">
            <v>0</v>
          </cell>
        </row>
        <row r="71">
          <cell r="B71" t="str">
            <v>TUBERIA PVC 6"</v>
          </cell>
          <cell r="C71" t="str">
            <v>ML</v>
          </cell>
          <cell r="D71">
            <v>10900</v>
          </cell>
          <cell r="E71">
            <v>0</v>
          </cell>
        </row>
        <row r="72">
          <cell r="B72" t="str">
            <v>ACCESORIOS PVC 6"</v>
          </cell>
          <cell r="C72" t="str">
            <v>UND</v>
          </cell>
          <cell r="D72">
            <v>16000</v>
          </cell>
          <cell r="E72">
            <v>0</v>
          </cell>
        </row>
        <row r="73">
          <cell r="B73" t="str">
            <v>GRAVILLA No 2</v>
          </cell>
          <cell r="C73" t="str">
            <v>M3</v>
          </cell>
          <cell r="D73">
            <v>90000</v>
          </cell>
          <cell r="E73">
            <v>0</v>
          </cell>
        </row>
        <row r="74">
          <cell r="B74" t="str">
            <v>LAMINA DE ICOPOR  e= 2 Cm</v>
          </cell>
          <cell r="C74" t="str">
            <v>UND</v>
          </cell>
          <cell r="D74">
            <v>4500</v>
          </cell>
          <cell r="E74">
            <v>0</v>
          </cell>
        </row>
        <row r="75">
          <cell r="B75" t="str">
            <v>RIELES DE ALUMINIO</v>
          </cell>
          <cell r="C75" t="str">
            <v>ML</v>
          </cell>
          <cell r="D75">
            <v>8500</v>
          </cell>
          <cell r="E75">
            <v>0</v>
          </cell>
        </row>
        <row r="76">
          <cell r="B76" t="str">
            <v>ALAMBRE DULCE</v>
          </cell>
          <cell r="C76" t="str">
            <v>KG</v>
          </cell>
          <cell r="D76">
            <v>1000</v>
          </cell>
          <cell r="E76">
            <v>7800</v>
          </cell>
        </row>
        <row r="77">
          <cell r="B77" t="str">
            <v>ACRILICO TRANSPARENTE</v>
          </cell>
          <cell r="C77" t="str">
            <v>M2</v>
          </cell>
          <cell r="D77">
            <v>60000</v>
          </cell>
          <cell r="E77">
            <v>0</v>
          </cell>
        </row>
        <row r="78">
          <cell r="B78" t="str">
            <v>ARMADURA METALICA</v>
          </cell>
          <cell r="C78" t="str">
            <v>ML</v>
          </cell>
          <cell r="D78">
            <v>22000</v>
          </cell>
          <cell r="E78">
            <v>0</v>
          </cell>
        </row>
        <row r="79">
          <cell r="B79" t="str">
            <v>PINTURA DE VINILO</v>
          </cell>
          <cell r="C79" t="str">
            <v>GAL</v>
          </cell>
          <cell r="D79">
            <v>27800</v>
          </cell>
          <cell r="E79">
            <v>0</v>
          </cell>
        </row>
        <row r="80">
          <cell r="B80" t="str">
            <v>HOJA METALICA Cal 20</v>
          </cell>
          <cell r="C80" t="str">
            <v>M2</v>
          </cell>
          <cell r="D80">
            <v>9500</v>
          </cell>
        </row>
        <row r="81">
          <cell r="B81" t="str">
            <v>TUBO METALICO 2X1</v>
          </cell>
          <cell r="C81" t="str">
            <v>ML</v>
          </cell>
          <cell r="D81">
            <v>9800</v>
          </cell>
        </row>
        <row r="82">
          <cell r="B82" t="str">
            <v>TUBO  METALICO 1X1</v>
          </cell>
          <cell r="C82" t="str">
            <v>ML</v>
          </cell>
          <cell r="D82">
            <v>5900</v>
          </cell>
        </row>
        <row r="83">
          <cell r="B83" t="str">
            <v>VIDRIO</v>
          </cell>
          <cell r="C83" t="str">
            <v>M2</v>
          </cell>
          <cell r="D83">
            <v>17500</v>
          </cell>
        </row>
        <row r="84">
          <cell r="B84" t="str">
            <v>TEJA A.C</v>
          </cell>
          <cell r="C84" t="str">
            <v>M2</v>
          </cell>
          <cell r="D84">
            <v>9500</v>
          </cell>
        </row>
        <row r="85">
          <cell r="B85" t="str">
            <v>CANALETA 90</v>
          </cell>
          <cell r="C85" t="str">
            <v>M2</v>
          </cell>
          <cell r="D85">
            <v>20000</v>
          </cell>
        </row>
        <row r="86">
          <cell r="B86" t="str">
            <v>AMARRES METALICOS</v>
          </cell>
          <cell r="C86" t="str">
            <v>UN</v>
          </cell>
          <cell r="D86">
            <v>150</v>
          </cell>
        </row>
        <row r="87">
          <cell r="B87" t="str">
            <v>PINTURA DE ACEITE</v>
          </cell>
          <cell r="C87" t="str">
            <v>GAL</v>
          </cell>
          <cell r="D87">
            <v>27600</v>
          </cell>
        </row>
        <row r="88">
          <cell r="B88" t="str">
            <v>MADERA</v>
          </cell>
          <cell r="C88" t="str">
            <v>UN</v>
          </cell>
          <cell r="D88">
            <v>3000</v>
          </cell>
        </row>
        <row r="89">
          <cell r="B89" t="str">
            <v>PUNTILLAS</v>
          </cell>
          <cell r="C89" t="str">
            <v>LB</v>
          </cell>
          <cell r="D89">
            <v>900</v>
          </cell>
        </row>
        <row r="90">
          <cell r="B90" t="str">
            <v>PIEDRA BOLA</v>
          </cell>
          <cell r="C90" t="str">
            <v>M3</v>
          </cell>
          <cell r="D90">
            <v>36000</v>
          </cell>
        </row>
        <row r="91">
          <cell r="B91" t="str">
            <v>BLOQUE DE ARCILLA H5</v>
          </cell>
          <cell r="C91" t="str">
            <v>UND</v>
          </cell>
          <cell r="D91">
            <v>550</v>
          </cell>
        </row>
        <row r="92">
          <cell r="B92" t="str">
            <v>CABALLETE EN AC</v>
          </cell>
          <cell r="C92" t="str">
            <v>UND</v>
          </cell>
          <cell r="D92">
            <v>9600</v>
          </cell>
        </row>
        <row r="93">
          <cell r="B93" t="str">
            <v>PINTURA EN ANTICORROSIVO</v>
          </cell>
          <cell r="C93" t="str">
            <v>GAL</v>
          </cell>
          <cell r="D93">
            <v>26800</v>
          </cell>
        </row>
        <row r="94">
          <cell r="B94" t="str">
            <v>AMARRE DE ALAMBRE</v>
          </cell>
          <cell r="C94" t="str">
            <v>UND</v>
          </cell>
          <cell r="D94">
            <v>60</v>
          </cell>
        </row>
        <row r="95">
          <cell r="B95" t="str">
            <v>PUERTAVENTANA</v>
          </cell>
          <cell r="C95" t="str">
            <v>M2</v>
          </cell>
          <cell r="D95">
            <v>38000</v>
          </cell>
        </row>
        <row r="96">
          <cell r="B96" t="str">
            <v>CHAPA</v>
          </cell>
          <cell r="C96" t="str">
            <v>UND</v>
          </cell>
          <cell r="D96">
            <v>13000</v>
          </cell>
        </row>
        <row r="97">
          <cell r="B97" t="str">
            <v>DILATACIONES</v>
          </cell>
          <cell r="C97" t="str">
            <v>ML</v>
          </cell>
          <cell r="D97">
            <v>750</v>
          </cell>
        </row>
        <row r="98">
          <cell r="B98" t="str">
            <v>ACESORIOS ELECTRICOS</v>
          </cell>
          <cell r="C98" t="str">
            <v>GL</v>
          </cell>
        </row>
        <row r="99">
          <cell r="B99" t="str">
            <v>CABLE No 12</v>
          </cell>
          <cell r="C99" t="str">
            <v>ML</v>
          </cell>
          <cell r="D99">
            <v>230</v>
          </cell>
        </row>
        <row r="100">
          <cell r="B100" t="str">
            <v>TUBO CONDUIT TIPO LIVIANO</v>
          </cell>
          <cell r="C100" t="str">
            <v>ML</v>
          </cell>
          <cell r="D100">
            <v>700</v>
          </cell>
        </row>
        <row r="101">
          <cell r="B101" t="str">
            <v>VENTANA METALICA</v>
          </cell>
          <cell r="C101" t="str">
            <v>M2</v>
          </cell>
          <cell r="D101">
            <v>30000</v>
          </cell>
        </row>
        <row r="102">
          <cell r="B102" t="str">
            <v>LAVAPLATOS INOXIDABLE</v>
          </cell>
          <cell r="C102" t="str">
            <v>UND</v>
          </cell>
          <cell r="D102">
            <v>299000</v>
          </cell>
        </row>
        <row r="103">
          <cell r="B103" t="str">
            <v>MEZCLADOR</v>
          </cell>
          <cell r="C103" t="str">
            <v>UND</v>
          </cell>
          <cell r="D103">
            <v>19000</v>
          </cell>
        </row>
        <row r="104">
          <cell r="B104" t="str">
            <v>MANGUERAS</v>
          </cell>
          <cell r="C104" t="str">
            <v>UND</v>
          </cell>
          <cell r="D104">
            <v>5000</v>
          </cell>
        </row>
        <row r="105">
          <cell r="B105" t="str">
            <v>PINTURA GRIS BASALTO</v>
          </cell>
          <cell r="C105" t="str">
            <v>GAL</v>
          </cell>
          <cell r="D105">
            <v>26800</v>
          </cell>
        </row>
        <row r="106">
          <cell r="B106" t="str">
            <v>PINTURA BARNIZ</v>
          </cell>
          <cell r="C106" t="str">
            <v>GAL</v>
          </cell>
          <cell r="D106">
            <v>25000</v>
          </cell>
        </row>
        <row r="107">
          <cell r="B107" t="str">
            <v>TUBO CONDUIT TIPO PESADO</v>
          </cell>
          <cell r="C107" t="str">
            <v>ML</v>
          </cell>
          <cell r="D107">
            <v>1500</v>
          </cell>
        </row>
        <row r="108">
          <cell r="B108" t="str">
            <v>ESTUCO</v>
          </cell>
          <cell r="C108" t="str">
            <v>GL</v>
          </cell>
          <cell r="D108">
            <v>1200</v>
          </cell>
        </row>
        <row r="109">
          <cell r="B109" t="str">
            <v>MURO EN BLOUE</v>
          </cell>
          <cell r="C109" t="str">
            <v>M2</v>
          </cell>
          <cell r="D109">
            <v>15800</v>
          </cell>
        </row>
        <row r="110">
          <cell r="B110" t="str">
            <v>DURMIENTES EN MADERA DE .05X.1</v>
          </cell>
          <cell r="C110" t="str">
            <v>ML</v>
          </cell>
          <cell r="D110">
            <v>4000</v>
          </cell>
        </row>
        <row r="111">
          <cell r="B111" t="str">
            <v>MACHIMBRE PARA PISO</v>
          </cell>
          <cell r="C111" t="str">
            <v>M2</v>
          </cell>
          <cell r="D111">
            <v>12000</v>
          </cell>
        </row>
        <row r="112">
          <cell r="B112" t="str">
            <v>CONCRETO DE 3000 PSI</v>
          </cell>
          <cell r="C112" t="str">
            <v>M3</v>
          </cell>
          <cell r="D112">
            <v>166588</v>
          </cell>
        </row>
        <row r="113">
          <cell r="B113" t="str">
            <v>MORTERO DE 3000 PSI 1:4</v>
          </cell>
          <cell r="C113" t="str">
            <v>M3</v>
          </cell>
          <cell r="D113">
            <v>128388</v>
          </cell>
        </row>
        <row r="114">
          <cell r="B114" t="str">
            <v>BLOQUE DE CEMENTO</v>
          </cell>
          <cell r="C114" t="str">
            <v>UND</v>
          </cell>
          <cell r="D114">
            <v>450</v>
          </cell>
        </row>
        <row r="115">
          <cell r="B115" t="str">
            <v>CEMENTO.</v>
          </cell>
          <cell r="C115" t="str">
            <v>KG</v>
          </cell>
          <cell r="D115">
            <v>292</v>
          </cell>
        </row>
        <row r="116">
          <cell r="B116" t="str">
            <v>MORTERO</v>
          </cell>
          <cell r="C116" t="str">
            <v>M3</v>
          </cell>
          <cell r="D116">
            <v>148935</v>
          </cell>
        </row>
        <row r="117">
          <cell r="B117" t="str">
            <v>CONCRETO DE 3000 PSI.</v>
          </cell>
          <cell r="C117" t="str">
            <v>M3</v>
          </cell>
          <cell r="D117">
            <v>182479</v>
          </cell>
        </row>
        <row r="118">
          <cell r="B118" t="str">
            <v>xxx</v>
          </cell>
        </row>
        <row r="119">
          <cell r="B119" t="str">
            <v>xxx</v>
          </cell>
        </row>
        <row r="120">
          <cell r="B120" t="str">
            <v>xxx</v>
          </cell>
        </row>
        <row r="121">
          <cell r="B121" t="str">
            <v>xxx</v>
          </cell>
        </row>
        <row r="122">
          <cell r="B122" t="str">
            <v>xxx</v>
          </cell>
        </row>
        <row r="123">
          <cell r="E123">
            <v>0</v>
          </cell>
        </row>
        <row r="125">
          <cell r="B125" t="str">
            <v>NOMBRE</v>
          </cell>
          <cell r="C125" t="str">
            <v>UNIDAD</v>
          </cell>
          <cell r="D125" t="str">
            <v>PRECIO</v>
          </cell>
        </row>
        <row r="126">
          <cell r="B126" t="str">
            <v>OBRERO</v>
          </cell>
          <cell r="C126" t="str">
            <v>JORNAL</v>
          </cell>
          <cell r="D126">
            <v>12500</v>
          </cell>
          <cell r="E126">
            <v>376489.62454212457</v>
          </cell>
        </row>
        <row r="127">
          <cell r="B127" t="str">
            <v>OFICIAL</v>
          </cell>
          <cell r="C127" t="str">
            <v>JORNAL</v>
          </cell>
          <cell r="D127">
            <v>17500</v>
          </cell>
          <cell r="E127">
            <v>398627.891025641</v>
          </cell>
        </row>
        <row r="128">
          <cell r="B128" t="str">
            <v>MAESTRO</v>
          </cell>
          <cell r="C128" t="str">
            <v>JORNAL</v>
          </cell>
          <cell r="D128">
            <v>25000</v>
          </cell>
          <cell r="E128">
            <v>0</v>
          </cell>
        </row>
        <row r="129">
          <cell r="B129" t="str">
            <v>OBREROS</v>
          </cell>
          <cell r="D129">
            <v>14600</v>
          </cell>
          <cell r="E129">
            <v>0</v>
          </cell>
        </row>
        <row r="130">
          <cell r="B130" t="str">
            <v>OFICIAL.</v>
          </cell>
          <cell r="D130">
            <v>22000</v>
          </cell>
          <cell r="E130">
            <v>0</v>
          </cell>
        </row>
        <row r="131">
          <cell r="E131">
            <v>2035001.324</v>
          </cell>
        </row>
        <row r="132">
          <cell r="E132">
            <v>2035001.324</v>
          </cell>
        </row>
        <row r="133">
          <cell r="B133" t="str">
            <v>xxx</v>
          </cell>
          <cell r="E133">
            <v>0</v>
          </cell>
        </row>
        <row r="134">
          <cell r="B134" t="str">
            <v>xxx</v>
          </cell>
          <cell r="E134">
            <v>0</v>
          </cell>
        </row>
        <row r="135">
          <cell r="B135" t="str">
            <v>xxx</v>
          </cell>
          <cell r="E135">
            <v>0</v>
          </cell>
        </row>
        <row r="137">
          <cell r="B137" t="str">
            <v>NOMBRE</v>
          </cell>
          <cell r="C137" t="str">
            <v>UNIDAD</v>
          </cell>
          <cell r="D137" t="str">
            <v>PRECIO</v>
          </cell>
        </row>
        <row r="138">
          <cell r="B138" t="str">
            <v>HERRAMIENTA MENOR</v>
          </cell>
          <cell r="C138" t="str">
            <v>UND</v>
          </cell>
          <cell r="D138">
            <v>1200</v>
          </cell>
          <cell r="E138">
            <v>157320</v>
          </cell>
        </row>
        <row r="139">
          <cell r="B139" t="str">
            <v>FORMALETA</v>
          </cell>
          <cell r="C139" t="str">
            <v>ML</v>
          </cell>
          <cell r="D139">
            <v>5500</v>
          </cell>
          <cell r="E139">
            <v>0</v>
          </cell>
        </row>
        <row r="140">
          <cell r="B140" t="str">
            <v>ESTACAS MADERA</v>
          </cell>
          <cell r="C140" t="str">
            <v>UND</v>
          </cell>
          <cell r="D140">
            <v>300</v>
          </cell>
          <cell r="E140">
            <v>70200</v>
          </cell>
        </row>
        <row r="141">
          <cell r="B141" t="str">
            <v>BOMBA SUMERGIBLE</v>
          </cell>
          <cell r="C141" t="str">
            <v>UND</v>
          </cell>
          <cell r="D141">
            <v>2250000</v>
          </cell>
          <cell r="E141">
            <v>0</v>
          </cell>
        </row>
        <row r="142">
          <cell r="B142" t="str">
            <v>TEJA ACEROLIT</v>
          </cell>
          <cell r="C142" t="str">
            <v>UND</v>
          </cell>
          <cell r="D142">
            <v>15000</v>
          </cell>
          <cell r="E142">
            <v>0</v>
          </cell>
        </row>
        <row r="143">
          <cell r="B143" t="str">
            <v>PUERTA EN LAMINA</v>
          </cell>
          <cell r="C143" t="str">
            <v>UND</v>
          </cell>
          <cell r="D143">
            <v>60000</v>
          </cell>
          <cell r="E143">
            <v>0</v>
          </cell>
        </row>
        <row r="144">
          <cell r="B144" t="str">
            <v>VENTANA METALICA</v>
          </cell>
          <cell r="C144" t="str">
            <v>M2</v>
          </cell>
          <cell r="D144">
            <v>40000</v>
          </cell>
          <cell r="E144">
            <v>0</v>
          </cell>
        </row>
        <row r="145">
          <cell r="B145" t="str">
            <v>ESQUINEROS</v>
          </cell>
          <cell r="C145" t="str">
            <v>ML</v>
          </cell>
          <cell r="D145">
            <v>300</v>
          </cell>
          <cell r="E145">
            <v>0</v>
          </cell>
        </row>
        <row r="146">
          <cell r="B146" t="str">
            <v>HERRAMIENTAS MENORES</v>
          </cell>
          <cell r="C146" t="str">
            <v>UND</v>
          </cell>
          <cell r="D146">
            <v>1100</v>
          </cell>
          <cell r="E146">
            <v>15334</v>
          </cell>
        </row>
        <row r="147">
          <cell r="B147" t="str">
            <v>FORMALETA EN MADERA PULIDA</v>
          </cell>
          <cell r="C147" t="str">
            <v>ML</v>
          </cell>
          <cell r="D147">
            <v>4500</v>
          </cell>
          <cell r="E147">
            <v>162450</v>
          </cell>
        </row>
        <row r="148">
          <cell r="B148" t="str">
            <v>CERCHA TRIANGULAR</v>
          </cell>
          <cell r="C148" t="str">
            <v>ML</v>
          </cell>
          <cell r="D148">
            <v>10500</v>
          </cell>
          <cell r="E148">
            <v>0</v>
          </cell>
        </row>
        <row r="149">
          <cell r="B149" t="str">
            <v>SOLDADURA METALICA</v>
          </cell>
          <cell r="C149" t="str">
            <v>GLB</v>
          </cell>
          <cell r="D149">
            <v>1000</v>
          </cell>
          <cell r="E149">
            <v>0</v>
          </cell>
        </row>
        <row r="150">
          <cell r="B150" t="str">
            <v>HERRAMIENTAS MENOR</v>
          </cell>
          <cell r="C150" t="str">
            <v>UN</v>
          </cell>
          <cell r="D150">
            <v>500</v>
          </cell>
          <cell r="E150">
            <v>97500</v>
          </cell>
        </row>
        <row r="151">
          <cell r="B151" t="str">
            <v>XXX</v>
          </cell>
          <cell r="E151">
            <v>0</v>
          </cell>
        </row>
        <row r="152">
          <cell r="B152" t="str">
            <v>XXX</v>
          </cell>
          <cell r="E152">
            <v>0</v>
          </cell>
        </row>
        <row r="153">
          <cell r="B153" t="str">
            <v>XXX</v>
          </cell>
          <cell r="E153">
            <v>0</v>
          </cell>
        </row>
        <row r="154">
          <cell r="B154" t="str">
            <v>XXX</v>
          </cell>
          <cell r="E154">
            <v>0</v>
          </cell>
        </row>
        <row r="155">
          <cell r="B155" t="str">
            <v>XXX</v>
          </cell>
          <cell r="E155">
            <v>0</v>
          </cell>
        </row>
        <row r="156">
          <cell r="B156" t="str">
            <v>XXX</v>
          </cell>
          <cell r="E156">
            <v>0</v>
          </cell>
        </row>
        <row r="157">
          <cell r="B157" t="str">
            <v>XXX</v>
          </cell>
          <cell r="E157">
            <v>0</v>
          </cell>
        </row>
        <row r="158">
          <cell r="B158" t="str">
            <v>XXX</v>
          </cell>
          <cell r="E158">
            <v>0</v>
          </cell>
        </row>
        <row r="159">
          <cell r="B159" t="str">
            <v>XXX</v>
          </cell>
          <cell r="E159">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INV"/>
      <sheetName val="AASHTO"/>
      <sheetName val="Constantes Generales"/>
      <sheetName val="Prestaciones Sociales"/>
      <sheetName val="PRESUPUESTO ESTADIO 1"/>
      <sheetName val="PORT_0-23"/>
      <sheetName val="PORT_1-22"/>
      <sheetName val="PORT_3-20"/>
      <sheetName val="PORT_5-18"/>
      <sheetName val="PORT_6-17"/>
      <sheetName val="PORT_7-16"/>
      <sheetName val="PORT_8-15"/>
      <sheetName val="PORT_9-14"/>
      <sheetName val="PORT_10-13"/>
      <sheetName val="PORT_11-12"/>
      <sheetName val="PORT_A_(9-14)"/>
      <sheetName val="PORT_B_(9-14)"/>
      <sheetName val="PORT_C_(9-14)"/>
      <sheetName val="PORT_D_(9-14)"/>
      <sheetName val="CIME,_ESTRU_y_ACERO"/>
      <sheetName val="PORT_A_(0-9)"/>
      <sheetName val="PORT_B_(0-9)"/>
      <sheetName val="PORT_C_(0-9)_"/>
      <sheetName val="PORT_D_(0-9)"/>
      <sheetName val="2_ETAPA"/>
      <sheetName val="CIM_RAMPAS"/>
      <sheetName val="tanques_Y_NUCLEOS"/>
      <sheetName val="Col_rampa"/>
      <sheetName val="platafo_N+5_3"/>
      <sheetName val="SEGUNDA_ETAPA"/>
      <sheetName val="Presup_Oficial"/>
      <sheetName val="Presup_Oficial_(2)"/>
      <sheetName val="PREFABRICADOS_2_et"/>
      <sheetName val="PRESUPUESTO_ESTADIO_1"/>
      <sheetName val="Constantes_Generales"/>
      <sheetName val="Prestaciones_Sociales"/>
      <sheetName val="PORT_0-231"/>
      <sheetName val="PORT_1-221"/>
      <sheetName val="PORT_3-201"/>
      <sheetName val="PORT_5-181"/>
      <sheetName val="PORT_6-171"/>
      <sheetName val="PORT_7-161"/>
      <sheetName val="PORT_8-151"/>
      <sheetName val="PORT_9-141"/>
      <sheetName val="PORT_10-131"/>
      <sheetName val="PORT_11-121"/>
      <sheetName val="PORT_A_(9-14)1"/>
      <sheetName val="PORT_B_(9-14)1"/>
      <sheetName val="PORT_C_(9-14)1"/>
      <sheetName val="PORT_D_(9-14)1"/>
      <sheetName val="CIME,_ESTRU_y_ACERO1"/>
      <sheetName val="PORT_A_(0-9)1"/>
      <sheetName val="PORT_B_(0-9)1"/>
      <sheetName val="PORT_C_(0-9)_1"/>
      <sheetName val="PORT_D_(0-9)1"/>
      <sheetName val="2_ETAPA1"/>
      <sheetName val="CIM_RAMPAS1"/>
      <sheetName val="tanques_Y_NUCLEOS1"/>
      <sheetName val="Col_rampa1"/>
      <sheetName val="platafo_N+5_31"/>
      <sheetName val="SEGUNDA_ETAPA1"/>
      <sheetName val="Presup_Oficial1"/>
      <sheetName val="Presup_Oficial_(2)1"/>
      <sheetName val="PREFABRICADOS_2_et1"/>
      <sheetName val="PRESUPUESTO_ESTADIO_11"/>
      <sheetName val="Constantes_Generales1"/>
      <sheetName val="Prestaciones_Sociales1"/>
      <sheetName val="PORT_0-232"/>
      <sheetName val="PORT_1-222"/>
      <sheetName val="PORT_3-202"/>
      <sheetName val="PORT_5-182"/>
      <sheetName val="PORT_6-172"/>
      <sheetName val="PORT_7-162"/>
      <sheetName val="PORT_8-152"/>
      <sheetName val="PORT_9-142"/>
      <sheetName val="PORT_10-132"/>
      <sheetName val="PORT_11-122"/>
      <sheetName val="PORT_A_(9-14)2"/>
      <sheetName val="PORT_B_(9-14)2"/>
      <sheetName val="PORT_C_(9-14)2"/>
      <sheetName val="PORT_D_(9-14)2"/>
      <sheetName val="CIME,_ESTRU_y_ACERO2"/>
      <sheetName val="PORT_A_(0-9)2"/>
      <sheetName val="PORT_B_(0-9)2"/>
      <sheetName val="PORT_C_(0-9)_2"/>
      <sheetName val="PORT_D_(0-9)2"/>
      <sheetName val="2_ETAPA2"/>
      <sheetName val="CIM_RAMPAS2"/>
      <sheetName val="tanques_Y_NUCLEOS2"/>
      <sheetName val="Col_rampa2"/>
      <sheetName val="platafo_N+5_32"/>
      <sheetName val="SEGUNDA_ETAPA2"/>
      <sheetName val="Presup_Oficial2"/>
      <sheetName val="Presup_Oficial_(2)2"/>
      <sheetName val="PREFABRICADOS_2_et2"/>
      <sheetName val="PRESUPUESTO_ESTADIO_12"/>
      <sheetName val="Constantes_Generales2"/>
      <sheetName val="Prestaciones_Sociales2"/>
      <sheetName val="PORT_0-233"/>
      <sheetName val="PORT_1-223"/>
      <sheetName val="PORT_3-203"/>
      <sheetName val="PORT_5-183"/>
      <sheetName val="PORT_6-173"/>
      <sheetName val="PORT_7-163"/>
      <sheetName val="PORT_8-153"/>
      <sheetName val="PORT_9-143"/>
      <sheetName val="PORT_10-133"/>
      <sheetName val="PORT_11-123"/>
      <sheetName val="PORT_A_(9-14)3"/>
      <sheetName val="PORT_B_(9-14)3"/>
      <sheetName val="PORT_C_(9-14)3"/>
      <sheetName val="PORT_D_(9-14)3"/>
      <sheetName val="CIME,_ESTRU_y_ACERO3"/>
      <sheetName val="PORT_A_(0-9)3"/>
      <sheetName val="PORT_B_(0-9)3"/>
      <sheetName val="PORT_C_(0-9)_3"/>
      <sheetName val="PORT_D_(0-9)3"/>
      <sheetName val="2_ETAPA3"/>
      <sheetName val="CIM_RAMPAS3"/>
      <sheetName val="tanques_Y_NUCLEOS3"/>
      <sheetName val="Col_rampa3"/>
      <sheetName val="platafo_N+5_33"/>
      <sheetName val="SEGUNDA_ETAPA3"/>
      <sheetName val="Presup_Oficial3"/>
      <sheetName val="Presup_Oficial_(2)3"/>
      <sheetName val="PREFABRICADOS_2_et3"/>
      <sheetName val="PRESUPUESTO_ESTADIO_13"/>
      <sheetName val="Constantes_Generales3"/>
      <sheetName val="Prestaciones_Sociales3"/>
      <sheetName val="Item"/>
      <sheetName val="PU (2)"/>
      <sheetName val="PR 1"/>
      <sheetName val="Base Dato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refreshError="1"/>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refreshError="1"/>
      <sheetData sheetId="168" refreshError="1"/>
      <sheetData sheetId="169" refreshError="1"/>
      <sheetData sheetId="170" refreshError="1"/>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PRESUPUESTO"/>
    </sheetNames>
    <sheetDataSet>
      <sheetData sheetId="0">
        <row r="60">
          <cell r="G60">
            <v>2632</v>
          </cell>
        </row>
        <row r="114">
          <cell r="G114">
            <v>18962</v>
          </cell>
        </row>
        <row r="168">
          <cell r="G168">
            <v>22779</v>
          </cell>
        </row>
        <row r="222">
          <cell r="G222">
            <v>28355</v>
          </cell>
        </row>
        <row r="277">
          <cell r="G277">
            <v>215327</v>
          </cell>
        </row>
        <row r="331">
          <cell r="G331">
            <v>99627</v>
          </cell>
        </row>
        <row r="385">
          <cell r="G385">
            <v>112737</v>
          </cell>
        </row>
        <row r="439">
          <cell r="G439">
            <v>149909</v>
          </cell>
        </row>
        <row r="493">
          <cell r="G493">
            <v>147752</v>
          </cell>
        </row>
        <row r="547">
          <cell r="G547">
            <v>103282</v>
          </cell>
        </row>
        <row r="655">
          <cell r="G655">
            <v>590467</v>
          </cell>
        </row>
        <row r="709">
          <cell r="G709">
            <v>472651</v>
          </cell>
        </row>
        <row r="763">
          <cell r="G763">
            <v>54134</v>
          </cell>
        </row>
        <row r="817">
          <cell r="G817">
            <v>56326</v>
          </cell>
        </row>
        <row r="871">
          <cell r="G871">
            <v>10649</v>
          </cell>
        </row>
        <row r="925">
          <cell r="G925">
            <v>165148</v>
          </cell>
        </row>
        <row r="979">
          <cell r="G979">
            <v>9395</v>
          </cell>
        </row>
        <row r="1033">
          <cell r="G1033">
            <v>434519</v>
          </cell>
        </row>
        <row r="1141">
          <cell r="G1141">
            <v>29686</v>
          </cell>
        </row>
      </sheetData>
      <sheetData sheetId="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CCIDENTES%20DE%201995%20-%2019"/>
      <sheetName val="aCCIDENTES DE 1995 - 1996.xls"/>
      <sheetName val="CONT_ADI"/>
      <sheetName val="Datos"/>
      <sheetName val="MATERIALES"/>
      <sheetName val="\a  aaInformación GRUPO 4\A MIn"/>
      <sheetName val="items"/>
      <sheetName val="ACTA DE MODIFICACION  (2)"/>
      <sheetName val="INDICMICROEMP"/>
      <sheetName val="#¡REF"/>
      <sheetName val="SUB APU"/>
      <sheetName val="Datos Básicos"/>
      <sheetName val="SALARIOS"/>
      <sheetName val="Informacion"/>
      <sheetName val="INV"/>
      <sheetName val="AASHTO"/>
      <sheetName val="Informe"/>
      <sheetName val="Seguim-16"/>
      <sheetName val="PESOS"/>
      <sheetName val="Formulario N° 4"/>
      <sheetName val="EQUIPO"/>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Users\HP\AppData\Local\Microso"/>
      <sheetName val="\A\a  aaInformación GRUPO 4\A M"/>
      <sheetName val="aCCIDENTES_DE_1995_-_19963"/>
      <sheetName val="aCCIDENTES_DE_1995_-_19964"/>
      <sheetName val="aCCIDENTES_DE_1995_-_19965"/>
      <sheetName val="aCCIDENTES_DE_1995_-_19968"/>
      <sheetName val="aCCIDENTES_DE_1995_-_19966"/>
      <sheetName val="aCCIDENTES_DE_1995_-_19967"/>
      <sheetName val="aCCIDENTES_DE_1995_-_19969"/>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aCCIDENTES DE 1995 - 1996.xls]"/>
      <sheetName val="\\Escritorio\amv 2011\a  aaInfo"/>
      <sheetName val="\Users\avargase\AppData\Local\M"/>
      <sheetName val="\G\I\AMV _ no borrar\PRESUPUEST"/>
      <sheetName val="\G\A\a  aaInformación GRUPO 4\A"/>
      <sheetName val="ESTADO VÍA-CRIT.TECNICO"/>
      <sheetName val="\\Giovanni\administracion vial\"/>
      <sheetName val="\MONTO AGOTABLE 2010\a  aaInfor"/>
      <sheetName val="Res-Accide-10"/>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Mini HP Enero 2015\Proyectos i"/>
      <sheetName val="\C\Users\avargase\AppData\Local"/>
      <sheetName val="\Volumes\USB PIOLIN\Escritorio\"/>
      <sheetName val="\\Sistemas_serv1\xx\Documents a"/>
      <sheetName val="#REF"/>
      <sheetName val="Hoja2"/>
      <sheetName val="CANT OBRA"/>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E\a  aaInformación GRUPO 4\A M"/>
      <sheetName val="PR 1"/>
      <sheetName val="\Users\USUARIO\Downloads\a  aaI"/>
      <sheetName val="SEGUIM Y REPROG MES 1 (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LISTADO "/>
      <sheetName val="M.O."/>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MATERIAL"/>
      <sheetName val="HISTORICOS FUEL OIL EXP"/>
      <sheetName val="\Nuevos APU Córdoba\a  aaInform"/>
      <sheetName val="\E\Nuevos APU Córdoba\a  aaInfo"/>
      <sheetName val="\Users\JoseGabriel\Documents\Mi"/>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Gabrielaapabone\d copias\a  a"/>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DUB-823"/>
      <sheetName val="GPI 526"/>
      <sheetName val="SKJ452"/>
      <sheetName val="ITA878"/>
      <sheetName val="AEA-944"/>
      <sheetName val="XXJ617"/>
      <sheetName val="SNG_855"/>
      <sheetName val="VEA 374"/>
      <sheetName val="HFB024"/>
      <sheetName val="PAJ825"/>
      <sheetName val="COSTOS UNITARIOS"/>
      <sheetName val="CA-2909"/>
      <sheetName val="_aCCIDENTES_DE_1995___1996_xl_2"/>
      <sheetName val="//ccefici"/>
      <sheetName val="EQUIPOS"/>
      <sheetName val="MANO DE OBRA"/>
      <sheetName val="TRANSPORTE"/>
      <sheetName val="_aCCIDENTES_DE_1995___1996_xl_3"/>
      <sheetName val="//d.docs.live.net/a  aaInformac"/>
      <sheetName val="_aCCIDENTES_DE_1995___1996_xl_5"/>
      <sheetName val="_aCCIDENTES_DE_1995___1996_xl_4"/>
      <sheetName val="_aCCIDENTES_DE_1995___1996_xl_7"/>
      <sheetName val="_aCCIDENTES_DE_1995___1996_xl_6"/>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8"/>
      <sheetName val="_aCCIDENTES_DE_1995___1996_xl_9"/>
      <sheetName val="_aCCIDENTES_DE_1995___1996_x_11"/>
      <sheetName val="_aCCIDENTES_DE_1995___1996_x_10"/>
      <sheetName val="_aCCIDENTES_DE_1995___1996_x_12"/>
      <sheetName val="_aCCIDENTES_DE_1995___1996_x_13"/>
      <sheetName val="_aCCIDENTES_DE_1995___1996_x_14"/>
      <sheetName val="_aCCIDENTES_DE_1995___1996_x_18"/>
      <sheetName val="_aCCIDENTES_DE_1995___1996_x_15"/>
      <sheetName val="_aCCIDENTES_DE_1995___1996_x_16"/>
      <sheetName val="_aCCIDENTES_DE_1995___1996_x_17"/>
      <sheetName val="_aCCIDENTES_DE_1995___1996_x_19"/>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8"/>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_aCCIDENTES_DE_1995___1996_x_36"/>
      <sheetName val="_aCCIDENTES_DE_1995___1996_x_37"/>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4"/>
      <sheetName val="_aCCIDENTES_DE_1995___1996_x_49"/>
      <sheetName val="_aCCIDENTES_DE_1995___1996_x_50"/>
      <sheetName val="_aCCIDENTES_DE_1995___1996_x_53"/>
      <sheetName val="_aCCIDENTES_DE_1995___1996_x_51"/>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_aCCIDENTES_DE_1995___1996_x_52"/>
      <sheetName val="_aCCIDENTES_DE_1995___1996_x_55"/>
      <sheetName val="_aCCIDENTES_DE_1995___1996_x_56"/>
      <sheetName val=" ACTA FINAL + MODIFICATORIA "/>
      <sheetName val="_aCCIDENTES_DE_1995___1996_x_59"/>
      <sheetName val="INDICE"/>
      <sheetName val="AC2-AG96"/>
      <sheetName val="G.G"/>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actividad"/>
      <sheetName val="_aCCIDENTES_DE_1995___1996_x_58"/>
      <sheetName val="_aCCIDENTES_DE_1995___1996_x_57"/>
      <sheetName val="\Users\ANDRES FELIPE MUÑOZ\Down"/>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Base_Muestras"/>
      <sheetName val="Formulario_N°_4"/>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Escritorio\amv_2011\a__aaInfo"/>
      <sheetName val="\Documents_and_Settings\jviteri"/>
      <sheetName val="\\Giovanni\administracion_vial\"/>
      <sheetName val="\MONTO_AGOTABLE_2010\a__aaInfor"/>
      <sheetName val="SEGUIM_Y_REPROG_MES_1_(2)"/>
      <sheetName val="ESTADO_VÍA-CRIT_TECNICO"/>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ANALISIS RESUMIDOS"/>
      <sheetName val="MAT"/>
      <sheetName val="HER"/>
      <sheetName val="PER"/>
      <sheetName val="TRAN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refreshError="1"/>
      <sheetData sheetId="109" refreshError="1"/>
      <sheetData sheetId="110" refreshError="1"/>
      <sheetData sheetId="11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refreshError="1"/>
      <sheetData sheetId="275" refreshError="1"/>
      <sheetData sheetId="276"/>
      <sheetData sheetId="277" refreshError="1"/>
      <sheetData sheetId="278" refreshError="1"/>
      <sheetData sheetId="279" refreshError="1"/>
      <sheetData sheetId="280" refreshError="1"/>
      <sheetData sheetId="281" refreshError="1"/>
      <sheetData sheetId="282" refreshError="1"/>
      <sheetData sheetId="283" refreshError="1"/>
      <sheetData sheetId="284"/>
      <sheetData sheetId="285"/>
      <sheetData sheetId="286"/>
      <sheetData sheetId="287"/>
      <sheetData sheetId="288"/>
      <sheetData sheetId="289"/>
      <sheetData sheetId="290"/>
      <sheetData sheetId="291"/>
      <sheetData sheetId="292"/>
      <sheetData sheetId="293" refreshError="1"/>
      <sheetData sheetId="294" refreshError="1"/>
      <sheetData sheetId="295"/>
      <sheetData sheetId="296" refreshError="1"/>
      <sheetData sheetId="297"/>
      <sheetData sheetId="298" refreshError="1"/>
      <sheetData sheetId="299" refreshError="1"/>
      <sheetData sheetId="300" refreshError="1"/>
      <sheetData sheetId="301" refreshError="1"/>
      <sheetData sheetId="302" refreshError="1"/>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refreshError="1"/>
      <sheetData sheetId="348"/>
      <sheetData sheetId="349"/>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refreshError="1"/>
      <sheetData sheetId="672" refreshError="1"/>
      <sheetData sheetId="673" refreshError="1"/>
      <sheetData sheetId="674"/>
      <sheetData sheetId="675" refreshError="1"/>
      <sheetData sheetId="676" refreshError="1"/>
      <sheetData sheetId="677" refreshError="1"/>
      <sheetData sheetId="678" refreshError="1"/>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refreshError="1"/>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refreshError="1"/>
      <sheetData sheetId="908"/>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DATOS"/>
      <sheetName val="INDICAR CÓDIGO DEL ITEM DE PAGO"/>
      <sheetName val="Hoja3"/>
      <sheetName val="Hoja1"/>
      <sheetName val="MEMORIA DE CANTIDADES"/>
      <sheetName val="PRESUPUESTO OFICIAL "/>
      <sheetName val="MANO DE OBRA"/>
      <sheetName val="MGA"/>
      <sheetName val="Hoja2"/>
    </sheetNames>
    <sheetDataSet>
      <sheetData sheetId="0">
        <row r="5">
          <cell r="E5">
            <v>2026</v>
          </cell>
          <cell r="F5">
            <v>46143</v>
          </cell>
        </row>
        <row r="7">
          <cell r="C7" t="str">
            <v>MEJORAMIENTO DE VIVIENDA CON ENFOQUE DIFERENCIAL PARA POBLACIÓN VULNERABLE EN EL MUNICIPIO DE CUBARÁ, BOYACÁ (2026).</v>
          </cell>
        </row>
        <row r="8">
          <cell r="D8" t="str">
            <v>HELMER EDUARDO BECERRA SANTANDER</v>
          </cell>
        </row>
        <row r="9">
          <cell r="D9" t="str">
            <v>APOYO SEC. DE PLANEACION Y OBRAS PÚBLICAS</v>
          </cell>
        </row>
        <row r="11">
          <cell r="D11" t="str">
            <v>JESUS IVAN QUIÑONES RUEDA</v>
          </cell>
        </row>
        <row r="12">
          <cell r="D12" t="str">
            <v>SECRETARIO DE PLANEACION Y OBRAS PÚBLICAS</v>
          </cell>
        </row>
      </sheetData>
      <sheetData sheetId="1"/>
      <sheetData sheetId="2"/>
      <sheetData sheetId="3"/>
      <sheetData sheetId="4"/>
      <sheetData sheetId="5"/>
      <sheetData sheetId="6"/>
      <sheetData sheetId="7"/>
      <sheetData sheetId="8"/>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DATOS"/>
      <sheetName val="INDICAR CÓDIGO DEL ITEM DE PAGO"/>
      <sheetName val="Hoja3"/>
      <sheetName val="Hoja1"/>
      <sheetName val="MEMORIA DE CANTIDADES"/>
      <sheetName val="PRESUPUESTO OFICIAL "/>
      <sheetName val="MANO DE OBRA"/>
      <sheetName val="MGA"/>
      <sheetName val="Hoja2"/>
    </sheetNames>
    <sheetDataSet>
      <sheetData sheetId="0">
        <row r="7">
          <cell r="C7" t="str">
            <v>AMPLIACIÓN DE LA RED DE ACUEDUCTO DE LA CALLE 3ª, ENTRE LA CARRERA No. 2ª Y LA VIA NACIONAL DE LA ZONA URBANA DEL MUNICIPIO DE CUBARÁ, DEPARTAMENTO DE BOYACÁ</v>
          </cell>
        </row>
      </sheetData>
      <sheetData sheetId="1"/>
      <sheetData sheetId="2"/>
      <sheetData sheetId="3"/>
      <sheetData sheetId="4"/>
      <sheetData sheetId="5"/>
      <sheetData sheetId="6"/>
      <sheetData sheetId="7"/>
      <sheetData sheetId="8"/>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 val="OPCIONES DE SIMULACION"/>
      <sheetName val="COSTOS DE TRANSPORTE"/>
      <sheetName val="BOUNDS &amp; ROWS"/>
      <sheetName val="COMPRA MATERIA PRIMA"/>
      <sheetName val="STRSUMM0"/>
      <sheetName val="Hoja2"/>
      <sheetName val="INDICADORES"/>
      <sheetName val="General"/>
      <sheetName val="O.P."/>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OG TRAB (2)"/>
      <sheetName val="PROG TRAB"/>
      <sheetName val="Presupuesto"/>
      <sheetName val="Compensad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s>
    <sheetDataSet>
      <sheetData sheetId="0" refreshError="1"/>
      <sheetData sheetId="1" refreshError="1"/>
      <sheetData sheetId="2">
        <row r="4">
          <cell r="B4" t="str">
            <v/>
          </cell>
        </row>
        <row r="114">
          <cell r="B114" t="str">
            <v>CONCRETO DE 3000 PSI</v>
          </cell>
        </row>
        <row r="116">
          <cell r="B116" t="str">
            <v>HIERRO DE REFUERZO</v>
          </cell>
        </row>
        <row r="169">
          <cell r="B169" t="str">
            <v>TABELON</v>
          </cell>
        </row>
        <row r="170">
          <cell r="B170" t="str">
            <v>RIEL IPN 100</v>
          </cell>
        </row>
      </sheetData>
      <sheetData sheetId="3" refreshError="1"/>
      <sheetData sheetId="4" refreshError="1"/>
      <sheetData sheetId="5" refreshError="1"/>
      <sheetData sheetId="6" refreshError="1"/>
      <sheetData sheetId="7"/>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sheetData sheetId="24"/>
      <sheetData sheetId="25"/>
      <sheetData sheetId="26"/>
      <sheetData sheetId="27"/>
      <sheetData sheetId="28" refreshError="1"/>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ermeabOTRO"/>
      <sheetName val="PESOS"/>
      <sheetName val="LISTAS"/>
      <sheetName val="Cantobraimper"/>
    </sheetNames>
    <sheetDataSet>
      <sheetData sheetId="0"/>
      <sheetData sheetId="1" refreshError="1"/>
      <sheetData sheetId="2" refreshError="1"/>
      <sheetData sheetId="3"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OCTUBRE"/>
      <sheetName val="PORTADA"/>
      <sheetName val="C_C_"/>
      <sheetName val="ALTERNATIVA 1"/>
      <sheetName val="Datos_CO"/>
      <sheetName val="59y22%"/>
      <sheetName val="Puntos"/>
      <sheetName val="ENTRADAS"/>
      <sheetName val="BALANCE"/>
      <sheetName val="resumen monal"/>
      <sheetName val="EQ"/>
      <sheetName val="CONTROL S24"/>
      <sheetName val="data"/>
      <sheetName val="Valores Desplegables"/>
      <sheetName val="presup"/>
      <sheetName val="MAMPO 1"/>
      <sheetName val="Tabla"/>
      <sheetName val="COSTOS DE TRANSPORTE"/>
      <sheetName val="BOUNDS &amp; ROWS"/>
      <sheetName val="COMPRA MATERIA PRIMA"/>
      <sheetName val="Data Tables"/>
      <sheetName val="Company"/>
      <sheetName val="cantidades pH3"/>
      <sheetName val="210.2.2"/>
      <sheetName val="Clúster 8"/>
      <sheetName val="Clúster 14"/>
      <sheetName val="Sheet1"/>
      <sheetName val="TARIFAS"/>
      <sheetName val="SABANA"/>
      <sheetName val="Actmonths"/>
      <sheetName val="MI"/>
      <sheetName val="L. de Constru"/>
      <sheetName val="BUSCADOR"/>
      <sheetName val="RESUMEN"/>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PrecRec"/>
      <sheetName val="PESOS"/>
      <sheetName val="Sanitario"/>
      <sheetName val="EST2"/>
      <sheetName val="Hoja2"/>
      <sheetName val="1.2 COSTOS PERSONAL"/>
      <sheetName val="1. RECURSOS PERSONAL"/>
      <sheetName val="LÍNEAS DE SERVICIO"/>
      <sheetName val="3. MATERIALES Y CONSUMIBLES"/>
      <sheetName val="4. EQUIPOS"/>
      <sheetName val="6. SUMINISTROS ESPECIALES"/>
      <sheetName val="5. HERRAMIENTAS"/>
      <sheetName val="2. RECURSOS VEHÍCUL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sheetData sheetId="132"/>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sheetData sheetId="142"/>
      <sheetData sheetId="143"/>
      <sheetData sheetId="144"/>
      <sheetData sheetId="145"/>
      <sheetData sheetId="146"/>
      <sheetData sheetId="147"/>
      <sheetData sheetId="148"/>
      <sheetData sheetId="149"/>
      <sheetData sheetId="150"/>
      <sheetData sheetId="151"/>
      <sheetData sheetId="152"/>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_(2)1"/>
      <sheetName val="RESUMEN"/>
      <sheetName val="PRECIOS"/>
      <sheetName val="fotos"/>
      <sheetName val="items"/>
      <sheetName val="PU_(2)"/>
      <sheetName val="PU_(2)2"/>
      <sheetName val="PU (2)"/>
      <sheetName val="PU_(2)3"/>
      <sheetName val="PU_(2)4"/>
      <sheetName val="PU_(2)5"/>
      <sheetName val="Constantes Generales"/>
      <sheetName val="Prestaciones Sociales"/>
      <sheetName val="CONS"/>
      <sheetName val="TARIFAS"/>
      <sheetName val="31"/>
      <sheetName val="PU_(2)8"/>
      <sheetName val="PU_(2)6"/>
      <sheetName val="PU_(2)7"/>
      <sheetName val="PU_(2)9"/>
    </sheetNames>
    <sheetDataSet>
      <sheetData sheetId="0"/>
      <sheetData sheetId="1">
        <row r="10">
          <cell r="F10" t="str">
            <v>ITEM: Terraplenes (con material proveniente de corte)</v>
          </cell>
        </row>
      </sheetData>
      <sheetData sheetId="2"/>
      <sheetData sheetId="3"/>
      <sheetData sheetId="4"/>
      <sheetData sheetId="5" refreshError="1"/>
      <sheetData sheetId="6">
        <row r="10">
          <cell r="F10" t="str">
            <v>ITEM: Terraplenes (con material proveniente de corte)</v>
          </cell>
        </row>
      </sheetData>
      <sheetData sheetId="7">
        <row r="10">
          <cell r="F10" t="str">
            <v>ITEM: Terraplenes (con material proveniente de corte)</v>
          </cell>
        </row>
      </sheetData>
      <sheetData sheetId="8">
        <row r="10">
          <cell r="F10" t="str">
            <v>ITEM: Terraplenes (con material proveniente de corte)</v>
          </cell>
        </row>
      </sheetData>
      <sheetData sheetId="9">
        <row r="10">
          <cell r="F10" t="str">
            <v>ITEM: Terraplenes (con material proveniente de corte)</v>
          </cell>
        </row>
      </sheetData>
      <sheetData sheetId="10"/>
      <sheetData sheetId="11"/>
      <sheetData sheetId="12" refreshError="1"/>
      <sheetData sheetId="13" refreshError="1"/>
      <sheetData sheetId="14" refreshError="1"/>
      <sheetData sheetId="15" refreshError="1"/>
      <sheetData sheetId="16" refreshError="1"/>
      <sheetData sheetId="17"/>
      <sheetData sheetId="18"/>
      <sheetData sheetId="19"/>
      <sheetData sheetId="20"/>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GABO"/>
      <sheetName val="Presupuesto"/>
      <sheetName val="Datos"/>
      <sheetName val="Base Datos"/>
      <sheetName val="1.1"/>
      <sheetName val="1.2"/>
      <sheetName val="2.1"/>
      <sheetName val="3.1"/>
      <sheetName val="3.2"/>
      <sheetName val="3.3"/>
      <sheetName val="3.4"/>
      <sheetName val="3.5"/>
      <sheetName val="3.6"/>
      <sheetName val="3.7"/>
      <sheetName val="4.1"/>
      <sheetName val="4.2"/>
      <sheetName val="4.3"/>
      <sheetName val="5.1"/>
      <sheetName val="6.1"/>
      <sheetName val="6.2"/>
      <sheetName val="6.3"/>
      <sheetName val="6.4"/>
      <sheetName val="7.1"/>
      <sheetName val="8.1"/>
      <sheetName val="8.2"/>
      <sheetName val="9.1"/>
      <sheetName val="9.3"/>
      <sheetName val="9.4"/>
      <sheetName val="10.1"/>
      <sheetName val="10.2"/>
      <sheetName val="10.3"/>
      <sheetName val="11.1"/>
      <sheetName val="12.1"/>
      <sheetName val="C123"/>
      <sheetName val="M14"/>
      <sheetName val="vinilo"/>
      <sheetName val="PAÑETE"/>
      <sheetName val="ENCHAPE"/>
      <sheetName val="ESTUCO"/>
      <sheetName val="CERCHA"/>
    </sheetNames>
    <sheetDataSet>
      <sheetData sheetId="0" refreshError="1"/>
      <sheetData sheetId="1" refreshError="1"/>
      <sheetData sheetId="2" refreshError="1"/>
      <sheetData sheetId="3" refreshError="1">
        <row r="4">
          <cell r="B4" t="str">
            <v xml:space="preserve"> </v>
          </cell>
        </row>
        <row r="8">
          <cell r="B8">
            <v>0.1</v>
          </cell>
        </row>
        <row r="11">
          <cell r="B11">
            <v>0.93</v>
          </cell>
        </row>
        <row r="228">
          <cell r="B228" t="str">
            <v>HERRAMIENTA MENOR</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iniciales "/>
      <sheetName val="Equipo"/>
      <sheetName val="Mano de obra "/>
      <sheetName val="Cuadrillas"/>
      <sheetName val="Transporte"/>
      <sheetName val="Concretos y morteros"/>
      <sheetName val="Materiales"/>
      <sheetName val="APUS"/>
      <sheetName val="Total "/>
      <sheetName val="Presupuesto de obra "/>
      <sheetName val="Cronograma "/>
      <sheetName val="Cantidades placa huella"/>
      <sheetName val="Flujo de fondos "/>
      <sheetName val="Grafica"/>
    </sheetNames>
    <sheetDataSet>
      <sheetData sheetId="0">
        <row r="18">
          <cell r="C18">
            <v>737717</v>
          </cell>
        </row>
      </sheetData>
      <sheetData sheetId="1">
        <row r="10">
          <cell r="F10">
            <v>15000</v>
          </cell>
        </row>
      </sheetData>
      <sheetData sheetId="2"/>
      <sheetData sheetId="3">
        <row r="12">
          <cell r="H12">
            <v>12500</v>
          </cell>
        </row>
      </sheetData>
      <sheetData sheetId="4">
        <row r="8">
          <cell r="F8">
            <v>1500</v>
          </cell>
        </row>
      </sheetData>
      <sheetData sheetId="5">
        <row r="12">
          <cell r="J12">
            <v>22</v>
          </cell>
        </row>
      </sheetData>
      <sheetData sheetId="6">
        <row r="7">
          <cell r="F7">
            <v>50</v>
          </cell>
        </row>
      </sheetData>
      <sheetData sheetId="7"/>
      <sheetData sheetId="8"/>
      <sheetData sheetId="9"/>
      <sheetData sheetId="10"/>
      <sheetData sheetId="11"/>
      <sheetData sheetId="12"/>
      <sheetData sheetId="13"/>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CARTA"/>
      <sheetName val="ONG"/>
      <sheetName val="CORPORI"/>
      <sheetName val="IDENT"/>
      <sheetName val="ANTECEDENTES"/>
      <sheetName val="PROYECTO"/>
      <sheetName val="PRECIO. MAT"/>
      <sheetName val="APU"/>
      <sheetName val="COPU"/>
      <sheetName val="Hoja2"/>
      <sheetName val="COPUDET"/>
      <sheetName val="RESUMEN"/>
      <sheetName val="FUENTES"/>
      <sheetName val="RECUR.HUM"/>
      <sheetName val="CRONOG"/>
      <sheetName val="MEC EJECUCION"/>
      <sheetName val="ATHE"/>
      <sheetName val="PRTSOCIALES"/>
      <sheetName val="Módulo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11">
          <cell r="C11">
            <v>1300</v>
          </cell>
        </row>
        <row r="12">
          <cell r="C12">
            <v>14000</v>
          </cell>
        </row>
        <row r="13">
          <cell r="C13">
            <v>13800</v>
          </cell>
        </row>
        <row r="15">
          <cell r="C15">
            <v>32000</v>
          </cell>
        </row>
        <row r="16">
          <cell r="C16">
            <v>46000</v>
          </cell>
        </row>
        <row r="18">
          <cell r="C18">
            <v>1284</v>
          </cell>
        </row>
        <row r="20">
          <cell r="C20">
            <v>4100</v>
          </cell>
        </row>
        <row r="21">
          <cell r="C21">
            <v>1800</v>
          </cell>
        </row>
        <row r="22">
          <cell r="C22">
            <v>18000</v>
          </cell>
        </row>
        <row r="23">
          <cell r="C23">
            <v>32000</v>
          </cell>
        </row>
        <row r="24">
          <cell r="C24">
            <v>29000</v>
          </cell>
        </row>
        <row r="25">
          <cell r="C25">
            <v>8900</v>
          </cell>
        </row>
        <row r="26">
          <cell r="C26">
            <v>18800</v>
          </cell>
        </row>
        <row r="31">
          <cell r="C31">
            <v>4200</v>
          </cell>
        </row>
        <row r="64">
          <cell r="C64">
            <v>2500</v>
          </cell>
        </row>
        <row r="65">
          <cell r="C65">
            <v>130000</v>
          </cell>
        </row>
        <row r="66">
          <cell r="C66">
            <v>24000</v>
          </cell>
        </row>
        <row r="67">
          <cell r="C67">
            <v>380</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row r="39">
          <cell r="G39">
            <v>5117</v>
          </cell>
        </row>
        <row r="69">
          <cell r="G69">
            <v>6901</v>
          </cell>
        </row>
        <row r="99">
          <cell r="G99">
            <v>7027</v>
          </cell>
        </row>
        <row r="162">
          <cell r="G162">
            <v>12417</v>
          </cell>
        </row>
      </sheetData>
      <sheetData sheetId="18" refreshError="1">
        <row r="38">
          <cell r="G38">
            <v>0</v>
          </cell>
        </row>
        <row r="46">
          <cell r="B46">
            <v>16363.636363636364</v>
          </cell>
        </row>
        <row r="47">
          <cell r="B47">
            <v>16363.636363636364</v>
          </cell>
        </row>
      </sheetData>
      <sheetData sheetId="1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
      <sheetName val="ONG"/>
      <sheetName val="CORPOR"/>
      <sheetName val="IDENT"/>
      <sheetName val="ANTECED"/>
      <sheetName val="PROYECTO"/>
      <sheetName val="ATHE"/>
      <sheetName val="THE"/>
      <sheetName val="JORNALES"/>
      <sheetName val="PRECIO.MAT"/>
      <sheetName val="APU"/>
      <sheetName val="APUDETA."/>
      <sheetName val="COPU"/>
      <sheetName val="Hoja2"/>
      <sheetName val="COPUDETA."/>
      <sheetName val="RESUMEN"/>
      <sheetName val="FUENTES"/>
      <sheetName val="Hoja3"/>
      <sheetName val="RECUR.HUM"/>
      <sheetName val="MEC.EJECUC."/>
      <sheetName val="CRONOG."/>
      <sheetName val="Hoja1"/>
    </sheetNames>
    <sheetDataSet>
      <sheetData sheetId="0"/>
      <sheetData sheetId="1"/>
      <sheetData sheetId="2"/>
      <sheetData sheetId="3"/>
      <sheetData sheetId="4"/>
      <sheetData sheetId="5"/>
      <sheetData sheetId="6">
        <row r="162">
          <cell r="G162">
            <v>68799</v>
          </cell>
        </row>
        <row r="193">
          <cell r="G193">
            <v>63605</v>
          </cell>
        </row>
        <row r="224">
          <cell r="G224">
            <v>23509</v>
          </cell>
        </row>
      </sheetData>
      <sheetData sheetId="7"/>
      <sheetData sheetId="8">
        <row r="26">
          <cell r="C26">
            <v>16363.636363636364</v>
          </cell>
        </row>
        <row r="27">
          <cell r="C27">
            <v>16363.636363636364</v>
          </cell>
        </row>
      </sheetData>
      <sheetData sheetId="9">
        <row r="18">
          <cell r="C18">
            <v>7000</v>
          </cell>
        </row>
        <row r="19">
          <cell r="C19">
            <v>9900</v>
          </cell>
        </row>
        <row r="20">
          <cell r="C20">
            <v>5000</v>
          </cell>
        </row>
      </sheetData>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 val="ANALISIS_DE_AIU"/>
      <sheetName val="Datos_Principales"/>
      <sheetName val="PRESUP_COMP_"/>
      <sheetName val="PRESUP_ACT_"/>
      <sheetName val="Presup_Resum"/>
      <sheetName val="Reporte_Viabilidad"/>
      <sheetName val="Transp_"/>
      <sheetName val="M_Obra"/>
      <sheetName val="Mort_1-3"/>
      <sheetName val="Mortero_1-3_imperm"/>
      <sheetName val="Mortero_1-4"/>
      <sheetName val="Mortero_1-4_imperm_"/>
      <sheetName val="Mortero_1-6"/>
      <sheetName val="Concreto_de_2000_psi"/>
      <sheetName val="Concreto_de_2500"/>
      <sheetName val="Concreto_de_3000_psi"/>
      <sheetName val="Acero_de_37_000_psi_"/>
      <sheetName val="Acero_de_60_000psi"/>
      <sheetName val="1_1_1campamento"/>
      <sheetName val="1_1_2__Cerram_prov"/>
      <sheetName val="1_1_3Limp__Desca__y_Retiro"/>
      <sheetName val="1_1_4Localización_y_Rep_"/>
      <sheetName val="1_1_7Localiz_y_rep"/>
      <sheetName val="1_3_1Demol_const_exit"/>
      <sheetName val="1_3_3Demol_de_muros"/>
      <sheetName val="1_3_6Demol_placa_maciza"/>
      <sheetName val="1_3_7Demol_const_manual"/>
      <sheetName val="1_4_2Traslado_poste"/>
      <sheetName val="2_1_1Excav_Mecan_"/>
      <sheetName val="2_1_2Excav__man_"/>
      <sheetName val="2_1_3xcav_man_receb"/>
      <sheetName val="2_1_5Relleno_mat_com"/>
      <sheetName val="2_1_06_Recebo_Comun"/>
      <sheetName val="2_1_10Relleno_Recebo_B-200"/>
      <sheetName val="2_2_1Concreto_pobre"/>
      <sheetName val="2_2_2Conc_ciclopeo"/>
      <sheetName val="2_2_3Muro_contencion"/>
      <sheetName val="2_2_4Concreto_Zapatas"/>
      <sheetName val="2_2_5Viga_Ciment"/>
      <sheetName val="2_2_6PILOTES"/>
      <sheetName val="2_2_7DADOS"/>
      <sheetName val="2_2_8_1Placa_Contrapiso"/>
      <sheetName val="2_2_8_2Placa_aligerada_50cm"/>
      <sheetName val="2_3_3Malla_Electros_"/>
      <sheetName val="3,1,2,3Tubo_novafor_4&quot;"/>
      <sheetName val="3_1_2_4Tubo_novafor_10"/>
      <sheetName val="3_1_2_5Tuberia_novafor12&quot;"/>
      <sheetName val="3_2_1_2Tubo_PVC_sanit4"/>
      <sheetName val="3_1_1_3Tuberia_sanitr6&quot;"/>
      <sheetName val="3_4_1_1Caja_de_Insp_60"/>
      <sheetName val="3_4_5canalteta_aguas_ll"/>
      <sheetName val="3_4_9Caja_insp_0_8"/>
      <sheetName val="3_4_10Caja_insp_1"/>
      <sheetName val="3_4_11Caja_insp_0_4"/>
      <sheetName val="3_5_1Excavacion_manual"/>
      <sheetName val="3_5_5Retiro_de_Sobrantes"/>
      <sheetName val="3,5,6Relleno_en_grava3-4"/>
      <sheetName val="3_6_1Empate_camara"/>
      <sheetName val="4_1_1Conc__Columnas"/>
      <sheetName val="4_2_1Viga_Aerea"/>
      <sheetName val="4_2_2Viga_Canal"/>
      <sheetName val="4_3_2Losa_aliger"/>
      <sheetName val="4_3_3_1Losa_con_lamina"/>
      <sheetName val="4_3_1_4Placa_e=_2"/>
      <sheetName val="4_3_1_1Placa_e=_1"/>
      <sheetName val="4_3_1,3Placa_e=_15"/>
      <sheetName val="4_3_1_2Placa_e=_12"/>
      <sheetName val="4_3_10Placa_alig_30"/>
      <sheetName val="4_3_11Placa_alig_50"/>
      <sheetName val="4_4_1Escal_en_concret"/>
      <sheetName val="4_4_2Rampa_en_concret"/>
      <sheetName val="4_4_3concreto_tanque"/>
      <sheetName val="4_5_2Acero_6000_psi"/>
      <sheetName val="4_6_1perfil_metalico_placa"/>
      <sheetName val="4_7_4_1Perfil_metalico"/>
      <sheetName val="4_6_2_6Anclajes"/>
      <sheetName val="4_6_2_7Columna_metalica"/>
      <sheetName val="4_6_2_8Viga_Met_"/>
      <sheetName val="4_6_2_9Viga_met_60"/>
      <sheetName val="4_6_2_10Viga_met_65"/>
      <sheetName val="5_1_3_1bloque_piedra"/>
      <sheetName val="5_1_2_4Bloque_cocr_12"/>
      <sheetName val="5_1_1_3Bloque_concr19"/>
      <sheetName val="5_2_2Ladrillo_Tolete_Fino_2_car"/>
      <sheetName val="5_2_3Ladrillo_toletefino_1_cara"/>
      <sheetName val="5_2_7Muro_Bloque_5"/>
      <sheetName val="5_2_6_1Muro_Bloque_4"/>
      <sheetName val="5,3,4Remates_ladrillo_tolete_"/>
      <sheetName val="5_4_1Grouting"/>
      <sheetName val="5,6,1_Chazos_para_carpinteria"/>
      <sheetName val="6_1_1Alfajia"/>
      <sheetName val="COLUMNETA_MAMPOSTERIA"/>
      <sheetName val="6_1_3Pref_conc_a_la_vista"/>
      <sheetName val="6_1_12Zocalo"/>
      <sheetName val="6_1_14_ventana_prefab_concreto"/>
      <sheetName val="6_1_18Cañuela_perim_ag_lluvias"/>
      <sheetName val="6_1_19_1Pref_piso"/>
      <sheetName val="6_2_2Meson_lavamanos"/>
      <sheetName val="6_2_3_2Meson_laboratorio"/>
      <sheetName val="6_2_1_Meson_laborat"/>
      <sheetName val="6,2,5Banca_en_concreto"/>
      <sheetName val="6_3_6Alero_concreto"/>
      <sheetName val="6_2_3_1Mezon_vidrio"/>
      <sheetName val="7_1_3_1_1Tubo_hg1&quot;"/>
      <sheetName val="7_1_3_1_2Tubo_hg1_1-2"/>
      <sheetName val="7_1_3_1_3Tubp_hg2"/>
      <sheetName val="7_1_3_1_4Tubo_hg3"/>
      <sheetName val="7_1_3_3_3Registro_1_1-2"/>
      <sheetName val="7_1_3_3_5Registro_3"/>
      <sheetName val="7_1_3_4_1Cheque_1_"/>
      <sheetName val="7_1_6_3Tuberia_1&quot;PVCP13_5"/>
      <sheetName val="7_1_1_4_Cheque_1&quot;"/>
      <sheetName val="_7_1_11_5Bajante_Amaz"/>
      <sheetName val="7_1_2_4Sumin_Tanq_1000_lts"/>
      <sheetName val="7_1_6_1Tuberia_PVCP_Media"/>
      <sheetName val="7_1_6_2Tuberia_PVCP1&quot;"/>
      <sheetName val="7_1_6_8Registro_de_media"/>
      <sheetName val="7_1_6_10Registro1&quot;"/>
      <sheetName val="7_1_6_4TuboPVC1_1-4"/>
      <sheetName val="7_1_6_6Tubo_PVC2&quot;"/>
      <sheetName val="7_1_6_13Caja_plastica_reg"/>
      <sheetName val="7_1_6_5Tub__y_acc__de_1y1-2"/>
      <sheetName val="7_1_6_9Registro_de_3-4"/>
      <sheetName val="7_1_6_11Registro_1_1-4"/>
      <sheetName val="7_1_6_12Registro_2&quot;"/>
      <sheetName val="7_1_6_2TuberiaPVC_3-4"/>
      <sheetName val="7_1_8_1Pto_agua_Lavamanos"/>
      <sheetName val="7_1_8_3Pto_agua_Sanitario_"/>
      <sheetName val="7_1_8_4Pto_agua_Orinal"/>
      <sheetName val="7_1_8_12Recamara_HG_para_orinal"/>
      <sheetName val="7_1_8_13Camara_de_Aire"/>
      <sheetName val="7_1_9_1Pto_sanit_lavamanos"/>
      <sheetName val="7_1_10_3Bajant_sanit_4&quot;"/>
      <sheetName val="7_1_10_1Bajnte_sanit_2&quot;"/>
      <sheetName val="7,1,10,2Tubo_sanit3&quot;"/>
      <sheetName val="7_1_11_3_Bajante_Ag_Ll_4&quot;"/>
      <sheetName val="7_1_11_1Tubo_PVCL2&quot;"/>
      <sheetName val="7,1,11,5_Tubo_PVCfiltro_4&quot;"/>
      <sheetName val="7_1_11_6Bajantt_tipo_Amaz"/>
      <sheetName val="7_1_12_1Montaje_lavamanos"/>
      <sheetName val="7_1_12_8Llave_de_mang"/>
      <sheetName val="7,2,1,4Tubo_12_galv"/>
      <sheetName val="7_2_1_11registro_1-2_gas"/>
      <sheetName val="7_2_1_12Regulador"/>
      <sheetName val="7_2_1_17Punto_gas"/>
      <sheetName val="7_2_1_18Tapon_HG_1-2"/>
      <sheetName val="8_1_1Salida_lamp_Fluor_"/>
      <sheetName val="8_1_2Salida_Lamp_incan"/>
      <sheetName val="8_1_4Salida_pto"/>
      <sheetName val="8_1_5Salida_Toma"/>
      <sheetName val="8_1_8Salida_Toma_GFCI"/>
      <sheetName val="8_3_4Acom_a_T1"/>
      <sheetName val="8_3_7Tubo_Galvanizado"/>
      <sheetName val="8_3_9Acometida"/>
      <sheetName val="8_3_14Acometida_1&quot;_2#8"/>
      <sheetName val="8_3_15Canaliz__conduit_nedia"/>
      <sheetName val="8_3_16Ducto_3-4"/>
      <sheetName val="8_4_2Tablero18circuitos"/>
      <sheetName val="8_4_5Caja_Medidor"/>
      <sheetName val="8_4_7Interruptor"/>
      <sheetName val="8_4_8Interrup_60_A"/>
      <sheetName val="8_4_11Caja_6_Circuit"/>
      <sheetName val="8_4_13Tablero_de_12_circ"/>
      <sheetName val="8_4_14Tablero30circuit"/>
      <sheetName val="8_6_1Salida_TV"/>
      <sheetName val="8_6_4Salid_ventilador"/>
      <sheetName val="8_8_2Tierra"/>
      <sheetName val="8_11_1Camara_CS_274"/>
      <sheetName val="8_11_4Caja_de_Insp"/>
      <sheetName val="9_1_1_PAÑETE_IMPERMEA_1_3"/>
      <sheetName val="9_1_2Pañete_Int"/>
      <sheetName val="9_1_3Pañete_Ext"/>
      <sheetName val="9_1_5Pañete_int_ml"/>
      <sheetName val="9_1_5_1Pañete_rustico_exterior"/>
      <sheetName val="9_2_1Pañete_Bajo_Placa"/>
      <sheetName val="10_1_2Alist_pisos"/>
      <sheetName val="10_1_3_ALISTADO_DE_PISOS_CON_MO"/>
      <sheetName val="10_1_5_1Mortero_afin_piso"/>
      <sheetName val="10,2,1,3Ceramica_20_20_trafico"/>
      <sheetName val="10_2_1_2Duropiso"/>
      <sheetName val="10_2_2_4Concreto_esmaltado"/>
      <sheetName val="10_2_2_5Concreto_es+tabla_etrus"/>
      <sheetName val="10_2_3_4Tablon30x30"/>
      <sheetName val="10_2_3_9Tableta_etrusca"/>
      <sheetName val="10,2,3,6Tableta_cuarto26"/>
      <sheetName val="10_3,2,1Tableta_cuarto_ml"/>
      <sheetName val="10_2_3_7Tableta_cuarto_ml"/>
      <sheetName val="10_2_4_1Baldosa_grano_marmol"/>
      <sheetName val="10_2_4_4Tableta"/>
      <sheetName val="10_3_3_6_Guardaescob_granito"/>
      <sheetName val="10_3_2_3Media_caña_mort"/>
      <sheetName val="10_3_2_6Tableta_ml"/>
      <sheetName val="10_3_7_2remate_ladrillo"/>
      <sheetName val="10_4_2Gradas_en_Gravilla"/>
      <sheetName val="11,1,3Afinado_Vigas_Canales_imp"/>
      <sheetName val="11,1,4Impermeh_manto_asfalt"/>
      <sheetName val="11_1_4Impermehab_manto_asfaltic"/>
      <sheetName val="11,2,6,2Remate_superior"/>
      <sheetName val="11_2_6_3Remate_lateral"/>
      <sheetName val="11_2_4Teja_Sandwich"/>
      <sheetName val="11_4_1Teja_termoacustica"/>
      <sheetName val="11_6_1Teja_cindu"/>
      <sheetName val="11_7_1_1Canal_lamina"/>
      <sheetName val="11_3_5Canal_PVC"/>
      <sheetName val="12_1_1Ventana_aluminio_fija"/>
      <sheetName val="12_1_3_Ventana_aluminio"/>
      <sheetName val="12_1_4Persiana_alumin"/>
      <sheetName val="12_2_7Puerta_Metalica_0_6"/>
      <sheetName val="12_2_4Puerta_Metalica_,70"/>
      <sheetName val="12_2_2Puerta_Metalica_1_55x2_95"/>
      <sheetName val="12,2,3Puerta_metalica1_55x2_85"/>
      <sheetName val="12_2_5Puertalamina_1x2_1"/>
      <sheetName val="12_2_6Puerta1_5x2_1"/>
      <sheetName val="12_2_3_1Ventana_Acero_rect2_85"/>
      <sheetName val="12_2_6_2Ventana_Acero_rect_m2"/>
      <sheetName val="12_2_1_8Ventana_Acerorect_1"/>
      <sheetName val="12,2,2,2Pasamanos_2&quot;"/>
      <sheetName val="12_3_2_1Baranda_en_Tubo_1_1_2&quot;"/>
      <sheetName val="12_3_2_2Baranda_en_Tubo_3&quot;"/>
      <sheetName val="12_2_3_1Reja_varilla_cuad"/>
      <sheetName val="12_2_3_7Ventana_"/>
      <sheetName val="12_2_3_8Ventana"/>
      <sheetName val="12_2_3_9Puertas"/>
      <sheetName val="12_2_3_10Pta_vent_"/>
      <sheetName val="12_2_3_2_2_Persiana_metalica"/>
      <sheetName val="12_3_5Baranda_tubo_3&quot;y2&quot;"/>
      <sheetName val="12_4_2_1Reja_perfilovalado"/>
      <sheetName val="12_5_10estruct_lavamanos"/>
      <sheetName val="14_1_1Enchape_en_ceramica_20x20"/>
      <sheetName val="14_3_1_Poceta_en_granito"/>
      <sheetName val="15_1_3_Lampara_fluorecente"/>
      <sheetName val="15_1_6Lampara_tortuga"/>
      <sheetName val="16_1_1Sanitario_discap"/>
      <sheetName val="16_1_2Sanitario_Infantil"/>
      <sheetName val="16_1_3Sanitario"/>
      <sheetName val="16_1_4Orinal"/>
      <sheetName val="16_1_5Lavamalos_de_sobreponer"/>
      <sheetName val="16_1_7Lavamalos_de_colgar"/>
      <sheetName val="16_1_11Lavamanos_acero_inox"/>
      <sheetName val="16_2_1Dispensador_papel_hig"/>
      <sheetName val="16_2_3_Dispensador_jabon"/>
      <sheetName val="16_2_7Barra_discap"/>
      <sheetName val="16_2_8_1GriferiaPush"/>
      <sheetName val="18_1_1Hidrofugo"/>
      <sheetName val="18_1_2Pintura_Plast"/>
      <sheetName val="18_1_3Pintura_plast_fachadas"/>
      <sheetName val="18_1_2Esmalte_epoxico"/>
      <sheetName val="18_1_4Vinilo"/>
      <sheetName val="18_1_7pint_coraza"/>
      <sheetName val="19_3_3Vidrio_temp_6mm"/>
      <sheetName val="18_2,1,Esmalte_sobre_marcos_lam"/>
      <sheetName val="18_3,6Esmalte_sobre_mueble_bajo"/>
      <sheetName val="19_1,1Cerradura_baños_y_aulas"/>
      <sheetName val="19_3_1Espejo"/>
      <sheetName val="21_1_3Aseo_"/>
      <sheetName val="20,2,6Adoquin_gress"/>
      <sheetName val="1_2_1__Instalacion_prov__agua"/>
      <sheetName val="1_2_2__Instalacion_prov__energi"/>
      <sheetName val="1_2_3__Instalacion_prov__tel_"/>
      <sheetName val="5_1_3_1bloque_en_concreto_estru"/>
      <sheetName val="Concreto_de_4000_psi_"/>
      <sheetName val="Concreto_de_3500_psi_"/>
      <sheetName val="APU_12"/>
      <sheetName val="APU_11"/>
      <sheetName val="APU_10"/>
      <sheetName val="APU_9"/>
      <sheetName val="APU_8"/>
      <sheetName val="APU_7"/>
      <sheetName val="APU_6"/>
      <sheetName val="APU_5"/>
      <sheetName val="APU_4"/>
      <sheetName val="APU_3"/>
      <sheetName val="APU_2"/>
      <sheetName val="APU_1"/>
      <sheetName val="5_2_2__Ladrillo_Prensado"/>
      <sheetName val="10_3_3_4_1__GUARDAESCOBA_EN_CEM"/>
      <sheetName val="3_1_4__ACCESORIO_SANIT_"/>
      <sheetName val="21_1_2_aseo_muros_interiores"/>
      <sheetName val="21_1_4_RETIRO_DE_ESCOMBROS"/>
      <sheetName val="21_1_2__ASEO_FACHADAS"/>
      <sheetName val="ANALISIS_DE_AIU1"/>
      <sheetName val="Datos_Principales1"/>
      <sheetName val="PRESUP_COMP_1"/>
      <sheetName val="PRESUP_ACT_1"/>
      <sheetName val="Presup_Resum1"/>
      <sheetName val="Reporte_Viabilidad1"/>
      <sheetName val="Transp_1"/>
      <sheetName val="M_Obra1"/>
      <sheetName val="Mort_1-31"/>
      <sheetName val="Mortero_1-3_imperm1"/>
      <sheetName val="Mortero_1-41"/>
      <sheetName val="Mortero_1-4_imperm_1"/>
      <sheetName val="Mortero_1-61"/>
      <sheetName val="Concreto_de_2000_psi1"/>
      <sheetName val="Concreto_de_25001"/>
      <sheetName val="Concreto_de_3000_psi1"/>
      <sheetName val="Acero_de_37_000_psi_1"/>
      <sheetName val="Acero_de_60_000psi1"/>
      <sheetName val="1_1_1campamento1"/>
      <sheetName val="1_1_2__Cerram_prov1"/>
      <sheetName val="1_1_3Limp__Desca__y_Retiro1"/>
      <sheetName val="1_1_4Localización_y_Rep_1"/>
      <sheetName val="1_1_7Localiz_y_rep1"/>
      <sheetName val="1_3_1Demol_const_exit1"/>
      <sheetName val="1_3_3Demol_de_muros1"/>
      <sheetName val="1_3_6Demol_placa_maciza1"/>
      <sheetName val="1_3_7Demol_const_manual1"/>
      <sheetName val="1_4_2Traslado_poste1"/>
      <sheetName val="2_1_1Excav_Mecan_1"/>
      <sheetName val="2_1_2Excav__man_1"/>
      <sheetName val="2_1_3xcav_man_receb1"/>
      <sheetName val="2_1_5Relleno_mat_com1"/>
      <sheetName val="2_1_06_Recebo_Comun1"/>
      <sheetName val="2_1_10Relleno_Recebo_B-2001"/>
      <sheetName val="2_2_1Concreto_pobre1"/>
      <sheetName val="2_2_2Conc_ciclopeo1"/>
      <sheetName val="2_2_3Muro_contencion1"/>
      <sheetName val="2_2_4Concreto_Zapatas1"/>
      <sheetName val="2_2_5Viga_Ciment1"/>
      <sheetName val="2_2_6PILOTES1"/>
      <sheetName val="2_2_7DADOS1"/>
      <sheetName val="2_2_8_1Placa_Contrapiso1"/>
      <sheetName val="2_2_8_2Placa_aligerada_50cm1"/>
      <sheetName val="2_3_3Malla_Electros_1"/>
      <sheetName val="3,1,2,3Tubo_novafor_4&quot;1"/>
      <sheetName val="3_1_2_4Tubo_novafor_101"/>
      <sheetName val="3_1_2_5Tuberia_novafor12&quot;1"/>
      <sheetName val="3_2_1_2Tubo_PVC_sanit41"/>
      <sheetName val="3_1_1_3Tuberia_sanitr6&quot;1"/>
      <sheetName val="3_4_1_1Caja_de_Insp_601"/>
      <sheetName val="3_4_5canalteta_aguas_ll1"/>
      <sheetName val="3_4_9Caja_insp_0_81"/>
      <sheetName val="3_4_10Caja_insp_11"/>
      <sheetName val="3_4_11Caja_insp_0_41"/>
      <sheetName val="3_5_1Excavacion_manual1"/>
      <sheetName val="3_5_5Retiro_de_Sobrantes1"/>
      <sheetName val="3,5,6Relleno_en_grava3-41"/>
      <sheetName val="3_6_1Empate_camara1"/>
      <sheetName val="4_1_1Conc__Columnas1"/>
      <sheetName val="4_2_1Viga_Aerea1"/>
      <sheetName val="4_2_2Viga_Canal1"/>
      <sheetName val="4_3_2Losa_aliger1"/>
      <sheetName val="4_3_3_1Losa_con_lamina1"/>
      <sheetName val="4_3_1_4Placa_e=_21"/>
      <sheetName val="4_3_1_1Placa_e=_11"/>
      <sheetName val="4_3_1,3Placa_e=_151"/>
      <sheetName val="4_3_1_2Placa_e=_121"/>
      <sheetName val="4_3_10Placa_alig_301"/>
      <sheetName val="4_3_11Placa_alig_501"/>
      <sheetName val="4_4_1Escal_en_concret1"/>
      <sheetName val="4_4_2Rampa_en_concret1"/>
      <sheetName val="4_4_3concreto_tanque1"/>
      <sheetName val="4_5_2Acero_6000_psi1"/>
      <sheetName val="4_6_1perfil_metalico_placa1"/>
      <sheetName val="4_7_4_1Perfil_metalico1"/>
      <sheetName val="4_6_2_6Anclajes1"/>
      <sheetName val="4_6_2_7Columna_metalica1"/>
      <sheetName val="4_6_2_8Viga_Met_1"/>
      <sheetName val="4_6_2_9Viga_met_601"/>
      <sheetName val="4_6_2_10Viga_met_651"/>
      <sheetName val="5_1_3_1bloque_piedra1"/>
      <sheetName val="5_1_2_4Bloque_cocr_121"/>
      <sheetName val="5_1_1_3Bloque_concr191"/>
      <sheetName val="5_2_2Ladrillo_Tolete_Fino_2_ca1"/>
      <sheetName val="5_2_3Ladrillo_toletefino_1_car1"/>
      <sheetName val="5_2_7Muro_Bloque_51"/>
      <sheetName val="5_2_6_1Muro_Bloque_41"/>
      <sheetName val="5,3,4Remates_ladrillo_tolete_1"/>
      <sheetName val="5_4_1Grouting1"/>
      <sheetName val="5,6,1_Chazos_para_carpinteria1"/>
      <sheetName val="6_1_1Alfajia1"/>
      <sheetName val="COLUMNETA_MAMPOSTERIA1"/>
      <sheetName val="6_1_3Pref_conc_a_la_vista1"/>
      <sheetName val="6_1_12Zocalo1"/>
      <sheetName val="6_1_14_ventana_prefab_concreto1"/>
      <sheetName val="6_1_18Cañuela_perim_ag_lluvias1"/>
      <sheetName val="6_1_19_1Pref_piso1"/>
      <sheetName val="6_2_2Meson_lavamanos1"/>
      <sheetName val="6_2_3_2Meson_laboratorio1"/>
      <sheetName val="6_2_1_Meson_laborat1"/>
      <sheetName val="6,2,5Banca_en_concreto1"/>
      <sheetName val="6_3_6Alero_concreto1"/>
      <sheetName val="6_2_3_1Mezon_vidrio1"/>
      <sheetName val="7_1_3_1_1Tubo_hg1&quot;1"/>
      <sheetName val="7_1_3_1_2Tubo_hg1_1-21"/>
      <sheetName val="7_1_3_1_3Tubp_hg21"/>
      <sheetName val="7_1_3_1_4Tubo_hg31"/>
      <sheetName val="7_1_3_3_3Registro_1_1-21"/>
      <sheetName val="7_1_3_3_5Registro_31"/>
      <sheetName val="7_1_3_4_1Cheque_1_1"/>
      <sheetName val="7_1_6_3Tuberia_1&quot;PVCP13_51"/>
      <sheetName val="7_1_1_4_Cheque_1&quot;1"/>
      <sheetName val="_7_1_11_5Bajante_Amaz1"/>
      <sheetName val="7_1_2_4Sumin_Tanq_1000_lts1"/>
      <sheetName val="7_1_6_1Tuberia_PVCP_Media1"/>
      <sheetName val="7_1_6_2Tuberia_PVCP1&quot;1"/>
      <sheetName val="7_1_6_8Registro_de_media1"/>
      <sheetName val="7_1_6_10Registro1&quot;1"/>
      <sheetName val="7_1_6_4TuboPVC1_1-41"/>
      <sheetName val="7_1_6_6Tubo_PVC2&quot;1"/>
      <sheetName val="7_1_6_13Caja_plastica_reg1"/>
      <sheetName val="7_1_6_5Tub__y_acc__de_1y1-21"/>
      <sheetName val="7_1_6_9Registro_de_3-41"/>
      <sheetName val="7_1_6_11Registro_1_1-41"/>
      <sheetName val="7_1_6_12Registro_2&quot;1"/>
      <sheetName val="7_1_6_2TuberiaPVC_3-41"/>
      <sheetName val="7_1_8_1Pto_agua_Lavamanos1"/>
      <sheetName val="7_1_8_3Pto_agua_Sanitario_1"/>
      <sheetName val="7_1_8_4Pto_agua_Orinal1"/>
      <sheetName val="7_1_8_12Recamara_HG_para_orina1"/>
      <sheetName val="7_1_8_13Camara_de_Aire1"/>
      <sheetName val="7_1_9_1Pto_sanit_lavamanos1"/>
      <sheetName val="7_1_10_3Bajant_sanit_4&quot;1"/>
      <sheetName val="7_1_10_1Bajnte_sanit_2&quot;1"/>
      <sheetName val="7,1,10,2Tubo_sanit3&quot;1"/>
      <sheetName val="7_1_11_3_Bajante_Ag_Ll_4&quot;1"/>
      <sheetName val="7_1_11_1Tubo_PVCL2&quot;1"/>
      <sheetName val="7,1,11,5_Tubo_PVCfiltro_4&quot;1"/>
      <sheetName val="7_1_11_6Bajantt_tipo_Amaz1"/>
      <sheetName val="7_1_12_1Montaje_lavamanos1"/>
      <sheetName val="7_1_12_8Llave_de_mang1"/>
      <sheetName val="7,2,1,4Tubo_12_galv1"/>
      <sheetName val="7_2_1_11registro_1-2_gas1"/>
      <sheetName val="7_2_1_12Regulador1"/>
      <sheetName val="7_2_1_17Punto_gas1"/>
      <sheetName val="7_2_1_18Tapon_HG_1-21"/>
      <sheetName val="8_1_1Salida_lamp_Fluor_1"/>
      <sheetName val="8_1_2Salida_Lamp_incan1"/>
      <sheetName val="8_1_4Salida_pto1"/>
      <sheetName val="8_1_5Salida_Toma1"/>
      <sheetName val="8_1_8Salida_Toma_GFCI1"/>
      <sheetName val="8_3_4Acom_a_T11"/>
      <sheetName val="8_3_7Tubo_Galvanizado1"/>
      <sheetName val="8_3_9Acometida1"/>
      <sheetName val="8_3_14Acometida_1&quot;_2#81"/>
      <sheetName val="8_3_15Canaliz__conduit_nedia1"/>
      <sheetName val="8_3_16Ducto_3-41"/>
      <sheetName val="8_4_2Tablero18circuitos1"/>
      <sheetName val="8_4_5Caja_Medidor1"/>
      <sheetName val="8_4_7Interruptor1"/>
      <sheetName val="8_4_8Interrup_60_A1"/>
      <sheetName val="8_4_11Caja_6_Circuit1"/>
      <sheetName val="8_4_13Tablero_de_12_circ1"/>
      <sheetName val="8_4_14Tablero30circuit1"/>
      <sheetName val="8_6_1Salida_TV1"/>
      <sheetName val="8_6_4Salid_ventilador1"/>
      <sheetName val="8_8_2Tierra1"/>
      <sheetName val="8_11_1Camara_CS_2741"/>
      <sheetName val="8_11_4Caja_de_Insp1"/>
      <sheetName val="9_1_1_PAÑETE_IMPERMEA_1_31"/>
      <sheetName val="9_1_2Pañete_Int1"/>
      <sheetName val="9_1_3Pañete_Ext1"/>
      <sheetName val="9_1_5Pañete_int_ml1"/>
      <sheetName val="9_1_5_1Pañete_rustico_exterior1"/>
      <sheetName val="9_2_1Pañete_Bajo_Placa1"/>
      <sheetName val="10_1_2Alist_pisos1"/>
      <sheetName val="10_1_3_ALISTADO_DE_PISOS_CON_M1"/>
      <sheetName val="10_1_5_1Mortero_afin_piso1"/>
      <sheetName val="10,2,1,3Ceramica_20_20_trafico1"/>
      <sheetName val="10_2_1_2Duropiso1"/>
      <sheetName val="10_2_2_4Concreto_esmaltado1"/>
      <sheetName val="10_2_2_5Concreto_es+tabla_etru1"/>
      <sheetName val="10_2_3_4Tablon30x301"/>
      <sheetName val="10_2_3_9Tableta_etrusca1"/>
      <sheetName val="10,2,3,6Tableta_cuarto261"/>
      <sheetName val="10_3,2,1Tableta_cuarto_ml1"/>
      <sheetName val="10_2_3_7Tableta_cuarto_ml1"/>
      <sheetName val="10_2_4_1Baldosa_grano_marmol1"/>
      <sheetName val="10_2_4_4Tableta1"/>
      <sheetName val="10_3_3_6_Guardaescob_granito1"/>
      <sheetName val="10_3_2_3Media_caña_mort1"/>
      <sheetName val="10_3_2_6Tableta_ml1"/>
      <sheetName val="10_3_7_2remate_ladrillo1"/>
      <sheetName val="10_4_2Gradas_en_Gravilla1"/>
      <sheetName val="11,1,3Afinado_Vigas_Canales_im1"/>
      <sheetName val="11,1,4Impermeh_manto_asfalt1"/>
      <sheetName val="11_1_4Impermehab_manto_asfalti1"/>
      <sheetName val="11,2,6,2Remate_superior1"/>
      <sheetName val="11_2_6_3Remate_lateral1"/>
      <sheetName val="11_2_4Teja_Sandwich1"/>
      <sheetName val="11_4_1Teja_termoacustica1"/>
      <sheetName val="11_6_1Teja_cindu1"/>
      <sheetName val="11_7_1_1Canal_lamina1"/>
      <sheetName val="11_3_5Canal_PVC1"/>
      <sheetName val="12_1_1Ventana_aluminio_fija1"/>
      <sheetName val="12_1_3_Ventana_aluminio1"/>
      <sheetName val="12_1_4Persiana_alumin1"/>
      <sheetName val="12_2_7Puerta_Metalica_0_61"/>
      <sheetName val="12_2_4Puerta_Metalica_,701"/>
      <sheetName val="12_2_2Puerta_Metalica_1_55x2_91"/>
      <sheetName val="12,2,3Puerta_metalica1_55x2_851"/>
      <sheetName val="12_2_5Puertalamina_1x2_11"/>
      <sheetName val="12_2_6Puerta1_5x2_11"/>
      <sheetName val="12_2_3_1Ventana_Acero_rect2_851"/>
      <sheetName val="12_2_6_2Ventana_Acero_rect_m21"/>
      <sheetName val="12_2_1_8Ventana_Acerorect_11"/>
      <sheetName val="12,2,2,2Pasamanos_2&quot;1"/>
      <sheetName val="12_3_2_1Baranda_en_Tubo_1_1_2&quot;1"/>
      <sheetName val="12_3_2_2Baranda_en_Tubo_3&quot;1"/>
      <sheetName val="12_2_3_1Reja_varilla_cuad1"/>
      <sheetName val="12_2_3_7Ventana_1"/>
      <sheetName val="12_2_3_8Ventana1"/>
      <sheetName val="12_2_3_9Puertas1"/>
      <sheetName val="12_2_3_10Pta_vent_1"/>
      <sheetName val="12_2_3_2_2_Persiana_metalica1"/>
      <sheetName val="12_3_5Baranda_tubo_3&quot;y2&quot;1"/>
      <sheetName val="12_4_2_1Reja_perfilovalado1"/>
      <sheetName val="12_5_10estruct_lavamanos1"/>
      <sheetName val="14_1_1Enchape_en_ceramica_20x21"/>
      <sheetName val="14_3_1_Poceta_en_granito1"/>
      <sheetName val="15_1_3_Lampara_fluorecente1"/>
      <sheetName val="15_1_6Lampara_tortuga1"/>
      <sheetName val="16_1_1Sanitario_discap1"/>
      <sheetName val="16_1_2Sanitario_Infantil1"/>
      <sheetName val="16_1_3Sanitario1"/>
      <sheetName val="16_1_4Orinal1"/>
      <sheetName val="16_1_5Lavamalos_de_sobreponer1"/>
      <sheetName val="16_1_7Lavamalos_de_colgar1"/>
      <sheetName val="16_1_11Lavamanos_acero_inox1"/>
      <sheetName val="16_2_1Dispensador_papel_hig1"/>
      <sheetName val="16_2_3_Dispensador_jabon1"/>
      <sheetName val="16_2_7Barra_discap1"/>
      <sheetName val="16_2_8_1GriferiaPush1"/>
      <sheetName val="18_1_1Hidrofugo1"/>
      <sheetName val="18_1_2Pintura_Plast1"/>
      <sheetName val="18_1_3Pintura_plast_fachadas1"/>
      <sheetName val="18_1_2Esmalte_epoxico1"/>
      <sheetName val="18_1_4Vinilo1"/>
      <sheetName val="18_1_7pint_coraza1"/>
      <sheetName val="19_3_3Vidrio_temp_6mm1"/>
      <sheetName val="18_2,1,Esmalte_sobre_marcos_la1"/>
      <sheetName val="18_3,6Esmalte_sobre_mueble_baj1"/>
      <sheetName val="19_1,1Cerradura_baños_y_aulas1"/>
      <sheetName val="19_3_1Espejo1"/>
      <sheetName val="21_1_3Aseo_1"/>
      <sheetName val="20,2,6Adoquin_gress1"/>
      <sheetName val="1_2_1__Instalacion_prov__agua1"/>
      <sheetName val="1_2_2__Instalacion_prov__energ1"/>
      <sheetName val="1_2_3__Instalacion_prov__tel_1"/>
      <sheetName val="5_1_3_1bloque_en_concreto_estr1"/>
      <sheetName val="Concreto_de_4000_psi_1"/>
      <sheetName val="Concreto_de_3500_psi_1"/>
      <sheetName val="APU_121"/>
      <sheetName val="APU_111"/>
      <sheetName val="APU_101"/>
      <sheetName val="APU_91"/>
      <sheetName val="APU_81"/>
      <sheetName val="APU_71"/>
      <sheetName val="APU_61"/>
      <sheetName val="APU_51"/>
      <sheetName val="APU_41"/>
      <sheetName val="APU_31"/>
      <sheetName val="APU_21"/>
      <sheetName val="APU_13"/>
      <sheetName val="5_2_2__Ladrillo_Prensado1"/>
      <sheetName val="10_3_3_4_1__GUARDAESCOBA_EN_CE1"/>
      <sheetName val="3_1_4__ACCESORIO_SANIT_1"/>
      <sheetName val="21_1_2_aseo_muros_interiores1"/>
      <sheetName val="21_1_4_RETIRO_DE_ESCOMBROS1"/>
      <sheetName val="21_1_2__ASEO_FACHADAS1"/>
      <sheetName val="ANALISIS_DE_AIU2"/>
      <sheetName val="Datos_Principales2"/>
      <sheetName val="PRESUP_COMP_2"/>
      <sheetName val="PRESUP_ACT_2"/>
      <sheetName val="Presup_Resum2"/>
      <sheetName val="Reporte_Viabilidad2"/>
      <sheetName val="Transp_2"/>
      <sheetName val="M_Obra2"/>
      <sheetName val="Mort_1-32"/>
      <sheetName val="Mortero_1-3_imperm2"/>
      <sheetName val="Mortero_1-42"/>
      <sheetName val="Mortero_1-4_imperm_2"/>
      <sheetName val="Mortero_1-62"/>
      <sheetName val="Concreto_de_2000_psi2"/>
      <sheetName val="Concreto_de_25002"/>
      <sheetName val="Concreto_de_3000_psi2"/>
      <sheetName val="Acero_de_37_000_psi_2"/>
      <sheetName val="Acero_de_60_000psi2"/>
      <sheetName val="1_1_1campamento2"/>
      <sheetName val="1_1_2__Cerram_prov2"/>
      <sheetName val="1_1_3Limp__Desca__y_Retiro2"/>
      <sheetName val="1_1_4Localización_y_Rep_2"/>
      <sheetName val="1_1_7Localiz_y_rep2"/>
      <sheetName val="1_3_1Demol_const_exit2"/>
      <sheetName val="1_3_3Demol_de_muros2"/>
      <sheetName val="1_3_6Demol_placa_maciza2"/>
      <sheetName val="1_3_7Demol_const_manual2"/>
      <sheetName val="1_4_2Traslado_poste2"/>
      <sheetName val="2_1_1Excav_Mecan_2"/>
      <sheetName val="2_1_2Excav__man_2"/>
      <sheetName val="2_1_3xcav_man_receb2"/>
      <sheetName val="2_1_5Relleno_mat_com2"/>
      <sheetName val="2_1_06_Recebo_Comun2"/>
      <sheetName val="2_1_10Relleno_Recebo_B-2002"/>
      <sheetName val="2_2_1Concreto_pobre2"/>
      <sheetName val="2_2_2Conc_ciclopeo2"/>
      <sheetName val="2_2_3Muro_contencion2"/>
      <sheetName val="2_2_4Concreto_Zapatas2"/>
      <sheetName val="2_2_5Viga_Ciment2"/>
      <sheetName val="2_2_6PILOTES2"/>
      <sheetName val="2_2_7DADOS2"/>
      <sheetName val="2_2_8_1Placa_Contrapiso2"/>
      <sheetName val="2_2_8_2Placa_aligerada_50cm2"/>
      <sheetName val="2_3_3Malla_Electros_2"/>
      <sheetName val="3,1,2,3Tubo_novafor_4&quot;2"/>
      <sheetName val="3_1_2_4Tubo_novafor_102"/>
      <sheetName val="3_1_2_5Tuberia_novafor12&quot;2"/>
      <sheetName val="3_2_1_2Tubo_PVC_sanit42"/>
      <sheetName val="3_1_1_3Tuberia_sanitr6&quot;2"/>
      <sheetName val="3_4_1_1Caja_de_Insp_602"/>
      <sheetName val="3_4_5canalteta_aguas_ll2"/>
      <sheetName val="3_4_9Caja_insp_0_82"/>
      <sheetName val="3_4_10Caja_insp_12"/>
      <sheetName val="3_4_11Caja_insp_0_42"/>
      <sheetName val="3_5_1Excavacion_manual2"/>
      <sheetName val="3_5_5Retiro_de_Sobrantes2"/>
      <sheetName val="3,5,6Relleno_en_grava3-42"/>
      <sheetName val="3_6_1Empate_camara2"/>
      <sheetName val="4_1_1Conc__Columnas2"/>
      <sheetName val="4_2_1Viga_Aerea2"/>
      <sheetName val="4_2_2Viga_Canal2"/>
      <sheetName val="4_3_2Losa_aliger2"/>
      <sheetName val="4_3_3_1Losa_con_lamina2"/>
      <sheetName val="4_3_1_4Placa_e=_22"/>
      <sheetName val="4_3_1_1Placa_e=_12"/>
      <sheetName val="4_3_1,3Placa_e=_152"/>
      <sheetName val="4_3_1_2Placa_e=_122"/>
      <sheetName val="4_3_10Placa_alig_302"/>
      <sheetName val="4_3_11Placa_alig_502"/>
      <sheetName val="4_4_1Escal_en_concret2"/>
      <sheetName val="4_4_2Rampa_en_concret2"/>
      <sheetName val="4_4_3concreto_tanque2"/>
      <sheetName val="4_5_2Acero_6000_psi2"/>
      <sheetName val="4_6_1perfil_metalico_placa2"/>
      <sheetName val="4_7_4_1Perfil_metalico2"/>
      <sheetName val="4_6_2_6Anclajes2"/>
      <sheetName val="4_6_2_7Columna_metalica2"/>
      <sheetName val="4_6_2_8Viga_Met_2"/>
      <sheetName val="4_6_2_9Viga_met_602"/>
      <sheetName val="4_6_2_10Viga_met_652"/>
      <sheetName val="5_1_3_1bloque_piedra2"/>
      <sheetName val="5_1_2_4Bloque_cocr_122"/>
      <sheetName val="5_1_1_3Bloque_concr192"/>
      <sheetName val="5_2_2Ladrillo_Tolete_Fino_2_ca2"/>
      <sheetName val="5_2_3Ladrillo_toletefino_1_car2"/>
      <sheetName val="5_2_7Muro_Bloque_52"/>
      <sheetName val="5_2_6_1Muro_Bloque_42"/>
      <sheetName val="5,3,4Remates_ladrillo_tolete_2"/>
      <sheetName val="5_4_1Grouting2"/>
      <sheetName val="5,6,1_Chazos_para_carpinteria2"/>
      <sheetName val="6_1_1Alfajia2"/>
      <sheetName val="COLUMNETA_MAMPOSTERIA2"/>
      <sheetName val="6_1_3Pref_conc_a_la_vista2"/>
      <sheetName val="6_1_12Zocalo2"/>
      <sheetName val="6_1_14_ventana_prefab_concreto2"/>
      <sheetName val="6_1_18Cañuela_perim_ag_lluvias2"/>
      <sheetName val="6_1_19_1Pref_piso2"/>
      <sheetName val="6_2_2Meson_lavamanos2"/>
      <sheetName val="6_2_3_2Meson_laboratorio2"/>
      <sheetName val="6_2_1_Meson_laborat2"/>
      <sheetName val="6,2,5Banca_en_concreto2"/>
      <sheetName val="6_3_6Alero_concreto2"/>
      <sheetName val="6_2_3_1Mezon_vidrio2"/>
      <sheetName val="7_1_3_1_1Tubo_hg1&quot;2"/>
      <sheetName val="7_1_3_1_2Tubo_hg1_1-22"/>
      <sheetName val="7_1_3_1_3Tubp_hg22"/>
      <sheetName val="7_1_3_1_4Tubo_hg32"/>
      <sheetName val="7_1_3_3_3Registro_1_1-22"/>
      <sheetName val="7_1_3_3_5Registro_32"/>
      <sheetName val="7_1_3_4_1Cheque_1_2"/>
      <sheetName val="7_1_6_3Tuberia_1&quot;PVCP13_52"/>
      <sheetName val="7_1_1_4_Cheque_1&quot;2"/>
      <sheetName val="_7_1_11_5Bajante_Amaz2"/>
      <sheetName val="7_1_2_4Sumin_Tanq_1000_lts2"/>
      <sheetName val="7_1_6_1Tuberia_PVCP_Media2"/>
      <sheetName val="7_1_6_2Tuberia_PVCP1&quot;2"/>
      <sheetName val="7_1_6_8Registro_de_media2"/>
      <sheetName val="7_1_6_10Registro1&quot;2"/>
      <sheetName val="7_1_6_4TuboPVC1_1-42"/>
      <sheetName val="7_1_6_6Tubo_PVC2&quot;2"/>
      <sheetName val="7_1_6_13Caja_plastica_reg2"/>
      <sheetName val="7_1_6_5Tub__y_acc__de_1y1-22"/>
      <sheetName val="7_1_6_9Registro_de_3-42"/>
      <sheetName val="7_1_6_11Registro_1_1-42"/>
      <sheetName val="7_1_6_12Registro_2&quot;2"/>
      <sheetName val="7_1_6_2TuberiaPVC_3-42"/>
      <sheetName val="7_1_8_1Pto_agua_Lavamanos2"/>
      <sheetName val="7_1_8_3Pto_agua_Sanitario_2"/>
      <sheetName val="7_1_8_4Pto_agua_Orinal2"/>
      <sheetName val="7_1_8_12Recamara_HG_para_orina2"/>
      <sheetName val="7_1_8_13Camara_de_Aire2"/>
      <sheetName val="7_1_9_1Pto_sanit_lavamanos2"/>
      <sheetName val="7_1_10_3Bajant_sanit_4&quot;2"/>
      <sheetName val="7_1_10_1Bajnte_sanit_2&quot;2"/>
      <sheetName val="7,1,10,2Tubo_sanit3&quot;2"/>
      <sheetName val="7_1_11_3_Bajante_Ag_Ll_4&quot;2"/>
      <sheetName val="7_1_11_1Tubo_PVCL2&quot;2"/>
      <sheetName val="7,1,11,5_Tubo_PVCfiltro_4&quot;2"/>
      <sheetName val="7_1_11_6Bajantt_tipo_Amaz2"/>
      <sheetName val="7_1_12_1Montaje_lavamanos2"/>
      <sheetName val="7_1_12_8Llave_de_mang2"/>
      <sheetName val="7,2,1,4Tubo_12_galv2"/>
      <sheetName val="7_2_1_11registro_1-2_gas2"/>
      <sheetName val="7_2_1_12Regulador2"/>
      <sheetName val="7_2_1_17Punto_gas2"/>
      <sheetName val="7_2_1_18Tapon_HG_1-22"/>
      <sheetName val="8_1_1Salida_lamp_Fluor_2"/>
      <sheetName val="8_1_2Salida_Lamp_incan2"/>
      <sheetName val="8_1_4Salida_pto2"/>
      <sheetName val="8_1_5Salida_Toma2"/>
      <sheetName val="8_1_8Salida_Toma_GFCI2"/>
      <sheetName val="8_3_4Acom_a_T12"/>
      <sheetName val="8_3_7Tubo_Galvanizado2"/>
      <sheetName val="8_3_9Acometida2"/>
      <sheetName val="8_3_14Acometida_1&quot;_2#82"/>
      <sheetName val="8_3_15Canaliz__conduit_nedia2"/>
      <sheetName val="8_3_16Ducto_3-42"/>
      <sheetName val="8_4_2Tablero18circuitos2"/>
      <sheetName val="8_4_5Caja_Medidor2"/>
      <sheetName val="8_4_7Interruptor2"/>
      <sheetName val="8_4_8Interrup_60_A2"/>
      <sheetName val="8_4_11Caja_6_Circuit2"/>
      <sheetName val="8_4_13Tablero_de_12_circ2"/>
      <sheetName val="8_4_14Tablero30circuit2"/>
      <sheetName val="8_6_1Salida_TV2"/>
      <sheetName val="8_6_4Salid_ventilador2"/>
      <sheetName val="8_8_2Tierra2"/>
      <sheetName val="8_11_1Camara_CS_2742"/>
      <sheetName val="8_11_4Caja_de_Insp2"/>
      <sheetName val="9_1_1_PAÑETE_IMPERMEA_1_32"/>
      <sheetName val="9_1_2Pañete_Int2"/>
      <sheetName val="9_1_3Pañete_Ext2"/>
      <sheetName val="9_1_5Pañete_int_ml2"/>
      <sheetName val="9_1_5_1Pañete_rustico_exterior2"/>
      <sheetName val="9_2_1Pañete_Bajo_Placa2"/>
      <sheetName val="10_1_2Alist_pisos2"/>
      <sheetName val="10_1_3_ALISTADO_DE_PISOS_CON_M2"/>
      <sheetName val="10_1_5_1Mortero_afin_piso2"/>
      <sheetName val="10,2,1,3Ceramica_20_20_trafico2"/>
      <sheetName val="10_2_1_2Duropiso2"/>
      <sheetName val="10_2_2_4Concreto_esmaltado2"/>
      <sheetName val="10_2_2_5Concreto_es+tabla_etru2"/>
      <sheetName val="10_2_3_4Tablon30x302"/>
      <sheetName val="10_2_3_9Tableta_etrusca2"/>
      <sheetName val="10,2,3,6Tableta_cuarto262"/>
      <sheetName val="10_3,2,1Tableta_cuarto_ml2"/>
      <sheetName val="10_2_3_7Tableta_cuarto_ml2"/>
      <sheetName val="10_2_4_1Baldosa_grano_marmol2"/>
      <sheetName val="10_2_4_4Tableta2"/>
      <sheetName val="10_3_3_6_Guardaescob_granito2"/>
      <sheetName val="10_3_2_3Media_caña_mort2"/>
      <sheetName val="10_3_2_6Tableta_ml2"/>
      <sheetName val="10_3_7_2remate_ladrillo2"/>
      <sheetName val="10_4_2Gradas_en_Gravilla2"/>
      <sheetName val="11,1,3Afinado_Vigas_Canales_im2"/>
      <sheetName val="11,1,4Impermeh_manto_asfalt2"/>
      <sheetName val="11_1_4Impermehab_manto_asfalti2"/>
      <sheetName val="11,2,6,2Remate_superior2"/>
      <sheetName val="11_2_6_3Remate_lateral2"/>
      <sheetName val="11_2_4Teja_Sandwich2"/>
      <sheetName val="11_4_1Teja_termoacustica2"/>
      <sheetName val="11_6_1Teja_cindu2"/>
      <sheetName val="11_7_1_1Canal_lamina2"/>
      <sheetName val="11_3_5Canal_PVC2"/>
      <sheetName val="12_1_1Ventana_aluminio_fija2"/>
      <sheetName val="12_1_3_Ventana_aluminio2"/>
      <sheetName val="12_1_4Persiana_alumin2"/>
      <sheetName val="12_2_7Puerta_Metalica_0_62"/>
      <sheetName val="12_2_4Puerta_Metalica_,702"/>
      <sheetName val="12_2_2Puerta_Metalica_1_55x2_92"/>
      <sheetName val="12,2,3Puerta_metalica1_55x2_852"/>
      <sheetName val="12_2_5Puertalamina_1x2_12"/>
      <sheetName val="12_2_6Puerta1_5x2_12"/>
      <sheetName val="12_2_3_1Ventana_Acero_rect2_852"/>
      <sheetName val="12_2_6_2Ventana_Acero_rect_m22"/>
      <sheetName val="12_2_1_8Ventana_Acerorect_12"/>
      <sheetName val="12,2,2,2Pasamanos_2&quot;2"/>
      <sheetName val="12_3_2_1Baranda_en_Tubo_1_1_2&quot;2"/>
      <sheetName val="12_3_2_2Baranda_en_Tubo_3&quot;2"/>
      <sheetName val="12_2_3_1Reja_varilla_cuad2"/>
      <sheetName val="12_2_3_7Ventana_2"/>
      <sheetName val="12_2_3_8Ventana2"/>
      <sheetName val="12_2_3_9Puertas2"/>
      <sheetName val="12_2_3_10Pta_vent_2"/>
      <sheetName val="12_2_3_2_2_Persiana_metalica2"/>
      <sheetName val="12_3_5Baranda_tubo_3&quot;y2&quot;2"/>
      <sheetName val="12_4_2_1Reja_perfilovalado2"/>
      <sheetName val="12_5_10estruct_lavamanos2"/>
      <sheetName val="14_1_1Enchape_en_ceramica_20x22"/>
      <sheetName val="14_3_1_Poceta_en_granito2"/>
      <sheetName val="15_1_3_Lampara_fluorecente2"/>
      <sheetName val="15_1_6Lampara_tortuga2"/>
      <sheetName val="16_1_1Sanitario_discap2"/>
      <sheetName val="16_1_2Sanitario_Infantil2"/>
      <sheetName val="16_1_3Sanitario2"/>
      <sheetName val="16_1_4Orinal2"/>
      <sheetName val="16_1_5Lavamalos_de_sobreponer2"/>
      <sheetName val="16_1_7Lavamalos_de_colgar2"/>
      <sheetName val="16_1_11Lavamanos_acero_inox2"/>
      <sheetName val="16_2_1Dispensador_papel_hig2"/>
      <sheetName val="16_2_3_Dispensador_jabon2"/>
      <sheetName val="16_2_7Barra_discap2"/>
      <sheetName val="16_2_8_1GriferiaPush2"/>
      <sheetName val="18_1_1Hidrofugo2"/>
      <sheetName val="18_1_2Pintura_Plast2"/>
      <sheetName val="18_1_3Pintura_plast_fachadas2"/>
      <sheetName val="18_1_2Esmalte_epoxico2"/>
      <sheetName val="18_1_4Vinilo2"/>
      <sheetName val="18_1_7pint_coraza2"/>
      <sheetName val="19_3_3Vidrio_temp_6mm2"/>
      <sheetName val="18_2,1,Esmalte_sobre_marcos_la2"/>
      <sheetName val="18_3,6Esmalte_sobre_mueble_baj2"/>
      <sheetName val="19_1,1Cerradura_baños_y_aulas2"/>
      <sheetName val="19_3_1Espejo2"/>
      <sheetName val="21_1_3Aseo_2"/>
      <sheetName val="20,2,6Adoquin_gress2"/>
      <sheetName val="1_2_1__Instalacion_prov__agua2"/>
      <sheetName val="1_2_2__Instalacion_prov__energ2"/>
      <sheetName val="1_2_3__Instalacion_prov__tel_2"/>
      <sheetName val="5_1_3_1bloque_en_concreto_estr2"/>
      <sheetName val="Concreto_de_4000_psi_2"/>
      <sheetName val="Concreto_de_3500_psi_2"/>
      <sheetName val="APU_122"/>
      <sheetName val="APU_112"/>
      <sheetName val="APU_102"/>
      <sheetName val="APU_92"/>
      <sheetName val="APU_82"/>
      <sheetName val="APU_72"/>
      <sheetName val="APU_62"/>
      <sheetName val="APU_52"/>
      <sheetName val="APU_42"/>
      <sheetName val="APU_32"/>
      <sheetName val="APU_22"/>
      <sheetName val="APU_14"/>
      <sheetName val="5_2_2__Ladrillo_Prensado2"/>
      <sheetName val="10_3_3_4_1__GUARDAESCOBA_EN_CE2"/>
      <sheetName val="3_1_4__ACCESORIO_SANIT_2"/>
      <sheetName val="21_1_2_aseo_muros_interiores2"/>
      <sheetName val="21_1_4_RETIRO_DE_ESCOMBROS2"/>
      <sheetName val="21_1_2__ASEO_FACHADAS2"/>
      <sheetName val="ANALISIS_DE_AIU3"/>
      <sheetName val="Datos_Principales3"/>
      <sheetName val="PRESUP_COMP_3"/>
      <sheetName val="PRESUP_ACT_3"/>
      <sheetName val="Presup_Resum3"/>
      <sheetName val="Reporte_Viabilidad3"/>
      <sheetName val="Transp_3"/>
      <sheetName val="M_Obra3"/>
      <sheetName val="Mort_1-33"/>
      <sheetName val="Mortero_1-3_imperm3"/>
      <sheetName val="Mortero_1-43"/>
      <sheetName val="Mortero_1-4_imperm_3"/>
      <sheetName val="Mortero_1-63"/>
      <sheetName val="Concreto_de_2000_psi3"/>
      <sheetName val="Concreto_de_25003"/>
      <sheetName val="Concreto_de_3000_psi3"/>
      <sheetName val="Acero_de_37_000_psi_3"/>
      <sheetName val="Acero_de_60_000psi3"/>
      <sheetName val="1_1_1campamento3"/>
      <sheetName val="1_1_2__Cerram_prov3"/>
      <sheetName val="1_1_3Limp__Desca__y_Retiro3"/>
      <sheetName val="1_1_4Localización_y_Rep_3"/>
      <sheetName val="1_1_7Localiz_y_rep3"/>
      <sheetName val="1_3_1Demol_const_exit3"/>
      <sheetName val="1_3_3Demol_de_muros3"/>
      <sheetName val="1_3_6Demol_placa_maciza3"/>
      <sheetName val="1_3_7Demol_const_manual3"/>
      <sheetName val="1_4_2Traslado_poste3"/>
      <sheetName val="2_1_1Excav_Mecan_3"/>
      <sheetName val="2_1_2Excav__man_3"/>
      <sheetName val="2_1_3xcav_man_receb3"/>
      <sheetName val="2_1_5Relleno_mat_com3"/>
      <sheetName val="2_1_06_Recebo_Comun3"/>
      <sheetName val="2_1_10Relleno_Recebo_B-2003"/>
      <sheetName val="2_2_1Concreto_pobre3"/>
      <sheetName val="2_2_2Conc_ciclopeo3"/>
      <sheetName val="2_2_3Muro_contencion3"/>
      <sheetName val="2_2_4Concreto_Zapatas3"/>
      <sheetName val="2_2_5Viga_Ciment3"/>
      <sheetName val="2_2_6PILOTES3"/>
      <sheetName val="2_2_7DADOS3"/>
      <sheetName val="2_2_8_1Placa_Contrapiso3"/>
      <sheetName val="2_2_8_2Placa_aligerada_50cm3"/>
      <sheetName val="2_3_3Malla_Electros_3"/>
      <sheetName val="3,1,2,3Tubo_novafor_4&quot;3"/>
      <sheetName val="3_1_2_4Tubo_novafor_103"/>
      <sheetName val="3_1_2_5Tuberia_novafor12&quot;3"/>
      <sheetName val="3_2_1_2Tubo_PVC_sanit43"/>
      <sheetName val="3_1_1_3Tuberia_sanitr6&quot;3"/>
      <sheetName val="3_4_1_1Caja_de_Insp_603"/>
      <sheetName val="3_4_5canalteta_aguas_ll3"/>
      <sheetName val="3_4_9Caja_insp_0_83"/>
      <sheetName val="3_4_10Caja_insp_13"/>
      <sheetName val="3_4_11Caja_insp_0_43"/>
      <sheetName val="3_5_1Excavacion_manual3"/>
      <sheetName val="3_5_5Retiro_de_Sobrantes3"/>
      <sheetName val="3,5,6Relleno_en_grava3-43"/>
      <sheetName val="3_6_1Empate_camara3"/>
      <sheetName val="4_1_1Conc__Columnas3"/>
      <sheetName val="4_2_1Viga_Aerea3"/>
      <sheetName val="4_2_2Viga_Canal3"/>
      <sheetName val="4_3_2Losa_aliger3"/>
      <sheetName val="4_3_3_1Losa_con_lamina3"/>
      <sheetName val="4_3_1_4Placa_e=_23"/>
      <sheetName val="4_3_1_1Placa_e=_13"/>
      <sheetName val="4_3_1,3Placa_e=_153"/>
      <sheetName val="4_3_1_2Placa_e=_123"/>
      <sheetName val="4_3_10Placa_alig_303"/>
      <sheetName val="4_3_11Placa_alig_503"/>
      <sheetName val="4_4_1Escal_en_concret3"/>
      <sheetName val="4_4_2Rampa_en_concret3"/>
      <sheetName val="4_4_3concreto_tanque3"/>
      <sheetName val="4_5_2Acero_6000_psi3"/>
      <sheetName val="4_6_1perfil_metalico_placa3"/>
      <sheetName val="4_7_4_1Perfil_metalico3"/>
      <sheetName val="4_6_2_6Anclajes3"/>
      <sheetName val="4_6_2_7Columna_metalica3"/>
      <sheetName val="4_6_2_8Viga_Met_3"/>
      <sheetName val="4_6_2_9Viga_met_603"/>
      <sheetName val="4_6_2_10Viga_met_653"/>
      <sheetName val="5_1_3_1bloque_piedra3"/>
      <sheetName val="5_1_2_4Bloque_cocr_123"/>
      <sheetName val="5_1_1_3Bloque_concr193"/>
      <sheetName val="5_2_2Ladrillo_Tolete_Fino_2_ca3"/>
      <sheetName val="5_2_3Ladrillo_toletefino_1_car3"/>
      <sheetName val="5_2_7Muro_Bloque_53"/>
      <sheetName val="5_2_6_1Muro_Bloque_43"/>
      <sheetName val="5,3,4Remates_ladrillo_tolete_3"/>
      <sheetName val="5_4_1Grouting3"/>
      <sheetName val="5,6,1_Chazos_para_carpinteria3"/>
      <sheetName val="6_1_1Alfajia3"/>
      <sheetName val="COLUMNETA_MAMPOSTERIA3"/>
      <sheetName val="6_1_3Pref_conc_a_la_vista3"/>
      <sheetName val="6_1_12Zocalo3"/>
      <sheetName val="6_1_14_ventana_prefab_concreto3"/>
      <sheetName val="6_1_18Cañuela_perim_ag_lluvias3"/>
      <sheetName val="6_1_19_1Pref_piso3"/>
      <sheetName val="6_2_2Meson_lavamanos3"/>
      <sheetName val="6_2_3_2Meson_laboratorio3"/>
      <sheetName val="6_2_1_Meson_laborat3"/>
      <sheetName val="6,2,5Banca_en_concreto3"/>
      <sheetName val="6_3_6Alero_concreto3"/>
      <sheetName val="6_2_3_1Mezon_vidrio3"/>
      <sheetName val="7_1_3_1_1Tubo_hg1&quot;3"/>
      <sheetName val="7_1_3_1_2Tubo_hg1_1-23"/>
      <sheetName val="7_1_3_1_3Tubp_hg23"/>
      <sheetName val="7_1_3_1_4Tubo_hg33"/>
      <sheetName val="7_1_3_3_3Registro_1_1-23"/>
      <sheetName val="7_1_3_3_5Registro_33"/>
      <sheetName val="7_1_3_4_1Cheque_1_3"/>
      <sheetName val="7_1_6_3Tuberia_1&quot;PVCP13_53"/>
      <sheetName val="7_1_1_4_Cheque_1&quot;3"/>
      <sheetName val="_7_1_11_5Bajante_Amaz3"/>
      <sheetName val="7_1_2_4Sumin_Tanq_1000_lts3"/>
      <sheetName val="7_1_6_1Tuberia_PVCP_Media3"/>
      <sheetName val="7_1_6_2Tuberia_PVCP1&quot;3"/>
      <sheetName val="7_1_6_8Registro_de_media3"/>
      <sheetName val="7_1_6_10Registro1&quot;3"/>
      <sheetName val="7_1_6_4TuboPVC1_1-43"/>
      <sheetName val="7_1_6_6Tubo_PVC2&quot;3"/>
      <sheetName val="7_1_6_13Caja_plastica_reg3"/>
      <sheetName val="7_1_6_5Tub__y_acc__de_1y1-23"/>
      <sheetName val="7_1_6_9Registro_de_3-43"/>
      <sheetName val="7_1_6_11Registro_1_1-43"/>
      <sheetName val="7_1_6_12Registro_2&quot;3"/>
      <sheetName val="7_1_6_2TuberiaPVC_3-43"/>
      <sheetName val="7_1_8_1Pto_agua_Lavamanos3"/>
      <sheetName val="7_1_8_3Pto_agua_Sanitario_3"/>
      <sheetName val="7_1_8_4Pto_agua_Orinal3"/>
      <sheetName val="7_1_8_12Recamara_HG_para_orina3"/>
      <sheetName val="7_1_8_13Camara_de_Aire3"/>
      <sheetName val="7_1_9_1Pto_sanit_lavamanos3"/>
      <sheetName val="7_1_10_3Bajant_sanit_4&quot;3"/>
      <sheetName val="7_1_10_1Bajnte_sanit_2&quot;3"/>
      <sheetName val="7,1,10,2Tubo_sanit3&quot;3"/>
      <sheetName val="7_1_11_3_Bajante_Ag_Ll_4&quot;3"/>
      <sheetName val="7_1_11_1Tubo_PVCL2&quot;3"/>
      <sheetName val="7,1,11,5_Tubo_PVCfiltro_4&quot;3"/>
      <sheetName val="7_1_11_6Bajantt_tipo_Amaz3"/>
      <sheetName val="7_1_12_1Montaje_lavamanos3"/>
      <sheetName val="7_1_12_8Llave_de_mang3"/>
      <sheetName val="7,2,1,4Tubo_12_galv3"/>
      <sheetName val="7_2_1_11registro_1-2_gas3"/>
      <sheetName val="7_2_1_12Regulador3"/>
      <sheetName val="7_2_1_17Punto_gas3"/>
      <sheetName val="7_2_1_18Tapon_HG_1-23"/>
      <sheetName val="8_1_1Salida_lamp_Fluor_3"/>
      <sheetName val="8_1_2Salida_Lamp_incan3"/>
      <sheetName val="8_1_4Salida_pto3"/>
      <sheetName val="8_1_5Salida_Toma3"/>
      <sheetName val="8_1_8Salida_Toma_GFCI3"/>
      <sheetName val="8_3_4Acom_a_T13"/>
      <sheetName val="8_3_7Tubo_Galvanizado3"/>
      <sheetName val="8_3_9Acometida3"/>
      <sheetName val="8_3_14Acometida_1&quot;_2#83"/>
      <sheetName val="8_3_15Canaliz__conduit_nedia3"/>
      <sheetName val="8_3_16Ducto_3-43"/>
      <sheetName val="8_4_2Tablero18circuitos3"/>
      <sheetName val="8_4_5Caja_Medidor3"/>
      <sheetName val="8_4_7Interruptor3"/>
      <sheetName val="8_4_8Interrup_60_A3"/>
      <sheetName val="8_4_11Caja_6_Circuit3"/>
      <sheetName val="8_4_13Tablero_de_12_circ3"/>
      <sheetName val="8_4_14Tablero30circuit3"/>
      <sheetName val="8_6_1Salida_TV3"/>
      <sheetName val="8_6_4Salid_ventilador3"/>
      <sheetName val="8_8_2Tierra3"/>
      <sheetName val="8_11_1Camara_CS_2743"/>
      <sheetName val="8_11_4Caja_de_Insp3"/>
      <sheetName val="9_1_1_PAÑETE_IMPERMEA_1_33"/>
      <sheetName val="9_1_2Pañete_Int3"/>
      <sheetName val="9_1_3Pañete_Ext3"/>
      <sheetName val="9_1_5Pañete_int_ml3"/>
      <sheetName val="9_1_5_1Pañete_rustico_exterior3"/>
      <sheetName val="9_2_1Pañete_Bajo_Placa3"/>
      <sheetName val="10_1_2Alist_pisos3"/>
      <sheetName val="10_1_3_ALISTADO_DE_PISOS_CON_M3"/>
      <sheetName val="10_1_5_1Mortero_afin_piso3"/>
      <sheetName val="10,2,1,3Ceramica_20_20_trafico3"/>
      <sheetName val="10_2_1_2Duropiso3"/>
      <sheetName val="10_2_2_4Concreto_esmaltado3"/>
      <sheetName val="10_2_2_5Concreto_es+tabla_etru3"/>
      <sheetName val="10_2_3_4Tablon30x303"/>
      <sheetName val="10_2_3_9Tableta_etrusca3"/>
      <sheetName val="10,2,3,6Tableta_cuarto263"/>
      <sheetName val="10_3,2,1Tableta_cuarto_ml3"/>
      <sheetName val="10_2_3_7Tableta_cuarto_ml3"/>
      <sheetName val="10_2_4_1Baldosa_grano_marmol3"/>
      <sheetName val="10_2_4_4Tableta3"/>
      <sheetName val="10_3_3_6_Guardaescob_granito3"/>
      <sheetName val="10_3_2_3Media_caña_mort3"/>
      <sheetName val="10_3_2_6Tableta_ml3"/>
      <sheetName val="10_3_7_2remate_ladrillo3"/>
      <sheetName val="10_4_2Gradas_en_Gravilla3"/>
      <sheetName val="11,1,3Afinado_Vigas_Canales_im3"/>
      <sheetName val="11,1,4Impermeh_manto_asfalt3"/>
      <sheetName val="11_1_4Impermehab_manto_asfalti3"/>
      <sheetName val="11,2,6,2Remate_superior3"/>
      <sheetName val="11_2_6_3Remate_lateral3"/>
      <sheetName val="11_2_4Teja_Sandwich3"/>
      <sheetName val="11_4_1Teja_termoacustica3"/>
      <sheetName val="11_6_1Teja_cindu3"/>
      <sheetName val="11_7_1_1Canal_lamina3"/>
      <sheetName val="11_3_5Canal_PVC3"/>
      <sheetName val="12_1_1Ventana_aluminio_fija3"/>
      <sheetName val="12_1_3_Ventana_aluminio3"/>
      <sheetName val="12_1_4Persiana_alumin3"/>
      <sheetName val="12_2_7Puerta_Metalica_0_63"/>
      <sheetName val="12_2_4Puerta_Metalica_,703"/>
      <sheetName val="12_2_2Puerta_Metalica_1_55x2_93"/>
      <sheetName val="12,2,3Puerta_metalica1_55x2_853"/>
      <sheetName val="12_2_5Puertalamina_1x2_13"/>
      <sheetName val="12_2_6Puerta1_5x2_13"/>
      <sheetName val="12_2_3_1Ventana_Acero_rect2_853"/>
      <sheetName val="12_2_6_2Ventana_Acero_rect_m23"/>
      <sheetName val="12_2_1_8Ventana_Acerorect_13"/>
      <sheetName val="12,2,2,2Pasamanos_2&quot;3"/>
      <sheetName val="12_3_2_1Baranda_en_Tubo_1_1_2&quot;3"/>
      <sheetName val="12_3_2_2Baranda_en_Tubo_3&quot;3"/>
      <sheetName val="12_2_3_1Reja_varilla_cuad3"/>
      <sheetName val="12_2_3_7Ventana_3"/>
      <sheetName val="12_2_3_8Ventana3"/>
      <sheetName val="12_2_3_9Puertas3"/>
      <sheetName val="12_2_3_10Pta_vent_3"/>
      <sheetName val="12_2_3_2_2_Persiana_metalica3"/>
      <sheetName val="12_3_5Baranda_tubo_3&quot;y2&quot;3"/>
      <sheetName val="12_4_2_1Reja_perfilovalado3"/>
      <sheetName val="12_5_10estruct_lavamanos3"/>
      <sheetName val="14_1_1Enchape_en_ceramica_20x23"/>
      <sheetName val="14_3_1_Poceta_en_granito3"/>
      <sheetName val="15_1_3_Lampara_fluorecente3"/>
      <sheetName val="15_1_6Lampara_tortuga3"/>
      <sheetName val="16_1_1Sanitario_discap3"/>
      <sheetName val="16_1_2Sanitario_Infantil3"/>
      <sheetName val="16_1_3Sanitario3"/>
      <sheetName val="16_1_4Orinal3"/>
      <sheetName val="16_1_5Lavamalos_de_sobreponer3"/>
      <sheetName val="16_1_7Lavamalos_de_colgar3"/>
      <sheetName val="16_1_11Lavamanos_acero_inox3"/>
      <sheetName val="16_2_1Dispensador_papel_hig3"/>
      <sheetName val="16_2_3_Dispensador_jabon3"/>
      <sheetName val="16_2_7Barra_discap3"/>
      <sheetName val="16_2_8_1GriferiaPush3"/>
      <sheetName val="18_1_1Hidrofugo3"/>
      <sheetName val="18_1_2Pintura_Plast3"/>
      <sheetName val="18_1_3Pintura_plast_fachadas3"/>
      <sheetName val="18_1_2Esmalte_epoxico3"/>
      <sheetName val="18_1_4Vinilo3"/>
      <sheetName val="18_1_7pint_coraza3"/>
      <sheetName val="19_3_3Vidrio_temp_6mm3"/>
      <sheetName val="18_2,1,Esmalte_sobre_marcos_la3"/>
      <sheetName val="18_3,6Esmalte_sobre_mueble_baj3"/>
      <sheetName val="19_1,1Cerradura_baños_y_aulas3"/>
      <sheetName val="19_3_1Espejo3"/>
      <sheetName val="21_1_3Aseo_3"/>
      <sheetName val="20,2,6Adoquin_gress3"/>
      <sheetName val="1_2_1__Instalacion_prov__agua3"/>
      <sheetName val="1_2_2__Instalacion_prov__energ3"/>
      <sheetName val="1_2_3__Instalacion_prov__tel_3"/>
      <sheetName val="5_1_3_1bloque_en_concreto_estr3"/>
      <sheetName val="Concreto_de_4000_psi_3"/>
      <sheetName val="Concreto_de_3500_psi_3"/>
      <sheetName val="APU_123"/>
      <sheetName val="APU_113"/>
      <sheetName val="APU_103"/>
      <sheetName val="APU_93"/>
      <sheetName val="APU_83"/>
      <sheetName val="APU_73"/>
      <sheetName val="APU_63"/>
      <sheetName val="APU_53"/>
      <sheetName val="APU_43"/>
      <sheetName val="APU_33"/>
      <sheetName val="APU_23"/>
      <sheetName val="APU_15"/>
      <sheetName val="5_2_2__Ladrillo_Prensado3"/>
      <sheetName val="10_3_3_4_1__GUARDAESCOBA_EN_CE3"/>
      <sheetName val="3_1_4__ACCESORIO_SANIT_3"/>
      <sheetName val="21_1_2_aseo_muros_interiores3"/>
      <sheetName val="21_1_4_RETIRO_DE_ESCOMBROS3"/>
      <sheetName val="21_1_2__ASEO_FACHADAS3"/>
      <sheetName val="ANALISIS_DE_AIU4"/>
      <sheetName val="Datos_Principales4"/>
      <sheetName val="PRESUP_COMP_4"/>
      <sheetName val="PRESUP_ACT_4"/>
      <sheetName val="Presup_Resum4"/>
      <sheetName val="Reporte_Viabilidad4"/>
      <sheetName val="Transp_4"/>
      <sheetName val="M_Obra4"/>
      <sheetName val="Mort_1-34"/>
      <sheetName val="Mortero_1-3_imperm4"/>
      <sheetName val="Mortero_1-44"/>
      <sheetName val="Mortero_1-4_imperm_4"/>
      <sheetName val="Mortero_1-64"/>
      <sheetName val="Concreto_de_2000_psi4"/>
      <sheetName val="Concreto_de_25004"/>
      <sheetName val="Concreto_de_3000_psi4"/>
      <sheetName val="Acero_de_37_000_psi_4"/>
      <sheetName val="Acero_de_60_000psi4"/>
      <sheetName val="1_1_1campamento4"/>
      <sheetName val="1_1_2__Cerram_prov4"/>
      <sheetName val="1_1_3Limp__Desca__y_Retiro4"/>
      <sheetName val="1_1_4Localización_y_Rep_4"/>
      <sheetName val="1_1_7Localiz_y_rep4"/>
      <sheetName val="1_3_1Demol_const_exit4"/>
      <sheetName val="1_3_3Demol_de_muros4"/>
      <sheetName val="1_3_6Demol_placa_maciza4"/>
      <sheetName val="1_3_7Demol_const_manual4"/>
      <sheetName val="1_4_2Traslado_poste4"/>
      <sheetName val="2_1_1Excav_Mecan_4"/>
      <sheetName val="2_1_2Excav__man_4"/>
      <sheetName val="2_1_3xcav_man_receb4"/>
      <sheetName val="2_1_5Relleno_mat_com4"/>
      <sheetName val="2_1_06_Recebo_Comun4"/>
      <sheetName val="2_1_10Relleno_Recebo_B-2004"/>
      <sheetName val="2_2_1Concreto_pobre4"/>
      <sheetName val="2_2_2Conc_ciclopeo4"/>
      <sheetName val="2_2_3Muro_contencion4"/>
      <sheetName val="2_2_4Concreto_Zapatas4"/>
      <sheetName val="2_2_5Viga_Ciment4"/>
      <sheetName val="2_2_6PILOTES4"/>
      <sheetName val="2_2_7DADOS4"/>
      <sheetName val="2_2_8_1Placa_Contrapiso4"/>
      <sheetName val="2_2_8_2Placa_aligerada_50cm4"/>
      <sheetName val="2_3_3Malla_Electros_4"/>
      <sheetName val="3,1,2,3Tubo_novafor_4&quot;4"/>
      <sheetName val="3_1_2_4Tubo_novafor_104"/>
      <sheetName val="3_1_2_5Tuberia_novafor12&quot;4"/>
      <sheetName val="3_2_1_2Tubo_PVC_sanit44"/>
      <sheetName val="3_1_1_3Tuberia_sanitr6&quot;4"/>
      <sheetName val="3_4_1_1Caja_de_Insp_604"/>
      <sheetName val="3_4_5canalteta_aguas_ll4"/>
      <sheetName val="3_4_9Caja_insp_0_84"/>
      <sheetName val="3_4_10Caja_insp_14"/>
      <sheetName val="3_4_11Caja_insp_0_44"/>
      <sheetName val="3_5_1Excavacion_manual4"/>
      <sheetName val="3_5_5Retiro_de_Sobrantes4"/>
      <sheetName val="3,5,6Relleno_en_grava3-44"/>
      <sheetName val="3_6_1Empate_camara4"/>
      <sheetName val="4_1_1Conc__Columnas4"/>
      <sheetName val="4_2_1Viga_Aerea4"/>
      <sheetName val="4_2_2Viga_Canal4"/>
      <sheetName val="4_3_2Losa_aliger4"/>
      <sheetName val="4_3_3_1Losa_con_lamina4"/>
      <sheetName val="4_3_1_4Placa_e=_24"/>
      <sheetName val="4_3_1_1Placa_e=_14"/>
      <sheetName val="4_3_1,3Placa_e=_154"/>
      <sheetName val="4_3_1_2Placa_e=_124"/>
      <sheetName val="4_3_10Placa_alig_304"/>
      <sheetName val="4_3_11Placa_alig_504"/>
      <sheetName val="4_4_1Escal_en_concret4"/>
      <sheetName val="4_4_2Rampa_en_concret4"/>
      <sheetName val="4_4_3concreto_tanque4"/>
      <sheetName val="4_5_2Acero_6000_psi4"/>
      <sheetName val="4_6_1perfil_metalico_placa4"/>
      <sheetName val="4_7_4_1Perfil_metalico4"/>
      <sheetName val="4_6_2_6Anclajes4"/>
      <sheetName val="4_6_2_7Columna_metalica4"/>
      <sheetName val="4_6_2_8Viga_Met_4"/>
      <sheetName val="4_6_2_9Viga_met_604"/>
      <sheetName val="4_6_2_10Viga_met_654"/>
      <sheetName val="5_1_3_1bloque_piedra4"/>
      <sheetName val="5_1_2_4Bloque_cocr_124"/>
      <sheetName val="5_1_1_3Bloque_concr194"/>
      <sheetName val="5_2_2Ladrillo_Tolete_Fino_2_ca4"/>
      <sheetName val="5_2_3Ladrillo_toletefino_1_car4"/>
      <sheetName val="5_2_7Muro_Bloque_54"/>
      <sheetName val="5_2_6_1Muro_Bloque_44"/>
      <sheetName val="5,3,4Remates_ladrillo_tolete_4"/>
      <sheetName val="5_4_1Grouting4"/>
      <sheetName val="5,6,1_Chazos_para_carpinteria4"/>
      <sheetName val="6_1_1Alfajia4"/>
      <sheetName val="COLUMNETA_MAMPOSTERIA4"/>
      <sheetName val="6_1_3Pref_conc_a_la_vista4"/>
      <sheetName val="6_1_12Zocalo4"/>
      <sheetName val="6_1_14_ventana_prefab_concreto4"/>
      <sheetName val="6_1_18Cañuela_perim_ag_lluvias4"/>
      <sheetName val="6_1_19_1Pref_piso4"/>
      <sheetName val="6_2_2Meson_lavamanos4"/>
      <sheetName val="6_2_3_2Meson_laboratorio4"/>
      <sheetName val="6_2_1_Meson_laborat4"/>
      <sheetName val="6,2,5Banca_en_concreto4"/>
      <sheetName val="6_3_6Alero_concreto4"/>
      <sheetName val="6_2_3_1Mezon_vidrio4"/>
      <sheetName val="7_1_3_1_1Tubo_hg1&quot;4"/>
      <sheetName val="7_1_3_1_2Tubo_hg1_1-24"/>
      <sheetName val="7_1_3_1_3Tubp_hg24"/>
      <sheetName val="7_1_3_1_4Tubo_hg34"/>
      <sheetName val="7_1_3_3_3Registro_1_1-24"/>
      <sheetName val="7_1_3_3_5Registro_34"/>
      <sheetName val="7_1_3_4_1Cheque_1_4"/>
      <sheetName val="7_1_6_3Tuberia_1&quot;PVCP13_54"/>
      <sheetName val="7_1_1_4_Cheque_1&quot;4"/>
      <sheetName val="_7_1_11_5Bajante_Amaz4"/>
      <sheetName val="7_1_2_4Sumin_Tanq_1000_lts4"/>
      <sheetName val="7_1_6_1Tuberia_PVCP_Media4"/>
      <sheetName val="7_1_6_2Tuberia_PVCP1&quot;4"/>
      <sheetName val="7_1_6_8Registro_de_media4"/>
      <sheetName val="7_1_6_10Registro1&quot;4"/>
      <sheetName val="7_1_6_4TuboPVC1_1-44"/>
      <sheetName val="7_1_6_6Tubo_PVC2&quot;4"/>
      <sheetName val="7_1_6_13Caja_plastica_reg4"/>
      <sheetName val="7_1_6_5Tub__y_acc__de_1y1-24"/>
      <sheetName val="7_1_6_9Registro_de_3-44"/>
      <sheetName val="7_1_6_11Registro_1_1-44"/>
      <sheetName val="7_1_6_12Registro_2&quot;4"/>
      <sheetName val="7_1_6_2TuberiaPVC_3-44"/>
      <sheetName val="7_1_8_1Pto_agua_Lavamanos4"/>
      <sheetName val="7_1_8_3Pto_agua_Sanitario_4"/>
      <sheetName val="7_1_8_4Pto_agua_Orinal4"/>
      <sheetName val="7_1_8_12Recamara_HG_para_orina4"/>
      <sheetName val="7_1_8_13Camara_de_Aire4"/>
      <sheetName val="7_1_9_1Pto_sanit_lavamanos4"/>
      <sheetName val="7_1_10_3Bajant_sanit_4&quot;4"/>
      <sheetName val="7_1_10_1Bajnte_sanit_2&quot;4"/>
      <sheetName val="7,1,10,2Tubo_sanit3&quot;4"/>
      <sheetName val="7_1_11_3_Bajante_Ag_Ll_4&quot;4"/>
      <sheetName val="7_1_11_1Tubo_PVCL2&quot;4"/>
      <sheetName val="7,1,11,5_Tubo_PVCfiltro_4&quot;4"/>
      <sheetName val="7_1_11_6Bajantt_tipo_Amaz4"/>
      <sheetName val="7_1_12_1Montaje_lavamanos4"/>
      <sheetName val="7_1_12_8Llave_de_mang4"/>
      <sheetName val="7,2,1,4Tubo_12_galv4"/>
      <sheetName val="7_2_1_11registro_1-2_gas4"/>
      <sheetName val="7_2_1_12Regulador4"/>
      <sheetName val="7_2_1_17Punto_gas4"/>
      <sheetName val="7_2_1_18Tapon_HG_1-24"/>
      <sheetName val="8_1_1Salida_lamp_Fluor_4"/>
      <sheetName val="8_1_2Salida_Lamp_incan4"/>
      <sheetName val="8_1_4Salida_pto4"/>
      <sheetName val="8_1_5Salida_Toma4"/>
      <sheetName val="8_1_8Salida_Toma_GFCI4"/>
      <sheetName val="8_3_4Acom_a_T14"/>
      <sheetName val="8_3_7Tubo_Galvanizado4"/>
      <sheetName val="8_3_9Acometida4"/>
      <sheetName val="8_3_14Acometida_1&quot;_2#84"/>
      <sheetName val="8_3_15Canaliz__conduit_nedia4"/>
      <sheetName val="8_3_16Ducto_3-44"/>
      <sheetName val="8_4_2Tablero18circuitos4"/>
      <sheetName val="8_4_5Caja_Medidor4"/>
      <sheetName val="8_4_7Interruptor4"/>
      <sheetName val="8_4_8Interrup_60_A4"/>
      <sheetName val="8_4_11Caja_6_Circuit4"/>
      <sheetName val="8_4_13Tablero_de_12_circ4"/>
      <sheetName val="8_4_14Tablero30circuit4"/>
      <sheetName val="8_6_1Salida_TV4"/>
      <sheetName val="8_6_4Salid_ventilador4"/>
      <sheetName val="8_8_2Tierra4"/>
      <sheetName val="8_11_1Camara_CS_2744"/>
      <sheetName val="8_11_4Caja_de_Insp4"/>
      <sheetName val="9_1_1_PAÑETE_IMPERMEA_1_34"/>
      <sheetName val="9_1_2Pañete_Int4"/>
      <sheetName val="9_1_3Pañete_Ext4"/>
      <sheetName val="9_1_5Pañete_int_ml4"/>
      <sheetName val="9_1_5_1Pañete_rustico_exterior4"/>
      <sheetName val="9_2_1Pañete_Bajo_Placa4"/>
      <sheetName val="10_1_2Alist_pisos4"/>
      <sheetName val="10_1_3_ALISTADO_DE_PISOS_CON_M4"/>
      <sheetName val="10_1_5_1Mortero_afin_piso4"/>
      <sheetName val="10,2,1,3Ceramica_20_20_trafico4"/>
      <sheetName val="10_2_1_2Duropiso4"/>
      <sheetName val="10_2_2_4Concreto_esmaltado4"/>
      <sheetName val="10_2_2_5Concreto_es+tabla_etru4"/>
      <sheetName val="10_2_3_4Tablon30x304"/>
      <sheetName val="10_2_3_9Tableta_etrusca4"/>
      <sheetName val="10,2,3,6Tableta_cuarto264"/>
      <sheetName val="10_3,2,1Tableta_cuarto_ml4"/>
      <sheetName val="10_2_3_7Tableta_cuarto_ml4"/>
      <sheetName val="10_2_4_1Baldosa_grano_marmol4"/>
      <sheetName val="10_2_4_4Tableta4"/>
      <sheetName val="10_3_3_6_Guardaescob_granito4"/>
      <sheetName val="10_3_2_3Media_caña_mort4"/>
      <sheetName val="10_3_2_6Tableta_ml4"/>
      <sheetName val="10_3_7_2remate_ladrillo4"/>
      <sheetName val="10_4_2Gradas_en_Gravilla4"/>
      <sheetName val="11,1,3Afinado_Vigas_Canales_im4"/>
      <sheetName val="11,1,4Impermeh_manto_asfalt4"/>
      <sheetName val="11_1_4Impermehab_manto_asfalti4"/>
      <sheetName val="11,2,6,2Remate_superior4"/>
      <sheetName val="11_2_6_3Remate_lateral4"/>
      <sheetName val="11_2_4Teja_Sandwich4"/>
      <sheetName val="11_4_1Teja_termoacustica4"/>
      <sheetName val="11_6_1Teja_cindu4"/>
      <sheetName val="11_7_1_1Canal_lamina4"/>
      <sheetName val="11_3_5Canal_PVC4"/>
      <sheetName val="12_1_1Ventana_aluminio_fija4"/>
      <sheetName val="12_1_3_Ventana_aluminio4"/>
      <sheetName val="12_1_4Persiana_alumin4"/>
      <sheetName val="12_2_7Puerta_Metalica_0_64"/>
      <sheetName val="12_2_4Puerta_Metalica_,704"/>
      <sheetName val="12_2_2Puerta_Metalica_1_55x2_94"/>
      <sheetName val="12,2,3Puerta_metalica1_55x2_854"/>
      <sheetName val="12_2_5Puertalamina_1x2_14"/>
      <sheetName val="12_2_6Puerta1_5x2_14"/>
      <sheetName val="12_2_3_1Ventana_Acero_rect2_854"/>
      <sheetName val="12_2_6_2Ventana_Acero_rect_m24"/>
      <sheetName val="12_2_1_8Ventana_Acerorect_14"/>
      <sheetName val="12,2,2,2Pasamanos_2&quot;4"/>
      <sheetName val="12_3_2_1Baranda_en_Tubo_1_1_2&quot;4"/>
      <sheetName val="12_3_2_2Baranda_en_Tubo_3&quot;4"/>
      <sheetName val="12_2_3_1Reja_varilla_cuad4"/>
      <sheetName val="12_2_3_7Ventana_4"/>
      <sheetName val="12_2_3_8Ventana4"/>
      <sheetName val="12_2_3_9Puertas4"/>
      <sheetName val="12_2_3_10Pta_vent_4"/>
      <sheetName val="12_2_3_2_2_Persiana_metalica4"/>
      <sheetName val="12_3_5Baranda_tubo_3&quot;y2&quot;4"/>
      <sheetName val="12_4_2_1Reja_perfilovalado4"/>
      <sheetName val="12_5_10estruct_lavamanos4"/>
      <sheetName val="14_1_1Enchape_en_ceramica_20x24"/>
      <sheetName val="14_3_1_Poceta_en_granito4"/>
      <sheetName val="15_1_3_Lampara_fluorecente4"/>
      <sheetName val="15_1_6Lampara_tortuga4"/>
      <sheetName val="16_1_1Sanitario_discap4"/>
      <sheetName val="16_1_2Sanitario_Infantil4"/>
      <sheetName val="16_1_3Sanitario4"/>
      <sheetName val="16_1_4Orinal4"/>
      <sheetName val="16_1_5Lavamalos_de_sobreponer4"/>
      <sheetName val="16_1_7Lavamalos_de_colgar4"/>
      <sheetName val="16_1_11Lavamanos_acero_inox4"/>
      <sheetName val="16_2_1Dispensador_papel_hig4"/>
      <sheetName val="16_2_3_Dispensador_jabon4"/>
      <sheetName val="16_2_7Barra_discap4"/>
      <sheetName val="16_2_8_1GriferiaPush4"/>
      <sheetName val="18_1_1Hidrofugo4"/>
      <sheetName val="18_1_2Pintura_Plast4"/>
      <sheetName val="18_1_3Pintura_plast_fachadas4"/>
      <sheetName val="18_1_2Esmalte_epoxico4"/>
      <sheetName val="18_1_4Vinilo4"/>
      <sheetName val="18_1_7pint_coraza4"/>
      <sheetName val="19_3_3Vidrio_temp_6mm4"/>
      <sheetName val="18_2,1,Esmalte_sobre_marcos_la4"/>
      <sheetName val="18_3,6Esmalte_sobre_mueble_baj4"/>
      <sheetName val="19_1,1Cerradura_baños_y_aulas4"/>
      <sheetName val="19_3_1Espejo4"/>
      <sheetName val="21_1_3Aseo_4"/>
      <sheetName val="20,2,6Adoquin_gress4"/>
      <sheetName val="1_2_1__Instalacion_prov__agua4"/>
      <sheetName val="1_2_2__Instalacion_prov__energ4"/>
      <sheetName val="1_2_3__Instalacion_prov__tel_4"/>
      <sheetName val="5_1_3_1bloque_en_concreto_estr4"/>
      <sheetName val="Concreto_de_4000_psi_4"/>
      <sheetName val="Concreto_de_3500_psi_4"/>
      <sheetName val="APU_124"/>
      <sheetName val="APU_114"/>
      <sheetName val="APU_104"/>
      <sheetName val="APU_94"/>
      <sheetName val="APU_84"/>
      <sheetName val="APU_74"/>
      <sheetName val="APU_64"/>
      <sheetName val="APU_54"/>
      <sheetName val="APU_44"/>
      <sheetName val="APU_34"/>
      <sheetName val="APU_24"/>
      <sheetName val="APU_16"/>
      <sheetName val="5_2_2__Ladrillo_Prensado4"/>
      <sheetName val="10_3_3_4_1__GUARDAESCOBA_EN_CE4"/>
      <sheetName val="3_1_4__ACCESORIO_SANIT_4"/>
      <sheetName val="21_1_2_aseo_muros_interiores4"/>
      <sheetName val="21_1_4_RETIRO_DE_ESCOMBROS4"/>
      <sheetName val="21_1_2__ASEO_FACHADAS4"/>
      <sheetName val="ANALISIS_DE_AIU5"/>
      <sheetName val="Datos_Principales5"/>
      <sheetName val="PRESUP_COMP_5"/>
      <sheetName val="PRESUP_ACT_5"/>
      <sheetName val="Presup_Resum5"/>
      <sheetName val="Reporte_Viabilidad5"/>
      <sheetName val="Transp_5"/>
      <sheetName val="M_Obra5"/>
      <sheetName val="Mort_1-35"/>
      <sheetName val="Mortero_1-3_imperm5"/>
      <sheetName val="Mortero_1-45"/>
      <sheetName val="Mortero_1-4_imperm_5"/>
      <sheetName val="Mortero_1-65"/>
      <sheetName val="Concreto_de_2000_psi5"/>
      <sheetName val="Concreto_de_25005"/>
      <sheetName val="Concreto_de_3000_psi5"/>
      <sheetName val="Acero_de_37_000_psi_5"/>
      <sheetName val="Acero_de_60_000psi5"/>
      <sheetName val="1_1_1campamento5"/>
      <sheetName val="1_1_2__Cerram_prov5"/>
      <sheetName val="1_1_3Limp__Desca__y_Retiro5"/>
      <sheetName val="1_1_4Localización_y_Rep_5"/>
      <sheetName val="1_1_7Localiz_y_rep5"/>
      <sheetName val="1_3_1Demol_const_exit5"/>
      <sheetName val="1_3_3Demol_de_muros5"/>
      <sheetName val="1_3_6Demol_placa_maciza5"/>
      <sheetName val="1_3_7Demol_const_manual5"/>
      <sheetName val="1_4_2Traslado_poste5"/>
      <sheetName val="2_1_1Excav_Mecan_5"/>
      <sheetName val="2_1_2Excav__man_5"/>
      <sheetName val="2_1_3xcav_man_receb5"/>
      <sheetName val="2_1_5Relleno_mat_com5"/>
      <sheetName val="2_1_06_Recebo_Comun5"/>
      <sheetName val="2_1_10Relleno_Recebo_B-2005"/>
      <sheetName val="2_2_1Concreto_pobre5"/>
      <sheetName val="2_2_2Conc_ciclopeo5"/>
      <sheetName val="2_2_3Muro_contencion5"/>
      <sheetName val="2_2_4Concreto_Zapatas5"/>
      <sheetName val="2_2_5Viga_Ciment5"/>
      <sheetName val="2_2_6PILOTES5"/>
      <sheetName val="2_2_7DADOS5"/>
      <sheetName val="2_2_8_1Placa_Contrapiso5"/>
      <sheetName val="2_2_8_2Placa_aligerada_50cm5"/>
      <sheetName val="2_3_3Malla_Electros_5"/>
      <sheetName val="3,1,2,3Tubo_novafor_4&quot;5"/>
      <sheetName val="3_1_2_4Tubo_novafor_105"/>
      <sheetName val="3_1_2_5Tuberia_novafor12&quot;5"/>
      <sheetName val="3_2_1_2Tubo_PVC_sanit45"/>
      <sheetName val="3_1_1_3Tuberia_sanitr6&quot;5"/>
      <sheetName val="3_4_1_1Caja_de_Insp_605"/>
      <sheetName val="3_4_5canalteta_aguas_ll5"/>
      <sheetName val="3_4_9Caja_insp_0_85"/>
      <sheetName val="3_4_10Caja_insp_15"/>
      <sheetName val="3_4_11Caja_insp_0_45"/>
      <sheetName val="3_5_1Excavacion_manual5"/>
      <sheetName val="3_5_5Retiro_de_Sobrantes5"/>
      <sheetName val="3,5,6Relleno_en_grava3-45"/>
      <sheetName val="3_6_1Empate_camara5"/>
      <sheetName val="4_1_1Conc__Columnas5"/>
      <sheetName val="4_2_1Viga_Aerea5"/>
      <sheetName val="4_2_2Viga_Canal5"/>
      <sheetName val="4_3_2Losa_aliger5"/>
      <sheetName val="4_3_3_1Losa_con_lamina5"/>
      <sheetName val="4_3_1_4Placa_e=_25"/>
      <sheetName val="4_3_1_1Placa_e=_15"/>
      <sheetName val="4_3_1,3Placa_e=_155"/>
      <sheetName val="4_3_1_2Placa_e=_125"/>
      <sheetName val="4_3_10Placa_alig_305"/>
      <sheetName val="4_3_11Placa_alig_505"/>
      <sheetName val="4_4_1Escal_en_concret5"/>
      <sheetName val="4_4_2Rampa_en_concret5"/>
      <sheetName val="4_4_3concreto_tanque5"/>
      <sheetName val="4_5_2Acero_6000_psi5"/>
      <sheetName val="4_6_1perfil_metalico_placa5"/>
      <sheetName val="4_7_4_1Perfil_metalico5"/>
      <sheetName val="4_6_2_6Anclajes5"/>
      <sheetName val="4_6_2_7Columna_metalica5"/>
      <sheetName val="4_6_2_8Viga_Met_5"/>
      <sheetName val="4_6_2_9Viga_met_605"/>
      <sheetName val="4_6_2_10Viga_met_655"/>
      <sheetName val="5_1_3_1bloque_piedra5"/>
      <sheetName val="5_1_2_4Bloque_cocr_125"/>
      <sheetName val="5_1_1_3Bloque_concr195"/>
      <sheetName val="5_2_2Ladrillo_Tolete_Fino_2_ca5"/>
      <sheetName val="5_2_3Ladrillo_toletefino_1_car5"/>
      <sheetName val="5_2_7Muro_Bloque_55"/>
      <sheetName val="5_2_6_1Muro_Bloque_45"/>
      <sheetName val="5,3,4Remates_ladrillo_tolete_5"/>
      <sheetName val="5_4_1Grouting5"/>
      <sheetName val="5,6,1_Chazos_para_carpinteria5"/>
      <sheetName val="6_1_1Alfajia5"/>
      <sheetName val="COLUMNETA_MAMPOSTERIA5"/>
      <sheetName val="6_1_3Pref_conc_a_la_vista5"/>
      <sheetName val="6_1_12Zocalo5"/>
      <sheetName val="6_1_14_ventana_prefab_concreto5"/>
      <sheetName val="6_1_18Cañuela_perim_ag_lluvias5"/>
      <sheetName val="6_1_19_1Pref_piso5"/>
      <sheetName val="6_2_2Meson_lavamanos5"/>
      <sheetName val="6_2_3_2Meson_laboratorio5"/>
      <sheetName val="6_2_1_Meson_laborat5"/>
      <sheetName val="6,2,5Banca_en_concreto5"/>
      <sheetName val="6_3_6Alero_concreto5"/>
      <sheetName val="6_2_3_1Mezon_vidrio5"/>
      <sheetName val="7_1_3_1_1Tubo_hg1&quot;5"/>
      <sheetName val="7_1_3_1_2Tubo_hg1_1-25"/>
      <sheetName val="7_1_3_1_3Tubp_hg25"/>
      <sheetName val="7_1_3_1_4Tubo_hg35"/>
      <sheetName val="7_1_3_3_3Registro_1_1-25"/>
      <sheetName val="7_1_3_3_5Registro_35"/>
      <sheetName val="7_1_3_4_1Cheque_1_5"/>
      <sheetName val="7_1_6_3Tuberia_1&quot;PVCP13_55"/>
      <sheetName val="7_1_1_4_Cheque_1&quot;5"/>
      <sheetName val="_7_1_11_5Bajante_Amaz5"/>
      <sheetName val="7_1_2_4Sumin_Tanq_1000_lts5"/>
      <sheetName val="7_1_6_1Tuberia_PVCP_Media5"/>
      <sheetName val="7_1_6_2Tuberia_PVCP1&quot;5"/>
      <sheetName val="7_1_6_8Registro_de_media5"/>
      <sheetName val="7_1_6_10Registro1&quot;5"/>
      <sheetName val="7_1_6_4TuboPVC1_1-45"/>
      <sheetName val="7_1_6_6Tubo_PVC2&quot;5"/>
      <sheetName val="7_1_6_13Caja_plastica_reg5"/>
      <sheetName val="7_1_6_5Tub__y_acc__de_1y1-25"/>
      <sheetName val="7_1_6_9Registro_de_3-45"/>
      <sheetName val="7_1_6_11Registro_1_1-45"/>
      <sheetName val="7_1_6_12Registro_2&quot;5"/>
      <sheetName val="7_1_6_2TuberiaPVC_3-45"/>
      <sheetName val="7_1_8_1Pto_agua_Lavamanos5"/>
      <sheetName val="7_1_8_3Pto_agua_Sanitario_5"/>
      <sheetName val="7_1_8_4Pto_agua_Orinal5"/>
      <sheetName val="7_1_8_12Recamara_HG_para_orina5"/>
      <sheetName val="7_1_8_13Camara_de_Aire5"/>
      <sheetName val="7_1_9_1Pto_sanit_lavamanos5"/>
      <sheetName val="7_1_10_3Bajant_sanit_4&quot;5"/>
      <sheetName val="7_1_10_1Bajnte_sanit_2&quot;5"/>
      <sheetName val="7,1,10,2Tubo_sanit3&quot;5"/>
      <sheetName val="7_1_11_3_Bajante_Ag_Ll_4&quot;5"/>
      <sheetName val="7_1_11_1Tubo_PVCL2&quot;5"/>
      <sheetName val="7,1,11,5_Tubo_PVCfiltro_4&quot;5"/>
      <sheetName val="7_1_11_6Bajantt_tipo_Amaz5"/>
      <sheetName val="7_1_12_1Montaje_lavamanos5"/>
      <sheetName val="7_1_12_8Llave_de_mang5"/>
      <sheetName val="7,2,1,4Tubo_12_galv5"/>
      <sheetName val="7_2_1_11registro_1-2_gas5"/>
      <sheetName val="7_2_1_12Regulador5"/>
      <sheetName val="7_2_1_17Punto_gas5"/>
      <sheetName val="7_2_1_18Tapon_HG_1-25"/>
      <sheetName val="8_1_1Salida_lamp_Fluor_5"/>
      <sheetName val="8_1_2Salida_Lamp_incan5"/>
      <sheetName val="8_1_4Salida_pto5"/>
      <sheetName val="8_1_5Salida_Toma5"/>
      <sheetName val="8_1_8Salida_Toma_GFCI5"/>
      <sheetName val="8_3_4Acom_a_T15"/>
      <sheetName val="8_3_7Tubo_Galvanizado5"/>
      <sheetName val="8_3_9Acometida5"/>
      <sheetName val="8_3_14Acometida_1&quot;_2#85"/>
      <sheetName val="8_3_15Canaliz__conduit_nedia5"/>
      <sheetName val="8_3_16Ducto_3-45"/>
      <sheetName val="8_4_2Tablero18circuitos5"/>
      <sheetName val="8_4_5Caja_Medidor5"/>
      <sheetName val="8_4_7Interruptor5"/>
      <sheetName val="8_4_8Interrup_60_A5"/>
      <sheetName val="8_4_11Caja_6_Circuit5"/>
      <sheetName val="8_4_13Tablero_de_12_circ5"/>
      <sheetName val="8_4_14Tablero30circuit5"/>
      <sheetName val="8_6_1Salida_TV5"/>
      <sheetName val="8_6_4Salid_ventilador5"/>
      <sheetName val="8_8_2Tierra5"/>
      <sheetName val="8_11_1Camara_CS_2745"/>
      <sheetName val="8_11_4Caja_de_Insp5"/>
      <sheetName val="9_1_1_PAÑETE_IMPERMEA_1_35"/>
      <sheetName val="9_1_2Pañete_Int5"/>
      <sheetName val="9_1_3Pañete_Ext5"/>
      <sheetName val="9_1_5Pañete_int_ml5"/>
      <sheetName val="9_1_5_1Pañete_rustico_exterior5"/>
      <sheetName val="9_2_1Pañete_Bajo_Placa5"/>
      <sheetName val="10_1_2Alist_pisos5"/>
      <sheetName val="10_1_3_ALISTADO_DE_PISOS_CON_M5"/>
      <sheetName val="10_1_5_1Mortero_afin_piso5"/>
      <sheetName val="10,2,1,3Ceramica_20_20_trafico5"/>
      <sheetName val="10_2_1_2Duropiso5"/>
      <sheetName val="10_2_2_4Concreto_esmaltado5"/>
      <sheetName val="10_2_2_5Concreto_es+tabla_etru5"/>
      <sheetName val="10_2_3_4Tablon30x305"/>
      <sheetName val="10_2_3_9Tableta_etrusca5"/>
      <sheetName val="10,2,3,6Tableta_cuarto265"/>
      <sheetName val="10_3,2,1Tableta_cuarto_ml5"/>
      <sheetName val="10_2_3_7Tableta_cuarto_ml5"/>
      <sheetName val="10_2_4_1Baldosa_grano_marmol5"/>
      <sheetName val="10_2_4_4Tableta5"/>
      <sheetName val="10_3_3_6_Guardaescob_granito5"/>
      <sheetName val="10_3_2_3Media_caña_mort5"/>
      <sheetName val="10_3_2_6Tableta_ml5"/>
      <sheetName val="10_3_7_2remate_ladrillo5"/>
      <sheetName val="10_4_2Gradas_en_Gravilla5"/>
      <sheetName val="11,1,3Afinado_Vigas_Canales_im5"/>
      <sheetName val="11,1,4Impermeh_manto_asfalt5"/>
      <sheetName val="11_1_4Impermehab_manto_asfalti5"/>
      <sheetName val="11,2,6,2Remate_superior5"/>
      <sheetName val="11_2_6_3Remate_lateral5"/>
      <sheetName val="11_2_4Teja_Sandwich5"/>
      <sheetName val="11_4_1Teja_termoacustica5"/>
      <sheetName val="11_6_1Teja_cindu5"/>
      <sheetName val="11_7_1_1Canal_lamina5"/>
      <sheetName val="11_3_5Canal_PVC5"/>
      <sheetName val="12_1_1Ventana_aluminio_fija5"/>
      <sheetName val="12_1_3_Ventana_aluminio5"/>
      <sheetName val="12_1_4Persiana_alumin5"/>
      <sheetName val="12_2_7Puerta_Metalica_0_65"/>
      <sheetName val="12_2_4Puerta_Metalica_,705"/>
      <sheetName val="12_2_2Puerta_Metalica_1_55x2_96"/>
      <sheetName val="12,2,3Puerta_metalica1_55x2_855"/>
      <sheetName val="12_2_5Puertalamina_1x2_15"/>
      <sheetName val="12_2_6Puerta1_5x2_15"/>
      <sheetName val="12_2_3_1Ventana_Acero_rect2_855"/>
      <sheetName val="12_2_6_2Ventana_Acero_rect_m25"/>
      <sheetName val="12_2_1_8Ventana_Acerorect_15"/>
      <sheetName val="12,2,2,2Pasamanos_2&quot;5"/>
      <sheetName val="12_3_2_1Baranda_en_Tubo_1_1_2&quot;5"/>
      <sheetName val="12_3_2_2Baranda_en_Tubo_3&quot;5"/>
      <sheetName val="12_2_3_1Reja_varilla_cuad5"/>
      <sheetName val="12_2_3_7Ventana_5"/>
      <sheetName val="12_2_3_8Ventana5"/>
      <sheetName val="12_2_3_9Puertas5"/>
      <sheetName val="12_2_3_10Pta_vent_5"/>
      <sheetName val="12_2_3_2_2_Persiana_metalica5"/>
      <sheetName val="12_3_5Baranda_tubo_3&quot;y2&quot;5"/>
      <sheetName val="12_4_2_1Reja_perfilovalado5"/>
      <sheetName val="12_5_10estruct_lavamanos5"/>
      <sheetName val="14_1_1Enchape_en_ceramica_20x25"/>
      <sheetName val="14_3_1_Poceta_en_granito5"/>
      <sheetName val="15_1_3_Lampara_fluorecente5"/>
      <sheetName val="15_1_6Lampara_tortuga5"/>
      <sheetName val="16_1_1Sanitario_discap5"/>
      <sheetName val="16_1_2Sanitario_Infantil5"/>
      <sheetName val="16_1_3Sanitario5"/>
      <sheetName val="16_1_4Orinal5"/>
      <sheetName val="16_1_5Lavamalos_de_sobreponer5"/>
      <sheetName val="16_1_7Lavamalos_de_colgar5"/>
      <sheetName val="16_1_11Lavamanos_acero_inox5"/>
      <sheetName val="16_2_1Dispensador_papel_hig5"/>
      <sheetName val="16_2_3_Dispensador_jabon5"/>
      <sheetName val="16_2_7Barra_discap5"/>
      <sheetName val="16_2_8_1GriferiaPush5"/>
      <sheetName val="18_1_1Hidrofugo5"/>
      <sheetName val="18_1_2Pintura_Plast5"/>
      <sheetName val="18_1_3Pintura_plast_fachadas5"/>
      <sheetName val="18_1_2Esmalte_epoxico5"/>
      <sheetName val="18_1_4Vinilo5"/>
      <sheetName val="18_1_7pint_coraza5"/>
      <sheetName val="19_3_3Vidrio_temp_6mm5"/>
      <sheetName val="18_2,1,Esmalte_sobre_marcos_la5"/>
      <sheetName val="18_3,6Esmalte_sobre_mueble_baj5"/>
      <sheetName val="19_1,1Cerradura_baños_y_aulas5"/>
      <sheetName val="19_3_1Espejo5"/>
      <sheetName val="21_1_3Aseo_5"/>
      <sheetName val="20,2,6Adoquin_gress5"/>
      <sheetName val="1_2_1__Instalacion_prov__agua5"/>
      <sheetName val="1_2_2__Instalacion_prov__energ5"/>
      <sheetName val="1_2_3__Instalacion_prov__tel_5"/>
      <sheetName val="5_1_3_1bloque_en_concreto_estr5"/>
      <sheetName val="Concreto_de_4000_psi_5"/>
      <sheetName val="Concreto_de_3500_psi_5"/>
      <sheetName val="APU_125"/>
      <sheetName val="APU_115"/>
      <sheetName val="APU_105"/>
      <sheetName val="APU_95"/>
      <sheetName val="APU_85"/>
      <sheetName val="APU_75"/>
      <sheetName val="APU_65"/>
      <sheetName val="APU_55"/>
      <sheetName val="APU_45"/>
      <sheetName val="APU_35"/>
      <sheetName val="APU_25"/>
      <sheetName val="APU_17"/>
      <sheetName val="5_2_2__Ladrillo_Prensado5"/>
      <sheetName val="10_3_3_4_1__GUARDAESCOBA_EN_CE5"/>
      <sheetName val="3_1_4__ACCESORIO_SANIT_5"/>
      <sheetName val="21_1_2_aseo_muros_interiores5"/>
      <sheetName val="21_1_4_RETIRO_DE_ESCOMBROS5"/>
      <sheetName val="21_1_2__ASEO_FACHADAS5"/>
      <sheetName val="ANALISIS_DE_AIU8"/>
      <sheetName val="Datos_Principales8"/>
      <sheetName val="PRESUP_COMP_8"/>
      <sheetName val="PRESUP_ACT_8"/>
      <sheetName val="Presup_Resum8"/>
      <sheetName val="Reporte_Viabilidad8"/>
      <sheetName val="Transp_8"/>
      <sheetName val="M_Obra8"/>
      <sheetName val="Mort_1-38"/>
      <sheetName val="Mortero_1-3_imperm8"/>
      <sheetName val="Mortero_1-48"/>
      <sheetName val="Mortero_1-4_imperm_8"/>
      <sheetName val="Mortero_1-68"/>
      <sheetName val="Concreto_de_2000_psi8"/>
      <sheetName val="Concreto_de_25008"/>
      <sheetName val="Concreto_de_3000_psi8"/>
      <sheetName val="Acero_de_37_000_psi_8"/>
      <sheetName val="Acero_de_60_000psi8"/>
      <sheetName val="1_1_1campamento8"/>
      <sheetName val="1_1_2__Cerram_prov8"/>
      <sheetName val="1_1_3Limp__Desca__y_Retiro8"/>
      <sheetName val="1_1_4Localización_y_Rep_8"/>
      <sheetName val="1_1_7Localiz_y_rep8"/>
      <sheetName val="1_3_1Demol_const_exit8"/>
      <sheetName val="1_3_3Demol_de_muros8"/>
      <sheetName val="1_3_6Demol_placa_maciza8"/>
      <sheetName val="1_3_7Demol_const_manual8"/>
      <sheetName val="1_4_2Traslado_poste8"/>
      <sheetName val="2_1_1Excav_Mecan_8"/>
      <sheetName val="2_1_2Excav__man_8"/>
      <sheetName val="2_1_3xcav_man_receb8"/>
      <sheetName val="2_1_5Relleno_mat_com8"/>
      <sheetName val="2_1_06_Recebo_Comun8"/>
      <sheetName val="2_1_10Relleno_Recebo_B-2008"/>
      <sheetName val="2_2_1Concreto_pobre8"/>
      <sheetName val="2_2_2Conc_ciclopeo8"/>
      <sheetName val="2_2_3Muro_contencion8"/>
      <sheetName val="2_2_4Concreto_Zapatas8"/>
      <sheetName val="2_2_5Viga_Ciment8"/>
      <sheetName val="2_2_6PILOTES8"/>
      <sheetName val="2_2_7DADOS8"/>
      <sheetName val="2_2_8_1Placa_Contrapiso8"/>
      <sheetName val="2_2_8_2Placa_aligerada_50cm8"/>
      <sheetName val="2_3_3Malla_Electros_8"/>
      <sheetName val="3,1,2,3Tubo_novafor_4&quot;8"/>
      <sheetName val="3_1_2_4Tubo_novafor_108"/>
      <sheetName val="3_1_2_5Tuberia_novafor12&quot;8"/>
      <sheetName val="3_2_1_2Tubo_PVC_sanit48"/>
      <sheetName val="3_1_1_3Tuberia_sanitr6&quot;8"/>
      <sheetName val="3_4_1_1Caja_de_Insp_608"/>
      <sheetName val="3_4_5canalteta_aguas_ll8"/>
      <sheetName val="3_4_9Caja_insp_0_88"/>
      <sheetName val="3_4_10Caja_insp_18"/>
      <sheetName val="3_4_11Caja_insp_0_48"/>
      <sheetName val="3_5_1Excavacion_manual8"/>
      <sheetName val="3_5_5Retiro_de_Sobrantes8"/>
      <sheetName val="3,5,6Relleno_en_grava3-48"/>
      <sheetName val="3_6_1Empate_camara8"/>
      <sheetName val="4_1_1Conc__Columnas8"/>
      <sheetName val="4_2_1Viga_Aerea8"/>
      <sheetName val="4_2_2Viga_Canal8"/>
      <sheetName val="4_3_2Losa_aliger8"/>
      <sheetName val="4_3_3_1Losa_con_lamina8"/>
      <sheetName val="4_3_1_4Placa_e=_28"/>
      <sheetName val="4_3_1_1Placa_e=_18"/>
      <sheetName val="4_3_1,3Placa_e=_158"/>
      <sheetName val="4_3_1_2Placa_e=_128"/>
      <sheetName val="4_3_10Placa_alig_308"/>
      <sheetName val="4_3_11Placa_alig_508"/>
      <sheetName val="4_4_1Escal_en_concret8"/>
      <sheetName val="4_4_2Rampa_en_concret8"/>
      <sheetName val="4_4_3concreto_tanque8"/>
      <sheetName val="4_5_2Acero_6000_psi8"/>
      <sheetName val="4_6_1perfil_metalico_placa8"/>
      <sheetName val="4_7_4_1Perfil_metalico8"/>
      <sheetName val="4_6_2_6Anclajes8"/>
      <sheetName val="4_6_2_7Columna_metalica8"/>
      <sheetName val="4_6_2_8Viga_Met_8"/>
      <sheetName val="4_6_2_9Viga_met_608"/>
      <sheetName val="4_6_2_10Viga_met_658"/>
      <sheetName val="5_1_3_1bloque_piedra8"/>
      <sheetName val="5_1_2_4Bloque_cocr_128"/>
      <sheetName val="5_1_1_3Bloque_concr198"/>
      <sheetName val="5_2_2Ladrillo_Tolete_Fino_2_ca8"/>
      <sheetName val="5_2_3Ladrillo_toletefino_1_car8"/>
      <sheetName val="5_2_7Muro_Bloque_58"/>
      <sheetName val="5_2_6_1Muro_Bloque_48"/>
      <sheetName val="5,3,4Remates_ladrillo_tolete_8"/>
      <sheetName val="5_4_1Grouting8"/>
      <sheetName val="5,6,1_Chazos_para_carpinteria8"/>
      <sheetName val="6_1_1Alfajia8"/>
      <sheetName val="COLUMNETA_MAMPOSTERIA8"/>
      <sheetName val="6_1_3Pref_conc_a_la_vista8"/>
      <sheetName val="6_1_12Zocalo8"/>
      <sheetName val="6_1_14_ventana_prefab_concreto8"/>
      <sheetName val="6_1_18Cañuela_perim_ag_lluvias8"/>
      <sheetName val="6_1_19_1Pref_piso8"/>
      <sheetName val="6_2_2Meson_lavamanos8"/>
      <sheetName val="6_2_3_2Meson_laboratorio8"/>
      <sheetName val="6_2_1_Meson_laborat8"/>
      <sheetName val="6,2,5Banca_en_concreto8"/>
      <sheetName val="6_3_6Alero_concreto8"/>
      <sheetName val="6_2_3_1Mezon_vidrio8"/>
      <sheetName val="7_1_3_1_1Tubo_hg1&quot;8"/>
      <sheetName val="7_1_3_1_2Tubo_hg1_1-28"/>
      <sheetName val="7_1_3_1_3Tubp_hg28"/>
      <sheetName val="7_1_3_1_4Tubo_hg38"/>
      <sheetName val="7_1_3_3_3Registro_1_1-28"/>
      <sheetName val="7_1_3_3_5Registro_38"/>
      <sheetName val="7_1_3_4_1Cheque_1_8"/>
      <sheetName val="7_1_6_3Tuberia_1&quot;PVCP13_58"/>
      <sheetName val="7_1_1_4_Cheque_1&quot;8"/>
      <sheetName val="_7_1_11_5Bajante_Amaz8"/>
      <sheetName val="7_1_2_4Sumin_Tanq_1000_lts8"/>
      <sheetName val="7_1_6_1Tuberia_PVCP_Media8"/>
      <sheetName val="7_1_6_2Tuberia_PVCP1&quot;8"/>
      <sheetName val="7_1_6_8Registro_de_media8"/>
      <sheetName val="7_1_6_10Registro1&quot;8"/>
      <sheetName val="7_1_6_4TuboPVC1_1-48"/>
      <sheetName val="7_1_6_6Tubo_PVC2&quot;8"/>
      <sheetName val="7_1_6_13Caja_plastica_reg8"/>
      <sheetName val="7_1_6_5Tub__y_acc__de_1y1-28"/>
      <sheetName val="7_1_6_9Registro_de_3-48"/>
      <sheetName val="7_1_6_11Registro_1_1-48"/>
      <sheetName val="7_1_6_12Registro_2&quot;8"/>
      <sheetName val="7_1_6_2TuberiaPVC_3-48"/>
      <sheetName val="7_1_8_1Pto_agua_Lavamanos8"/>
      <sheetName val="7_1_8_3Pto_agua_Sanitario_8"/>
      <sheetName val="7_1_8_4Pto_agua_Orinal8"/>
      <sheetName val="7_1_8_12Recamara_HG_para_orina8"/>
      <sheetName val="7_1_8_13Camara_de_Aire8"/>
      <sheetName val="7_1_9_1Pto_sanit_lavamanos8"/>
      <sheetName val="7_1_10_3Bajant_sanit_4&quot;8"/>
      <sheetName val="7_1_10_1Bajnte_sanit_2&quot;8"/>
      <sheetName val="7,1,10,2Tubo_sanit3&quot;8"/>
      <sheetName val="7_1_11_3_Bajante_Ag_Ll_4&quot;8"/>
      <sheetName val="7_1_11_1Tubo_PVCL2&quot;8"/>
      <sheetName val="7,1,11,5_Tubo_PVCfiltro_4&quot;8"/>
      <sheetName val="7_1_11_6Bajantt_tipo_Amaz8"/>
      <sheetName val="7_1_12_1Montaje_lavamanos8"/>
      <sheetName val="7_1_12_8Llave_de_mang8"/>
      <sheetName val="7,2,1,4Tubo_12_galv8"/>
      <sheetName val="7_2_1_11registro_1-2_gas8"/>
      <sheetName val="7_2_1_12Regulador8"/>
      <sheetName val="7_2_1_17Punto_gas8"/>
      <sheetName val="7_2_1_18Tapon_HG_1-28"/>
      <sheetName val="8_1_1Salida_lamp_Fluor_8"/>
      <sheetName val="8_1_2Salida_Lamp_incan8"/>
      <sheetName val="8_1_4Salida_pto8"/>
      <sheetName val="8_1_5Salida_Toma8"/>
      <sheetName val="8_1_8Salida_Toma_GFCI8"/>
      <sheetName val="8_3_4Acom_a_T18"/>
      <sheetName val="8_3_7Tubo_Galvanizado8"/>
      <sheetName val="8_3_9Acometida8"/>
      <sheetName val="8_3_14Acometida_1&quot;_2#88"/>
      <sheetName val="8_3_15Canaliz__conduit_nedia8"/>
      <sheetName val="8_3_16Ducto_3-48"/>
      <sheetName val="8_4_2Tablero18circuitos8"/>
      <sheetName val="8_4_5Caja_Medidor8"/>
      <sheetName val="8_4_7Interruptor8"/>
      <sheetName val="8_4_8Interrup_60_A8"/>
      <sheetName val="8_4_11Caja_6_Circuit8"/>
      <sheetName val="8_4_13Tablero_de_12_circ8"/>
      <sheetName val="8_4_14Tablero30circuit8"/>
      <sheetName val="8_6_1Salida_TV8"/>
      <sheetName val="8_6_4Salid_ventilador8"/>
      <sheetName val="8_8_2Tierra8"/>
      <sheetName val="8_11_1Camara_CS_2748"/>
      <sheetName val="8_11_4Caja_de_Insp8"/>
      <sheetName val="9_1_1_PAÑETE_IMPERMEA_1_38"/>
      <sheetName val="9_1_2Pañete_Int8"/>
      <sheetName val="9_1_3Pañete_Ext8"/>
      <sheetName val="9_1_5Pañete_int_ml8"/>
      <sheetName val="9_1_5_1Pañete_rustico_exterior8"/>
      <sheetName val="9_2_1Pañete_Bajo_Placa8"/>
      <sheetName val="10_1_2Alist_pisos8"/>
      <sheetName val="10_1_3_ALISTADO_DE_PISOS_CON_M8"/>
      <sheetName val="10_1_5_1Mortero_afin_piso8"/>
      <sheetName val="10,2,1,3Ceramica_20_20_trafico8"/>
      <sheetName val="10_2_1_2Duropiso8"/>
      <sheetName val="10_2_2_4Concreto_esmaltado8"/>
      <sheetName val="10_2_2_5Concreto_es+tabla_etru8"/>
      <sheetName val="10_2_3_4Tablon30x308"/>
      <sheetName val="10_2_3_9Tableta_etrusca8"/>
      <sheetName val="10,2,3,6Tableta_cuarto268"/>
      <sheetName val="10_3,2,1Tableta_cuarto_ml8"/>
      <sheetName val="10_2_3_7Tableta_cuarto_ml8"/>
      <sheetName val="10_2_4_1Baldosa_grano_marmol8"/>
      <sheetName val="10_2_4_4Tableta8"/>
      <sheetName val="10_3_3_6_Guardaescob_granito8"/>
      <sheetName val="10_3_2_3Media_caña_mort8"/>
      <sheetName val="10_3_2_6Tableta_ml8"/>
      <sheetName val="10_3_7_2remate_ladrillo8"/>
      <sheetName val="10_4_2Gradas_en_Gravilla8"/>
      <sheetName val="11,1,3Afinado_Vigas_Canales_im8"/>
      <sheetName val="11,1,4Impermeh_manto_asfalt8"/>
      <sheetName val="11_1_4Impermehab_manto_asfalti8"/>
      <sheetName val="11,2,6,2Remate_superior8"/>
      <sheetName val="11_2_6_3Remate_lateral8"/>
      <sheetName val="11_2_4Teja_Sandwich8"/>
      <sheetName val="11_4_1Teja_termoacustica8"/>
      <sheetName val="11_6_1Teja_cindu8"/>
      <sheetName val="11_7_1_1Canal_lamina8"/>
      <sheetName val="11_3_5Canal_PVC8"/>
      <sheetName val="12_1_1Ventana_aluminio_fija8"/>
      <sheetName val="12_1_3_Ventana_aluminio8"/>
      <sheetName val="12_1_4Persiana_alumin8"/>
      <sheetName val="12_2_7Puerta_Metalica_0_68"/>
      <sheetName val="12_2_4Puerta_Metalica_,708"/>
      <sheetName val="12_2_2Puerta_Metalica_1_55x2_99"/>
      <sheetName val="12,2,3Puerta_metalica1_55x2_858"/>
      <sheetName val="12_2_5Puertalamina_1x2_18"/>
      <sheetName val="12_2_6Puerta1_5x2_18"/>
      <sheetName val="12_2_3_1Ventana_Acero_rect2_858"/>
      <sheetName val="12_2_6_2Ventana_Acero_rect_m28"/>
      <sheetName val="12_2_1_8Ventana_Acerorect_18"/>
      <sheetName val="12,2,2,2Pasamanos_2&quot;8"/>
      <sheetName val="12_3_2_1Baranda_en_Tubo_1_1_2&quot;8"/>
      <sheetName val="12_3_2_2Baranda_en_Tubo_3&quot;8"/>
      <sheetName val="12_2_3_1Reja_varilla_cuad8"/>
      <sheetName val="12_2_3_7Ventana_8"/>
      <sheetName val="12_2_3_8Ventana8"/>
      <sheetName val="12_2_3_9Puertas8"/>
      <sheetName val="12_2_3_10Pta_vent_8"/>
      <sheetName val="12_2_3_2_2_Persiana_metalica8"/>
      <sheetName val="12_3_5Baranda_tubo_3&quot;y2&quot;8"/>
      <sheetName val="12_4_2_1Reja_perfilovalado8"/>
      <sheetName val="12_5_10estruct_lavamanos8"/>
      <sheetName val="14_1_1Enchape_en_ceramica_20x28"/>
      <sheetName val="14_3_1_Poceta_en_granito8"/>
      <sheetName val="15_1_3_Lampara_fluorecente8"/>
      <sheetName val="15_1_6Lampara_tortuga8"/>
      <sheetName val="16_1_1Sanitario_discap8"/>
      <sheetName val="16_1_2Sanitario_Infantil8"/>
      <sheetName val="16_1_3Sanitario8"/>
      <sheetName val="16_1_4Orinal8"/>
      <sheetName val="16_1_5Lavamalos_de_sobreponer8"/>
      <sheetName val="16_1_7Lavamalos_de_colgar8"/>
      <sheetName val="16_1_11Lavamanos_acero_inox8"/>
      <sheetName val="16_2_1Dispensador_papel_hig8"/>
      <sheetName val="16_2_3_Dispensador_jabon8"/>
      <sheetName val="16_2_7Barra_discap8"/>
      <sheetName val="16_2_8_1GriferiaPush8"/>
      <sheetName val="18_1_1Hidrofugo8"/>
      <sheetName val="18_1_2Pintura_Plast8"/>
      <sheetName val="18_1_3Pintura_plast_fachadas8"/>
      <sheetName val="18_1_2Esmalte_epoxico8"/>
      <sheetName val="18_1_4Vinilo8"/>
      <sheetName val="18_1_7pint_coraza8"/>
      <sheetName val="19_3_3Vidrio_temp_6mm8"/>
      <sheetName val="18_2,1,Esmalte_sobre_marcos_la8"/>
      <sheetName val="18_3,6Esmalte_sobre_mueble_baj8"/>
      <sheetName val="19_1,1Cerradura_baños_y_aulas8"/>
      <sheetName val="19_3_1Espejo8"/>
      <sheetName val="21_1_3Aseo_8"/>
      <sheetName val="20,2,6Adoquin_gress8"/>
      <sheetName val="1_2_1__Instalacion_prov__agua8"/>
      <sheetName val="1_2_2__Instalacion_prov__energ8"/>
      <sheetName val="1_2_3__Instalacion_prov__tel_8"/>
      <sheetName val="5_1_3_1bloque_en_concreto_estr8"/>
      <sheetName val="Concreto_de_4000_psi_8"/>
      <sheetName val="Concreto_de_3500_psi_8"/>
      <sheetName val="APU_128"/>
      <sheetName val="APU_118"/>
      <sheetName val="APU_108"/>
      <sheetName val="APU_98"/>
      <sheetName val="APU_88"/>
      <sheetName val="APU_78"/>
      <sheetName val="APU_68"/>
      <sheetName val="APU_58"/>
      <sheetName val="APU_48"/>
      <sheetName val="APU_38"/>
      <sheetName val="APU_28"/>
      <sheetName val="APU_110"/>
      <sheetName val="5_2_2__Ladrillo_Prensado8"/>
      <sheetName val="10_3_3_4_1__GUARDAESCOBA_EN_CE8"/>
      <sheetName val="3_1_4__ACCESORIO_SANIT_8"/>
      <sheetName val="21_1_2_aseo_muros_interiores8"/>
      <sheetName val="21_1_4_RETIRO_DE_ESCOMBROS8"/>
      <sheetName val="21_1_2__ASEO_FACHADAS8"/>
      <sheetName val="ANALISIS_DE_AIU6"/>
      <sheetName val="Datos_Principales6"/>
      <sheetName val="PRESUP_COMP_6"/>
      <sheetName val="PRESUP_ACT_6"/>
      <sheetName val="Presup_Resum6"/>
      <sheetName val="Reporte_Viabilidad6"/>
      <sheetName val="Transp_6"/>
      <sheetName val="M_Obra6"/>
      <sheetName val="Mort_1-36"/>
      <sheetName val="Mortero_1-3_imperm6"/>
      <sheetName val="Mortero_1-46"/>
      <sheetName val="Mortero_1-4_imperm_6"/>
      <sheetName val="Mortero_1-66"/>
      <sheetName val="Concreto_de_2000_psi6"/>
      <sheetName val="Concreto_de_25006"/>
      <sheetName val="Concreto_de_3000_psi6"/>
      <sheetName val="Acero_de_37_000_psi_6"/>
      <sheetName val="Acero_de_60_000psi6"/>
      <sheetName val="1_1_1campamento6"/>
      <sheetName val="1_1_2__Cerram_prov6"/>
      <sheetName val="1_1_3Limp__Desca__y_Retiro6"/>
      <sheetName val="1_1_4Localización_y_Rep_6"/>
      <sheetName val="1_1_7Localiz_y_rep6"/>
      <sheetName val="1_3_1Demol_const_exit6"/>
      <sheetName val="1_3_3Demol_de_muros6"/>
      <sheetName val="1_3_6Demol_placa_maciza6"/>
      <sheetName val="1_3_7Demol_const_manual6"/>
      <sheetName val="1_4_2Traslado_poste6"/>
      <sheetName val="2_1_1Excav_Mecan_6"/>
      <sheetName val="2_1_2Excav__man_6"/>
      <sheetName val="2_1_3xcav_man_receb6"/>
      <sheetName val="2_1_5Relleno_mat_com6"/>
      <sheetName val="2_1_06_Recebo_Comun6"/>
      <sheetName val="2_1_10Relleno_Recebo_B-2006"/>
      <sheetName val="2_2_1Concreto_pobre6"/>
      <sheetName val="2_2_2Conc_ciclopeo6"/>
      <sheetName val="2_2_3Muro_contencion6"/>
      <sheetName val="2_2_4Concreto_Zapatas6"/>
      <sheetName val="2_2_5Viga_Ciment6"/>
      <sheetName val="2_2_6PILOTES6"/>
      <sheetName val="2_2_7DADOS6"/>
      <sheetName val="2_2_8_1Placa_Contrapiso6"/>
      <sheetName val="2_2_8_2Placa_aligerada_50cm6"/>
      <sheetName val="2_3_3Malla_Electros_6"/>
      <sheetName val="3,1,2,3Tubo_novafor_4&quot;6"/>
      <sheetName val="3_1_2_4Tubo_novafor_106"/>
      <sheetName val="3_1_2_5Tuberia_novafor12&quot;6"/>
      <sheetName val="3_2_1_2Tubo_PVC_sanit46"/>
      <sheetName val="3_1_1_3Tuberia_sanitr6&quot;6"/>
      <sheetName val="3_4_1_1Caja_de_Insp_606"/>
      <sheetName val="3_4_5canalteta_aguas_ll6"/>
      <sheetName val="3_4_9Caja_insp_0_86"/>
      <sheetName val="3_4_10Caja_insp_16"/>
      <sheetName val="3_4_11Caja_insp_0_46"/>
      <sheetName val="3_5_1Excavacion_manual6"/>
      <sheetName val="3_5_5Retiro_de_Sobrantes6"/>
      <sheetName val="3,5,6Relleno_en_grava3-46"/>
      <sheetName val="3_6_1Empate_camara6"/>
      <sheetName val="4_1_1Conc__Columnas6"/>
      <sheetName val="4_2_1Viga_Aerea6"/>
      <sheetName val="4_2_2Viga_Canal6"/>
      <sheetName val="4_3_2Losa_aliger6"/>
      <sheetName val="4_3_3_1Losa_con_lamina6"/>
      <sheetName val="4_3_1_4Placa_e=_26"/>
      <sheetName val="4_3_1_1Placa_e=_16"/>
      <sheetName val="4_3_1,3Placa_e=_156"/>
      <sheetName val="4_3_1_2Placa_e=_126"/>
      <sheetName val="4_3_10Placa_alig_306"/>
      <sheetName val="4_3_11Placa_alig_506"/>
      <sheetName val="4_4_1Escal_en_concret6"/>
      <sheetName val="4_4_2Rampa_en_concret6"/>
      <sheetName val="4_4_3concreto_tanque6"/>
      <sheetName val="4_5_2Acero_6000_psi6"/>
      <sheetName val="4_6_1perfil_metalico_placa6"/>
      <sheetName val="4_7_4_1Perfil_metalico6"/>
      <sheetName val="4_6_2_6Anclajes6"/>
      <sheetName val="4_6_2_7Columna_metalica6"/>
      <sheetName val="4_6_2_8Viga_Met_6"/>
      <sheetName val="4_6_2_9Viga_met_606"/>
      <sheetName val="4_6_2_10Viga_met_656"/>
      <sheetName val="5_1_3_1bloque_piedra6"/>
      <sheetName val="5_1_2_4Bloque_cocr_126"/>
      <sheetName val="5_1_1_3Bloque_concr196"/>
      <sheetName val="5_2_2Ladrillo_Tolete_Fino_2_ca6"/>
      <sheetName val="5_2_3Ladrillo_toletefino_1_car6"/>
      <sheetName val="5_2_7Muro_Bloque_56"/>
      <sheetName val="5_2_6_1Muro_Bloque_46"/>
      <sheetName val="5,3,4Remates_ladrillo_tolete_6"/>
      <sheetName val="5_4_1Grouting6"/>
      <sheetName val="5,6,1_Chazos_para_carpinteria6"/>
      <sheetName val="6_1_1Alfajia6"/>
      <sheetName val="COLUMNETA_MAMPOSTERIA6"/>
      <sheetName val="6_1_3Pref_conc_a_la_vista6"/>
      <sheetName val="6_1_12Zocalo6"/>
      <sheetName val="6_1_14_ventana_prefab_concreto6"/>
      <sheetName val="6_1_18Cañuela_perim_ag_lluvias6"/>
      <sheetName val="6_1_19_1Pref_piso6"/>
      <sheetName val="6_2_2Meson_lavamanos6"/>
      <sheetName val="6_2_3_2Meson_laboratorio6"/>
      <sheetName val="6_2_1_Meson_laborat6"/>
      <sheetName val="6,2,5Banca_en_concreto6"/>
      <sheetName val="6_3_6Alero_concreto6"/>
      <sheetName val="6_2_3_1Mezon_vidrio6"/>
      <sheetName val="7_1_3_1_1Tubo_hg1&quot;6"/>
      <sheetName val="7_1_3_1_2Tubo_hg1_1-26"/>
      <sheetName val="7_1_3_1_3Tubp_hg26"/>
      <sheetName val="7_1_3_1_4Tubo_hg36"/>
      <sheetName val="7_1_3_3_3Registro_1_1-26"/>
      <sheetName val="7_1_3_3_5Registro_36"/>
      <sheetName val="7_1_3_4_1Cheque_1_6"/>
      <sheetName val="7_1_6_3Tuberia_1&quot;PVCP13_56"/>
      <sheetName val="7_1_1_4_Cheque_1&quot;6"/>
      <sheetName val="_7_1_11_5Bajante_Amaz6"/>
      <sheetName val="7_1_2_4Sumin_Tanq_1000_lts6"/>
      <sheetName val="7_1_6_1Tuberia_PVCP_Media6"/>
      <sheetName val="7_1_6_2Tuberia_PVCP1&quot;6"/>
      <sheetName val="7_1_6_8Registro_de_media6"/>
      <sheetName val="7_1_6_10Registro1&quot;6"/>
      <sheetName val="7_1_6_4TuboPVC1_1-46"/>
      <sheetName val="7_1_6_6Tubo_PVC2&quot;6"/>
      <sheetName val="7_1_6_13Caja_plastica_reg6"/>
      <sheetName val="7_1_6_5Tub__y_acc__de_1y1-26"/>
      <sheetName val="7_1_6_9Registro_de_3-46"/>
      <sheetName val="7_1_6_11Registro_1_1-46"/>
      <sheetName val="7_1_6_12Registro_2&quot;6"/>
      <sheetName val="7_1_6_2TuberiaPVC_3-46"/>
      <sheetName val="7_1_8_1Pto_agua_Lavamanos6"/>
      <sheetName val="7_1_8_3Pto_agua_Sanitario_6"/>
      <sheetName val="7_1_8_4Pto_agua_Orinal6"/>
      <sheetName val="7_1_8_12Recamara_HG_para_orina6"/>
      <sheetName val="7_1_8_13Camara_de_Aire6"/>
      <sheetName val="7_1_9_1Pto_sanit_lavamanos6"/>
      <sheetName val="7_1_10_3Bajant_sanit_4&quot;6"/>
      <sheetName val="7_1_10_1Bajnte_sanit_2&quot;6"/>
      <sheetName val="7,1,10,2Tubo_sanit3&quot;6"/>
      <sheetName val="7_1_11_3_Bajante_Ag_Ll_4&quot;6"/>
      <sheetName val="7_1_11_1Tubo_PVCL2&quot;6"/>
      <sheetName val="7,1,11,5_Tubo_PVCfiltro_4&quot;6"/>
      <sheetName val="7_1_11_6Bajantt_tipo_Amaz6"/>
      <sheetName val="7_1_12_1Montaje_lavamanos6"/>
      <sheetName val="7_1_12_8Llave_de_mang6"/>
      <sheetName val="7,2,1,4Tubo_12_galv6"/>
      <sheetName val="7_2_1_11registro_1-2_gas6"/>
      <sheetName val="7_2_1_12Regulador6"/>
      <sheetName val="7_2_1_17Punto_gas6"/>
      <sheetName val="7_2_1_18Tapon_HG_1-26"/>
      <sheetName val="8_1_1Salida_lamp_Fluor_6"/>
      <sheetName val="8_1_2Salida_Lamp_incan6"/>
      <sheetName val="8_1_4Salida_pto6"/>
      <sheetName val="8_1_5Salida_Toma6"/>
      <sheetName val="8_1_8Salida_Toma_GFCI6"/>
      <sheetName val="8_3_4Acom_a_T16"/>
      <sheetName val="8_3_7Tubo_Galvanizado6"/>
      <sheetName val="8_3_9Acometida6"/>
      <sheetName val="8_3_14Acometida_1&quot;_2#86"/>
      <sheetName val="8_3_15Canaliz__conduit_nedia6"/>
      <sheetName val="8_3_16Ducto_3-46"/>
      <sheetName val="8_4_2Tablero18circuitos6"/>
      <sheetName val="8_4_5Caja_Medidor6"/>
      <sheetName val="8_4_7Interruptor6"/>
      <sheetName val="8_4_8Interrup_60_A6"/>
      <sheetName val="8_4_11Caja_6_Circuit6"/>
      <sheetName val="8_4_13Tablero_de_12_circ6"/>
      <sheetName val="8_4_14Tablero30circuit6"/>
      <sheetName val="8_6_1Salida_TV6"/>
      <sheetName val="8_6_4Salid_ventilador6"/>
      <sheetName val="8_8_2Tierra6"/>
      <sheetName val="8_11_1Camara_CS_2746"/>
      <sheetName val="8_11_4Caja_de_Insp6"/>
      <sheetName val="9_1_1_PAÑETE_IMPERMEA_1_36"/>
      <sheetName val="9_1_2Pañete_Int6"/>
      <sheetName val="9_1_3Pañete_Ext6"/>
      <sheetName val="9_1_5Pañete_int_ml6"/>
      <sheetName val="9_1_5_1Pañete_rustico_exterior6"/>
      <sheetName val="9_2_1Pañete_Bajo_Placa6"/>
      <sheetName val="10_1_2Alist_pisos6"/>
      <sheetName val="10_1_3_ALISTADO_DE_PISOS_CON_M6"/>
      <sheetName val="10_1_5_1Mortero_afin_piso6"/>
      <sheetName val="10,2,1,3Ceramica_20_20_trafico6"/>
      <sheetName val="10_2_1_2Duropiso6"/>
      <sheetName val="10_2_2_4Concreto_esmaltado6"/>
      <sheetName val="10_2_2_5Concreto_es+tabla_etru6"/>
      <sheetName val="10_2_3_4Tablon30x306"/>
      <sheetName val="10_2_3_9Tableta_etrusca6"/>
      <sheetName val="10,2,3,6Tableta_cuarto266"/>
      <sheetName val="10_3,2,1Tableta_cuarto_ml6"/>
      <sheetName val="10_2_3_7Tableta_cuarto_ml6"/>
      <sheetName val="10_2_4_1Baldosa_grano_marmol6"/>
      <sheetName val="10_2_4_4Tableta6"/>
      <sheetName val="10_3_3_6_Guardaescob_granito6"/>
      <sheetName val="10_3_2_3Media_caña_mort6"/>
      <sheetName val="10_3_2_6Tableta_ml6"/>
      <sheetName val="10_3_7_2remate_ladrillo6"/>
      <sheetName val="10_4_2Gradas_en_Gravilla6"/>
      <sheetName val="11,1,3Afinado_Vigas_Canales_im6"/>
      <sheetName val="11,1,4Impermeh_manto_asfalt6"/>
      <sheetName val="11_1_4Impermehab_manto_asfalti6"/>
      <sheetName val="11,2,6,2Remate_superior6"/>
      <sheetName val="11_2_6_3Remate_lateral6"/>
      <sheetName val="11_2_4Teja_Sandwich6"/>
      <sheetName val="11_4_1Teja_termoacustica6"/>
      <sheetName val="11_6_1Teja_cindu6"/>
      <sheetName val="11_7_1_1Canal_lamina6"/>
      <sheetName val="11_3_5Canal_PVC6"/>
      <sheetName val="12_1_1Ventana_aluminio_fija6"/>
      <sheetName val="12_1_3_Ventana_aluminio6"/>
      <sheetName val="12_1_4Persiana_alumin6"/>
      <sheetName val="12_2_7Puerta_Metalica_0_66"/>
      <sheetName val="12_2_4Puerta_Metalica_,706"/>
      <sheetName val="12_2_2Puerta_Metalica_1_55x2_97"/>
      <sheetName val="12,2,3Puerta_metalica1_55x2_856"/>
      <sheetName val="12_2_5Puertalamina_1x2_16"/>
      <sheetName val="12_2_6Puerta1_5x2_16"/>
      <sheetName val="12_2_3_1Ventana_Acero_rect2_856"/>
      <sheetName val="12_2_6_2Ventana_Acero_rect_m26"/>
      <sheetName val="12_2_1_8Ventana_Acerorect_16"/>
      <sheetName val="12,2,2,2Pasamanos_2&quot;6"/>
      <sheetName val="12_3_2_1Baranda_en_Tubo_1_1_2&quot;6"/>
      <sheetName val="12_3_2_2Baranda_en_Tubo_3&quot;6"/>
      <sheetName val="12_2_3_1Reja_varilla_cuad6"/>
      <sheetName val="12_2_3_7Ventana_6"/>
      <sheetName val="12_2_3_8Ventana6"/>
      <sheetName val="12_2_3_9Puertas6"/>
      <sheetName val="12_2_3_10Pta_vent_6"/>
      <sheetName val="12_2_3_2_2_Persiana_metalica6"/>
      <sheetName val="12_3_5Baranda_tubo_3&quot;y2&quot;6"/>
      <sheetName val="12_4_2_1Reja_perfilovalado6"/>
      <sheetName val="12_5_10estruct_lavamanos6"/>
      <sheetName val="14_1_1Enchape_en_ceramica_20x26"/>
      <sheetName val="14_3_1_Poceta_en_granito6"/>
      <sheetName val="15_1_3_Lampara_fluorecente6"/>
      <sheetName val="15_1_6Lampara_tortuga6"/>
      <sheetName val="16_1_1Sanitario_discap6"/>
      <sheetName val="16_1_2Sanitario_Infantil6"/>
      <sheetName val="16_1_3Sanitario6"/>
      <sheetName val="16_1_4Orinal6"/>
      <sheetName val="16_1_5Lavamalos_de_sobreponer6"/>
      <sheetName val="16_1_7Lavamalos_de_colgar6"/>
      <sheetName val="16_1_11Lavamanos_acero_inox6"/>
      <sheetName val="16_2_1Dispensador_papel_hig6"/>
      <sheetName val="16_2_3_Dispensador_jabon6"/>
      <sheetName val="16_2_7Barra_discap6"/>
      <sheetName val="16_2_8_1GriferiaPush6"/>
      <sheetName val="18_1_1Hidrofugo6"/>
      <sheetName val="18_1_2Pintura_Plast6"/>
      <sheetName val="18_1_3Pintura_plast_fachadas6"/>
      <sheetName val="18_1_2Esmalte_epoxico6"/>
      <sheetName val="18_1_4Vinilo6"/>
      <sheetName val="18_1_7pint_coraza6"/>
      <sheetName val="19_3_3Vidrio_temp_6mm6"/>
      <sheetName val="18_2,1,Esmalte_sobre_marcos_la6"/>
      <sheetName val="18_3,6Esmalte_sobre_mueble_baj6"/>
      <sheetName val="19_1,1Cerradura_baños_y_aulas6"/>
      <sheetName val="19_3_1Espejo6"/>
      <sheetName val="21_1_3Aseo_6"/>
      <sheetName val="20,2,6Adoquin_gress6"/>
      <sheetName val="1_2_1__Instalacion_prov__agua6"/>
      <sheetName val="1_2_2__Instalacion_prov__energ6"/>
      <sheetName val="1_2_3__Instalacion_prov__tel_6"/>
      <sheetName val="5_1_3_1bloque_en_concreto_estr6"/>
      <sheetName val="Concreto_de_4000_psi_6"/>
      <sheetName val="Concreto_de_3500_psi_6"/>
      <sheetName val="APU_126"/>
      <sheetName val="APU_116"/>
      <sheetName val="APU_106"/>
      <sheetName val="APU_96"/>
      <sheetName val="APU_86"/>
      <sheetName val="APU_76"/>
      <sheetName val="APU_66"/>
      <sheetName val="APU_56"/>
      <sheetName val="APU_46"/>
      <sheetName val="APU_36"/>
      <sheetName val="APU_26"/>
      <sheetName val="APU_18"/>
      <sheetName val="5_2_2__Ladrillo_Prensado6"/>
      <sheetName val="10_3_3_4_1__GUARDAESCOBA_EN_CE6"/>
      <sheetName val="3_1_4__ACCESORIO_SANIT_6"/>
      <sheetName val="21_1_2_aseo_muros_interiores6"/>
      <sheetName val="21_1_4_RETIRO_DE_ESCOMBROS6"/>
      <sheetName val="21_1_2__ASEO_FACHADAS6"/>
      <sheetName val="ANALISIS_DE_AIU7"/>
      <sheetName val="Datos_Principales7"/>
      <sheetName val="PRESUP_COMP_7"/>
      <sheetName val="PRESUP_ACT_7"/>
      <sheetName val="Presup_Resum7"/>
      <sheetName val="Reporte_Viabilidad7"/>
      <sheetName val="Transp_7"/>
      <sheetName val="M_Obra7"/>
      <sheetName val="Mort_1-37"/>
      <sheetName val="Mortero_1-3_imperm7"/>
      <sheetName val="Mortero_1-47"/>
      <sheetName val="Mortero_1-4_imperm_7"/>
      <sheetName val="Mortero_1-67"/>
      <sheetName val="Concreto_de_2000_psi7"/>
      <sheetName val="Concreto_de_25007"/>
      <sheetName val="Concreto_de_3000_psi7"/>
      <sheetName val="Acero_de_37_000_psi_7"/>
      <sheetName val="Acero_de_60_000psi7"/>
      <sheetName val="1_1_1campamento7"/>
      <sheetName val="1_1_2__Cerram_prov7"/>
      <sheetName val="1_1_3Limp__Desca__y_Retiro7"/>
      <sheetName val="1_1_4Localización_y_Rep_7"/>
      <sheetName val="1_1_7Localiz_y_rep7"/>
      <sheetName val="1_3_1Demol_const_exit7"/>
      <sheetName val="1_3_3Demol_de_muros7"/>
      <sheetName val="1_3_6Demol_placa_maciza7"/>
      <sheetName val="1_3_7Demol_const_manual7"/>
      <sheetName val="1_4_2Traslado_poste7"/>
      <sheetName val="2_1_1Excav_Mecan_7"/>
      <sheetName val="2_1_2Excav__man_7"/>
      <sheetName val="2_1_3xcav_man_receb7"/>
      <sheetName val="2_1_5Relleno_mat_com7"/>
      <sheetName val="2_1_06_Recebo_Comun7"/>
      <sheetName val="2_1_10Relleno_Recebo_B-2007"/>
      <sheetName val="2_2_1Concreto_pobre7"/>
      <sheetName val="2_2_2Conc_ciclopeo7"/>
      <sheetName val="2_2_3Muro_contencion7"/>
      <sheetName val="2_2_4Concreto_Zapatas7"/>
      <sheetName val="2_2_5Viga_Ciment7"/>
      <sheetName val="2_2_6PILOTES7"/>
      <sheetName val="2_2_7DADOS7"/>
      <sheetName val="2_2_8_1Placa_Contrapiso7"/>
      <sheetName val="2_2_8_2Placa_aligerada_50cm7"/>
      <sheetName val="2_3_3Malla_Electros_7"/>
      <sheetName val="3,1,2,3Tubo_novafor_4&quot;7"/>
      <sheetName val="3_1_2_4Tubo_novafor_107"/>
      <sheetName val="3_1_2_5Tuberia_novafor12&quot;7"/>
      <sheetName val="3_2_1_2Tubo_PVC_sanit47"/>
      <sheetName val="3_1_1_3Tuberia_sanitr6&quot;7"/>
      <sheetName val="3_4_1_1Caja_de_Insp_607"/>
      <sheetName val="3_4_5canalteta_aguas_ll7"/>
      <sheetName val="3_4_9Caja_insp_0_87"/>
      <sheetName val="3_4_10Caja_insp_17"/>
      <sheetName val="3_4_11Caja_insp_0_47"/>
      <sheetName val="3_5_1Excavacion_manual7"/>
      <sheetName val="3_5_5Retiro_de_Sobrantes7"/>
      <sheetName val="3,5,6Relleno_en_grava3-47"/>
      <sheetName val="3_6_1Empate_camara7"/>
      <sheetName val="4_1_1Conc__Columnas7"/>
      <sheetName val="4_2_1Viga_Aerea7"/>
      <sheetName val="4_2_2Viga_Canal7"/>
      <sheetName val="4_3_2Losa_aliger7"/>
      <sheetName val="4_3_3_1Losa_con_lamina7"/>
      <sheetName val="4_3_1_4Placa_e=_27"/>
      <sheetName val="4_3_1_1Placa_e=_17"/>
      <sheetName val="4_3_1,3Placa_e=_157"/>
      <sheetName val="4_3_1_2Placa_e=_127"/>
      <sheetName val="4_3_10Placa_alig_307"/>
      <sheetName val="4_3_11Placa_alig_507"/>
      <sheetName val="4_4_1Escal_en_concret7"/>
      <sheetName val="4_4_2Rampa_en_concret7"/>
      <sheetName val="4_4_3concreto_tanque7"/>
      <sheetName val="4_5_2Acero_6000_psi7"/>
      <sheetName val="4_6_1perfil_metalico_placa7"/>
      <sheetName val="4_7_4_1Perfil_metalico7"/>
      <sheetName val="4_6_2_6Anclajes7"/>
      <sheetName val="4_6_2_7Columna_metalica7"/>
      <sheetName val="4_6_2_8Viga_Met_7"/>
      <sheetName val="4_6_2_9Viga_met_607"/>
      <sheetName val="4_6_2_10Viga_met_657"/>
      <sheetName val="5_1_3_1bloque_piedra7"/>
      <sheetName val="5_1_2_4Bloque_cocr_127"/>
      <sheetName val="5_1_1_3Bloque_concr197"/>
      <sheetName val="5_2_2Ladrillo_Tolete_Fino_2_ca7"/>
      <sheetName val="5_2_3Ladrillo_toletefino_1_car7"/>
      <sheetName val="5_2_7Muro_Bloque_57"/>
      <sheetName val="5_2_6_1Muro_Bloque_47"/>
      <sheetName val="5,3,4Remates_ladrillo_tolete_7"/>
      <sheetName val="5_4_1Grouting7"/>
      <sheetName val="5,6,1_Chazos_para_carpinteria7"/>
      <sheetName val="6_1_1Alfajia7"/>
      <sheetName val="COLUMNETA_MAMPOSTERIA7"/>
      <sheetName val="6_1_3Pref_conc_a_la_vista7"/>
      <sheetName val="6_1_12Zocalo7"/>
      <sheetName val="6_1_14_ventana_prefab_concreto7"/>
      <sheetName val="6_1_18Cañuela_perim_ag_lluvias7"/>
      <sheetName val="6_1_19_1Pref_piso7"/>
      <sheetName val="6_2_2Meson_lavamanos7"/>
      <sheetName val="6_2_3_2Meson_laboratorio7"/>
      <sheetName val="6_2_1_Meson_laborat7"/>
      <sheetName val="6,2,5Banca_en_concreto7"/>
      <sheetName val="6_3_6Alero_concreto7"/>
      <sheetName val="6_2_3_1Mezon_vidrio7"/>
      <sheetName val="7_1_3_1_1Tubo_hg1&quot;7"/>
      <sheetName val="7_1_3_1_2Tubo_hg1_1-27"/>
      <sheetName val="7_1_3_1_3Tubp_hg27"/>
      <sheetName val="7_1_3_1_4Tubo_hg37"/>
      <sheetName val="7_1_3_3_3Registro_1_1-27"/>
      <sheetName val="7_1_3_3_5Registro_37"/>
      <sheetName val="7_1_3_4_1Cheque_1_7"/>
      <sheetName val="7_1_6_3Tuberia_1&quot;PVCP13_57"/>
      <sheetName val="7_1_1_4_Cheque_1&quot;7"/>
      <sheetName val="_7_1_11_5Bajante_Amaz7"/>
      <sheetName val="7_1_2_4Sumin_Tanq_1000_lts7"/>
      <sheetName val="7_1_6_1Tuberia_PVCP_Media7"/>
      <sheetName val="7_1_6_2Tuberia_PVCP1&quot;7"/>
      <sheetName val="7_1_6_8Registro_de_media7"/>
      <sheetName val="7_1_6_10Registro1&quot;7"/>
      <sheetName val="7_1_6_4TuboPVC1_1-47"/>
      <sheetName val="7_1_6_6Tubo_PVC2&quot;7"/>
      <sheetName val="7_1_6_13Caja_plastica_reg7"/>
      <sheetName val="7_1_6_5Tub__y_acc__de_1y1-27"/>
      <sheetName val="7_1_6_9Registro_de_3-47"/>
      <sheetName val="7_1_6_11Registro_1_1-47"/>
      <sheetName val="7_1_6_12Registro_2&quot;7"/>
      <sheetName val="7_1_6_2TuberiaPVC_3-47"/>
      <sheetName val="7_1_8_1Pto_agua_Lavamanos7"/>
      <sheetName val="7_1_8_3Pto_agua_Sanitario_7"/>
      <sheetName val="7_1_8_4Pto_agua_Orinal7"/>
      <sheetName val="7_1_8_12Recamara_HG_para_orina7"/>
      <sheetName val="7_1_8_13Camara_de_Aire7"/>
      <sheetName val="7_1_9_1Pto_sanit_lavamanos7"/>
      <sheetName val="7_1_10_3Bajant_sanit_4&quot;7"/>
      <sheetName val="7_1_10_1Bajnte_sanit_2&quot;7"/>
      <sheetName val="7,1,10,2Tubo_sanit3&quot;7"/>
      <sheetName val="7_1_11_3_Bajante_Ag_Ll_4&quot;7"/>
      <sheetName val="7_1_11_1Tubo_PVCL2&quot;7"/>
      <sheetName val="7,1,11,5_Tubo_PVCfiltro_4&quot;7"/>
      <sheetName val="7_1_11_6Bajantt_tipo_Amaz7"/>
      <sheetName val="7_1_12_1Montaje_lavamanos7"/>
      <sheetName val="7_1_12_8Llave_de_mang7"/>
      <sheetName val="7,2,1,4Tubo_12_galv7"/>
      <sheetName val="7_2_1_11registro_1-2_gas7"/>
      <sheetName val="7_2_1_12Regulador7"/>
      <sheetName val="7_2_1_17Punto_gas7"/>
      <sheetName val="7_2_1_18Tapon_HG_1-27"/>
      <sheetName val="8_1_1Salida_lamp_Fluor_7"/>
      <sheetName val="8_1_2Salida_Lamp_incan7"/>
      <sheetName val="8_1_4Salida_pto7"/>
      <sheetName val="8_1_5Salida_Toma7"/>
      <sheetName val="8_1_8Salida_Toma_GFCI7"/>
      <sheetName val="8_3_4Acom_a_T17"/>
      <sheetName val="8_3_7Tubo_Galvanizado7"/>
      <sheetName val="8_3_9Acometida7"/>
      <sheetName val="8_3_14Acometida_1&quot;_2#87"/>
      <sheetName val="8_3_15Canaliz__conduit_nedia7"/>
      <sheetName val="8_3_16Ducto_3-47"/>
      <sheetName val="8_4_2Tablero18circuitos7"/>
      <sheetName val="8_4_5Caja_Medidor7"/>
      <sheetName val="8_4_7Interruptor7"/>
      <sheetName val="8_4_8Interrup_60_A7"/>
      <sheetName val="8_4_11Caja_6_Circuit7"/>
      <sheetName val="8_4_13Tablero_de_12_circ7"/>
      <sheetName val="8_4_14Tablero30circuit7"/>
      <sheetName val="8_6_1Salida_TV7"/>
      <sheetName val="8_6_4Salid_ventilador7"/>
      <sheetName val="8_8_2Tierra7"/>
      <sheetName val="8_11_1Camara_CS_2747"/>
      <sheetName val="8_11_4Caja_de_Insp7"/>
      <sheetName val="9_1_1_PAÑETE_IMPERMEA_1_37"/>
      <sheetName val="9_1_2Pañete_Int7"/>
      <sheetName val="9_1_3Pañete_Ext7"/>
      <sheetName val="9_1_5Pañete_int_ml7"/>
      <sheetName val="9_1_5_1Pañete_rustico_exterior7"/>
      <sheetName val="9_2_1Pañete_Bajo_Placa7"/>
      <sheetName val="10_1_2Alist_pisos7"/>
      <sheetName val="10_1_3_ALISTADO_DE_PISOS_CON_M7"/>
      <sheetName val="10_1_5_1Mortero_afin_piso7"/>
      <sheetName val="10,2,1,3Ceramica_20_20_trafico7"/>
      <sheetName val="10_2_1_2Duropiso7"/>
      <sheetName val="10_2_2_4Concreto_esmaltado7"/>
      <sheetName val="10_2_2_5Concreto_es+tabla_etru7"/>
      <sheetName val="10_2_3_4Tablon30x307"/>
      <sheetName val="10_2_3_9Tableta_etrusca7"/>
      <sheetName val="10,2,3,6Tableta_cuarto267"/>
      <sheetName val="10_3,2,1Tableta_cuarto_ml7"/>
      <sheetName val="10_2_3_7Tableta_cuarto_ml7"/>
      <sheetName val="10_2_4_1Baldosa_grano_marmol7"/>
      <sheetName val="10_2_4_4Tableta7"/>
      <sheetName val="10_3_3_6_Guardaescob_granito7"/>
      <sheetName val="10_3_2_3Media_caña_mort7"/>
      <sheetName val="10_3_2_6Tableta_ml7"/>
      <sheetName val="10_3_7_2remate_ladrillo7"/>
      <sheetName val="10_4_2Gradas_en_Gravilla7"/>
      <sheetName val="11,1,3Afinado_Vigas_Canales_im7"/>
      <sheetName val="11,1,4Impermeh_manto_asfalt7"/>
      <sheetName val="11_1_4Impermehab_manto_asfalti7"/>
      <sheetName val="11,2,6,2Remate_superior7"/>
      <sheetName val="11_2_6_3Remate_lateral7"/>
      <sheetName val="11_2_4Teja_Sandwich7"/>
      <sheetName val="11_4_1Teja_termoacustica7"/>
      <sheetName val="11_6_1Teja_cindu7"/>
      <sheetName val="11_7_1_1Canal_lamina7"/>
      <sheetName val="11_3_5Canal_PVC7"/>
      <sheetName val="12_1_1Ventana_aluminio_fija7"/>
      <sheetName val="12_1_3_Ventana_aluminio7"/>
      <sheetName val="12_1_4Persiana_alumin7"/>
      <sheetName val="12_2_7Puerta_Metalica_0_67"/>
      <sheetName val="12_2_4Puerta_Metalica_,707"/>
      <sheetName val="12_2_2Puerta_Metalica_1_55x2_98"/>
      <sheetName val="12,2,3Puerta_metalica1_55x2_857"/>
      <sheetName val="12_2_5Puertalamina_1x2_17"/>
      <sheetName val="12_2_6Puerta1_5x2_17"/>
      <sheetName val="12_2_3_1Ventana_Acero_rect2_857"/>
      <sheetName val="12_2_6_2Ventana_Acero_rect_m27"/>
      <sheetName val="12_2_1_8Ventana_Acerorect_17"/>
      <sheetName val="12,2,2,2Pasamanos_2&quot;7"/>
      <sheetName val="12_3_2_1Baranda_en_Tubo_1_1_2&quot;7"/>
      <sheetName val="12_3_2_2Baranda_en_Tubo_3&quot;7"/>
      <sheetName val="12_2_3_1Reja_varilla_cuad7"/>
      <sheetName val="12_2_3_7Ventana_7"/>
      <sheetName val="12_2_3_8Ventana7"/>
      <sheetName val="12_2_3_9Puertas7"/>
      <sheetName val="12_2_3_10Pta_vent_7"/>
      <sheetName val="12_2_3_2_2_Persiana_metalica7"/>
      <sheetName val="12_3_5Baranda_tubo_3&quot;y2&quot;7"/>
      <sheetName val="12_4_2_1Reja_perfilovalado7"/>
      <sheetName val="12_5_10estruct_lavamanos7"/>
      <sheetName val="14_1_1Enchape_en_ceramica_20x27"/>
      <sheetName val="14_3_1_Poceta_en_granito7"/>
      <sheetName val="15_1_3_Lampara_fluorecente7"/>
      <sheetName val="15_1_6Lampara_tortuga7"/>
      <sheetName val="16_1_1Sanitario_discap7"/>
      <sheetName val="16_1_2Sanitario_Infantil7"/>
      <sheetName val="16_1_3Sanitario7"/>
      <sheetName val="16_1_4Orinal7"/>
      <sheetName val="16_1_5Lavamalos_de_sobreponer7"/>
      <sheetName val="16_1_7Lavamalos_de_colgar7"/>
      <sheetName val="16_1_11Lavamanos_acero_inox7"/>
      <sheetName val="16_2_1Dispensador_papel_hig7"/>
      <sheetName val="16_2_3_Dispensador_jabon7"/>
      <sheetName val="16_2_7Barra_discap7"/>
      <sheetName val="16_2_8_1GriferiaPush7"/>
      <sheetName val="18_1_1Hidrofugo7"/>
      <sheetName val="18_1_2Pintura_Plast7"/>
      <sheetName val="18_1_3Pintura_plast_fachadas7"/>
      <sheetName val="18_1_2Esmalte_epoxico7"/>
      <sheetName val="18_1_4Vinilo7"/>
      <sheetName val="18_1_7pint_coraza7"/>
      <sheetName val="19_3_3Vidrio_temp_6mm7"/>
      <sheetName val="18_2,1,Esmalte_sobre_marcos_la7"/>
      <sheetName val="18_3,6Esmalte_sobre_mueble_baj7"/>
      <sheetName val="19_1,1Cerradura_baños_y_aulas7"/>
      <sheetName val="19_3_1Espejo7"/>
      <sheetName val="21_1_3Aseo_7"/>
      <sheetName val="20,2,6Adoquin_gress7"/>
      <sheetName val="1_2_1__Instalacion_prov__agua7"/>
      <sheetName val="1_2_2__Instalacion_prov__energ7"/>
      <sheetName val="1_2_3__Instalacion_prov__tel_7"/>
      <sheetName val="5_1_3_1bloque_en_concreto_estr7"/>
      <sheetName val="Concreto_de_4000_psi_7"/>
      <sheetName val="Concreto_de_3500_psi_7"/>
      <sheetName val="APU_127"/>
      <sheetName val="APU_117"/>
      <sheetName val="APU_107"/>
      <sheetName val="APU_97"/>
      <sheetName val="APU_87"/>
      <sheetName val="APU_77"/>
      <sheetName val="APU_67"/>
      <sheetName val="APU_57"/>
      <sheetName val="APU_47"/>
      <sheetName val="APU_37"/>
      <sheetName val="APU_27"/>
      <sheetName val="APU_19"/>
      <sheetName val="5_2_2__Ladrillo_Prensado7"/>
      <sheetName val="10_3_3_4_1__GUARDAESCOBA_EN_CE7"/>
      <sheetName val="3_1_4__ACCESORIO_SANIT_7"/>
      <sheetName val="21_1_2_aseo_muros_interiores7"/>
      <sheetName val="21_1_4_RETIRO_DE_ESCOMBROS7"/>
      <sheetName val="21_1_2__ASEO_FACHADAS7"/>
      <sheetName val="ANALISIS_DE_AIU9"/>
      <sheetName val="Datos_Principales9"/>
      <sheetName val="PRESUP_COMP_9"/>
      <sheetName val="PRESUP_ACT_9"/>
      <sheetName val="Presup_Resum9"/>
      <sheetName val="Reporte_Viabilidad9"/>
      <sheetName val="Transp_9"/>
      <sheetName val="M_Obra9"/>
      <sheetName val="Mort_1-39"/>
      <sheetName val="Mortero_1-3_imperm9"/>
      <sheetName val="Mortero_1-49"/>
      <sheetName val="Mortero_1-4_imperm_9"/>
      <sheetName val="Mortero_1-69"/>
      <sheetName val="Concreto_de_2000_psi9"/>
      <sheetName val="Concreto_de_25009"/>
      <sheetName val="Concreto_de_3000_psi9"/>
      <sheetName val="Acero_de_37_000_psi_9"/>
      <sheetName val="Acero_de_60_000psi9"/>
      <sheetName val="1_1_1campamento9"/>
      <sheetName val="1_1_2__Cerram_prov9"/>
      <sheetName val="1_1_3Limp__Desca__y_Retiro9"/>
      <sheetName val="1_1_4Localización_y_Rep_9"/>
      <sheetName val="1_1_7Localiz_y_rep9"/>
      <sheetName val="1_3_1Demol_const_exit9"/>
      <sheetName val="1_3_3Demol_de_muros9"/>
      <sheetName val="1_3_6Demol_placa_maciza9"/>
      <sheetName val="1_3_7Demol_const_manual9"/>
      <sheetName val="1_4_2Traslado_poste9"/>
      <sheetName val="2_1_1Excav_Mecan_9"/>
      <sheetName val="2_1_2Excav__man_9"/>
      <sheetName val="2_1_3xcav_man_receb9"/>
      <sheetName val="2_1_5Relleno_mat_com9"/>
      <sheetName val="2_1_06_Recebo_Comun9"/>
      <sheetName val="2_1_10Relleno_Recebo_B-2009"/>
      <sheetName val="2_2_1Concreto_pobre9"/>
      <sheetName val="2_2_2Conc_ciclopeo9"/>
      <sheetName val="2_2_3Muro_contencion9"/>
      <sheetName val="2_2_4Concreto_Zapatas9"/>
      <sheetName val="2_2_5Viga_Ciment9"/>
      <sheetName val="2_2_6PILOTES9"/>
      <sheetName val="2_2_7DADOS9"/>
      <sheetName val="2_2_8_1Placa_Contrapiso9"/>
      <sheetName val="2_2_8_2Placa_aligerada_50cm9"/>
      <sheetName val="2_3_3Malla_Electros_9"/>
      <sheetName val="3,1,2,3Tubo_novafor_4&quot;9"/>
      <sheetName val="3_1_2_4Tubo_novafor_109"/>
      <sheetName val="3_1_2_5Tuberia_novafor12&quot;9"/>
      <sheetName val="3_2_1_2Tubo_PVC_sanit49"/>
      <sheetName val="3_1_1_3Tuberia_sanitr6&quot;9"/>
      <sheetName val="3_4_1_1Caja_de_Insp_609"/>
      <sheetName val="3_4_5canalteta_aguas_ll9"/>
      <sheetName val="3_4_9Caja_insp_0_89"/>
      <sheetName val="3_4_10Caja_insp_19"/>
      <sheetName val="3_4_11Caja_insp_0_49"/>
      <sheetName val="3_5_1Excavacion_manual9"/>
      <sheetName val="3_5_5Retiro_de_Sobrantes9"/>
      <sheetName val="3,5,6Relleno_en_grava3-49"/>
      <sheetName val="3_6_1Empate_camara9"/>
      <sheetName val="4_1_1Conc__Columnas9"/>
      <sheetName val="4_2_1Viga_Aerea9"/>
      <sheetName val="4_2_2Viga_Canal9"/>
      <sheetName val="4_3_2Losa_aliger9"/>
      <sheetName val="4_3_3_1Losa_con_lamina9"/>
      <sheetName val="4_3_1_4Placa_e=_29"/>
      <sheetName val="4_3_1_1Placa_e=_19"/>
      <sheetName val="4_3_1,3Placa_e=_159"/>
      <sheetName val="4_3_1_2Placa_e=_129"/>
      <sheetName val="4_3_10Placa_alig_309"/>
      <sheetName val="4_3_11Placa_alig_509"/>
      <sheetName val="4_4_1Escal_en_concret9"/>
      <sheetName val="4_4_2Rampa_en_concret9"/>
      <sheetName val="4_4_3concreto_tanque9"/>
      <sheetName val="4_5_2Acero_6000_psi9"/>
      <sheetName val="4_6_1perfil_metalico_placa9"/>
      <sheetName val="4_7_4_1Perfil_metalico9"/>
      <sheetName val="4_6_2_6Anclajes9"/>
      <sheetName val="4_6_2_7Columna_metalica9"/>
      <sheetName val="4_6_2_8Viga_Met_9"/>
      <sheetName val="4_6_2_9Viga_met_609"/>
      <sheetName val="4_6_2_10Viga_met_659"/>
      <sheetName val="5_1_3_1bloque_piedra9"/>
      <sheetName val="5_1_2_4Bloque_cocr_129"/>
      <sheetName val="5_1_1_3Bloque_concr199"/>
      <sheetName val="5_2_2Ladrillo_Tolete_Fino_2_ca9"/>
      <sheetName val="5_2_3Ladrillo_toletefino_1_car9"/>
      <sheetName val="5_2_7Muro_Bloque_59"/>
      <sheetName val="5_2_6_1Muro_Bloque_49"/>
      <sheetName val="5,3,4Remates_ladrillo_tolete_9"/>
      <sheetName val="5_4_1Grouting9"/>
      <sheetName val="5,6,1_Chazos_para_carpinteria9"/>
      <sheetName val="6_1_1Alfajia9"/>
      <sheetName val="COLUMNETA_MAMPOSTERIA9"/>
      <sheetName val="6_1_3Pref_conc_a_la_vista9"/>
      <sheetName val="6_1_12Zocalo9"/>
      <sheetName val="6_1_14_ventana_prefab_concreto9"/>
      <sheetName val="6_1_18Cañuela_perim_ag_lluvias9"/>
      <sheetName val="6_1_19_1Pref_piso9"/>
      <sheetName val="6_2_2Meson_lavamanos9"/>
      <sheetName val="6_2_3_2Meson_laboratorio9"/>
      <sheetName val="6_2_1_Meson_laborat9"/>
      <sheetName val="6,2,5Banca_en_concreto9"/>
      <sheetName val="6_3_6Alero_concreto9"/>
      <sheetName val="6_2_3_1Mezon_vidrio9"/>
      <sheetName val="7_1_3_1_1Tubo_hg1&quot;9"/>
      <sheetName val="7_1_3_1_2Tubo_hg1_1-29"/>
      <sheetName val="7_1_3_1_3Tubp_hg29"/>
      <sheetName val="7_1_3_1_4Tubo_hg39"/>
      <sheetName val="7_1_3_3_3Registro_1_1-29"/>
      <sheetName val="7_1_3_3_5Registro_39"/>
      <sheetName val="7_1_3_4_1Cheque_1_9"/>
      <sheetName val="7_1_6_3Tuberia_1&quot;PVCP13_59"/>
      <sheetName val="7_1_1_4_Cheque_1&quot;9"/>
      <sheetName val="_7_1_11_5Bajante_Amaz9"/>
      <sheetName val="7_1_2_4Sumin_Tanq_1000_lts9"/>
      <sheetName val="7_1_6_1Tuberia_PVCP_Media9"/>
      <sheetName val="7_1_6_2Tuberia_PVCP1&quot;9"/>
      <sheetName val="7_1_6_8Registro_de_media9"/>
      <sheetName val="7_1_6_10Registro1&quot;9"/>
      <sheetName val="7_1_6_4TuboPVC1_1-49"/>
      <sheetName val="7_1_6_6Tubo_PVC2&quot;9"/>
      <sheetName val="7_1_6_13Caja_plastica_reg9"/>
      <sheetName val="7_1_6_5Tub__y_acc__de_1y1-29"/>
      <sheetName val="7_1_6_9Registro_de_3-49"/>
      <sheetName val="7_1_6_11Registro_1_1-49"/>
      <sheetName val="7_1_6_12Registro_2&quot;9"/>
      <sheetName val="7_1_6_2TuberiaPVC_3-49"/>
      <sheetName val="7_1_8_1Pto_agua_Lavamanos9"/>
      <sheetName val="7_1_8_3Pto_agua_Sanitario_9"/>
      <sheetName val="7_1_8_4Pto_agua_Orinal9"/>
      <sheetName val="7_1_8_12Recamara_HG_para_orina9"/>
      <sheetName val="7_1_8_13Camara_de_Aire9"/>
      <sheetName val="7_1_9_1Pto_sanit_lavamanos9"/>
      <sheetName val="7_1_10_3Bajant_sanit_4&quot;9"/>
      <sheetName val="7_1_10_1Bajnte_sanit_2&quot;9"/>
      <sheetName val="7,1,10,2Tubo_sanit3&quot;9"/>
      <sheetName val="7_1_11_3_Bajante_Ag_Ll_4&quot;9"/>
      <sheetName val="7_1_11_1Tubo_PVCL2&quot;9"/>
      <sheetName val="7,1,11,5_Tubo_PVCfiltro_4&quot;9"/>
      <sheetName val="7_1_11_6Bajantt_tipo_Amaz9"/>
      <sheetName val="7_1_12_1Montaje_lavamanos9"/>
      <sheetName val="7_1_12_8Llave_de_mang9"/>
      <sheetName val="7,2,1,4Tubo_12_galv9"/>
      <sheetName val="7_2_1_11registro_1-2_gas9"/>
      <sheetName val="7_2_1_12Regulador9"/>
      <sheetName val="7_2_1_17Punto_gas9"/>
      <sheetName val="7_2_1_18Tapon_HG_1-29"/>
      <sheetName val="8_1_1Salida_lamp_Fluor_9"/>
      <sheetName val="8_1_2Salida_Lamp_incan9"/>
      <sheetName val="8_1_4Salida_pto9"/>
      <sheetName val="8_1_5Salida_Toma9"/>
      <sheetName val="8_1_8Salida_Toma_GFCI9"/>
      <sheetName val="8_3_4Acom_a_T19"/>
      <sheetName val="8_3_7Tubo_Galvanizado9"/>
      <sheetName val="8_3_9Acometida9"/>
      <sheetName val="8_3_14Acometida_1&quot;_2#89"/>
      <sheetName val="8_3_15Canaliz__conduit_nedia9"/>
      <sheetName val="8_3_16Ducto_3-49"/>
      <sheetName val="8_4_2Tablero18circuitos9"/>
      <sheetName val="8_4_5Caja_Medidor9"/>
      <sheetName val="8_4_7Interruptor9"/>
      <sheetName val="8_4_8Interrup_60_A9"/>
      <sheetName val="8_4_11Caja_6_Circuit9"/>
      <sheetName val="8_4_13Tablero_de_12_circ9"/>
      <sheetName val="8_4_14Tablero30circuit9"/>
      <sheetName val="8_6_1Salida_TV9"/>
      <sheetName val="8_6_4Salid_ventilador9"/>
      <sheetName val="8_8_2Tierra9"/>
      <sheetName val="8_11_1Camara_CS_2749"/>
      <sheetName val="8_11_4Caja_de_Insp9"/>
      <sheetName val="9_1_1_PAÑETE_IMPERMEA_1_39"/>
      <sheetName val="9_1_2Pañete_Int9"/>
      <sheetName val="9_1_3Pañete_Ext9"/>
      <sheetName val="9_1_5Pañete_int_ml9"/>
      <sheetName val="9_1_5_1Pañete_rustico_exterior9"/>
      <sheetName val="9_2_1Pañete_Bajo_Placa9"/>
      <sheetName val="10_1_2Alist_pisos9"/>
      <sheetName val="10_1_3_ALISTADO_DE_PISOS_CON_M9"/>
      <sheetName val="10_1_5_1Mortero_afin_piso9"/>
      <sheetName val="10,2,1,3Ceramica_20_20_trafico9"/>
      <sheetName val="10_2_1_2Duropiso9"/>
      <sheetName val="10_2_2_4Concreto_esmaltado9"/>
      <sheetName val="10_2_2_5Concreto_es+tabla_etru9"/>
      <sheetName val="10_2_3_4Tablon30x309"/>
      <sheetName val="10_2_3_9Tableta_etrusca9"/>
      <sheetName val="10,2,3,6Tableta_cuarto269"/>
      <sheetName val="10_3,2,1Tableta_cuarto_ml9"/>
      <sheetName val="10_2_3_7Tableta_cuarto_ml9"/>
      <sheetName val="10_2_4_1Baldosa_grano_marmol9"/>
      <sheetName val="10_2_4_4Tableta9"/>
      <sheetName val="10_3_3_6_Guardaescob_granito9"/>
      <sheetName val="10_3_2_3Media_caña_mort9"/>
      <sheetName val="10_3_2_6Tableta_ml9"/>
      <sheetName val="10_3_7_2remate_ladrillo9"/>
      <sheetName val="10_4_2Gradas_en_Gravilla9"/>
      <sheetName val="11,1,3Afinado_Vigas_Canales_im9"/>
      <sheetName val="11,1,4Impermeh_manto_asfalt9"/>
      <sheetName val="11_1_4Impermehab_manto_asfalti9"/>
      <sheetName val="11,2,6,2Remate_superior9"/>
      <sheetName val="11_2_6_3Remate_lateral9"/>
      <sheetName val="11_2_4Teja_Sandwich9"/>
      <sheetName val="11_4_1Teja_termoacustica9"/>
      <sheetName val="11_6_1Teja_cindu9"/>
      <sheetName val="11_7_1_1Canal_lamina9"/>
      <sheetName val="11_3_5Canal_PVC9"/>
      <sheetName val="12_1_1Ventana_aluminio_fija9"/>
      <sheetName val="12_1_3_Ventana_aluminio9"/>
      <sheetName val="12_1_4Persiana_alumin9"/>
      <sheetName val="12_2_7Puerta_Metalica_0_69"/>
      <sheetName val="12_2_4Puerta_Metalica_,709"/>
      <sheetName val="12_2_2Puerta_Metalica_1_55x2_10"/>
      <sheetName val="12,2,3Puerta_metalica1_55x2_859"/>
      <sheetName val="12_2_5Puertalamina_1x2_19"/>
      <sheetName val="12_2_6Puerta1_5x2_19"/>
      <sheetName val="12_2_3_1Ventana_Acero_rect2_859"/>
      <sheetName val="12_2_6_2Ventana_Acero_rect_m29"/>
      <sheetName val="12_2_1_8Ventana_Acerorect_19"/>
      <sheetName val="12,2,2,2Pasamanos_2&quot;9"/>
      <sheetName val="12_3_2_1Baranda_en_Tubo_1_1_2&quot;9"/>
      <sheetName val="12_3_2_2Baranda_en_Tubo_3&quot;9"/>
      <sheetName val="12_2_3_1Reja_varilla_cuad9"/>
      <sheetName val="12_2_3_7Ventana_9"/>
      <sheetName val="12_2_3_8Ventana9"/>
      <sheetName val="12_2_3_9Puertas9"/>
      <sheetName val="12_2_3_10Pta_vent_9"/>
      <sheetName val="12_2_3_2_2_Persiana_metalica9"/>
      <sheetName val="12_3_5Baranda_tubo_3&quot;y2&quot;9"/>
      <sheetName val="12_4_2_1Reja_perfilovalado9"/>
      <sheetName val="12_5_10estruct_lavamanos9"/>
      <sheetName val="14_1_1Enchape_en_ceramica_20x29"/>
      <sheetName val="14_3_1_Poceta_en_granito9"/>
      <sheetName val="15_1_3_Lampara_fluorecente9"/>
      <sheetName val="15_1_6Lampara_tortuga9"/>
      <sheetName val="16_1_1Sanitario_discap9"/>
      <sheetName val="16_1_2Sanitario_Infantil9"/>
      <sheetName val="16_1_3Sanitario9"/>
      <sheetName val="16_1_4Orinal9"/>
      <sheetName val="16_1_5Lavamalos_de_sobreponer9"/>
      <sheetName val="16_1_7Lavamalos_de_colgar9"/>
      <sheetName val="16_1_11Lavamanos_acero_inox9"/>
      <sheetName val="16_2_1Dispensador_papel_hig9"/>
      <sheetName val="16_2_3_Dispensador_jabon9"/>
      <sheetName val="16_2_7Barra_discap9"/>
      <sheetName val="16_2_8_1GriferiaPush9"/>
      <sheetName val="18_1_1Hidrofugo9"/>
      <sheetName val="18_1_2Pintura_Plast9"/>
      <sheetName val="18_1_3Pintura_plast_fachadas9"/>
      <sheetName val="18_1_2Esmalte_epoxico9"/>
      <sheetName val="18_1_4Vinilo9"/>
      <sheetName val="18_1_7pint_coraza9"/>
      <sheetName val="19_3_3Vidrio_temp_6mm9"/>
      <sheetName val="18_2,1,Esmalte_sobre_marcos_la9"/>
      <sheetName val="18_3,6Esmalte_sobre_mueble_baj9"/>
      <sheetName val="19_1,1Cerradura_baños_y_aulas9"/>
      <sheetName val="19_3_1Espejo9"/>
      <sheetName val="21_1_3Aseo_9"/>
      <sheetName val="20,2,6Adoquin_gress9"/>
      <sheetName val="1_2_1__Instalacion_prov__agua9"/>
      <sheetName val="1_2_2__Instalacion_prov__energ9"/>
      <sheetName val="1_2_3__Instalacion_prov__tel_9"/>
      <sheetName val="5_1_3_1bloque_en_concreto_estr9"/>
      <sheetName val="Concreto_de_4000_psi_9"/>
      <sheetName val="Concreto_de_3500_psi_9"/>
      <sheetName val="APU_129"/>
      <sheetName val="APU_119"/>
      <sheetName val="APU_109"/>
      <sheetName val="APU_99"/>
      <sheetName val="APU_89"/>
      <sheetName val="APU_79"/>
      <sheetName val="APU_69"/>
      <sheetName val="APU_59"/>
      <sheetName val="APU_49"/>
      <sheetName val="APU_39"/>
      <sheetName val="APU_29"/>
      <sheetName val="APU_120"/>
      <sheetName val="5_2_2__Ladrillo_Prensado9"/>
      <sheetName val="10_3_3_4_1__GUARDAESCOBA_EN_CE9"/>
      <sheetName val="3_1_4__ACCESORIO_SANIT_9"/>
      <sheetName val="21_1_2_aseo_muros_interiores9"/>
      <sheetName val="21_1_4_RETIRO_DE_ESCOMBROS9"/>
      <sheetName val="21_1_2__ASEO_FACHADAS9"/>
      <sheetName val="ANALISIS_DE_AIU10"/>
      <sheetName val="Datos_Principales10"/>
      <sheetName val="PRESUP_COMP_10"/>
      <sheetName val="PRESUP_ACT_10"/>
      <sheetName val="Presup_Resum10"/>
      <sheetName val="Reporte_Viabilidad10"/>
      <sheetName val="Transp_10"/>
      <sheetName val="M_Obra10"/>
      <sheetName val="Mort_1-310"/>
      <sheetName val="Mortero_1-3_imperm10"/>
      <sheetName val="Mortero_1-410"/>
      <sheetName val="Mortero_1-4_imperm_10"/>
      <sheetName val="Mortero_1-610"/>
      <sheetName val="Concreto_de_2000_psi10"/>
      <sheetName val="Concreto_de_250010"/>
      <sheetName val="Concreto_de_3000_psi10"/>
      <sheetName val="Acero_de_37_000_psi_10"/>
      <sheetName val="Acero_de_60_000psi10"/>
      <sheetName val="1_1_1campamento10"/>
      <sheetName val="1_1_2__Cerram_prov10"/>
      <sheetName val="1_1_3Limp__Desca__y_Retiro10"/>
      <sheetName val="1_1_4Localización_y_Rep_10"/>
      <sheetName val="1_1_7Localiz_y_rep10"/>
      <sheetName val="1_3_1Demol_const_exit10"/>
      <sheetName val="1_3_3Demol_de_muros10"/>
      <sheetName val="1_3_6Demol_placa_maciza10"/>
      <sheetName val="1_3_7Demol_const_manual10"/>
      <sheetName val="1_4_2Traslado_poste10"/>
      <sheetName val="2_1_1Excav_Mecan_10"/>
      <sheetName val="2_1_2Excav__man_10"/>
      <sheetName val="2_1_3xcav_man_receb10"/>
      <sheetName val="2_1_5Relleno_mat_com10"/>
      <sheetName val="2_1_06_Recebo_Comun10"/>
      <sheetName val="2_1_10Relleno_Recebo_B-20010"/>
      <sheetName val="2_2_1Concreto_pobre10"/>
      <sheetName val="2_2_2Conc_ciclopeo10"/>
      <sheetName val="2_2_3Muro_contencion10"/>
      <sheetName val="2_2_4Concreto_Zapatas10"/>
      <sheetName val="2_2_5Viga_Ciment10"/>
      <sheetName val="2_2_6PILOTES10"/>
      <sheetName val="2_2_7DADOS10"/>
      <sheetName val="2_2_8_1Placa_Contrapiso10"/>
      <sheetName val="2_2_8_2Placa_aligerada_50cm10"/>
      <sheetName val="2_3_3Malla_Electros_10"/>
      <sheetName val="3,1,2,3Tubo_novafor_4&quot;10"/>
      <sheetName val="3_1_2_4Tubo_novafor_1010"/>
      <sheetName val="3_1_2_5Tuberia_novafor12&quot;10"/>
      <sheetName val="3_2_1_2Tubo_PVC_sanit410"/>
      <sheetName val="3_1_1_3Tuberia_sanitr6&quot;10"/>
      <sheetName val="3_4_1_1Caja_de_Insp_6010"/>
      <sheetName val="3_4_5canalteta_aguas_ll10"/>
      <sheetName val="3_4_9Caja_insp_0_810"/>
      <sheetName val="3_4_10Caja_insp_110"/>
      <sheetName val="3_4_11Caja_insp_0_410"/>
      <sheetName val="3_5_1Excavacion_manual10"/>
      <sheetName val="3_5_5Retiro_de_Sobrantes10"/>
      <sheetName val="3,5,6Relleno_en_grava3-410"/>
      <sheetName val="3_6_1Empate_camara10"/>
      <sheetName val="4_1_1Conc__Columnas10"/>
      <sheetName val="4_2_1Viga_Aerea10"/>
      <sheetName val="4_2_2Viga_Canal10"/>
      <sheetName val="4_3_2Losa_aliger10"/>
      <sheetName val="4_3_3_1Losa_con_lamina10"/>
      <sheetName val="4_3_1_4Placa_e=_210"/>
      <sheetName val="4_3_1_1Placa_e=_110"/>
      <sheetName val="4_3_1,3Placa_e=_1510"/>
      <sheetName val="4_3_1_2Placa_e=_1210"/>
      <sheetName val="4_3_10Placa_alig_3010"/>
      <sheetName val="4_3_11Placa_alig_5010"/>
      <sheetName val="4_4_1Escal_en_concret10"/>
      <sheetName val="4_4_2Rampa_en_concret10"/>
      <sheetName val="4_4_3concreto_tanque10"/>
      <sheetName val="4_5_2Acero_6000_psi10"/>
      <sheetName val="4_6_1perfil_metalico_placa10"/>
      <sheetName val="4_7_4_1Perfil_metalico10"/>
      <sheetName val="4_6_2_6Anclajes10"/>
      <sheetName val="4_6_2_7Columna_metalica10"/>
      <sheetName val="4_6_2_8Viga_Met_10"/>
      <sheetName val="4_6_2_9Viga_met_6010"/>
      <sheetName val="4_6_2_10Viga_met_6510"/>
      <sheetName val="5_1_3_1bloque_piedra10"/>
      <sheetName val="5_1_2_4Bloque_cocr_1210"/>
      <sheetName val="5_1_1_3Bloque_concr1910"/>
      <sheetName val="5_2_2Ladrillo_Tolete_Fino_2_c10"/>
      <sheetName val="5_2_3Ladrillo_toletefino_1_ca10"/>
      <sheetName val="5_2_7Muro_Bloque_510"/>
      <sheetName val="5_2_6_1Muro_Bloque_410"/>
      <sheetName val="5,3,4Remates_ladrillo_tolete_10"/>
      <sheetName val="5_4_1Grouting10"/>
      <sheetName val="5,6,1_Chazos_para_carpinteria10"/>
      <sheetName val="6_1_1Alfajia10"/>
      <sheetName val="COLUMNETA_MAMPOSTERIA10"/>
      <sheetName val="6_1_3Pref_conc_a_la_vista10"/>
      <sheetName val="6_1_12Zocalo10"/>
      <sheetName val="6_1_14_ventana_prefab_concret10"/>
      <sheetName val="6_1_18Cañuela_perim_ag_lluvia10"/>
      <sheetName val="6_1_19_1Pref_piso10"/>
      <sheetName val="6_2_2Meson_lavamanos10"/>
      <sheetName val="6_2_3_2Meson_laboratorio10"/>
      <sheetName val="6_2_1_Meson_laborat10"/>
      <sheetName val="6,2,5Banca_en_concreto10"/>
      <sheetName val="6_3_6Alero_concreto10"/>
      <sheetName val="6_2_3_1Mezon_vidrio10"/>
      <sheetName val="7_1_3_1_1Tubo_hg1&quot;10"/>
      <sheetName val="7_1_3_1_2Tubo_hg1_1-210"/>
      <sheetName val="7_1_3_1_3Tubp_hg210"/>
      <sheetName val="7_1_3_1_4Tubo_hg310"/>
      <sheetName val="7_1_3_3_3Registro_1_1-210"/>
      <sheetName val="7_1_3_3_5Registro_310"/>
      <sheetName val="7_1_3_4_1Cheque_1_10"/>
      <sheetName val="7_1_6_3Tuberia_1&quot;PVCP13_510"/>
      <sheetName val="7_1_1_4_Cheque_1&quot;10"/>
      <sheetName val="_7_1_11_5Bajante_Amaz10"/>
      <sheetName val="7_1_2_4Sumin_Tanq_1000_lts10"/>
      <sheetName val="7_1_6_1Tuberia_PVCP_Media10"/>
      <sheetName val="7_1_6_2Tuberia_PVCP1&quot;10"/>
      <sheetName val="7_1_6_8Registro_de_media10"/>
      <sheetName val="7_1_6_10Registro1&quot;10"/>
      <sheetName val="7_1_6_4TuboPVC1_1-410"/>
      <sheetName val="7_1_6_6Tubo_PVC2&quot;10"/>
      <sheetName val="7_1_6_13Caja_plastica_reg10"/>
      <sheetName val="7_1_6_5Tub__y_acc__de_1y1-210"/>
      <sheetName val="7_1_6_9Registro_de_3-410"/>
      <sheetName val="7_1_6_11Registro_1_1-410"/>
      <sheetName val="7_1_6_12Registro_2&quot;10"/>
      <sheetName val="7_1_6_2TuberiaPVC_3-410"/>
      <sheetName val="7_1_8_1Pto_agua_Lavamanos10"/>
      <sheetName val="7_1_8_3Pto_agua_Sanitario_10"/>
      <sheetName val="7_1_8_4Pto_agua_Orinal10"/>
      <sheetName val="7_1_8_12Recamara_HG_para_orin10"/>
      <sheetName val="7_1_8_13Camara_de_Aire10"/>
      <sheetName val="7_1_9_1Pto_sanit_lavamanos10"/>
      <sheetName val="7_1_10_3Bajant_sanit_4&quot;10"/>
      <sheetName val="7_1_10_1Bajnte_sanit_2&quot;10"/>
      <sheetName val="7,1,10,2Tubo_sanit3&quot;10"/>
      <sheetName val="7_1_11_3_Bajante_Ag_Ll_4&quot;10"/>
      <sheetName val="7_1_11_1Tubo_PVCL2&quot;10"/>
      <sheetName val="7,1,11,5_Tubo_PVCfiltro_4&quot;10"/>
      <sheetName val="7_1_11_6Bajantt_tipo_Amaz10"/>
      <sheetName val="7_1_12_1Montaje_lavamanos10"/>
      <sheetName val="7_1_12_8Llave_de_mang10"/>
      <sheetName val="7,2,1,4Tubo_12_galv10"/>
      <sheetName val="7_2_1_11registro_1-2_gas10"/>
      <sheetName val="7_2_1_12Regulador10"/>
      <sheetName val="7_2_1_17Punto_gas10"/>
      <sheetName val="7_2_1_18Tapon_HG_1-210"/>
      <sheetName val="8_1_1Salida_lamp_Fluor_10"/>
      <sheetName val="8_1_2Salida_Lamp_incan10"/>
      <sheetName val="8_1_4Salida_pto10"/>
      <sheetName val="8_1_5Salida_Toma10"/>
      <sheetName val="8_1_8Salida_Toma_GFCI10"/>
      <sheetName val="8_3_4Acom_a_T110"/>
      <sheetName val="8_3_7Tubo_Galvanizado10"/>
      <sheetName val="8_3_9Acometida10"/>
      <sheetName val="8_3_14Acometida_1&quot;_2#810"/>
      <sheetName val="8_3_15Canaliz__conduit_nedia10"/>
      <sheetName val="8_3_16Ducto_3-410"/>
      <sheetName val="8_4_2Tablero18circuitos10"/>
      <sheetName val="8_4_5Caja_Medidor10"/>
      <sheetName val="8_4_7Interruptor10"/>
      <sheetName val="8_4_8Interrup_60_A10"/>
      <sheetName val="8_4_11Caja_6_Circuit10"/>
      <sheetName val="8_4_13Tablero_de_12_circ10"/>
      <sheetName val="8_4_14Tablero30circuit10"/>
      <sheetName val="8_6_1Salida_TV10"/>
      <sheetName val="8_6_4Salid_ventilador10"/>
      <sheetName val="8_8_2Tierra10"/>
      <sheetName val="8_11_1Camara_CS_27410"/>
      <sheetName val="8_11_4Caja_de_Insp10"/>
      <sheetName val="9_1_1_PAÑETE_IMPERMEA_1_310"/>
      <sheetName val="9_1_2Pañete_Int10"/>
      <sheetName val="9_1_3Pañete_Ext10"/>
      <sheetName val="9_1_5Pañete_int_ml10"/>
      <sheetName val="9_1_5_1Pañete_rustico_exterio10"/>
      <sheetName val="9_2_1Pañete_Bajo_Placa10"/>
      <sheetName val="10_1_2Alist_pisos10"/>
      <sheetName val="10_1_3_ALISTADO_DE_PISOS_CON_10"/>
      <sheetName val="10_1_5_1Mortero_afin_piso10"/>
      <sheetName val="10,2,1,3Ceramica_20_20_trafic10"/>
      <sheetName val="10_2_1_2Duropiso10"/>
      <sheetName val="10_2_2_4Concreto_esmaltado10"/>
      <sheetName val="10_2_2_5Concreto_es+tabla_etr10"/>
      <sheetName val="10_2_3_4Tablon30x3010"/>
      <sheetName val="10_2_3_9Tableta_etrusca10"/>
      <sheetName val="10,2,3,6Tableta_cuarto2610"/>
      <sheetName val="10_3,2,1Tableta_cuarto_ml10"/>
      <sheetName val="10_2_3_7Tableta_cuarto_ml10"/>
      <sheetName val="10_2_4_1Baldosa_grano_marmol10"/>
      <sheetName val="10_2_4_4Tableta10"/>
      <sheetName val="10_3_3_6_Guardaescob_granito10"/>
      <sheetName val="10_3_2_3Media_caña_mort10"/>
      <sheetName val="10_3_2_6Tableta_ml10"/>
      <sheetName val="10_3_7_2remate_ladrillo10"/>
      <sheetName val="10_4_2Gradas_en_Gravilla10"/>
      <sheetName val="11,1,3Afinado_Vigas_Canales_i10"/>
      <sheetName val="11,1,4Impermeh_manto_asfalt10"/>
      <sheetName val="11_1_4Impermehab_manto_asfalt10"/>
      <sheetName val="11,2,6,2Remate_superior10"/>
      <sheetName val="11_2_6_3Remate_lateral10"/>
      <sheetName val="11_2_4Teja_Sandwich10"/>
      <sheetName val="11_4_1Teja_termoacustica10"/>
      <sheetName val="11_6_1Teja_cindu10"/>
      <sheetName val="11_7_1_1Canal_lamina10"/>
      <sheetName val="11_3_5Canal_PVC10"/>
      <sheetName val="12_1_1Ventana_aluminio_fija10"/>
      <sheetName val="12_1_3_Ventana_aluminio10"/>
      <sheetName val="12_1_4Persiana_alumin10"/>
      <sheetName val="12_2_7Puerta_Metalica_0_610"/>
      <sheetName val="12_2_4Puerta_Metalica_,7010"/>
      <sheetName val="12_2_2Puerta_Metalica_1_55x2_11"/>
      <sheetName val="12,2,3Puerta_metalica1_55x2_810"/>
      <sheetName val="12_2_5Puertalamina_1x2_110"/>
      <sheetName val="12_2_6Puerta1_5x2_110"/>
      <sheetName val="12_2_3_1Ventana_Acero_rect2_810"/>
      <sheetName val="12_2_6_2Ventana_Acero_rect_m210"/>
      <sheetName val="12_2_1_8Ventana_Acerorect_110"/>
      <sheetName val="12,2,2,2Pasamanos_2&quot;10"/>
      <sheetName val="12_3_2_1Baranda_en_Tubo_1_1_210"/>
      <sheetName val="12_3_2_2Baranda_en_Tubo_3&quot;10"/>
      <sheetName val="12_2_3_1Reja_varilla_cuad10"/>
      <sheetName val="12_2_3_7Ventana_10"/>
      <sheetName val="12_2_3_8Ventana10"/>
      <sheetName val="12_2_3_9Puertas10"/>
      <sheetName val="12_2_3_10Pta_vent_10"/>
      <sheetName val="12_2_3_2_2_Persiana_metalica10"/>
      <sheetName val="12_3_5Baranda_tubo_3&quot;y2&quot;10"/>
      <sheetName val="12_4_2_1Reja_perfilovalado10"/>
      <sheetName val="12_5_10estruct_lavamanos10"/>
      <sheetName val="14_1_1Enchape_en_ceramica_20x10"/>
      <sheetName val="14_3_1_Poceta_en_granito10"/>
      <sheetName val="15_1_3_Lampara_fluorecente10"/>
      <sheetName val="15_1_6Lampara_tortuga10"/>
      <sheetName val="16_1_1Sanitario_discap10"/>
      <sheetName val="16_1_2Sanitario_Infantil10"/>
      <sheetName val="16_1_3Sanitario10"/>
      <sheetName val="16_1_4Orinal10"/>
      <sheetName val="16_1_5Lavamalos_de_sobreponer10"/>
      <sheetName val="16_1_7Lavamalos_de_colgar10"/>
      <sheetName val="16_1_11Lavamanos_acero_inox10"/>
      <sheetName val="16_2_1Dispensador_papel_hig10"/>
      <sheetName val="16_2_3_Dispensador_jabon10"/>
      <sheetName val="16_2_7Barra_discap10"/>
      <sheetName val="16_2_8_1GriferiaPush10"/>
      <sheetName val="18_1_1Hidrofugo10"/>
      <sheetName val="18_1_2Pintura_Plast10"/>
      <sheetName val="18_1_3Pintura_plast_fachadas10"/>
      <sheetName val="18_1_2Esmalte_epoxico10"/>
      <sheetName val="18_1_4Vinilo10"/>
      <sheetName val="18_1_7pint_coraza10"/>
      <sheetName val="19_3_3Vidrio_temp_6mm10"/>
      <sheetName val="18_2,1,Esmalte_sobre_marcos_l10"/>
      <sheetName val="18_3,6Esmalte_sobre_mueble_ba10"/>
      <sheetName val="19_1,1Cerradura_baños_y_aulas10"/>
      <sheetName val="19_3_1Espejo10"/>
      <sheetName val="21_1_3Aseo_10"/>
      <sheetName val="20,2,6Adoquin_gress10"/>
      <sheetName val="1_2_1__Instalacion_prov__agua10"/>
      <sheetName val="1_2_2__Instalacion_prov__ener10"/>
      <sheetName val="1_2_3__Instalacion_prov__tel_10"/>
      <sheetName val="5_1_3_1bloque_en_concreto_est10"/>
      <sheetName val="Concreto_de_4000_psi_10"/>
      <sheetName val="Concreto_de_3500_psi_10"/>
      <sheetName val="APU_1210"/>
      <sheetName val="APU_1110"/>
      <sheetName val="APU_1010"/>
      <sheetName val="APU_910"/>
      <sheetName val="APU_810"/>
      <sheetName val="APU_710"/>
      <sheetName val="APU_610"/>
      <sheetName val="APU_510"/>
      <sheetName val="APU_410"/>
      <sheetName val="APU_310"/>
      <sheetName val="APU_210"/>
      <sheetName val="APU_130"/>
      <sheetName val="5_2_2__Ladrillo_Prensado10"/>
      <sheetName val="10_3_3_4_1__GUARDAESCOBA_EN_C10"/>
      <sheetName val="3_1_4__ACCESORIO_SANIT_10"/>
      <sheetName val="21_1_2_aseo_muros_interiores10"/>
      <sheetName val="21_1_4_RETIRO_DE_ESCOMBROS10"/>
      <sheetName val="21_1_2__ASEO_FACHADAS10"/>
      <sheetName val="LISTA DE PRECIOS"/>
      <sheetName val="APU NO PREVISTO"/>
      <sheetName val="PPTA (3)"/>
      <sheetName val="PPTA (2)"/>
      <sheetName val="PPTA"/>
      <sheetName val="Hoja1"/>
      <sheetName val="PRECIO.MAT"/>
      <sheetName val="JORNALES"/>
      <sheetName val="ATHE"/>
      <sheetName val="PESOS"/>
    </sheetNames>
    <sheetDataSet>
      <sheetData sheetId="0"/>
      <sheetData sheetId="1"/>
      <sheetData sheetId="2"/>
      <sheetData sheetId="3"/>
      <sheetData sheetId="4"/>
      <sheetData sheetId="5"/>
      <sheetData sheetId="6"/>
      <sheetData sheetId="7"/>
      <sheetData sheetId="8">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9">
        <row r="16">
          <cell r="A16" t="str">
            <v>Cargador tipo Cat - 904</v>
          </cell>
        </row>
        <row r="17">
          <cell r="A17" t="str">
            <v>Compresor</v>
          </cell>
        </row>
        <row r="18">
          <cell r="A18" t="str">
            <v>Compresor 2 martillos 185 PCM</v>
          </cell>
        </row>
        <row r="19">
          <cell r="A19" t="str">
            <v>Cortadora</v>
          </cell>
        </row>
        <row r="20">
          <cell r="A20" t="str">
            <v>Equipo de topografía</v>
          </cell>
        </row>
        <row r="21">
          <cell r="A21" t="str">
            <v>Equipo de Soldadura</v>
          </cell>
        </row>
        <row r="22">
          <cell r="A22" t="str">
            <v>Figuradora</v>
          </cell>
        </row>
        <row r="23">
          <cell r="A23" t="str">
            <v>Pulidora</v>
          </cell>
        </row>
        <row r="24">
          <cell r="A24" t="str">
            <v>Pulidora pisos incluye piedras y ceras</v>
          </cell>
        </row>
        <row r="25">
          <cell r="A25" t="str">
            <v>Formaleta</v>
          </cell>
        </row>
        <row r="26">
          <cell r="A26" t="str">
            <v>Formaleta entrepiso por 4 semanas M2</v>
          </cell>
        </row>
        <row r="27">
          <cell r="A27" t="str">
            <v>Formaleta entrepiso M2</v>
          </cell>
        </row>
        <row r="28">
          <cell r="A28" t="str">
            <v>Herramienta Eléctrica</v>
          </cell>
        </row>
        <row r="29">
          <cell r="A29" t="str">
            <v>Herramienta menor</v>
          </cell>
        </row>
        <row r="30">
          <cell r="A30" t="str">
            <v>Mezcladora a gasolina</v>
          </cell>
        </row>
        <row r="31">
          <cell r="A31" t="str">
            <v>Motosierra profesional</v>
          </cell>
        </row>
        <row r="32">
          <cell r="A32" t="str">
            <v>Andamio metálico</v>
          </cell>
        </row>
        <row r="33">
          <cell r="A33" t="str">
            <v xml:space="preserve">Paral metálico </v>
          </cell>
        </row>
        <row r="34">
          <cell r="A34" t="str">
            <v>Paral telescopico</v>
          </cell>
        </row>
        <row r="35">
          <cell r="A35" t="str">
            <v>Poleas y Cuerdas</v>
          </cell>
        </row>
        <row r="36">
          <cell r="A36" t="str">
            <v>Rana</v>
          </cell>
        </row>
        <row r="37">
          <cell r="A37" t="str">
            <v>Retroexcavadora</v>
          </cell>
        </row>
        <row r="38">
          <cell r="A38" t="str">
            <v>Retroexcavadora llantas Tipo Cat 428</v>
          </cell>
        </row>
        <row r="39">
          <cell r="A39" t="str">
            <v>Tanque de agua</v>
          </cell>
        </row>
        <row r="40">
          <cell r="A40" t="str">
            <v>Taladro Industrial</v>
          </cell>
        </row>
        <row r="41">
          <cell r="A41" t="str">
            <v>Vibrocompactador a gasolina</v>
          </cell>
        </row>
        <row r="42">
          <cell r="A42" t="str">
            <v>Vibrador electrico concreto 110</v>
          </cell>
        </row>
        <row r="43">
          <cell r="A43" t="str">
            <v>Vibrador a gasolina</v>
          </cell>
        </row>
        <row r="44">
          <cell r="A44" t="str">
            <v>Volqueta (6m3/Operario y combustible)</v>
          </cell>
        </row>
      </sheetData>
      <sheetData sheetId="10"/>
      <sheetData sheetId="11">
        <row r="21">
          <cell r="A21" t="str">
            <v>Excavaciones</v>
          </cell>
          <cell r="E21">
            <v>3</v>
          </cell>
          <cell r="F21" t="str">
            <v>Ayudante</v>
          </cell>
          <cell r="G21">
            <v>145592</v>
          </cell>
          <cell r="H21">
            <v>0</v>
          </cell>
          <cell r="I21">
            <v>145592.30249999999</v>
          </cell>
        </row>
        <row r="22">
          <cell r="A22" t="str">
            <v>Enchapes y acabados</v>
          </cell>
          <cell r="B22">
            <v>1</v>
          </cell>
          <cell r="C22" t="str">
            <v>oficial</v>
          </cell>
          <cell r="E22">
            <v>1</v>
          </cell>
          <cell r="F22" t="str">
            <v>Ayudante</v>
          </cell>
          <cell r="G22">
            <v>115312</v>
          </cell>
          <cell r="H22">
            <v>0</v>
          </cell>
          <cell r="I22">
            <v>115312.311</v>
          </cell>
        </row>
        <row r="23">
          <cell r="A23" t="str">
            <v>Cuadrilla Demoliciones</v>
          </cell>
          <cell r="E23">
            <v>2</v>
          </cell>
          <cell r="F23" t="str">
            <v>Ayudante</v>
          </cell>
          <cell r="G23">
            <v>97062</v>
          </cell>
          <cell r="H23">
            <v>0</v>
          </cell>
          <cell r="I23">
            <v>97061.535000000003</v>
          </cell>
        </row>
        <row r="24">
          <cell r="A24" t="str">
            <v>Excavaciones en roca</v>
          </cell>
          <cell r="B24">
            <v>1</v>
          </cell>
          <cell r="C24" t="str">
            <v>Oficial</v>
          </cell>
          <cell r="D24" t="str">
            <v>+</v>
          </cell>
          <cell r="E24">
            <v>3</v>
          </cell>
          <cell r="F24" t="str">
            <v>Ayudante</v>
          </cell>
          <cell r="G24">
            <v>212374</v>
          </cell>
          <cell r="H24">
            <v>0</v>
          </cell>
          <cell r="I24">
            <v>212373.84599999999</v>
          </cell>
        </row>
        <row r="25">
          <cell r="A25" t="str">
            <v>Albañilería</v>
          </cell>
          <cell r="B25">
            <v>2</v>
          </cell>
          <cell r="C25" t="str">
            <v>Oficial</v>
          </cell>
          <cell r="D25" t="str">
            <v>+</v>
          </cell>
          <cell r="E25">
            <v>1</v>
          </cell>
          <cell r="F25" t="str">
            <v>Ayudante</v>
          </cell>
          <cell r="G25">
            <v>182094</v>
          </cell>
          <cell r="H25">
            <v>0</v>
          </cell>
          <cell r="I25">
            <v>182093.85450000002</v>
          </cell>
        </row>
        <row r="26">
          <cell r="A26" t="str">
            <v>Estructuras</v>
          </cell>
          <cell r="B26">
            <v>2</v>
          </cell>
          <cell r="C26" t="str">
            <v>Oficial</v>
          </cell>
          <cell r="D26" t="str">
            <v>+</v>
          </cell>
          <cell r="E26">
            <v>3</v>
          </cell>
          <cell r="F26" t="str">
            <v>Ayudante</v>
          </cell>
          <cell r="G26">
            <v>279155</v>
          </cell>
          <cell r="H26">
            <v>0</v>
          </cell>
          <cell r="I26">
            <v>279155.38949999999</v>
          </cell>
        </row>
        <row r="27">
          <cell r="A27" t="str">
            <v>Topografía</v>
          </cell>
          <cell r="B27">
            <v>1</v>
          </cell>
          <cell r="C27" t="str">
            <v>Oficial</v>
          </cell>
          <cell r="D27" t="str">
            <v>+</v>
          </cell>
          <cell r="E27">
            <v>3</v>
          </cell>
          <cell r="F27" t="str">
            <v>Ayudante</v>
          </cell>
          <cell r="G27">
            <v>233611</v>
          </cell>
          <cell r="H27">
            <v>0</v>
          </cell>
          <cell r="I27">
            <v>233611.23060000001</v>
          </cell>
        </row>
        <row r="28">
          <cell r="A28" t="str">
            <v>Instalaciones</v>
          </cell>
          <cell r="B28">
            <v>2</v>
          </cell>
          <cell r="C28" t="str">
            <v>Oficial</v>
          </cell>
          <cell r="D28" t="str">
            <v>+</v>
          </cell>
          <cell r="E28">
            <v>2</v>
          </cell>
          <cell r="F28" t="str">
            <v>Ayudante</v>
          </cell>
          <cell r="G28">
            <v>253687</v>
          </cell>
          <cell r="H28">
            <v>0</v>
          </cell>
          <cell r="I28">
            <v>253687.08420000001</v>
          </cell>
        </row>
        <row r="29">
          <cell r="A29" t="str">
            <v>Cuadrilla 1 - 4</v>
          </cell>
          <cell r="B29">
            <v>1</v>
          </cell>
          <cell r="C29" t="str">
            <v>Oficial</v>
          </cell>
          <cell r="D29" t="str">
            <v>+</v>
          </cell>
          <cell r="E29">
            <v>4</v>
          </cell>
          <cell r="F29" t="str">
            <v>Ayudante</v>
          </cell>
          <cell r="G29">
            <v>313086</v>
          </cell>
          <cell r="H29">
            <v>0</v>
          </cell>
          <cell r="I29">
            <v>313085.53619999997</v>
          </cell>
        </row>
        <row r="30">
          <cell r="A30" t="str">
            <v>Cuadrilla 1 - 1</v>
          </cell>
          <cell r="B30">
            <v>1</v>
          </cell>
          <cell r="C30" t="str">
            <v>Oficial</v>
          </cell>
          <cell r="D30" t="str">
            <v>+</v>
          </cell>
          <cell r="E30">
            <v>1</v>
          </cell>
          <cell r="F30" t="str">
            <v>Ayudante</v>
          </cell>
          <cell r="G30">
            <v>138375</v>
          </cell>
          <cell r="H30">
            <v>0</v>
          </cell>
          <cell r="I30">
            <v>138374.7732</v>
          </cell>
        </row>
        <row r="31">
          <cell r="A31" t="str">
            <v>Cuadrilla 1 - 3</v>
          </cell>
          <cell r="B31">
            <v>1</v>
          </cell>
          <cell r="C31" t="str">
            <v>Oficial</v>
          </cell>
          <cell r="D31" t="str">
            <v>+</v>
          </cell>
          <cell r="E31">
            <v>3</v>
          </cell>
          <cell r="F31" t="str">
            <v>Ayudante</v>
          </cell>
          <cell r="G31">
            <v>212374</v>
          </cell>
          <cell r="H31">
            <v>0</v>
          </cell>
          <cell r="I31">
            <v>212373.84599999999</v>
          </cell>
        </row>
        <row r="32">
          <cell r="A32" t="str">
            <v>Cuadrilla 1 - 6</v>
          </cell>
          <cell r="B32">
            <v>1</v>
          </cell>
          <cell r="C32" t="str">
            <v>Oficial</v>
          </cell>
          <cell r="D32" t="str">
            <v>+</v>
          </cell>
          <cell r="E32">
            <v>6</v>
          </cell>
          <cell r="F32" t="str">
            <v>Ayudante</v>
          </cell>
          <cell r="G32">
            <v>357966</v>
          </cell>
          <cell r="H32">
            <v>0</v>
          </cell>
          <cell r="I32">
            <v>357966.14850000001</v>
          </cell>
        </row>
        <row r="33">
          <cell r="A33" t="str">
            <v>Subcontrato Hidraúlico y Sanitario</v>
          </cell>
          <cell r="B33">
            <v>1</v>
          </cell>
          <cell r="C33" t="str">
            <v>Oficial</v>
          </cell>
          <cell r="D33" t="str">
            <v>+</v>
          </cell>
          <cell r="E33">
            <v>1</v>
          </cell>
          <cell r="F33" t="str">
            <v>Ayudante</v>
          </cell>
          <cell r="G33">
            <v>126844</v>
          </cell>
          <cell r="H33">
            <v>0</v>
          </cell>
          <cell r="I33">
            <v>126843.54210000001</v>
          </cell>
        </row>
        <row r="34">
          <cell r="A34" t="str">
            <v>Subcontrato Carpinteria metálica</v>
          </cell>
          <cell r="B34">
            <v>1</v>
          </cell>
          <cell r="C34" t="str">
            <v>Oficial</v>
          </cell>
          <cell r="D34" t="str">
            <v>+</v>
          </cell>
          <cell r="E34">
            <v>1</v>
          </cell>
          <cell r="F34" t="str">
            <v>Ayudante</v>
          </cell>
          <cell r="G34">
            <v>138374.7732</v>
          </cell>
          <cell r="H34">
            <v>0</v>
          </cell>
          <cell r="I34">
            <v>132609.15764999998</v>
          </cell>
        </row>
        <row r="35">
          <cell r="A35" t="str">
            <v>Subcontrato Eléctrico</v>
          </cell>
          <cell r="B35">
            <v>1</v>
          </cell>
          <cell r="C35" t="str">
            <v xml:space="preserve">Oficial </v>
          </cell>
          <cell r="D35" t="str">
            <v>+</v>
          </cell>
          <cell r="E35">
            <v>1</v>
          </cell>
          <cell r="F35" t="str">
            <v>Ayudante</v>
          </cell>
          <cell r="G35">
            <v>164896.60472999999</v>
          </cell>
          <cell r="H35">
            <v>0</v>
          </cell>
          <cell r="I35">
            <v>164896.60472999999</v>
          </cell>
        </row>
        <row r="36">
          <cell r="A36" t="str">
            <v>Carpintería</v>
          </cell>
          <cell r="B36">
            <v>1</v>
          </cell>
          <cell r="C36" t="str">
            <v>Oficial</v>
          </cell>
          <cell r="D36" t="str">
            <v>+</v>
          </cell>
          <cell r="E36">
            <v>2</v>
          </cell>
          <cell r="F36" t="str">
            <v>Ayudante</v>
          </cell>
          <cell r="G36">
            <v>196612</v>
          </cell>
          <cell r="H36">
            <v>0</v>
          </cell>
          <cell r="I36">
            <v>196611.6942</v>
          </cell>
        </row>
        <row r="37">
          <cell r="A37" t="str">
            <v>Pintura</v>
          </cell>
          <cell r="B37">
            <v>2</v>
          </cell>
          <cell r="C37" t="str">
            <v>Oficial</v>
          </cell>
          <cell r="D37" t="str">
            <v>+</v>
          </cell>
          <cell r="E37">
            <v>1</v>
          </cell>
          <cell r="F37" t="str">
            <v>Ayudante</v>
          </cell>
          <cell r="G37">
            <v>209408</v>
          </cell>
          <cell r="H37">
            <v>0</v>
          </cell>
          <cell r="I37">
            <v>209407.93267499999</v>
          </cell>
        </row>
        <row r="38">
          <cell r="A38" t="str">
            <v>Mampostería</v>
          </cell>
          <cell r="B38">
            <v>2</v>
          </cell>
          <cell r="C38" t="str">
            <v>Oficial</v>
          </cell>
          <cell r="D38" t="str">
            <v>+</v>
          </cell>
          <cell r="E38">
            <v>1</v>
          </cell>
          <cell r="F38" t="str">
            <v>Ayudante</v>
          </cell>
          <cell r="G38">
            <v>182094</v>
          </cell>
          <cell r="H38">
            <v>0</v>
          </cell>
          <cell r="I38">
            <v>182093.85450000002</v>
          </cell>
        </row>
        <row r="39">
          <cell r="A39" t="str">
            <v>Vías</v>
          </cell>
          <cell r="B39">
            <v>3</v>
          </cell>
          <cell r="C39" t="str">
            <v>Oficial</v>
          </cell>
          <cell r="D39" t="str">
            <v>+</v>
          </cell>
          <cell r="E39">
            <v>4</v>
          </cell>
          <cell r="F39" t="str">
            <v>Ayudante</v>
          </cell>
          <cell r="G39">
            <v>453638</v>
          </cell>
          <cell r="H39">
            <v>0</v>
          </cell>
          <cell r="I39">
            <v>453637.85557499994</v>
          </cell>
        </row>
      </sheetData>
      <sheetData sheetId="12">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13"/>
      <sheetData sheetId="14"/>
      <sheetData sheetId="15"/>
      <sheetData sheetId="16"/>
      <sheetData sheetId="17"/>
      <sheetData sheetId="18">
        <row r="53">
          <cell r="I53">
            <v>276775</v>
          </cell>
        </row>
      </sheetData>
      <sheetData sheetId="19"/>
      <sheetData sheetId="20"/>
      <sheetData sheetId="21"/>
      <sheetData sheetId="22">
        <row r="53">
          <cell r="I53">
            <v>2816</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row r="16">
          <cell r="A16" t="str">
            <v>Cama-baja</v>
          </cell>
        </row>
      </sheetData>
      <sheetData sheetId="297">
        <row r="21">
          <cell r="A21" t="str">
            <v>Excavaciones</v>
          </cell>
        </row>
      </sheetData>
      <sheetData sheetId="298"/>
      <sheetData sheetId="299"/>
      <sheetData sheetId="300"/>
      <sheetData sheetId="301"/>
      <sheetData sheetId="302"/>
      <sheetData sheetId="303">
        <row r="53">
          <cell r="I53">
            <v>276775</v>
          </cell>
        </row>
      </sheetData>
      <sheetData sheetId="304"/>
      <sheetData sheetId="305"/>
      <sheetData sheetId="306"/>
      <sheetData sheetId="307">
        <row r="53">
          <cell r="I53">
            <v>2816</v>
          </cell>
        </row>
      </sheetData>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row r="16">
          <cell r="A16" t="str">
            <v>Cama-baja</v>
          </cell>
        </row>
      </sheetData>
      <sheetData sheetId="577">
        <row r="21">
          <cell r="A21" t="str">
            <v>Excavaciones</v>
          </cell>
        </row>
      </sheetData>
      <sheetData sheetId="578"/>
      <sheetData sheetId="579"/>
      <sheetData sheetId="580"/>
      <sheetData sheetId="581"/>
      <sheetData sheetId="582"/>
      <sheetData sheetId="583">
        <row r="53">
          <cell r="I53">
            <v>276775</v>
          </cell>
        </row>
      </sheetData>
      <sheetData sheetId="584"/>
      <sheetData sheetId="585"/>
      <sheetData sheetId="586"/>
      <sheetData sheetId="587">
        <row r="53">
          <cell r="I53">
            <v>2816</v>
          </cell>
        </row>
      </sheetData>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row r="16">
          <cell r="A16" t="str">
            <v>Cama-baja</v>
          </cell>
        </row>
      </sheetData>
      <sheetData sheetId="857">
        <row r="21">
          <cell r="A21" t="str">
            <v>Excavaciones</v>
          </cell>
        </row>
      </sheetData>
      <sheetData sheetId="858"/>
      <sheetData sheetId="859"/>
      <sheetData sheetId="860"/>
      <sheetData sheetId="861"/>
      <sheetData sheetId="862"/>
      <sheetData sheetId="863">
        <row r="53">
          <cell r="I53">
            <v>276775</v>
          </cell>
        </row>
      </sheetData>
      <sheetData sheetId="864"/>
      <sheetData sheetId="865"/>
      <sheetData sheetId="866"/>
      <sheetData sheetId="867">
        <row r="53">
          <cell r="I53">
            <v>2816</v>
          </cell>
        </row>
      </sheetData>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row r="16">
          <cell r="A16" t="str">
            <v>Cama-baja</v>
          </cell>
        </row>
      </sheetData>
      <sheetData sheetId="1137">
        <row r="21">
          <cell r="A21" t="str">
            <v>Excavaciones</v>
          </cell>
        </row>
      </sheetData>
      <sheetData sheetId="1138"/>
      <sheetData sheetId="1139"/>
      <sheetData sheetId="1140"/>
      <sheetData sheetId="1141"/>
      <sheetData sheetId="1142"/>
      <sheetData sheetId="1143">
        <row r="53">
          <cell r="I53">
            <v>276775</v>
          </cell>
        </row>
      </sheetData>
      <sheetData sheetId="1144"/>
      <sheetData sheetId="1145"/>
      <sheetData sheetId="1146"/>
      <sheetData sheetId="1147">
        <row r="53">
          <cell r="I53">
            <v>2816</v>
          </cell>
        </row>
      </sheetData>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row r="16">
          <cell r="A16" t="str">
            <v>Cama-baja</v>
          </cell>
        </row>
      </sheetData>
      <sheetData sheetId="1417">
        <row r="21">
          <cell r="A21" t="str">
            <v>Excavaciones</v>
          </cell>
        </row>
      </sheetData>
      <sheetData sheetId="1418"/>
      <sheetData sheetId="1419"/>
      <sheetData sheetId="1420"/>
      <sheetData sheetId="1421"/>
      <sheetData sheetId="1422"/>
      <sheetData sheetId="1423">
        <row r="53">
          <cell r="I53">
            <v>276775</v>
          </cell>
        </row>
      </sheetData>
      <sheetData sheetId="1424"/>
      <sheetData sheetId="1425"/>
      <sheetData sheetId="1426"/>
      <sheetData sheetId="1427">
        <row r="53">
          <cell r="I53">
            <v>2816</v>
          </cell>
        </row>
      </sheetData>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row r="16">
          <cell r="A16" t="str">
            <v>Cama-baja</v>
          </cell>
        </row>
      </sheetData>
      <sheetData sheetId="1697">
        <row r="21">
          <cell r="A21" t="str">
            <v>Excavaciones</v>
          </cell>
        </row>
      </sheetData>
      <sheetData sheetId="1698"/>
      <sheetData sheetId="1699"/>
      <sheetData sheetId="1700"/>
      <sheetData sheetId="1701"/>
      <sheetData sheetId="1702"/>
      <sheetData sheetId="1703">
        <row r="53">
          <cell r="I53">
            <v>276775</v>
          </cell>
        </row>
      </sheetData>
      <sheetData sheetId="1704"/>
      <sheetData sheetId="1705"/>
      <sheetData sheetId="1706"/>
      <sheetData sheetId="1707">
        <row r="53">
          <cell r="I53">
            <v>2816</v>
          </cell>
        </row>
      </sheetData>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row r="16">
          <cell r="A16" t="str">
            <v>Cama-baja</v>
          </cell>
        </row>
      </sheetData>
      <sheetData sheetId="1977">
        <row r="21">
          <cell r="A21" t="str">
            <v>Excavaciones</v>
          </cell>
        </row>
      </sheetData>
      <sheetData sheetId="1978"/>
      <sheetData sheetId="1979"/>
      <sheetData sheetId="1980"/>
      <sheetData sheetId="1981"/>
      <sheetData sheetId="1982"/>
      <sheetData sheetId="1983">
        <row r="53">
          <cell r="I53">
            <v>276775</v>
          </cell>
        </row>
      </sheetData>
      <sheetData sheetId="1984"/>
      <sheetData sheetId="1985"/>
      <sheetData sheetId="1986"/>
      <sheetData sheetId="1987">
        <row r="53">
          <cell r="I53">
            <v>2816</v>
          </cell>
        </row>
      </sheetData>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row r="16">
          <cell r="A16" t="str">
            <v>Cama-baja</v>
          </cell>
        </row>
      </sheetData>
      <sheetData sheetId="2257">
        <row r="21">
          <cell r="A21" t="str">
            <v>Excavaciones</v>
          </cell>
        </row>
      </sheetData>
      <sheetData sheetId="2258"/>
      <sheetData sheetId="2259"/>
      <sheetData sheetId="2260"/>
      <sheetData sheetId="2261"/>
      <sheetData sheetId="2262"/>
      <sheetData sheetId="2263">
        <row r="53">
          <cell r="I53">
            <v>276775</v>
          </cell>
        </row>
      </sheetData>
      <sheetData sheetId="2264"/>
      <sheetData sheetId="2265"/>
      <sheetData sheetId="2266"/>
      <sheetData sheetId="2267">
        <row r="53">
          <cell r="I53">
            <v>2816</v>
          </cell>
        </row>
      </sheetData>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sheetData sheetId="2811"/>
      <sheetData sheetId="2812"/>
      <sheetData sheetId="2813"/>
      <sheetData sheetId="2814"/>
      <sheetData sheetId="2815"/>
      <sheetData sheetId="2816">
        <row r="16">
          <cell r="A16" t="str">
            <v>Cama-baja</v>
          </cell>
        </row>
      </sheetData>
      <sheetData sheetId="2817">
        <row r="21">
          <cell r="A21" t="str">
            <v>Excavaciones</v>
          </cell>
        </row>
      </sheetData>
      <sheetData sheetId="2818"/>
      <sheetData sheetId="2819"/>
      <sheetData sheetId="2820"/>
      <sheetData sheetId="2821"/>
      <sheetData sheetId="2822"/>
      <sheetData sheetId="2823">
        <row r="53">
          <cell r="I53">
            <v>276775</v>
          </cell>
        </row>
      </sheetData>
      <sheetData sheetId="2824"/>
      <sheetData sheetId="2825"/>
      <sheetData sheetId="2826"/>
      <sheetData sheetId="2827">
        <row r="53">
          <cell r="I53">
            <v>2816</v>
          </cell>
        </row>
      </sheetData>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row r="16">
          <cell r="A16" t="str">
            <v>Cama-baja</v>
          </cell>
        </row>
      </sheetData>
      <sheetData sheetId="3097">
        <row r="21">
          <cell r="A21" t="str">
            <v>Excavaciones</v>
          </cell>
        </row>
      </sheetData>
      <sheetData sheetId="3098"/>
      <sheetData sheetId="3099"/>
      <sheetData sheetId="3100"/>
      <sheetData sheetId="3101"/>
      <sheetData sheetId="3102"/>
      <sheetData sheetId="3103">
        <row r="53">
          <cell r="I53">
            <v>276775</v>
          </cell>
        </row>
      </sheetData>
      <sheetData sheetId="3104"/>
      <sheetData sheetId="3105"/>
      <sheetData sheetId="3106"/>
      <sheetData sheetId="3107">
        <row r="53">
          <cell r="I53">
            <v>2816</v>
          </cell>
        </row>
      </sheetData>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refreshError="1"/>
      <sheetData sheetId="3371">
        <row r="19">
          <cell r="A19">
            <v>15</v>
          </cell>
        </row>
      </sheetData>
      <sheetData sheetId="3372"/>
      <sheetData sheetId="3373"/>
      <sheetData sheetId="3374"/>
      <sheetData sheetId="3375"/>
      <sheetData sheetId="3376" refreshError="1"/>
      <sheetData sheetId="3377" refreshError="1"/>
      <sheetData sheetId="3378" refreshError="1"/>
      <sheetData sheetId="3379"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MICROEMP"/>
    </sheetNames>
    <sheetDataSet>
      <sheetData sheetId="0"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 val="[aCCIDENTES DE 1995 - 1996.xl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Informacion"/>
      <sheetName val="\a  aaInformación GRUPO 4\A MI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Equipo_Trans "/>
      <sheetName val="\E\a  aaInformación GRUPO 4\A M"/>
      <sheetName val="aCCIDENTES_DE_1995_-_199633"/>
      <sheetName val="aCCIDENTES_DE_1995_-_1996_xls10"/>
      <sheetName val="\Users\HP\AppData\Local\Microso"/>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_aCCIDENTES_DE_1995___1996_xl_3"/>
      <sheetName val="_aCCIDENTES_DE_1995___1996_xl_2"/>
      <sheetName val="aactividad"/>
      <sheetName val="COSTOS UNITARIOS"/>
      <sheetName val="CA-2909"/>
      <sheetName val="DUB-823"/>
      <sheetName val="GPI 526"/>
      <sheetName val="SKJ452"/>
      <sheetName val="ITA878"/>
      <sheetName val="AEA-944"/>
      <sheetName val="XXJ617"/>
      <sheetName val="SNG_855"/>
      <sheetName val="VEA 374"/>
      <sheetName val="HFB024"/>
      <sheetName val="PAJ825"/>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HISTORICOS FUEL OIL EXP"/>
      <sheetName val="\Nuevos APU Córdoba\a  aaInform"/>
      <sheetName val="\E\Nuevos APU Córdoba\a  aaInfo"/>
      <sheetName val="\Users\JoseGabriel\Documents\Mi"/>
      <sheetName val="ESTADO VÍA-CRIT.TECNICO"/>
      <sheetName val="CANT OBRA"/>
      <sheetName val="\Users\ANDRES FELIPE MUÑOZ\Down"/>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LISTADO "/>
      <sheetName val="M.O."/>
      <sheetName val="\\Gabrielaapabone\d copias\a  a"/>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8_Aparato"/>
      <sheetName val="2_3_Cimentación_Est.Met"/>
      <sheetName val="9_Cubierta"/>
      <sheetName val="12_Elect_GA"/>
      <sheetName val="6_Hidro (2)"/>
      <sheetName val="6_Hidro"/>
      <sheetName val="4_Mampost"/>
      <sheetName val="11_Pintura_13"/>
      <sheetName val="5_Pisos"/>
      <sheetName val="7_Enchapes"/>
      <sheetName val="//ccefici"/>
      <sheetName val="Hoja2"/>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 ACTA FINAL + MODIFICATORIA "/>
      <sheetName val="ACTA No.1 "/>
      <sheetName val="ACTA No.5"/>
      <sheetName val="ACTA MAYORES - GENERAL"/>
      <sheetName val="EQUIPOS"/>
      <sheetName val="MANO DE OBRA"/>
      <sheetName val="TRANSPORTE"/>
      <sheetName val="//d.docs.live.net/a  aaInformac"/>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4"/>
      <sheetName val="_aCCIDENTES_DE_1995___1996_xl_5"/>
      <sheetName val="_aCCIDENTES_DE_1995___1996_xl_6"/>
      <sheetName val="_aCCIDENTES_DE_1995___1996_xl_8"/>
      <sheetName val="INDICE"/>
      <sheetName val="_aCCIDENTES_DE_1995___1996_x_10"/>
      <sheetName val="_aCCIDENTES_DE_1995___1996_xl_9"/>
      <sheetName val="_aCCIDENTES_DE_1995___1996_x_11"/>
      <sheetName val="_aCCIDENTES_DE_1995___1996_x_12"/>
      <sheetName val="_aCCIDENTES_DE_1995___1996_x_13"/>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Formulario_N°_4"/>
      <sheetName val="Base_Muestras"/>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refreshError="1"/>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refreshError="1"/>
      <sheetData sheetId="448" refreshError="1"/>
      <sheetData sheetId="449" refreshError="1"/>
      <sheetData sheetId="450" refreshError="1"/>
      <sheetData sheetId="451"/>
      <sheetData sheetId="452"/>
      <sheetData sheetId="453"/>
      <sheetData sheetId="454"/>
      <sheetData sheetId="455"/>
      <sheetData sheetId="456"/>
      <sheetData sheetId="457"/>
      <sheetData sheetId="458"/>
      <sheetData sheetId="459"/>
      <sheetData sheetId="460"/>
      <sheetData sheetId="461"/>
      <sheetData sheetId="462"/>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refreshError="1"/>
      <sheetData sheetId="509"/>
      <sheetData sheetId="510"/>
      <sheetData sheetId="511" refreshError="1"/>
      <sheetData sheetId="512" refreshError="1"/>
      <sheetData sheetId="513"/>
      <sheetData sheetId="514"/>
      <sheetData sheetId="515"/>
      <sheetData sheetId="516"/>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sheetData sheetId="568"/>
      <sheetData sheetId="569"/>
      <sheetData sheetId="570"/>
      <sheetData sheetId="57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sheetData sheetId="589"/>
      <sheetData sheetId="590"/>
      <sheetData sheetId="591" refreshError="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iniciales "/>
      <sheetName val="Equipo"/>
      <sheetName val="Mano de obra "/>
      <sheetName val="Cuadrillas"/>
      <sheetName val="Transporte"/>
      <sheetName val="Concretos y morteros"/>
      <sheetName val="Materiales"/>
      <sheetName val="Pre Descriminado"/>
      <sheetName val="Cantidades tuberia principal"/>
      <sheetName val="Cantidades domiciliarias"/>
      <sheetName val="APUS"/>
      <sheetName val="Presupuesto de obra"/>
      <sheetName val="Cantidades pavimento calles "/>
      <sheetName val="Cantidades acueducto"/>
      <sheetName val="Cant. Pavimento"/>
      <sheetName val="Total "/>
      <sheetName val="Cronograma "/>
      <sheetName val="Flujo de fondos "/>
      <sheetName val="Grafica"/>
    </sheetNames>
    <sheetDataSet>
      <sheetData sheetId="0">
        <row r="19">
          <cell r="C19">
            <v>737717</v>
          </cell>
        </row>
        <row r="32">
          <cell r="C32">
            <v>0.71637504155839349</v>
          </cell>
        </row>
      </sheetData>
      <sheetData sheetId="1">
        <row r="10">
          <cell r="F10">
            <v>12000</v>
          </cell>
        </row>
        <row r="13">
          <cell r="F13">
            <v>8100</v>
          </cell>
        </row>
      </sheetData>
      <sheetData sheetId="2"/>
      <sheetData sheetId="3">
        <row r="12">
          <cell r="H12">
            <v>19800</v>
          </cell>
        </row>
        <row r="21">
          <cell r="H21">
            <v>45600</v>
          </cell>
        </row>
        <row r="30">
          <cell r="H30">
            <v>31300</v>
          </cell>
        </row>
        <row r="39">
          <cell r="H39">
            <v>48500</v>
          </cell>
        </row>
        <row r="48">
          <cell r="H48">
            <v>139700</v>
          </cell>
        </row>
        <row r="57">
          <cell r="H57">
            <v>42500</v>
          </cell>
        </row>
        <row r="66">
          <cell r="H66">
            <v>59700</v>
          </cell>
        </row>
      </sheetData>
      <sheetData sheetId="4">
        <row r="8">
          <cell r="F8">
            <v>1100</v>
          </cell>
        </row>
        <row r="9">
          <cell r="F9">
            <v>1100</v>
          </cell>
        </row>
        <row r="13">
          <cell r="F13">
            <v>1</v>
          </cell>
        </row>
      </sheetData>
      <sheetData sheetId="5">
        <row r="12">
          <cell r="J12">
            <v>40.9</v>
          </cell>
          <cell r="K12">
            <v>39.5</v>
          </cell>
          <cell r="L12">
            <v>10</v>
          </cell>
        </row>
      </sheetData>
      <sheetData sheetId="6">
        <row r="7">
          <cell r="F7">
            <v>40</v>
          </cell>
        </row>
        <row r="19">
          <cell r="F19">
            <v>26000</v>
          </cell>
        </row>
        <row r="37">
          <cell r="F37">
            <v>19500</v>
          </cell>
        </row>
        <row r="73">
          <cell r="F73">
            <v>52000</v>
          </cell>
        </row>
      </sheetData>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 val="1_0"/>
      <sheetName val="2_0"/>
      <sheetName val="3_0"/>
      <sheetName val="4_0"/>
      <sheetName val="5_0"/>
      <sheetName val="6_0"/>
      <sheetName val="7_0"/>
      <sheetName val="8_0"/>
      <sheetName val="9_0"/>
      <sheetName val="10_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sheetData sheetId="7" refreshError="1">
        <row r="8">
          <cell r="B8">
            <v>2.8888699999999998</v>
          </cell>
        </row>
        <row r="11">
          <cell r="B11">
            <v>2.25027</v>
          </cell>
        </row>
      </sheetData>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a  aaInformación][a  aaInforma"/>
      <sheetName val="lisprecios"/>
      <sheetName val="PERSONAL"/>
      <sheetName val="PRESTACIONES SOCIALES"/>
      <sheetName val="BASES"/>
      <sheetName val="CDItem"/>
      <sheetName val="\MANTENIMIENTO RUTA 1001_MARZO "/>
      <sheetName val="\I\MANTENIMIENTO RUTA 1001_MARZ"/>
      <sheetName val="\F\MANTENIMIENTO RUTA 1001_MARZ"/>
      <sheetName val="a__aaInformación"/>
      <sheetName val="a__aaInformación1"/>
      <sheetName val="a__aaInformación2"/>
      <sheetName val="Materiales"/>
      <sheetName val="Cuadrillas"/>
      <sheetName val="Concretos y morteros"/>
      <sheetName val="Equipo"/>
      <sheetName val="Datos iniciales "/>
      <sheetName val="Transporte"/>
      <sheetName val="Presupuesto"/>
      <sheetName val="ANEXO IX"/>
      <sheetName val="APUs"/>
      <sheetName val="INSUMOS"/>
      <sheetName val="PptoGral"/>
      <sheetName val="otros"/>
      <sheetName val="\\SERVIDOR\Public2\MANTENIMIENT"/>
      <sheetName val="CONT_ADI"/>
      <sheetName val="Fornato 6"/>
      <sheetName val="\Users\USUARIO\Downloads\MANTEN"/>
      <sheetName val="Formulario N° 4"/>
      <sheetName val="INDICMICROEMP"/>
      <sheetName val="INDICE"/>
      <sheetName val="Datos"/>
      <sheetName val="Jornal"/>
      <sheetName val="\G\I\MANTENIMIENTO RUTA 1001_MA"/>
      <sheetName val="\D\MANTENIMIENTO RUTA 1001_MARZ"/>
      <sheetName val="\G\D\MANTENIMIENTO RUTA 1001_MA"/>
      <sheetName val="#REF"/>
      <sheetName val="\I\I\MANTENIMIENTO RUTA 1001_MA"/>
      <sheetName val="\Users\Personal\Downloads\MANTE"/>
      <sheetName val="TOTALES"/>
      <sheetName val="_MANTENIMIENTO RUTA 1001_MARZO "/>
      <sheetName val="_I_MANTENIMIENTO RUTA 1001_MARZ"/>
      <sheetName val="[a  aaInformación]__cceficien_2"/>
      <sheetName val="[a  aaInformación]__cceficien_3"/>
      <sheetName val="[a  aaInformación]__cceficien_5"/>
      <sheetName val="[a  aaInformación]__cceficien_4"/>
      <sheetName val="[a  aaInformación]__cceficien_7"/>
      <sheetName val="[a  aaInformación]__cceficien_6"/>
      <sheetName val="[a  aaInformación]//cceficiente"/>
      <sheetName val="M.O."/>
      <sheetName val="[a  aaInformación]__cceficien_8"/>
      <sheetName val="[a  aaInformación]__cceficien_9"/>
      <sheetName val="[a  aaInformación]__cceficie_11"/>
      <sheetName val="[a  aaInformación]__cceficie_10"/>
      <sheetName val="[a  aaInformación]__cceficie_12"/>
      <sheetName val="[a  aaInformación]__cceficie_13"/>
      <sheetName val="[a  aaInformación]__cceficie_14"/>
      <sheetName val="[a  aaInformación]__cceficie_18"/>
      <sheetName val="[a  aaInformación]__cceficie_15"/>
      <sheetName val="[a  aaInformación]__cceficie_16"/>
      <sheetName val="[a  aaInformación]__cceficie_17"/>
      <sheetName val="[a  aaInformación]__cceficie_19"/>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38"/>
      <sheetName val="[a  aaInformación]__cceficie_28"/>
      <sheetName val="[a  aaInformación]__cceficie_27"/>
      <sheetName val="[a  aaInformación]__cceficie_29"/>
      <sheetName val="[a  aaInformación]__cceficie_34"/>
      <sheetName val="[a  aaInformación]__cceficie_32"/>
      <sheetName val="[a  aaInformación]__cceficie_30"/>
      <sheetName val="[a  aaInformación]__cceficie_31"/>
      <sheetName val="[a  aaInformación]__cceficie_33"/>
      <sheetName val="[a  aaInformación]__cceficie_35"/>
      <sheetName val="[a  aaInformación]__cceficie_36"/>
      <sheetName val="[a  aaInformación]__cceficie_37"/>
      <sheetName val="[a  aaInformación]__cceficie_39"/>
      <sheetName val="[a  aaInformación]__cceficie_47"/>
      <sheetName val="[a  aaInformación]__cceficie_40"/>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4"/>
      <sheetName val="[a  aaInformación]__cceficie_49"/>
      <sheetName val="[a  aaInformación]__cceficie_50"/>
      <sheetName val="[a  aaInformación]__cceficie_53"/>
      <sheetName val="[a  aaInformación]__cceficie_51"/>
      <sheetName val="[a  aaInformación]__cceficie_52"/>
      <sheetName val="[a  aaInformación]__cceficie_55"/>
      <sheetName val="[a  aaInformación]__cceficie_56"/>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precios-básicos2002"/>
      <sheetName val="[a  aaInformación]__cceficie_59"/>
      <sheetName val="Emboquillar"/>
      <sheetName val="Acometidacobrerígido"/>
      <sheetName val="Acometidatoma"/>
      <sheetName val="Acometidahasta1&quot;"/>
      <sheetName val="[a  aaInformación]__cceficie_58"/>
      <sheetName val="[a  aaInformación]__cceficie_57"/>
      <sheetName val="ITEMS"/>
      <sheetName val="//cceficiente_sharepoint_com/MA"/>
      <sheetName val="PANEL"/>
      <sheetName val="Res-Accide-10"/>
      <sheetName val="\MANTENIMIENTO_RUTA_1001_MARZO_"/>
      <sheetName val="ANEXO_IX"/>
      <sheetName val="\I\MANTENIMIENTO_RUTA_1001_MARZ"/>
      <sheetName val="\I\I\MANTENIMIENTO_RUTA_1001_MA"/>
      <sheetName val="AIU"/>
      <sheetName val="[a  aaInformación]__192_168_0_2"/>
      <sheetName val="PRESUP"/>
      <sheetName val="46W9"/>
      <sheetName val="Presentacio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sheetData sheetId="132" refreshError="1"/>
      <sheetData sheetId="133" refreshError="1"/>
      <sheetData sheetId="134"/>
      <sheetData sheetId="135"/>
      <sheetData sheetId="136"/>
      <sheetData sheetId="137"/>
      <sheetData sheetId="138" refreshError="1"/>
      <sheetData sheetId="139" refreshError="1"/>
      <sheetData sheetId="140" refreshError="1"/>
      <sheetData sheetId="141" refreshError="1"/>
      <sheetData sheetId="142"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MPRIMIR"/>
      <sheetName val="FORMATO PRESUPUESTO"/>
      <sheetName val="unitarios "/>
      <sheetName val="Hoja1"/>
    </sheetNames>
    <sheetDataSet>
      <sheetData sheetId="0" refreshError="1"/>
      <sheetData sheetId="1" refreshError="1"/>
      <sheetData sheetId="2" refreshError="1"/>
      <sheetData sheetId="3" refreshError="1">
        <row r="4">
          <cell r="C4">
            <v>0</v>
          </cell>
          <cell r="G4" t="str">
            <v>San José de Cucuta</v>
          </cell>
          <cell r="J4" t="str">
            <v>Casco Urbano</v>
          </cell>
        </row>
        <row r="5">
          <cell r="C5">
            <v>1</v>
          </cell>
          <cell r="G5" t="str">
            <v>Villa del Rosario</v>
          </cell>
          <cell r="J5" t="str">
            <v>Corregimiento</v>
          </cell>
        </row>
        <row r="6">
          <cell r="C6">
            <v>2</v>
          </cell>
          <cell r="G6" t="str">
            <v>San cayetano</v>
          </cell>
          <cell r="J6" t="str">
            <v>Vereda</v>
          </cell>
        </row>
        <row r="7">
          <cell r="C7">
            <v>3</v>
          </cell>
          <cell r="G7" t="str">
            <v>Puerto Santander</v>
          </cell>
        </row>
        <row r="8">
          <cell r="G8" t="str">
            <v xml:space="preserve">El zulia </v>
          </cell>
        </row>
        <row r="9">
          <cell r="G9" t="str">
            <v>Los Patios</v>
          </cell>
        </row>
      </sheetData>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yRODA"/>
      <sheetName val="Desmonte"/>
      <sheetName val="Excava"/>
      <sheetName val="LyR"/>
      <sheetName val="(2)"/>
      <sheetName val="Terra"/>
      <sheetName val="Sub"/>
      <sheetName val="Base"/>
      <sheetName val="Sub (2)"/>
      <sheetName val="Base (2)"/>
      <sheetName val="MDC (2)"/>
      <sheetName val="Concreto 140 (2)"/>
      <sheetName val="Concreto 210 (2)"/>
      <sheetName val="Imprim"/>
      <sheetName val="MDC"/>
      <sheetName val="Empra"/>
      <sheetName val="FF-01"/>
      <sheetName val="Insumos"/>
      <sheetName val="Concreto 140"/>
      <sheetName val="Concreto 210"/>
      <sheetName val="Acero420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ANEXO_7"/>
      <sheetName val="ANEXO_4"/>
      <sheetName val="ANEXO_4_(2)"/>
      <sheetName val="ANEXO_4_(3)"/>
      <sheetName val="ANEXO_4_(4)"/>
      <sheetName val="ANEXO_5_"/>
      <sheetName val="ANEXO_2"/>
      <sheetName val="1_1"/>
      <sheetName val="2_1"/>
      <sheetName val="2_2"/>
      <sheetName val="2_3"/>
      <sheetName val="2_4"/>
      <sheetName val="2_5"/>
      <sheetName val="3_1"/>
      <sheetName val="3_2"/>
      <sheetName val="3_3"/>
      <sheetName val="3_4"/>
      <sheetName val="4_1"/>
      <sheetName val="4_2"/>
      <sheetName val="4_3"/>
      <sheetName val="4_4"/>
      <sheetName val="4_5"/>
      <sheetName val="4_6"/>
      <sheetName val="4_7"/>
      <sheetName val="4_8"/>
      <sheetName val="5_1"/>
      <sheetName val="5_2"/>
      <sheetName val="5_3"/>
      <sheetName val="6_1"/>
      <sheetName val="6_2"/>
      <sheetName val="7_1"/>
      <sheetName val="7_2"/>
      <sheetName val="8_1"/>
      <sheetName val="8_2"/>
      <sheetName val="8_3"/>
      <sheetName val="8_4"/>
      <sheetName val="8_5"/>
      <sheetName val="9_1"/>
      <sheetName val="10_1"/>
      <sheetName val="10_2"/>
      <sheetName val="11_1"/>
      <sheetName val="11_2"/>
      <sheetName val="11_3"/>
      <sheetName val="11_4"/>
      <sheetName val="11_5"/>
      <sheetName val="PALET_DEL_21_FEB_AL_5_MARZ"/>
      <sheetName val="ANEXO_71"/>
      <sheetName val="ANEXO_41"/>
      <sheetName val="ANEXO_4_(2)1"/>
      <sheetName val="ANEXO_4_(3)1"/>
      <sheetName val="ANEXO_4_(4)1"/>
      <sheetName val="ANEXO_5_1"/>
      <sheetName val="ANEXO_21"/>
      <sheetName val="1_11"/>
      <sheetName val="2_11"/>
      <sheetName val="2_21"/>
      <sheetName val="2_31"/>
      <sheetName val="2_41"/>
      <sheetName val="2_51"/>
      <sheetName val="3_11"/>
      <sheetName val="3_21"/>
      <sheetName val="3_31"/>
      <sheetName val="3_41"/>
      <sheetName val="4_11"/>
      <sheetName val="4_21"/>
      <sheetName val="4_31"/>
      <sheetName val="4_41"/>
      <sheetName val="4_51"/>
      <sheetName val="4_61"/>
      <sheetName val="4_71"/>
      <sheetName val="4_81"/>
      <sheetName val="5_11"/>
      <sheetName val="5_21"/>
      <sheetName val="5_31"/>
      <sheetName val="6_11"/>
      <sheetName val="6_21"/>
      <sheetName val="7_11"/>
      <sheetName val="7_21"/>
      <sheetName val="8_11"/>
      <sheetName val="8_21"/>
      <sheetName val="8_31"/>
      <sheetName val="8_41"/>
      <sheetName val="8_51"/>
      <sheetName val="9_11"/>
      <sheetName val="10_11"/>
      <sheetName val="10_21"/>
      <sheetName val="11_11"/>
      <sheetName val="11_21"/>
      <sheetName val="11_31"/>
      <sheetName val="11_41"/>
      <sheetName val="11_51"/>
      <sheetName val="PALET_DEL_21_FEB_AL_5_MARZ1"/>
      <sheetName val="ANEXO_72"/>
      <sheetName val="ANEXO_42"/>
      <sheetName val="ANEXO_4_(2)2"/>
      <sheetName val="ANEXO_4_(3)2"/>
      <sheetName val="ANEXO_4_(4)2"/>
      <sheetName val="ANEXO_5_2"/>
      <sheetName val="ANEXO_22"/>
      <sheetName val="1_12"/>
      <sheetName val="2_12"/>
      <sheetName val="2_22"/>
      <sheetName val="2_32"/>
      <sheetName val="2_42"/>
      <sheetName val="2_52"/>
      <sheetName val="3_12"/>
      <sheetName val="3_22"/>
      <sheetName val="3_32"/>
      <sheetName val="3_42"/>
      <sheetName val="4_12"/>
      <sheetName val="4_22"/>
      <sheetName val="4_32"/>
      <sheetName val="4_42"/>
      <sheetName val="4_52"/>
      <sheetName val="4_62"/>
      <sheetName val="4_72"/>
      <sheetName val="4_82"/>
      <sheetName val="5_12"/>
      <sheetName val="5_22"/>
      <sheetName val="5_32"/>
      <sheetName val="6_12"/>
      <sheetName val="6_22"/>
      <sheetName val="7_12"/>
      <sheetName val="7_22"/>
      <sheetName val="8_12"/>
      <sheetName val="8_22"/>
      <sheetName val="8_32"/>
      <sheetName val="8_42"/>
      <sheetName val="8_52"/>
      <sheetName val="9_12"/>
      <sheetName val="10_12"/>
      <sheetName val="10_22"/>
      <sheetName val="11_12"/>
      <sheetName val="11_22"/>
      <sheetName val="11_32"/>
      <sheetName val="11_42"/>
      <sheetName val="11_52"/>
      <sheetName val="PALET_DEL_21_FEB_AL_5_MARZ2"/>
      <sheetName val="ANEXO_73"/>
      <sheetName val="ANEXO_43"/>
      <sheetName val="ANEXO_4_(2)3"/>
      <sheetName val="ANEXO_4_(3)3"/>
      <sheetName val="ANEXO_4_(4)3"/>
      <sheetName val="ANEXO_5_3"/>
      <sheetName val="ANEXO_23"/>
      <sheetName val="1_13"/>
      <sheetName val="2_13"/>
      <sheetName val="2_23"/>
      <sheetName val="2_33"/>
      <sheetName val="2_43"/>
      <sheetName val="2_53"/>
      <sheetName val="3_13"/>
      <sheetName val="3_23"/>
      <sheetName val="3_33"/>
      <sheetName val="3_43"/>
      <sheetName val="4_13"/>
      <sheetName val="4_23"/>
      <sheetName val="4_33"/>
      <sheetName val="4_43"/>
      <sheetName val="4_53"/>
      <sheetName val="4_63"/>
      <sheetName val="4_73"/>
      <sheetName val="4_83"/>
      <sheetName val="5_13"/>
      <sheetName val="5_23"/>
      <sheetName val="5_33"/>
      <sheetName val="6_13"/>
      <sheetName val="6_23"/>
      <sheetName val="7_13"/>
      <sheetName val="7_23"/>
      <sheetName val="8_13"/>
      <sheetName val="8_23"/>
      <sheetName val="8_33"/>
      <sheetName val="8_43"/>
      <sheetName val="8_53"/>
      <sheetName val="9_13"/>
      <sheetName val="10_13"/>
      <sheetName val="10_23"/>
      <sheetName val="11_13"/>
      <sheetName val="11_23"/>
      <sheetName val="11_33"/>
      <sheetName val="11_43"/>
      <sheetName val="11_53"/>
      <sheetName val="PALET_DEL_21_FEB_AL_5_MARZ3"/>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 val="PREACTA"/>
      <sheetName val="Hoja1"/>
      <sheetName val="List. Análisis"/>
      <sheetName val="FF-0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sheetData sheetId="252" refreshError="1"/>
      <sheetData sheetId="253"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Mat"/>
      <sheetName val="Equi"/>
      <sheetName val="Otros"/>
      <sheetName val="A. P. U."/>
      <sheetName val="Análisis de precios"/>
      <sheetName val="ANEXO 7"/>
      <sheetName val="DATOS"/>
      <sheetName val="PREACTA"/>
      <sheetName val="Hoja1"/>
      <sheetName val="1"/>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D"/>
    </sheetNames>
    <sheetDataSet>
      <sheetData sheetId="0"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Plan auditoría"/>
      <sheetName val="Presupuesto"/>
      <sheetName val="CDItem"/>
      <sheetName val="Acc Ago-Sep.xl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Materiales"/>
      <sheetName val="Cuadrillas"/>
      <sheetName val="Concretos y morteros"/>
      <sheetName val="Equipo"/>
      <sheetName val="Datos iniciales "/>
      <sheetName val="Transporte"/>
      <sheetName val="INSUMOS"/>
      <sheetName val="Acc%20Ago-Sep.xls"/>
      <sheetName val="Macro1"/>
      <sheetName val="otros"/>
      <sheetName val="EMPRESA"/>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ESTADO_RED"/>
      <sheetName val="Plan_auditoría"/>
      <sheetName val="ANEXO 7"/>
      <sheetName val="VARIABLES"/>
      <sheetName val="ACTA PARCIAL No 01"/>
      <sheetName val="FORMATO-FORMATO E PARA EFECTO K"/>
      <sheetName val="FORMATO-FACTOR CT PARA EFECTO K"/>
      <sheetName val="FORMATO - SCE PARA EFECTO DEL K"/>
      <sheetName val="TEXT-ACTA PARCIAL No1"/>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2">
          <cell r="R2">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ow r="2">
          <cell r="R2">
            <v>0</v>
          </cell>
        </row>
      </sheetData>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refreshError="1"/>
      <sheetData sheetId="230" refreshError="1"/>
      <sheetData sheetId="231"/>
      <sheetData sheetId="232"/>
      <sheetData sheetId="233"/>
      <sheetData sheetId="234"/>
      <sheetData sheetId="235"/>
      <sheetData sheetId="236"/>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 val="ACTA DE MODIFICACION  (2)"/>
      <sheetName val="Res-Accide-10"/>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sheetData sheetId="14"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RCUITOS CODENSA"/>
      <sheetName val="CIRCUITOS eec"/>
      <sheetName val="CIRCUITOS rc"/>
      <sheetName val="CIRCUITOS rn"/>
      <sheetName val="CIRCUITOS ro"/>
      <sheetName val="CIRCUITOS rs"/>
      <sheetName val="CIRCUITOS_CODENSA"/>
      <sheetName val="CIRCUITOS_eec"/>
      <sheetName val="CIRCUITOS_rc"/>
      <sheetName val="CIRCUITOS_rn"/>
      <sheetName val="CIRCUITOS_ro"/>
      <sheetName val="CIRCUITOS_rs"/>
      <sheetName val="CIRCUITOS_CODENSA1"/>
      <sheetName val="CIRCUITOS_eec1"/>
      <sheetName val="CIRCUITOS_rc1"/>
      <sheetName val="CIRCUITOS_rn1"/>
      <sheetName val="CIRCUITOS_ro1"/>
      <sheetName val="CIRCUITOS_rs1"/>
      <sheetName val="CIRCUITOS_CODENSA2"/>
      <sheetName val="CIRCUITOS_eec2"/>
      <sheetName val="CIRCUITOS_rc2"/>
      <sheetName val="CIRCUITOS_rn2"/>
      <sheetName val="CIRCUITOS_ro2"/>
      <sheetName val="CIRCUITOS_rs2"/>
      <sheetName val="CIRCUITOS_CODENSA3"/>
      <sheetName val="CIRCUITOS_eec3"/>
      <sheetName val="CIRCUITOS_rc3"/>
      <sheetName val="CIRCUITOS_rn3"/>
      <sheetName val="CIRCUITOS_ro3"/>
      <sheetName val="CIRCUITOS_rs3"/>
      <sheetName val="APU"/>
      <sheetName val="APUDE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 sheetId="31"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
      <sheetName val="ITEMS Nuevos"/>
      <sheetName val="MODELO"/>
      <sheetName val="E1.1.1"/>
      <sheetName val="E1.1.2"/>
      <sheetName val="E1.1.3"/>
      <sheetName val="E1.1.4"/>
      <sheetName val="E1.1.5"/>
      <sheetName val="E1.1.6"/>
      <sheetName val="E1.1.7"/>
      <sheetName val="E1.1.8"/>
      <sheetName val="E1.1.9"/>
      <sheetName val="E1.1.10"/>
      <sheetName val="E1.1.11"/>
      <sheetName val="E1.2.1"/>
      <sheetName val="E1.2.2"/>
      <sheetName val="Presupuesto"/>
      <sheetName val="E1.3.1"/>
      <sheetName val="E1.3.2"/>
      <sheetName val="E1.3.3"/>
      <sheetName val="E1.3.4"/>
      <sheetName val="E1.3.5"/>
      <sheetName val="E1.3.6"/>
      <sheetName val="21"/>
    </sheetNames>
    <sheetDataSet>
      <sheetData sheetId="0">
        <row r="2">
          <cell r="A2" t="str">
            <v>MATERIALES</v>
          </cell>
          <cell r="B2">
            <v>0</v>
          </cell>
          <cell r="C2">
            <v>0</v>
          </cell>
          <cell r="E2" t="str">
            <v>EQUIPO</v>
          </cell>
          <cell r="F2">
            <v>0</v>
          </cell>
          <cell r="G2">
            <v>0</v>
          </cell>
          <cell r="I2" t="str">
            <v>MANO DE OBRA</v>
          </cell>
          <cell r="J2">
            <v>0</v>
          </cell>
          <cell r="K2">
            <v>0</v>
          </cell>
        </row>
        <row r="3">
          <cell r="A3" t="str">
            <v>ABAZADERA PLASTICA 5/8"</v>
          </cell>
          <cell r="B3" t="str">
            <v>UND</v>
          </cell>
          <cell r="C3">
            <v>157.5</v>
          </cell>
          <cell r="E3" t="str">
            <v>ESTACION ELECTRONICA INC ACCESORIOS</v>
          </cell>
          <cell r="F3" t="str">
            <v>DIA</v>
          </cell>
          <cell r="G3">
            <v>110000</v>
          </cell>
          <cell r="I3" t="str">
            <v>AYUDANTE CONSTRUCCION (I)</v>
          </cell>
          <cell r="J3" t="str">
            <v>HR</v>
          </cell>
          <cell r="K3">
            <v>8256</v>
          </cell>
        </row>
        <row r="4">
          <cell r="A4" t="str">
            <v>ABONO 10-30-10</v>
          </cell>
          <cell r="B4" t="str">
            <v>KG</v>
          </cell>
          <cell r="C4">
            <v>2205</v>
          </cell>
          <cell r="E4" t="str">
            <v>HERRAMIENTA MENOR (3%M.O.)</v>
          </cell>
          <cell r="F4" t="str">
            <v>%</v>
          </cell>
          <cell r="G4">
            <v>0</v>
          </cell>
          <cell r="I4" t="str">
            <v>CUADRILLA 1 CANALERO + 1 AYUDANTE</v>
          </cell>
          <cell r="J4" t="str">
            <v>HC</v>
          </cell>
          <cell r="K4">
            <v>23072</v>
          </cell>
        </row>
        <row r="5">
          <cell r="A5" t="str">
            <v>ABONO TIERRA NEGRA, GALLINAZA, CASCARILLA 40 KG</v>
          </cell>
          <cell r="B5" t="str">
            <v>BLT</v>
          </cell>
          <cell r="C5">
            <v>5250</v>
          </cell>
          <cell r="E5" t="str">
            <v>HERRAMIENTA MENOR (5%M.O.)</v>
          </cell>
          <cell r="F5" t="str">
            <v>%</v>
          </cell>
          <cell r="G5">
            <v>0</v>
          </cell>
          <cell r="I5" t="str">
            <v>CUADRILLA M.O. (2 AYUDANTES)</v>
          </cell>
          <cell r="J5" t="str">
            <v>HC</v>
          </cell>
          <cell r="K5">
            <v>16512</v>
          </cell>
        </row>
        <row r="6">
          <cell r="A6" t="str">
            <v>ABONO UREA</v>
          </cell>
          <cell r="B6" t="str">
            <v>KG</v>
          </cell>
          <cell r="C6">
            <v>2121</v>
          </cell>
          <cell r="E6" t="str">
            <v>ANDAMIO TUBULAR</v>
          </cell>
          <cell r="F6" t="str">
            <v>DIA</v>
          </cell>
          <cell r="G6">
            <v>676.24</v>
          </cell>
          <cell r="I6" t="str">
            <v>CUADRILLA M.O. (3 AYUDANTES)</v>
          </cell>
          <cell r="J6" t="str">
            <v>HC</v>
          </cell>
          <cell r="K6">
            <v>24766.400000000001</v>
          </cell>
        </row>
        <row r="7">
          <cell r="A7" t="str">
            <v>ACCESORIOS DE FIJACIÓN LAMINA FIBRA DE CARBÓN</v>
          </cell>
          <cell r="B7" t="str">
            <v>UND</v>
          </cell>
          <cell r="C7">
            <v>1000</v>
          </cell>
          <cell r="E7" t="str">
            <v>ANDAMIO TUBULAR</v>
          </cell>
          <cell r="F7" t="str">
            <v>MES</v>
          </cell>
          <cell r="G7">
            <v>12840</v>
          </cell>
          <cell r="I7" t="str">
            <v>CUADRILLA M.O. SOLDADURA (1 SOLDADOR + 1 AYUDANTE)</v>
          </cell>
          <cell r="J7" t="str">
            <v>HC</v>
          </cell>
          <cell r="K7">
            <v>53609.599999999999</v>
          </cell>
        </row>
        <row r="8">
          <cell r="A8" t="str">
            <v>ACCESORIOS DE INSTALACION</v>
          </cell>
          <cell r="B8" t="str">
            <v>gl</v>
          </cell>
          <cell r="C8">
            <v>120000</v>
          </cell>
          <cell r="E8" t="str">
            <v>BOMBA PARA GATO TENSIONAMIENTO</v>
          </cell>
          <cell r="F8" t="str">
            <v>HR</v>
          </cell>
          <cell r="G8">
            <v>112750</v>
          </cell>
          <cell r="I8" t="str">
            <v>CUADRILLA TOPOGRAFIA (1 TOPOG. + 2 CADENEROS)</v>
          </cell>
          <cell r="J8" t="str">
            <v>DIA</v>
          </cell>
          <cell r="K8">
            <v>514643.20000000001</v>
          </cell>
        </row>
        <row r="9">
          <cell r="A9" t="str">
            <v>ACEITE DOS TIEMPO MIXTURA</v>
          </cell>
          <cell r="B9" t="str">
            <v>GLN</v>
          </cell>
          <cell r="C9">
            <v>47460</v>
          </cell>
          <cell r="E9" t="str">
            <v>BOMBA DE INYECCION DE LECHADA TIPO DIAFRAGMA</v>
          </cell>
          <cell r="F9" t="str">
            <v>HR</v>
          </cell>
          <cell r="G9">
            <v>16400</v>
          </cell>
          <cell r="I9" t="str">
            <v>INGENIERO ELECTRICO</v>
          </cell>
          <cell r="J9" t="str">
            <v>HR</v>
          </cell>
          <cell r="K9">
            <v>33600</v>
          </cell>
        </row>
        <row r="10">
          <cell r="A10" t="str">
            <v>ACEITE QUEMADO</v>
          </cell>
          <cell r="B10" t="str">
            <v>GLN</v>
          </cell>
          <cell r="C10">
            <v>3150</v>
          </cell>
          <cell r="E10" t="str">
            <v>BULLDOZER D6 CATERPILAR</v>
          </cell>
          <cell r="F10" t="str">
            <v>HR</v>
          </cell>
          <cell r="G10">
            <v>139100</v>
          </cell>
          <cell r="I10" t="str">
            <v>M.O. CUADRILLA CONSTRUCCIÓN TIPO 1 (1 OFICIAL + 1 AYUDANTE)</v>
          </cell>
          <cell r="J10" t="str">
            <v>HC</v>
          </cell>
          <cell r="K10">
            <v>39216</v>
          </cell>
        </row>
        <row r="11">
          <cell r="A11" t="str">
            <v>ACELERANTE PARA CONCRETO X 5 KG</v>
          </cell>
          <cell r="B11" t="str">
            <v>KG</v>
          </cell>
          <cell r="C11">
            <v>7520</v>
          </cell>
          <cell r="E11" t="str">
            <v>BULLDOZER D8K CATERPILLAR</v>
          </cell>
          <cell r="F11" t="str">
            <v>HR</v>
          </cell>
          <cell r="G11">
            <v>213520</v>
          </cell>
          <cell r="I11" t="str">
            <v>M.O. CUADRILLA CONSTRUCCIÓN TIPO 2 (1 OFICIAL + 2 AYUDANTES)</v>
          </cell>
          <cell r="J11" t="str">
            <v>HC</v>
          </cell>
          <cell r="K11">
            <v>39216</v>
          </cell>
        </row>
        <row r="12">
          <cell r="A12" t="str">
            <v>ACERO 1/2"  CORRUGADO/FIGURADO (411 MPA 4200 KG / CM2, G80)</v>
          </cell>
          <cell r="B12" t="str">
            <v>KG</v>
          </cell>
          <cell r="C12">
            <v>3728</v>
          </cell>
          <cell r="E12" t="str">
            <v>CANASTA PARA TRABAJAR EN LINEA VIVA (INCLUYE DESPLAZAMIENTO Y COMBUSTIBLE)</v>
          </cell>
          <cell r="F12" t="str">
            <v>HR</v>
          </cell>
          <cell r="G12">
            <v>396000</v>
          </cell>
          <cell r="I12" t="str">
            <v>M.O. CUADRILLA CONSTRUCCIÓN TIPO 3 (1 OFICIAL + 3 AYUDANTES)</v>
          </cell>
          <cell r="J12" t="str">
            <v>HC</v>
          </cell>
          <cell r="K12">
            <v>44228.800000000003</v>
          </cell>
        </row>
        <row r="13">
          <cell r="A13" t="str">
            <v>ACERO 1/4"  CORRUGADO/FIGURADO (411 MPA 4200 KG / CM2, G80)</v>
          </cell>
          <cell r="B13" t="str">
            <v>KG</v>
          </cell>
          <cell r="C13">
            <v>3728</v>
          </cell>
          <cell r="E13" t="str">
            <v>CARROTANQUE DE AGUA (1000 GALONES)</v>
          </cell>
          <cell r="F13" t="str">
            <v>HR</v>
          </cell>
          <cell r="G13">
            <v>47500</v>
          </cell>
          <cell r="I13" t="str">
            <v>M.O. CUADRILLA CONSTRUCCIÓN TIPO 4 (1 OFICIAL + 4 AYUDANTES)</v>
          </cell>
          <cell r="J13" t="str">
            <v>HC</v>
          </cell>
          <cell r="K13">
            <v>54278.400000000001</v>
          </cell>
        </row>
        <row r="14">
          <cell r="A14" t="str">
            <v>ACERO 3/8"  CORRUGADO/FIGURADO 3/8"  (411 MPA 4200 KG / CM2, G80)</v>
          </cell>
          <cell r="B14" t="str">
            <v>KG</v>
          </cell>
          <cell r="C14">
            <v>3728</v>
          </cell>
          <cell r="E14" t="str">
            <v>CARROTANQUE IRRIGADOR DE ASFALTO (1000 GLN)</v>
          </cell>
          <cell r="F14" t="str">
            <v>HR</v>
          </cell>
          <cell r="G14">
            <v>80250</v>
          </cell>
          <cell r="I14" t="str">
            <v>M.O. CUADRILLA CONSTRUCCIÓN TIPO 6 (1 OFICIAL + 6 AYUDANTES)</v>
          </cell>
          <cell r="J14" t="str">
            <v>HC</v>
          </cell>
          <cell r="K14">
            <v>70512</v>
          </cell>
        </row>
        <row r="15">
          <cell r="A15" t="str">
            <v>ACERO 5/8"  CORRUGADO/FIGURADO (411 MPA 4200 KG / CM2, G80)</v>
          </cell>
          <cell r="B15" t="str">
            <v>KG</v>
          </cell>
          <cell r="C15">
            <v>3728</v>
          </cell>
          <cell r="E15" t="str">
            <v>COMPACTADOR MANUAL (SALTARIN)</v>
          </cell>
          <cell r="F15" t="str">
            <v>DIA</v>
          </cell>
          <cell r="G15">
            <v>53735.4</v>
          </cell>
          <cell r="I15" t="str">
            <v>M.O. CUADRILLA DE DEMOLICION  (2 MACHINEROS)</v>
          </cell>
          <cell r="J15" t="str">
            <v>HC</v>
          </cell>
          <cell r="K15">
            <v>32163.200000000001</v>
          </cell>
        </row>
        <row r="16">
          <cell r="A16" t="str">
            <v>ACERO DE REFUERZO FIGURADO 37,000 - 60,000 PSI</v>
          </cell>
          <cell r="B16" t="str">
            <v>KG</v>
          </cell>
          <cell r="C16">
            <v>2450</v>
          </cell>
          <cell r="E16" t="str">
            <v>COMPACTADOR NEUMATICO</v>
          </cell>
          <cell r="F16" t="str">
            <v>HR</v>
          </cell>
          <cell r="G16">
            <v>92800</v>
          </cell>
          <cell r="I16" t="str">
            <v>M.O. CUADRILLA ELECTRICA TIPO 1 (1 OFICIAL TEC. + 1 AYU. TEC.)</v>
          </cell>
          <cell r="J16" t="str">
            <v>HC</v>
          </cell>
          <cell r="K16">
            <v>34400</v>
          </cell>
        </row>
        <row r="17">
          <cell r="A17" t="str">
            <v>ACERO DE REFUERZO FIGURADO GRADO PDR 60</v>
          </cell>
          <cell r="B17" t="str">
            <v>KG</v>
          </cell>
          <cell r="C17">
            <v>3463</v>
          </cell>
          <cell r="E17" t="str">
            <v>COMPACTADOR VIBRATORIO (10 TON)</v>
          </cell>
          <cell r="F17" t="str">
            <v>HR</v>
          </cell>
          <cell r="G17">
            <v>98600</v>
          </cell>
          <cell r="I17" t="str">
            <v>M.O. CUADRILLA ELECTRICA TIPO 2 (1 OFICIAL TEC. + 2 AYU. TEC.)</v>
          </cell>
          <cell r="J17" t="str">
            <v>HC</v>
          </cell>
          <cell r="K17">
            <v>43520</v>
          </cell>
        </row>
        <row r="18">
          <cell r="A18" t="str">
            <v>ACERO ESTRUCTURAL ASTMA-36</v>
          </cell>
          <cell r="B18" t="str">
            <v>KG</v>
          </cell>
          <cell r="C18">
            <v>3071.25</v>
          </cell>
          <cell r="E18" t="str">
            <v>COMPRESOR 2 MARTILLOS 185 PCM</v>
          </cell>
          <cell r="F18" t="str">
            <v>HR</v>
          </cell>
          <cell r="G18">
            <v>92000</v>
          </cell>
          <cell r="I18" t="str">
            <v>M.O. CUADRILLA ELECTRICA TIPO 3 (1 OFICIAL TEC. + 3 AYU. TEC.)</v>
          </cell>
          <cell r="J18" t="str">
            <v>HC</v>
          </cell>
          <cell r="K18">
            <v>52000</v>
          </cell>
        </row>
        <row r="19">
          <cell r="A19" t="str">
            <v>ACERO FIGURADO No. 3 (Ø 3/8") F'y=60000 PSI</v>
          </cell>
          <cell r="B19" t="str">
            <v>KG</v>
          </cell>
          <cell r="C19">
            <v>2450</v>
          </cell>
          <cell r="E19" t="str">
            <v>COMPRESOR CON PISTOLA PINTURA  1 HP 80 LBS</v>
          </cell>
          <cell r="F19" t="str">
            <v>DIA</v>
          </cell>
          <cell r="G19">
            <v>37450</v>
          </cell>
          <cell r="I19" t="str">
            <v>M.O. CUADRILLA ELECTRICA TIPO 4 (1 OFICIAL TEC. + 4 AYU. TEC.)</v>
          </cell>
          <cell r="J19" t="str">
            <v>HC</v>
          </cell>
          <cell r="K19">
            <v>60800</v>
          </cell>
        </row>
        <row r="20">
          <cell r="A20" t="str">
            <v>ACERO FIGURADO No. 3 (Ø 3/8``) F`y=60000 PSI</v>
          </cell>
          <cell r="B20" t="str">
            <v>KG</v>
          </cell>
          <cell r="C20">
            <v>1972</v>
          </cell>
          <cell r="E20" t="str">
            <v>COMPRESOR PARA BARRIDO Y SOPLADO</v>
          </cell>
          <cell r="F20" t="str">
            <v>HR</v>
          </cell>
          <cell r="G20">
            <v>35875</v>
          </cell>
          <cell r="I20" t="str">
            <v>M.O. ENSAMBLE TABLERO (1 TEC TABLERISTA + 1 AUX TEC.)</v>
          </cell>
          <cell r="J20" t="str">
            <v>HOR</v>
          </cell>
          <cell r="K20">
            <v>175680</v>
          </cell>
        </row>
        <row r="21">
          <cell r="A21" t="str">
            <v>ACERO FIGURADO No. 4 (Ø 1/2``) F`y=60000 PSI</v>
          </cell>
          <cell r="B21" t="str">
            <v>KG</v>
          </cell>
          <cell r="C21">
            <v>1972</v>
          </cell>
          <cell r="E21" t="str">
            <v>CORTADORA DE PAVIMENTO</v>
          </cell>
          <cell r="F21" t="str">
            <v>DIA</v>
          </cell>
          <cell r="G21">
            <v>55321</v>
          </cell>
          <cell r="I21" t="str">
            <v>M.O. OPERADOR TORNO</v>
          </cell>
          <cell r="J21" t="str">
            <v>HR</v>
          </cell>
          <cell r="K21">
            <v>38115.200000000004</v>
          </cell>
        </row>
        <row r="22">
          <cell r="A22" t="str">
            <v>ACERO FIGURADO Ø 1/4`` A Ø 1`` F`y=60000 PSI</v>
          </cell>
          <cell r="B22" t="str">
            <v>KG</v>
          </cell>
          <cell r="C22">
            <v>1972</v>
          </cell>
          <cell r="E22" t="str">
            <v>EQUIPO AUTOPROPULSADO PARA PINTURA TERMOPLASTICA</v>
          </cell>
          <cell r="F22" t="str">
            <v>HR</v>
          </cell>
          <cell r="G22">
            <v>324485</v>
          </cell>
          <cell r="I22" t="str">
            <v>OFICIAL TECNICO INSTALACIONES ELECTRICAS</v>
          </cell>
          <cell r="J22" t="str">
            <v>HR</v>
          </cell>
          <cell r="K22">
            <v>22868.799999999999</v>
          </cell>
        </row>
        <row r="23">
          <cell r="A23" t="str">
            <v>ACIDO MURIATICO</v>
          </cell>
          <cell r="B23" t="str">
            <v>GLN</v>
          </cell>
          <cell r="C23">
            <v>10653.3</v>
          </cell>
          <cell r="E23" t="str">
            <v>EQUIPO DE TOPOGRAFÍA (ESTACION, NIVEL Y ELEMENTOS)</v>
          </cell>
          <cell r="F23" t="str">
            <v>DIA</v>
          </cell>
          <cell r="G23">
            <v>171200</v>
          </cell>
          <cell r="I23">
            <v>0</v>
          </cell>
          <cell r="J23">
            <v>0</v>
          </cell>
          <cell r="K23">
            <v>0</v>
          </cell>
        </row>
        <row r="24">
          <cell r="A24" t="str">
            <v>ACOPLE  1/2" X 7/8" 0.40 M PLASTICO SANITARIO GRIVAL</v>
          </cell>
          <cell r="B24" t="str">
            <v>UND</v>
          </cell>
          <cell r="C24">
            <v>2736.3</v>
          </cell>
          <cell r="E24" t="str">
            <v>EQUIPO MEDICIÓNES</v>
          </cell>
          <cell r="F24" t="str">
            <v>HR</v>
          </cell>
          <cell r="G24">
            <v>30000</v>
          </cell>
          <cell r="I24">
            <v>0</v>
          </cell>
          <cell r="J24">
            <v>0</v>
          </cell>
          <cell r="K24">
            <v>0</v>
          </cell>
        </row>
        <row r="25">
          <cell r="A25" t="str">
            <v>ACOPLE 1/2" X 1/2" 0.40 m ACERO-LAVAMANOS COFLEX</v>
          </cell>
          <cell r="B25" t="str">
            <v>UND</v>
          </cell>
          <cell r="C25">
            <v>7581</v>
          </cell>
          <cell r="E25" t="str">
            <v>EQUIPO OXICORTE</v>
          </cell>
          <cell r="F25" t="str">
            <v>D</v>
          </cell>
          <cell r="G25">
            <v>42800</v>
          </cell>
          <cell r="I25">
            <v>0</v>
          </cell>
          <cell r="J25">
            <v>0</v>
          </cell>
          <cell r="K25">
            <v>0</v>
          </cell>
        </row>
        <row r="26">
          <cell r="A26" t="str">
            <v>ACOPLE GRIFLEX LAVAPLATOS Y LAVAMANOS 1/2 X 1/2 MANGUERA</v>
          </cell>
          <cell r="B26" t="str">
            <v>UND</v>
          </cell>
          <cell r="C26">
            <v>2308.9500000000003</v>
          </cell>
          <cell r="E26" t="str">
            <v>EQUIPO SOLDADURA ELECTRICA AC/DC 110/220</v>
          </cell>
          <cell r="F26" t="str">
            <v>D</v>
          </cell>
          <cell r="G26">
            <v>64200</v>
          </cell>
          <cell r="I26">
            <v>0</v>
          </cell>
          <cell r="J26">
            <v>0</v>
          </cell>
          <cell r="K26">
            <v>0</v>
          </cell>
        </row>
        <row r="27">
          <cell r="A27" t="str">
            <v>ACOPLE SANITARIO 1/2" X 7/8" PLASTICO-PLASTICO</v>
          </cell>
          <cell r="B27" t="str">
            <v>UND</v>
          </cell>
          <cell r="C27">
            <v>3360</v>
          </cell>
          <cell r="E27" t="str">
            <v>EQUIPOS DE TENSIONAMIENTO</v>
          </cell>
          <cell r="F27" t="str">
            <v>HR</v>
          </cell>
          <cell r="G27">
            <v>130000</v>
          </cell>
          <cell r="I27">
            <v>0</v>
          </cell>
          <cell r="J27">
            <v>0</v>
          </cell>
          <cell r="K27">
            <v>0</v>
          </cell>
        </row>
        <row r="28">
          <cell r="A28" t="str">
            <v>ACPM</v>
          </cell>
          <cell r="B28" t="str">
            <v>GLN</v>
          </cell>
          <cell r="C28">
            <v>8652</v>
          </cell>
          <cell r="E28" t="str">
            <v>FORMALETA ENTREPISO</v>
          </cell>
          <cell r="F28" t="str">
            <v>DIA</v>
          </cell>
          <cell r="G28">
            <v>2978</v>
          </cell>
          <cell r="I28">
            <v>0</v>
          </cell>
          <cell r="J28">
            <v>0</v>
          </cell>
          <cell r="K28">
            <v>0</v>
          </cell>
        </row>
        <row r="29">
          <cell r="A29" t="str">
            <v>ACRILICO PARA TABLERO BASQUET 10MM (1.2x1.8 MTS)</v>
          </cell>
          <cell r="B29" t="str">
            <v>UN</v>
          </cell>
          <cell r="C29">
            <v>372750</v>
          </cell>
          <cell r="E29" t="str">
            <v>FORMALETA MADERA PARA TAPAS-CAJAS Y CAMARAS</v>
          </cell>
          <cell r="F29" t="str">
            <v>M2</v>
          </cell>
          <cell r="G29">
            <v>9709</v>
          </cell>
          <cell r="I29">
            <v>0</v>
          </cell>
          <cell r="J29">
            <v>0</v>
          </cell>
          <cell r="K29">
            <v>0</v>
          </cell>
        </row>
        <row r="30">
          <cell r="A30" t="str">
            <v>ADAPTADOR 1" MACHO PVC</v>
          </cell>
          <cell r="B30" t="str">
            <v>UND</v>
          </cell>
          <cell r="C30">
            <v>1260</v>
          </cell>
          <cell r="E30" t="str">
            <v>FORMALETA METALICA PARA CONCRETO</v>
          </cell>
          <cell r="F30" t="str">
            <v>DIA</v>
          </cell>
          <cell r="G30">
            <v>1368</v>
          </cell>
          <cell r="I30">
            <v>0</v>
          </cell>
          <cell r="J30">
            <v>0</v>
          </cell>
          <cell r="K30">
            <v>0</v>
          </cell>
        </row>
        <row r="31">
          <cell r="A31" t="str">
            <v>ADAPTADOR 1-1/2" HEMBRA PVC</v>
          </cell>
          <cell r="B31" t="str">
            <v>UND</v>
          </cell>
          <cell r="C31">
            <v>3045</v>
          </cell>
          <cell r="E31" t="str">
            <v>FORMALETA METALICA SARDINEL (ML)</v>
          </cell>
          <cell r="F31" t="str">
            <v>DIA</v>
          </cell>
          <cell r="G31">
            <v>1043</v>
          </cell>
          <cell r="I31">
            <v>0</v>
          </cell>
          <cell r="J31">
            <v>0</v>
          </cell>
          <cell r="K31">
            <v>0</v>
          </cell>
        </row>
        <row r="32">
          <cell r="A32" t="str">
            <v>ADAPTADOR CONDUIT PVC 1½``. MACHO TERMINAL</v>
          </cell>
          <cell r="B32" t="str">
            <v>UN</v>
          </cell>
          <cell r="C32">
            <v>1300</v>
          </cell>
          <cell r="E32" t="str">
            <v>GATO PARA TENSIONAMIENTO</v>
          </cell>
          <cell r="F32" t="str">
            <v>HR</v>
          </cell>
          <cell r="G32">
            <v>112750</v>
          </cell>
          <cell r="I32">
            <v>0</v>
          </cell>
          <cell r="J32">
            <v>0</v>
          </cell>
          <cell r="K32">
            <v>0</v>
          </cell>
        </row>
        <row r="33">
          <cell r="A33" t="str">
            <v>ADAPTADOR PRESION MACHO 1" PAVCO</v>
          </cell>
          <cell r="B33" t="str">
            <v>UND</v>
          </cell>
          <cell r="C33">
            <v>840</v>
          </cell>
          <cell r="E33" t="str">
            <v>GPS</v>
          </cell>
          <cell r="F33" t="str">
            <v>UN</v>
          </cell>
          <cell r="G33">
            <v>75000</v>
          </cell>
          <cell r="I33">
            <v>0</v>
          </cell>
          <cell r="J33">
            <v>0</v>
          </cell>
          <cell r="K33">
            <v>0</v>
          </cell>
        </row>
        <row r="34">
          <cell r="A34" t="str">
            <v>ADAPTADOR PRESIÓN MACHO 3/4" PAVCO</v>
          </cell>
          <cell r="B34" t="str">
            <v>UND</v>
          </cell>
          <cell r="C34">
            <v>420</v>
          </cell>
          <cell r="E34" t="str">
            <v>GRUA</v>
          </cell>
          <cell r="F34" t="str">
            <v>HR</v>
          </cell>
          <cell r="G34">
            <v>156000</v>
          </cell>
          <cell r="I34">
            <v>0</v>
          </cell>
          <cell r="J34">
            <v>0</v>
          </cell>
          <cell r="K34">
            <v>0</v>
          </cell>
        </row>
        <row r="35">
          <cell r="A35" t="str">
            <v>ADHESIVO HIT RE 500 11,1 ONZ, 330 ML</v>
          </cell>
          <cell r="B35" t="str">
            <v>CART</v>
          </cell>
          <cell r="C35">
            <v>46177.95</v>
          </cell>
          <cell r="E35" t="str">
            <v>GRUA CON TORRE CAP. 1 TON EN LA PUNTA</v>
          </cell>
          <cell r="F35" t="str">
            <v>HR</v>
          </cell>
          <cell r="G35">
            <v>123581</v>
          </cell>
          <cell r="I35">
            <v>0</v>
          </cell>
          <cell r="J35">
            <v>0</v>
          </cell>
          <cell r="K35">
            <v>0</v>
          </cell>
        </row>
        <row r="36">
          <cell r="A36" t="str">
            <v>ADHESIVO NOVAFORT PAVCO 310 ML</v>
          </cell>
          <cell r="B36" t="str">
            <v>UND</v>
          </cell>
          <cell r="C36">
            <v>46177.95</v>
          </cell>
          <cell r="E36" t="str">
            <v>GRUA EXTENSION MONTAJE ESTRUCTURA METAL/ POSTES</v>
          </cell>
          <cell r="F36" t="str">
            <v>D</v>
          </cell>
          <cell r="G36">
            <v>535000</v>
          </cell>
          <cell r="I36">
            <v>0</v>
          </cell>
          <cell r="J36">
            <v>0</v>
          </cell>
          <cell r="K36">
            <v>0</v>
          </cell>
        </row>
        <row r="37">
          <cell r="A37" t="str">
            <v>ADOQUIN CUARTERON 25*6*6</v>
          </cell>
          <cell r="B37" t="str">
            <v>UND</v>
          </cell>
          <cell r="C37">
            <v>499.8</v>
          </cell>
          <cell r="E37" t="str">
            <v>GRUA EXTENSION PARA POSTES</v>
          </cell>
          <cell r="F37" t="str">
            <v>HR</v>
          </cell>
          <cell r="G37">
            <v>45000</v>
          </cell>
          <cell r="I37">
            <v>0</v>
          </cell>
          <cell r="J37">
            <v>0</v>
          </cell>
          <cell r="K37">
            <v>0</v>
          </cell>
        </row>
        <row r="38">
          <cell r="A38" t="str">
            <v>ADOQUIN DE ARCILLA 20x10x6</v>
          </cell>
          <cell r="B38" t="str">
            <v>un</v>
          </cell>
          <cell r="C38">
            <v>480</v>
          </cell>
          <cell r="E38" t="str">
            <v>GUADAÑADORA</v>
          </cell>
          <cell r="F38" t="str">
            <v>HR</v>
          </cell>
          <cell r="G38">
            <v>5350</v>
          </cell>
          <cell r="I38">
            <v>0</v>
          </cell>
          <cell r="J38">
            <v>0</v>
          </cell>
          <cell r="K38">
            <v>0</v>
          </cell>
        </row>
        <row r="39">
          <cell r="A39" t="str">
            <v>ADOQUIN DE ARCILLA 20x10x8</v>
          </cell>
          <cell r="B39" t="str">
            <v>un</v>
          </cell>
          <cell r="C39">
            <v>600</v>
          </cell>
          <cell r="E39" t="str">
            <v>HERRAMIENTA ESPECIAL LINEA VIVA</v>
          </cell>
          <cell r="F39" t="str">
            <v>HR</v>
          </cell>
          <cell r="G39">
            <v>125000</v>
          </cell>
          <cell r="I39">
            <v>0</v>
          </cell>
          <cell r="J39">
            <v>0</v>
          </cell>
          <cell r="K39">
            <v>0</v>
          </cell>
        </row>
        <row r="40">
          <cell r="A40" t="str">
            <v>ADOQUIN DE CONCRETO (200x100x80mm)</v>
          </cell>
          <cell r="B40" t="str">
            <v>un</v>
          </cell>
          <cell r="C40">
            <v>751</v>
          </cell>
          <cell r="E40" t="str">
            <v>HERRAMIENTA MENOR</v>
          </cell>
          <cell r="F40" t="str">
            <v>HR</v>
          </cell>
          <cell r="G40">
            <v>102600</v>
          </cell>
          <cell r="I40">
            <v>0</v>
          </cell>
          <cell r="J40">
            <v>0</v>
          </cell>
          <cell r="K40">
            <v>0</v>
          </cell>
        </row>
        <row r="41">
          <cell r="A41" t="str">
            <v>ADOQUIN DE CONCRETO (200x100x80mm) COLOR</v>
          </cell>
          <cell r="B41" t="str">
            <v>un</v>
          </cell>
          <cell r="C41">
            <v>848</v>
          </cell>
          <cell r="E41" t="str">
            <v>MAQUINA TERMICA PEGA TACHAS</v>
          </cell>
          <cell r="F41" t="str">
            <v>HR</v>
          </cell>
          <cell r="G41">
            <v>26650</v>
          </cell>
          <cell r="I41">
            <v>0</v>
          </cell>
          <cell r="J41">
            <v>0</v>
          </cell>
          <cell r="K41">
            <v>0</v>
          </cell>
        </row>
        <row r="42">
          <cell r="A42" t="str">
            <v>ADOQUIN DE CONCRETO A25 (200x100x60mm)</v>
          </cell>
          <cell r="B42" t="str">
            <v>un</v>
          </cell>
          <cell r="C42">
            <v>574</v>
          </cell>
          <cell r="E42" t="str">
            <v>MEZCLADORA DE CONCRETO</v>
          </cell>
          <cell r="F42" t="str">
            <v>D</v>
          </cell>
          <cell r="G42">
            <v>53500</v>
          </cell>
          <cell r="I42">
            <v>0</v>
          </cell>
          <cell r="J42">
            <v>0</v>
          </cell>
          <cell r="K42">
            <v>0</v>
          </cell>
        </row>
        <row r="43">
          <cell r="A43" t="str">
            <v>ADOQUIN ECOLOGICO 150*150*40MM</v>
          </cell>
          <cell r="B43" t="str">
            <v>UND</v>
          </cell>
          <cell r="C43">
            <v>682.5</v>
          </cell>
          <cell r="E43" t="str">
            <v>MINICARGADOR BOBCAT S185</v>
          </cell>
          <cell r="F43" t="str">
            <v>HR</v>
          </cell>
          <cell r="G43">
            <v>47500</v>
          </cell>
          <cell r="I43">
            <v>0</v>
          </cell>
          <cell r="J43">
            <v>0</v>
          </cell>
          <cell r="K43">
            <v>0</v>
          </cell>
        </row>
        <row r="44">
          <cell r="A44" t="str">
            <v>ADOQUIN ECOLOGICO EN CONCRETO DE 40 X 40 X 8cm</v>
          </cell>
          <cell r="B44" t="str">
            <v>M2</v>
          </cell>
          <cell r="C44">
            <v>45625</v>
          </cell>
          <cell r="E44" t="str">
            <v>MOLDE DE GRAFITO PARA SOLDADURA EXOTERMICA</v>
          </cell>
          <cell r="F44" t="str">
            <v>DIA</v>
          </cell>
          <cell r="G44">
            <v>35000</v>
          </cell>
          <cell r="I44">
            <v>0</v>
          </cell>
          <cell r="J44">
            <v>0</v>
          </cell>
          <cell r="K44">
            <v>0</v>
          </cell>
        </row>
        <row r="45">
          <cell r="A45" t="str">
            <v>ADOQUIN EN CONCRETO COLOR OCRE 200 X 100 A25</v>
          </cell>
          <cell r="B45" t="str">
            <v>M2</v>
          </cell>
          <cell r="C45">
            <v>38790</v>
          </cell>
          <cell r="E45" t="str">
            <v>MOLDE TIPO TAPETE PARA CONCRETO ESTAMPADO</v>
          </cell>
          <cell r="F45" t="str">
            <v>DIA</v>
          </cell>
          <cell r="G45">
            <v>10700</v>
          </cell>
          <cell r="I45">
            <v>0</v>
          </cell>
          <cell r="J45">
            <v>0</v>
          </cell>
          <cell r="K45">
            <v>0</v>
          </cell>
        </row>
        <row r="46">
          <cell r="A46" t="str">
            <v>AGUA</v>
          </cell>
          <cell r="B46" t="str">
            <v>LT</v>
          </cell>
          <cell r="C46">
            <v>13</v>
          </cell>
          <cell r="E46" t="str">
            <v>MOTOBOMBA A GASOLINA DE 3"</v>
          </cell>
          <cell r="F46" t="str">
            <v>D</v>
          </cell>
          <cell r="G46">
            <v>44512</v>
          </cell>
          <cell r="I46">
            <v>0</v>
          </cell>
          <cell r="J46">
            <v>0</v>
          </cell>
          <cell r="K46">
            <v>0</v>
          </cell>
        </row>
        <row r="47">
          <cell r="A47" t="str">
            <v>AISLADOR POLIMÉRICO DE SUSPENSIÓN HORQUILLA-OJO</v>
          </cell>
          <cell r="B47" t="str">
            <v>und</v>
          </cell>
          <cell r="C47">
            <v>26800</v>
          </cell>
          <cell r="E47" t="str">
            <v>MOTOBOMBA DE CONCRETO</v>
          </cell>
          <cell r="F47" t="str">
            <v>HR</v>
          </cell>
          <cell r="G47">
            <v>75890</v>
          </cell>
          <cell r="I47">
            <v>0</v>
          </cell>
          <cell r="J47">
            <v>0</v>
          </cell>
          <cell r="K47">
            <v>0</v>
          </cell>
        </row>
        <row r="48">
          <cell r="A48" t="str">
            <v>AISLADOR POLIMÉRICO TIPO PIN ANSI 55-4 CON AMARRE</v>
          </cell>
          <cell r="B48" t="str">
            <v>un</v>
          </cell>
          <cell r="C48">
            <v>12000</v>
          </cell>
          <cell r="E48" t="str">
            <v>MOTOBOMBA DIESEL 6"</v>
          </cell>
          <cell r="F48" t="str">
            <v>DIA</v>
          </cell>
          <cell r="G48">
            <v>192600</v>
          </cell>
          <cell r="I48">
            <v>0</v>
          </cell>
          <cell r="J48">
            <v>0</v>
          </cell>
          <cell r="K48">
            <v>0</v>
          </cell>
        </row>
        <row r="49">
          <cell r="A49" t="str">
            <v>AISLADOR SUSP. PASADOR 6*ANSI 52-1</v>
          </cell>
          <cell r="B49" t="str">
            <v>UN</v>
          </cell>
          <cell r="C49">
            <v>18972</v>
          </cell>
          <cell r="E49" t="str">
            <v>MOTOBOMBA SUMERGIBLE 3" INCLUYE COMBUSTIBLE.</v>
          </cell>
          <cell r="F49" t="str">
            <v>DIA</v>
          </cell>
          <cell r="G49">
            <v>54670</v>
          </cell>
          <cell r="I49">
            <v>0</v>
          </cell>
        </row>
        <row r="50">
          <cell r="A50" t="str">
            <v>AISLADOR SUSPENSIÓN PASADOR Y HORQUILLA 6`` ANSI 52-1.</v>
          </cell>
          <cell r="B50" t="str">
            <v>UN</v>
          </cell>
          <cell r="C50">
            <v>18972</v>
          </cell>
          <cell r="E50" t="str">
            <v>MOTOBOMBA SUMERGIBLE 4" INCLUYE COMBUSTIBLE.</v>
          </cell>
          <cell r="F50" t="str">
            <v>DIA</v>
          </cell>
          <cell r="G50">
            <v>79879</v>
          </cell>
          <cell r="I50">
            <v>0</v>
          </cell>
        </row>
        <row r="51">
          <cell r="A51" t="str">
            <v>AISLADOR TIPO PIN DE 13.2 KV ANSI 55-5 POLIMERICO</v>
          </cell>
          <cell r="B51" t="str">
            <v>UN</v>
          </cell>
          <cell r="C51">
            <v>13617</v>
          </cell>
          <cell r="E51" t="str">
            <v>MOTONIVELADORA  215 HP ANCHO CUCHILLA 4,27 M 18 TONELADAS</v>
          </cell>
          <cell r="F51" t="str">
            <v>HR</v>
          </cell>
          <cell r="G51">
            <v>123856</v>
          </cell>
          <cell r="I51">
            <v>0</v>
          </cell>
        </row>
        <row r="52">
          <cell r="A52" t="str">
            <v>AISLADOR TIPO TENSOR ANSI 54-2 - 13.2 KV</v>
          </cell>
          <cell r="B52" t="str">
            <v>UN</v>
          </cell>
          <cell r="C52">
            <v>6940</v>
          </cell>
          <cell r="E52" t="str">
            <v>MOTOSIERRA STHILL 660 (10.000 RPM)</v>
          </cell>
          <cell r="F52" t="str">
            <v>HR</v>
          </cell>
          <cell r="G52">
            <v>4815</v>
          </cell>
          <cell r="I52">
            <v>0</v>
          </cell>
        </row>
        <row r="53">
          <cell r="A53" t="str">
            <v>ALAMBRE CALIBRE 14</v>
          </cell>
          <cell r="B53" t="str">
            <v>KG</v>
          </cell>
          <cell r="C53">
            <v>3690.75</v>
          </cell>
          <cell r="E53" t="str">
            <v>PARAL TELECOPICO 2.2 A 3.50 MTS (UN)</v>
          </cell>
          <cell r="F53" t="str">
            <v>MES</v>
          </cell>
          <cell r="G53">
            <v>11277.8</v>
          </cell>
          <cell r="I53">
            <v>0</v>
          </cell>
        </row>
        <row r="54">
          <cell r="A54" t="str">
            <v>ALAMBRE CU AISLADO No. 8 THHN-THWN 90 600V</v>
          </cell>
          <cell r="B54" t="str">
            <v>ML</v>
          </cell>
          <cell r="C54">
            <v>2950</v>
          </cell>
          <cell r="E54" t="str">
            <v>PALA AUXILIAR DE PILOTEADORA</v>
          </cell>
          <cell r="F54" t="str">
            <v>HR</v>
          </cell>
          <cell r="G54">
            <v>307500</v>
          </cell>
          <cell r="I54">
            <v>0</v>
          </cell>
        </row>
        <row r="55">
          <cell r="A55" t="str">
            <v>ALAMBRE CU AISLADO No.10 THHN-THWN 90 600V</v>
          </cell>
          <cell r="B55" t="str">
            <v>ML</v>
          </cell>
          <cell r="C55">
            <v>1990</v>
          </cell>
          <cell r="E55" t="str">
            <v>PILOTEADORA (INCLUYE MOVILIZACIÓN, MONTAJE Y DESMONTAJE)</v>
          </cell>
          <cell r="F55" t="str">
            <v>HR</v>
          </cell>
          <cell r="G55">
            <v>492568</v>
          </cell>
          <cell r="I55">
            <v>0</v>
          </cell>
        </row>
        <row r="56">
          <cell r="A56" t="str">
            <v>ALAMBRE CU AISLADO No.12 THHN-THWN 90 600V</v>
          </cell>
          <cell r="B56" t="str">
            <v>ML</v>
          </cell>
          <cell r="C56">
            <v>1350</v>
          </cell>
          <cell r="E56" t="str">
            <v>PISTOLA DE FIJACION D X 35</v>
          </cell>
          <cell r="F56" t="str">
            <v>HR</v>
          </cell>
          <cell r="G56">
            <v>3745</v>
          </cell>
          <cell r="I56">
            <v>0</v>
          </cell>
        </row>
        <row r="57">
          <cell r="A57" t="str">
            <v>ALAMBRE CU AISLADO No.14 THHN-THWN 90 600V</v>
          </cell>
          <cell r="B57" t="str">
            <v>ML</v>
          </cell>
          <cell r="C57">
            <v>850</v>
          </cell>
          <cell r="E57" t="str">
            <v>PLANCHONES ALQUILADOS</v>
          </cell>
          <cell r="F57" t="str">
            <v>D</v>
          </cell>
          <cell r="G57">
            <v>727.6</v>
          </cell>
          <cell r="I57">
            <v>0</v>
          </cell>
        </row>
        <row r="58">
          <cell r="A58" t="str">
            <v>ALAMBRE DE COBRE NO. 10</v>
          </cell>
          <cell r="B58" t="str">
            <v>ml</v>
          </cell>
          <cell r="C58">
            <v>1990</v>
          </cell>
          <cell r="E58" t="str">
            <v>PLANTA ELECTRICA MOD. 4 T 2600</v>
          </cell>
          <cell r="F58" t="str">
            <v>D</v>
          </cell>
          <cell r="G58">
            <v>69550</v>
          </cell>
          <cell r="I58">
            <v>0</v>
          </cell>
        </row>
        <row r="59">
          <cell r="A59" t="str">
            <v>ALAMBRE DE PUA CAL 12-1/2</v>
          </cell>
          <cell r="B59" t="str">
            <v>M</v>
          </cell>
          <cell r="C59">
            <v>326.02</v>
          </cell>
          <cell r="E59" t="str">
            <v>PLUMA GASOLINA</v>
          </cell>
          <cell r="F59" t="str">
            <v>D</v>
          </cell>
          <cell r="G59">
            <v>50278.23</v>
          </cell>
          <cell r="I59">
            <v>0</v>
          </cell>
        </row>
        <row r="60">
          <cell r="A60" t="str">
            <v>ALAMBRE DE PUA CAL. 12.5 X 34 KG, 330 ML</v>
          </cell>
          <cell r="B60" t="str">
            <v>M</v>
          </cell>
          <cell r="C60">
            <v>423.15</v>
          </cell>
          <cell r="E60" t="str">
            <v>PLANTA ELECTRICA TIPO 4T 5200</v>
          </cell>
          <cell r="F60" t="str">
            <v>DIA</v>
          </cell>
          <cell r="G60">
            <v>64790</v>
          </cell>
          <cell r="I60">
            <v>0</v>
          </cell>
        </row>
        <row r="61">
          <cell r="A61" t="str">
            <v>ALAMBRE GALVANIZADO CAL  6</v>
          </cell>
          <cell r="B61" t="str">
            <v>KG</v>
          </cell>
          <cell r="C61">
            <v>3374.7</v>
          </cell>
          <cell r="E61" t="str">
            <v>PULIDORA DESTRONCADORA AGUA</v>
          </cell>
          <cell r="F61" t="str">
            <v>D</v>
          </cell>
          <cell r="G61">
            <v>32100</v>
          </cell>
          <cell r="I61">
            <v>0</v>
          </cell>
        </row>
        <row r="62">
          <cell r="A62" t="str">
            <v>ALAMBRE GALVANIZADO CAL  8</v>
          </cell>
          <cell r="B62" t="str">
            <v>KG</v>
          </cell>
          <cell r="C62">
            <v>3150</v>
          </cell>
          <cell r="E62" t="str">
            <v>PULIDORA MANUAL CON DISCO (ALQUILER)</v>
          </cell>
          <cell r="F62" t="str">
            <v>D</v>
          </cell>
          <cell r="G62">
            <v>21400</v>
          </cell>
          <cell r="I62">
            <v>0</v>
          </cell>
        </row>
        <row r="63">
          <cell r="A63" t="str">
            <v>ALAMBRE GALVANIZADO CAL 10</v>
          </cell>
          <cell r="B63" t="str">
            <v>KG</v>
          </cell>
          <cell r="C63">
            <v>3167.85</v>
          </cell>
          <cell r="E63" t="str">
            <v>PULIDORA MANUAL SIN DISCO</v>
          </cell>
          <cell r="F63" t="str">
            <v>D</v>
          </cell>
          <cell r="G63">
            <v>14980</v>
          </cell>
          <cell r="I63">
            <v>0</v>
          </cell>
        </row>
        <row r="64">
          <cell r="A64" t="str">
            <v>ALAMBRE GALVANIZADO CAL 14</v>
          </cell>
          <cell r="B64" t="str">
            <v>KG</v>
          </cell>
          <cell r="C64">
            <v>4326</v>
          </cell>
          <cell r="E64" t="str">
            <v>RANA VIBRO-COMPACTADOR DIESEL</v>
          </cell>
          <cell r="F64" t="str">
            <v>DIA</v>
          </cell>
          <cell r="G64">
            <v>43789</v>
          </cell>
          <cell r="I64">
            <v>0</v>
          </cell>
        </row>
        <row r="65">
          <cell r="A65" t="str">
            <v>ALAMBRE GALVANIZADO CAL 18</v>
          </cell>
          <cell r="B65" t="str">
            <v>KG</v>
          </cell>
          <cell r="C65">
            <v>5166</v>
          </cell>
          <cell r="E65" t="str">
            <v>REGLA VIBRATORIA LIVIANA 4 MTS</v>
          </cell>
          <cell r="F65" t="str">
            <v>DIA</v>
          </cell>
          <cell r="G65">
            <v>53500</v>
          </cell>
          <cell r="I65">
            <v>0</v>
          </cell>
        </row>
        <row r="66">
          <cell r="A66" t="str">
            <v>ALAMBRE GALVANIZADO CAL.12</v>
          </cell>
          <cell r="B66" t="str">
            <v>KG</v>
          </cell>
          <cell r="C66">
            <v>4800</v>
          </cell>
          <cell r="E66" t="str">
            <v>RETROCARGADOR</v>
          </cell>
          <cell r="F66" t="str">
            <v>HR</v>
          </cell>
          <cell r="G66">
            <v>88428</v>
          </cell>
          <cell r="I66">
            <v>0</v>
          </cell>
        </row>
        <row r="67">
          <cell r="A67" t="str">
            <v>ALAMBRE NEGRO PARA AMARRE</v>
          </cell>
          <cell r="B67" t="str">
            <v>KG</v>
          </cell>
          <cell r="C67">
            <v>3700</v>
          </cell>
          <cell r="E67" t="str">
            <v>RETROEXCAVADORA CARGADORA TIPO J.D-510</v>
          </cell>
          <cell r="F67" t="str">
            <v>HR</v>
          </cell>
          <cell r="G67">
            <v>112237.65</v>
          </cell>
          <cell r="I67">
            <v>0</v>
          </cell>
        </row>
        <row r="68">
          <cell r="A68" t="str">
            <v>ALAMBRE TELEFONICO 2 x 22 JWT</v>
          </cell>
          <cell r="B68" t="str">
            <v>ML</v>
          </cell>
          <cell r="C68">
            <v>380</v>
          </cell>
          <cell r="E68" t="str">
            <v>RETROEXCAVADORA TIPO A25C</v>
          </cell>
          <cell r="F68" t="str">
            <v>HR</v>
          </cell>
          <cell r="G68">
            <v>143500</v>
          </cell>
          <cell r="I68">
            <v>0</v>
          </cell>
        </row>
        <row r="69">
          <cell r="A69" t="str">
            <v>ALFOMBRA TIPO JASPE 1000 GR/M2</v>
          </cell>
          <cell r="B69" t="str">
            <v>M2</v>
          </cell>
          <cell r="C69">
            <v>24150</v>
          </cell>
          <cell r="E69" t="str">
            <v>SOLDADOR</v>
          </cell>
          <cell r="F69" t="str">
            <v>HR</v>
          </cell>
          <cell r="G69">
            <v>45940.800000000003</v>
          </cell>
          <cell r="I69">
            <v>0</v>
          </cell>
        </row>
        <row r="70">
          <cell r="A70" t="str">
            <v>AMARRE METALICO</v>
          </cell>
          <cell r="B70" t="str">
            <v>UND</v>
          </cell>
          <cell r="C70">
            <v>105</v>
          </cell>
          <cell r="E70" t="str">
            <v>SOPLETE</v>
          </cell>
          <cell r="F70" t="str">
            <v>DIA</v>
          </cell>
          <cell r="G70">
            <v>23150</v>
          </cell>
          <cell r="I70">
            <v>0</v>
          </cell>
        </row>
        <row r="71">
          <cell r="A71" t="str">
            <v>AMARRE PLASTICO PARA CABLE TRENSADO (15x3.2MM) NEGRO</v>
          </cell>
          <cell r="B71" t="str">
            <v>UN</v>
          </cell>
          <cell r="C71">
            <v>65</v>
          </cell>
          <cell r="E71" t="str">
            <v>TALADRO PERCUTOR DE 3/4 TIPO WALT</v>
          </cell>
          <cell r="F71" t="str">
            <v>D</v>
          </cell>
          <cell r="G71">
            <v>26750</v>
          </cell>
          <cell r="I71">
            <v>0</v>
          </cell>
        </row>
        <row r="72">
          <cell r="A72" t="str">
            <v>AMARRE PLÁSTICO PARA CABLE TRENZADO</v>
          </cell>
          <cell r="B72" t="str">
            <v>UN</v>
          </cell>
          <cell r="C72">
            <v>65</v>
          </cell>
          <cell r="E72" t="str">
            <v>TERMINADORA DE ASFALTO FINISHER</v>
          </cell>
          <cell r="F72" t="str">
            <v>HR</v>
          </cell>
          <cell r="G72">
            <v>187453</v>
          </cell>
          <cell r="I72">
            <v>0</v>
          </cell>
        </row>
        <row r="73">
          <cell r="A73" t="str">
            <v>AMORTIGUADORES PARA DEFENSAS METALICAS. INCLUYE TORNILLOS.</v>
          </cell>
          <cell r="B73" t="str">
            <v>UND</v>
          </cell>
          <cell r="C73">
            <v>62200</v>
          </cell>
          <cell r="E73" t="str">
            <v>TIRFOR</v>
          </cell>
          <cell r="F73" t="str">
            <v>D</v>
          </cell>
          <cell r="G73">
            <v>21400</v>
          </cell>
          <cell r="I73">
            <v>0</v>
          </cell>
        </row>
        <row r="74">
          <cell r="A74" t="str">
            <v>ANCLAJE  AC  7/8"</v>
          </cell>
          <cell r="B74" t="str">
            <v>ML</v>
          </cell>
          <cell r="C74">
            <v>7500</v>
          </cell>
          <cell r="E74" t="str">
            <v>TORNO ELECTRICO</v>
          </cell>
          <cell r="F74" t="str">
            <v>HR</v>
          </cell>
          <cell r="G74">
            <v>53500</v>
          </cell>
          <cell r="I74">
            <v>0</v>
          </cell>
        </row>
        <row r="75">
          <cell r="A75" t="str">
            <v>ANCLAJE TIPO PVP</v>
          </cell>
          <cell r="B75" t="str">
            <v>UND</v>
          </cell>
          <cell r="C75">
            <v>341250</v>
          </cell>
          <cell r="E75" t="str">
            <v>VEHICULO DELINEADOR</v>
          </cell>
          <cell r="F75" t="str">
            <v>HR</v>
          </cell>
          <cell r="G75">
            <v>87125</v>
          </cell>
          <cell r="I75">
            <v>0</v>
          </cell>
        </row>
        <row r="76">
          <cell r="A76" t="str">
            <v>ANGULO  1 1/2" X 1 1/2 "</v>
          </cell>
          <cell r="B76" t="str">
            <v>ML</v>
          </cell>
          <cell r="C76">
            <v>4111.8</v>
          </cell>
          <cell r="E76" t="str">
            <v>VIBRADOR DE CONCRETO DIESEL 5.5 HP</v>
          </cell>
          <cell r="F76" t="str">
            <v>DIA</v>
          </cell>
          <cell r="G76">
            <v>28000</v>
          </cell>
          <cell r="I76">
            <v>0</v>
          </cell>
        </row>
        <row r="77">
          <cell r="A77" t="str">
            <v>ANGULO  1 1/4" X 3/16"</v>
          </cell>
          <cell r="B77" t="str">
            <v>ML</v>
          </cell>
          <cell r="C77">
            <v>5839.05</v>
          </cell>
          <cell r="E77" t="str">
            <v>VIBRADOR DE CONCRETO MOTOR 3HP 18,000 RPM</v>
          </cell>
          <cell r="F77" t="str">
            <v>HR</v>
          </cell>
          <cell r="G77">
            <v>4178</v>
          </cell>
          <cell r="I77">
            <v>0</v>
          </cell>
        </row>
        <row r="78">
          <cell r="A78" t="str">
            <v>ANGULO  2" X 3/16</v>
          </cell>
          <cell r="B78" t="str">
            <v>ML</v>
          </cell>
          <cell r="C78">
            <v>10362.450000000001</v>
          </cell>
          <cell r="E78" t="str">
            <v>VIBRADOR TIPO AGUJA</v>
          </cell>
          <cell r="F78" t="str">
            <v>DIA</v>
          </cell>
          <cell r="G78">
            <v>40191.11</v>
          </cell>
          <cell r="I78">
            <v>0</v>
          </cell>
        </row>
        <row r="79">
          <cell r="A79" t="str">
            <v>ANGULO  2-1/2" X 3/16"</v>
          </cell>
          <cell r="B79" t="str">
            <v>ML</v>
          </cell>
          <cell r="C79">
            <v>13272</v>
          </cell>
          <cell r="E79" t="str">
            <v>VIBROCOMPACTADOR RODILLO 10 TONELADAS TIPO SD100</v>
          </cell>
          <cell r="F79" t="str">
            <v>HR</v>
          </cell>
          <cell r="G79">
            <v>121557</v>
          </cell>
          <cell r="I79">
            <v>0</v>
          </cell>
        </row>
        <row r="80">
          <cell r="A80" t="str">
            <v>ANGULO  4" X 4" X 1/2"</v>
          </cell>
          <cell r="B80" t="str">
            <v>ML</v>
          </cell>
          <cell r="C80">
            <v>48562.5</v>
          </cell>
          <cell r="E80" t="str">
            <v>ZARANDO</v>
          </cell>
          <cell r="F80" t="str">
            <v>HR</v>
          </cell>
          <cell r="G80">
            <v>7770</v>
          </cell>
          <cell r="I80">
            <v>0</v>
          </cell>
        </row>
        <row r="81">
          <cell r="A81" t="str">
            <v>ANGULO  6" X 6 X 1/2"</v>
          </cell>
          <cell r="B81" t="str">
            <v>UND</v>
          </cell>
          <cell r="C81">
            <v>468027</v>
          </cell>
          <cell r="E81">
            <v>0</v>
          </cell>
          <cell r="F81">
            <v>0</v>
          </cell>
          <cell r="G81">
            <v>0</v>
          </cell>
          <cell r="I81">
            <v>0</v>
          </cell>
        </row>
        <row r="82">
          <cell r="A82" t="str">
            <v>ANGULO 1" X 1/8"</v>
          </cell>
          <cell r="B82" t="str">
            <v>ML</v>
          </cell>
          <cell r="C82">
            <v>2545.2000000000003</v>
          </cell>
          <cell r="E82">
            <v>0</v>
          </cell>
          <cell r="F82">
            <v>0</v>
          </cell>
          <cell r="G82">
            <v>0</v>
          </cell>
          <cell r="I82">
            <v>0</v>
          </cell>
        </row>
        <row r="83">
          <cell r="A83" t="str">
            <v>ANGULO 1" X 1/8" (2.5MM X 25 MM)</v>
          </cell>
          <cell r="B83" t="str">
            <v>ML</v>
          </cell>
          <cell r="C83">
            <v>3015.6</v>
          </cell>
          <cell r="E83">
            <v>0</v>
          </cell>
          <cell r="F83">
            <v>0</v>
          </cell>
          <cell r="G83">
            <v>0</v>
          </cell>
          <cell r="I83">
            <v>0</v>
          </cell>
        </row>
        <row r="84">
          <cell r="A84" t="str">
            <v>ANGULO 1" X 3/16" (4.5MM X 25 MM)</v>
          </cell>
          <cell r="B84" t="str">
            <v>ML</v>
          </cell>
          <cell r="C84">
            <v>4462.5</v>
          </cell>
          <cell r="E84">
            <v>0</v>
          </cell>
          <cell r="F84">
            <v>0</v>
          </cell>
          <cell r="G84">
            <v>0</v>
          </cell>
          <cell r="I84">
            <v>0</v>
          </cell>
        </row>
        <row r="85">
          <cell r="A85" t="str">
            <v>ANGULO 1-1/2" X 3/16"</v>
          </cell>
          <cell r="B85" t="str">
            <v>ML</v>
          </cell>
          <cell r="C85">
            <v>6555.15</v>
          </cell>
          <cell r="E85">
            <v>0</v>
          </cell>
          <cell r="F85">
            <v>0</v>
          </cell>
          <cell r="G85">
            <v>0</v>
          </cell>
          <cell r="I85">
            <v>0</v>
          </cell>
        </row>
        <row r="86">
          <cell r="A86" t="str">
            <v>ANGULO 11/2`` X 3/16``</v>
          </cell>
          <cell r="B86" t="str">
            <v>ML</v>
          </cell>
          <cell r="C86">
            <v>6549.9</v>
          </cell>
          <cell r="E86">
            <v>0</v>
          </cell>
          <cell r="F86">
            <v>0</v>
          </cell>
          <cell r="G86">
            <v>0</v>
          </cell>
          <cell r="I86">
            <v>0</v>
          </cell>
        </row>
        <row r="87">
          <cell r="A87" t="str">
            <v>ANGULO 1-1/4" X 1/8"</v>
          </cell>
          <cell r="B87" t="str">
            <v>ML</v>
          </cell>
          <cell r="C87">
            <v>3731.7</v>
          </cell>
          <cell r="E87">
            <v>0</v>
          </cell>
          <cell r="F87">
            <v>0</v>
          </cell>
          <cell r="G87">
            <v>0</v>
          </cell>
          <cell r="I87">
            <v>0</v>
          </cell>
        </row>
        <row r="88">
          <cell r="A88" t="str">
            <v>ANGULO 2-1/2" X 1/4"</v>
          </cell>
          <cell r="B88" t="str">
            <v>ML</v>
          </cell>
          <cell r="C88">
            <v>16330.65</v>
          </cell>
          <cell r="E88">
            <v>0</v>
          </cell>
          <cell r="F88">
            <v>0</v>
          </cell>
          <cell r="G88">
            <v>0</v>
          </cell>
          <cell r="I88">
            <v>0</v>
          </cell>
        </row>
        <row r="89">
          <cell r="A89" t="str">
            <v>ANGULO 3" X 1/4 "</v>
          </cell>
          <cell r="B89" t="str">
            <v>ML</v>
          </cell>
          <cell r="C89">
            <v>20809.95</v>
          </cell>
          <cell r="E89">
            <v>0</v>
          </cell>
          <cell r="F89">
            <v>0</v>
          </cell>
          <cell r="G89">
            <v>0</v>
          </cell>
          <cell r="I89">
            <v>0</v>
          </cell>
        </row>
        <row r="90">
          <cell r="A90" t="str">
            <v>ANGULO 3/4" X 1/16" ANOL AA-59 L= MT</v>
          </cell>
          <cell r="B90" t="str">
            <v>UND</v>
          </cell>
          <cell r="C90">
            <v>9202.2000000000007</v>
          </cell>
          <cell r="E90">
            <v>0</v>
          </cell>
          <cell r="F90">
            <v>0</v>
          </cell>
          <cell r="G90">
            <v>0</v>
          </cell>
          <cell r="I90">
            <v>0</v>
          </cell>
        </row>
        <row r="91">
          <cell r="A91" t="str">
            <v>ANGULO 3/4" X 1/8" (REFUERZO DIAGONAL)</v>
          </cell>
          <cell r="B91" t="str">
            <v>ML</v>
          </cell>
          <cell r="C91">
            <v>1999.2</v>
          </cell>
          <cell r="E91">
            <v>0</v>
          </cell>
          <cell r="F91">
            <v>0</v>
          </cell>
          <cell r="G91">
            <v>0</v>
          </cell>
          <cell r="I91">
            <v>0</v>
          </cell>
        </row>
        <row r="92">
          <cell r="A92" t="str">
            <v>ANGULO ALUMINIO CRUDO  0.66 X 0.39 CM L=3 MTS</v>
          </cell>
          <cell r="B92" t="str">
            <v>UND</v>
          </cell>
          <cell r="C92">
            <v>5040</v>
          </cell>
          <cell r="E92">
            <v>0</v>
          </cell>
          <cell r="F92">
            <v>0</v>
          </cell>
          <cell r="G92">
            <v>0</v>
          </cell>
          <cell r="I92">
            <v>0</v>
          </cell>
        </row>
        <row r="93">
          <cell r="A93" t="str">
            <v>ANGULO DE 3" X 3/8"</v>
          </cell>
          <cell r="B93" t="str">
            <v>ML</v>
          </cell>
          <cell r="C93">
            <v>30675.75</v>
          </cell>
          <cell r="E93">
            <v>0</v>
          </cell>
          <cell r="F93">
            <v>0</v>
          </cell>
          <cell r="G93">
            <v>0</v>
          </cell>
          <cell r="I93">
            <v>0</v>
          </cell>
        </row>
        <row r="94">
          <cell r="A94" t="str">
            <v>ANGULO G 50 3" X 1/2"</v>
          </cell>
          <cell r="B94" t="str">
            <v>ML</v>
          </cell>
          <cell r="C94">
            <v>40399.800000000003</v>
          </cell>
          <cell r="E94">
            <v>0</v>
          </cell>
          <cell r="F94">
            <v>0</v>
          </cell>
          <cell r="G94">
            <v>0</v>
          </cell>
          <cell r="I94">
            <v>0</v>
          </cell>
        </row>
        <row r="95">
          <cell r="A95" t="str">
            <v>ANGULO G 50 4" X 1/2"</v>
          </cell>
          <cell r="B95" t="str">
            <v>ML</v>
          </cell>
          <cell r="C95">
            <v>53764.2</v>
          </cell>
          <cell r="E95">
            <v>0</v>
          </cell>
          <cell r="F95">
            <v>0</v>
          </cell>
          <cell r="G95">
            <v>0</v>
          </cell>
          <cell r="I95">
            <v>0</v>
          </cell>
        </row>
        <row r="96">
          <cell r="A96" t="str">
            <v>ANILLO DE AMARRE</v>
          </cell>
          <cell r="B96" t="str">
            <v>UND</v>
          </cell>
          <cell r="C96">
            <v>8640</v>
          </cell>
          <cell r="E96">
            <v>0</v>
          </cell>
          <cell r="F96">
            <v>0</v>
          </cell>
          <cell r="G96">
            <v>0</v>
          </cell>
          <cell r="I96">
            <v>0</v>
          </cell>
        </row>
        <row r="97">
          <cell r="A97" t="str">
            <v>ANILLOS ELASTOMÉRICOS DE AMARRAR PARA ESPACIADOR</v>
          </cell>
          <cell r="B97" t="str">
            <v>UND</v>
          </cell>
          <cell r="C97">
            <v>3780</v>
          </cell>
          <cell r="E97">
            <v>0</v>
          </cell>
          <cell r="F97">
            <v>0</v>
          </cell>
          <cell r="G97">
            <v>0</v>
          </cell>
          <cell r="I97">
            <v>0</v>
          </cell>
        </row>
        <row r="98">
          <cell r="A98" t="str">
            <v>ANTICORROSIVO CROMATO DE Zn</v>
          </cell>
          <cell r="B98" t="str">
            <v>GLN</v>
          </cell>
          <cell r="C98">
            <v>41395.200000000004</v>
          </cell>
          <cell r="E98">
            <v>0</v>
          </cell>
          <cell r="F98">
            <v>0</v>
          </cell>
          <cell r="G98">
            <v>0</v>
          </cell>
          <cell r="I98">
            <v>0</v>
          </cell>
        </row>
        <row r="99">
          <cell r="A99" t="str">
            <v>ANTICORROSIVO PREMIUM</v>
          </cell>
          <cell r="B99" t="str">
            <v>GLN</v>
          </cell>
          <cell r="C99">
            <v>36960</v>
          </cell>
          <cell r="E99">
            <v>0</v>
          </cell>
          <cell r="F99">
            <v>0</v>
          </cell>
          <cell r="G99">
            <v>0</v>
          </cell>
          <cell r="I99">
            <v>0</v>
          </cell>
        </row>
        <row r="100">
          <cell r="A100" t="str">
            <v>ARANDELA  1/2" HIERRO</v>
          </cell>
          <cell r="B100" t="str">
            <v>UND</v>
          </cell>
          <cell r="C100">
            <v>42</v>
          </cell>
          <cell r="E100">
            <v>0</v>
          </cell>
          <cell r="F100">
            <v>0</v>
          </cell>
          <cell r="G100">
            <v>0</v>
          </cell>
          <cell r="I100">
            <v>0</v>
          </cell>
        </row>
        <row r="101">
          <cell r="A101" t="str">
            <v>ARANDELA  3/8"</v>
          </cell>
          <cell r="B101" t="str">
            <v>UND</v>
          </cell>
          <cell r="C101">
            <v>31.5</v>
          </cell>
          <cell r="E101">
            <v>0</v>
          </cell>
          <cell r="F101">
            <v>0</v>
          </cell>
          <cell r="G101">
            <v>0</v>
          </cell>
          <cell r="I101">
            <v>0</v>
          </cell>
        </row>
        <row r="102">
          <cell r="A102" t="str">
            <v>ARANDELA  5/8"</v>
          </cell>
          <cell r="B102" t="str">
            <v>UND</v>
          </cell>
          <cell r="C102">
            <v>472.5</v>
          </cell>
          <cell r="E102">
            <v>0</v>
          </cell>
          <cell r="F102">
            <v>0</v>
          </cell>
          <cell r="G102">
            <v>0</v>
          </cell>
          <cell r="I102">
            <v>0</v>
          </cell>
        </row>
        <row r="103">
          <cell r="A103" t="str">
            <v>ARANDELA CUADRADA 2``*2``*5/8`` ESPESOR 1/8``</v>
          </cell>
          <cell r="B103" t="str">
            <v>UN</v>
          </cell>
          <cell r="C103">
            <v>350</v>
          </cell>
          <cell r="E103">
            <v>0</v>
          </cell>
          <cell r="F103">
            <v>0</v>
          </cell>
          <cell r="G103">
            <v>0</v>
          </cell>
          <cell r="I103">
            <v>0</v>
          </cell>
        </row>
        <row r="104">
          <cell r="A104" t="str">
            <v>ARANDELA CUADRADA PLANA 5/8"</v>
          </cell>
          <cell r="B104" t="str">
            <v>UND</v>
          </cell>
          <cell r="C104">
            <v>350</v>
          </cell>
          <cell r="E104">
            <v>0</v>
          </cell>
          <cell r="F104">
            <v>0</v>
          </cell>
          <cell r="G104">
            <v>0</v>
          </cell>
          <cell r="I104">
            <v>0</v>
          </cell>
        </row>
        <row r="105">
          <cell r="A105" t="str">
            <v>ARANDELA DE PRESIÓN DE 1/2"</v>
          </cell>
          <cell r="B105" t="str">
            <v>UND</v>
          </cell>
          <cell r="C105">
            <v>280</v>
          </cell>
          <cell r="E105">
            <v>0</v>
          </cell>
          <cell r="F105">
            <v>0</v>
          </cell>
          <cell r="G105">
            <v>0</v>
          </cell>
          <cell r="I105">
            <v>0</v>
          </cell>
        </row>
        <row r="106">
          <cell r="A106" t="str">
            <v>ARANDELA DE PRESIÓN DE 5/8"</v>
          </cell>
          <cell r="B106" t="str">
            <v>UND</v>
          </cell>
          <cell r="C106">
            <v>308</v>
          </cell>
          <cell r="E106">
            <v>0</v>
          </cell>
          <cell r="F106">
            <v>0</v>
          </cell>
          <cell r="G106">
            <v>0</v>
          </cell>
          <cell r="I106">
            <v>0</v>
          </cell>
        </row>
        <row r="107">
          <cell r="A107" t="str">
            <v>ARANDELA PARA ANCLAJE DE 4 X 4</v>
          </cell>
          <cell r="B107" t="str">
            <v>UN</v>
          </cell>
          <cell r="C107">
            <v>2700</v>
          </cell>
          <cell r="E107">
            <v>0</v>
          </cell>
          <cell r="F107">
            <v>0</v>
          </cell>
          <cell r="G107">
            <v>0</v>
          </cell>
          <cell r="I107">
            <v>0</v>
          </cell>
        </row>
        <row r="108">
          <cell r="A108" t="str">
            <v>ARANDELA REDONDA 1/2</v>
          </cell>
          <cell r="B108" t="str">
            <v>UN</v>
          </cell>
          <cell r="C108">
            <v>308</v>
          </cell>
          <cell r="E108">
            <v>0</v>
          </cell>
          <cell r="F108">
            <v>0</v>
          </cell>
          <cell r="G108">
            <v>0</v>
          </cell>
          <cell r="I108">
            <v>0</v>
          </cell>
        </row>
        <row r="109">
          <cell r="A109" t="str">
            <v>ARANDELA REDONDA 5/8</v>
          </cell>
          <cell r="B109" t="str">
            <v>UN</v>
          </cell>
          <cell r="C109">
            <v>308</v>
          </cell>
          <cell r="E109">
            <v>0</v>
          </cell>
          <cell r="F109">
            <v>0</v>
          </cell>
          <cell r="G109">
            <v>0</v>
          </cell>
          <cell r="I109">
            <v>0</v>
          </cell>
        </row>
        <row r="110">
          <cell r="A110" t="str">
            <v>ARANDELA REDONDA DE 1/2``</v>
          </cell>
          <cell r="B110" t="str">
            <v>und</v>
          </cell>
          <cell r="C110">
            <v>280</v>
          </cell>
          <cell r="E110">
            <v>0</v>
          </cell>
          <cell r="F110">
            <v>0</v>
          </cell>
          <cell r="G110">
            <v>0</v>
          </cell>
          <cell r="I110">
            <v>0</v>
          </cell>
        </row>
        <row r="111">
          <cell r="A111" t="str">
            <v>ARANDELA REDONDA DE 5/8``</v>
          </cell>
          <cell r="B111" t="str">
            <v>und</v>
          </cell>
          <cell r="C111">
            <v>280</v>
          </cell>
          <cell r="E111">
            <v>0</v>
          </cell>
          <cell r="F111">
            <v>0</v>
          </cell>
          <cell r="G111">
            <v>0</v>
          </cell>
          <cell r="I111">
            <v>0</v>
          </cell>
        </row>
        <row r="112">
          <cell r="A112" t="str">
            <v>ARBOL CAÑOFISTOL H=1.5-2.0</v>
          </cell>
          <cell r="B112" t="str">
            <v>UN</v>
          </cell>
          <cell r="C112">
            <v>6300</v>
          </cell>
          <cell r="E112">
            <v>0</v>
          </cell>
          <cell r="F112">
            <v>0</v>
          </cell>
          <cell r="G112">
            <v>0</v>
          </cell>
          <cell r="I112">
            <v>0</v>
          </cell>
        </row>
        <row r="113">
          <cell r="A113" t="str">
            <v>ARBOL JABILLO H=1.5-2.0</v>
          </cell>
          <cell r="B113" t="str">
            <v>UN</v>
          </cell>
          <cell r="C113">
            <v>7350</v>
          </cell>
          <cell r="E113">
            <v>0</v>
          </cell>
          <cell r="F113">
            <v>0</v>
          </cell>
          <cell r="G113">
            <v>0</v>
          </cell>
          <cell r="I113">
            <v>0</v>
          </cell>
        </row>
        <row r="114">
          <cell r="A114" t="str">
            <v>ARBOL OCOBO H=1.8</v>
          </cell>
          <cell r="B114" t="str">
            <v>UN</v>
          </cell>
          <cell r="C114">
            <v>4200</v>
          </cell>
          <cell r="E114">
            <v>0</v>
          </cell>
          <cell r="F114">
            <v>0</v>
          </cell>
          <cell r="G114">
            <v>0</v>
          </cell>
          <cell r="I114">
            <v>0</v>
          </cell>
        </row>
        <row r="115">
          <cell r="A115" t="str">
            <v>ARBOL SAMAN H=1.5-2.0</v>
          </cell>
          <cell r="B115" t="str">
            <v>UN</v>
          </cell>
          <cell r="C115">
            <v>7350</v>
          </cell>
          <cell r="E115">
            <v>0</v>
          </cell>
          <cell r="F115">
            <v>0</v>
          </cell>
          <cell r="G115">
            <v>0</v>
          </cell>
          <cell r="I115">
            <v>0</v>
          </cell>
        </row>
        <row r="116">
          <cell r="A116" t="str">
            <v>ARBOL XELOPIA H=1.5-2.0</v>
          </cell>
          <cell r="B116" t="str">
            <v>UN</v>
          </cell>
          <cell r="C116">
            <v>23100</v>
          </cell>
          <cell r="E116">
            <v>0</v>
          </cell>
          <cell r="F116">
            <v>0</v>
          </cell>
          <cell r="G116">
            <v>0</v>
          </cell>
          <cell r="I116">
            <v>0</v>
          </cell>
        </row>
        <row r="117">
          <cell r="A117" t="str">
            <v>ARBOL YOPO H=1.5-2.0</v>
          </cell>
          <cell r="B117" t="str">
            <v>UN</v>
          </cell>
          <cell r="C117">
            <v>5250</v>
          </cell>
          <cell r="E117">
            <v>0</v>
          </cell>
          <cell r="F117">
            <v>0</v>
          </cell>
          <cell r="G117">
            <v>0</v>
          </cell>
          <cell r="I117">
            <v>0</v>
          </cell>
        </row>
        <row r="118">
          <cell r="A118" t="str">
            <v>ARCOS CANCHA DE FUTBOL 7.32 *2,44 TUB0 31/2`` x 3 MM</v>
          </cell>
          <cell r="B118" t="str">
            <v>UN</v>
          </cell>
          <cell r="C118">
            <v>2531550</v>
          </cell>
          <cell r="E118">
            <v>0</v>
          </cell>
          <cell r="F118">
            <v>0</v>
          </cell>
          <cell r="G118">
            <v>0</v>
          </cell>
          <cell r="I118">
            <v>0</v>
          </cell>
        </row>
        <row r="119">
          <cell r="A119" t="str">
            <v>ARENA DE PEÑA</v>
          </cell>
          <cell r="B119" t="str">
            <v>M3</v>
          </cell>
          <cell r="C119">
            <v>52500</v>
          </cell>
          <cell r="E119">
            <v>0</v>
          </cell>
          <cell r="F119">
            <v>0</v>
          </cell>
          <cell r="G119">
            <v>0</v>
          </cell>
          <cell r="I119">
            <v>0</v>
          </cell>
        </row>
        <row r="120">
          <cell r="A120" t="str">
            <v>ARENA LAVADA DE RIO</v>
          </cell>
          <cell r="B120" t="str">
            <v>M3</v>
          </cell>
          <cell r="C120">
            <v>56175</v>
          </cell>
          <cell r="E120">
            <v>0</v>
          </cell>
          <cell r="F120">
            <v>0</v>
          </cell>
          <cell r="G120">
            <v>0</v>
          </cell>
          <cell r="I120">
            <v>0</v>
          </cell>
        </row>
        <row r="121">
          <cell r="A121" t="str">
            <v>AROFLEX 2901 BLANCO</v>
          </cell>
          <cell r="B121" t="str">
            <v>GLN</v>
          </cell>
          <cell r="C121">
            <v>107100</v>
          </cell>
          <cell r="E121">
            <v>0</v>
          </cell>
          <cell r="F121">
            <v>0</v>
          </cell>
          <cell r="G121">
            <v>0</v>
          </cell>
          <cell r="I121">
            <v>0</v>
          </cell>
        </row>
        <row r="122">
          <cell r="A122" t="str">
            <v>AROS METALICOS BALONCESTO</v>
          </cell>
          <cell r="B122" t="str">
            <v>UN</v>
          </cell>
          <cell r="C122">
            <v>66150</v>
          </cell>
          <cell r="E122">
            <v>0</v>
          </cell>
          <cell r="F122">
            <v>0</v>
          </cell>
          <cell r="G122">
            <v>0</v>
          </cell>
          <cell r="I122">
            <v>0</v>
          </cell>
        </row>
        <row r="123">
          <cell r="A123" t="str">
            <v>AUTORIZACIÓN DISPOSICIÓN FINAL DE ESCOMBROS</v>
          </cell>
          <cell r="B123" t="str">
            <v>TON</v>
          </cell>
          <cell r="C123">
            <v>40956</v>
          </cell>
          <cell r="E123">
            <v>0</v>
          </cell>
          <cell r="F123">
            <v>0</v>
          </cell>
          <cell r="G123">
            <v>0</v>
          </cell>
          <cell r="I123">
            <v>0</v>
          </cell>
        </row>
        <row r="124">
          <cell r="A124" t="str">
            <v>BAJANTE BLANCA PAVCO AMAZONAS</v>
          </cell>
          <cell r="B124" t="str">
            <v>ML</v>
          </cell>
          <cell r="C124">
            <v>18865.350000000002</v>
          </cell>
          <cell r="E124">
            <v>0</v>
          </cell>
          <cell r="F124">
            <v>0</v>
          </cell>
          <cell r="G124">
            <v>0</v>
          </cell>
          <cell r="I124">
            <v>0</v>
          </cell>
        </row>
        <row r="125">
          <cell r="A125" t="str">
            <v>BAJANTE PLASTICA RECTANGULAR  ALL X 3M</v>
          </cell>
          <cell r="B125" t="str">
            <v>ML</v>
          </cell>
          <cell r="C125">
            <v>12120</v>
          </cell>
          <cell r="E125">
            <v>0</v>
          </cell>
          <cell r="F125">
            <v>0</v>
          </cell>
          <cell r="G125">
            <v>0</v>
          </cell>
          <cell r="I125">
            <v>0</v>
          </cell>
        </row>
        <row r="126">
          <cell r="A126" t="str">
            <v>BAJANTE REDONDA ALL 3" PVC</v>
          </cell>
          <cell r="B126" t="str">
            <v>ML</v>
          </cell>
          <cell r="C126">
            <v>7510</v>
          </cell>
          <cell r="E126">
            <v>0</v>
          </cell>
          <cell r="F126">
            <v>0</v>
          </cell>
          <cell r="G126">
            <v>0</v>
          </cell>
          <cell r="I126">
            <v>0</v>
          </cell>
        </row>
        <row r="127">
          <cell r="A127" t="str">
            <v>BAJANTE REDONDA ALL 4" PVC</v>
          </cell>
          <cell r="B127" t="str">
            <v>ML</v>
          </cell>
          <cell r="C127">
            <v>9987</v>
          </cell>
          <cell r="E127">
            <v>0</v>
          </cell>
          <cell r="F127">
            <v>0</v>
          </cell>
          <cell r="G127">
            <v>0</v>
          </cell>
          <cell r="I127">
            <v>0</v>
          </cell>
        </row>
        <row r="128">
          <cell r="A128" t="str">
            <v>BALASTRO DE RIO</v>
          </cell>
          <cell r="B128" t="str">
            <v>M3</v>
          </cell>
          <cell r="C128">
            <v>16800</v>
          </cell>
          <cell r="E128">
            <v>0</v>
          </cell>
          <cell r="F128">
            <v>0</v>
          </cell>
          <cell r="G128">
            <v>0</v>
          </cell>
          <cell r="I128">
            <v>0</v>
          </cell>
        </row>
        <row r="129">
          <cell r="A129" t="str">
            <v>BALDOSA GRANO MARMOL 30 * 30</v>
          </cell>
          <cell r="B129" t="str">
            <v>M2</v>
          </cell>
          <cell r="C129">
            <v>35752.5</v>
          </cell>
          <cell r="E129">
            <v>0</v>
          </cell>
          <cell r="F129">
            <v>0</v>
          </cell>
          <cell r="G129">
            <v>0</v>
          </cell>
          <cell r="I129">
            <v>0</v>
          </cell>
        </row>
        <row r="130">
          <cell r="A130" t="str">
            <v>BANCA CON ESPALDAR M-30</v>
          </cell>
          <cell r="B130" t="str">
            <v>UN</v>
          </cell>
          <cell r="C130">
            <v>549780</v>
          </cell>
          <cell r="E130">
            <v>0</v>
          </cell>
          <cell r="F130">
            <v>0</v>
          </cell>
          <cell r="G130">
            <v>0</v>
          </cell>
          <cell r="I130">
            <v>0</v>
          </cell>
        </row>
        <row r="131">
          <cell r="A131" t="str">
            <v>BANCA SIN ESPALDAR M-31</v>
          </cell>
          <cell r="B131" t="str">
            <v>UN</v>
          </cell>
          <cell r="C131">
            <v>272370</v>
          </cell>
          <cell r="E131">
            <v>0</v>
          </cell>
          <cell r="F131">
            <v>0</v>
          </cell>
          <cell r="G131">
            <v>0</v>
          </cell>
          <cell r="I131">
            <v>0</v>
          </cell>
        </row>
        <row r="132">
          <cell r="A132" t="str">
            <v>BARANDA ACERO INOX PASAMANOS T 2" PARA 1-1/2" BARANDA 5/8"</v>
          </cell>
          <cell r="B132" t="str">
            <v>ML</v>
          </cell>
          <cell r="C132">
            <v>294000</v>
          </cell>
          <cell r="E132">
            <v>0</v>
          </cell>
          <cell r="F132">
            <v>0</v>
          </cell>
          <cell r="G132">
            <v>0</v>
          </cell>
          <cell r="I132">
            <v>0</v>
          </cell>
        </row>
        <row r="133">
          <cell r="A133" t="str">
            <v>BARANDA ACERO INOX PASAMANOS T 2", PARAL 1-1/2"</v>
          </cell>
          <cell r="B133" t="str">
            <v>ML</v>
          </cell>
          <cell r="C133">
            <v>304500</v>
          </cell>
          <cell r="E133">
            <v>0</v>
          </cell>
          <cell r="F133">
            <v>0</v>
          </cell>
          <cell r="G133">
            <v>0</v>
          </cell>
          <cell r="I133">
            <v>0</v>
          </cell>
        </row>
        <row r="134">
          <cell r="A134" t="str">
            <v>BARANDA METALICA CON ELE Y PASAMANOS EN ACERO 2"; h=0.92 M</v>
          </cell>
          <cell r="B134" t="str">
            <v>ML</v>
          </cell>
          <cell r="C134">
            <v>236250</v>
          </cell>
          <cell r="E134">
            <v>0</v>
          </cell>
          <cell r="F134">
            <v>0</v>
          </cell>
          <cell r="G134">
            <v>0</v>
          </cell>
          <cell r="I134">
            <v>0</v>
          </cell>
        </row>
        <row r="135">
          <cell r="A135" t="str">
            <v>BARNIZ EPOXICO PROTECC Y DECOR MADERA METAL, MUROS</v>
          </cell>
          <cell r="B135" t="str">
            <v>GLN</v>
          </cell>
          <cell r="C135">
            <v>38745</v>
          </cell>
          <cell r="E135">
            <v>0</v>
          </cell>
          <cell r="F135">
            <v>0</v>
          </cell>
          <cell r="G135">
            <v>0</v>
          </cell>
          <cell r="I135">
            <v>0</v>
          </cell>
        </row>
        <row r="136">
          <cell r="A136" t="str">
            <v>BARNIZ EXTERIOR BRILLANTE TRANSP.</v>
          </cell>
          <cell r="B136" t="str">
            <v>GLN</v>
          </cell>
          <cell r="C136">
            <v>54495</v>
          </cell>
          <cell r="E136">
            <v>0</v>
          </cell>
          <cell r="F136">
            <v>0</v>
          </cell>
          <cell r="G136">
            <v>0</v>
          </cell>
          <cell r="I136">
            <v>0</v>
          </cell>
        </row>
        <row r="137">
          <cell r="A137" t="str">
            <v>BARNIZ INTERIOR MATE</v>
          </cell>
          <cell r="B137" t="str">
            <v>GLN</v>
          </cell>
          <cell r="C137">
            <v>41895</v>
          </cell>
          <cell r="E137">
            <v>0</v>
          </cell>
          <cell r="F137">
            <v>0</v>
          </cell>
          <cell r="G137">
            <v>0</v>
          </cell>
          <cell r="I137">
            <v>0</v>
          </cell>
        </row>
        <row r="138">
          <cell r="A138" t="str">
            <v>BARNIZ PORD ABIERTO MONTO (2.5 LB)</v>
          </cell>
          <cell r="B138" t="str">
            <v>GLN</v>
          </cell>
          <cell r="C138">
            <v>72704.100000000006</v>
          </cell>
          <cell r="E138">
            <v>0</v>
          </cell>
          <cell r="F138">
            <v>0</v>
          </cell>
          <cell r="G138">
            <v>0</v>
          </cell>
          <cell r="I138">
            <v>0</v>
          </cell>
        </row>
        <row r="139">
          <cell r="A139" t="str">
            <v>BARNIZ RECOL MATE</v>
          </cell>
          <cell r="B139" t="str">
            <v>GLN</v>
          </cell>
          <cell r="C139">
            <v>41895</v>
          </cell>
          <cell r="E139">
            <v>0</v>
          </cell>
          <cell r="F139">
            <v>0</v>
          </cell>
          <cell r="G139">
            <v>0</v>
          </cell>
          <cell r="I139">
            <v>0</v>
          </cell>
        </row>
        <row r="140">
          <cell r="A140" t="str">
            <v>BARRA AMARRE/ANCLAJE (ACERO CORRUGADO&lt;15MM)</v>
          </cell>
          <cell r="B140" t="str">
            <v>KG</v>
          </cell>
          <cell r="C140">
            <v>3547</v>
          </cell>
          <cell r="E140">
            <v>0</v>
          </cell>
          <cell r="F140">
            <v>0</v>
          </cell>
          <cell r="G140">
            <v>0</v>
          </cell>
          <cell r="I140">
            <v>0</v>
          </cell>
        </row>
        <row r="141">
          <cell r="A141" t="str">
            <v>BARRA TRANSFERENCIA-CARGA (PASAJUNTA-DOVELA) (A. LISO&gt;15MM)</v>
          </cell>
          <cell r="B141" t="str">
            <v>KG</v>
          </cell>
          <cell r="C141">
            <v>3547</v>
          </cell>
          <cell r="E141">
            <v>0</v>
          </cell>
          <cell r="F141">
            <v>0</v>
          </cell>
          <cell r="G141">
            <v>0</v>
          </cell>
          <cell r="I141">
            <v>0</v>
          </cell>
        </row>
        <row r="142">
          <cell r="A142" t="str">
            <v>BARRAJE DE PUESTA A TIERRA 100 A.</v>
          </cell>
          <cell r="B142" t="str">
            <v>UND</v>
          </cell>
          <cell r="C142">
            <v>45000</v>
          </cell>
          <cell r="E142">
            <v>0</v>
          </cell>
          <cell r="F142">
            <v>0</v>
          </cell>
          <cell r="G142">
            <v>0</v>
          </cell>
          <cell r="I142">
            <v>0</v>
          </cell>
        </row>
        <row r="143">
          <cell r="A143" t="str">
            <v>BARRAJE TRIPOLAR 600 V</v>
          </cell>
          <cell r="B143" t="str">
            <v>unid</v>
          </cell>
          <cell r="C143">
            <v>125200</v>
          </cell>
          <cell r="E143">
            <v>0</v>
          </cell>
          <cell r="F143">
            <v>0</v>
          </cell>
          <cell r="G143">
            <v>0</v>
          </cell>
          <cell r="I143">
            <v>0</v>
          </cell>
        </row>
        <row r="144">
          <cell r="A144" t="str">
            <v>BASE DECORADA SELENE VERDE 19* 29 CM</v>
          </cell>
          <cell r="B144" t="str">
            <v>UND</v>
          </cell>
          <cell r="C144">
            <v>21945</v>
          </cell>
          <cell r="E144">
            <v>0</v>
          </cell>
          <cell r="F144">
            <v>0</v>
          </cell>
          <cell r="G144">
            <v>0</v>
          </cell>
          <cell r="I144">
            <v>0</v>
          </cell>
        </row>
        <row r="145">
          <cell r="A145" t="str">
            <v>BASE FELT PLUS FIBERGLASS 20 M2</v>
          </cell>
          <cell r="B145" t="str">
            <v>ml</v>
          </cell>
          <cell r="C145">
            <v>26067.52</v>
          </cell>
          <cell r="E145">
            <v>0</v>
          </cell>
          <cell r="F145">
            <v>0</v>
          </cell>
          <cell r="G145">
            <v>0</v>
          </cell>
          <cell r="I145">
            <v>0</v>
          </cell>
        </row>
        <row r="146">
          <cell r="A146" t="str">
            <v>BASE GRANULAR BG-1 INVIAS</v>
          </cell>
          <cell r="B146" t="str">
            <v>M3</v>
          </cell>
          <cell r="C146">
            <v>50750</v>
          </cell>
          <cell r="E146">
            <v>0</v>
          </cell>
          <cell r="F146">
            <v>0</v>
          </cell>
          <cell r="G146">
            <v>0</v>
          </cell>
          <cell r="I146">
            <v>0</v>
          </cell>
        </row>
        <row r="147">
          <cell r="A147" t="str">
            <v>BASE GRANULAR GRAVA TRITURADA DE 1 1/2 " (INCLUYE TRANSPORTE 5 KM)</v>
          </cell>
          <cell r="B147" t="str">
            <v>M3</v>
          </cell>
          <cell r="C147">
            <v>75619</v>
          </cell>
          <cell r="E147">
            <v>0</v>
          </cell>
          <cell r="F147">
            <v>0</v>
          </cell>
          <cell r="G147">
            <v>0</v>
          </cell>
          <cell r="I147">
            <v>0</v>
          </cell>
        </row>
        <row r="148">
          <cell r="A148" t="str">
            <v>BASE GRAVA TRITURADA DE 1 1/2" LAVADA</v>
          </cell>
          <cell r="B148" t="str">
            <v>M3</v>
          </cell>
          <cell r="C148">
            <v>45710</v>
          </cell>
          <cell r="E148">
            <v>0</v>
          </cell>
          <cell r="F148">
            <v>0</v>
          </cell>
          <cell r="G148">
            <v>0</v>
          </cell>
          <cell r="I148">
            <v>0</v>
          </cell>
        </row>
        <row r="149">
          <cell r="A149" t="str">
            <v>BENTONITA X 50 KG</v>
          </cell>
          <cell r="B149" t="str">
            <v>KG</v>
          </cell>
          <cell r="C149">
            <v>9230</v>
          </cell>
          <cell r="E149">
            <v>0</v>
          </cell>
          <cell r="F149">
            <v>0</v>
          </cell>
          <cell r="G149">
            <v>0</v>
          </cell>
          <cell r="I149">
            <v>0</v>
          </cell>
        </row>
        <row r="150">
          <cell r="A150" t="str">
            <v>BINDA BOQUILLA SIKA O ADHEBAL BOQUILLA BASE</v>
          </cell>
          <cell r="B150" t="str">
            <v>KG</v>
          </cell>
          <cell r="C150">
            <v>3163.65</v>
          </cell>
          <cell r="E150">
            <v>0</v>
          </cell>
          <cell r="F150">
            <v>0</v>
          </cell>
          <cell r="G150">
            <v>0</v>
          </cell>
          <cell r="I150">
            <v>0</v>
          </cell>
        </row>
        <row r="151">
          <cell r="A151" t="str">
            <v>BISAGRA 240  HIERRO 3</v>
          </cell>
          <cell r="B151" t="str">
            <v>UND</v>
          </cell>
          <cell r="C151">
            <v>3049.2</v>
          </cell>
          <cell r="E151">
            <v>0</v>
          </cell>
          <cell r="F151">
            <v>0</v>
          </cell>
          <cell r="G151">
            <v>0</v>
          </cell>
          <cell r="I151">
            <v>0</v>
          </cell>
        </row>
        <row r="152">
          <cell r="A152" t="str">
            <v>BISAGRA 5/8" T. CAPSULA CORTA</v>
          </cell>
          <cell r="B152" t="str">
            <v>UND</v>
          </cell>
          <cell r="C152">
            <v>661.5</v>
          </cell>
          <cell r="E152">
            <v>0</v>
          </cell>
          <cell r="F152">
            <v>0</v>
          </cell>
          <cell r="G152">
            <v>0</v>
          </cell>
          <cell r="I152">
            <v>0</v>
          </cell>
        </row>
        <row r="153">
          <cell r="A153" t="str">
            <v>BISAGRA PLANA No 2 VENTANA TIPO TIJERA</v>
          </cell>
          <cell r="B153" t="str">
            <v>UND</v>
          </cell>
          <cell r="C153">
            <v>1365</v>
          </cell>
          <cell r="E153">
            <v>0</v>
          </cell>
          <cell r="F153">
            <v>0</v>
          </cell>
          <cell r="G153">
            <v>0</v>
          </cell>
          <cell r="I153">
            <v>0</v>
          </cell>
        </row>
        <row r="154">
          <cell r="A154" t="str">
            <v>BLOQUE # 4 TRADICIONAL 0.10X0.20X0.30M EN OBRA</v>
          </cell>
          <cell r="B154" t="str">
            <v>UND</v>
          </cell>
          <cell r="C154">
            <v>1050</v>
          </cell>
          <cell r="E154">
            <v>0</v>
          </cell>
          <cell r="F154">
            <v>0</v>
          </cell>
          <cell r="G154">
            <v>0</v>
          </cell>
          <cell r="I154">
            <v>0</v>
          </cell>
        </row>
        <row r="155">
          <cell r="A155" t="str">
            <v>BLOQUE # 5 0.12 X 0.20 X 0.30</v>
          </cell>
          <cell r="B155" t="str">
            <v>UND</v>
          </cell>
          <cell r="C155">
            <v>1062.5999999999999</v>
          </cell>
          <cell r="E155">
            <v>0</v>
          </cell>
          <cell r="F155">
            <v>0</v>
          </cell>
          <cell r="G155">
            <v>0</v>
          </cell>
          <cell r="I155">
            <v>0</v>
          </cell>
        </row>
        <row r="156">
          <cell r="A156" t="str">
            <v>BLOQUE ABUJARDADO 0.14*0.19*0.39 T PIEDRA</v>
          </cell>
          <cell r="B156" t="str">
            <v>UND</v>
          </cell>
          <cell r="C156">
            <v>2425.5</v>
          </cell>
          <cell r="E156">
            <v>0</v>
          </cell>
          <cell r="F156">
            <v>0</v>
          </cell>
          <cell r="G156">
            <v>0</v>
          </cell>
          <cell r="I156">
            <v>0</v>
          </cell>
        </row>
        <row r="157">
          <cell r="A157" t="str">
            <v>BLOQUE ESTRUCTURAL TIPO PIEDRA GRIS</v>
          </cell>
          <cell r="B157" t="str">
            <v>UND</v>
          </cell>
          <cell r="C157">
            <v>2314</v>
          </cell>
          <cell r="E157">
            <v>0</v>
          </cell>
          <cell r="F157">
            <v>0</v>
          </cell>
          <cell r="G157">
            <v>0</v>
          </cell>
          <cell r="I157">
            <v>0</v>
          </cell>
        </row>
        <row r="158">
          <cell r="A158" t="str">
            <v>BOLARDO ABUZARDADO M-60</v>
          </cell>
          <cell r="B158" t="str">
            <v>UN</v>
          </cell>
          <cell r="C158">
            <v>103904.85</v>
          </cell>
          <cell r="E158">
            <v>0</v>
          </cell>
          <cell r="F158">
            <v>0</v>
          </cell>
          <cell r="G158">
            <v>0</v>
          </cell>
          <cell r="I158">
            <v>0</v>
          </cell>
        </row>
        <row r="159">
          <cell r="A159" t="str">
            <v>BOLSACRETO PAVCP 1101 (1M3)</v>
          </cell>
          <cell r="B159" t="str">
            <v>UND</v>
          </cell>
          <cell r="C159">
            <v>17850</v>
          </cell>
          <cell r="E159">
            <v>0</v>
          </cell>
          <cell r="F159">
            <v>0</v>
          </cell>
          <cell r="G159">
            <v>0</v>
          </cell>
          <cell r="I159">
            <v>0</v>
          </cell>
        </row>
        <row r="160">
          <cell r="A160" t="str">
            <v>BOLSACRETO PAVCP 1102 (2M3)</v>
          </cell>
          <cell r="B160" t="str">
            <v>UND</v>
          </cell>
          <cell r="C160">
            <v>47250</v>
          </cell>
          <cell r="E160">
            <v>0</v>
          </cell>
          <cell r="F160">
            <v>0</v>
          </cell>
          <cell r="G160">
            <v>0</v>
          </cell>
          <cell r="I160">
            <v>0</v>
          </cell>
        </row>
        <row r="161">
          <cell r="A161" t="str">
            <v>BOMBA CONCRETO</v>
          </cell>
          <cell r="B161" t="str">
            <v>M3</v>
          </cell>
          <cell r="C161">
            <v>55640</v>
          </cell>
          <cell r="E161">
            <v>0</v>
          </cell>
          <cell r="F161">
            <v>0</v>
          </cell>
          <cell r="G161">
            <v>0</v>
          </cell>
          <cell r="I161">
            <v>0</v>
          </cell>
        </row>
        <row r="162">
          <cell r="A162" t="str">
            <v>BOMBA ESTACFIONARIA DE CONCRETO</v>
          </cell>
          <cell r="B162" t="str">
            <v>M3</v>
          </cell>
          <cell r="C162">
            <v>25444.6</v>
          </cell>
          <cell r="E162">
            <v>0</v>
          </cell>
          <cell r="F162">
            <v>0</v>
          </cell>
          <cell r="G162">
            <v>0</v>
          </cell>
          <cell r="I162">
            <v>0</v>
          </cell>
        </row>
        <row r="163">
          <cell r="A163" t="str">
            <v>BOMBEO DE CONCRETO CON BOMBA ESTACIONARIA</v>
          </cell>
          <cell r="B163" t="str">
            <v>M3</v>
          </cell>
          <cell r="C163">
            <v>33000</v>
          </cell>
          <cell r="E163">
            <v>0</v>
          </cell>
          <cell r="F163">
            <v>0</v>
          </cell>
          <cell r="G163">
            <v>0</v>
          </cell>
          <cell r="I163">
            <v>0</v>
          </cell>
        </row>
        <row r="164">
          <cell r="A164" t="str">
            <v>BOMBILLA SODIO A-P 70W TUBULAR CLARA SUPER</v>
          </cell>
          <cell r="B164" t="str">
            <v>UN</v>
          </cell>
          <cell r="C164">
            <v>28340</v>
          </cell>
          <cell r="E164">
            <v>0</v>
          </cell>
          <cell r="F164">
            <v>0</v>
          </cell>
          <cell r="G164">
            <v>0</v>
          </cell>
          <cell r="I164">
            <v>0</v>
          </cell>
        </row>
        <row r="165">
          <cell r="A165" t="str">
            <v>BOMBILLO 1000W. METAL HALIDE (OVOIDE/CLAR)</v>
          </cell>
          <cell r="B165" t="str">
            <v>UN</v>
          </cell>
          <cell r="C165">
            <v>66920</v>
          </cell>
          <cell r="E165">
            <v>0</v>
          </cell>
          <cell r="F165">
            <v>0</v>
          </cell>
          <cell r="G165">
            <v>0</v>
          </cell>
          <cell r="I165">
            <v>0</v>
          </cell>
        </row>
        <row r="166">
          <cell r="A166" t="str">
            <v>BOMBILLO 70 WAT TUBULAR SODIO</v>
          </cell>
          <cell r="B166" t="str">
            <v>UN</v>
          </cell>
          <cell r="C166">
            <v>13460</v>
          </cell>
          <cell r="E166">
            <v>0</v>
          </cell>
          <cell r="F166">
            <v>0</v>
          </cell>
          <cell r="G166">
            <v>0</v>
          </cell>
          <cell r="I166">
            <v>0</v>
          </cell>
        </row>
        <row r="167">
          <cell r="A167" t="str">
            <v>BOMBILLO METAL HALIDE: 400W TUBULAR</v>
          </cell>
          <cell r="B167" t="str">
            <v>UN</v>
          </cell>
          <cell r="C167">
            <v>48260</v>
          </cell>
          <cell r="E167">
            <v>0</v>
          </cell>
          <cell r="F167">
            <v>0</v>
          </cell>
          <cell r="G167">
            <v>0</v>
          </cell>
          <cell r="I167">
            <v>0</v>
          </cell>
        </row>
        <row r="168">
          <cell r="A168" t="str">
            <v>BOMBILLO TUBULAR CLARA 250 W SODIO</v>
          </cell>
          <cell r="B168" t="str">
            <v>UN</v>
          </cell>
          <cell r="C168">
            <v>24890</v>
          </cell>
          <cell r="E168">
            <v>0</v>
          </cell>
          <cell r="F168">
            <v>0</v>
          </cell>
          <cell r="G168">
            <v>0</v>
          </cell>
          <cell r="I168">
            <v>0</v>
          </cell>
        </row>
        <row r="169">
          <cell r="A169" t="str">
            <v>BOMBILLO TUBULAR CLARA 400W SODIO</v>
          </cell>
          <cell r="B169" t="str">
            <v>UN</v>
          </cell>
          <cell r="C169">
            <v>28350</v>
          </cell>
          <cell r="E169">
            <v>0</v>
          </cell>
          <cell r="F169">
            <v>0</v>
          </cell>
          <cell r="G169">
            <v>0</v>
          </cell>
          <cell r="I169">
            <v>0</v>
          </cell>
        </row>
        <row r="170">
          <cell r="A170" t="str">
            <v>BOMBILLO TUBULAR CLARO 150 WAT SODIO</v>
          </cell>
          <cell r="B170" t="str">
            <v>UN</v>
          </cell>
          <cell r="C170">
            <v>18260</v>
          </cell>
          <cell r="E170">
            <v>0</v>
          </cell>
          <cell r="F170">
            <v>0</v>
          </cell>
          <cell r="G170">
            <v>0</v>
          </cell>
          <cell r="I170">
            <v>0</v>
          </cell>
        </row>
        <row r="171">
          <cell r="A171" t="str">
            <v>BOQUILLAS METAL ½ ``+ TUERCA</v>
          </cell>
          <cell r="B171" t="str">
            <v>UN</v>
          </cell>
          <cell r="C171">
            <v>350</v>
          </cell>
          <cell r="E171">
            <v>0</v>
          </cell>
          <cell r="F171">
            <v>0</v>
          </cell>
          <cell r="G171">
            <v>0</v>
          </cell>
          <cell r="I171">
            <v>0</v>
          </cell>
        </row>
        <row r="172">
          <cell r="A172" t="str">
            <v>BORDE CONTENEDOR DE RAICES A70 (1080x120x135mm)</v>
          </cell>
          <cell r="B172" t="str">
            <v>UND</v>
          </cell>
          <cell r="C172">
            <v>12917.76</v>
          </cell>
          <cell r="E172">
            <v>0</v>
          </cell>
          <cell r="F172">
            <v>0</v>
          </cell>
          <cell r="G172">
            <v>0</v>
          </cell>
          <cell r="I172">
            <v>0</v>
          </cell>
        </row>
        <row r="173">
          <cell r="A173" t="str">
            <v>BORDE CONTENEDOR DE RAICES A75 (1480mm x 120mm x 135mm)</v>
          </cell>
          <cell r="B173" t="str">
            <v>UND</v>
          </cell>
          <cell r="C173">
            <v>12180</v>
          </cell>
          <cell r="E173">
            <v>0</v>
          </cell>
          <cell r="F173">
            <v>0</v>
          </cell>
          <cell r="G173">
            <v>0</v>
          </cell>
          <cell r="I173">
            <v>0</v>
          </cell>
        </row>
        <row r="174">
          <cell r="A174" t="str">
            <v>BORDILLO CONCRETO 3000PSI H=0.2, B=0.12</v>
          </cell>
          <cell r="B174" t="str">
            <v>ML</v>
          </cell>
          <cell r="C174">
            <v>27740</v>
          </cell>
          <cell r="E174">
            <v>0</v>
          </cell>
          <cell r="F174">
            <v>0</v>
          </cell>
          <cell r="G174">
            <v>0</v>
          </cell>
          <cell r="I174">
            <v>0</v>
          </cell>
        </row>
        <row r="175">
          <cell r="A175" t="str">
            <v>BORDILLO PREFABRICADO BLOQUE CEMENTO A-80.INCLINACION TRA</v>
          </cell>
          <cell r="B175" t="str">
            <v>UN</v>
          </cell>
          <cell r="C175">
            <v>29400</v>
          </cell>
          <cell r="E175">
            <v>0</v>
          </cell>
          <cell r="F175">
            <v>0</v>
          </cell>
          <cell r="G175">
            <v>0</v>
          </cell>
          <cell r="I175">
            <v>0</v>
          </cell>
        </row>
        <row r="176">
          <cell r="A176" t="str">
            <v>BRAZO ANTIBALANCEO 15 KV</v>
          </cell>
          <cell r="B176" t="str">
            <v>und</v>
          </cell>
          <cell r="C176">
            <v>73260</v>
          </cell>
          <cell r="E176">
            <v>0</v>
          </cell>
          <cell r="F176">
            <v>0</v>
          </cell>
          <cell r="G176">
            <v>0</v>
          </cell>
          <cell r="I176">
            <v>0</v>
          </cell>
        </row>
        <row r="177">
          <cell r="A177" t="str">
            <v>BRAZO SOPORTE LUMINARIA HORIZONTAL11/4``x1.5 M UN DOBLEZ</v>
          </cell>
          <cell r="B177" t="str">
            <v>UN</v>
          </cell>
          <cell r="C177">
            <v>26890</v>
          </cell>
          <cell r="E177">
            <v>0</v>
          </cell>
          <cell r="F177">
            <v>0</v>
          </cell>
          <cell r="G177">
            <v>0</v>
          </cell>
          <cell r="I177">
            <v>0</v>
          </cell>
        </row>
        <row r="178">
          <cell r="A178" t="str">
            <v>BRAZO TUBO GALV. 2`` *2.5 M</v>
          </cell>
          <cell r="B178" t="str">
            <v>UN</v>
          </cell>
          <cell r="C178">
            <v>47620</v>
          </cell>
          <cell r="E178">
            <v>0</v>
          </cell>
          <cell r="F178">
            <v>0</v>
          </cell>
          <cell r="G178">
            <v>0</v>
          </cell>
          <cell r="I178">
            <v>0</v>
          </cell>
        </row>
        <row r="179">
          <cell r="A179" t="str">
            <v>BREAKER DE RIEL MONOPOLAR ABB 1 x 32A - 10KA</v>
          </cell>
          <cell r="B179" t="str">
            <v>UN</v>
          </cell>
          <cell r="C179">
            <v>15400</v>
          </cell>
          <cell r="E179">
            <v>0</v>
          </cell>
          <cell r="F179">
            <v>0</v>
          </cell>
          <cell r="G179">
            <v>0</v>
          </cell>
          <cell r="I179">
            <v>0</v>
          </cell>
        </row>
        <row r="180">
          <cell r="A180" t="str">
            <v>BREAKER DE RIEL MONOPOLAR ABB 1 x 40A - 10KA</v>
          </cell>
          <cell r="B180" t="str">
            <v>UN</v>
          </cell>
          <cell r="C180">
            <v>21000</v>
          </cell>
          <cell r="E180">
            <v>0</v>
          </cell>
          <cell r="F180">
            <v>0</v>
          </cell>
          <cell r="G180">
            <v>0</v>
          </cell>
          <cell r="I180">
            <v>0</v>
          </cell>
        </row>
        <row r="181">
          <cell r="A181" t="str">
            <v>BREAKER GRADUABLE 3*(87-125)A 25KA</v>
          </cell>
          <cell r="B181" t="str">
            <v>UN</v>
          </cell>
          <cell r="C181">
            <v>1.07</v>
          </cell>
          <cell r="E181">
            <v>0</v>
          </cell>
          <cell r="F181">
            <v>0</v>
          </cell>
          <cell r="G181">
            <v>0</v>
          </cell>
          <cell r="I181">
            <v>0</v>
          </cell>
        </row>
        <row r="182">
          <cell r="A182" t="str">
            <v>BREAKER INDUSTRIAL 3x 75A L.G. 50KA</v>
          </cell>
          <cell r="B182" t="str">
            <v>UN</v>
          </cell>
          <cell r="C182">
            <v>164245</v>
          </cell>
          <cell r="E182">
            <v>0</v>
          </cell>
          <cell r="F182">
            <v>0</v>
          </cell>
          <cell r="G182">
            <v>0</v>
          </cell>
          <cell r="I182">
            <v>0</v>
          </cell>
        </row>
        <row r="183">
          <cell r="A183" t="str">
            <v>BREAKER TRIFÁSICO REGULABLE 3X17,5 - 25A</v>
          </cell>
          <cell r="B183" t="str">
            <v>UND</v>
          </cell>
          <cell r="C183">
            <v>172500</v>
          </cell>
          <cell r="E183">
            <v>0</v>
          </cell>
          <cell r="F183">
            <v>0</v>
          </cell>
          <cell r="G183">
            <v>0</v>
          </cell>
          <cell r="I183">
            <v>0</v>
          </cell>
        </row>
        <row r="184">
          <cell r="A184" t="str">
            <v>BROCA  5/8" * 1 * 1</v>
          </cell>
          <cell r="B184" t="str">
            <v>UND</v>
          </cell>
          <cell r="C184">
            <v>99750</v>
          </cell>
          <cell r="E184">
            <v>0</v>
          </cell>
          <cell r="F184">
            <v>0</v>
          </cell>
          <cell r="G184">
            <v>0</v>
          </cell>
          <cell r="I184">
            <v>0</v>
          </cell>
        </row>
        <row r="185">
          <cell r="A185" t="str">
            <v>BROCA 7/8" TUGSTENO</v>
          </cell>
          <cell r="B185" t="str">
            <v>UND</v>
          </cell>
          <cell r="C185">
            <v>311850</v>
          </cell>
          <cell r="E185">
            <v>0</v>
          </cell>
          <cell r="F185">
            <v>0</v>
          </cell>
          <cell r="G185">
            <v>0</v>
          </cell>
          <cell r="I185">
            <v>0</v>
          </cell>
        </row>
        <row r="186">
          <cell r="A186" t="str">
            <v>BROCHA  ACME 4"</v>
          </cell>
          <cell r="B186" t="str">
            <v>UND</v>
          </cell>
          <cell r="C186">
            <v>4299.75</v>
          </cell>
          <cell r="E186">
            <v>0</v>
          </cell>
          <cell r="F186">
            <v>0</v>
          </cell>
          <cell r="G186">
            <v>0</v>
          </cell>
          <cell r="I186">
            <v>0</v>
          </cell>
        </row>
        <row r="187">
          <cell r="A187" t="str">
            <v>BROCHA PICASSO 2"</v>
          </cell>
          <cell r="B187" t="str">
            <v>UND</v>
          </cell>
          <cell r="C187">
            <v>4506.6000000000004</v>
          </cell>
          <cell r="E187">
            <v>0</v>
          </cell>
          <cell r="F187">
            <v>0</v>
          </cell>
          <cell r="G187">
            <v>0</v>
          </cell>
          <cell r="I187">
            <v>0</v>
          </cell>
        </row>
        <row r="188">
          <cell r="A188" t="str">
            <v>BROCHA PICASSO 3"</v>
          </cell>
          <cell r="B188" t="str">
            <v>UND</v>
          </cell>
          <cell r="C188">
            <v>10321.5</v>
          </cell>
          <cell r="E188">
            <v>0</v>
          </cell>
          <cell r="F188">
            <v>0</v>
          </cell>
          <cell r="G188">
            <v>0</v>
          </cell>
          <cell r="I188">
            <v>0</v>
          </cell>
        </row>
        <row r="189">
          <cell r="A189" t="str">
            <v>BUSHING 11/4``</v>
          </cell>
          <cell r="B189" t="str">
            <v>UN</v>
          </cell>
          <cell r="C189">
            <v>1750</v>
          </cell>
          <cell r="E189">
            <v>0</v>
          </cell>
          <cell r="F189">
            <v>0</v>
          </cell>
          <cell r="G189">
            <v>0</v>
          </cell>
          <cell r="I189">
            <v>0</v>
          </cell>
        </row>
        <row r="190">
          <cell r="A190" t="str">
            <v>CABLE ACERO GALV. EXTRARESISTENTE 3/8``</v>
          </cell>
          <cell r="B190" t="str">
            <v>ML</v>
          </cell>
          <cell r="C190">
            <v>3370</v>
          </cell>
          <cell r="E190">
            <v>0</v>
          </cell>
          <cell r="F190">
            <v>0</v>
          </cell>
          <cell r="G190">
            <v>0</v>
          </cell>
          <cell r="I190">
            <v>0</v>
          </cell>
        </row>
        <row r="191">
          <cell r="A191" t="str">
            <v>CABLE ACSR No. 1/0</v>
          </cell>
          <cell r="B191" t="str">
            <v>ML</v>
          </cell>
          <cell r="C191">
            <v>1875</v>
          </cell>
          <cell r="E191">
            <v>0</v>
          </cell>
          <cell r="F191">
            <v>0</v>
          </cell>
          <cell r="G191">
            <v>0</v>
          </cell>
          <cell r="I191">
            <v>0</v>
          </cell>
        </row>
        <row r="192">
          <cell r="A192" t="str">
            <v>CABLE ACSR No. 2</v>
          </cell>
          <cell r="B192" t="str">
            <v>ML</v>
          </cell>
          <cell r="C192">
            <v>1240</v>
          </cell>
          <cell r="E192">
            <v>0</v>
          </cell>
          <cell r="F192">
            <v>0</v>
          </cell>
          <cell r="G192">
            <v>0</v>
          </cell>
          <cell r="I192">
            <v>0</v>
          </cell>
        </row>
        <row r="193">
          <cell r="A193" t="str">
            <v>CABLE ACSR No. 2/0</v>
          </cell>
          <cell r="B193" t="str">
            <v>ML</v>
          </cell>
          <cell r="C193">
            <v>2430</v>
          </cell>
          <cell r="E193">
            <v>0</v>
          </cell>
          <cell r="F193">
            <v>0</v>
          </cell>
          <cell r="G193">
            <v>0</v>
          </cell>
          <cell r="I193">
            <v>0</v>
          </cell>
        </row>
        <row r="194">
          <cell r="A194" t="str">
            <v>CABLE ALUMINIO AISLADO 2 THW</v>
          </cell>
          <cell r="B194" t="str">
            <v>ML</v>
          </cell>
          <cell r="C194">
            <v>2380</v>
          </cell>
          <cell r="E194">
            <v>0</v>
          </cell>
          <cell r="F194">
            <v>0</v>
          </cell>
          <cell r="G194">
            <v>0</v>
          </cell>
          <cell r="I194">
            <v>0</v>
          </cell>
        </row>
        <row r="195">
          <cell r="A195" t="str">
            <v>CABLE CU AISLADO 2 THW - 90 C 600V</v>
          </cell>
          <cell r="B195" t="str">
            <v>ML</v>
          </cell>
          <cell r="C195">
            <v>9021.6</v>
          </cell>
          <cell r="E195">
            <v>0</v>
          </cell>
          <cell r="F195">
            <v>0</v>
          </cell>
          <cell r="G195">
            <v>0</v>
          </cell>
          <cell r="I195">
            <v>0</v>
          </cell>
        </row>
        <row r="196">
          <cell r="A196" t="str">
            <v>CABLE CU AISLADO 4 THHN- 90 C 600V</v>
          </cell>
          <cell r="B196" t="str">
            <v>ML</v>
          </cell>
          <cell r="C196">
            <v>5450</v>
          </cell>
          <cell r="E196">
            <v>0</v>
          </cell>
          <cell r="F196">
            <v>0</v>
          </cell>
          <cell r="G196">
            <v>0</v>
          </cell>
          <cell r="I196">
            <v>0</v>
          </cell>
        </row>
        <row r="197">
          <cell r="A197" t="str">
            <v>CABLE CU AISLADO No. 2 THHN-THWN 90 600V (CABLE</v>
          </cell>
          <cell r="B197" t="str">
            <v>ML</v>
          </cell>
          <cell r="C197">
            <v>8650</v>
          </cell>
          <cell r="E197">
            <v>0</v>
          </cell>
          <cell r="F197">
            <v>0</v>
          </cell>
          <cell r="G197">
            <v>0</v>
          </cell>
          <cell r="I197">
            <v>0</v>
          </cell>
        </row>
        <row r="198">
          <cell r="A198" t="str">
            <v>CABLE CU AISLADO No. 4/0 THW</v>
          </cell>
          <cell r="B198" t="str">
            <v>ML</v>
          </cell>
          <cell r="C198">
            <v>27690</v>
          </cell>
          <cell r="E198">
            <v>0</v>
          </cell>
          <cell r="F198">
            <v>0</v>
          </cell>
          <cell r="G198">
            <v>0</v>
          </cell>
          <cell r="I198">
            <v>0</v>
          </cell>
        </row>
        <row r="199">
          <cell r="A199" t="str">
            <v>CABLE CU AISLADO No. 4/0 THW</v>
          </cell>
          <cell r="B199" t="str">
            <v>ML</v>
          </cell>
          <cell r="C199">
            <v>27690</v>
          </cell>
          <cell r="E199">
            <v>0</v>
          </cell>
          <cell r="F199">
            <v>0</v>
          </cell>
          <cell r="G199">
            <v>0</v>
          </cell>
          <cell r="I199">
            <v>0</v>
          </cell>
        </row>
        <row r="200">
          <cell r="A200" t="str">
            <v>CABLE CU AISLADO No. 6 THW</v>
          </cell>
          <cell r="B200" t="str">
            <v>ML</v>
          </cell>
          <cell r="C200">
            <v>4020</v>
          </cell>
          <cell r="E200">
            <v>0</v>
          </cell>
          <cell r="F200">
            <v>0</v>
          </cell>
          <cell r="G200">
            <v>0</v>
          </cell>
          <cell r="I200">
            <v>0</v>
          </cell>
        </row>
        <row r="201">
          <cell r="A201" t="str">
            <v>CABLE CU AISLADO THW No 1/0 AWG</v>
          </cell>
          <cell r="B201" t="str">
            <v>ML</v>
          </cell>
          <cell r="C201">
            <v>13550</v>
          </cell>
          <cell r="E201">
            <v>0</v>
          </cell>
          <cell r="F201">
            <v>0</v>
          </cell>
          <cell r="G201">
            <v>0</v>
          </cell>
          <cell r="I201">
            <v>0</v>
          </cell>
        </row>
        <row r="202">
          <cell r="A202" t="str">
            <v>CABLE CU AISLADO THW No. 2/0 AWG</v>
          </cell>
          <cell r="B202" t="str">
            <v>ML</v>
          </cell>
          <cell r="C202">
            <v>17960</v>
          </cell>
          <cell r="E202">
            <v>0</v>
          </cell>
          <cell r="F202">
            <v>0</v>
          </cell>
          <cell r="G202">
            <v>0</v>
          </cell>
          <cell r="I202">
            <v>0</v>
          </cell>
        </row>
        <row r="203">
          <cell r="A203" t="str">
            <v>CABLE CU AISLADOl. 4 THW - 90 C 600V</v>
          </cell>
          <cell r="B203" t="str">
            <v>ML</v>
          </cell>
          <cell r="C203">
            <v>6801.9</v>
          </cell>
          <cell r="E203">
            <v>0</v>
          </cell>
          <cell r="F203">
            <v>0</v>
          </cell>
          <cell r="G203">
            <v>0</v>
          </cell>
          <cell r="I203">
            <v>0</v>
          </cell>
        </row>
        <row r="204">
          <cell r="A204" t="str">
            <v>CABLE CU DESNUDO 2/0 AWG</v>
          </cell>
          <cell r="B204" t="str">
            <v>ML</v>
          </cell>
          <cell r="C204">
            <v>16506</v>
          </cell>
          <cell r="E204">
            <v>0</v>
          </cell>
          <cell r="F204">
            <v>0</v>
          </cell>
          <cell r="G204">
            <v>0</v>
          </cell>
          <cell r="I204">
            <v>0</v>
          </cell>
        </row>
        <row r="205">
          <cell r="A205" t="str">
            <v>CABLE CU DESNUDO No 4 AWG</v>
          </cell>
          <cell r="B205" t="str">
            <v>ML</v>
          </cell>
          <cell r="C205">
            <v>5150</v>
          </cell>
          <cell r="E205">
            <v>0</v>
          </cell>
          <cell r="F205">
            <v>0</v>
          </cell>
          <cell r="G205">
            <v>0</v>
          </cell>
          <cell r="I205">
            <v>0</v>
          </cell>
        </row>
        <row r="206">
          <cell r="A206" t="str">
            <v>CABLE CUADRUPLEX AUTOS.3x35MM+1x50MM (3x2+1x1/0)</v>
          </cell>
          <cell r="B206" t="str">
            <v>ML</v>
          </cell>
          <cell r="C206">
            <v>7920</v>
          </cell>
          <cell r="E206">
            <v>0</v>
          </cell>
          <cell r="F206">
            <v>0</v>
          </cell>
          <cell r="G206">
            <v>0</v>
          </cell>
          <cell r="I206">
            <v>0</v>
          </cell>
        </row>
        <row r="207">
          <cell r="A207" t="str">
            <v>CABLE CUADRUPLEX AUTOS.3x70MM+1x50MM(3x2/0+1x1/0)</v>
          </cell>
          <cell r="B207" t="str">
            <v>ML</v>
          </cell>
          <cell r="C207">
            <v>16580</v>
          </cell>
          <cell r="E207">
            <v>0</v>
          </cell>
          <cell r="F207">
            <v>0</v>
          </cell>
          <cell r="G207">
            <v>0</v>
          </cell>
          <cell r="I207">
            <v>0</v>
          </cell>
        </row>
        <row r="208">
          <cell r="A208" t="str">
            <v>CABLE DE ALUMINIO AISLADO NO. 1/0 AWG</v>
          </cell>
          <cell r="B208" t="str">
            <v>ml</v>
          </cell>
          <cell r="C208">
            <v>4190</v>
          </cell>
          <cell r="E208">
            <v>0</v>
          </cell>
          <cell r="F208">
            <v>0</v>
          </cell>
          <cell r="G208">
            <v>0</v>
          </cell>
          <cell r="I208">
            <v>0</v>
          </cell>
        </row>
        <row r="209">
          <cell r="A209" t="str">
            <v>CABLE DE ALUMINIO AISLADO NO.6 AWG</v>
          </cell>
          <cell r="B209" t="str">
            <v>ml</v>
          </cell>
          <cell r="C209">
            <v>1310</v>
          </cell>
          <cell r="E209">
            <v>0</v>
          </cell>
          <cell r="F209">
            <v>0</v>
          </cell>
          <cell r="G209">
            <v>0</v>
          </cell>
          <cell r="I209">
            <v>0</v>
          </cell>
        </row>
        <row r="210">
          <cell r="A210" t="str">
            <v>CABLE DE COBRE  3 X NO. 2 AWG, XLPE , 15 KV</v>
          </cell>
          <cell r="B210" t="str">
            <v>ML</v>
          </cell>
          <cell r="C210">
            <v>27260</v>
          </cell>
          <cell r="E210">
            <v>0</v>
          </cell>
          <cell r="F210">
            <v>0</v>
          </cell>
          <cell r="G210">
            <v>0</v>
          </cell>
          <cell r="I210">
            <v>0</v>
          </cell>
        </row>
        <row r="211">
          <cell r="A211" t="str">
            <v>CABLE DE COBRE DESNUDO SUAVE NO. 2/0 AWG</v>
          </cell>
          <cell r="B211" t="str">
            <v>ML</v>
          </cell>
          <cell r="C211">
            <v>16850</v>
          </cell>
          <cell r="E211">
            <v>0</v>
          </cell>
          <cell r="F211">
            <v>0</v>
          </cell>
          <cell r="G211">
            <v>0</v>
          </cell>
          <cell r="I211">
            <v>0</v>
          </cell>
        </row>
        <row r="212">
          <cell r="A212" t="str">
            <v>CABLE DE COBRE TRENSADO PARA DERIV 3*2 + 1*4 AWG</v>
          </cell>
          <cell r="B212" t="str">
            <v>ML</v>
          </cell>
          <cell r="C212">
            <v>38560</v>
          </cell>
          <cell r="E212">
            <v>0</v>
          </cell>
          <cell r="F212">
            <v>0</v>
          </cell>
          <cell r="G212">
            <v>0</v>
          </cell>
          <cell r="I212">
            <v>0</v>
          </cell>
        </row>
        <row r="213">
          <cell r="A213" t="str">
            <v>CABLE MENSAJERO DE ACERO 3/8"</v>
          </cell>
          <cell r="B213" t="str">
            <v>ML</v>
          </cell>
          <cell r="C213">
            <v>3960</v>
          </cell>
          <cell r="E213">
            <v>0</v>
          </cell>
          <cell r="F213">
            <v>0</v>
          </cell>
          <cell r="G213">
            <v>0</v>
          </cell>
          <cell r="I213">
            <v>0</v>
          </cell>
        </row>
        <row r="214">
          <cell r="A214" t="str">
            <v>CABLE SEMIAISLADO No. 2</v>
          </cell>
          <cell r="B214" t="str">
            <v>ML</v>
          </cell>
          <cell r="C214">
            <v>7990</v>
          </cell>
          <cell r="E214">
            <v>0</v>
          </cell>
          <cell r="F214">
            <v>0</v>
          </cell>
          <cell r="G214">
            <v>0</v>
          </cell>
          <cell r="I214">
            <v>0</v>
          </cell>
        </row>
        <row r="215">
          <cell r="A215" t="str">
            <v>CABLE TELEFONICO 10 PARES 0.5 MM INTERI</v>
          </cell>
          <cell r="B215" t="str">
            <v>ML</v>
          </cell>
          <cell r="C215">
            <v>3270</v>
          </cell>
          <cell r="E215">
            <v>0</v>
          </cell>
          <cell r="F215">
            <v>0</v>
          </cell>
          <cell r="G215">
            <v>0</v>
          </cell>
          <cell r="I215">
            <v>0</v>
          </cell>
        </row>
        <row r="216">
          <cell r="A216" t="str">
            <v>CABLE TELEFONICO 20 PARES 0.5 MM INTERIOR</v>
          </cell>
          <cell r="B216" t="str">
            <v>ML</v>
          </cell>
          <cell r="C216">
            <v>4300</v>
          </cell>
          <cell r="E216">
            <v>0</v>
          </cell>
          <cell r="F216">
            <v>0</v>
          </cell>
          <cell r="G216">
            <v>0</v>
          </cell>
          <cell r="I216">
            <v>0</v>
          </cell>
        </row>
        <row r="217">
          <cell r="A217" t="str">
            <v>CABLE TRIPLEX AUTOSOPORTADO 2X2+2</v>
          </cell>
          <cell r="B217" t="str">
            <v>ML</v>
          </cell>
          <cell r="C217">
            <v>7950</v>
          </cell>
          <cell r="E217">
            <v>0</v>
          </cell>
          <cell r="F217">
            <v>0</v>
          </cell>
          <cell r="G217">
            <v>0</v>
          </cell>
          <cell r="I217">
            <v>0</v>
          </cell>
        </row>
        <row r="218">
          <cell r="A218" t="str">
            <v>CADENA GALVANIZADA 3/8``</v>
          </cell>
          <cell r="B218" t="str">
            <v>ML</v>
          </cell>
          <cell r="C218">
            <v>16632</v>
          </cell>
          <cell r="E218">
            <v>0</v>
          </cell>
          <cell r="F218">
            <v>0</v>
          </cell>
          <cell r="G218">
            <v>0</v>
          </cell>
          <cell r="I218">
            <v>0</v>
          </cell>
        </row>
        <row r="219">
          <cell r="A219" t="str">
            <v>CAJA 10x10 STRIP TELEFONICO</v>
          </cell>
          <cell r="B219" t="str">
            <v>UND</v>
          </cell>
          <cell r="C219">
            <v>10500</v>
          </cell>
          <cell r="E219">
            <v>0</v>
          </cell>
          <cell r="F219">
            <v>0</v>
          </cell>
          <cell r="G219">
            <v>0</v>
          </cell>
          <cell r="I219">
            <v>0</v>
          </cell>
        </row>
        <row r="220">
          <cell r="A220" t="str">
            <v>CAJA 20x20 STRIP TELEFONICO</v>
          </cell>
          <cell r="B220" t="str">
            <v>UND</v>
          </cell>
          <cell r="C220">
            <v>22600</v>
          </cell>
          <cell r="E220">
            <v>0</v>
          </cell>
          <cell r="F220">
            <v>0</v>
          </cell>
          <cell r="G220">
            <v>0</v>
          </cell>
          <cell r="I220">
            <v>0</v>
          </cell>
        </row>
        <row r="221">
          <cell r="A221" t="str">
            <v>CAJA 2400 CUADRADA 4 X 4 CON SUPLEMENTO</v>
          </cell>
          <cell r="B221" t="str">
            <v>UND</v>
          </cell>
          <cell r="C221">
            <v>1740</v>
          </cell>
          <cell r="E221">
            <v>0</v>
          </cell>
          <cell r="F221">
            <v>0</v>
          </cell>
          <cell r="G221">
            <v>0</v>
          </cell>
          <cell r="I221">
            <v>0</v>
          </cell>
        </row>
        <row r="222">
          <cell r="A222" t="str">
            <v>CAJA 30x30 STRIP TELEFONICO P/CHAPA</v>
          </cell>
          <cell r="B222" t="str">
            <v>UND</v>
          </cell>
          <cell r="C222">
            <v>32450</v>
          </cell>
          <cell r="E222">
            <v>0</v>
          </cell>
          <cell r="F222">
            <v>0</v>
          </cell>
          <cell r="G222">
            <v>0</v>
          </cell>
          <cell r="I222">
            <v>0</v>
          </cell>
        </row>
        <row r="223">
          <cell r="A223" t="str">
            <v>CAJA 5800 GALV. RG100</v>
          </cell>
          <cell r="B223" t="str">
            <v>UND</v>
          </cell>
          <cell r="C223">
            <v>1300</v>
          </cell>
          <cell r="E223">
            <v>0</v>
          </cell>
          <cell r="F223">
            <v>0</v>
          </cell>
          <cell r="G223">
            <v>0</v>
          </cell>
          <cell r="I223">
            <v>0</v>
          </cell>
        </row>
        <row r="224">
          <cell r="A224" t="str">
            <v>CAJA CONTADOR 1 CUENTA TRIFASICA</v>
          </cell>
          <cell r="B224" t="str">
            <v>UND</v>
          </cell>
          <cell r="C224">
            <v>67704</v>
          </cell>
          <cell r="E224">
            <v>0</v>
          </cell>
          <cell r="F224">
            <v>0</v>
          </cell>
          <cell r="G224">
            <v>0</v>
          </cell>
          <cell r="I224">
            <v>0</v>
          </cell>
        </row>
        <row r="225">
          <cell r="A225" t="str">
            <v>CAJA CONTADOR BIFASICA T. CODENSA</v>
          </cell>
          <cell r="B225" t="str">
            <v>UND</v>
          </cell>
          <cell r="C225">
            <v>116100</v>
          </cell>
          <cell r="E225">
            <v>0</v>
          </cell>
          <cell r="F225">
            <v>0</v>
          </cell>
          <cell r="G225">
            <v>0</v>
          </cell>
          <cell r="I225">
            <v>0</v>
          </cell>
        </row>
        <row r="226">
          <cell r="A226" t="str">
            <v>CAJA CONTADOR EN POLICARBONATO PARA UN MEDIDOR TRIFÁSICO</v>
          </cell>
          <cell r="B226" t="str">
            <v>UND</v>
          </cell>
          <cell r="C226">
            <v>147680</v>
          </cell>
          <cell r="E226">
            <v>0</v>
          </cell>
          <cell r="F226">
            <v>0</v>
          </cell>
          <cell r="G226">
            <v>0</v>
          </cell>
          <cell r="I226">
            <v>0</v>
          </cell>
        </row>
        <row r="227">
          <cell r="A227" t="str">
            <v>CAJA CONTADOR MONOFASICA</v>
          </cell>
          <cell r="B227" t="str">
            <v>UND</v>
          </cell>
          <cell r="C227">
            <v>37150</v>
          </cell>
          <cell r="E227">
            <v>0</v>
          </cell>
          <cell r="F227">
            <v>0</v>
          </cell>
          <cell r="G227">
            <v>0</v>
          </cell>
          <cell r="I227">
            <v>0</v>
          </cell>
        </row>
        <row r="228">
          <cell r="A228" t="str">
            <v>CAJA GALVAN OCTOGONAL CALIBRE 20</v>
          </cell>
          <cell r="B228" t="str">
            <v>UND</v>
          </cell>
          <cell r="C228">
            <v>1340</v>
          </cell>
          <cell r="E228">
            <v>0</v>
          </cell>
          <cell r="F228">
            <v>0</v>
          </cell>
          <cell r="G228">
            <v>0</v>
          </cell>
          <cell r="I228">
            <v>0</v>
          </cell>
        </row>
        <row r="229">
          <cell r="A229" t="str">
            <v>CAJA TRIF T. INTERPE ACOME B.T 140A 4S POLICARBONATO</v>
          </cell>
          <cell r="B229" t="str">
            <v>UND</v>
          </cell>
          <cell r="C229">
            <v>130905</v>
          </cell>
          <cell r="E229">
            <v>0</v>
          </cell>
          <cell r="F229">
            <v>0</v>
          </cell>
          <cell r="G229">
            <v>0</v>
          </cell>
          <cell r="I229">
            <v>0</v>
          </cell>
        </row>
        <row r="230">
          <cell r="A230" t="str">
            <v>CAL CALCIO</v>
          </cell>
          <cell r="B230" t="str">
            <v>KG</v>
          </cell>
          <cell r="C230">
            <v>3990</v>
          </cell>
          <cell r="E230">
            <v>0</v>
          </cell>
          <cell r="F230">
            <v>0</v>
          </cell>
          <cell r="G230">
            <v>0</v>
          </cell>
          <cell r="I230">
            <v>0</v>
          </cell>
        </row>
        <row r="231">
          <cell r="A231" t="str">
            <v>CAMILLA EN MADERA PLANCHON</v>
          </cell>
          <cell r="B231" t="str">
            <v>DIA</v>
          </cell>
          <cell r="C231">
            <v>728</v>
          </cell>
          <cell r="E231">
            <v>0</v>
          </cell>
          <cell r="F231">
            <v>0</v>
          </cell>
          <cell r="G231">
            <v>0</v>
          </cell>
          <cell r="I231">
            <v>0</v>
          </cell>
        </row>
        <row r="232">
          <cell r="A232" t="str">
            <v>CAMISA PARA PILOTE D=1,00 M</v>
          </cell>
          <cell r="B232" t="str">
            <v>UN</v>
          </cell>
          <cell r="C232">
            <v>32890</v>
          </cell>
          <cell r="E232">
            <v>0</v>
          </cell>
          <cell r="F232">
            <v>0</v>
          </cell>
          <cell r="G232">
            <v>0</v>
          </cell>
          <cell r="I232">
            <v>0</v>
          </cell>
        </row>
        <row r="233">
          <cell r="A233" t="str">
            <v>CAMISA PARA PILOTE D=1,20 M</v>
          </cell>
          <cell r="B233" t="str">
            <v>UN</v>
          </cell>
          <cell r="C233">
            <v>37890</v>
          </cell>
          <cell r="E233">
            <v>0</v>
          </cell>
          <cell r="F233">
            <v>0</v>
          </cell>
          <cell r="G233">
            <v>0</v>
          </cell>
          <cell r="I233">
            <v>0</v>
          </cell>
        </row>
        <row r="234">
          <cell r="A234" t="str">
            <v>CANAL AMAZONA</v>
          </cell>
          <cell r="B234" t="str">
            <v>ml</v>
          </cell>
          <cell r="C234">
            <v>7885</v>
          </cell>
          <cell r="E234">
            <v>0</v>
          </cell>
          <cell r="F234">
            <v>0</v>
          </cell>
          <cell r="G234">
            <v>0</v>
          </cell>
          <cell r="I234">
            <v>0</v>
          </cell>
        </row>
        <row r="235">
          <cell r="A235" t="str">
            <v>CANAL PLASTICA X 3 M</v>
          </cell>
          <cell r="B235" t="str">
            <v>ml</v>
          </cell>
          <cell r="C235">
            <v>11535</v>
          </cell>
          <cell r="E235">
            <v>0</v>
          </cell>
          <cell r="F235">
            <v>0</v>
          </cell>
          <cell r="G235">
            <v>0</v>
          </cell>
          <cell r="I235">
            <v>0</v>
          </cell>
        </row>
        <row r="236">
          <cell r="A236" t="str">
            <v>CANAL RAINGO</v>
          </cell>
          <cell r="B236" t="str">
            <v>ml</v>
          </cell>
          <cell r="C236">
            <v>4495</v>
          </cell>
          <cell r="E236">
            <v>0</v>
          </cell>
          <cell r="F236">
            <v>0</v>
          </cell>
          <cell r="G236">
            <v>0</v>
          </cell>
          <cell r="I236">
            <v>0</v>
          </cell>
        </row>
        <row r="237">
          <cell r="A237" t="str">
            <v>CANALETA  90 X 4.50</v>
          </cell>
          <cell r="B237" t="str">
            <v>un</v>
          </cell>
          <cell r="C237">
            <v>147900</v>
          </cell>
          <cell r="E237">
            <v>0</v>
          </cell>
          <cell r="F237">
            <v>0</v>
          </cell>
          <cell r="G237">
            <v>0</v>
          </cell>
          <cell r="I237">
            <v>0</v>
          </cell>
        </row>
        <row r="238">
          <cell r="A238" t="str">
            <v>CANALETA  ETERNIT 90*600</v>
          </cell>
          <cell r="B238" t="str">
            <v>un</v>
          </cell>
          <cell r="C238">
            <v>181500</v>
          </cell>
          <cell r="E238">
            <v>0</v>
          </cell>
          <cell r="F238">
            <v>0</v>
          </cell>
          <cell r="G238">
            <v>0</v>
          </cell>
          <cell r="I238">
            <v>0</v>
          </cell>
        </row>
        <row r="239">
          <cell r="A239" t="str">
            <v>CANALETA 43 X 3.50</v>
          </cell>
          <cell r="B239" t="str">
            <v>un</v>
          </cell>
          <cell r="C239">
            <v>96900</v>
          </cell>
          <cell r="E239">
            <v>0</v>
          </cell>
          <cell r="F239">
            <v>0</v>
          </cell>
          <cell r="G239">
            <v>0</v>
          </cell>
          <cell r="I239">
            <v>0</v>
          </cell>
        </row>
        <row r="240">
          <cell r="A240" t="str">
            <v>CANALETA 43 X 4.00</v>
          </cell>
          <cell r="B240" t="str">
            <v>un</v>
          </cell>
          <cell r="C240">
            <v>110900</v>
          </cell>
          <cell r="E240">
            <v>0</v>
          </cell>
          <cell r="F240">
            <v>0</v>
          </cell>
          <cell r="G240">
            <v>0</v>
          </cell>
          <cell r="I240">
            <v>0</v>
          </cell>
        </row>
        <row r="241">
          <cell r="A241" t="str">
            <v>CANALETA 43 X 4.50</v>
          </cell>
          <cell r="B241" t="str">
            <v>un</v>
          </cell>
          <cell r="C241">
            <v>124900</v>
          </cell>
          <cell r="E241">
            <v>0</v>
          </cell>
          <cell r="F241">
            <v>0</v>
          </cell>
          <cell r="G241">
            <v>0</v>
          </cell>
          <cell r="I241">
            <v>0</v>
          </cell>
        </row>
        <row r="242">
          <cell r="A242" t="str">
            <v>CANALETA 43 X 5.00</v>
          </cell>
          <cell r="B242" t="str">
            <v>un</v>
          </cell>
          <cell r="C242">
            <v>138900</v>
          </cell>
          <cell r="E242">
            <v>0</v>
          </cell>
          <cell r="F242">
            <v>0</v>
          </cell>
          <cell r="G242">
            <v>0</v>
          </cell>
          <cell r="I242">
            <v>0</v>
          </cell>
        </row>
        <row r="243">
          <cell r="A243" t="str">
            <v>CANALETA 43 X 5.50</v>
          </cell>
          <cell r="B243" t="str">
            <v>un</v>
          </cell>
          <cell r="C243">
            <v>152900</v>
          </cell>
          <cell r="E243">
            <v>0</v>
          </cell>
          <cell r="F243">
            <v>0</v>
          </cell>
          <cell r="G243">
            <v>0</v>
          </cell>
          <cell r="I243">
            <v>0</v>
          </cell>
        </row>
        <row r="244">
          <cell r="A244" t="str">
            <v>CANALETA 43 X 6.00</v>
          </cell>
          <cell r="B244" t="str">
            <v>un</v>
          </cell>
          <cell r="C244">
            <v>166900</v>
          </cell>
          <cell r="E244">
            <v>0</v>
          </cell>
          <cell r="F244">
            <v>0</v>
          </cell>
          <cell r="G244">
            <v>0</v>
          </cell>
          <cell r="I244">
            <v>0</v>
          </cell>
        </row>
        <row r="245">
          <cell r="A245" t="str">
            <v>CANALETA 90 X 5.,25</v>
          </cell>
          <cell r="B245" t="str">
            <v>un</v>
          </cell>
          <cell r="C245">
            <v>172900</v>
          </cell>
          <cell r="E245">
            <v>0</v>
          </cell>
          <cell r="F245">
            <v>0</v>
          </cell>
          <cell r="G245">
            <v>0</v>
          </cell>
          <cell r="I245">
            <v>0</v>
          </cell>
        </row>
        <row r="246">
          <cell r="A246" t="str">
            <v>CANALETA 90 X 7,00</v>
          </cell>
          <cell r="B246" t="str">
            <v>un</v>
          </cell>
          <cell r="C246">
            <v>252900</v>
          </cell>
          <cell r="E246">
            <v>0</v>
          </cell>
          <cell r="F246">
            <v>0</v>
          </cell>
          <cell r="G246">
            <v>0</v>
          </cell>
          <cell r="I246">
            <v>0</v>
          </cell>
        </row>
        <row r="247">
          <cell r="A247" t="str">
            <v>CANALETA 90 X 8,00</v>
          </cell>
          <cell r="B247" t="str">
            <v>un</v>
          </cell>
          <cell r="C247">
            <v>288900</v>
          </cell>
          <cell r="E247">
            <v>0</v>
          </cell>
          <cell r="F247">
            <v>0</v>
          </cell>
          <cell r="G247">
            <v>0</v>
          </cell>
          <cell r="I247">
            <v>0</v>
          </cell>
        </row>
        <row r="248">
          <cell r="A248" t="str">
            <v>CANALETA 90 X 9.00</v>
          </cell>
          <cell r="B248" t="str">
            <v>un</v>
          </cell>
          <cell r="C248">
            <v>324900</v>
          </cell>
          <cell r="E248">
            <v>0</v>
          </cell>
          <cell r="F248">
            <v>0</v>
          </cell>
          <cell r="G248">
            <v>0</v>
          </cell>
          <cell r="I248">
            <v>0</v>
          </cell>
        </row>
        <row r="249">
          <cell r="A249" t="str">
            <v>CANASTILLA PASAJUNTAS</v>
          </cell>
          <cell r="B249" t="str">
            <v>KG</v>
          </cell>
          <cell r="C249">
            <v>3687</v>
          </cell>
          <cell r="E249">
            <v>0</v>
          </cell>
          <cell r="F249">
            <v>0</v>
          </cell>
          <cell r="G249">
            <v>0</v>
          </cell>
          <cell r="I249">
            <v>0</v>
          </cell>
        </row>
        <row r="250">
          <cell r="A250" t="str">
            <v>CANECA M-120</v>
          </cell>
          <cell r="B250" t="str">
            <v>UN</v>
          </cell>
          <cell r="C250">
            <v>320250</v>
          </cell>
          <cell r="E250">
            <v>0</v>
          </cell>
          <cell r="F250">
            <v>0</v>
          </cell>
          <cell r="G250">
            <v>0</v>
          </cell>
          <cell r="I250">
            <v>0</v>
          </cell>
        </row>
        <row r="251">
          <cell r="A251" t="str">
            <v>CANECA M-120 (MALLA METALICA)</v>
          </cell>
          <cell r="B251" t="str">
            <v>UN</v>
          </cell>
          <cell r="C251">
            <v>312480</v>
          </cell>
          <cell r="E251">
            <v>0</v>
          </cell>
          <cell r="F251">
            <v>0</v>
          </cell>
          <cell r="G251">
            <v>0</v>
          </cell>
          <cell r="I251">
            <v>0</v>
          </cell>
        </row>
        <row r="252">
          <cell r="A252" t="str">
            <v>CAOLIN 25 KG</v>
          </cell>
          <cell r="B252" t="str">
            <v>BLT</v>
          </cell>
          <cell r="C252">
            <v>7875</v>
          </cell>
          <cell r="E252">
            <v>0</v>
          </cell>
          <cell r="F252">
            <v>0</v>
          </cell>
          <cell r="G252">
            <v>0</v>
          </cell>
          <cell r="I252">
            <v>0</v>
          </cell>
        </row>
        <row r="253">
          <cell r="A253" t="str">
            <v>CAPACETE 1``</v>
          </cell>
          <cell r="B253" t="str">
            <v>UN</v>
          </cell>
          <cell r="C253">
            <v>2680</v>
          </cell>
          <cell r="E253">
            <v>0</v>
          </cell>
          <cell r="F253">
            <v>0</v>
          </cell>
          <cell r="G253">
            <v>0</v>
          </cell>
          <cell r="I253">
            <v>0</v>
          </cell>
        </row>
        <row r="254">
          <cell r="A254" t="str">
            <v>CAPACETE 11/4``</v>
          </cell>
          <cell r="B254" t="str">
            <v>UN</v>
          </cell>
          <cell r="C254">
            <v>4500</v>
          </cell>
          <cell r="E254">
            <v>0</v>
          </cell>
          <cell r="F254">
            <v>0</v>
          </cell>
          <cell r="G254">
            <v>0</v>
          </cell>
          <cell r="I254">
            <v>0</v>
          </cell>
        </row>
        <row r="255">
          <cell r="A255" t="str">
            <v>CAPACETE 3``</v>
          </cell>
          <cell r="B255" t="str">
            <v>UN</v>
          </cell>
          <cell r="C255">
            <v>16800</v>
          </cell>
          <cell r="E255">
            <v>0</v>
          </cell>
          <cell r="F255">
            <v>0</v>
          </cell>
          <cell r="G255">
            <v>0</v>
          </cell>
          <cell r="I255">
            <v>0</v>
          </cell>
        </row>
        <row r="256">
          <cell r="A256" t="str">
            <v>CAPACETE IMC ROSCA 3``</v>
          </cell>
          <cell r="B256" t="str">
            <v>UND</v>
          </cell>
          <cell r="C256">
            <v>20205</v>
          </cell>
          <cell r="E256">
            <v>0</v>
          </cell>
          <cell r="F256">
            <v>0</v>
          </cell>
          <cell r="G256">
            <v>0</v>
          </cell>
          <cell r="I256">
            <v>0</v>
          </cell>
        </row>
        <row r="257">
          <cell r="A257" t="str">
            <v>CAPTAFARO. INCLUYE TORNILLOS.</v>
          </cell>
          <cell r="B257" t="str">
            <v>UND</v>
          </cell>
          <cell r="C257">
            <v>10300</v>
          </cell>
          <cell r="E257">
            <v>0</v>
          </cell>
          <cell r="F257">
            <v>0</v>
          </cell>
          <cell r="G257">
            <v>0</v>
          </cell>
          <cell r="I257">
            <v>0</v>
          </cell>
        </row>
        <row r="258">
          <cell r="A258" t="str">
            <v>CARBONILLA PARA CAPA FILTRANTE 2-1/2" INC TRANSORTE</v>
          </cell>
          <cell r="B258" t="str">
            <v>M3</v>
          </cell>
          <cell r="C258">
            <v>36750</v>
          </cell>
          <cell r="E258">
            <v>0</v>
          </cell>
          <cell r="F258">
            <v>0</v>
          </cell>
          <cell r="G258">
            <v>0</v>
          </cell>
          <cell r="I258">
            <v>0</v>
          </cell>
        </row>
        <row r="259">
          <cell r="A259" t="str">
            <v>CASETON DE GUADUA A=0.25 MTS</v>
          </cell>
          <cell r="B259" t="str">
            <v>M2</v>
          </cell>
          <cell r="C259">
            <v>10080</v>
          </cell>
          <cell r="E259">
            <v>0</v>
          </cell>
          <cell r="F259">
            <v>0</v>
          </cell>
          <cell r="G259">
            <v>0</v>
          </cell>
          <cell r="I259">
            <v>0</v>
          </cell>
        </row>
        <row r="260">
          <cell r="A260" t="str">
            <v>CELOSA ALUMINIO INCLUYE ESTRUCTURA DE ANCLAJE</v>
          </cell>
          <cell r="B260" t="str">
            <v>M2</v>
          </cell>
          <cell r="C260">
            <v>168000</v>
          </cell>
          <cell r="E260">
            <v>0</v>
          </cell>
          <cell r="F260">
            <v>0</v>
          </cell>
          <cell r="G260">
            <v>0</v>
          </cell>
          <cell r="I260">
            <v>0</v>
          </cell>
        </row>
        <row r="261">
          <cell r="A261" t="str">
            <v>CEMENTO BLANCO 40 KG NARE</v>
          </cell>
          <cell r="B261" t="str">
            <v>KG</v>
          </cell>
          <cell r="C261">
            <v>1024.8</v>
          </cell>
          <cell r="E261">
            <v>0</v>
          </cell>
          <cell r="F261">
            <v>0</v>
          </cell>
          <cell r="G261">
            <v>0</v>
          </cell>
          <cell r="I261">
            <v>0</v>
          </cell>
        </row>
        <row r="262">
          <cell r="A262" t="str">
            <v>CEMENTO BLANCO X 42.5 KG</v>
          </cell>
          <cell r="B262" t="str">
            <v>KG</v>
          </cell>
          <cell r="C262">
            <v>1386</v>
          </cell>
          <cell r="E262">
            <v>0</v>
          </cell>
          <cell r="F262">
            <v>0</v>
          </cell>
          <cell r="G262">
            <v>0</v>
          </cell>
          <cell r="I262">
            <v>0</v>
          </cell>
        </row>
        <row r="263">
          <cell r="A263" t="str">
            <v>CEMENTO GRIS</v>
          </cell>
          <cell r="B263" t="str">
            <v>KG</v>
          </cell>
          <cell r="C263">
            <v>546</v>
          </cell>
          <cell r="E263">
            <v>0</v>
          </cell>
          <cell r="F263">
            <v>0</v>
          </cell>
          <cell r="G263">
            <v>0</v>
          </cell>
          <cell r="I263">
            <v>0</v>
          </cell>
        </row>
        <row r="264">
          <cell r="A264" t="str">
            <v>CEMENTO GRIS (BULTO X 50 KG)</v>
          </cell>
          <cell r="B264" t="str">
            <v>BLT</v>
          </cell>
          <cell r="C264">
            <v>22564</v>
          </cell>
          <cell r="E264">
            <v>0</v>
          </cell>
          <cell r="F264">
            <v>0</v>
          </cell>
          <cell r="G264">
            <v>0</v>
          </cell>
          <cell r="I264">
            <v>0</v>
          </cell>
        </row>
        <row r="265">
          <cell r="A265" t="str">
            <v>CENEFA ANDALUZ 12 X 25 GRESS</v>
          </cell>
          <cell r="B265" t="str">
            <v>ML</v>
          </cell>
          <cell r="C265">
            <v>14595</v>
          </cell>
          <cell r="E265">
            <v>0</v>
          </cell>
          <cell r="F265">
            <v>0</v>
          </cell>
          <cell r="G265">
            <v>0</v>
          </cell>
          <cell r="I265">
            <v>0</v>
          </cell>
        </row>
        <row r="266">
          <cell r="A266" t="str">
            <v>CENEFA LISTELLO ARROYO AZUL 8* 25 MT LINEAL</v>
          </cell>
          <cell r="B266" t="str">
            <v>UND</v>
          </cell>
          <cell r="C266">
            <v>4515</v>
          </cell>
          <cell r="E266">
            <v>0</v>
          </cell>
          <cell r="F266">
            <v>0</v>
          </cell>
          <cell r="G266">
            <v>0</v>
          </cell>
          <cell r="I266">
            <v>0</v>
          </cell>
        </row>
        <row r="267">
          <cell r="A267" t="str">
            <v>CERA PISO</v>
          </cell>
          <cell r="B267" t="str">
            <v>GLN</v>
          </cell>
          <cell r="C267">
            <v>9450</v>
          </cell>
          <cell r="E267">
            <v>0</v>
          </cell>
          <cell r="F267">
            <v>0</v>
          </cell>
          <cell r="G267">
            <v>0</v>
          </cell>
          <cell r="I267">
            <v>0</v>
          </cell>
        </row>
        <row r="268">
          <cell r="A268" t="str">
            <v>CERRADURA CHAPA YALE CAR LATON G-A CERRACOL</v>
          </cell>
          <cell r="B268" t="str">
            <v>UND</v>
          </cell>
          <cell r="C268">
            <v>32262.3</v>
          </cell>
          <cell r="E268">
            <v>0</v>
          </cell>
          <cell r="F268">
            <v>0</v>
          </cell>
          <cell r="G268">
            <v>0</v>
          </cell>
          <cell r="I268">
            <v>0</v>
          </cell>
        </row>
        <row r="269">
          <cell r="A269" t="str">
            <v>CERRADURA EMBUTIR L 370 CERRACOL</v>
          </cell>
          <cell r="B269" t="str">
            <v>UND</v>
          </cell>
          <cell r="C269">
            <v>79695</v>
          </cell>
          <cell r="E269">
            <v>0</v>
          </cell>
          <cell r="F269">
            <v>0</v>
          </cell>
          <cell r="G269">
            <v>0</v>
          </cell>
          <cell r="I269">
            <v>0</v>
          </cell>
        </row>
        <row r="270">
          <cell r="A270" t="str">
            <v>CERRADURA MADERA DORADA (POMO) ENTRADA SAFE</v>
          </cell>
          <cell r="B270" t="str">
            <v>UND</v>
          </cell>
          <cell r="C270">
            <v>32025</v>
          </cell>
          <cell r="E270">
            <v>0</v>
          </cell>
          <cell r="F270">
            <v>0</v>
          </cell>
          <cell r="G270">
            <v>0</v>
          </cell>
          <cell r="I270">
            <v>0</v>
          </cell>
        </row>
        <row r="271">
          <cell r="A271" t="str">
            <v>CERRADURA, CHAPA YALE 987 DE SOBREPONER</v>
          </cell>
          <cell r="B271" t="str">
            <v>UND</v>
          </cell>
          <cell r="C271">
            <v>73395</v>
          </cell>
          <cell r="E271">
            <v>0</v>
          </cell>
          <cell r="F271">
            <v>0</v>
          </cell>
          <cell r="G271">
            <v>0</v>
          </cell>
          <cell r="I271">
            <v>0</v>
          </cell>
        </row>
        <row r="272">
          <cell r="A272" t="str">
            <v>CHAZO COLAPSIBLE CON TORNILLO 1/4</v>
          </cell>
          <cell r="B272" t="str">
            <v>UND</v>
          </cell>
          <cell r="C272">
            <v>273</v>
          </cell>
          <cell r="E272">
            <v>0</v>
          </cell>
          <cell r="F272">
            <v>0</v>
          </cell>
          <cell r="G272">
            <v>0</v>
          </cell>
          <cell r="I272">
            <v>0</v>
          </cell>
        </row>
        <row r="273">
          <cell r="A273" t="str">
            <v>CHAZO METALICO 1/2" X 2</v>
          </cell>
          <cell r="B273" t="str">
            <v>UND</v>
          </cell>
          <cell r="C273">
            <v>262.5</v>
          </cell>
          <cell r="E273">
            <v>0</v>
          </cell>
          <cell r="F273">
            <v>0</v>
          </cell>
          <cell r="G273">
            <v>0</v>
          </cell>
          <cell r="I273">
            <v>0</v>
          </cell>
        </row>
        <row r="274">
          <cell r="A274" t="str">
            <v>CHAZOS DE 1/4 (PLASTICOS)</v>
          </cell>
          <cell r="B274" t="str">
            <v>UND</v>
          </cell>
          <cell r="C274">
            <v>10.5</v>
          </cell>
          <cell r="E274">
            <v>0</v>
          </cell>
          <cell r="F274">
            <v>0</v>
          </cell>
          <cell r="G274">
            <v>0</v>
          </cell>
          <cell r="I274">
            <v>0</v>
          </cell>
        </row>
        <row r="275">
          <cell r="A275" t="str">
            <v>CHEQUE CORTINA HORIZONTAL 125 PSI 1-1/2 HELBERT</v>
          </cell>
          <cell r="B275" t="str">
            <v>UND</v>
          </cell>
          <cell r="C275">
            <v>28245</v>
          </cell>
          <cell r="E275">
            <v>0</v>
          </cell>
          <cell r="F275">
            <v>0</v>
          </cell>
          <cell r="G275">
            <v>0</v>
          </cell>
          <cell r="I275">
            <v>0</v>
          </cell>
        </row>
        <row r="276">
          <cell r="A276" t="str">
            <v>CICLOPARQUEADERO M-100</v>
          </cell>
          <cell r="B276" t="str">
            <v>UN</v>
          </cell>
          <cell r="C276">
            <v>298725</v>
          </cell>
          <cell r="E276">
            <v>0</v>
          </cell>
          <cell r="F276">
            <v>0</v>
          </cell>
          <cell r="G276">
            <v>0</v>
          </cell>
          <cell r="I276">
            <v>0</v>
          </cell>
        </row>
        <row r="277">
          <cell r="A277" t="str">
            <v>CIELORASO SUPERBOARD, INCLUYE ESTRUCTURA EN ALUMINIO</v>
          </cell>
          <cell r="B277" t="str">
            <v>M2</v>
          </cell>
          <cell r="C277">
            <v>40656</v>
          </cell>
          <cell r="E277">
            <v>0</v>
          </cell>
          <cell r="F277">
            <v>0</v>
          </cell>
          <cell r="G277">
            <v>0</v>
          </cell>
          <cell r="I277">
            <v>0</v>
          </cell>
        </row>
        <row r="278">
          <cell r="A278" t="str">
            <v>CINTA ANTIDUST ST TEJA POLICARBONATO ALVEOLAR</v>
          </cell>
          <cell r="B278" t="str">
            <v>UND</v>
          </cell>
          <cell r="C278">
            <v>33495</v>
          </cell>
          <cell r="E278">
            <v>0</v>
          </cell>
          <cell r="F278">
            <v>0</v>
          </cell>
          <cell r="G278">
            <v>0</v>
          </cell>
          <cell r="I278">
            <v>0</v>
          </cell>
        </row>
        <row r="279">
          <cell r="A279" t="str">
            <v>CINTA AUTOADHESIVA SIKA MULTISEAL 0.1 X 10 M</v>
          </cell>
          <cell r="B279" t="str">
            <v>ML</v>
          </cell>
          <cell r="C279">
            <v>41475</v>
          </cell>
          <cell r="E279">
            <v>0</v>
          </cell>
          <cell r="F279">
            <v>0</v>
          </cell>
          <cell r="G279">
            <v>0</v>
          </cell>
          <cell r="I279">
            <v>0</v>
          </cell>
        </row>
        <row r="280">
          <cell r="A280" t="str">
            <v>CINTA BANDIT 5/8``</v>
          </cell>
          <cell r="B280" t="str">
            <v>ML</v>
          </cell>
          <cell r="C280">
            <v>1920</v>
          </cell>
          <cell r="E280">
            <v>0</v>
          </cell>
          <cell r="F280">
            <v>0</v>
          </cell>
          <cell r="G280">
            <v>0</v>
          </cell>
          <cell r="I280">
            <v>0</v>
          </cell>
        </row>
        <row r="281">
          <cell r="A281" t="str">
            <v>CINTA DE ENMASCARAR 24 MM X 40 M TESA</v>
          </cell>
          <cell r="B281" t="str">
            <v>UND</v>
          </cell>
          <cell r="C281">
            <v>6195</v>
          </cell>
          <cell r="E281">
            <v>0</v>
          </cell>
          <cell r="F281">
            <v>0</v>
          </cell>
          <cell r="G281">
            <v>0</v>
          </cell>
          <cell r="I281">
            <v>0</v>
          </cell>
        </row>
        <row r="282">
          <cell r="A282" t="str">
            <v>CINTA DE ENMASCARAR 24 MM X 40 M TESA</v>
          </cell>
          <cell r="B282" t="str">
            <v>UND</v>
          </cell>
          <cell r="C282">
            <v>6195</v>
          </cell>
          <cell r="E282">
            <v>0</v>
          </cell>
          <cell r="F282">
            <v>0</v>
          </cell>
          <cell r="G282">
            <v>0</v>
          </cell>
          <cell r="I282">
            <v>0</v>
          </cell>
        </row>
        <row r="283">
          <cell r="A283" t="str">
            <v>CINTA DE SEÑALIZACIÓN</v>
          </cell>
          <cell r="B283" t="str">
            <v>ML</v>
          </cell>
          <cell r="C283">
            <v>850</v>
          </cell>
          <cell r="E283">
            <v>0</v>
          </cell>
          <cell r="F283">
            <v>0</v>
          </cell>
          <cell r="G283">
            <v>0</v>
          </cell>
          <cell r="I283">
            <v>0</v>
          </cell>
        </row>
        <row r="284">
          <cell r="A284" t="str">
            <v>CINTA FLEXIBLE PVC A - 10 30 ML</v>
          </cell>
          <cell r="B284" t="str">
            <v>ML</v>
          </cell>
          <cell r="C284">
            <v>9878.4</v>
          </cell>
          <cell r="E284">
            <v>0</v>
          </cell>
          <cell r="F284">
            <v>0</v>
          </cell>
          <cell r="G284">
            <v>0</v>
          </cell>
          <cell r="I284">
            <v>0</v>
          </cell>
        </row>
        <row r="285">
          <cell r="A285" t="str">
            <v>CINTA FLEXIBLE PVC A -15- 30 ML</v>
          </cell>
          <cell r="B285" t="str">
            <v>ML</v>
          </cell>
          <cell r="C285">
            <v>17656.8</v>
          </cell>
          <cell r="E285">
            <v>0</v>
          </cell>
          <cell r="F285">
            <v>0</v>
          </cell>
          <cell r="G285">
            <v>0</v>
          </cell>
          <cell r="I285">
            <v>0</v>
          </cell>
        </row>
        <row r="286">
          <cell r="A286" t="str">
            <v>CINTA FLEXIBLE PVCA - 22- 15 ML</v>
          </cell>
          <cell r="B286" t="str">
            <v>ML</v>
          </cell>
          <cell r="C286">
            <v>30481.5</v>
          </cell>
          <cell r="E286">
            <v>0</v>
          </cell>
          <cell r="F286">
            <v>0</v>
          </cell>
          <cell r="G286">
            <v>0</v>
          </cell>
          <cell r="I286">
            <v>0</v>
          </cell>
        </row>
        <row r="287">
          <cell r="A287" t="str">
            <v>CINTA PAPEL TOPEX 30 MTS ANCHO 50 MM</v>
          </cell>
          <cell r="B287" t="str">
            <v>UND</v>
          </cell>
          <cell r="C287">
            <v>3675</v>
          </cell>
          <cell r="E287">
            <v>0</v>
          </cell>
          <cell r="F287">
            <v>0</v>
          </cell>
          <cell r="G287">
            <v>0</v>
          </cell>
          <cell r="I287">
            <v>0</v>
          </cell>
        </row>
        <row r="288">
          <cell r="A288" t="str">
            <v>CINTA SEÑALIZACIÓN</v>
          </cell>
          <cell r="B288" t="str">
            <v>ml</v>
          </cell>
          <cell r="C288">
            <v>850</v>
          </cell>
          <cell r="E288">
            <v>0</v>
          </cell>
          <cell r="F288">
            <v>0</v>
          </cell>
          <cell r="G288">
            <v>0</v>
          </cell>
          <cell r="I288">
            <v>0</v>
          </cell>
        </row>
        <row r="289">
          <cell r="A289" t="str">
            <v>CINTA TEFLON 1/2" X 10 M</v>
          </cell>
          <cell r="B289" t="str">
            <v>UND</v>
          </cell>
          <cell r="C289">
            <v>2205</v>
          </cell>
          <cell r="E289">
            <v>0</v>
          </cell>
          <cell r="F289">
            <v>0</v>
          </cell>
          <cell r="G289">
            <v>0</v>
          </cell>
          <cell r="I289">
            <v>0</v>
          </cell>
        </row>
        <row r="290">
          <cell r="A290" t="str">
            <v>CLARABOYA CUBIERTA FIBROCEMENTO No. 6 CON VIDRIO Y GANCHOS DE FIJACIÓN</v>
          </cell>
          <cell r="B290" t="str">
            <v>UND</v>
          </cell>
          <cell r="C290">
            <v>68710</v>
          </cell>
          <cell r="E290">
            <v>0</v>
          </cell>
          <cell r="F290">
            <v>0</v>
          </cell>
          <cell r="G290">
            <v>0</v>
          </cell>
          <cell r="I290">
            <v>0</v>
          </cell>
        </row>
        <row r="291">
          <cell r="A291" t="str">
            <v>CLIP FIJACION CUBIERTA SANDWICH DECK HUNTER DOUGLAS</v>
          </cell>
          <cell r="B291" t="str">
            <v>UND</v>
          </cell>
          <cell r="C291">
            <v>735</v>
          </cell>
          <cell r="E291">
            <v>0</v>
          </cell>
          <cell r="F291">
            <v>0</v>
          </cell>
          <cell r="G291">
            <v>0</v>
          </cell>
          <cell r="I291">
            <v>0</v>
          </cell>
        </row>
        <row r="292">
          <cell r="A292" t="str">
            <v>CLORO GRANULADO TIPO HTH AMERICANO</v>
          </cell>
          <cell r="B292" t="str">
            <v>KG</v>
          </cell>
          <cell r="C292">
            <v>9996</v>
          </cell>
          <cell r="E292">
            <v>0</v>
          </cell>
          <cell r="F292">
            <v>0</v>
          </cell>
          <cell r="G292">
            <v>0</v>
          </cell>
          <cell r="I292">
            <v>0</v>
          </cell>
        </row>
        <row r="293">
          <cell r="A293" t="str">
            <v>CODO  BAJANTE ALL 45°</v>
          </cell>
          <cell r="B293" t="str">
            <v>UND</v>
          </cell>
          <cell r="C293">
            <v>4175</v>
          </cell>
          <cell r="E293">
            <v>0</v>
          </cell>
          <cell r="F293">
            <v>0</v>
          </cell>
          <cell r="G293">
            <v>0</v>
          </cell>
          <cell r="I293">
            <v>0</v>
          </cell>
        </row>
        <row r="294">
          <cell r="A294" t="str">
            <v>CODO 90° PRESION 1" PAVCO</v>
          </cell>
          <cell r="B294" t="str">
            <v>UND</v>
          </cell>
          <cell r="C294">
            <v>1482.6</v>
          </cell>
          <cell r="E294">
            <v>0</v>
          </cell>
          <cell r="F294">
            <v>0</v>
          </cell>
          <cell r="G294">
            <v>0</v>
          </cell>
          <cell r="I294">
            <v>0</v>
          </cell>
        </row>
        <row r="295">
          <cell r="A295" t="str">
            <v>CODO 90° PRESION 1/2" PAVCO</v>
          </cell>
          <cell r="B295" t="str">
            <v>UND</v>
          </cell>
          <cell r="C295">
            <v>367.5</v>
          </cell>
          <cell r="E295">
            <v>0</v>
          </cell>
          <cell r="F295">
            <v>0</v>
          </cell>
          <cell r="G295">
            <v>0</v>
          </cell>
          <cell r="I295">
            <v>0</v>
          </cell>
        </row>
        <row r="296">
          <cell r="A296" t="str">
            <v>CODO 90° PRESION 1/2" PAVCO</v>
          </cell>
          <cell r="B296" t="str">
            <v>UND</v>
          </cell>
          <cell r="C296">
            <v>367.5</v>
          </cell>
          <cell r="E296">
            <v>0</v>
          </cell>
          <cell r="F296">
            <v>0</v>
          </cell>
          <cell r="G296">
            <v>0</v>
          </cell>
          <cell r="I296">
            <v>0</v>
          </cell>
        </row>
        <row r="297">
          <cell r="A297" t="str">
            <v>CODO 90° PRESION 3/4" PAVCO</v>
          </cell>
          <cell r="B297" t="str">
            <v>UND</v>
          </cell>
          <cell r="C297">
            <v>834.75</v>
          </cell>
          <cell r="E297">
            <v>0</v>
          </cell>
          <cell r="F297">
            <v>0</v>
          </cell>
          <cell r="G297">
            <v>0</v>
          </cell>
          <cell r="I297">
            <v>0</v>
          </cell>
        </row>
        <row r="298">
          <cell r="A298" t="str">
            <v>CODO 90° SANITARIO 2" CXC PAVCO</v>
          </cell>
          <cell r="B298" t="str">
            <v>UND</v>
          </cell>
          <cell r="C298">
            <v>1785</v>
          </cell>
          <cell r="E298">
            <v>0</v>
          </cell>
          <cell r="F298">
            <v>0</v>
          </cell>
          <cell r="G298">
            <v>0</v>
          </cell>
          <cell r="I298">
            <v>0</v>
          </cell>
        </row>
        <row r="299">
          <cell r="A299" t="str">
            <v>CODO 90° SANITARIO 3" CXC PAVCO</v>
          </cell>
          <cell r="B299" t="str">
            <v>UND</v>
          </cell>
          <cell r="C299">
            <v>3885</v>
          </cell>
          <cell r="E299">
            <v>0</v>
          </cell>
          <cell r="F299">
            <v>0</v>
          </cell>
          <cell r="G299">
            <v>0</v>
          </cell>
          <cell r="I299">
            <v>0</v>
          </cell>
        </row>
        <row r="300">
          <cell r="A300" t="str">
            <v>CODO 90° SANITARIO 4" CXC PAVCO</v>
          </cell>
          <cell r="B300" t="str">
            <v>UND</v>
          </cell>
          <cell r="C300">
            <v>7245</v>
          </cell>
          <cell r="E300">
            <v>0</v>
          </cell>
          <cell r="F300">
            <v>0</v>
          </cell>
          <cell r="G300">
            <v>0</v>
          </cell>
          <cell r="I300">
            <v>0</v>
          </cell>
        </row>
        <row r="301">
          <cell r="A301" t="str">
            <v>COLLARIN 5-6 CON PERNO DE CARRUAJE 5/8X 1 1/2``</v>
          </cell>
          <cell r="B301" t="str">
            <v>UN</v>
          </cell>
          <cell r="C301">
            <v>23650</v>
          </cell>
          <cell r="E301">
            <v>0</v>
          </cell>
          <cell r="F301">
            <v>0</v>
          </cell>
          <cell r="G301">
            <v>0</v>
          </cell>
          <cell r="I301">
            <v>0</v>
          </cell>
        </row>
        <row r="302">
          <cell r="A302" t="str">
            <v>COLLARIN DOS SALIDAS 4 - 6``</v>
          </cell>
          <cell r="B302" t="str">
            <v>und</v>
          </cell>
          <cell r="C302">
            <v>14620</v>
          </cell>
          <cell r="E302">
            <v>0</v>
          </cell>
          <cell r="F302">
            <v>0</v>
          </cell>
          <cell r="G302">
            <v>0</v>
          </cell>
          <cell r="I302">
            <v>0</v>
          </cell>
        </row>
        <row r="303">
          <cell r="A303" t="str">
            <v>COLLARIN DOS SALIDAS DE 15 A 20 CM</v>
          </cell>
          <cell r="B303" t="str">
            <v>un</v>
          </cell>
          <cell r="C303">
            <v>22050</v>
          </cell>
          <cell r="E303">
            <v>0</v>
          </cell>
          <cell r="F303">
            <v>0</v>
          </cell>
          <cell r="G303">
            <v>0</v>
          </cell>
          <cell r="I303">
            <v>0</v>
          </cell>
        </row>
        <row r="304">
          <cell r="A304" t="str">
            <v>COLLARIN PARA TRANSFORMADOR 8``- 9`` 2-BAJO SILICIO</v>
          </cell>
          <cell r="B304" t="str">
            <v>UN</v>
          </cell>
          <cell r="C304">
            <v>20669</v>
          </cell>
          <cell r="E304">
            <v>0</v>
          </cell>
          <cell r="F304">
            <v>0</v>
          </cell>
          <cell r="G304">
            <v>0</v>
          </cell>
          <cell r="I304">
            <v>0</v>
          </cell>
        </row>
        <row r="305">
          <cell r="A305" t="str">
            <v>COLLARIN UNA SALIDA 4 - 6</v>
          </cell>
          <cell r="B305" t="str">
            <v>UN</v>
          </cell>
          <cell r="C305">
            <v>11500</v>
          </cell>
          <cell r="E305">
            <v>0</v>
          </cell>
          <cell r="F305">
            <v>0</v>
          </cell>
          <cell r="G305">
            <v>0</v>
          </cell>
          <cell r="I305">
            <v>0</v>
          </cell>
        </row>
        <row r="306">
          <cell r="A306" t="str">
            <v>COLLARIN UNA SALIDA PL 1/4`` 5-6``</v>
          </cell>
          <cell r="B306" t="str">
            <v>UN</v>
          </cell>
          <cell r="C306">
            <v>11500</v>
          </cell>
          <cell r="E306">
            <v>0</v>
          </cell>
          <cell r="F306">
            <v>0</v>
          </cell>
          <cell r="G306">
            <v>0</v>
          </cell>
          <cell r="I306">
            <v>0</v>
          </cell>
        </row>
        <row r="307">
          <cell r="A307" t="str">
            <v>COLLARIN UNA SALIDAS 4 - 6``</v>
          </cell>
          <cell r="B307" t="str">
            <v>und</v>
          </cell>
          <cell r="C307">
            <v>13000</v>
          </cell>
          <cell r="E307">
            <v>0</v>
          </cell>
          <cell r="F307">
            <v>0</v>
          </cell>
          <cell r="G307">
            <v>0</v>
          </cell>
          <cell r="I307">
            <v>0</v>
          </cell>
        </row>
        <row r="308">
          <cell r="A308" t="str">
            <v>COLUMNA MADERA ZAPÁN 0.08x0.08x4.0 M CEPILLADA E INMUNIZADA</v>
          </cell>
          <cell r="B308" t="str">
            <v>ML</v>
          </cell>
          <cell r="C308">
            <v>32550</v>
          </cell>
          <cell r="E308">
            <v>0</v>
          </cell>
          <cell r="F308">
            <v>0</v>
          </cell>
          <cell r="G308">
            <v>0</v>
          </cell>
          <cell r="I308">
            <v>0</v>
          </cell>
        </row>
        <row r="309">
          <cell r="A309" t="str">
            <v>COLUMPIO SWING THREE (3 PUESTOS),INCLUYE LOCALIZACION Y EXCAVACION</v>
          </cell>
          <cell r="B309" t="str">
            <v>UN</v>
          </cell>
          <cell r="C309">
            <v>1930950</v>
          </cell>
          <cell r="E309">
            <v>0</v>
          </cell>
          <cell r="F309">
            <v>0</v>
          </cell>
          <cell r="G309">
            <v>0</v>
          </cell>
          <cell r="I309">
            <v>0</v>
          </cell>
        </row>
        <row r="310">
          <cell r="A310" t="str">
            <v>CONCRETO  2500 PSI ( PARA BASE Y CÁRCAMO)</v>
          </cell>
          <cell r="B310" t="str">
            <v>M3</v>
          </cell>
          <cell r="C310">
            <v>210977</v>
          </cell>
          <cell r="E310">
            <v>0</v>
          </cell>
          <cell r="F310">
            <v>0</v>
          </cell>
          <cell r="G310">
            <v>0</v>
          </cell>
          <cell r="I310">
            <v>0</v>
          </cell>
        </row>
        <row r="311">
          <cell r="A311" t="str">
            <v>CONCRETO 2000 PSI - 13.8 MPa MEZCLA EN OBRA</v>
          </cell>
          <cell r="B311" t="str">
            <v>M3</v>
          </cell>
          <cell r="C311">
            <v>276099</v>
          </cell>
          <cell r="E311">
            <v>0</v>
          </cell>
          <cell r="F311">
            <v>0</v>
          </cell>
          <cell r="G311">
            <v>0</v>
          </cell>
          <cell r="I311">
            <v>0</v>
          </cell>
        </row>
        <row r="312">
          <cell r="A312" t="str">
            <v>CONCRETO 2500 PSI - 17.2 MPA MEZCLA EN OBRA</v>
          </cell>
          <cell r="B312" t="str">
            <v>M3</v>
          </cell>
          <cell r="C312">
            <v>295692</v>
          </cell>
          <cell r="E312">
            <v>0</v>
          </cell>
          <cell r="F312">
            <v>0</v>
          </cell>
          <cell r="G312">
            <v>0</v>
          </cell>
          <cell r="I312">
            <v>0</v>
          </cell>
        </row>
        <row r="313">
          <cell r="A313" t="str">
            <v>CONCRETO 3000 PSI - 20.7 MPA MEZCLA EN OBRA</v>
          </cell>
          <cell r="B313" t="str">
            <v>M3</v>
          </cell>
          <cell r="C313">
            <v>321437</v>
          </cell>
          <cell r="E313">
            <v>0</v>
          </cell>
          <cell r="F313">
            <v>0</v>
          </cell>
          <cell r="G313">
            <v>0</v>
          </cell>
          <cell r="I313">
            <v>0</v>
          </cell>
        </row>
        <row r="314">
          <cell r="A314" t="str">
            <v>CONCRETO 3500 PSI - 24.1 MPA MEZCLA EN OBRA</v>
          </cell>
          <cell r="B314" t="str">
            <v>M3</v>
          </cell>
          <cell r="C314">
            <v>357196</v>
          </cell>
          <cell r="E314">
            <v>0</v>
          </cell>
          <cell r="F314">
            <v>0</v>
          </cell>
          <cell r="G314">
            <v>0</v>
          </cell>
          <cell r="I314">
            <v>0</v>
          </cell>
        </row>
        <row r="315">
          <cell r="A315" t="str">
            <v>CONCRETO 4000 PSI - 27.6 MPa MEZCLA EN OBRA</v>
          </cell>
          <cell r="B315" t="str">
            <v>M3</v>
          </cell>
          <cell r="C315">
            <v>378081</v>
          </cell>
          <cell r="E315">
            <v>0</v>
          </cell>
          <cell r="F315">
            <v>0</v>
          </cell>
          <cell r="G315">
            <v>0</v>
          </cell>
          <cell r="I315">
            <v>0</v>
          </cell>
        </row>
        <row r="316">
          <cell r="A316" t="str">
            <v>CONCRETO 5000 PSI - 34.5 MPA MEZCLA EN OBRA</v>
          </cell>
          <cell r="B316" t="str">
            <v>M3</v>
          </cell>
          <cell r="C316">
            <v>466989</v>
          </cell>
          <cell r="E316">
            <v>0</v>
          </cell>
          <cell r="F316">
            <v>0</v>
          </cell>
          <cell r="G316">
            <v>0</v>
          </cell>
          <cell r="I316">
            <v>0</v>
          </cell>
        </row>
        <row r="317">
          <cell r="A317" t="str">
            <v>CONCRETO PAVIMENTO CONVENCIONAL MR-3.6 (36 KG/CM2) GRAVA 1" 28 DIAS</v>
          </cell>
          <cell r="B317" t="str">
            <v>M3</v>
          </cell>
          <cell r="C317">
            <v>329874</v>
          </cell>
          <cell r="E317">
            <v>0</v>
          </cell>
          <cell r="F317">
            <v>0</v>
          </cell>
          <cell r="G317">
            <v>0</v>
          </cell>
          <cell r="I317">
            <v>0</v>
          </cell>
        </row>
        <row r="318">
          <cell r="A318" t="str">
            <v>CONCRETO PAVIMENTO CONVENCIONAL MR-3.8 (38 KG/CM2)  GRAVA 1" 28 DIAS</v>
          </cell>
          <cell r="B318" t="str">
            <v>M3</v>
          </cell>
          <cell r="C318">
            <v>333125</v>
          </cell>
          <cell r="E318">
            <v>0</v>
          </cell>
          <cell r="F318">
            <v>0</v>
          </cell>
          <cell r="G318">
            <v>0</v>
          </cell>
          <cell r="I318">
            <v>0</v>
          </cell>
        </row>
        <row r="319">
          <cell r="A319" t="str">
            <v>CONCRETO PAVIMENTO CONVENCIONAL MR-4.0 (40 KG/CM2)  GRAVA 1" 28 DIAS</v>
          </cell>
          <cell r="B319" t="str">
            <v>M3</v>
          </cell>
          <cell r="C319">
            <v>344710</v>
          </cell>
          <cell r="E319">
            <v>0</v>
          </cell>
          <cell r="F319">
            <v>0</v>
          </cell>
          <cell r="G319">
            <v>0</v>
          </cell>
          <cell r="I319">
            <v>0</v>
          </cell>
        </row>
        <row r="320">
          <cell r="A320" t="str">
            <v>CONCRETO PAVIMENTO CONVENCIONAL MR-4.2 (42 KG/CM2)  GRAVA 1" 28 DIAS</v>
          </cell>
          <cell r="B320" t="str">
            <v>M3</v>
          </cell>
          <cell r="C320">
            <v>360258</v>
          </cell>
          <cell r="E320">
            <v>0</v>
          </cell>
          <cell r="F320">
            <v>0</v>
          </cell>
          <cell r="G320">
            <v>0</v>
          </cell>
          <cell r="I320">
            <v>0</v>
          </cell>
        </row>
        <row r="321">
          <cell r="A321" t="str">
            <v>CONCRETO PAVIMENTO CONVENCIONAL MR-4.5 (45 KG/CM2)  GRAVA 1" 28 DIAS</v>
          </cell>
          <cell r="B321" t="str">
            <v>M3</v>
          </cell>
          <cell r="C321">
            <v>387557</v>
          </cell>
          <cell r="E321">
            <v>0</v>
          </cell>
          <cell r="F321">
            <v>0</v>
          </cell>
          <cell r="G321">
            <v>0</v>
          </cell>
          <cell r="I321">
            <v>0</v>
          </cell>
        </row>
        <row r="322">
          <cell r="A322" t="str">
            <v>CONCRETO PREMEZCLADO 17.5 MPA - 2500 PSI GRAVA COMUN</v>
          </cell>
          <cell r="B322" t="str">
            <v>M3</v>
          </cell>
          <cell r="C322">
            <v>301120</v>
          </cell>
          <cell r="E322">
            <v>0</v>
          </cell>
          <cell r="F322">
            <v>0</v>
          </cell>
          <cell r="G322">
            <v>0</v>
          </cell>
          <cell r="I322">
            <v>0</v>
          </cell>
        </row>
        <row r="323">
          <cell r="A323" t="str">
            <v>CONCRETO PREMEZCLADO 17.5 MPA - 2500 PSI GRAVA COMUN</v>
          </cell>
          <cell r="B323" t="str">
            <v>M3</v>
          </cell>
          <cell r="C323">
            <v>301120</v>
          </cell>
          <cell r="E323">
            <v>0</v>
          </cell>
          <cell r="F323">
            <v>0</v>
          </cell>
          <cell r="G323">
            <v>0</v>
          </cell>
          <cell r="I323">
            <v>0</v>
          </cell>
        </row>
        <row r="324">
          <cell r="A324" t="str">
            <v>CONCRETO PREMEZCLADO 20.7 MPA - 3000 PSI GRAVA COMUN</v>
          </cell>
          <cell r="B324" t="str">
            <v>M3</v>
          </cell>
          <cell r="C324">
            <v>327151</v>
          </cell>
          <cell r="E324">
            <v>0</v>
          </cell>
          <cell r="F324">
            <v>0</v>
          </cell>
          <cell r="G324">
            <v>0</v>
          </cell>
          <cell r="I324">
            <v>0</v>
          </cell>
        </row>
        <row r="325">
          <cell r="A325" t="str">
            <v>CONCRETO PREMEZCLADO 20.7 MPa (3000 PSI)  IMPERMEABILIZADO</v>
          </cell>
          <cell r="B325" t="str">
            <v>M3</v>
          </cell>
          <cell r="C325">
            <v>397870</v>
          </cell>
          <cell r="E325">
            <v>0</v>
          </cell>
          <cell r="F325">
            <v>0</v>
          </cell>
          <cell r="G325">
            <v>0</v>
          </cell>
          <cell r="I325">
            <v>0</v>
          </cell>
        </row>
        <row r="326">
          <cell r="A326" t="str">
            <v>CONCRETO PREMEZCLADO 24.5 MPa (3500 PSI)  IMPERMEABILIZADO</v>
          </cell>
          <cell r="B326" t="str">
            <v>M3</v>
          </cell>
          <cell r="C326">
            <v>417890</v>
          </cell>
          <cell r="E326">
            <v>0</v>
          </cell>
          <cell r="F326">
            <v>0</v>
          </cell>
          <cell r="G326">
            <v>0</v>
          </cell>
          <cell r="I326">
            <v>0</v>
          </cell>
        </row>
        <row r="327">
          <cell r="A327" t="str">
            <v>CONCRETO PREMEZCLADO 27.6 MPA - 4000 PSI GRAVA MEDIA 3/4"</v>
          </cell>
          <cell r="B327" t="str">
            <v>M3</v>
          </cell>
          <cell r="C327">
            <v>357890</v>
          </cell>
          <cell r="E327">
            <v>0</v>
          </cell>
          <cell r="F327">
            <v>0</v>
          </cell>
          <cell r="G327">
            <v>0</v>
          </cell>
          <cell r="I327">
            <v>0</v>
          </cell>
        </row>
        <row r="328">
          <cell r="A328" t="str">
            <v>CONCRETO PREMEZCLADO 27.6 MPA - 4000 PSI GRAVA MEDIA 3/4" ACELER. 3 DIAS</v>
          </cell>
          <cell r="B328" t="str">
            <v>M3</v>
          </cell>
          <cell r="C328">
            <v>408667</v>
          </cell>
          <cell r="E328">
            <v>0</v>
          </cell>
          <cell r="F328">
            <v>0</v>
          </cell>
          <cell r="G328">
            <v>0</v>
          </cell>
          <cell r="I328">
            <v>0</v>
          </cell>
        </row>
        <row r="329">
          <cell r="A329" t="str">
            <v>CONCRETO PREMEZCLADO 34.5 MPA - 5000 PSI GRAVA FINA</v>
          </cell>
          <cell r="B329" t="str">
            <v>M3</v>
          </cell>
          <cell r="C329">
            <v>431100</v>
          </cell>
          <cell r="E329">
            <v>0</v>
          </cell>
          <cell r="F329">
            <v>0</v>
          </cell>
          <cell r="G329">
            <v>0</v>
          </cell>
          <cell r="I329">
            <v>0</v>
          </cell>
        </row>
        <row r="330">
          <cell r="A330" t="str">
            <v>CONCRETO PREMEZCLADO 34.5 MPA - 5000 PSI GRAVA FINA INCLUYE BOMBEO</v>
          </cell>
          <cell r="B330" t="str">
            <v>M3</v>
          </cell>
          <cell r="C330">
            <v>462889</v>
          </cell>
          <cell r="E330">
            <v>0</v>
          </cell>
          <cell r="F330">
            <v>0</v>
          </cell>
          <cell r="G330">
            <v>0</v>
          </cell>
          <cell r="I330">
            <v>0</v>
          </cell>
        </row>
        <row r="331">
          <cell r="A331" t="str">
            <v>CONDUCTORES, TORNILLERIA Y ACCESORIOS VARIOS</v>
          </cell>
          <cell r="B331" t="str">
            <v>gl</v>
          </cell>
          <cell r="C331">
            <v>35000</v>
          </cell>
          <cell r="E331">
            <v>0</v>
          </cell>
          <cell r="F331">
            <v>0</v>
          </cell>
          <cell r="G331">
            <v>0</v>
          </cell>
          <cell r="I331">
            <v>0</v>
          </cell>
        </row>
        <row r="332">
          <cell r="A332" t="str">
            <v>CONECT. VARILLA CW 5/8``</v>
          </cell>
          <cell r="B332" t="str">
            <v>UN</v>
          </cell>
          <cell r="C332">
            <v>2625</v>
          </cell>
          <cell r="E332">
            <v>0</v>
          </cell>
          <cell r="F332">
            <v>0</v>
          </cell>
          <cell r="G332">
            <v>0</v>
          </cell>
          <cell r="I332">
            <v>0</v>
          </cell>
        </row>
        <row r="333">
          <cell r="A333" t="str">
            <v>CONECTOR BIMETALICO 1 PERNO</v>
          </cell>
          <cell r="B333" t="str">
            <v>UN</v>
          </cell>
          <cell r="C333">
            <v>1950</v>
          </cell>
          <cell r="E333">
            <v>0</v>
          </cell>
          <cell r="F333">
            <v>0</v>
          </cell>
          <cell r="G333">
            <v>0</v>
          </cell>
          <cell r="I333">
            <v>0</v>
          </cell>
        </row>
        <row r="334">
          <cell r="A334" t="str">
            <v>CONECTOR BIMETÁLICO TIPO 1 PERNO</v>
          </cell>
          <cell r="B334" t="str">
            <v>UN</v>
          </cell>
          <cell r="C334">
            <v>1950</v>
          </cell>
          <cell r="E334">
            <v>0</v>
          </cell>
          <cell r="F334">
            <v>0</v>
          </cell>
          <cell r="G334">
            <v>0</v>
          </cell>
          <cell r="I334">
            <v>0</v>
          </cell>
        </row>
        <row r="335">
          <cell r="A335" t="str">
            <v>CONECTOR DE COMPRESIÓN TIPO H (1/0 A 4 AWG)</v>
          </cell>
          <cell r="B335" t="str">
            <v>und</v>
          </cell>
          <cell r="C335">
            <v>8240</v>
          </cell>
          <cell r="E335">
            <v>0</v>
          </cell>
          <cell r="F335">
            <v>0</v>
          </cell>
          <cell r="G335">
            <v>0</v>
          </cell>
          <cell r="I335">
            <v>0</v>
          </cell>
        </row>
        <row r="336">
          <cell r="A336" t="str">
            <v>CONECTOR DE RESORTE CABLE 12-10</v>
          </cell>
          <cell r="B336" t="str">
            <v>UND</v>
          </cell>
          <cell r="C336">
            <v>1080</v>
          </cell>
          <cell r="E336">
            <v>0</v>
          </cell>
          <cell r="F336">
            <v>0</v>
          </cell>
          <cell r="G336">
            <v>0</v>
          </cell>
          <cell r="I336">
            <v>0</v>
          </cell>
        </row>
        <row r="337">
          <cell r="A337" t="str">
            <v>CONECTOR DE TORNILLO CON CHAQUETA AIS T1</v>
          </cell>
          <cell r="B337" t="str">
            <v>UN</v>
          </cell>
          <cell r="C337">
            <v>13350</v>
          </cell>
          <cell r="E337">
            <v>0</v>
          </cell>
          <cell r="F337">
            <v>0</v>
          </cell>
          <cell r="G337">
            <v>0</v>
          </cell>
          <cell r="I337">
            <v>0</v>
          </cell>
        </row>
        <row r="338">
          <cell r="A338" t="str">
            <v>CONECTOR DE TORNILLO CON CHAQUETA AIS T4</v>
          </cell>
          <cell r="B338" t="str">
            <v>UN</v>
          </cell>
          <cell r="C338">
            <v>13350</v>
          </cell>
          <cell r="E338">
            <v>0</v>
          </cell>
          <cell r="F338">
            <v>0</v>
          </cell>
          <cell r="G338">
            <v>0</v>
          </cell>
          <cell r="I338">
            <v>0</v>
          </cell>
        </row>
        <row r="339">
          <cell r="A339" t="str">
            <v>CONECTOR DE TORNILLO CON CHAQUETA AISLANTE, TIPO 3</v>
          </cell>
          <cell r="B339" t="str">
            <v>UN</v>
          </cell>
          <cell r="C339">
            <v>13350</v>
          </cell>
          <cell r="E339">
            <v>0</v>
          </cell>
          <cell r="F339">
            <v>0</v>
          </cell>
          <cell r="G339">
            <v>0</v>
          </cell>
          <cell r="I339">
            <v>0</v>
          </cell>
        </row>
        <row r="340">
          <cell r="A340" t="str">
            <v>CONECTOR TORNI CHAQUETA AISL 4-3/0, DERIV 14-8 ILUMINACION</v>
          </cell>
          <cell r="B340" t="str">
            <v>UN</v>
          </cell>
          <cell r="C340">
            <v>13350</v>
          </cell>
          <cell r="E340">
            <v>0</v>
          </cell>
          <cell r="F340">
            <v>0</v>
          </cell>
          <cell r="G340">
            <v>0</v>
          </cell>
          <cell r="I340">
            <v>0</v>
          </cell>
        </row>
        <row r="341">
          <cell r="A341" t="str">
            <v>CONECTOR TRANS. PUESTA TIERRA T. TGC 5/8`` - 4 AWG</v>
          </cell>
          <cell r="B341" t="str">
            <v>UN</v>
          </cell>
          <cell r="C341">
            <v>17036.25</v>
          </cell>
          <cell r="E341">
            <v>0</v>
          </cell>
          <cell r="F341">
            <v>0</v>
          </cell>
          <cell r="G341">
            <v>0</v>
          </cell>
          <cell r="I341">
            <v>0</v>
          </cell>
        </row>
        <row r="342">
          <cell r="A342" t="str">
            <v>CONJUNTO GRIFERIA TANQUE ATLANTIS (CORONA)</v>
          </cell>
          <cell r="B342" t="str">
            <v>UND</v>
          </cell>
          <cell r="C342">
            <v>39816</v>
          </cell>
          <cell r="E342">
            <v>0</v>
          </cell>
          <cell r="F342">
            <v>0</v>
          </cell>
          <cell r="G342">
            <v>0</v>
          </cell>
          <cell r="I342">
            <v>0</v>
          </cell>
        </row>
        <row r="343">
          <cell r="A343" t="str">
            <v>CONTADOR BIFASICO 20-80A</v>
          </cell>
          <cell r="B343" t="str">
            <v>UN</v>
          </cell>
          <cell r="C343">
            <v>265000</v>
          </cell>
          <cell r="E343">
            <v>0</v>
          </cell>
          <cell r="F343">
            <v>0</v>
          </cell>
          <cell r="G343">
            <v>0</v>
          </cell>
          <cell r="I343">
            <v>0</v>
          </cell>
        </row>
        <row r="344">
          <cell r="A344" t="str">
            <v>CONTADOR DE ENERGIA ACTIVA Y REACTIVA 5 A</v>
          </cell>
          <cell r="B344" t="str">
            <v>unid</v>
          </cell>
          <cell r="C344">
            <v>2850250</v>
          </cell>
          <cell r="E344">
            <v>0</v>
          </cell>
          <cell r="F344">
            <v>0</v>
          </cell>
          <cell r="G344">
            <v>0</v>
          </cell>
          <cell r="I344">
            <v>0</v>
          </cell>
        </row>
        <row r="345">
          <cell r="A345" t="str">
            <v>CONTADOR MONOFASICO 15-60A</v>
          </cell>
          <cell r="B345" t="str">
            <v>UN</v>
          </cell>
          <cell r="C345">
            <v>55000</v>
          </cell>
          <cell r="E345">
            <v>0</v>
          </cell>
          <cell r="F345">
            <v>0</v>
          </cell>
          <cell r="G345">
            <v>0</v>
          </cell>
          <cell r="I345">
            <v>0</v>
          </cell>
        </row>
        <row r="346">
          <cell r="A346" t="str">
            <v>CONTADOR TRIFASICO 20-80A</v>
          </cell>
          <cell r="B346" t="str">
            <v>UN</v>
          </cell>
          <cell r="C346">
            <v>335000</v>
          </cell>
          <cell r="E346">
            <v>0</v>
          </cell>
          <cell r="F346">
            <v>0</v>
          </cell>
          <cell r="G346">
            <v>0</v>
          </cell>
          <cell r="I346">
            <v>0</v>
          </cell>
        </row>
        <row r="347">
          <cell r="A347" t="str">
            <v>CONTROL PARA ALUMBRADO PÚBLICO 220 V, 2 X 40 A INCLUYE CONTACTOR</v>
          </cell>
          <cell r="B347" t="str">
            <v>UND</v>
          </cell>
          <cell r="C347">
            <v>295000</v>
          </cell>
          <cell r="E347">
            <v>0</v>
          </cell>
          <cell r="F347">
            <v>0</v>
          </cell>
          <cell r="G347">
            <v>0</v>
          </cell>
          <cell r="I347">
            <v>0</v>
          </cell>
        </row>
        <row r="348">
          <cell r="A348" t="str">
            <v>CORDON ELASTOMERICO 3/8"</v>
          </cell>
          <cell r="B348" t="str">
            <v>ML</v>
          </cell>
          <cell r="C348">
            <v>587</v>
          </cell>
          <cell r="E348">
            <v>0</v>
          </cell>
          <cell r="F348">
            <v>0</v>
          </cell>
          <cell r="G348">
            <v>0</v>
          </cell>
          <cell r="I348">
            <v>0</v>
          </cell>
        </row>
        <row r="349">
          <cell r="A349" t="str">
            <v>CORTACIRCUITO MONOPOLAR DE 15 KV</v>
          </cell>
          <cell r="B349" t="str">
            <v>UN</v>
          </cell>
          <cell r="C349">
            <v>104300</v>
          </cell>
          <cell r="E349">
            <v>0</v>
          </cell>
          <cell r="F349">
            <v>0</v>
          </cell>
          <cell r="G349">
            <v>0</v>
          </cell>
          <cell r="I349">
            <v>0</v>
          </cell>
        </row>
        <row r="350">
          <cell r="A350" t="str">
            <v>CRUCETA METÁLICA  (2 1/2  * 3/16)`` * 1,50 M</v>
          </cell>
          <cell r="B350" t="str">
            <v>und</v>
          </cell>
          <cell r="C350">
            <v>42000</v>
          </cell>
          <cell r="E350">
            <v>0</v>
          </cell>
          <cell r="F350">
            <v>0</v>
          </cell>
          <cell r="G350">
            <v>0</v>
          </cell>
          <cell r="I350">
            <v>0</v>
          </cell>
        </row>
        <row r="351">
          <cell r="A351" t="str">
            <v>CRUCETA METALICA (21/2*1/4) X 2M</v>
          </cell>
          <cell r="B351" t="str">
            <v>UN</v>
          </cell>
          <cell r="C351">
            <v>64725</v>
          </cell>
          <cell r="E351">
            <v>0</v>
          </cell>
          <cell r="F351">
            <v>0</v>
          </cell>
          <cell r="G351">
            <v>0</v>
          </cell>
          <cell r="I351">
            <v>0</v>
          </cell>
        </row>
        <row r="352">
          <cell r="A352" t="str">
            <v>CRUCETA METALICA (21/2``*3/16``) X 2M</v>
          </cell>
          <cell r="B352" t="str">
            <v>UN</v>
          </cell>
          <cell r="C352">
            <v>49065</v>
          </cell>
          <cell r="E352">
            <v>0</v>
          </cell>
          <cell r="F352">
            <v>0</v>
          </cell>
          <cell r="G352">
            <v>0</v>
          </cell>
          <cell r="I352">
            <v>0</v>
          </cell>
        </row>
        <row r="353">
          <cell r="A353" t="str">
            <v>CRUCETA METALICA (3*1/4) X 4M</v>
          </cell>
          <cell r="B353" t="str">
            <v>UN</v>
          </cell>
          <cell r="C353">
            <v>153700</v>
          </cell>
          <cell r="E353">
            <v>0</v>
          </cell>
          <cell r="F353">
            <v>0</v>
          </cell>
          <cell r="G353">
            <v>0</v>
          </cell>
          <cell r="I353">
            <v>0</v>
          </cell>
        </row>
        <row r="354">
          <cell r="A354" t="str">
            <v>CRUCETA METALICA 76X76X6 MM X 4 M</v>
          </cell>
          <cell r="B354" t="str">
            <v>UN</v>
          </cell>
          <cell r="C354">
            <v>153700</v>
          </cell>
          <cell r="E354">
            <v>0</v>
          </cell>
          <cell r="F354">
            <v>0</v>
          </cell>
          <cell r="G354">
            <v>0</v>
          </cell>
          <cell r="I354">
            <v>0</v>
          </cell>
        </row>
        <row r="355">
          <cell r="A355" t="str">
            <v>CRUCETA METALICA DE 2M ANGULO DE 2 1/2``X2 1/2``X1/4``</v>
          </cell>
          <cell r="B355" t="str">
            <v>un</v>
          </cell>
          <cell r="C355">
            <v>64725</v>
          </cell>
          <cell r="E355">
            <v>0</v>
          </cell>
          <cell r="F355">
            <v>0</v>
          </cell>
          <cell r="G355">
            <v>0</v>
          </cell>
          <cell r="I355">
            <v>0</v>
          </cell>
        </row>
        <row r="356">
          <cell r="A356" t="str">
            <v>CRUDO DE CASTILLA</v>
          </cell>
          <cell r="B356" t="str">
            <v>GLN</v>
          </cell>
          <cell r="C356">
            <v>4786</v>
          </cell>
          <cell r="E356">
            <v>0</v>
          </cell>
          <cell r="F356">
            <v>0</v>
          </cell>
          <cell r="G356">
            <v>0</v>
          </cell>
          <cell r="I356">
            <v>0</v>
          </cell>
        </row>
        <row r="357">
          <cell r="A357" t="str">
            <v>CUARTON ABARCO 50X100X300 MM</v>
          </cell>
          <cell r="B357" t="str">
            <v>UND</v>
          </cell>
          <cell r="C357">
            <v>18900</v>
          </cell>
          <cell r="E357">
            <v>0</v>
          </cell>
          <cell r="F357">
            <v>0</v>
          </cell>
          <cell r="G357">
            <v>0</v>
          </cell>
          <cell r="I357">
            <v>0</v>
          </cell>
        </row>
        <row r="358">
          <cell r="A358" t="str">
            <v>CUBIERTA ARQUITECTONICA 0.73 X 3.05 M REF: ACESCO</v>
          </cell>
          <cell r="B358" t="str">
            <v>UND</v>
          </cell>
          <cell r="C358">
            <v>23350</v>
          </cell>
          <cell r="E358">
            <v>0</v>
          </cell>
          <cell r="F358">
            <v>0</v>
          </cell>
          <cell r="G358">
            <v>0</v>
          </cell>
          <cell r="I358">
            <v>0</v>
          </cell>
        </row>
        <row r="359">
          <cell r="A359" t="str">
            <v>CUBIERTA TIPO HUNTER DOUGLAS 250C ALUZINC CAL. 26 INCLUYE ICOPOR O SIMILAR</v>
          </cell>
          <cell r="B359" t="str">
            <v>M2</v>
          </cell>
          <cell r="C359">
            <v>100149</v>
          </cell>
          <cell r="E359">
            <v>0</v>
          </cell>
          <cell r="F359">
            <v>0</v>
          </cell>
          <cell r="G359">
            <v>0</v>
          </cell>
          <cell r="I359">
            <v>0</v>
          </cell>
        </row>
        <row r="360">
          <cell r="A360" t="str">
            <v>CUBIERTA TIPO HUNTER DOUGLAS 250C ALUZINC CAL. 26 INCLUYE POLIURETANO O SIMILAR</v>
          </cell>
          <cell r="B360" t="str">
            <v>M2</v>
          </cell>
          <cell r="C360">
            <v>118419</v>
          </cell>
          <cell r="E360">
            <v>0</v>
          </cell>
          <cell r="F360">
            <v>0</v>
          </cell>
          <cell r="G360">
            <v>0</v>
          </cell>
          <cell r="I360">
            <v>0</v>
          </cell>
        </row>
        <row r="361">
          <cell r="A361" t="str">
            <v>CUBIERTA TIPO HUNTER DOUGLAS 333C ALUZINC CAL. 26 INCLUYE FIBRA VIDRIO O SIMILAR</v>
          </cell>
          <cell r="B361" t="str">
            <v>M2</v>
          </cell>
          <cell r="C361">
            <v>90405</v>
          </cell>
          <cell r="E361">
            <v>0</v>
          </cell>
          <cell r="F361">
            <v>0</v>
          </cell>
          <cell r="G361">
            <v>0</v>
          </cell>
          <cell r="I361">
            <v>0</v>
          </cell>
        </row>
        <row r="362">
          <cell r="A362" t="str">
            <v>CUBIERTA TIPO HUNTER DOUGLAS 333C ALUZINC CAL. 26 INCLUYE ICOPOR O SIMILAR</v>
          </cell>
          <cell r="B362" t="str">
            <v>M2</v>
          </cell>
          <cell r="C362">
            <v>94059</v>
          </cell>
          <cell r="E362">
            <v>0</v>
          </cell>
          <cell r="F362">
            <v>0</v>
          </cell>
          <cell r="G362">
            <v>0</v>
          </cell>
          <cell r="I362">
            <v>0</v>
          </cell>
        </row>
        <row r="363">
          <cell r="A363" t="str">
            <v>CUBIERTA TIPO HUNTER DOUGLAS 333C ALUZINC CAL. 26 INCLUYE POLIURETANO O SIMILAR</v>
          </cell>
          <cell r="B363" t="str">
            <v>M2</v>
          </cell>
          <cell r="C363">
            <v>107457</v>
          </cell>
          <cell r="E363">
            <v>0</v>
          </cell>
          <cell r="F363">
            <v>0</v>
          </cell>
          <cell r="G363">
            <v>0</v>
          </cell>
          <cell r="I363">
            <v>0</v>
          </cell>
        </row>
        <row r="364">
          <cell r="A364" t="str">
            <v>CUNETA REVESTIDA CONCRETO 3,000 PSI SECCION TRANSVERSAL 0.20 X 0.08 MTS. INCLUYE REFUERZO</v>
          </cell>
          <cell r="B364" t="str">
            <v>ML</v>
          </cell>
          <cell r="C364">
            <v>41939</v>
          </cell>
          <cell r="E364">
            <v>0</v>
          </cell>
          <cell r="F364">
            <v>0</v>
          </cell>
          <cell r="G364">
            <v>0</v>
          </cell>
          <cell r="I364">
            <v>0</v>
          </cell>
        </row>
        <row r="365">
          <cell r="A365" t="str">
            <v>CUÑA TIP FREYSSINET</v>
          </cell>
          <cell r="B365" t="str">
            <v>UND</v>
          </cell>
          <cell r="C365">
            <v>9975</v>
          </cell>
          <cell r="E365">
            <v>0</v>
          </cell>
          <cell r="F365">
            <v>0</v>
          </cell>
          <cell r="G365">
            <v>0</v>
          </cell>
          <cell r="I365">
            <v>0</v>
          </cell>
        </row>
        <row r="366">
          <cell r="A366" t="str">
            <v>CURADOR PARA CONCRETO Y MORTERO TIPO ANTISOL BLANCO</v>
          </cell>
          <cell r="B366" t="str">
            <v>KG</v>
          </cell>
          <cell r="C366">
            <v>3889</v>
          </cell>
          <cell r="E366">
            <v>0</v>
          </cell>
          <cell r="F366">
            <v>0</v>
          </cell>
          <cell r="G366">
            <v>0</v>
          </cell>
          <cell r="I366">
            <v>0</v>
          </cell>
        </row>
        <row r="367">
          <cell r="A367" t="str">
            <v>CURADOR PARA CONCRETOS Y MORTEROS</v>
          </cell>
          <cell r="B367" t="str">
            <v>KG</v>
          </cell>
          <cell r="C367">
            <v>4760</v>
          </cell>
          <cell r="E367">
            <v>0</v>
          </cell>
          <cell r="F367">
            <v>0</v>
          </cell>
          <cell r="G367">
            <v>0</v>
          </cell>
          <cell r="I367">
            <v>0</v>
          </cell>
        </row>
        <row r="368">
          <cell r="A368" t="str">
            <v>CURVA CONDUIT 90° PVC 1 1/2`` C X E</v>
          </cell>
          <cell r="B368" t="str">
            <v>UN</v>
          </cell>
          <cell r="C368">
            <v>1850</v>
          </cell>
          <cell r="E368">
            <v>0</v>
          </cell>
          <cell r="F368">
            <v>0</v>
          </cell>
          <cell r="G368">
            <v>0</v>
          </cell>
          <cell r="I368">
            <v>0</v>
          </cell>
        </row>
        <row r="369">
          <cell r="A369" t="str">
            <v>CURVA CONDUIT 90° PVC 1/2`` C X E</v>
          </cell>
          <cell r="B369" t="str">
            <v>UN</v>
          </cell>
          <cell r="C369">
            <v>280</v>
          </cell>
          <cell r="E369">
            <v>0</v>
          </cell>
          <cell r="F369">
            <v>0</v>
          </cell>
          <cell r="G369">
            <v>0</v>
          </cell>
          <cell r="I369">
            <v>0</v>
          </cell>
        </row>
        <row r="370">
          <cell r="A370" t="str">
            <v>CURVA PVC 3``</v>
          </cell>
          <cell r="B370" t="str">
            <v>UND</v>
          </cell>
          <cell r="C370">
            <v>7500</v>
          </cell>
          <cell r="E370">
            <v>0</v>
          </cell>
          <cell r="F370">
            <v>0</v>
          </cell>
          <cell r="G370">
            <v>0</v>
          </cell>
          <cell r="I370">
            <v>0</v>
          </cell>
        </row>
        <row r="371">
          <cell r="A371" t="str">
            <v>DEFENSA METALICA GALVANIZADA L 4,13 MTS REFERENCIA INVIAS</v>
          </cell>
          <cell r="B371" t="str">
            <v>UND</v>
          </cell>
          <cell r="C371">
            <v>252040</v>
          </cell>
          <cell r="E371">
            <v>0</v>
          </cell>
          <cell r="F371">
            <v>0</v>
          </cell>
          <cell r="G371">
            <v>0</v>
          </cell>
          <cell r="I371">
            <v>0</v>
          </cell>
        </row>
        <row r="372">
          <cell r="A372" t="str">
            <v>DELINEADOR DE LINEA CURVA HORIZONTAL 30 X 45 CMS.</v>
          </cell>
          <cell r="B372" t="str">
            <v>UND</v>
          </cell>
          <cell r="C372">
            <v>153250</v>
          </cell>
          <cell r="E372">
            <v>0</v>
          </cell>
          <cell r="F372">
            <v>0</v>
          </cell>
          <cell r="G372">
            <v>0</v>
          </cell>
          <cell r="I372">
            <v>0</v>
          </cell>
        </row>
        <row r="373">
          <cell r="A373" t="str">
            <v>DESAGUE AUTOMATICO PLASTICO LAVAMANOS</v>
          </cell>
          <cell r="B373" t="str">
            <v>UND</v>
          </cell>
          <cell r="C373">
            <v>14616</v>
          </cell>
          <cell r="E373">
            <v>0</v>
          </cell>
          <cell r="F373">
            <v>0</v>
          </cell>
          <cell r="G373">
            <v>0</v>
          </cell>
          <cell r="I373">
            <v>0</v>
          </cell>
        </row>
        <row r="374">
          <cell r="A374" t="str">
            <v>DESFORMALETEANTE DE CONCRETO</v>
          </cell>
          <cell r="B374" t="str">
            <v>KG</v>
          </cell>
          <cell r="C374">
            <v>8050</v>
          </cell>
          <cell r="E374">
            <v>0</v>
          </cell>
          <cell r="F374">
            <v>0</v>
          </cell>
          <cell r="G374">
            <v>0</v>
          </cell>
          <cell r="I374">
            <v>0</v>
          </cell>
        </row>
        <row r="375">
          <cell r="A375" t="str">
            <v>DETERGENTE EN POLVO (1000 GR)</v>
          </cell>
          <cell r="B375" t="str">
            <v>UN</v>
          </cell>
          <cell r="C375">
            <v>3675</v>
          </cell>
          <cell r="E375">
            <v>0</v>
          </cell>
          <cell r="F375">
            <v>0</v>
          </cell>
          <cell r="G375">
            <v>0</v>
          </cell>
          <cell r="I375">
            <v>0</v>
          </cell>
        </row>
        <row r="376">
          <cell r="A376" t="str">
            <v>DIAGONAL METALICA RECTA DE 0,68 MT EN ANGULO DE 1 1/2``X3/16``</v>
          </cell>
          <cell r="B376" t="str">
            <v>un</v>
          </cell>
          <cell r="C376">
            <v>10950</v>
          </cell>
          <cell r="E376">
            <v>0</v>
          </cell>
          <cell r="F376">
            <v>0</v>
          </cell>
          <cell r="G376">
            <v>0</v>
          </cell>
          <cell r="I376">
            <v>0</v>
          </cell>
        </row>
        <row r="377">
          <cell r="A377" t="str">
            <v>DIAGONAL RECTA METAL 11/2``X3/16`` X 68 CM</v>
          </cell>
          <cell r="B377" t="str">
            <v>UN</v>
          </cell>
          <cell r="C377">
            <v>10950</v>
          </cell>
          <cell r="E377">
            <v>0</v>
          </cell>
          <cell r="F377">
            <v>0</v>
          </cell>
          <cell r="G377">
            <v>0</v>
          </cell>
          <cell r="I377">
            <v>0</v>
          </cell>
        </row>
        <row r="378">
          <cell r="A378" t="str">
            <v>DIAGONAL RECTA METALICA 11/2``X3/16X68CM</v>
          </cell>
          <cell r="B378" t="str">
            <v>UN</v>
          </cell>
          <cell r="C378">
            <v>10950</v>
          </cell>
          <cell r="E378">
            <v>0</v>
          </cell>
          <cell r="F378">
            <v>0</v>
          </cell>
          <cell r="G378">
            <v>0</v>
          </cell>
          <cell r="I378">
            <v>0</v>
          </cell>
        </row>
        <row r="379">
          <cell r="A379" t="str">
            <v>DIAGONAL RECTA METALICA DE 110CM</v>
          </cell>
          <cell r="B379" t="str">
            <v>UN</v>
          </cell>
          <cell r="C379">
            <v>16980</v>
          </cell>
          <cell r="E379">
            <v>0</v>
          </cell>
          <cell r="F379">
            <v>0</v>
          </cell>
          <cell r="G379">
            <v>0</v>
          </cell>
          <cell r="I379">
            <v>0</v>
          </cell>
        </row>
        <row r="380">
          <cell r="A380" t="str">
            <v>DIAGONAL RECTA METALICA DE 110CM</v>
          </cell>
          <cell r="B380" t="str">
            <v>UN</v>
          </cell>
          <cell r="C380">
            <v>16980</v>
          </cell>
          <cell r="E380">
            <v>0</v>
          </cell>
          <cell r="F380">
            <v>0</v>
          </cell>
          <cell r="G380">
            <v>0</v>
          </cell>
          <cell r="I380">
            <v>0</v>
          </cell>
        </row>
        <row r="381">
          <cell r="A381" t="str">
            <v>DIAGONAL RECTA METÁLICA DE 68 CMS</v>
          </cell>
          <cell r="B381" t="str">
            <v>und</v>
          </cell>
          <cell r="C381">
            <v>10950</v>
          </cell>
          <cell r="E381">
            <v>0</v>
          </cell>
          <cell r="F381">
            <v>0</v>
          </cell>
          <cell r="G381">
            <v>0</v>
          </cell>
          <cell r="I381">
            <v>0</v>
          </cell>
        </row>
        <row r="382">
          <cell r="A382" t="str">
            <v>DILATACION ANCHA X 2 M</v>
          </cell>
          <cell r="B382" t="str">
            <v>ML</v>
          </cell>
          <cell r="C382">
            <v>1249.5</v>
          </cell>
          <cell r="E382">
            <v>0</v>
          </cell>
          <cell r="F382">
            <v>0</v>
          </cell>
          <cell r="G382">
            <v>0</v>
          </cell>
          <cell r="I382">
            <v>0</v>
          </cell>
        </row>
        <row r="383">
          <cell r="A383" t="str">
            <v>DILATACION BRONCE</v>
          </cell>
          <cell r="B383" t="str">
            <v>ML</v>
          </cell>
          <cell r="C383">
            <v>3801</v>
          </cell>
          <cell r="E383">
            <v>0</v>
          </cell>
          <cell r="F383">
            <v>0</v>
          </cell>
          <cell r="G383">
            <v>0</v>
          </cell>
          <cell r="I383">
            <v>0</v>
          </cell>
        </row>
        <row r="384">
          <cell r="A384" t="str">
            <v>DISCO CORTE METAL 7" X 1/8" DEWALT</v>
          </cell>
          <cell r="B384" t="str">
            <v>UND</v>
          </cell>
          <cell r="C384">
            <v>8404.2000000000007</v>
          </cell>
          <cell r="E384">
            <v>0</v>
          </cell>
          <cell r="F384">
            <v>0</v>
          </cell>
          <cell r="G384">
            <v>0</v>
          </cell>
          <cell r="I384">
            <v>0</v>
          </cell>
        </row>
        <row r="385">
          <cell r="A385" t="str">
            <v>DISCO DESBASTE METAL 7" 1/4" DEWALT</v>
          </cell>
          <cell r="B385" t="str">
            <v>UND</v>
          </cell>
          <cell r="C385">
            <v>9744</v>
          </cell>
          <cell r="E385">
            <v>0</v>
          </cell>
          <cell r="F385">
            <v>0</v>
          </cell>
          <cell r="G385">
            <v>0</v>
          </cell>
          <cell r="I385">
            <v>0</v>
          </cell>
        </row>
        <row r="386">
          <cell r="A386" t="str">
            <v>DISCO DIAMANTADO CORTADORA ASFALTO-CONCRETO 350MM</v>
          </cell>
          <cell r="B386" t="str">
            <v>UND</v>
          </cell>
          <cell r="C386">
            <v>188000</v>
          </cell>
          <cell r="E386">
            <v>0</v>
          </cell>
          <cell r="F386">
            <v>0</v>
          </cell>
          <cell r="G386">
            <v>0</v>
          </cell>
          <cell r="I386">
            <v>0</v>
          </cell>
        </row>
        <row r="387">
          <cell r="A387" t="str">
            <v>DISCO PARA PULIR CUCHILLA 6"</v>
          </cell>
          <cell r="B387" t="str">
            <v>UND</v>
          </cell>
          <cell r="C387">
            <v>14700</v>
          </cell>
          <cell r="E387">
            <v>0</v>
          </cell>
          <cell r="F387">
            <v>0</v>
          </cell>
          <cell r="G387">
            <v>0</v>
          </cell>
          <cell r="I387">
            <v>0</v>
          </cell>
        </row>
        <row r="388">
          <cell r="A388" t="str">
            <v>DISCO PARA PULIR PISO 5/8 GRANO 80</v>
          </cell>
          <cell r="B388" t="str">
            <v>UND</v>
          </cell>
          <cell r="C388">
            <v>46893</v>
          </cell>
          <cell r="E388">
            <v>0</v>
          </cell>
          <cell r="F388">
            <v>0</v>
          </cell>
          <cell r="G388">
            <v>0</v>
          </cell>
          <cell r="I388">
            <v>0</v>
          </cell>
        </row>
        <row r="389">
          <cell r="A389" t="str">
            <v>DISPENSADOR MD 2000 HILTI</v>
          </cell>
          <cell r="B389" t="str">
            <v>UND</v>
          </cell>
          <cell r="C389">
            <v>15750</v>
          </cell>
          <cell r="E389">
            <v>0</v>
          </cell>
          <cell r="F389">
            <v>0</v>
          </cell>
          <cell r="G389">
            <v>0</v>
          </cell>
          <cell r="I389">
            <v>0</v>
          </cell>
        </row>
        <row r="390">
          <cell r="A390" t="str">
            <v>DOBLAMIENTO CAMISA PERDIDA DIAMETRO 0.8-1.5M</v>
          </cell>
          <cell r="B390" t="str">
            <v>UND</v>
          </cell>
          <cell r="C390">
            <v>15750</v>
          </cell>
          <cell r="E390">
            <v>0</v>
          </cell>
          <cell r="F390">
            <v>0</v>
          </cell>
          <cell r="G390">
            <v>0</v>
          </cell>
          <cell r="I390">
            <v>0</v>
          </cell>
        </row>
        <row r="391">
          <cell r="A391" t="str">
            <v>DUCHA PRYSMA 8" GRIVAL</v>
          </cell>
          <cell r="B391" t="str">
            <v>UND</v>
          </cell>
          <cell r="C391">
            <v>72345</v>
          </cell>
          <cell r="E391">
            <v>0</v>
          </cell>
          <cell r="F391">
            <v>0</v>
          </cell>
          <cell r="G391">
            <v>0</v>
          </cell>
          <cell r="I391">
            <v>0</v>
          </cell>
        </row>
        <row r="392">
          <cell r="A392" t="str">
            <v>DUCTO PVC 2 ``</v>
          </cell>
          <cell r="B392" t="str">
            <v>ml</v>
          </cell>
          <cell r="C392">
            <v>5720</v>
          </cell>
          <cell r="E392">
            <v>0</v>
          </cell>
          <cell r="F392">
            <v>0</v>
          </cell>
          <cell r="G392">
            <v>0</v>
          </cell>
          <cell r="I392">
            <v>0</v>
          </cell>
        </row>
        <row r="393">
          <cell r="A393" t="str">
            <v>DUCTOS METALICOS FLEXIBLES</v>
          </cell>
          <cell r="B393" t="str">
            <v>ML</v>
          </cell>
          <cell r="C393">
            <v>6930</v>
          </cell>
          <cell r="E393">
            <v>0</v>
          </cell>
          <cell r="F393">
            <v>0</v>
          </cell>
          <cell r="G393">
            <v>0</v>
          </cell>
          <cell r="I393">
            <v>0</v>
          </cell>
        </row>
        <row r="394">
          <cell r="A394" t="str">
            <v>DURANTA H=0.3 MT</v>
          </cell>
          <cell r="B394" t="str">
            <v>UN</v>
          </cell>
          <cell r="C394">
            <v>1260</v>
          </cell>
          <cell r="E394">
            <v>0</v>
          </cell>
          <cell r="F394">
            <v>0</v>
          </cell>
          <cell r="G394">
            <v>0</v>
          </cell>
          <cell r="I394">
            <v>0</v>
          </cell>
        </row>
        <row r="395">
          <cell r="A395" t="str">
            <v>DURMIENTE (PINO) 0.04X0.04 M INMUNIZADO</v>
          </cell>
          <cell r="B395" t="str">
            <v>ML</v>
          </cell>
          <cell r="C395">
            <v>2730</v>
          </cell>
          <cell r="E395">
            <v>0</v>
          </cell>
          <cell r="F395">
            <v>0</v>
          </cell>
          <cell r="G395">
            <v>0</v>
          </cell>
          <cell r="I395">
            <v>0</v>
          </cell>
        </row>
        <row r="396">
          <cell r="A396" t="str">
            <v>DURMIENTE 4 X 4 CMS ORDINARIO 2.90 M</v>
          </cell>
          <cell r="B396" t="str">
            <v>ML</v>
          </cell>
          <cell r="C396">
            <v>4120</v>
          </cell>
          <cell r="E396">
            <v>0</v>
          </cell>
          <cell r="F396">
            <v>0</v>
          </cell>
          <cell r="G396">
            <v>0</v>
          </cell>
          <cell r="I396">
            <v>0</v>
          </cell>
        </row>
        <row r="397">
          <cell r="A397" t="str">
            <v>DURMIENTE EN ORDINARIO 0.05X0.05X3 M</v>
          </cell>
          <cell r="B397" t="str">
            <v>ML</v>
          </cell>
          <cell r="C397">
            <v>1023.75</v>
          </cell>
          <cell r="E397">
            <v>0</v>
          </cell>
          <cell r="F397">
            <v>0</v>
          </cell>
          <cell r="G397">
            <v>0</v>
          </cell>
          <cell r="I397">
            <v>0</v>
          </cell>
        </row>
        <row r="398">
          <cell r="A398" t="str">
            <v>DURMIENTE ORDINARIO  0.04 X 0.04 X 3 M</v>
          </cell>
          <cell r="B398" t="str">
            <v>ML</v>
          </cell>
          <cell r="C398">
            <v>1423</v>
          </cell>
          <cell r="E398">
            <v>0</v>
          </cell>
          <cell r="F398">
            <v>0</v>
          </cell>
          <cell r="G398">
            <v>0</v>
          </cell>
          <cell r="I398">
            <v>0</v>
          </cell>
        </row>
        <row r="399">
          <cell r="A399" t="str">
            <v>ELECTROBOMBA 1515HHE-5 HP BARNES</v>
          </cell>
          <cell r="B399" t="str">
            <v>UN</v>
          </cell>
          <cell r="C399">
            <v>2396586</v>
          </cell>
          <cell r="E399">
            <v>0</v>
          </cell>
          <cell r="F399">
            <v>0</v>
          </cell>
          <cell r="G399">
            <v>0</v>
          </cell>
          <cell r="I399">
            <v>0</v>
          </cell>
        </row>
        <row r="400">
          <cell r="A400" t="str">
            <v>ELEMENTOS DE ANCLAJE Y FIJACIÓN (TORNILLOS, CHAZOS, ABRAZADERAS, PERNOS)</v>
          </cell>
          <cell r="B400" t="str">
            <v>glb</v>
          </cell>
          <cell r="C400">
            <v>1000</v>
          </cell>
          <cell r="E400">
            <v>0</v>
          </cell>
          <cell r="F400">
            <v>0</v>
          </cell>
          <cell r="G400">
            <v>0</v>
          </cell>
          <cell r="I400">
            <v>0</v>
          </cell>
        </row>
        <row r="401">
          <cell r="A401" t="str">
            <v>EMPALME DE DERIVACIÓN EN GEL GHFC-1 RANGO DE APLICACIÓN PRINCIPAL DE CABLE 2 A 2/0 Y DERIVACIÓN  DE 14 A 6</v>
          </cell>
          <cell r="B401" t="str">
            <v>UND</v>
          </cell>
          <cell r="C401">
            <v>28500</v>
          </cell>
          <cell r="E401">
            <v>0</v>
          </cell>
          <cell r="F401">
            <v>0</v>
          </cell>
          <cell r="G401">
            <v>0</v>
          </cell>
          <cell r="I401">
            <v>0</v>
          </cell>
        </row>
        <row r="402">
          <cell r="A402" t="str">
            <v>EMULSION ASFALTICA</v>
          </cell>
          <cell r="B402" t="str">
            <v>KG</v>
          </cell>
          <cell r="C402">
            <v>3408</v>
          </cell>
          <cell r="E402">
            <v>0</v>
          </cell>
          <cell r="F402">
            <v>0</v>
          </cell>
          <cell r="G402">
            <v>0</v>
          </cell>
          <cell r="I402">
            <v>0</v>
          </cell>
        </row>
        <row r="403">
          <cell r="A403" t="str">
            <v>EMULSION ASFALTICA CRL-0 O CRL-1</v>
          </cell>
          <cell r="B403" t="str">
            <v>LT</v>
          </cell>
          <cell r="C403">
            <v>1740</v>
          </cell>
          <cell r="E403">
            <v>0</v>
          </cell>
          <cell r="F403">
            <v>0</v>
          </cell>
          <cell r="G403">
            <v>0</v>
          </cell>
          <cell r="I403">
            <v>0</v>
          </cell>
        </row>
        <row r="404">
          <cell r="A404" t="str">
            <v>EMULSIÓN ASFÁLTICA ED/9 CUÑETE 5 GL TEXSA</v>
          </cell>
          <cell r="B404" t="str">
            <v>gl</v>
          </cell>
          <cell r="C404">
            <v>10000.36</v>
          </cell>
          <cell r="E404">
            <v>0</v>
          </cell>
          <cell r="F404">
            <v>0</v>
          </cell>
          <cell r="G404">
            <v>0</v>
          </cell>
          <cell r="I404">
            <v>0</v>
          </cell>
        </row>
        <row r="405">
          <cell r="A405" t="str">
            <v>EMULSION CRR-1</v>
          </cell>
          <cell r="B405" t="str">
            <v>GLN</v>
          </cell>
          <cell r="C405">
            <v>1687</v>
          </cell>
        </row>
        <row r="406">
          <cell r="A406" t="str">
            <v>EMULSION CRR-2</v>
          </cell>
          <cell r="B406" t="str">
            <v>GLN</v>
          </cell>
          <cell r="C406">
            <v>2250</v>
          </cell>
        </row>
        <row r="407">
          <cell r="A407" t="str">
            <v>ENDURECEDOR SUPERFICIAL PARA PISOS BASE QUARZO Y CEMENTO SIKAFLOOR-3 QUARTZ TOP</v>
          </cell>
          <cell r="B407" t="str">
            <v>KG</v>
          </cell>
          <cell r="C407">
            <v>1050</v>
          </cell>
        </row>
        <row r="408">
          <cell r="A408" t="str">
            <v>ESFERAS REFLECTIVAS</v>
          </cell>
          <cell r="B408" t="str">
            <v>KG</v>
          </cell>
          <cell r="C408">
            <v>5126</v>
          </cell>
        </row>
        <row r="409">
          <cell r="A409" t="str">
            <v>ESMALTE DOMESTICO</v>
          </cell>
          <cell r="B409" t="str">
            <v>GLN</v>
          </cell>
          <cell r="C409">
            <v>53900</v>
          </cell>
        </row>
        <row r="410">
          <cell r="A410" t="str">
            <v>ESMALTE SINTETICO</v>
          </cell>
          <cell r="B410" t="str">
            <v>GLN</v>
          </cell>
          <cell r="C410">
            <v>51900</v>
          </cell>
        </row>
        <row r="411">
          <cell r="A411" t="str">
            <v>ESPACIADOR ANGULAR 15KV</v>
          </cell>
          <cell r="B411" t="str">
            <v>und</v>
          </cell>
          <cell r="C411">
            <v>82560</v>
          </cell>
        </row>
        <row r="412">
          <cell r="A412" t="str">
            <v>ESPARRAGO 5/8x20 ``</v>
          </cell>
          <cell r="B412" t="str">
            <v>UN</v>
          </cell>
          <cell r="C412">
            <v>5950</v>
          </cell>
        </row>
        <row r="413">
          <cell r="A413" t="str">
            <v>ESPÁRRAGO ROSCADO 4 TUERCAS 5/8``*10``</v>
          </cell>
          <cell r="B413" t="str">
            <v>UN</v>
          </cell>
          <cell r="C413">
            <v>4500</v>
          </cell>
        </row>
        <row r="414">
          <cell r="A414" t="str">
            <v>ESPARRAGO ROSCADO DE 4 TUERCAS 5/8x12 ``</v>
          </cell>
          <cell r="B414" t="str">
            <v>UN</v>
          </cell>
          <cell r="C414">
            <v>4980</v>
          </cell>
        </row>
        <row r="415">
          <cell r="A415" t="str">
            <v>ESPEJO CRISTAL INCOLORO 4 MM</v>
          </cell>
          <cell r="B415" t="str">
            <v>M2</v>
          </cell>
          <cell r="C415">
            <v>69300</v>
          </cell>
        </row>
        <row r="416">
          <cell r="A416" t="str">
            <v>ESPEJO PELDAR CLARO 3 MM</v>
          </cell>
          <cell r="B416" t="str">
            <v>M2</v>
          </cell>
          <cell r="C416">
            <v>48300</v>
          </cell>
        </row>
        <row r="417">
          <cell r="A417" t="str">
            <v>ESPIGO PIN CRUCETA METAL. 5/8`` X 8 13.2 KV</v>
          </cell>
          <cell r="B417" t="str">
            <v>UN</v>
          </cell>
          <cell r="C417">
            <v>5216</v>
          </cell>
        </row>
        <row r="418">
          <cell r="A418" t="str">
            <v>ESPIGO PIN CRUCETA METALICA PARA 15 KV</v>
          </cell>
          <cell r="B418" t="str">
            <v>un</v>
          </cell>
          <cell r="C418">
            <v>5920</v>
          </cell>
        </row>
        <row r="419">
          <cell r="A419" t="str">
            <v>ESTOPA X 1 KILO</v>
          </cell>
          <cell r="B419" t="str">
            <v>KG</v>
          </cell>
          <cell r="C419">
            <v>5270</v>
          </cell>
        </row>
        <row r="420">
          <cell r="A420" t="str">
            <v>ESTRIBO HORIZONTALAMPAC 2/0 - 2</v>
          </cell>
          <cell r="B420" t="str">
            <v>UN</v>
          </cell>
          <cell r="C420">
            <v>20620</v>
          </cell>
        </row>
        <row r="421">
          <cell r="A421" t="str">
            <v>ESTRIBO HORIZONTALAMPAC 2/0 - 2</v>
          </cell>
          <cell r="B421" t="str">
            <v>UN</v>
          </cell>
          <cell r="C421">
            <v>20620</v>
          </cell>
        </row>
        <row r="422">
          <cell r="A422" t="str">
            <v>ESTRIBO SOPORTE TANGENCIAL</v>
          </cell>
          <cell r="B422" t="str">
            <v>und</v>
          </cell>
          <cell r="C422">
            <v>45800</v>
          </cell>
        </row>
        <row r="423">
          <cell r="A423" t="str">
            <v>ESTUCO PLASTICO</v>
          </cell>
          <cell r="B423" t="str">
            <v>GLN</v>
          </cell>
          <cell r="C423">
            <v>17745</v>
          </cell>
        </row>
        <row r="424">
          <cell r="A424" t="str">
            <v>FIJACIONES PARA TEJA TECHOLINE</v>
          </cell>
          <cell r="B424" t="str">
            <v>un</v>
          </cell>
          <cell r="C424">
            <v>1170</v>
          </cell>
        </row>
        <row r="425">
          <cell r="A425" t="str">
            <v>FILODENDRO H=0.4 MT</v>
          </cell>
          <cell r="B425" t="str">
            <v>UN</v>
          </cell>
          <cell r="C425">
            <v>14700</v>
          </cell>
        </row>
        <row r="426">
          <cell r="A426" t="str">
            <v>FLEXOCRETO FORMALETA FLEXIBLE 2.92 X 1.00 MTS</v>
          </cell>
          <cell r="B426" t="str">
            <v>UND</v>
          </cell>
          <cell r="C426">
            <v>56789</v>
          </cell>
        </row>
        <row r="427">
          <cell r="A427" t="str">
            <v>FLORES CAMARON H=0.4 MT</v>
          </cell>
          <cell r="B427" t="str">
            <v>UN</v>
          </cell>
          <cell r="C427">
            <v>5775</v>
          </cell>
        </row>
        <row r="428">
          <cell r="A428" t="str">
            <v>FLORES IXORA ROJA H=0.3 MT</v>
          </cell>
          <cell r="B428" t="str">
            <v>UN</v>
          </cell>
          <cell r="C428">
            <v>3675</v>
          </cell>
        </row>
        <row r="429">
          <cell r="A429" t="str">
            <v>FLOTADOR 1" HELBERT COBRE</v>
          </cell>
          <cell r="B429" t="str">
            <v>UND</v>
          </cell>
          <cell r="C429">
            <v>54600</v>
          </cell>
        </row>
        <row r="430">
          <cell r="A430" t="str">
            <v>FLOTADOR 3/4" HELBERT COBRE</v>
          </cell>
          <cell r="B430" t="str">
            <v>UND</v>
          </cell>
          <cell r="C430">
            <v>73500</v>
          </cell>
        </row>
        <row r="431">
          <cell r="A431" t="str">
            <v>FLUXOMETRO ORINAL GRIVAL</v>
          </cell>
          <cell r="B431" t="str">
            <v>UND</v>
          </cell>
          <cell r="C431">
            <v>325500</v>
          </cell>
        </row>
        <row r="432">
          <cell r="A432" t="str">
            <v>FORMALETA ENTREPISO</v>
          </cell>
          <cell r="B432" t="str">
            <v>SM</v>
          </cell>
          <cell r="C432">
            <v>13152</v>
          </cell>
        </row>
        <row r="433">
          <cell r="A433" t="str">
            <v>FORMALETA METALICA VIGA PUENTE</v>
          </cell>
          <cell r="B433" t="str">
            <v>MES</v>
          </cell>
          <cell r="C433">
            <v>19971000</v>
          </cell>
        </row>
        <row r="434">
          <cell r="A434" t="str">
            <v>FOTOCELDA PARA LUMINARIA GRIS</v>
          </cell>
          <cell r="B434" t="str">
            <v>UN</v>
          </cell>
          <cell r="C434">
            <v>26300</v>
          </cell>
        </row>
        <row r="435">
          <cell r="A435" t="str">
            <v>FRESCASA CON FOIL 31/2" AC. 0.95 NRC</v>
          </cell>
          <cell r="B435" t="str">
            <v>RLL</v>
          </cell>
          <cell r="C435">
            <v>236145</v>
          </cell>
        </row>
        <row r="436">
          <cell r="A436" t="str">
            <v>GABINETE METALICO EN LAMINA GALVANIZADA CON CERRADURA DE 80X60X30</v>
          </cell>
          <cell r="B436" t="str">
            <v>unid</v>
          </cell>
          <cell r="C436">
            <v>850000</v>
          </cell>
        </row>
        <row r="437">
          <cell r="A437" t="str">
            <v>GANCHO FIJACIÓN TEJA 55 MM ETERNIT</v>
          </cell>
          <cell r="B437" t="str">
            <v>UND</v>
          </cell>
          <cell r="C437">
            <v>440</v>
          </cell>
        </row>
        <row r="438">
          <cell r="A438" t="str">
            <v>GANCHO GALVANIZADO PARA MADERA</v>
          </cell>
          <cell r="B438" t="str">
            <v>un</v>
          </cell>
          <cell r="C438">
            <v>240</v>
          </cell>
        </row>
        <row r="439">
          <cell r="A439" t="str">
            <v>GANCHO TEJA ETERNIT 55 MM</v>
          </cell>
          <cell r="B439" t="str">
            <v>un</v>
          </cell>
          <cell r="C439">
            <v>240</v>
          </cell>
        </row>
        <row r="440">
          <cell r="A440" t="str">
            <v>GANCHOS Y TORNILLOS DE FIJACION TEJA</v>
          </cell>
          <cell r="B440" t="str">
            <v>UND</v>
          </cell>
          <cell r="C440">
            <v>600</v>
          </cell>
        </row>
        <row r="441">
          <cell r="A441" t="str">
            <v>GASOLINA ROJA</v>
          </cell>
          <cell r="B441" t="str">
            <v>GLN</v>
          </cell>
          <cell r="C441">
            <v>9376.5</v>
          </cell>
        </row>
        <row r="442">
          <cell r="A442" t="str">
            <v>GEODREN CON TUBERIA CIRCULAR 100mm H=1.0</v>
          </cell>
          <cell r="B442" t="str">
            <v>ml</v>
          </cell>
          <cell r="C442">
            <v>38241.72</v>
          </cell>
        </row>
        <row r="443">
          <cell r="A443" t="str">
            <v>GEODREN CON TUBERIA CIRCULAR 160mm H= 1.0m</v>
          </cell>
          <cell r="B443" t="str">
            <v>ml</v>
          </cell>
          <cell r="C443">
            <v>60969.599999999999</v>
          </cell>
        </row>
        <row r="444">
          <cell r="A444" t="str">
            <v>GEODREN CON TUBERIA CIRCULAR 200mm  H= 1.0m</v>
          </cell>
          <cell r="B444" t="str">
            <v>ml</v>
          </cell>
          <cell r="C444">
            <v>71849.240000000005</v>
          </cell>
        </row>
        <row r="445">
          <cell r="A445" t="str">
            <v>GEODREN PLANAR H=1.0</v>
          </cell>
          <cell r="B445" t="str">
            <v>ml</v>
          </cell>
          <cell r="C445">
            <v>25021.200000000001</v>
          </cell>
        </row>
        <row r="446">
          <cell r="A446" t="str">
            <v>GEOMALLA FORTGRID BX-60</v>
          </cell>
          <cell r="B446" t="str">
            <v>M2</v>
          </cell>
          <cell r="C446">
            <v>6211</v>
          </cell>
        </row>
        <row r="447">
          <cell r="A447" t="str">
            <v>GEOMALLA TENSAR BX 1200</v>
          </cell>
          <cell r="B447" t="str">
            <v>M2</v>
          </cell>
          <cell r="C447">
            <v>9338</v>
          </cell>
        </row>
        <row r="448">
          <cell r="A448" t="str">
            <v>GEOMEMBRANA POLIETILENO 0,5MM (HDPE 20 MILS)</v>
          </cell>
          <cell r="B448" t="str">
            <v>M2</v>
          </cell>
          <cell r="C448">
            <v>6090</v>
          </cell>
        </row>
        <row r="449">
          <cell r="A449" t="str">
            <v>GEOTEXTIL NT 1600</v>
          </cell>
          <cell r="B449" t="str">
            <v>M2</v>
          </cell>
          <cell r="C449">
            <v>3193.48</v>
          </cell>
        </row>
        <row r="450">
          <cell r="A450" t="str">
            <v>GEOTEXTIL NT 1800</v>
          </cell>
          <cell r="B450" t="str">
            <v>M2</v>
          </cell>
          <cell r="C450">
            <v>4217.8500000000004</v>
          </cell>
        </row>
        <row r="451">
          <cell r="A451" t="str">
            <v>GEOTEXTIL NT 2000</v>
          </cell>
          <cell r="B451" t="str">
            <v>M2</v>
          </cell>
          <cell r="C451">
            <v>5000.1000000000004</v>
          </cell>
        </row>
        <row r="452">
          <cell r="A452" t="str">
            <v>GEOTEXTIL NT 2500</v>
          </cell>
          <cell r="B452" t="str">
            <v>M2</v>
          </cell>
          <cell r="C452">
            <v>4989.16</v>
          </cell>
        </row>
        <row r="453">
          <cell r="A453" t="str">
            <v>GEOTEXTIL NT 3000</v>
          </cell>
          <cell r="B453" t="str">
            <v>M2</v>
          </cell>
          <cell r="C453">
            <v>6582.45</v>
          </cell>
        </row>
        <row r="454">
          <cell r="A454" t="str">
            <v>GEOTEXTIL NT 4000</v>
          </cell>
          <cell r="B454" t="str">
            <v>M2</v>
          </cell>
          <cell r="C454">
            <v>8108.4</v>
          </cell>
        </row>
        <row r="455">
          <cell r="A455" t="str">
            <v>GEOTEXTIL NT 5000</v>
          </cell>
          <cell r="B455" t="str">
            <v>M2</v>
          </cell>
          <cell r="C455">
            <v>10064.16</v>
          </cell>
        </row>
        <row r="456">
          <cell r="A456" t="str">
            <v>GEOTEXTIL NT 6000</v>
          </cell>
          <cell r="B456" t="str">
            <v>M2</v>
          </cell>
          <cell r="C456">
            <v>11509.52</v>
          </cell>
        </row>
        <row r="457">
          <cell r="A457" t="str">
            <v>GEOTEXTIL NT 7000</v>
          </cell>
          <cell r="B457" t="str">
            <v>M2</v>
          </cell>
          <cell r="C457">
            <v>14373.56</v>
          </cell>
        </row>
        <row r="458">
          <cell r="A458" t="str">
            <v>GEOTEXTIL TEJIDO FORTEX BX-30</v>
          </cell>
          <cell r="B458" t="str">
            <v>M2</v>
          </cell>
          <cell r="C458">
            <v>3593.1</v>
          </cell>
        </row>
        <row r="459">
          <cell r="A459" t="str">
            <v>GEOTEXTIL TEJIDO FORTEX BX-40</v>
          </cell>
          <cell r="B459" t="str">
            <v>M2</v>
          </cell>
          <cell r="C459">
            <v>3836.7</v>
          </cell>
        </row>
        <row r="460">
          <cell r="A460" t="str">
            <v>GEOTEXTIL TEJIDO FORTEX BX-60</v>
          </cell>
          <cell r="B460" t="str">
            <v>M2</v>
          </cell>
          <cell r="C460">
            <v>6211.8</v>
          </cell>
        </row>
        <row r="461">
          <cell r="A461" t="str">
            <v>GEOTEXTIL TEJIDO FORTEX BX-90</v>
          </cell>
          <cell r="B461" t="str">
            <v>M2</v>
          </cell>
          <cell r="C461">
            <v>9256.8000000000011</v>
          </cell>
        </row>
        <row r="462">
          <cell r="A462" t="str">
            <v>GIMNASIO AIRE LIBRE: EL ASCENSOR O SIMIL (EL ELEVADOR)</v>
          </cell>
          <cell r="B462" t="str">
            <v>UN</v>
          </cell>
          <cell r="C462">
            <v>6933638.25</v>
          </cell>
        </row>
        <row r="463">
          <cell r="A463" t="str">
            <v>GIMNASIO AIRE LIBRE: EL PONY O SIMIL (EL CABALLITO)</v>
          </cell>
          <cell r="B463" t="str">
            <v>UN</v>
          </cell>
          <cell r="C463">
            <v>4410210</v>
          </cell>
        </row>
        <row r="464">
          <cell r="A464" t="str">
            <v>GIMNASIO AIRE LIBRE: ESQUI O SIMIL (LA ELIPTICA)</v>
          </cell>
          <cell r="B464" t="str">
            <v>UN</v>
          </cell>
          <cell r="C464">
            <v>4751311</v>
          </cell>
        </row>
        <row r="465">
          <cell r="A465" t="str">
            <v>GIMNASIO AIRE LIBRE: MASAJA MOVIMIENTO SIMIL (RODILLO)</v>
          </cell>
          <cell r="B465" t="str">
            <v>UN</v>
          </cell>
          <cell r="C465">
            <v>3863399</v>
          </cell>
        </row>
        <row r="466">
          <cell r="A466" t="str">
            <v>GIMNASIO AIRE LIBRE: PATINES O SIMILAR</v>
          </cell>
          <cell r="B466" t="str">
            <v>UN</v>
          </cell>
          <cell r="C466">
            <v>4483437</v>
          </cell>
        </row>
        <row r="467">
          <cell r="A467" t="str">
            <v>GIMNASIO AIRE LIBRE: SURF O SIMILAR (BALANCIN)</v>
          </cell>
          <cell r="B467" t="str">
            <v>UN</v>
          </cell>
          <cell r="C467">
            <v>4020786</v>
          </cell>
        </row>
        <row r="468">
          <cell r="A468" t="str">
            <v>GIMNASIO AIRE LIBRE: VOLANTE O SIMIL (EL TIMON)</v>
          </cell>
          <cell r="B468" t="str">
            <v>UN</v>
          </cell>
          <cell r="C468">
            <v>3255975.45</v>
          </cell>
        </row>
        <row r="469">
          <cell r="A469" t="str">
            <v>GIMNASIO AIRE LIBRE:BARRAS O SIMIL (LAS PARALELAS)</v>
          </cell>
          <cell r="B469" t="str">
            <v>UN</v>
          </cell>
          <cell r="C469">
            <v>2236668</v>
          </cell>
        </row>
        <row r="470">
          <cell r="A470" t="str">
            <v>GIMNASIO AIRE LIBRE:EL MUEVE CINTURA O SIMIL</v>
          </cell>
          <cell r="B470" t="str">
            <v>UN</v>
          </cell>
          <cell r="C470">
            <v>4390019.55</v>
          </cell>
        </row>
        <row r="471">
          <cell r="A471" t="str">
            <v>GIMNASIO AIRE LIBRE:TIMON O SIMIL (LA CABRILLA)</v>
          </cell>
          <cell r="B471" t="str">
            <v>UN</v>
          </cell>
          <cell r="C471">
            <v>2776693.5</v>
          </cell>
        </row>
        <row r="472">
          <cell r="A472" t="str">
            <v>GINGER ROJO H=0.5 MT</v>
          </cell>
          <cell r="B472" t="str">
            <v>UN</v>
          </cell>
          <cell r="C472">
            <v>3675</v>
          </cell>
        </row>
        <row r="473">
          <cell r="A473" t="str">
            <v>GRAMA</v>
          </cell>
          <cell r="B473" t="str">
            <v>M2</v>
          </cell>
          <cell r="C473">
            <v>3800</v>
          </cell>
        </row>
        <row r="474">
          <cell r="A474" t="str">
            <v>GRAMA TRENZA</v>
          </cell>
          <cell r="B474" t="str">
            <v>M2</v>
          </cell>
          <cell r="C474">
            <v>21000</v>
          </cell>
        </row>
        <row r="475">
          <cell r="A475" t="str">
            <v>GRANIPLAST</v>
          </cell>
          <cell r="B475" t="str">
            <v>KG</v>
          </cell>
          <cell r="C475">
            <v>2415</v>
          </cell>
        </row>
        <row r="476">
          <cell r="A476" t="str">
            <v>GRANITO 30 KG</v>
          </cell>
          <cell r="B476" t="str">
            <v>BLT</v>
          </cell>
          <cell r="C476">
            <v>8946</v>
          </cell>
        </row>
        <row r="477">
          <cell r="A477" t="str">
            <v>GRANITO NEGRO 40 KILO</v>
          </cell>
          <cell r="B477" t="str">
            <v>BLT</v>
          </cell>
          <cell r="C477">
            <v>19977.3</v>
          </cell>
        </row>
        <row r="478">
          <cell r="A478" t="str">
            <v>GRAPA CERCA ALAMBRE PUA 1-1/4" X 20 KG</v>
          </cell>
          <cell r="B478" t="str">
            <v>KG</v>
          </cell>
          <cell r="C478">
            <v>4116</v>
          </cell>
        </row>
        <row r="479">
          <cell r="A479" t="str">
            <v>GRAPA DE RETENCIÓN AISLADA PARA RED TRENZADA DE B.T.</v>
          </cell>
          <cell r="B479" t="str">
            <v>UN</v>
          </cell>
          <cell r="C479">
            <v>12960</v>
          </cell>
        </row>
        <row r="480">
          <cell r="A480" t="str">
            <v>GRAPA DE RETENCION PARA CABLE TENS DE B.T.</v>
          </cell>
          <cell r="B480" t="str">
            <v>UN</v>
          </cell>
          <cell r="C480">
            <v>15680</v>
          </cell>
        </row>
        <row r="481">
          <cell r="A481" t="str">
            <v>GRAPA DE SUSPENSIÓN PARA CABLE TRENZADO DE B.T.</v>
          </cell>
          <cell r="B481" t="str">
            <v>UN</v>
          </cell>
          <cell r="C481">
            <v>10950</v>
          </cell>
        </row>
        <row r="482">
          <cell r="A482" t="str">
            <v>GRAPA PARA OPERAR EN CALIENTE</v>
          </cell>
          <cell r="B482" t="str">
            <v>UN</v>
          </cell>
          <cell r="C482">
            <v>13680</v>
          </cell>
        </row>
        <row r="483">
          <cell r="A483" t="str">
            <v>GRAPA PRENSADA  ACERO FORJADO 3 PERNOS C. 1/4``</v>
          </cell>
          <cell r="B483" t="str">
            <v>UN</v>
          </cell>
          <cell r="C483">
            <v>5620</v>
          </cell>
        </row>
        <row r="484">
          <cell r="A484" t="str">
            <v>GRAPA RETEN ALUMINIO T. RECTO 6-2/0 AWG</v>
          </cell>
          <cell r="B484" t="str">
            <v>UN</v>
          </cell>
          <cell r="C484">
            <v>15200</v>
          </cell>
        </row>
        <row r="485">
          <cell r="A485" t="str">
            <v>GRAPA SUSPENSION RED TRENSADA BT (3)</v>
          </cell>
          <cell r="B485" t="str">
            <v>UN</v>
          </cell>
          <cell r="C485">
            <v>12065</v>
          </cell>
        </row>
        <row r="486">
          <cell r="A486" t="str">
            <v>GRAPA TERMINAL TIPO RECTA 25-63MM2</v>
          </cell>
          <cell r="B486" t="str">
            <v>und</v>
          </cell>
          <cell r="C486">
            <v>15200</v>
          </cell>
        </row>
        <row r="487">
          <cell r="A487" t="str">
            <v>GRAPA TERMINAL TIPO RECTO 63-125MM2</v>
          </cell>
          <cell r="B487" t="str">
            <v>und</v>
          </cell>
          <cell r="C487">
            <v>15200</v>
          </cell>
        </row>
        <row r="488">
          <cell r="A488" t="str">
            <v>GRAPA TERMINAL TIPO RECTO PARA CABLES ENTRE 6 AWG- 3/0 AWG</v>
          </cell>
          <cell r="B488" t="str">
            <v>UN</v>
          </cell>
          <cell r="C488">
            <v>15200</v>
          </cell>
        </row>
        <row r="489">
          <cell r="A489" t="str">
            <v>GRATA</v>
          </cell>
          <cell r="B489" t="str">
            <v>UN</v>
          </cell>
          <cell r="C489">
            <v>8400</v>
          </cell>
        </row>
        <row r="490">
          <cell r="A490" t="str">
            <v>GRAVA DE 1``</v>
          </cell>
          <cell r="B490" t="str">
            <v>M3</v>
          </cell>
          <cell r="C490">
            <v>50000</v>
          </cell>
        </row>
        <row r="491">
          <cell r="A491" t="str">
            <v>GRAVA TRITURADA 1/2"</v>
          </cell>
          <cell r="B491" t="str">
            <v>M3</v>
          </cell>
          <cell r="C491">
            <v>43500</v>
          </cell>
        </row>
        <row r="492">
          <cell r="A492" t="str">
            <v>GRAVA TRITURADA DE  1"</v>
          </cell>
          <cell r="B492" t="str">
            <v>M3</v>
          </cell>
          <cell r="C492">
            <v>51975</v>
          </cell>
        </row>
        <row r="493">
          <cell r="A493" t="str">
            <v>GRAVA TRITURADA DE 3/4"</v>
          </cell>
          <cell r="B493" t="str">
            <v>M3</v>
          </cell>
          <cell r="C493">
            <v>38850</v>
          </cell>
        </row>
        <row r="494">
          <cell r="A494" t="str">
            <v>GRAVA TRITURADA FILTRO</v>
          </cell>
          <cell r="B494" t="str">
            <v>M3</v>
          </cell>
          <cell r="C494">
            <v>55020</v>
          </cell>
        </row>
        <row r="495">
          <cell r="A495" t="str">
            <v>GRAVILLA MONA N. 2 X  20</v>
          </cell>
          <cell r="B495" t="str">
            <v>KG</v>
          </cell>
          <cell r="C495">
            <v>525</v>
          </cell>
        </row>
        <row r="496">
          <cell r="A496" t="str">
            <v>GRAVILLA TRITURADA DE 1-1/2"</v>
          </cell>
          <cell r="B496" t="str">
            <v>M3</v>
          </cell>
          <cell r="C496">
            <v>40635</v>
          </cell>
        </row>
        <row r="497">
          <cell r="A497" t="str">
            <v>GRIFERIA LAVAMANOS MEZCLADOR 8" FENIX GRIVAL</v>
          </cell>
          <cell r="B497" t="str">
            <v>UND</v>
          </cell>
          <cell r="C497">
            <v>130095</v>
          </cell>
        </row>
        <row r="498">
          <cell r="A498" t="str">
            <v>GRIFERIA LAVAPLATOS PISCIS 8" GRIVAL</v>
          </cell>
          <cell r="B498" t="str">
            <v>UND</v>
          </cell>
          <cell r="C498">
            <v>36645</v>
          </cell>
        </row>
        <row r="499">
          <cell r="A499" t="str">
            <v>GRIFERIA SANITARIO ANTIVANDALICA AC-0349 DOCOL</v>
          </cell>
          <cell r="B499" t="str">
            <v>UND</v>
          </cell>
          <cell r="C499">
            <v>178500</v>
          </cell>
        </row>
        <row r="500">
          <cell r="A500" t="str">
            <v>GROUTING 2000 PSI (140 Kg/cm2)</v>
          </cell>
          <cell r="B500" t="str">
            <v>M3</v>
          </cell>
          <cell r="C500">
            <v>380480</v>
          </cell>
        </row>
        <row r="501">
          <cell r="A501" t="str">
            <v>GUARDACABO EN ACERO GALVANIZADO P/CABLE 1/2``</v>
          </cell>
          <cell r="B501" t="str">
            <v>UN</v>
          </cell>
          <cell r="C501">
            <v>1310</v>
          </cell>
        </row>
        <row r="502">
          <cell r="A502" t="str">
            <v>GUARDAESCOBA 10 CMS GUMARO ZAPAN</v>
          </cell>
          <cell r="B502" t="str">
            <v>ML</v>
          </cell>
          <cell r="C502">
            <v>4620</v>
          </cell>
        </row>
        <row r="503">
          <cell r="A503" t="str">
            <v>GUARDAESCOBA EN PINO H= 0.05 m</v>
          </cell>
          <cell r="B503" t="str">
            <v>ML</v>
          </cell>
          <cell r="C503">
            <v>4357.5</v>
          </cell>
        </row>
        <row r="504">
          <cell r="A504" t="str">
            <v>GUARDAESCOBA PORCELANATO 50 X 10 MM</v>
          </cell>
          <cell r="B504" t="str">
            <v>UND</v>
          </cell>
          <cell r="C504">
            <v>4095</v>
          </cell>
        </row>
        <row r="505">
          <cell r="A505" t="str">
            <v>GUARDAESCOBA TABLETA DE GRESS 10 X 20</v>
          </cell>
          <cell r="B505" t="str">
            <v>ML</v>
          </cell>
          <cell r="C505">
            <v>1260</v>
          </cell>
        </row>
        <row r="506">
          <cell r="A506" t="str">
            <v>HEBILLA CINTA BAND-IT 5/8``</v>
          </cell>
          <cell r="B506" t="str">
            <v>UND</v>
          </cell>
          <cell r="C506">
            <v>550</v>
          </cell>
        </row>
        <row r="507">
          <cell r="A507" t="str">
            <v>HERRAMIENTA ELECTRICA</v>
          </cell>
          <cell r="B507" t="str">
            <v xml:space="preserve"> % </v>
          </cell>
          <cell r="C507">
            <v>130560</v>
          </cell>
        </row>
        <row r="508">
          <cell r="A508" t="str">
            <v>HERRAMIENTA Y EQUIPO MENOR  (% M.O.)</v>
          </cell>
          <cell r="B508" t="str">
            <v xml:space="preserve"> % </v>
          </cell>
          <cell r="C508">
            <v>0.03</v>
          </cell>
        </row>
        <row r="509">
          <cell r="A509" t="str">
            <v>HIDROJET 1700 PSI (BOQUILLA ROTATIVA)</v>
          </cell>
          <cell r="B509" t="str">
            <v>D</v>
          </cell>
          <cell r="C509">
            <v>54227.6</v>
          </cell>
        </row>
        <row r="510">
          <cell r="A510" t="str">
            <v>HIERRO CORRUGADO / FIGURADO (411 MPA 4200 KG / CM2, G80)</v>
          </cell>
          <cell r="B510" t="str">
            <v>KG</v>
          </cell>
          <cell r="C510">
            <v>3728</v>
          </cell>
        </row>
        <row r="511">
          <cell r="A511" t="str">
            <v>HILO FUSIBLE TIPO H 13.2 KV 5 AMP</v>
          </cell>
          <cell r="B511" t="str">
            <v>UN</v>
          </cell>
          <cell r="C511">
            <v>4800</v>
          </cell>
        </row>
        <row r="512">
          <cell r="A512" t="str">
            <v>HILO POLIPROPELINO - ROLLO X 50 MTS</v>
          </cell>
          <cell r="B512" t="str">
            <v>RLL</v>
          </cell>
          <cell r="C512">
            <v>4050</v>
          </cell>
        </row>
        <row r="513">
          <cell r="A513" t="str">
            <v>HOJA DE SEGUETA</v>
          </cell>
          <cell r="B513" t="str">
            <v>UND</v>
          </cell>
          <cell r="C513">
            <v>3664.5</v>
          </cell>
        </row>
        <row r="514">
          <cell r="A514" t="str">
            <v>HORA/CUADRILLA 1 OFICIAL+3 AYUDANTES (M)</v>
          </cell>
          <cell r="B514" t="str">
            <v>HC</v>
          </cell>
          <cell r="C514">
            <v>42218.25</v>
          </cell>
        </row>
        <row r="515">
          <cell r="A515" t="str">
            <v>IMPERMEABILIZANTE INTEGRAL PARA MORTEROS Y CONCRETOS</v>
          </cell>
          <cell r="B515" t="str">
            <v>KG</v>
          </cell>
          <cell r="C515">
            <v>6230</v>
          </cell>
        </row>
        <row r="516">
          <cell r="A516" t="str">
            <v>IMPERMEABILIZANTE PARAGUAS 1 GL (CORONA)</v>
          </cell>
          <cell r="B516" t="str">
            <v>GLN</v>
          </cell>
          <cell r="C516">
            <v>51345</v>
          </cell>
        </row>
        <row r="517">
          <cell r="A517" t="str">
            <v>IMPRANOL HOLZSCHUTZGRUND 2.5 LTS</v>
          </cell>
          <cell r="B517" t="str">
            <v>UND</v>
          </cell>
          <cell r="C517">
            <v>67935</v>
          </cell>
        </row>
        <row r="518">
          <cell r="A518" t="str">
            <v>IMPRESIÓN DE PLANOS</v>
          </cell>
          <cell r="B518" t="str">
            <v>GLB</v>
          </cell>
          <cell r="C518">
            <v>1050</v>
          </cell>
        </row>
        <row r="519">
          <cell r="A519" t="str">
            <v>INETRRUPTOR TERMOMAGNÉTICO TIPO INDUSTRIAL B.T. 3 X 100 A</v>
          </cell>
          <cell r="B519" t="str">
            <v>UND</v>
          </cell>
          <cell r="C519">
            <v>350800</v>
          </cell>
        </row>
        <row r="520">
          <cell r="A520" t="str">
            <v>INTERRUPTOR  3 X 60 A, 600V; CAJA MOLDEADA, TIPO INDUSTRIAL</v>
          </cell>
          <cell r="B520" t="str">
            <v>UND</v>
          </cell>
          <cell r="C520">
            <v>135850</v>
          </cell>
        </row>
        <row r="521">
          <cell r="A521" t="str">
            <v>INTERRUPTOR AUTOMATICO 1 X 30 AMP. 2230E1</v>
          </cell>
          <cell r="B521" t="str">
            <v>UN</v>
          </cell>
          <cell r="C521">
            <v>10240</v>
          </cell>
        </row>
        <row r="522">
          <cell r="A522" t="str">
            <v>INTERRUPTOR EN CAJA MOLDEADA DPX-125 TIPO LEGRAND DE 3X100 AMP INCLUYE DOS JUEGOS DE TERMINALES</v>
          </cell>
          <cell r="B522" t="str">
            <v>unid</v>
          </cell>
          <cell r="C522">
            <v>350800</v>
          </cell>
        </row>
        <row r="523">
          <cell r="A523" t="str">
            <v>INTERRUPTOR EN CAJA MOLDEADA DPX-50 TIPO LEGRAND DE 3X50 AMP INCLUYE DOS JUEGOS DE TERMINALES</v>
          </cell>
          <cell r="B523" t="str">
            <v>unid</v>
          </cell>
          <cell r="C523">
            <v>135850</v>
          </cell>
        </row>
        <row r="524">
          <cell r="A524" t="str">
            <v>INTERRUPTOR SENC ABITARE AVE</v>
          </cell>
          <cell r="B524" t="str">
            <v>UN</v>
          </cell>
          <cell r="C524">
            <v>5610</v>
          </cell>
        </row>
        <row r="525">
          <cell r="A525" t="str">
            <v>INTERRUPTOR TERMOMAGNETICO  30 AMP</v>
          </cell>
          <cell r="B525" t="str">
            <v>UND</v>
          </cell>
          <cell r="C525">
            <v>17200</v>
          </cell>
        </row>
        <row r="526">
          <cell r="A526" t="str">
            <v>INTERRUPTOR TIPO LEGRAND DE 2X30 AMP INCLUYE DOS JUEGOS DE TERMINALES</v>
          </cell>
          <cell r="B526" t="str">
            <v>unid</v>
          </cell>
          <cell r="C526">
            <v>26500</v>
          </cell>
        </row>
        <row r="527">
          <cell r="A527" t="str">
            <v>JUEGO ATLANTIS, INCLUYE TRANSPORTE  VILLAVICENCIO</v>
          </cell>
          <cell r="B527" t="str">
            <v>JGO</v>
          </cell>
          <cell r="C527">
            <v>7168350</v>
          </cell>
        </row>
        <row r="528">
          <cell r="A528" t="str">
            <v>JUEGO CASTOR, INCLUYE TRANSPORTE  VILLAVICENCIO</v>
          </cell>
          <cell r="B528" t="str">
            <v>JGO</v>
          </cell>
          <cell r="C528">
            <v>9604350</v>
          </cell>
        </row>
        <row r="529">
          <cell r="A529" t="str">
            <v>JUEGO CYGNUS, INCLUYE TRANSPORTE VILLAVICENCIO</v>
          </cell>
          <cell r="B529" t="str">
            <v>JGO</v>
          </cell>
          <cell r="C529">
            <v>12040350</v>
          </cell>
        </row>
        <row r="530">
          <cell r="A530" t="str">
            <v>JUEGO DE INCRUSTACIONES COMPLETO</v>
          </cell>
          <cell r="B530" t="str">
            <v>UND</v>
          </cell>
          <cell r="C530">
            <v>31500</v>
          </cell>
        </row>
        <row r="531">
          <cell r="A531" t="str">
            <v>JUEGO SPECTRA, INCLUYE TRANSPORTE BOGOTA VILLAVICENCIO</v>
          </cell>
          <cell r="B531" t="str">
            <v>JGO</v>
          </cell>
          <cell r="C531">
            <v>7448700</v>
          </cell>
        </row>
        <row r="532">
          <cell r="A532" t="str">
            <v>JUEGO TERMINALES PREMOLDEADOS 15 KV  TIPO EXTERIOR</v>
          </cell>
          <cell r="B532" t="str">
            <v>UND</v>
          </cell>
          <cell r="C532">
            <v>323450</v>
          </cell>
        </row>
        <row r="533">
          <cell r="A533" t="str">
            <v>KIT DE PUESTA TIERRA MEDIA TENSION</v>
          </cell>
          <cell r="B533" t="str">
            <v>UN</v>
          </cell>
          <cell r="C533">
            <v>182670</v>
          </cell>
        </row>
        <row r="534">
          <cell r="A534" t="str">
            <v>KIT L/P GRIVAL INCLUYE CANASTILLA, SIFON Y 2 ACOPLES</v>
          </cell>
          <cell r="B534" t="str">
            <v>UND</v>
          </cell>
          <cell r="C534">
            <v>14595</v>
          </cell>
        </row>
        <row r="535">
          <cell r="A535" t="str">
            <v>LADRILLO  PRENSADO STA/ FE 24.5 X 12 X 5.5 FAB</v>
          </cell>
          <cell r="B535" t="str">
            <v>UND</v>
          </cell>
          <cell r="C535">
            <v>816.9</v>
          </cell>
        </row>
        <row r="536">
          <cell r="A536" t="str">
            <v>LADRILLO PRENSADO LIVIANO ESTRUCTURAL 20.60</v>
          </cell>
          <cell r="B536" t="str">
            <v>UN</v>
          </cell>
          <cell r="C536">
            <v>1081.5</v>
          </cell>
        </row>
        <row r="537">
          <cell r="A537" t="str">
            <v>LADRILLO REJILLA (5 HUECOS)</v>
          </cell>
          <cell r="B537" t="str">
            <v>UND</v>
          </cell>
          <cell r="C537">
            <v>619.5</v>
          </cell>
        </row>
        <row r="538">
          <cell r="A538" t="str">
            <v>LADRILLO REJILLA GRESS 0.25X0.12X0.06</v>
          </cell>
          <cell r="B538" t="str">
            <v>UND</v>
          </cell>
          <cell r="C538">
            <v>892.5</v>
          </cell>
        </row>
        <row r="539">
          <cell r="A539" t="str">
            <v>LADRILLO TOLETE  RECOCIDO</v>
          </cell>
          <cell r="B539" t="str">
            <v>UND</v>
          </cell>
          <cell r="C539">
            <v>350</v>
          </cell>
        </row>
        <row r="540">
          <cell r="A540" t="str">
            <v>LADRILLO TOLETE RECOCIDO (6X10X20)</v>
          </cell>
          <cell r="B540" t="str">
            <v>UND</v>
          </cell>
          <cell r="C540">
            <v>400</v>
          </cell>
        </row>
        <row r="541">
          <cell r="A541" t="str">
            <v>LADRILLO TOLETE RECOCIDO 0.20X0.10X0.06</v>
          </cell>
          <cell r="B541" t="str">
            <v>UND</v>
          </cell>
          <cell r="C541">
            <v>372.75</v>
          </cell>
        </row>
        <row r="542">
          <cell r="A542" t="str">
            <v>LAMINA AC  3/8"</v>
          </cell>
          <cell r="B542" t="str">
            <v>M2</v>
          </cell>
          <cell r="C542">
            <v>302000</v>
          </cell>
        </row>
        <row r="543">
          <cell r="A543" t="str">
            <v>LAMINA ALVEOLAR 4 MM (0,8 KG/M2) FIBRA DE CARBONO</v>
          </cell>
          <cell r="B543" t="str">
            <v>M2</v>
          </cell>
          <cell r="C543">
            <v>37800</v>
          </cell>
        </row>
        <row r="544">
          <cell r="A544" t="str">
            <v>LAMINA C.R. CAL 20 1x2 M (0.91 MM) CORPACERO</v>
          </cell>
          <cell r="B544" t="str">
            <v>UND</v>
          </cell>
          <cell r="C544">
            <v>47550.3</v>
          </cell>
        </row>
        <row r="545">
          <cell r="A545" t="str">
            <v>LAMINA C.R. CAL. 16 X 2 M (1.52 MM)  CORPACERO</v>
          </cell>
          <cell r="B545" t="str">
            <v>M2</v>
          </cell>
          <cell r="C545">
            <v>2681.7</v>
          </cell>
        </row>
        <row r="546">
          <cell r="A546" t="str">
            <v>LAMINA COLD ROLLED CAL 18 (1.20 MM) 1X2 M</v>
          </cell>
          <cell r="B546" t="str">
            <v>UND</v>
          </cell>
          <cell r="C546">
            <v>56088.9</v>
          </cell>
        </row>
        <row r="547">
          <cell r="A547" t="str">
            <v>LAMINA COLD ROLLED CAL. 14 (1.90 MM) 1 X 2 M</v>
          </cell>
          <cell r="B547" t="str">
            <v>UND</v>
          </cell>
          <cell r="C547">
            <v>80329.2</v>
          </cell>
        </row>
        <row r="548">
          <cell r="A548" t="str">
            <v>LAMINA CR CAL 12 1x2 M (2.66 MM) CORPACERO</v>
          </cell>
          <cell r="B548" t="str">
            <v>UND</v>
          </cell>
          <cell r="C548">
            <v>143149.65</v>
          </cell>
        </row>
        <row r="549">
          <cell r="A549" t="str">
            <v>LAMINA DE ICOPOR LLUVIA 0.61 X 1.22 MTS 18 MM</v>
          </cell>
          <cell r="B549" t="str">
            <v>M2</v>
          </cell>
          <cell r="C549">
            <v>3374.7</v>
          </cell>
        </row>
        <row r="550">
          <cell r="A550" t="str">
            <v>LAMINA GALVANIZADA CAL 16 1 X 2 m</v>
          </cell>
          <cell r="B550" t="str">
            <v>UND</v>
          </cell>
          <cell r="C550">
            <v>89641.65</v>
          </cell>
        </row>
        <row r="551">
          <cell r="A551" t="str">
            <v>LAMINA GALVANIZADA CAL 18 1 X 2 m</v>
          </cell>
          <cell r="B551" t="str">
            <v>UND</v>
          </cell>
          <cell r="C551">
            <v>72397.5</v>
          </cell>
        </row>
        <row r="552">
          <cell r="A552" t="str">
            <v>LAMINA GALVANIZADA CAL 28 1 X 2 M</v>
          </cell>
          <cell r="B552" t="str">
            <v>UND</v>
          </cell>
          <cell r="C552">
            <v>24626.7</v>
          </cell>
        </row>
        <row r="553">
          <cell r="A553" t="str">
            <v>LAMINA GALVANIZADA CAL. 20  1 X 2 M</v>
          </cell>
          <cell r="B553" t="str">
            <v>M2</v>
          </cell>
          <cell r="C553">
            <v>26827.5</v>
          </cell>
        </row>
        <row r="554">
          <cell r="A554" t="str">
            <v>LAMINA GALVANIZADA CAL. 22</v>
          </cell>
          <cell r="B554" t="str">
            <v>un</v>
          </cell>
          <cell r="C554">
            <v>32000</v>
          </cell>
        </row>
        <row r="555">
          <cell r="A555" t="str">
            <v>LAMINA GALVANIZADA CAL. 22  PARA FLANCHE</v>
          </cell>
          <cell r="B555" t="str">
            <v>ML</v>
          </cell>
          <cell r="C555">
            <v>14781</v>
          </cell>
        </row>
        <row r="556">
          <cell r="A556" t="str">
            <v>LAMINA GYPLAC 1.22 X 2.44 (3/8") PZ</v>
          </cell>
          <cell r="B556" t="str">
            <v>UND</v>
          </cell>
          <cell r="C556">
            <v>19215</v>
          </cell>
        </row>
        <row r="557">
          <cell r="A557" t="str">
            <v>LAMINA HR 1/2 1.20 X 2.40 12.7 MM</v>
          </cell>
          <cell r="B557" t="str">
            <v>UND</v>
          </cell>
          <cell r="C557">
            <v>876927.45</v>
          </cell>
        </row>
        <row r="558">
          <cell r="A558" t="str">
            <v>LAMINA HR 1/4 1.0 X  2.0  6.35 MM</v>
          </cell>
          <cell r="B558" t="str">
            <v>UND</v>
          </cell>
          <cell r="C558">
            <v>296197.65000000002</v>
          </cell>
        </row>
        <row r="559">
          <cell r="A559" t="str">
            <v>LAMINA HR 3/16" 1.0 X 2.0  4,76 MM</v>
          </cell>
          <cell r="B559" t="str">
            <v>UND</v>
          </cell>
          <cell r="C559">
            <v>222881.4</v>
          </cell>
        </row>
        <row r="560">
          <cell r="A560" t="str">
            <v>LAMINA HR 3/4 10 X 2.0 19.05 MM</v>
          </cell>
          <cell r="B560" t="str">
            <v>UND</v>
          </cell>
          <cell r="C560">
            <v>941031</v>
          </cell>
        </row>
        <row r="561">
          <cell r="A561" t="str">
            <v>LAMINA HR 3/8 1.20 X 240  9.0 MM</v>
          </cell>
          <cell r="B561" t="str">
            <v>UND</v>
          </cell>
          <cell r="C561">
            <v>634704</v>
          </cell>
        </row>
        <row r="562">
          <cell r="A562" t="str">
            <v>LAMINA HR 5/8 X 1.2 X 2.4 X 15.88 MM</v>
          </cell>
          <cell r="B562" t="str">
            <v>UND</v>
          </cell>
          <cell r="C562">
            <v>1071399</v>
          </cell>
        </row>
        <row r="563">
          <cell r="A563" t="str">
            <v>LAMINA HR A 36  2.5 MM X 1.0  X 2.0</v>
          </cell>
          <cell r="B563" t="str">
            <v>UND</v>
          </cell>
          <cell r="C563">
            <v>98007</v>
          </cell>
        </row>
        <row r="564">
          <cell r="A564" t="str">
            <v>LAMINA HR ALFAJOR 1.00 X3.00 X 3 MM (1/8")</v>
          </cell>
          <cell r="B564" t="str">
            <v>M2</v>
          </cell>
          <cell r="C564">
            <v>72034.2</v>
          </cell>
        </row>
        <row r="565">
          <cell r="A565" t="str">
            <v>LAMPARA LED SUMERGIBLE 30 LED 12 W IP68</v>
          </cell>
          <cell r="B565" t="str">
            <v>UN</v>
          </cell>
          <cell r="C565">
            <v>425690</v>
          </cell>
        </row>
        <row r="566">
          <cell r="A566" t="str">
            <v>LAMPARA T8 2*32</v>
          </cell>
          <cell r="B566" t="str">
            <v>UN</v>
          </cell>
          <cell r="C566">
            <v>48600</v>
          </cell>
        </row>
        <row r="567">
          <cell r="A567" t="str">
            <v>LAMPARA T8 4*32</v>
          </cell>
          <cell r="B567" t="str">
            <v>UN</v>
          </cell>
          <cell r="C567">
            <v>68900</v>
          </cell>
        </row>
        <row r="568">
          <cell r="A568" t="str">
            <v>LAVADO CON ACIDO FOSFORICO</v>
          </cell>
          <cell r="B568" t="str">
            <v>M2</v>
          </cell>
          <cell r="C568">
            <v>4699.8</v>
          </cell>
        </row>
        <row r="569">
          <cell r="A569" t="str">
            <v>LAVAMANOS EMPOTRAR MARSELLA CORONA  REF. 01301100</v>
          </cell>
          <cell r="B569" t="str">
            <v>UND</v>
          </cell>
          <cell r="C569">
            <v>100935.45</v>
          </cell>
        </row>
        <row r="570">
          <cell r="A570" t="str">
            <v>LAVAPLATOS 60X40 INC GRIFERIA SIFON Y CANASTILLA</v>
          </cell>
          <cell r="B570" t="str">
            <v>UND</v>
          </cell>
          <cell r="C570">
            <v>104403.6</v>
          </cell>
        </row>
        <row r="571">
          <cell r="A571" t="str">
            <v>LAVAPLATOS SOBREPONER ACERO 120 x 60 SOCODA</v>
          </cell>
          <cell r="B571" t="str">
            <v>UND</v>
          </cell>
          <cell r="C571">
            <v>215145</v>
          </cell>
        </row>
        <row r="572">
          <cell r="A572" t="str">
            <v>LECHADA PARA DUCTOS  (TENSIONAMIENTO)</v>
          </cell>
          <cell r="B572" t="str">
            <v>LT</v>
          </cell>
          <cell r="C572">
            <v>900</v>
          </cell>
        </row>
        <row r="573">
          <cell r="A573" t="str">
            <v>LIJA DE AGUA</v>
          </cell>
          <cell r="B573" t="str">
            <v>UND</v>
          </cell>
          <cell r="C573">
            <v>1260</v>
          </cell>
        </row>
        <row r="574">
          <cell r="A574" t="str">
            <v>LIJA PARA MADERA</v>
          </cell>
          <cell r="B574" t="str">
            <v>UND</v>
          </cell>
          <cell r="C574">
            <v>1260</v>
          </cell>
        </row>
        <row r="575">
          <cell r="A575" t="str">
            <v>LIMPIADOR</v>
          </cell>
          <cell r="B575" t="str">
            <v>GAL</v>
          </cell>
          <cell r="C575">
            <v>600</v>
          </cell>
        </row>
        <row r="576">
          <cell r="A576" t="str">
            <v>LIMPIADOR 1/4 SOLDATUBOS</v>
          </cell>
          <cell r="B576" t="str">
            <v>GLN</v>
          </cell>
          <cell r="C576">
            <v>27195</v>
          </cell>
        </row>
        <row r="577">
          <cell r="A577" t="str">
            <v>LIMPIADOR 70-70</v>
          </cell>
          <cell r="B577" t="str">
            <v>UND</v>
          </cell>
          <cell r="C577">
            <v>1575</v>
          </cell>
        </row>
        <row r="578">
          <cell r="A578" t="str">
            <v>LIMPIADOR REMOVEDOR 1/8 NOVAFORT PAVCO</v>
          </cell>
          <cell r="B578" t="str">
            <v>UND</v>
          </cell>
          <cell r="C578">
            <v>17500</v>
          </cell>
        </row>
        <row r="579">
          <cell r="A579" t="str">
            <v>LISTELLO SALPICON 10 * 30 BLANCO CORONA</v>
          </cell>
          <cell r="B579" t="str">
            <v>UND</v>
          </cell>
          <cell r="C579">
            <v>7891.8</v>
          </cell>
        </row>
        <row r="580">
          <cell r="A580" t="str">
            <v>LISTON 0.05 X 0.05 X 3.0 M ORDINARIO</v>
          </cell>
          <cell r="B580" t="str">
            <v>ML</v>
          </cell>
          <cell r="C580">
            <v>1661</v>
          </cell>
        </row>
        <row r="581">
          <cell r="A581" t="str">
            <v>LISTON 0.05X0.10  ZAPÁN</v>
          </cell>
          <cell r="B581" t="str">
            <v>ML</v>
          </cell>
          <cell r="C581">
            <v>9660</v>
          </cell>
        </row>
        <row r="582">
          <cell r="A582" t="str">
            <v>LISTON 5X5  ZAPÁN</v>
          </cell>
          <cell r="B582" t="str">
            <v>ML</v>
          </cell>
          <cell r="C582">
            <v>8925</v>
          </cell>
        </row>
        <row r="583">
          <cell r="A583" t="str">
            <v>LISTON MACHIHEMBRADO MADERA GUAIMARAMO E= 20 MM</v>
          </cell>
          <cell r="B583" t="str">
            <v>M2</v>
          </cell>
          <cell r="C583">
            <v>14805</v>
          </cell>
        </row>
        <row r="584">
          <cell r="A584" t="str">
            <v>LLAVE TERMINAL 1/2 TIPO T PESADA GRIVAL</v>
          </cell>
          <cell r="B584" t="str">
            <v>UND</v>
          </cell>
          <cell r="C584">
            <v>18931.5</v>
          </cell>
        </row>
        <row r="585">
          <cell r="A585" t="str">
            <v>LOSETA A - 40 600 X 200 X 600 MM</v>
          </cell>
          <cell r="B585" t="str">
            <v>UND</v>
          </cell>
          <cell r="C585">
            <v>5418</v>
          </cell>
        </row>
        <row r="586">
          <cell r="A586" t="str">
            <v>LOSETA A - 50  0.4.4 * 0.06 TIPO IDU</v>
          </cell>
          <cell r="B586" t="str">
            <v>UND</v>
          </cell>
          <cell r="C586">
            <v>7245</v>
          </cell>
        </row>
        <row r="587">
          <cell r="A587" t="str">
            <v>LUMINARIA ABIERTO INDULUX AA</v>
          </cell>
          <cell r="B587" t="str">
            <v>UN</v>
          </cell>
          <cell r="C587">
            <v>360870</v>
          </cell>
        </row>
        <row r="588">
          <cell r="A588" t="str">
            <v>LUMINARIA DECOR T. ISLA SCHREDER FV 70W 208/220V</v>
          </cell>
          <cell r="B588" t="str">
            <v>UN</v>
          </cell>
          <cell r="C588">
            <v>776820</v>
          </cell>
        </row>
        <row r="589">
          <cell r="A589" t="str">
            <v>LUMINARIA SODIO 150 W CALIMA CERRADA CON BASE</v>
          </cell>
          <cell r="B589" t="str">
            <v>UN</v>
          </cell>
          <cell r="C589">
            <v>242150</v>
          </cell>
        </row>
        <row r="590">
          <cell r="A590" t="str">
            <v>LUMINARIA SODIO 70 W CERRADA CON BASE FOTOCELDA</v>
          </cell>
          <cell r="B590" t="str">
            <v>UN</v>
          </cell>
          <cell r="C590">
            <v>180050</v>
          </cell>
        </row>
        <row r="591">
          <cell r="A591" t="str">
            <v>LUMINARIA TERRA 1404 N 70 208/20 S.P.</v>
          </cell>
          <cell r="B591" t="str">
            <v>UN</v>
          </cell>
          <cell r="C591">
            <v>970460</v>
          </cell>
        </row>
        <row r="592">
          <cell r="A592" t="str">
            <v>LUMINARIA TERRA DURA Z-1/MH 150 W 220V SCHREDER</v>
          </cell>
          <cell r="B592" t="str">
            <v>UN</v>
          </cell>
          <cell r="C592">
            <v>1050125</v>
          </cell>
        </row>
        <row r="593">
          <cell r="A593" t="str">
            <v>LUMINARIA TERRA-MIDI N 70 208/220 S.P. VIDRIO OPAL</v>
          </cell>
          <cell r="B593" t="str">
            <v>UN</v>
          </cell>
          <cell r="C593">
            <v>821250</v>
          </cell>
        </row>
        <row r="594">
          <cell r="A594" t="str">
            <v>LUMINARIA TIPO CALIMA II ROY ALPHA</v>
          </cell>
          <cell r="B594" t="str">
            <v>UN</v>
          </cell>
          <cell r="C594">
            <v>249230</v>
          </cell>
        </row>
        <row r="595">
          <cell r="A595" t="str">
            <v>LUMINARIA TIPO DJK</v>
          </cell>
          <cell r="B595" t="str">
            <v>UN</v>
          </cell>
          <cell r="C595">
            <v>309550</v>
          </cell>
        </row>
        <row r="596">
          <cell r="A596" t="str">
            <v>LUMINARIA TIPO RAP 150 WATT</v>
          </cell>
          <cell r="B596" t="str">
            <v>UN</v>
          </cell>
          <cell r="C596">
            <v>513980</v>
          </cell>
        </row>
        <row r="597">
          <cell r="A597" t="str">
            <v>LUMINARIA TIPO RAP 70 WATT</v>
          </cell>
          <cell r="B597" t="str">
            <v>UN</v>
          </cell>
          <cell r="C597">
            <v>474150</v>
          </cell>
        </row>
        <row r="598">
          <cell r="A598" t="str">
            <v>MADERA ROLLIZA DIAMETRO 0.12 M PINO</v>
          </cell>
          <cell r="B598" t="str">
            <v>ML</v>
          </cell>
          <cell r="C598">
            <v>8925</v>
          </cell>
        </row>
        <row r="599">
          <cell r="A599" t="str">
            <v>MALLA BASKET</v>
          </cell>
          <cell r="B599" t="str">
            <v>UN</v>
          </cell>
          <cell r="C599">
            <v>3150</v>
          </cell>
        </row>
        <row r="600">
          <cell r="A600" t="str">
            <v>MALLA CON VENA C.34 (0.5X2)</v>
          </cell>
          <cell r="B600" t="str">
            <v>M2</v>
          </cell>
          <cell r="C600">
            <v>4147.5</v>
          </cell>
        </row>
        <row r="601">
          <cell r="A601" t="str">
            <v>MALLA ELECTROSOLDADA 4 MM 0.15X0.15 (MO84/Q2) 6X 2.35 M</v>
          </cell>
          <cell r="B601" t="str">
            <v>M2</v>
          </cell>
          <cell r="C601">
            <v>2863.35</v>
          </cell>
        </row>
        <row r="602">
          <cell r="A602" t="str">
            <v>MALLA ELECTROSOLDADA 5MM 15 * 15  4 (M131/D - 205/Q3.1) 6 X 2.5 M</v>
          </cell>
          <cell r="B602" t="str">
            <v>M2</v>
          </cell>
          <cell r="C602">
            <v>6241.2</v>
          </cell>
        </row>
        <row r="603">
          <cell r="A603" t="str">
            <v>MALLA ELECTROSOLDADA 6 MM H=15 * 15  - 6 X 2.35 MTS - 14.10 M2 - 42.2 KG</v>
          </cell>
          <cell r="B603" t="str">
            <v>UND</v>
          </cell>
          <cell r="C603">
            <v>127890</v>
          </cell>
        </row>
        <row r="604">
          <cell r="A604" t="str">
            <v>MALLA ELECTROSOLDADA 7 MM 0.15X0.15 (M262/Q6.1)</v>
          </cell>
          <cell r="B604" t="str">
            <v>M2</v>
          </cell>
          <cell r="C604">
            <v>8652</v>
          </cell>
        </row>
        <row r="605">
          <cell r="A605" t="str">
            <v>MALLA ELECTROSOLDADA DIACO 203 0.15X0.15 4MM M-084</v>
          </cell>
          <cell r="B605" t="str">
            <v>UND</v>
          </cell>
          <cell r="C605">
            <v>46381.440000000002</v>
          </cell>
        </row>
        <row r="606">
          <cell r="A606" t="str">
            <v>MALLA ELECTROSOLDADA fy= 500 MPa (PROMEDIO)</v>
          </cell>
          <cell r="B606" t="str">
            <v>KG</v>
          </cell>
          <cell r="C606">
            <v>2730</v>
          </cell>
        </row>
        <row r="607">
          <cell r="A607" t="str">
            <v>MALLA ELECTROSOLDADA S=150x150mm, Ø=5x5mm</v>
          </cell>
          <cell r="B607" t="str">
            <v>KG</v>
          </cell>
          <cell r="C607">
            <v>2320</v>
          </cell>
        </row>
        <row r="608">
          <cell r="A608" t="str">
            <v>MALLA ELECTROSOLDADA S=250x250mm, Ø=4x4mm</v>
          </cell>
          <cell r="B608" t="str">
            <v>KG</v>
          </cell>
          <cell r="C608">
            <v>3187</v>
          </cell>
        </row>
        <row r="609">
          <cell r="A609" t="str">
            <v>MALLA ESLABONADA 2" X 2" NR 10, 3, 4 MM</v>
          </cell>
          <cell r="B609" t="str">
            <v>UND</v>
          </cell>
          <cell r="C609">
            <v>11614.05</v>
          </cell>
        </row>
        <row r="610">
          <cell r="A610" t="str">
            <v>MALLA GAVION 2 X 1 X 1 GALVANIZADA CON RECUBRIMIENTO EN PVC TRIPLE TORSIÓN</v>
          </cell>
          <cell r="B610" t="str">
            <v>M3</v>
          </cell>
          <cell r="C610">
            <v>90115</v>
          </cell>
        </row>
        <row r="611">
          <cell r="A611" t="str">
            <v>MALLA NYLON GRUESA MICRO FULTBOLL</v>
          </cell>
          <cell r="B611" t="str">
            <v>UN</v>
          </cell>
          <cell r="C611">
            <v>105000</v>
          </cell>
        </row>
        <row r="612">
          <cell r="A612" t="str">
            <v>MALLA PARA GAVION 2 X 1 X 0.3 / 10X10 / 2.7 MM CAL. 12 RECUBRIMIENTO Zn (260 Gr/M2 )</v>
          </cell>
          <cell r="B612" t="str">
            <v>UND</v>
          </cell>
          <cell r="C612">
            <v>68793</v>
          </cell>
        </row>
        <row r="613">
          <cell r="A613" t="str">
            <v>MALLA PARA GAVION 2 X 1 X 0.5 / 10X12 / 2.4 MM CAL. 13 RECUBRIMIENTO Zn (260 Gr/M2 )</v>
          </cell>
          <cell r="B613" t="str">
            <v>UND</v>
          </cell>
          <cell r="C613">
            <v>53890</v>
          </cell>
        </row>
        <row r="614">
          <cell r="A614" t="str">
            <v>MALLA PARA GAVION 2 X 1 X 1 / 10X12 / 2.4 MM CAL. 13 RECUBRIMIENTO Zn (260 Gr/M2 )</v>
          </cell>
          <cell r="B614" t="str">
            <v>UND</v>
          </cell>
          <cell r="C614">
            <v>93247</v>
          </cell>
        </row>
        <row r="615">
          <cell r="A615" t="str">
            <v>MALLA PARA GAVION 2 X 1 X 1 / 10X12 / 2.7 MM CAL. 12 RECUBRIMIENTO Zn (260 Gr/M2 )</v>
          </cell>
          <cell r="B615" t="str">
            <v>UND</v>
          </cell>
          <cell r="C615">
            <v>108097.5</v>
          </cell>
        </row>
        <row r="616">
          <cell r="A616" t="str">
            <v>MALLA PARA GAVION 4 X 2 X 0.3 / 6X8 / 2.2 MM CAL. 14.5 RECUBRIMIENTO Zn (260 Gr/M2 )</v>
          </cell>
          <cell r="B616" t="str">
            <v>UND</v>
          </cell>
          <cell r="C616">
            <v>205080.75</v>
          </cell>
        </row>
        <row r="617">
          <cell r="A617" t="str">
            <v>MALLA PARA GAVION 4 X 2 X 0.3 / 8X10 / 2.4 MM CAL. 13 RECUBRIMIENTO Zn (260 Gr/M2 )</v>
          </cell>
          <cell r="B617" t="str">
            <v>UND</v>
          </cell>
          <cell r="C617">
            <v>185415</v>
          </cell>
        </row>
        <row r="618">
          <cell r="A618" t="str">
            <v>MALLA POLISOMBRA AL  80% X 4 M DE ANCHO</v>
          </cell>
          <cell r="B618" t="str">
            <v>M2</v>
          </cell>
          <cell r="C618">
            <v>2088.4499999999998</v>
          </cell>
        </row>
        <row r="619">
          <cell r="A619" t="str">
            <v>MANIJA ALUMINIO VENTANA</v>
          </cell>
          <cell r="B619" t="str">
            <v>UND</v>
          </cell>
          <cell r="C619">
            <v>6759.9</v>
          </cell>
        </row>
        <row r="620">
          <cell r="A620" t="str">
            <v>MANILAS</v>
          </cell>
          <cell r="B620" t="str">
            <v>DIA</v>
          </cell>
          <cell r="C620">
            <v>5500</v>
          </cell>
        </row>
        <row r="621">
          <cell r="A621" t="str">
            <v>MANTO MORTERPLAS 3 MM AL - 300</v>
          </cell>
          <cell r="B621" t="str">
            <v>M2</v>
          </cell>
          <cell r="C621">
            <v>14910</v>
          </cell>
        </row>
        <row r="622">
          <cell r="A622" t="str">
            <v>MARCO DE PUERTA CAL 20</v>
          </cell>
          <cell r="B622" t="str">
            <v>ML</v>
          </cell>
          <cell r="C622">
            <v>3692.85</v>
          </cell>
        </row>
        <row r="623">
          <cell r="A623" t="str">
            <v>MARCO E - 7 REJILLA PERSIANA EN ALUMINIO</v>
          </cell>
          <cell r="B623" t="str">
            <v>M2</v>
          </cell>
          <cell r="C623">
            <v>115500</v>
          </cell>
        </row>
        <row r="624">
          <cell r="A624" t="str">
            <v>MARCO PUERTA MADERA CEDRO BLANCO 2.1 X 0.9 E - 0.1 M</v>
          </cell>
          <cell r="B624" t="str">
            <v>UND</v>
          </cell>
          <cell r="C624">
            <v>88095</v>
          </cell>
        </row>
        <row r="625">
          <cell r="A625" t="str">
            <v>MARCO VENTANA CORREDERA CAL 20</v>
          </cell>
          <cell r="B625" t="str">
            <v>ML</v>
          </cell>
          <cell r="C625">
            <v>6686.4</v>
          </cell>
        </row>
        <row r="626">
          <cell r="A626" t="str">
            <v>MARCO Y TAPA CAJA DE INSPECCIÓN CS 274</v>
          </cell>
          <cell r="B626" t="str">
            <v>UND</v>
          </cell>
          <cell r="C626">
            <v>189471</v>
          </cell>
        </row>
        <row r="627">
          <cell r="A627" t="str">
            <v>MARCO Y TAPA CAMARA CS 275</v>
          </cell>
          <cell r="B627" t="str">
            <v>UND</v>
          </cell>
          <cell r="C627">
            <v>326850</v>
          </cell>
        </row>
        <row r="628">
          <cell r="A628" t="str">
            <v>MARCO Y TAPA CAMARA CS 276</v>
          </cell>
          <cell r="B628" t="str">
            <v>UND</v>
          </cell>
          <cell r="C628">
            <v>594800</v>
          </cell>
        </row>
        <row r="629">
          <cell r="A629" t="str">
            <v>MARMOLINA ( 50 KILOS)</v>
          </cell>
          <cell r="B629" t="str">
            <v>KG</v>
          </cell>
          <cell r="C629">
            <v>262.5</v>
          </cell>
        </row>
        <row r="630">
          <cell r="A630" t="str">
            <v>MARMOLINA BULTO (40 KG)</v>
          </cell>
          <cell r="B630" t="str">
            <v>BLT</v>
          </cell>
          <cell r="C630">
            <v>8400</v>
          </cell>
        </row>
        <row r="631">
          <cell r="A631" t="str">
            <v>MASILLA</v>
          </cell>
          <cell r="B631" t="str">
            <v>GLN</v>
          </cell>
          <cell r="C631">
            <v>61238</v>
          </cell>
        </row>
        <row r="632">
          <cell r="A632" t="str">
            <v>MASILLA PARA GYPLAC SUPERMASTICO (5GL)</v>
          </cell>
          <cell r="B632" t="str">
            <v>GLN</v>
          </cell>
          <cell r="C632">
            <v>8757</v>
          </cell>
        </row>
        <row r="633">
          <cell r="A633" t="str">
            <v>MASTERSAL 485 * 20KG</v>
          </cell>
          <cell r="B633" t="str">
            <v>UND</v>
          </cell>
          <cell r="C633">
            <v>195300</v>
          </cell>
        </row>
        <row r="634">
          <cell r="A634" t="str">
            <v>MASTIL MET DE 12 M GAL CON BRAZO RETORNEADO Y REF</v>
          </cell>
          <cell r="B634" t="str">
            <v>UN</v>
          </cell>
          <cell r="C634">
            <v>1870000</v>
          </cell>
        </row>
        <row r="635">
          <cell r="A635" t="str">
            <v>MASTIL MET DE 9 M GAL CON BRAZO RETORNEADO Y REF</v>
          </cell>
          <cell r="B635" t="str">
            <v>UN</v>
          </cell>
          <cell r="C635">
            <v>1372500</v>
          </cell>
        </row>
        <row r="636">
          <cell r="A636" t="str">
            <v>MATERIAL CRUDO DE RIO 5"</v>
          </cell>
          <cell r="B636" t="str">
            <v>M3</v>
          </cell>
          <cell r="C636">
            <v>23789</v>
          </cell>
        </row>
        <row r="637">
          <cell r="A637" t="str">
            <v>MATERIAL DE ARRASTRE CRUDO</v>
          </cell>
          <cell r="B637" t="str">
            <v>M3</v>
          </cell>
          <cell r="C637">
            <v>20111</v>
          </cell>
        </row>
        <row r="638">
          <cell r="A638" t="str">
            <v>MATERIAL DE PRESTAMO Y/O ARRECIFE SELECCIONADO 3"</v>
          </cell>
          <cell r="B638" t="str">
            <v>M3</v>
          </cell>
          <cell r="C638">
            <v>7233</v>
          </cell>
        </row>
        <row r="639">
          <cell r="A639" t="str">
            <v>MATERIAL DE PRESTAMOS LATERALES</v>
          </cell>
          <cell r="B639" t="str">
            <v>M3</v>
          </cell>
          <cell r="C639">
            <v>5150</v>
          </cell>
        </row>
        <row r="640">
          <cell r="A640" t="str">
            <v>MATERIAL DE RIO MIXTO SIN PROCESAR HASTA 3"</v>
          </cell>
          <cell r="B640" t="str">
            <v>M3</v>
          </cell>
          <cell r="C640">
            <v>8800</v>
          </cell>
        </row>
        <row r="641">
          <cell r="A641" t="str">
            <v>MATERIAL SELECCIONADO DE RIO HASTA 2"</v>
          </cell>
          <cell r="B641" t="str">
            <v>M3</v>
          </cell>
          <cell r="C641">
            <v>27300</v>
          </cell>
        </row>
        <row r="642">
          <cell r="A642" t="str">
            <v>MEMBRANA POLIESTER SIKAFELT</v>
          </cell>
          <cell r="B642" t="str">
            <v>M2</v>
          </cell>
          <cell r="C642">
            <v>1858.5</v>
          </cell>
        </row>
        <row r="643">
          <cell r="A643" t="str">
            <v>MERULEX I.F.S. TRANSPARENTE 3 KG</v>
          </cell>
          <cell r="B643" t="str">
            <v>KG</v>
          </cell>
          <cell r="C643">
            <v>45276</v>
          </cell>
        </row>
        <row r="644">
          <cell r="A644" t="str">
            <v>METALDECK - 2 - CALIBRE 18 (0.94) ACESCO</v>
          </cell>
          <cell r="B644" t="str">
            <v>M2</v>
          </cell>
          <cell r="C644">
            <v>45928.05</v>
          </cell>
        </row>
        <row r="645">
          <cell r="A645" t="str">
            <v>METALDECK - 2 - CALIBRE 20 (0.94) ACESCO</v>
          </cell>
          <cell r="B645" t="str">
            <v>M2</v>
          </cell>
          <cell r="C645">
            <v>32865</v>
          </cell>
        </row>
        <row r="646">
          <cell r="A646" t="str">
            <v>METALDECK 2" CAL. 22</v>
          </cell>
          <cell r="B646" t="str">
            <v>M2</v>
          </cell>
          <cell r="C646">
            <v>45822</v>
          </cell>
        </row>
        <row r="647">
          <cell r="A647" t="str">
            <v>MEZCLA DENSA EN CALIENTE MDC-1 DE PLANTA.</v>
          </cell>
          <cell r="B647" t="str">
            <v>M3</v>
          </cell>
          <cell r="C647">
            <v>346780</v>
          </cell>
        </row>
        <row r="648">
          <cell r="A648" t="str">
            <v>MEZCLA DENSA EN CALIENTE MDC-2 DE PLANTA.</v>
          </cell>
          <cell r="B648" t="str">
            <v>M3</v>
          </cell>
          <cell r="C648">
            <v>368990</v>
          </cell>
        </row>
        <row r="649">
          <cell r="A649" t="str">
            <v>MEZCLA DENSA EN CALIENTE MDC-3 DE PLANTA.</v>
          </cell>
          <cell r="B649" t="str">
            <v>M3</v>
          </cell>
          <cell r="C649">
            <v>380125</v>
          </cell>
        </row>
        <row r="650">
          <cell r="A650" t="str">
            <v>MICROESFERAS</v>
          </cell>
          <cell r="B650" t="str">
            <v>KG</v>
          </cell>
          <cell r="C650">
            <v>40792.5</v>
          </cell>
        </row>
        <row r="651">
          <cell r="A651" t="str">
            <v>MINERAL ALEMAN</v>
          </cell>
          <cell r="B651" t="str">
            <v>KG</v>
          </cell>
          <cell r="C651">
            <v>8421</v>
          </cell>
        </row>
        <row r="652">
          <cell r="A652" t="str">
            <v>MINERAL AMERICANO</v>
          </cell>
          <cell r="B652" t="str">
            <v>KG</v>
          </cell>
          <cell r="C652">
            <v>8946</v>
          </cell>
        </row>
        <row r="653">
          <cell r="A653" t="str">
            <v>MORTERO 1:3  MEZCLA EN OBRA</v>
          </cell>
          <cell r="B653" t="str">
            <v>M3</v>
          </cell>
          <cell r="C653">
            <v>350470</v>
          </cell>
        </row>
        <row r="654">
          <cell r="A654" t="str">
            <v>MORTERO 1:4  MEZCLA EN OBRA</v>
          </cell>
          <cell r="B654" t="str">
            <v>M3</v>
          </cell>
          <cell r="C654">
            <v>324658</v>
          </cell>
        </row>
        <row r="655">
          <cell r="A655" t="str">
            <v>MORTERO 1:4 IMPERMEABILIZADO MEZCLA EN OBRA</v>
          </cell>
          <cell r="B655" t="str">
            <v>M3</v>
          </cell>
          <cell r="C655">
            <v>402891</v>
          </cell>
        </row>
        <row r="656">
          <cell r="A656" t="str">
            <v>MORTERO 1:5  MEZCLA EN OBRA</v>
          </cell>
          <cell r="B656" t="str">
            <v>M3</v>
          </cell>
          <cell r="C656">
            <v>268753</v>
          </cell>
        </row>
        <row r="657">
          <cell r="A657" t="str">
            <v>MORTERO 2000 PSI (140 Kg/cm2)</v>
          </cell>
          <cell r="B657" t="str">
            <v>M3</v>
          </cell>
          <cell r="C657">
            <v>327120</v>
          </cell>
        </row>
        <row r="658">
          <cell r="A658" t="str">
            <v>MORTERO LISTO IMPERMEABLE PARA NIVELACIÓN DE PISOS SIKALISTO PISO</v>
          </cell>
          <cell r="B658" t="str">
            <v>KG</v>
          </cell>
          <cell r="C658">
            <v>1270</v>
          </cell>
        </row>
        <row r="659">
          <cell r="A659" t="str">
            <v>MOTOBOMBA BARNES MOD 2020HCE 7,5 HP TRIFASICA</v>
          </cell>
          <cell r="B659" t="str">
            <v>UN</v>
          </cell>
          <cell r="C659">
            <v>2312484</v>
          </cell>
        </row>
        <row r="660">
          <cell r="A660" t="str">
            <v>NEOPRENO DUREZA 60 E IGUAL 1" (M2)</v>
          </cell>
          <cell r="B660" t="str">
            <v>M2</v>
          </cell>
          <cell r="C660">
            <v>747852</v>
          </cell>
        </row>
        <row r="661">
          <cell r="A661" t="str">
            <v>NEOPRENO DUREZA 60, 50 X 40 X 2.5 CMS</v>
          </cell>
          <cell r="B661" t="str">
            <v>UND</v>
          </cell>
          <cell r="C661">
            <v>129150</v>
          </cell>
        </row>
        <row r="662">
          <cell r="A662" t="str">
            <v>NEOPRENO DUREZA 60, 50 X 40 X 5 CMS</v>
          </cell>
          <cell r="B662" t="str">
            <v>UND</v>
          </cell>
          <cell r="C662">
            <v>291880</v>
          </cell>
        </row>
        <row r="663">
          <cell r="A663" t="str">
            <v>NEOPRENO DUREZA 60, 65 X 45 X 6 CMS  4 LAMINAS METALICAS 1/8"</v>
          </cell>
          <cell r="B663" t="str">
            <v>UND</v>
          </cell>
          <cell r="C663">
            <v>764904</v>
          </cell>
        </row>
        <row r="664">
          <cell r="A664" t="str">
            <v>NEOPRENO DUREZA 60, 70 X 70 X 10 CMS  5 LAMINAS METALICAS 1/8"</v>
          </cell>
          <cell r="B664" t="str">
            <v>UND</v>
          </cell>
          <cell r="C664">
            <v>1969506</v>
          </cell>
        </row>
        <row r="665">
          <cell r="A665" t="str">
            <v>NEOPRENO DUREZA 60, 70 X 70 X 20 CMS  8 LAMINAS METALICAS 1/8"</v>
          </cell>
          <cell r="B665" t="str">
            <v>UND</v>
          </cell>
          <cell r="C665">
            <v>3410400</v>
          </cell>
        </row>
        <row r="666">
          <cell r="A666" t="str">
            <v>NIPLE GALVANIZADO 1/2" X 5 CMS</v>
          </cell>
          <cell r="B666" t="str">
            <v>UND</v>
          </cell>
          <cell r="C666">
            <v>1050</v>
          </cell>
        </row>
        <row r="667">
          <cell r="A667" t="str">
            <v>ORINAL GOTTA BLANCO INCLUYE GRIFERIA ANTIVANDALICA PUHS CORONA</v>
          </cell>
          <cell r="B667" t="str">
            <v>UND</v>
          </cell>
          <cell r="C667">
            <v>480876.9</v>
          </cell>
        </row>
        <row r="668">
          <cell r="A668" t="str">
            <v>ORINAL MEDIANO PARA FLUXOMETRO BLANCO REF 08862100</v>
          </cell>
          <cell r="B668" t="str">
            <v>UND</v>
          </cell>
          <cell r="C668">
            <v>191100</v>
          </cell>
        </row>
        <row r="669">
          <cell r="A669" t="str">
            <v>PARARRAYOS 12 KV - 10 KA</v>
          </cell>
          <cell r="B669" t="str">
            <v>UN</v>
          </cell>
          <cell r="C669">
            <v>88740</v>
          </cell>
        </row>
        <row r="670">
          <cell r="A670" t="str">
            <v>PARED VALENCIA BEIGE/BLANCO 20.5X30.5 CORONA</v>
          </cell>
          <cell r="B670" t="str">
            <v>M2</v>
          </cell>
          <cell r="C670">
            <v>20895</v>
          </cell>
        </row>
        <row r="671">
          <cell r="A671" t="str">
            <v>PATERNIT 1/8 GALON PROVICOL</v>
          </cell>
          <cell r="B671" t="str">
            <v>GLN</v>
          </cell>
          <cell r="C671">
            <v>14700</v>
          </cell>
        </row>
        <row r="672">
          <cell r="A672" t="str">
            <v>PEGACOR 1 - 10 BLANCO CORONA</v>
          </cell>
          <cell r="B672" t="str">
            <v>KG</v>
          </cell>
          <cell r="C672">
            <v>1050</v>
          </cell>
        </row>
        <row r="673">
          <cell r="A673" t="str">
            <v>PEGACOR GRIS CORONA O ADHEBAL BA BASF</v>
          </cell>
          <cell r="B673" t="str">
            <v>KG</v>
          </cell>
          <cell r="C673">
            <v>1822.8</v>
          </cell>
        </row>
        <row r="674">
          <cell r="A674" t="str">
            <v>PEGACOR MAX 25 KG CORONA</v>
          </cell>
          <cell r="B674" t="str">
            <v>KG</v>
          </cell>
          <cell r="C674">
            <v>1995</v>
          </cell>
        </row>
        <row r="675">
          <cell r="A675" t="str">
            <v>PEGANTE COLBON MADERA</v>
          </cell>
          <cell r="B675" t="str">
            <v>GLN</v>
          </cell>
          <cell r="C675">
            <v>39900</v>
          </cell>
        </row>
        <row r="676">
          <cell r="A676" t="str">
            <v>PEGANTE DENSO FIBRATEX</v>
          </cell>
          <cell r="B676" t="str">
            <v>GLN</v>
          </cell>
          <cell r="C676">
            <v>15015</v>
          </cell>
        </row>
        <row r="677">
          <cell r="A677" t="str">
            <v>PEGANTE EPOXICO</v>
          </cell>
          <cell r="B677" t="str">
            <v>KG</v>
          </cell>
          <cell r="C677">
            <v>49500</v>
          </cell>
        </row>
        <row r="678">
          <cell r="A678" t="str">
            <v>PEGANTE SELLANTE FUERZA MEDIA</v>
          </cell>
          <cell r="B678" t="str">
            <v>M2</v>
          </cell>
          <cell r="C678">
            <v>34965</v>
          </cell>
        </row>
        <row r="679">
          <cell r="A679" t="str">
            <v>PERCHA DE CUATRO PUESTOS PESADA</v>
          </cell>
          <cell r="B679" t="str">
            <v>UN</v>
          </cell>
          <cell r="C679">
            <v>28600</v>
          </cell>
        </row>
        <row r="680">
          <cell r="A680" t="str">
            <v>PERCHA DE TRES PUESTOS LIVIANA</v>
          </cell>
          <cell r="B680" t="str">
            <v>UN</v>
          </cell>
          <cell r="C680">
            <v>5300</v>
          </cell>
        </row>
        <row r="681">
          <cell r="A681" t="str">
            <v>PERCHA PORTA AISLADOR DE UN PUESTO</v>
          </cell>
          <cell r="B681" t="str">
            <v>UN</v>
          </cell>
          <cell r="C681">
            <v>5642</v>
          </cell>
        </row>
        <row r="682">
          <cell r="A682" t="str">
            <v>PERFIL  RECTANGULAR PHR NEGRO  120 X 60 X 3 MM CALIBRE 11</v>
          </cell>
          <cell r="B682" t="str">
            <v>ML</v>
          </cell>
          <cell r="C682">
            <v>26788.65</v>
          </cell>
        </row>
        <row r="683">
          <cell r="A683" t="str">
            <v>PERFIL ASTM  A - 500 GRADO C (PESOS PROMEDIO RECTANGULO</v>
          </cell>
          <cell r="B683" t="str">
            <v>KG</v>
          </cell>
          <cell r="C683">
            <v>3643.5</v>
          </cell>
        </row>
        <row r="684">
          <cell r="A684" t="str">
            <v>PERFIL C PHR NEGRO 100x50x1.2 MM CAL. 18</v>
          </cell>
          <cell r="B684" t="str">
            <v>ML</v>
          </cell>
          <cell r="C684">
            <v>5924.1</v>
          </cell>
        </row>
        <row r="685">
          <cell r="A685" t="str">
            <v>PERFIL C PHR NEGRO 120 X 60 X 30 MM C1 G50</v>
          </cell>
          <cell r="B685" t="str">
            <v>ML</v>
          </cell>
          <cell r="C685">
            <v>21840</v>
          </cell>
        </row>
        <row r="686">
          <cell r="A686" t="str">
            <v>PERFIL C PHR NEGRO 160x60x2.5 MM CAL 12</v>
          </cell>
          <cell r="B686" t="str">
            <v>ML</v>
          </cell>
          <cell r="C686">
            <v>18379.87</v>
          </cell>
        </row>
        <row r="687">
          <cell r="A687" t="str">
            <v>PERFIL C PHR NEGRO 305 X 80 X 2 MM (COLMENA)</v>
          </cell>
          <cell r="B687" t="str">
            <v>ML</v>
          </cell>
          <cell r="C687">
            <v>23643.9</v>
          </cell>
        </row>
        <row r="688">
          <cell r="A688" t="str">
            <v>PERFIL CAJON PHR  NEGRO 305 X 80 X 2.5 MM C 12</v>
          </cell>
          <cell r="B688" t="str">
            <v>ML</v>
          </cell>
          <cell r="C688">
            <v>69825</v>
          </cell>
        </row>
        <row r="689">
          <cell r="A689" t="str">
            <v>PERFIL CANAL 90MM*2.44 MT CAL. 26 (PARED)</v>
          </cell>
          <cell r="B689" t="str">
            <v>UND</v>
          </cell>
          <cell r="C689">
            <v>9074.1</v>
          </cell>
        </row>
        <row r="690">
          <cell r="A690" t="str">
            <v>PERFIL CERRADO  150 X 100 6 MM</v>
          </cell>
          <cell r="B690" t="str">
            <v>ML</v>
          </cell>
          <cell r="C690">
            <v>81874.8</v>
          </cell>
        </row>
        <row r="691">
          <cell r="A691" t="str">
            <v>PERFIL CERRADO 120 X 60 X 3 MM</v>
          </cell>
          <cell r="B691" t="str">
            <v>ML</v>
          </cell>
          <cell r="C691">
            <v>3055.5</v>
          </cell>
        </row>
        <row r="692">
          <cell r="A692" t="str">
            <v>PERFIL CIRCULAR NEGRO 4" (E= 4MM) FY3220 KG/CM2</v>
          </cell>
          <cell r="B692" t="str">
            <v>ML</v>
          </cell>
          <cell r="C692">
            <v>6550.95</v>
          </cell>
        </row>
        <row r="693">
          <cell r="A693" t="str">
            <v>PERFIL CUADRADO NEGRO 10 X 10 E= 4 MM ASTM A -500</v>
          </cell>
          <cell r="B693" t="str">
            <v>ML</v>
          </cell>
          <cell r="C693">
            <v>43415.4</v>
          </cell>
        </row>
        <row r="694">
          <cell r="A694" t="str">
            <v>PERFIL CUADRADO NEGRO 155 X 155 X 4.5 MM ASTM -A500</v>
          </cell>
          <cell r="B694" t="str">
            <v>ML</v>
          </cell>
          <cell r="C694">
            <v>81571.350000000006</v>
          </cell>
        </row>
        <row r="695">
          <cell r="A695" t="str">
            <v>PERFIL CUADRADO NEGRO 50 X 50 X 3 MM AST A- S00</v>
          </cell>
          <cell r="B695" t="str">
            <v>ML</v>
          </cell>
          <cell r="C695">
            <v>15981</v>
          </cell>
        </row>
        <row r="696">
          <cell r="A696" t="str">
            <v>PERFIL ESTRUC. PHR Negro 160x60x3 mm C11 ACESCO</v>
          </cell>
          <cell r="B696" t="str">
            <v>ML</v>
          </cell>
          <cell r="C696">
            <v>22349.25</v>
          </cell>
        </row>
        <row r="697">
          <cell r="A697" t="str">
            <v>PERFIL ESTRUCTURAL REDONDO NEGRO 3" X 4.0 MM</v>
          </cell>
          <cell r="B697" t="str">
            <v>ML</v>
          </cell>
          <cell r="C697">
            <v>29382.15</v>
          </cell>
        </row>
        <row r="698">
          <cell r="A698" t="str">
            <v>PERFIL H 2.90 M, 4 Y 6 MM TEJA POLICARBONATO ALVEOLAR CRISTAL</v>
          </cell>
          <cell r="B698" t="str">
            <v>UND</v>
          </cell>
          <cell r="C698">
            <v>28900</v>
          </cell>
        </row>
        <row r="699">
          <cell r="A699" t="str">
            <v>PERFIL PARAL 89MM*2.44 MTS CAL. 26 (PARED)</v>
          </cell>
          <cell r="B699" t="str">
            <v>UND</v>
          </cell>
          <cell r="C699">
            <v>8526</v>
          </cell>
        </row>
        <row r="700">
          <cell r="A700" t="str">
            <v>PERFIL RECT PHR NEGRO 100x38x1.2 MM CAL 18</v>
          </cell>
          <cell r="B700" t="str">
            <v>ML</v>
          </cell>
          <cell r="C700">
            <v>7914.9</v>
          </cell>
        </row>
        <row r="701">
          <cell r="A701" t="str">
            <v>PERFIL RECT PHR NEGRO 150x50x3 MM CALIBRE 11</v>
          </cell>
          <cell r="B701" t="str">
            <v>ML</v>
          </cell>
          <cell r="C701">
            <v>32628.75</v>
          </cell>
        </row>
        <row r="702">
          <cell r="A702" t="str">
            <v>PERFIL RECTANGULAR  PHR NEGRO  220 X 80 X 2.5 MM C 12</v>
          </cell>
          <cell r="B702" t="str">
            <v>ML</v>
          </cell>
          <cell r="C702">
            <v>23979.9</v>
          </cell>
        </row>
        <row r="703">
          <cell r="A703" t="str">
            <v>PERFIL RECTANGULAR NEGRO  150 X 50 X 5 MM ASTM A -500</v>
          </cell>
          <cell r="B703" t="str">
            <v>ML</v>
          </cell>
          <cell r="C703">
            <v>53760</v>
          </cell>
        </row>
        <row r="704">
          <cell r="A704" t="str">
            <v>PERFIL RECTANGULAR NEGRO 120 X 60 X 2.5 MM C 12 AST A -500</v>
          </cell>
          <cell r="B704" t="str">
            <v>ML</v>
          </cell>
          <cell r="C704">
            <v>25642.05</v>
          </cell>
        </row>
        <row r="705">
          <cell r="A705" t="str">
            <v>PERFIL RECTANGULAR NEGRO 150 X 100 X 6 MM C.4 ASTM A - 500</v>
          </cell>
          <cell r="B705" t="str">
            <v>ML</v>
          </cell>
          <cell r="C705">
            <v>85833.3</v>
          </cell>
        </row>
        <row r="706">
          <cell r="A706" t="str">
            <v>PERFIL RECTANGULAR PHR NEGRO  80 X 40 X 2 MM C. 14</v>
          </cell>
          <cell r="B706" t="str">
            <v>ML</v>
          </cell>
          <cell r="C706">
            <v>12833.1</v>
          </cell>
        </row>
        <row r="707">
          <cell r="A707" t="str">
            <v>PERFIL U 2.15 M 4 Y MM TEJA POLICARBONATO ALVEOLAR CRISTAL</v>
          </cell>
          <cell r="B707" t="str">
            <v>UND</v>
          </cell>
          <cell r="C707">
            <v>6900</v>
          </cell>
        </row>
        <row r="708">
          <cell r="A708" t="str">
            <v>PERNO 5/8" X 240</v>
          </cell>
          <cell r="B708" t="str">
            <v>UND</v>
          </cell>
          <cell r="C708">
            <v>2971.5</v>
          </cell>
        </row>
        <row r="709">
          <cell r="A709" t="str">
            <v>PERNO DE MAQUINA 1/2 X 1 1/2"</v>
          </cell>
          <cell r="B709" t="str">
            <v>UND</v>
          </cell>
          <cell r="C709">
            <v>760</v>
          </cell>
        </row>
        <row r="710">
          <cell r="A710" t="str">
            <v>PERNO DE MÁQUINA 5/8  X 10"</v>
          </cell>
          <cell r="B710" t="str">
            <v>UND</v>
          </cell>
          <cell r="C710">
            <v>3979</v>
          </cell>
        </row>
        <row r="711">
          <cell r="A711" t="str">
            <v>PERNO DE MÁQUINA 5/8  X 12"</v>
          </cell>
          <cell r="B711" t="str">
            <v>UND</v>
          </cell>
          <cell r="C711">
            <v>4750</v>
          </cell>
        </row>
        <row r="712">
          <cell r="A712" t="str">
            <v>PERNO DE OJO ABIERTO 5/8" x 10"</v>
          </cell>
          <cell r="B712" t="str">
            <v>UND</v>
          </cell>
          <cell r="C712">
            <v>5200</v>
          </cell>
        </row>
        <row r="713">
          <cell r="A713" t="str">
            <v>PERNO DE OJO ABIERTO 5/8" X 254 MM</v>
          </cell>
          <cell r="B713" t="str">
            <v>UND</v>
          </cell>
          <cell r="C713">
            <v>5200</v>
          </cell>
        </row>
        <row r="714">
          <cell r="A714" t="str">
            <v>PERNO DE OJO CERRADO 5/8``X4`` DOS TUERCAS</v>
          </cell>
          <cell r="B714" t="str">
            <v>UND</v>
          </cell>
          <cell r="C714">
            <v>4320</v>
          </cell>
        </row>
        <row r="715">
          <cell r="A715" t="str">
            <v>PERNO DE OJO CERRADO 5/8``X8`` DOS TUERCAS</v>
          </cell>
          <cell r="B715" t="str">
            <v>UND</v>
          </cell>
          <cell r="C715">
            <v>5350</v>
          </cell>
        </row>
        <row r="716">
          <cell r="A716" t="str">
            <v>PERNO DE OJO TIPO 4 (5/8``X16``)</v>
          </cell>
          <cell r="B716" t="str">
            <v>UND</v>
          </cell>
          <cell r="C716">
            <v>5180</v>
          </cell>
        </row>
        <row r="717">
          <cell r="A717" t="str">
            <v>PERNO ROSCADO 2`` ALT.VEL.</v>
          </cell>
          <cell r="B717" t="str">
            <v>UND</v>
          </cell>
          <cell r="C717">
            <v>385</v>
          </cell>
        </row>
        <row r="718">
          <cell r="A718" t="str">
            <v>PERNOS DE ANCLAJE</v>
          </cell>
          <cell r="B718" t="str">
            <v>UND</v>
          </cell>
          <cell r="C718">
            <v>630</v>
          </cell>
        </row>
        <row r="719">
          <cell r="A719" t="str">
            <v>PIEDRA BOLA DE OCOA</v>
          </cell>
          <cell r="B719" t="str">
            <v>M3</v>
          </cell>
          <cell r="C719">
            <v>47250</v>
          </cell>
        </row>
        <row r="720">
          <cell r="A720" t="str">
            <v>PIEDRA DE RIO</v>
          </cell>
          <cell r="B720" t="str">
            <v>M3</v>
          </cell>
          <cell r="C720">
            <v>42000</v>
          </cell>
        </row>
        <row r="721">
          <cell r="A721" t="str">
            <v>PIEDRA DE RIO PARA GAVION</v>
          </cell>
          <cell r="B721" t="str">
            <v>M3</v>
          </cell>
          <cell r="C721">
            <v>23720</v>
          </cell>
        </row>
        <row r="722">
          <cell r="A722" t="str">
            <v>PIEDRA MEDIA ZONGA</v>
          </cell>
          <cell r="B722" t="str">
            <v>M3</v>
          </cell>
          <cell r="C722">
            <v>46500</v>
          </cell>
        </row>
        <row r="723">
          <cell r="A723" t="str">
            <v>PIEDRA RAJON</v>
          </cell>
          <cell r="B723" t="str">
            <v>M3</v>
          </cell>
          <cell r="C723">
            <v>48125</v>
          </cell>
        </row>
        <row r="724">
          <cell r="A724" t="str">
            <v>PIEDRA ROYAL</v>
          </cell>
          <cell r="B724" t="str">
            <v>M3</v>
          </cell>
          <cell r="C724">
            <v>47250</v>
          </cell>
        </row>
        <row r="725">
          <cell r="A725" t="str">
            <v>PINTURA ACRILICA PURA PARA TRAFICO</v>
          </cell>
          <cell r="B725" t="str">
            <v>GLN</v>
          </cell>
          <cell r="C725">
            <v>65000</v>
          </cell>
        </row>
        <row r="726">
          <cell r="A726" t="str">
            <v>PINTURA BASE DE AGUA TIPO KORAZA</v>
          </cell>
          <cell r="B726" t="str">
            <v>GLN</v>
          </cell>
          <cell r="C726">
            <v>57015</v>
          </cell>
        </row>
        <row r="727">
          <cell r="A727" t="str">
            <v>PINTURA CANCHA  (ESMALT EPOXICO)</v>
          </cell>
          <cell r="B727" t="str">
            <v>GLN</v>
          </cell>
          <cell r="C727">
            <v>83895</v>
          </cell>
        </row>
        <row r="728">
          <cell r="A728" t="str">
            <v>PINTURA CROMATO DE ZINC AMARILLO</v>
          </cell>
          <cell r="B728" t="str">
            <v>GLN</v>
          </cell>
          <cell r="C728">
            <v>61544.7</v>
          </cell>
        </row>
        <row r="729">
          <cell r="A729" t="str">
            <v>PINTURA PARA DEMARCACION LINEA TRAFICO PESADO (VIA)</v>
          </cell>
          <cell r="B729" t="str">
            <v>GLN</v>
          </cell>
          <cell r="C729">
            <v>133140</v>
          </cell>
        </row>
        <row r="730">
          <cell r="A730" t="str">
            <v>PINTURA TERMOPLASTICA (INCLUYE SUMINISTRO Y APLICACIÓN CON EQUIPO. INCLUYE MICROESFERAS</v>
          </cell>
          <cell r="B730" t="str">
            <v>M2</v>
          </cell>
          <cell r="C730">
            <v>65879</v>
          </cell>
        </row>
        <row r="731">
          <cell r="A731" t="str">
            <v>PINTURA VINILO TIPO 1  LAVABLE</v>
          </cell>
          <cell r="B731" t="str">
            <v>GLN</v>
          </cell>
          <cell r="C731">
            <v>50100</v>
          </cell>
        </row>
        <row r="732">
          <cell r="A732" t="str">
            <v>PIRLAN ALUMINIO DORADO</v>
          </cell>
          <cell r="B732" t="str">
            <v>ML</v>
          </cell>
          <cell r="C732">
            <v>1225.3500000000001</v>
          </cell>
        </row>
        <row r="733">
          <cell r="A733" t="str">
            <v>PISO  TROPICAL (FRESA, LIMON, UVA, NEGRO) 20.3*030</v>
          </cell>
          <cell r="B733" t="str">
            <v>M2</v>
          </cell>
          <cell r="C733">
            <v>20895</v>
          </cell>
        </row>
        <row r="734">
          <cell r="A734" t="str">
            <v>PISO LINEA DUROTECH 20 X 20</v>
          </cell>
          <cell r="B734" t="str">
            <v>M2</v>
          </cell>
          <cell r="C734">
            <v>16002</v>
          </cell>
        </row>
        <row r="735">
          <cell r="A735" t="str">
            <v>PISO LINEA FORTALIZA 32 X 32</v>
          </cell>
          <cell r="B735" t="str">
            <v>M2</v>
          </cell>
          <cell r="C735">
            <v>18795</v>
          </cell>
        </row>
        <row r="736">
          <cell r="A736" t="str">
            <v>PISO MODERNA COLOR HAYA NATURAL 8 MM LAMINADO</v>
          </cell>
          <cell r="B736" t="str">
            <v>M2</v>
          </cell>
          <cell r="C736">
            <v>41895</v>
          </cell>
        </row>
        <row r="737">
          <cell r="A737" t="str">
            <v>PISO O PLACA EN PIEDRA PEGADA E=0.25 M. NO INCLUYE REFUERZO.</v>
          </cell>
          <cell r="B737" t="str">
            <v>M2</v>
          </cell>
          <cell r="C737">
            <v>78581</v>
          </cell>
        </row>
        <row r="738">
          <cell r="A738" t="str">
            <v>PISO PARED T. EGEO 20.5 X 20.5 X CORONA</v>
          </cell>
          <cell r="B738" t="str">
            <v>M2</v>
          </cell>
          <cell r="C738">
            <v>18879</v>
          </cell>
        </row>
        <row r="739">
          <cell r="A739" t="str">
            <v>PISO VINILO TERRAZO 30 X 30 E - 20 MM (ALTA CALIDAD)</v>
          </cell>
          <cell r="B739" t="str">
            <v>M2</v>
          </cell>
          <cell r="C739">
            <v>23205</v>
          </cell>
        </row>
        <row r="740">
          <cell r="A740" t="str">
            <v>PLACA SUPER BOARD FIBRO CEMENTO (1.22 X 2.44) 6MM</v>
          </cell>
          <cell r="B740" t="str">
            <v>UND</v>
          </cell>
          <cell r="C740">
            <v>37088.1</v>
          </cell>
        </row>
        <row r="741">
          <cell r="A741" t="str">
            <v>PLACA SUPERBOARD COLOMBIT (1.22X2.44) 8 MM</v>
          </cell>
          <cell r="B741" t="str">
            <v>UND</v>
          </cell>
          <cell r="C741">
            <v>40845</v>
          </cell>
        </row>
        <row r="742">
          <cell r="A742" t="str">
            <v>PLANCHON ABARCO 50X0.25X300 MM</v>
          </cell>
          <cell r="B742" t="str">
            <v>ML</v>
          </cell>
          <cell r="C742">
            <v>15870.75</v>
          </cell>
        </row>
        <row r="743">
          <cell r="A743" t="str">
            <v>PLASTICO POLIETILENO CALIBRE 6</v>
          </cell>
          <cell r="B743" t="str">
            <v>M2</v>
          </cell>
          <cell r="C743">
            <v>685.65</v>
          </cell>
        </row>
        <row r="744">
          <cell r="A744" t="str">
            <v>PLATINA  2 - 1/2"  X 3/16 " GEN</v>
          </cell>
          <cell r="B744" t="str">
            <v>ML</v>
          </cell>
          <cell r="C744">
            <v>6728.4</v>
          </cell>
        </row>
        <row r="745">
          <cell r="A745" t="str">
            <v>PLATINA 1" X 3/16" GENUINA</v>
          </cell>
          <cell r="B745" t="str">
            <v>ML</v>
          </cell>
          <cell r="C745">
            <v>2704.8</v>
          </cell>
        </row>
        <row r="746">
          <cell r="A746" t="str">
            <v>PLATINA 1/2" X 1/4" (6X12) GEN</v>
          </cell>
          <cell r="B746" t="str">
            <v>ML</v>
          </cell>
          <cell r="C746">
            <v>1482.6</v>
          </cell>
        </row>
        <row r="747">
          <cell r="A747" t="str">
            <v>PLATINA 1/2" X 1/8" (30X12) GENUINA</v>
          </cell>
          <cell r="B747" t="str">
            <v>ML</v>
          </cell>
          <cell r="C747">
            <v>987</v>
          </cell>
        </row>
        <row r="748">
          <cell r="A748" t="str">
            <v>PLATINA 1/4" X 1/2 " 0.20  X 0.20 MTS 4 ORIFICIOS DE 1/2"</v>
          </cell>
          <cell r="B748" t="str">
            <v>UND</v>
          </cell>
          <cell r="C748">
            <v>2100</v>
          </cell>
        </row>
        <row r="749">
          <cell r="A749" t="str">
            <v>PLATINA 1/4" X 2-1/2" GEN</v>
          </cell>
          <cell r="B749" t="str">
            <v>ML</v>
          </cell>
          <cell r="C749">
            <v>9735.3700000000008</v>
          </cell>
        </row>
        <row r="750">
          <cell r="A750" t="str">
            <v>PLATINA 1/8 x 1 x 6 M</v>
          </cell>
          <cell r="B750" t="str">
            <v>un</v>
          </cell>
          <cell r="C750">
            <v>8000</v>
          </cell>
        </row>
        <row r="751">
          <cell r="A751" t="str">
            <v>PLATINA 1/8" X 1" GEN</v>
          </cell>
          <cell r="B751" t="str">
            <v>ML</v>
          </cell>
          <cell r="C751">
            <v>1863.72</v>
          </cell>
        </row>
        <row r="752">
          <cell r="A752" t="str">
            <v>PLATINA 2" X 1/8"  GEN</v>
          </cell>
          <cell r="B752" t="str">
            <v>UND</v>
          </cell>
          <cell r="C752">
            <v>27749.4</v>
          </cell>
        </row>
        <row r="753">
          <cell r="A753" t="str">
            <v>PLATINA 2"X3/16" GEN</v>
          </cell>
          <cell r="B753" t="str">
            <v>ML</v>
          </cell>
          <cell r="C753">
            <v>4717.6500000000005</v>
          </cell>
        </row>
        <row r="754">
          <cell r="A754" t="str">
            <v>PLATINA EN U DE ANCLAJE 0.05X0.05 M 3/16"</v>
          </cell>
          <cell r="B754" t="str">
            <v>UND</v>
          </cell>
          <cell r="C754">
            <v>6300</v>
          </cell>
        </row>
        <row r="755">
          <cell r="A755" t="str">
            <v>PLATINA FIJACION EN ALUMINIO</v>
          </cell>
          <cell r="B755" t="str">
            <v>UND</v>
          </cell>
          <cell r="C755">
            <v>10500</v>
          </cell>
        </row>
        <row r="756">
          <cell r="A756" t="str">
            <v>PLEXIBOND PRIMER COATING</v>
          </cell>
          <cell r="B756" t="str">
            <v>M2</v>
          </cell>
          <cell r="C756">
            <v>7035</v>
          </cell>
        </row>
        <row r="757">
          <cell r="A757" t="str">
            <v>PLEXIPAVE</v>
          </cell>
          <cell r="B757" t="str">
            <v>M2</v>
          </cell>
          <cell r="C757">
            <v>5985</v>
          </cell>
        </row>
        <row r="758">
          <cell r="A758" t="str">
            <v>POLIETILENO 2 mm</v>
          </cell>
          <cell r="B758" t="str">
            <v>M2</v>
          </cell>
          <cell r="C758">
            <v>525</v>
          </cell>
        </row>
        <row r="759">
          <cell r="A759" t="str">
            <v>POLVO DE LADRILLO CANCHA DE TENIS INC TRANSPORTE</v>
          </cell>
          <cell r="B759" t="str">
            <v>M3</v>
          </cell>
          <cell r="C759">
            <v>126000</v>
          </cell>
        </row>
        <row r="760">
          <cell r="A760" t="str">
            <v>PORCELANA MEDITERRANEO 20 * 20 BLANCO (ALFA)</v>
          </cell>
          <cell r="B760" t="str">
            <v>M2</v>
          </cell>
          <cell r="C760">
            <v>13534.5</v>
          </cell>
        </row>
        <row r="761">
          <cell r="A761" t="str">
            <v>PORCELANATO  BEIGE 6 * 6</v>
          </cell>
          <cell r="B761" t="str">
            <v>M2</v>
          </cell>
          <cell r="C761">
            <v>34545</v>
          </cell>
        </row>
        <row r="762">
          <cell r="A762" t="str">
            <v>PORCELANATO  PROTOS LINEAS 44.5 X 72</v>
          </cell>
          <cell r="B762" t="str">
            <v>M2</v>
          </cell>
          <cell r="C762">
            <v>58800</v>
          </cell>
        </row>
        <row r="763">
          <cell r="A763" t="str">
            <v>PORCELANATO BEIGE</v>
          </cell>
          <cell r="B763" t="str">
            <v>M2</v>
          </cell>
          <cell r="C763">
            <v>60900</v>
          </cell>
        </row>
        <row r="764">
          <cell r="A764" t="str">
            <v>PORCELANATO CEDAR BLANCO 30 * 60 BRILLANTE</v>
          </cell>
          <cell r="B764" t="str">
            <v>M2</v>
          </cell>
          <cell r="C764">
            <v>42945</v>
          </cell>
        </row>
        <row r="765">
          <cell r="A765" t="str">
            <v>PORCELANATO ELITE CEMENTO 45 * 67.5</v>
          </cell>
          <cell r="B765" t="str">
            <v>M2</v>
          </cell>
          <cell r="C765">
            <v>58800</v>
          </cell>
        </row>
        <row r="766">
          <cell r="A766" t="str">
            <v>PORCELANATO IL TRAVERTINO  44.2 * 77.5</v>
          </cell>
          <cell r="B766" t="str">
            <v>M2</v>
          </cell>
          <cell r="C766">
            <v>58800</v>
          </cell>
        </row>
        <row r="767">
          <cell r="A767" t="str">
            <v>PORCELANATO LABREA BLACK 30 * 60</v>
          </cell>
          <cell r="B767" t="str">
            <v>M2</v>
          </cell>
          <cell r="C767">
            <v>47250</v>
          </cell>
        </row>
        <row r="768">
          <cell r="A768" t="str">
            <v>PORCELANATO TOSCANA IVORY</v>
          </cell>
          <cell r="B768" t="str">
            <v>M2</v>
          </cell>
          <cell r="C768">
            <v>60900</v>
          </cell>
        </row>
        <row r="769">
          <cell r="A769" t="str">
            <v>POSTE CILINDRICO 3`` 4 M C/ BYP (GALV) LUZ URBANA</v>
          </cell>
          <cell r="B769" t="str">
            <v>UN</v>
          </cell>
          <cell r="C769">
            <v>610370</v>
          </cell>
        </row>
        <row r="770">
          <cell r="A770" t="str">
            <v>POSTE DE CONCRETO 12 x 750 Kg reforzado</v>
          </cell>
          <cell r="B770" t="str">
            <v>UN</v>
          </cell>
          <cell r="C770">
            <v>685400</v>
          </cell>
        </row>
        <row r="771">
          <cell r="A771" t="str">
            <v>POSTE DE CONCRETO EXTRA REFORZADO (8MTS) 1050KG</v>
          </cell>
          <cell r="B771" t="str">
            <v>UN</v>
          </cell>
          <cell r="C771">
            <v>490650</v>
          </cell>
        </row>
        <row r="772">
          <cell r="A772" t="str">
            <v>POSTE DE CONCRETO LINEA 16 X 750 KG</v>
          </cell>
          <cell r="B772" t="str">
            <v>UN</v>
          </cell>
          <cell r="C772">
            <v>1820000</v>
          </cell>
        </row>
        <row r="773">
          <cell r="A773" t="str">
            <v>POSTE DE CONCRETO LINEA 8 x 510 KG</v>
          </cell>
          <cell r="B773" t="str">
            <v>UN</v>
          </cell>
          <cell r="C773">
            <v>300120</v>
          </cell>
        </row>
        <row r="774">
          <cell r="A774" t="str">
            <v>POSTE DE CONCRETO LINEA. (10MTS) 510KG</v>
          </cell>
          <cell r="B774" t="str">
            <v>UN</v>
          </cell>
          <cell r="C774">
            <v>461150</v>
          </cell>
        </row>
        <row r="775">
          <cell r="A775" t="str">
            <v>POSTE DE CONCRETO LINEA. (12mts) 510kg</v>
          </cell>
          <cell r="B775" t="str">
            <v>UN</v>
          </cell>
          <cell r="C775">
            <v>595000</v>
          </cell>
        </row>
        <row r="776">
          <cell r="A776" t="str">
            <v>POSTE DE CONCRETO PRETENS 12 X1050 KG EXTRAREFORZADO</v>
          </cell>
          <cell r="B776" t="str">
            <v>UN</v>
          </cell>
          <cell r="C776">
            <v>907550</v>
          </cell>
        </row>
        <row r="777">
          <cell r="A777" t="str">
            <v>POSTE DE CONCRETO REFORZADO (14MTS) 1050 KG</v>
          </cell>
          <cell r="B777" t="str">
            <v>UN</v>
          </cell>
          <cell r="C777">
            <v>1256000</v>
          </cell>
        </row>
        <row r="778">
          <cell r="A778" t="str">
            <v>POSTE DE CONCRETO REFORZADO 10x750KG</v>
          </cell>
          <cell r="B778" t="str">
            <v>UN</v>
          </cell>
          <cell r="C778">
            <v>550320</v>
          </cell>
        </row>
        <row r="779">
          <cell r="A779" t="str">
            <v>POSTE DE CONCRETO14 X 750KG LINEA</v>
          </cell>
          <cell r="B779" t="str">
            <v>UN</v>
          </cell>
          <cell r="C779">
            <v>1054000</v>
          </cell>
        </row>
        <row r="780">
          <cell r="A780" t="str">
            <v>POSTE EN ANGULO 2" X 2" X 1/4"  PARA SEÑAL H= 1,5 MTS</v>
          </cell>
          <cell r="B780" t="str">
            <v>UN</v>
          </cell>
          <cell r="C780">
            <v>37400</v>
          </cell>
        </row>
        <row r="781">
          <cell r="A781" t="str">
            <v>POSTE EN CONCRETO PARA CERCA H = 2..10 M</v>
          </cell>
          <cell r="B781" t="str">
            <v>UND</v>
          </cell>
          <cell r="C781">
            <v>18060</v>
          </cell>
        </row>
        <row r="782">
          <cell r="A782" t="str">
            <v>POSTE METALICO 3M x 1½  DIAMETRO BASE 20 X 20 CM</v>
          </cell>
          <cell r="B782" t="str">
            <v>UN</v>
          </cell>
          <cell r="C782">
            <v>156500</v>
          </cell>
        </row>
        <row r="783">
          <cell r="A783" t="str">
            <v>POSTE METALICO 6M x 1½  DIAMETRO BASE 20 X 20 CM</v>
          </cell>
          <cell r="B783" t="str">
            <v>UN</v>
          </cell>
          <cell r="C783">
            <v>192650</v>
          </cell>
        </row>
        <row r="784">
          <cell r="A784" t="str">
            <v>POSTE METALICO DE 12 M X 510 KG</v>
          </cell>
          <cell r="B784" t="str">
            <v>UN</v>
          </cell>
          <cell r="C784">
            <v>1550000</v>
          </cell>
        </row>
        <row r="785">
          <cell r="A785" t="str">
            <v>POSTE METALICO DE 8 M X 510 KG</v>
          </cell>
          <cell r="B785" t="str">
            <v>UN</v>
          </cell>
          <cell r="C785">
            <v>1058500</v>
          </cell>
        </row>
        <row r="786">
          <cell r="A786" t="str">
            <v>POSTE PARA CERCA 2.20 m MADERA INMUNIZADA</v>
          </cell>
          <cell r="B786" t="str">
            <v>UND</v>
          </cell>
          <cell r="C786">
            <v>18186</v>
          </cell>
        </row>
        <row r="787">
          <cell r="A787" t="str">
            <v>POSTE PARA DEFENSA METALICA. 1,80 MTS</v>
          </cell>
          <cell r="B787" t="str">
            <v>UND</v>
          </cell>
          <cell r="C787">
            <v>121340</v>
          </cell>
        </row>
        <row r="788">
          <cell r="A788" t="str">
            <v>POSTEDE CONCRETO 8 x 750 KG REFORZADO</v>
          </cell>
          <cell r="B788" t="str">
            <v>UN</v>
          </cell>
          <cell r="C788">
            <v>448200</v>
          </cell>
        </row>
        <row r="789">
          <cell r="A789" t="str">
            <v>POSTES METAL CUADRADO T. R.A 6MT (CON BASE)</v>
          </cell>
          <cell r="B789" t="str">
            <v>UN</v>
          </cell>
          <cell r="C789">
            <v>473680</v>
          </cell>
        </row>
        <row r="790">
          <cell r="A790" t="str">
            <v>POSTES METAL CUADRADO T. RAP 3MT (CON BASE)</v>
          </cell>
          <cell r="B790" t="str">
            <v>UN</v>
          </cell>
          <cell r="C790">
            <v>265200</v>
          </cell>
        </row>
        <row r="791">
          <cell r="A791" t="str">
            <v>POSTES PARA CANCHA DE TENIS (PAR)</v>
          </cell>
          <cell r="B791" t="str">
            <v>UN</v>
          </cell>
          <cell r="C791">
            <v>84000</v>
          </cell>
        </row>
        <row r="792">
          <cell r="A792" t="str">
            <v>POZO SEPTIC. COMPLETO 2000 LT INCLUYE FILTRO ANAEROBICO</v>
          </cell>
          <cell r="B792" t="str">
            <v>UND</v>
          </cell>
          <cell r="C792">
            <v>1202250</v>
          </cell>
        </row>
        <row r="793">
          <cell r="A793" t="str">
            <v>PROTECTOR DE ARBOL 2 TUBOS REF. M - 91</v>
          </cell>
          <cell r="B793" t="str">
            <v>UN</v>
          </cell>
          <cell r="C793">
            <v>188609.4</v>
          </cell>
        </row>
        <row r="794">
          <cell r="A794" t="str">
            <v>PROTECTOR DE ARBOL M-91 (2 TUBOS)</v>
          </cell>
          <cell r="B794" t="str">
            <v>UN</v>
          </cell>
          <cell r="C794">
            <v>172859.4</v>
          </cell>
        </row>
        <row r="795">
          <cell r="A795" t="str">
            <v>PUERTA 0.90 X 2.0 m PRESTIGE COLOR CEDRO, INCLUYE MARCO</v>
          </cell>
          <cell r="B795" t="str">
            <v>UND</v>
          </cell>
          <cell r="C795">
            <v>154350</v>
          </cell>
        </row>
        <row r="796">
          <cell r="A796" t="str">
            <v>PUERTA ALUMINIO BISAGRA ANAL OK, INCLUIDO VIDRIO</v>
          </cell>
          <cell r="B796" t="str">
            <v>M2</v>
          </cell>
          <cell r="C796">
            <v>210000</v>
          </cell>
        </row>
        <row r="797">
          <cell r="A797" t="str">
            <v>PUERTA ALUMINIO SISTEMA CORREDIZA ANALOCK INCLUYE VIDRIO 4 MM</v>
          </cell>
          <cell r="B797" t="str">
            <v>M2</v>
          </cell>
          <cell r="C797">
            <v>220500</v>
          </cell>
        </row>
        <row r="798">
          <cell r="A798" t="str">
            <v>PUERTA EN VIDRIO 10 MM INCLUYE TEMP 2 BARRAS 2" ACERO INOX</v>
          </cell>
          <cell r="B798" t="str">
            <v>M2</v>
          </cell>
          <cell r="C798">
            <v>672000</v>
          </cell>
        </row>
        <row r="799">
          <cell r="A799" t="str">
            <v>PUERTA EN VIDRIO TEMPLADO DE 10 MM, CERRADURA. MANIJA Y BISAGRA</v>
          </cell>
          <cell r="B799" t="str">
            <v>M2</v>
          </cell>
          <cell r="C799">
            <v>483000</v>
          </cell>
        </row>
        <row r="800">
          <cell r="A800" t="str">
            <v>PUERTA EN VIDRIO TEMPLADO DE 10 MM, CERRADURA. MANIJA Y PVO</v>
          </cell>
          <cell r="B800" t="str">
            <v>M2</v>
          </cell>
          <cell r="C800">
            <v>693000</v>
          </cell>
        </row>
        <row r="801">
          <cell r="A801" t="str">
            <v>PUERTA ENTAMBORADA 0.7 X 2.0 MTS TRIPLEX</v>
          </cell>
          <cell r="B801" t="str">
            <v>UND</v>
          </cell>
          <cell r="C801">
            <v>105000</v>
          </cell>
        </row>
        <row r="802">
          <cell r="A802" t="str">
            <v>PUERTA ENTAMBORADA 0.9 X 2.0 m TRIPLEX</v>
          </cell>
          <cell r="B802" t="str">
            <v>UND</v>
          </cell>
          <cell r="C802">
            <v>96495</v>
          </cell>
        </row>
        <row r="803">
          <cell r="A803" t="str">
            <v>PUERTA ENTAMBORADA 2.0 X 101/2 MTS TRIPLEX</v>
          </cell>
          <cell r="B803" t="str">
            <v>UND</v>
          </cell>
          <cell r="C803">
            <v>102900</v>
          </cell>
        </row>
        <row r="804">
          <cell r="A804" t="str">
            <v>PUERTA ENTAMBORADA T MILANO TERMINADA (2x1-0.95M)</v>
          </cell>
          <cell r="B804" t="str">
            <v>UND</v>
          </cell>
          <cell r="C804">
            <v>235095</v>
          </cell>
        </row>
        <row r="805">
          <cell r="A805" t="str">
            <v>PUERTA TAB CORRIDO, MARCO, PASADOR, LAMINA GALVANIZADA CAL 20, 1.50X0.75 M</v>
          </cell>
          <cell r="B805" t="str">
            <v>UND</v>
          </cell>
          <cell r="C805">
            <v>246750</v>
          </cell>
        </row>
        <row r="806">
          <cell r="A806" t="str">
            <v>PUESTA A TIERRA COMPLETA</v>
          </cell>
          <cell r="B806" t="str">
            <v>UND</v>
          </cell>
          <cell r="C806">
            <v>135000</v>
          </cell>
        </row>
        <row r="807">
          <cell r="A807" t="str">
            <v>PUNTILLA  1 1/2"  SIN CABEZA</v>
          </cell>
          <cell r="B807" t="str">
            <v>LB</v>
          </cell>
          <cell r="C807">
            <v>2152.5</v>
          </cell>
        </row>
        <row r="808">
          <cell r="A808" t="str">
            <v>PUNTILLA  1"  SIN  CABEZA</v>
          </cell>
          <cell r="B808" t="str">
            <v>LB</v>
          </cell>
          <cell r="C808">
            <v>2152.5</v>
          </cell>
        </row>
        <row r="809">
          <cell r="A809" t="str">
            <v>PUNTILLA  2" A 3" CON CABEZA</v>
          </cell>
          <cell r="B809" t="str">
            <v>LB</v>
          </cell>
          <cell r="C809">
            <v>2111.0300000000002</v>
          </cell>
        </row>
        <row r="810">
          <cell r="A810" t="str">
            <v>PUNTILLA 1 1/2" CON CABEZA ACERADA</v>
          </cell>
          <cell r="B810" t="str">
            <v>LB</v>
          </cell>
          <cell r="C810">
            <v>4734.45</v>
          </cell>
        </row>
        <row r="811">
          <cell r="A811" t="str">
            <v>PUNTILLA DE 2" CON CABEZA</v>
          </cell>
          <cell r="B811" t="str">
            <v>LB</v>
          </cell>
          <cell r="C811">
            <v>1995</v>
          </cell>
        </row>
        <row r="812">
          <cell r="A812" t="str">
            <v>PUNTILLA DE 2" SIN CABEZA</v>
          </cell>
          <cell r="B812" t="str">
            <v>LB</v>
          </cell>
          <cell r="C812">
            <v>2100</v>
          </cell>
        </row>
        <row r="813">
          <cell r="A813" t="str">
            <v>RECEBO</v>
          </cell>
          <cell r="B813" t="str">
            <v>M3</v>
          </cell>
          <cell r="C813">
            <v>8000</v>
          </cell>
        </row>
        <row r="814">
          <cell r="A814" t="str">
            <v>RECUBRIMIENTO SINTETICO PACK, LEVEL</v>
          </cell>
          <cell r="B814" t="str">
            <v>M2</v>
          </cell>
          <cell r="C814">
            <v>21945</v>
          </cell>
        </row>
        <row r="815">
          <cell r="A815" t="str">
            <v>REFLECTOR HALOGENO 500W 220V</v>
          </cell>
          <cell r="B815" t="str">
            <v>UN</v>
          </cell>
          <cell r="C815">
            <v>66810</v>
          </cell>
        </row>
        <row r="816">
          <cell r="A816" t="str">
            <v>REFLECTOR TIPO RCG (ROY ALPHA)</v>
          </cell>
          <cell r="B816" t="str">
            <v>UN</v>
          </cell>
          <cell r="C816">
            <v>625000</v>
          </cell>
        </row>
        <row r="817">
          <cell r="A817" t="str">
            <v>REGLETA 10 PARES STRIP</v>
          </cell>
          <cell r="B817" t="str">
            <v>UN</v>
          </cell>
          <cell r="C817">
            <v>13600</v>
          </cell>
        </row>
        <row r="818">
          <cell r="A818" t="str">
            <v>REGLETA 20 PARES STRIP</v>
          </cell>
          <cell r="B818" t="str">
            <v>UN</v>
          </cell>
          <cell r="C818">
            <v>26500</v>
          </cell>
        </row>
        <row r="819">
          <cell r="A819" t="str">
            <v>REGLETA 30 PARES STRIP</v>
          </cell>
          <cell r="B819" t="str">
            <v>UN</v>
          </cell>
          <cell r="C819">
            <v>36850</v>
          </cell>
        </row>
        <row r="820">
          <cell r="A820" t="str">
            <v>REJILLA 3" PLANA VENTILACION Y DESAGUES</v>
          </cell>
          <cell r="B820" t="str">
            <v>UND</v>
          </cell>
          <cell r="C820">
            <v>2835</v>
          </cell>
        </row>
        <row r="821">
          <cell r="A821" t="str">
            <v>REJILLA 3" X 2" SOSCO (ANTICUCARACHAS) ALUMINIO</v>
          </cell>
          <cell r="B821" t="str">
            <v>UND</v>
          </cell>
          <cell r="C821">
            <v>6195</v>
          </cell>
        </row>
        <row r="822">
          <cell r="A822" t="str">
            <v>REJILLA 4 X 3 SOSCO ANTICUCARACHAS HF</v>
          </cell>
          <cell r="B822" t="str">
            <v>UND</v>
          </cell>
          <cell r="C822">
            <v>9345</v>
          </cell>
        </row>
        <row r="823">
          <cell r="A823" t="str">
            <v>REJILLA 4" TRADICIONAL DE COBRA</v>
          </cell>
          <cell r="B823" t="str">
            <v>UND</v>
          </cell>
          <cell r="C823">
            <v>8263.5</v>
          </cell>
        </row>
        <row r="824">
          <cell r="A824" t="str">
            <v>REJILLA 5X4 SOSCO HF</v>
          </cell>
          <cell r="B824" t="str">
            <v>UND</v>
          </cell>
          <cell r="C824">
            <v>15645</v>
          </cell>
        </row>
        <row r="825">
          <cell r="A825" t="str">
            <v>REJILLA 6" PLANA REDONDA</v>
          </cell>
          <cell r="B825" t="str">
            <v>UND</v>
          </cell>
          <cell r="C825">
            <v>9450</v>
          </cell>
        </row>
        <row r="826">
          <cell r="A826" t="str">
            <v>REJILLA PERSIANA EN ALUMINIO</v>
          </cell>
          <cell r="B826" t="str">
            <v>M2</v>
          </cell>
          <cell r="C826">
            <v>168000</v>
          </cell>
        </row>
        <row r="827">
          <cell r="A827" t="str">
            <v>RELLENO EN MATERIAL SELECCIONADO PROVENIENTE DE LA EXCAVACIÓN</v>
          </cell>
          <cell r="B827" t="str">
            <v>M3</v>
          </cell>
          <cell r="C827">
            <v>21367.66</v>
          </cell>
        </row>
        <row r="828">
          <cell r="A828" t="str">
            <v>RELLENO EN RECEBO COMUN</v>
          </cell>
          <cell r="B828" t="str">
            <v>M3</v>
          </cell>
          <cell r="C828">
            <v>46741.16</v>
          </cell>
        </row>
        <row r="829">
          <cell r="A829" t="str">
            <v>REMACHE POP 1/4" X 1/8"</v>
          </cell>
          <cell r="B829" t="str">
            <v>UND</v>
          </cell>
          <cell r="C829">
            <v>31.5</v>
          </cell>
        </row>
        <row r="830">
          <cell r="A830" t="str">
            <v>REPISA  0.05 X 0.10 X 3.0 M ORDINARIO BLANCO</v>
          </cell>
          <cell r="B830" t="str">
            <v>UND</v>
          </cell>
          <cell r="C830">
            <v>8856.75</v>
          </cell>
        </row>
        <row r="831">
          <cell r="A831" t="str">
            <v>REPISA 3 X 08 X 04  ORDINARIO</v>
          </cell>
          <cell r="B831" t="str">
            <v>ML</v>
          </cell>
          <cell r="C831">
            <v>2889.21</v>
          </cell>
        </row>
        <row r="832">
          <cell r="A832" t="str">
            <v>REPISA 5X0.08X0.04 ORDINARIO</v>
          </cell>
          <cell r="B832" t="str">
            <v>ML</v>
          </cell>
          <cell r="C832">
            <v>7752.15</v>
          </cell>
        </row>
        <row r="833">
          <cell r="A833" t="str">
            <v>RESINA TERMOPLASTICA</v>
          </cell>
          <cell r="B833" t="str">
            <v>KG</v>
          </cell>
          <cell r="C833">
            <v>8715</v>
          </cell>
        </row>
        <row r="834">
          <cell r="A834" t="str">
            <v>RODACHIN SISTEMA 744</v>
          </cell>
          <cell r="B834" t="str">
            <v>UND</v>
          </cell>
          <cell r="C834">
            <v>3897.6</v>
          </cell>
        </row>
        <row r="835">
          <cell r="A835" t="str">
            <v>ROSETA 25 X 25 PESCADERO ( DECORATIVA)</v>
          </cell>
          <cell r="B835" t="str">
            <v>UND</v>
          </cell>
          <cell r="C835">
            <v>24045</v>
          </cell>
        </row>
        <row r="836">
          <cell r="A836" t="str">
            <v>ROSETA PORCELANA</v>
          </cell>
          <cell r="B836" t="str">
            <v>UN</v>
          </cell>
          <cell r="C836">
            <v>2500</v>
          </cell>
        </row>
        <row r="837">
          <cell r="A837" t="str">
            <v>SANITARIO ACERO INOXIDABLE AC-SA304 INCLUYE ACCESORIOS</v>
          </cell>
          <cell r="B837" t="str">
            <v>UND</v>
          </cell>
          <cell r="C837">
            <v>504000</v>
          </cell>
        </row>
        <row r="838">
          <cell r="A838" t="str">
            <v>SANITARIO ACUACER CORONA</v>
          </cell>
          <cell r="B838" t="str">
            <v>UND</v>
          </cell>
          <cell r="C838">
            <v>161091</v>
          </cell>
        </row>
        <row r="839">
          <cell r="A839" t="str">
            <v>SANITARIO ADRIATICA + FLUXOMETRO CORONA  O SIMILAR</v>
          </cell>
          <cell r="B839" t="str">
            <v>UND</v>
          </cell>
          <cell r="C839">
            <v>744450</v>
          </cell>
        </row>
        <row r="840">
          <cell r="A840" t="str">
            <v>SANITARIO BAJANTE T. ITALIA</v>
          </cell>
          <cell r="B840" t="str">
            <v>UND</v>
          </cell>
          <cell r="C840">
            <v>78750</v>
          </cell>
        </row>
        <row r="841">
          <cell r="A841" t="str">
            <v>SANITARIO CARLTON MINUSVALIDOS AC-7790</v>
          </cell>
          <cell r="B841" t="str">
            <v>UND</v>
          </cell>
          <cell r="C841">
            <v>262500</v>
          </cell>
        </row>
        <row r="842">
          <cell r="A842" t="str">
            <v>SANITARIO INFANTIL CORONA</v>
          </cell>
          <cell r="B842" t="str">
            <v>UND</v>
          </cell>
          <cell r="C842">
            <v>351414</v>
          </cell>
        </row>
        <row r="843">
          <cell r="A843" t="str">
            <v>SANITARIO QUANTON ESTANDAR AC-E151BL ACUAVIVA</v>
          </cell>
          <cell r="B843" t="str">
            <v>UND</v>
          </cell>
          <cell r="C843">
            <v>433860</v>
          </cell>
        </row>
        <row r="844">
          <cell r="A844" t="str">
            <v>SAPAN 03 X 10 X 3 MTS INM CCAC</v>
          </cell>
          <cell r="B844" t="str">
            <v>M2</v>
          </cell>
          <cell r="C844">
            <v>39795</v>
          </cell>
        </row>
        <row r="845">
          <cell r="A845" t="str">
            <v>SARDINEL PREFABRICADO BLOQUE CEMENTO A-10.INCL TRA</v>
          </cell>
          <cell r="B845" t="str">
            <v>UN</v>
          </cell>
          <cell r="C845">
            <v>26250</v>
          </cell>
        </row>
        <row r="846">
          <cell r="A846" t="str">
            <v>SECCIÓN FINAL PARA DEFENSA METALICA GALVANIZADA TIPO INVIAS</v>
          </cell>
          <cell r="B846" t="str">
            <v>UND</v>
          </cell>
          <cell r="C846">
            <v>60000</v>
          </cell>
        </row>
        <row r="847">
          <cell r="A847" t="str">
            <v>SELLADOR SIKA IGAS GRIS</v>
          </cell>
          <cell r="B847" t="str">
            <v>kg</v>
          </cell>
          <cell r="C847">
            <v>16750</v>
          </cell>
        </row>
        <row r="848">
          <cell r="A848" t="str">
            <v>SEPAROL SIKA 15 KG NEUTRO</v>
          </cell>
          <cell r="B848" t="str">
            <v>KG</v>
          </cell>
          <cell r="C848">
            <v>15599.27</v>
          </cell>
        </row>
        <row r="849">
          <cell r="A849" t="str">
            <v>SERVICIO DOBLADORA CANAL A. LL. (6 DOBLECES)</v>
          </cell>
          <cell r="B849" t="str">
            <v>GBL</v>
          </cell>
          <cell r="C849">
            <v>10500</v>
          </cell>
        </row>
        <row r="850">
          <cell r="A850" t="str">
            <v>SERVICIO DOBLADORA TUBO METALICO</v>
          </cell>
          <cell r="B850" t="str">
            <v>db</v>
          </cell>
          <cell r="C850">
            <v>10500</v>
          </cell>
        </row>
        <row r="851">
          <cell r="A851" t="str">
            <v>SIFON SANITARIO 2" PVC</v>
          </cell>
          <cell r="B851" t="str">
            <v>UND</v>
          </cell>
          <cell r="C851">
            <v>3360</v>
          </cell>
        </row>
        <row r="852">
          <cell r="A852" t="str">
            <v>SIFON SANITARIO 3" 135° PVC</v>
          </cell>
          <cell r="B852" t="str">
            <v>UND</v>
          </cell>
          <cell r="C852">
            <v>5460</v>
          </cell>
        </row>
        <row r="853">
          <cell r="A853" t="str">
            <v>SIFON SANITARIO 4" 135° PVC</v>
          </cell>
          <cell r="B853" t="str">
            <v>UND</v>
          </cell>
          <cell r="C853">
            <v>11445</v>
          </cell>
        </row>
        <row r="854">
          <cell r="A854" t="str">
            <v>SIKA TRANSPARENTE®10</v>
          </cell>
          <cell r="B854" t="str">
            <v>GAL</v>
          </cell>
          <cell r="C854">
            <v>42530</v>
          </cell>
        </row>
        <row r="855">
          <cell r="A855" t="str">
            <v>SIKAFLEX 15 LM (CARTUCHO 305 CC )</v>
          </cell>
          <cell r="B855" t="str">
            <v>UND</v>
          </cell>
          <cell r="C855">
            <v>20340.600000000002</v>
          </cell>
        </row>
        <row r="856">
          <cell r="A856" t="str">
            <v>SIKAMENT NS SUPERPLASTIFIC TARRO DE 25 KLS</v>
          </cell>
          <cell r="B856" t="str">
            <v>KG</v>
          </cell>
          <cell r="C856">
            <v>7132</v>
          </cell>
        </row>
        <row r="857">
          <cell r="A857" t="str">
            <v>SILICONA 250 MILILITROS</v>
          </cell>
          <cell r="B857" t="str">
            <v>UN</v>
          </cell>
          <cell r="C857">
            <v>15666</v>
          </cell>
        </row>
        <row r="858">
          <cell r="A858" t="str">
            <v>SILICONA MOLYSIL 5800 POLICARBONATO 300 ML</v>
          </cell>
          <cell r="B858" t="str">
            <v>UND</v>
          </cell>
          <cell r="C858">
            <v>14595</v>
          </cell>
        </row>
        <row r="859">
          <cell r="A859" t="str">
            <v>SILLA YEE ALCANT NOVAFORT 200X160 PAVCO</v>
          </cell>
          <cell r="B859" t="str">
            <v>UND</v>
          </cell>
          <cell r="C859">
            <v>80115</v>
          </cell>
        </row>
        <row r="860">
          <cell r="A860" t="str">
            <v>SISTEMA PLEXIFLOR</v>
          </cell>
          <cell r="B860" t="str">
            <v>M2</v>
          </cell>
          <cell r="C860">
            <v>31528.35</v>
          </cell>
        </row>
        <row r="861">
          <cell r="A861" t="str">
            <v>SOLDADURA  ASW E 6013 X 3/32</v>
          </cell>
          <cell r="B861" t="str">
            <v>KG</v>
          </cell>
          <cell r="C861">
            <v>8736</v>
          </cell>
        </row>
        <row r="862">
          <cell r="A862" t="str">
            <v>SOLDADURA  ELECTRICA 3/32 6013</v>
          </cell>
          <cell r="B862" t="str">
            <v>KG</v>
          </cell>
          <cell r="C862">
            <v>8006.25</v>
          </cell>
        </row>
        <row r="863">
          <cell r="A863" t="str">
            <v>SOLDADURA 95-95 PLATA</v>
          </cell>
          <cell r="B863" t="str">
            <v>LB</v>
          </cell>
          <cell r="C863">
            <v>34650</v>
          </cell>
        </row>
        <row r="864">
          <cell r="A864" t="str">
            <v>SOLDADURA ASW E 6011 X 1/8</v>
          </cell>
          <cell r="B864" t="str">
            <v>KG</v>
          </cell>
          <cell r="C864">
            <v>9261</v>
          </cell>
        </row>
        <row r="865">
          <cell r="A865" t="str">
            <v>SOLDADURA ASW E 7018 X 1/8 * WS 18</v>
          </cell>
          <cell r="B865" t="str">
            <v>KG</v>
          </cell>
          <cell r="C865">
            <v>6825</v>
          </cell>
        </row>
        <row r="866">
          <cell r="A866" t="str">
            <v>SOLDADURA ASW E6013 X 1/8</v>
          </cell>
          <cell r="B866" t="str">
            <v>KG</v>
          </cell>
          <cell r="C866">
            <v>7843.5</v>
          </cell>
        </row>
        <row r="867">
          <cell r="A867" t="str">
            <v>SOLDADURA CADWELLD</v>
          </cell>
          <cell r="B867" t="str">
            <v>UN</v>
          </cell>
          <cell r="C867">
            <v>19650</v>
          </cell>
        </row>
        <row r="868">
          <cell r="A868" t="str">
            <v>SOLDADURA DE ESTAÑO</v>
          </cell>
          <cell r="B868" t="str">
            <v>KG</v>
          </cell>
          <cell r="C868">
            <v>16380</v>
          </cell>
        </row>
        <row r="869">
          <cell r="A869" t="str">
            <v>SOLDADURA ELECTRICA 1/8 WEST ARCO E6011</v>
          </cell>
          <cell r="B869" t="str">
            <v>KG</v>
          </cell>
          <cell r="C869">
            <v>5460</v>
          </cell>
        </row>
        <row r="870">
          <cell r="A870" t="str">
            <v>SOLDADURA ELECTRICA DE 1/8</v>
          </cell>
          <cell r="B870" t="str">
            <v>KG</v>
          </cell>
          <cell r="C870">
            <v>7140</v>
          </cell>
        </row>
        <row r="871">
          <cell r="A871" t="str">
            <v>SOLDADURA PVC LIQUIDA ¼ GL</v>
          </cell>
          <cell r="B871" t="str">
            <v>UN</v>
          </cell>
          <cell r="C871">
            <v>65200</v>
          </cell>
        </row>
        <row r="872">
          <cell r="A872" t="str">
            <v>SOPORTE BAJANTE PAVCO</v>
          </cell>
          <cell r="B872" t="str">
            <v>UND</v>
          </cell>
          <cell r="C872">
            <v>1785</v>
          </cell>
        </row>
        <row r="873">
          <cell r="A873" t="str">
            <v>SOPORTE CANAL</v>
          </cell>
          <cell r="B873" t="str">
            <v>UND</v>
          </cell>
          <cell r="C873">
            <v>2500</v>
          </cell>
        </row>
        <row r="874">
          <cell r="A874" t="str">
            <v>SOPORTE DE BAJANTE</v>
          </cell>
          <cell r="B874" t="str">
            <v>UND</v>
          </cell>
          <cell r="C874">
            <v>1800</v>
          </cell>
        </row>
        <row r="875">
          <cell r="A875" t="str">
            <v>SOPORTE DE CANAL AMAZONA</v>
          </cell>
          <cell r="B875" t="str">
            <v>un</v>
          </cell>
          <cell r="C875">
            <v>2454</v>
          </cell>
        </row>
        <row r="876">
          <cell r="A876" t="str">
            <v>SOPORTE DE CANAL RAINGO</v>
          </cell>
          <cell r="B876" t="str">
            <v>un</v>
          </cell>
          <cell r="C876">
            <v>1795</v>
          </cell>
        </row>
        <row r="877">
          <cell r="A877" t="str">
            <v>SOPORTE TANGENCIAL TIPO 1-15KV</v>
          </cell>
          <cell r="B877" t="str">
            <v>und</v>
          </cell>
          <cell r="C877">
            <v>152890</v>
          </cell>
        </row>
        <row r="878">
          <cell r="A878" t="str">
            <v>SUB BASE GRANULAR SBG-1 INVIAS</v>
          </cell>
          <cell r="B878" t="str">
            <v>M3</v>
          </cell>
          <cell r="C878">
            <v>46781</v>
          </cell>
        </row>
        <row r="879">
          <cell r="A879" t="str">
            <v>SUB CONTRATO PUERTA ORNAM MARCO 0.08 M CON TUBO 3X1-1/2 CAL 18 INCLUYE ANTICORROSIVO</v>
          </cell>
          <cell r="B879" t="str">
            <v>M2</v>
          </cell>
          <cell r="C879">
            <v>388500</v>
          </cell>
        </row>
        <row r="880">
          <cell r="A880" t="str">
            <v>SUB CONTRATO PUERTA TAB CORRIDO SENCILLA LAMINA GALVANIZADA 1X1.60  INCLUYE ANTICORROSIVO</v>
          </cell>
          <cell r="B880" t="str">
            <v>UND</v>
          </cell>
          <cell r="C880">
            <v>199500</v>
          </cell>
        </row>
        <row r="881">
          <cell r="A881" t="str">
            <v>SUMINISTRO NARIZ FRONTAL TARIMA MADERA GUIMARO U ZAPAN</v>
          </cell>
          <cell r="B881" t="str">
            <v>ML</v>
          </cell>
          <cell r="C881">
            <v>9975</v>
          </cell>
        </row>
        <row r="882">
          <cell r="A882" t="str">
            <v>SUPER LONA</v>
          </cell>
          <cell r="B882" t="str">
            <v>M2</v>
          </cell>
          <cell r="C882">
            <v>10185</v>
          </cell>
        </row>
        <row r="883">
          <cell r="A883" t="str">
            <v>SUPER MANTO 500 XT 2.8 MM FIBERGLASS</v>
          </cell>
          <cell r="B883" t="str">
            <v>M2</v>
          </cell>
          <cell r="C883">
            <v>10185</v>
          </cell>
        </row>
        <row r="884">
          <cell r="A884" t="str">
            <v>SUPERLON 2 MM BLANCO REFORZ (PISO LAMIN.ESPUM. NIVE</v>
          </cell>
          <cell r="B884" t="str">
            <v>M2</v>
          </cell>
          <cell r="C884">
            <v>2520</v>
          </cell>
        </row>
        <row r="885">
          <cell r="A885" t="str">
            <v>TABLA BURRA  10 CMS X 2.90 MTS ORDINARIO</v>
          </cell>
          <cell r="B885" t="str">
            <v>ML</v>
          </cell>
          <cell r="C885">
            <v>1879</v>
          </cell>
        </row>
        <row r="886">
          <cell r="A886" t="str">
            <v>TABLA BURRA  15 CMS X 2.90 MTS ORDINARIO</v>
          </cell>
          <cell r="B886" t="str">
            <v>ML</v>
          </cell>
          <cell r="C886">
            <v>2266</v>
          </cell>
        </row>
        <row r="887">
          <cell r="A887" t="str">
            <v>TABLA BURRA  20 CMS X 2.90 MTS ORDINARIO</v>
          </cell>
          <cell r="B887" t="str">
            <v>ML</v>
          </cell>
          <cell r="C887">
            <v>5081</v>
          </cell>
        </row>
        <row r="888">
          <cell r="A888" t="str">
            <v>TABLA BURRA  25 CMS X 2.90 MTS ORDINARIO</v>
          </cell>
          <cell r="B888" t="str">
            <v>ML</v>
          </cell>
          <cell r="C888">
            <v>6775</v>
          </cell>
        </row>
        <row r="889">
          <cell r="A889" t="str">
            <v>TABLA BURRA  30 CMS X 2.90 MTS ORDINARIO</v>
          </cell>
          <cell r="B889" t="str">
            <v>ML</v>
          </cell>
          <cell r="C889">
            <v>7988</v>
          </cell>
        </row>
        <row r="890">
          <cell r="A890" t="str">
            <v>TABLA BURRA 0.25 X 0.025 X 3.0 M ORDINARIO</v>
          </cell>
          <cell r="B890" t="str">
            <v>m</v>
          </cell>
          <cell r="C890">
            <v>6588.75</v>
          </cell>
        </row>
        <row r="891">
          <cell r="A891" t="str">
            <v>TABLERO 12 CIRCUITOS TRIFASICA TWS</v>
          </cell>
          <cell r="B891" t="str">
            <v>UN</v>
          </cell>
          <cell r="C891">
            <v>125000</v>
          </cell>
        </row>
        <row r="892">
          <cell r="A892" t="str">
            <v>TABLERO 18 CIRCUITOS TRIFASICA TWS</v>
          </cell>
          <cell r="B892" t="str">
            <v>UN</v>
          </cell>
          <cell r="C892">
            <v>216500</v>
          </cell>
        </row>
        <row r="893">
          <cell r="A893" t="str">
            <v>TABLERO 4 CIRCUITOS TRIFASICA TWS</v>
          </cell>
          <cell r="B893" t="str">
            <v>UN</v>
          </cell>
          <cell r="C893">
            <v>125200</v>
          </cell>
        </row>
        <row r="894">
          <cell r="A894" t="str">
            <v>TABLERO 8 CIRCUITOS TRIFASICA TWS</v>
          </cell>
          <cell r="B894" t="str">
            <v>UN</v>
          </cell>
          <cell r="C894">
            <v>130500</v>
          </cell>
        </row>
        <row r="895">
          <cell r="A895" t="str">
            <v>TABLETA 25 X 25 PESCADERO</v>
          </cell>
          <cell r="B895" t="str">
            <v>M2</v>
          </cell>
          <cell r="C895">
            <v>17325</v>
          </cell>
        </row>
        <row r="896">
          <cell r="A896" t="str">
            <v>TABLETA HUELLA O ROMPEOLAS 25*12 GRES</v>
          </cell>
          <cell r="B896" t="str">
            <v>ML</v>
          </cell>
          <cell r="C896">
            <v>15435</v>
          </cell>
        </row>
        <row r="897">
          <cell r="A897" t="str">
            <v>TABLON GRAFILADO 25 X 25</v>
          </cell>
          <cell r="B897" t="str">
            <v>M2</v>
          </cell>
          <cell r="C897">
            <v>14647.5</v>
          </cell>
        </row>
        <row r="898">
          <cell r="A898" t="str">
            <v>TABLON GRAFILADO 30 X 30</v>
          </cell>
          <cell r="B898" t="str">
            <v>M2</v>
          </cell>
          <cell r="C898">
            <v>30912</v>
          </cell>
        </row>
        <row r="899">
          <cell r="A899" t="str">
            <v>TABLON LISO 25 X 25</v>
          </cell>
          <cell r="B899" t="str">
            <v>M2</v>
          </cell>
          <cell r="C899">
            <v>14647.5</v>
          </cell>
        </row>
        <row r="900">
          <cell r="A900" t="str">
            <v>TABLON LISO BISELADO 30 X 30</v>
          </cell>
          <cell r="B900" t="str">
            <v>M2</v>
          </cell>
          <cell r="C900">
            <v>15750</v>
          </cell>
        </row>
        <row r="901">
          <cell r="A901" t="str">
            <v>TACHA REFLECTIVA BIDIRECCIONAL</v>
          </cell>
          <cell r="B901" t="str">
            <v>UND</v>
          </cell>
          <cell r="C901">
            <v>4010</v>
          </cell>
        </row>
        <row r="902">
          <cell r="A902" t="str">
            <v>TANQUE LAVADERO PREFABRICADO 0.80X0.60X0.50</v>
          </cell>
          <cell r="B902" t="str">
            <v>UND</v>
          </cell>
          <cell r="C902">
            <v>220395</v>
          </cell>
        </row>
        <row r="903">
          <cell r="A903" t="str">
            <v>TANQUE PLASTICO 1000 LT AJOVER</v>
          </cell>
          <cell r="B903" t="str">
            <v>UND</v>
          </cell>
          <cell r="C903">
            <v>303345</v>
          </cell>
        </row>
        <row r="904">
          <cell r="A904" t="str">
            <v>TANQUE PLASTICO 500 LT AJOVER</v>
          </cell>
          <cell r="B904" t="str">
            <v>UND</v>
          </cell>
          <cell r="C904">
            <v>178395</v>
          </cell>
        </row>
        <row r="905">
          <cell r="A905" t="str">
            <v>TANQUE SEPTICO COLEMP. 4000 LT, HORIZONTAL ANAEROBICO</v>
          </cell>
          <cell r="B905" t="str">
            <v>UND</v>
          </cell>
          <cell r="C905">
            <v>7506497.25</v>
          </cell>
        </row>
        <row r="906">
          <cell r="A906" t="str">
            <v>TAPA EXTERNA</v>
          </cell>
          <cell r="B906" t="str">
            <v>UND</v>
          </cell>
          <cell r="C906">
            <v>4800</v>
          </cell>
        </row>
        <row r="907">
          <cell r="A907" t="str">
            <v>TAPA EXTERNA BLANCO</v>
          </cell>
          <cell r="B907" t="str">
            <v>un</v>
          </cell>
          <cell r="C907">
            <v>5208.4000000000005</v>
          </cell>
        </row>
        <row r="908">
          <cell r="A908" t="str">
            <v>TAPA EXTERNA CANAL RAINGO</v>
          </cell>
          <cell r="B908" t="str">
            <v>un</v>
          </cell>
          <cell r="C908">
            <v>6728</v>
          </cell>
        </row>
        <row r="909">
          <cell r="A909" t="str">
            <v>TAPON PVC-FILTRO 4"</v>
          </cell>
          <cell r="B909" t="str">
            <v>UND</v>
          </cell>
          <cell r="C909">
            <v>8218.35</v>
          </cell>
        </row>
        <row r="910">
          <cell r="A910" t="str">
            <v>TAPÓN SELLADOR DE CABLE</v>
          </cell>
          <cell r="B910" t="str">
            <v>UN</v>
          </cell>
          <cell r="C910">
            <v>2132</v>
          </cell>
        </row>
        <row r="911">
          <cell r="A911" t="str">
            <v>TAPON SELLADOR DE CABLE 25 MM</v>
          </cell>
          <cell r="B911" t="str">
            <v>UN</v>
          </cell>
          <cell r="C911">
            <v>2380</v>
          </cell>
        </row>
        <row r="912">
          <cell r="A912" t="str">
            <v>TAPON SELLADOR DE CABLE 4/0 AWG</v>
          </cell>
          <cell r="B912" t="str">
            <v>UN</v>
          </cell>
          <cell r="C912">
            <v>2315</v>
          </cell>
        </row>
        <row r="913">
          <cell r="A913" t="str">
            <v>TEE ALUMINIO 1" X 3/4" X 1/16" L = 6 MTS</v>
          </cell>
          <cell r="B913" t="str">
            <v>UND</v>
          </cell>
          <cell r="C913">
            <v>7942.2</v>
          </cell>
        </row>
        <row r="914">
          <cell r="A914" t="str">
            <v>TEE MARCO VENTANA CAL 20</v>
          </cell>
          <cell r="B914" t="str">
            <v>ML</v>
          </cell>
          <cell r="C914">
            <v>5344.5</v>
          </cell>
        </row>
        <row r="915">
          <cell r="A915" t="str">
            <v>TEE PRESION 1" T.PAVCO</v>
          </cell>
          <cell r="B915" t="str">
            <v>UND</v>
          </cell>
          <cell r="C915">
            <v>1680</v>
          </cell>
        </row>
        <row r="916">
          <cell r="A916" t="str">
            <v>TEE PRESION 1/2" T. PAVCO</v>
          </cell>
          <cell r="B916" t="str">
            <v>UND</v>
          </cell>
          <cell r="C916">
            <v>420</v>
          </cell>
        </row>
        <row r="917">
          <cell r="A917" t="str">
            <v>TEE PRESION 3/4" T. PAVCO</v>
          </cell>
          <cell r="B917" t="str">
            <v>UND</v>
          </cell>
          <cell r="C917">
            <v>1163.4000000000001</v>
          </cell>
        </row>
        <row r="918">
          <cell r="A918" t="str">
            <v>TEE SANITARIA 2" PAVCO</v>
          </cell>
          <cell r="B918" t="str">
            <v>UND</v>
          </cell>
          <cell r="C918">
            <v>4305</v>
          </cell>
        </row>
        <row r="919">
          <cell r="A919" t="str">
            <v>TEE SANITARIA 3" PAVCO</v>
          </cell>
          <cell r="B919" t="str">
            <v>UND</v>
          </cell>
          <cell r="C919">
            <v>4305</v>
          </cell>
        </row>
        <row r="920">
          <cell r="A920" t="str">
            <v>TEE SANITARIA 4" PAVCO</v>
          </cell>
          <cell r="B920" t="str">
            <v>UND</v>
          </cell>
          <cell r="C920">
            <v>9345</v>
          </cell>
        </row>
        <row r="921">
          <cell r="A921" t="str">
            <v>TEJA ACRILICA GRECA CRISTAL 0.97 X 2.95 M ARKOS</v>
          </cell>
          <cell r="B921" t="str">
            <v>UND</v>
          </cell>
          <cell r="C921">
            <v>59900</v>
          </cell>
        </row>
        <row r="922">
          <cell r="A922" t="str">
            <v>TEJA DE BARRO CARTABON  16 X 37 CMS (30 UND X M2)</v>
          </cell>
          <cell r="B922" t="str">
            <v>UND</v>
          </cell>
          <cell r="C922">
            <v>650</v>
          </cell>
        </row>
        <row r="923">
          <cell r="A923" t="str">
            <v>TEJA DE BARRO ESPAÑOLA  18/16 X 40 CMS (24 UND X M2)</v>
          </cell>
          <cell r="B923" t="str">
            <v>UND</v>
          </cell>
          <cell r="C923">
            <v>900</v>
          </cell>
        </row>
        <row r="924">
          <cell r="A924" t="str">
            <v>TEJA DE BARRO TIPO "S"  28.5/15 X 46 CMS (11 UND X M2)</v>
          </cell>
          <cell r="B924" t="str">
            <v>UND</v>
          </cell>
          <cell r="C924">
            <v>1620</v>
          </cell>
        </row>
        <row r="925">
          <cell r="A925" t="str">
            <v>TEJA DE POLICARBONATO AJOTA 0.83 X 2.40 M PERFIL TRAPEZOIDAL MARCA AJOVER</v>
          </cell>
          <cell r="B925" t="str">
            <v>UN</v>
          </cell>
          <cell r="C925">
            <v>79900</v>
          </cell>
        </row>
        <row r="926">
          <cell r="A926" t="str">
            <v>TEJA ESPAÑOLA EN FIBROCEMENTO ETERNIT 1.34 M</v>
          </cell>
          <cell r="B926" t="str">
            <v>UND</v>
          </cell>
          <cell r="C926">
            <v>46800</v>
          </cell>
        </row>
        <row r="927">
          <cell r="A927" t="str">
            <v>TEJA FIBROCEMENTO NO. 10  92 X 305 cms</v>
          </cell>
          <cell r="B927" t="str">
            <v>un</v>
          </cell>
          <cell r="C927">
            <v>32900</v>
          </cell>
        </row>
        <row r="928">
          <cell r="A928" t="str">
            <v>TEJA FIBROCEMENTO NO. 4   92 X 122 cms</v>
          </cell>
          <cell r="B928" t="str">
            <v>un</v>
          </cell>
          <cell r="C928">
            <v>14300</v>
          </cell>
        </row>
        <row r="929">
          <cell r="A929" t="str">
            <v>TEJA FIBROCEMENTO NO. 6   92 X 183 cms</v>
          </cell>
          <cell r="B929" t="str">
            <v>un</v>
          </cell>
          <cell r="C929">
            <v>17800</v>
          </cell>
        </row>
        <row r="930">
          <cell r="A930" t="str">
            <v>TEJA FIBROCEMENTO NO. 8   92 X 244 cms</v>
          </cell>
          <cell r="B930" t="str">
            <v>un</v>
          </cell>
          <cell r="C930">
            <v>23000</v>
          </cell>
        </row>
        <row r="931">
          <cell r="A931" t="str">
            <v>TEJA METALICA TERMOACUSTICA TIPO TECHOLINE 0.95 X 2.00 M REF. ONDULINE</v>
          </cell>
          <cell r="B931" t="str">
            <v>un</v>
          </cell>
          <cell r="C931">
            <v>28200</v>
          </cell>
        </row>
        <row r="932">
          <cell r="A932" t="str">
            <v>TEJA ONDULADA 1000 No. 6 ETERNIT</v>
          </cell>
          <cell r="B932" t="str">
            <v>un</v>
          </cell>
          <cell r="C932">
            <v>43500</v>
          </cell>
        </row>
        <row r="933">
          <cell r="A933" t="str">
            <v>TEJA ONDULADA DE ZINC  0.80 X 2.43 M CAL. 34</v>
          </cell>
          <cell r="B933" t="str">
            <v>UND</v>
          </cell>
          <cell r="C933">
            <v>16354</v>
          </cell>
        </row>
        <row r="934">
          <cell r="A934" t="str">
            <v>TEJA ONDULADA EN FIBROCEMENTO No. 6  0.92 X 1.83 M</v>
          </cell>
          <cell r="B934" t="str">
            <v>UND</v>
          </cell>
          <cell r="C934">
            <v>21650</v>
          </cell>
        </row>
        <row r="935">
          <cell r="A935" t="str">
            <v>TEJA PANEL METÁLICO DE ALUZINC - ALUZINC CAL 26 TIPO SANDUCHE</v>
          </cell>
          <cell r="B935" t="str">
            <v>M2</v>
          </cell>
          <cell r="C935">
            <v>125600</v>
          </cell>
        </row>
        <row r="936">
          <cell r="A936" t="str">
            <v>TEJA PLASTICA No.6 TIPO AJONIT AJOVER  0.92 X 1.83 M</v>
          </cell>
          <cell r="B936" t="str">
            <v>UND</v>
          </cell>
          <cell r="C936">
            <v>28800</v>
          </cell>
        </row>
        <row r="937">
          <cell r="A937" t="str">
            <v>TEJA POLICARBONATO ALVEOLAR 6 MM 1.05 X 2.95 M CRISTAL</v>
          </cell>
          <cell r="B937" t="str">
            <v>UND</v>
          </cell>
          <cell r="C937">
            <v>85900</v>
          </cell>
        </row>
        <row r="938">
          <cell r="A938" t="str">
            <v>TEJA SHINGLE COLOR</v>
          </cell>
          <cell r="B938" t="str">
            <v>M2</v>
          </cell>
          <cell r="C938">
            <v>49900</v>
          </cell>
        </row>
        <row r="939">
          <cell r="A939" t="str">
            <v>TEJA TERMOACUSTICA ONDULADA No. 8  0.80 X 2.44 M</v>
          </cell>
          <cell r="B939" t="str">
            <v>UND</v>
          </cell>
          <cell r="C939">
            <v>15900</v>
          </cell>
        </row>
        <row r="940">
          <cell r="A940" t="str">
            <v>TEJA TERMOACUSTICA PERFIL TRAPEZOIDAL 0.82 X 2.44 M COLOR VERDE O AZUL</v>
          </cell>
          <cell r="B940" t="str">
            <v>UND</v>
          </cell>
          <cell r="C940">
            <v>51200</v>
          </cell>
        </row>
        <row r="941">
          <cell r="A941" t="str">
            <v>TENSOR DE ACOMETIDA B.P x 21MM</v>
          </cell>
          <cell r="B941" t="str">
            <v>UN</v>
          </cell>
          <cell r="C941">
            <v>2530</v>
          </cell>
        </row>
        <row r="942">
          <cell r="A942" t="str">
            <v>TERMINALES</v>
          </cell>
          <cell r="B942" t="str">
            <v>GLB</v>
          </cell>
          <cell r="C942">
            <v>17400</v>
          </cell>
        </row>
        <row r="943">
          <cell r="A943" t="str">
            <v>THINER</v>
          </cell>
          <cell r="B943" t="str">
            <v>GLN</v>
          </cell>
          <cell r="C943">
            <v>14238</v>
          </cell>
        </row>
        <row r="944">
          <cell r="A944" t="str">
            <v>TIERRA NEGRA</v>
          </cell>
          <cell r="B944" t="str">
            <v>M3</v>
          </cell>
          <cell r="C944">
            <v>89250</v>
          </cell>
        </row>
        <row r="945">
          <cell r="A945" t="str">
            <v>TINTILLA PARA MADERA</v>
          </cell>
          <cell r="B945" t="str">
            <v>LT</v>
          </cell>
          <cell r="C945">
            <v>28245</v>
          </cell>
        </row>
        <row r="946">
          <cell r="A946" t="str">
            <v>TIRO PISTOLA NEUMATICA HITELL</v>
          </cell>
          <cell r="B946" t="str">
            <v>UND</v>
          </cell>
          <cell r="C946">
            <v>2100</v>
          </cell>
        </row>
        <row r="947">
          <cell r="A947" t="str">
            <v>TOMA CORRIENTE BIFASICA (2x20 A/250 V) L.ABITARE</v>
          </cell>
          <cell r="B947" t="str">
            <v>UN</v>
          </cell>
          <cell r="C947">
            <v>15600</v>
          </cell>
        </row>
        <row r="948">
          <cell r="A948" t="str">
            <v>TOMA DOBLE AMERICANA 600 POLO TIERRA AVE</v>
          </cell>
          <cell r="B948" t="str">
            <v>UN</v>
          </cell>
          <cell r="C948">
            <v>9600</v>
          </cell>
        </row>
        <row r="949">
          <cell r="A949" t="str">
            <v>TOMA GFCI FALLA A TIERRA 15 AMP</v>
          </cell>
          <cell r="B949" t="str">
            <v>UN</v>
          </cell>
          <cell r="C949">
            <v>45000</v>
          </cell>
        </row>
        <row r="950">
          <cell r="A950" t="str">
            <v>TOMA TELEFONICA</v>
          </cell>
          <cell r="B950" t="str">
            <v>UN</v>
          </cell>
          <cell r="C950">
            <v>6900</v>
          </cell>
        </row>
        <row r="951">
          <cell r="A951" t="str">
            <v>TOMA TRIFASICA 50 AMP</v>
          </cell>
          <cell r="B951" t="str">
            <v>UN</v>
          </cell>
          <cell r="C951">
            <v>17800</v>
          </cell>
        </row>
        <row r="952">
          <cell r="A952" t="str">
            <v>TOMA TV AMERICANA ABITARE COAXIAL AVE</v>
          </cell>
          <cell r="B952" t="str">
            <v>UN</v>
          </cell>
          <cell r="C952">
            <v>9500</v>
          </cell>
        </row>
        <row r="953">
          <cell r="A953" t="str">
            <v>TORNILLO  3/8 X 10 INCI TUERCA ARANDELA GRUESA</v>
          </cell>
          <cell r="B953" t="str">
            <v>UND</v>
          </cell>
          <cell r="C953">
            <v>4405.8</v>
          </cell>
        </row>
        <row r="954">
          <cell r="A954" t="str">
            <v>TORNILLO 1*6`` CANAL RAINGO</v>
          </cell>
          <cell r="B954" t="str">
            <v>UND</v>
          </cell>
          <cell r="C954">
            <v>35</v>
          </cell>
        </row>
        <row r="955">
          <cell r="A955" t="str">
            <v>TORNILLO 3 X 7/8 GRAD 8 COMPLETO</v>
          </cell>
          <cell r="B955" t="str">
            <v>UND</v>
          </cell>
          <cell r="C955">
            <v>4368</v>
          </cell>
        </row>
        <row r="956">
          <cell r="A956" t="str">
            <v>TORNILLO 3/4 X 1/4 IND. TUERCA, ARANDELA GRUESA</v>
          </cell>
          <cell r="B956" t="str">
            <v>UND</v>
          </cell>
          <cell r="C956">
            <v>26079.9</v>
          </cell>
        </row>
        <row r="957">
          <cell r="A957" t="str">
            <v>TORNILLO 3/8" X 10" INCLUYE TUERCA, ARANDELA Y GUASA</v>
          </cell>
          <cell r="B957" t="str">
            <v>UND</v>
          </cell>
          <cell r="C957">
            <v>4407.9000000000005</v>
          </cell>
        </row>
        <row r="958">
          <cell r="A958" t="str">
            <v>TORNILLO 3/8X2" G5</v>
          </cell>
          <cell r="B958" t="str">
            <v>UND</v>
          </cell>
          <cell r="C958">
            <v>730.8</v>
          </cell>
        </row>
        <row r="959">
          <cell r="A959" t="str">
            <v>TORNILLO 7 * 7/16  CORTO GYPLAC PZ</v>
          </cell>
          <cell r="B959" t="str">
            <v>UND</v>
          </cell>
          <cell r="C959">
            <v>17.850000000000001</v>
          </cell>
        </row>
        <row r="960">
          <cell r="A960" t="str">
            <v>TORNILLO ACERO 1/4" X 1/2"</v>
          </cell>
          <cell r="B960" t="str">
            <v>UND</v>
          </cell>
          <cell r="C960">
            <v>210</v>
          </cell>
        </row>
        <row r="961">
          <cell r="A961" t="str">
            <v>TORNILLO ACERO 5/8 X 10 GAL. 8</v>
          </cell>
          <cell r="B961" t="str">
            <v>UND</v>
          </cell>
          <cell r="C961">
            <v>3895.5</v>
          </cell>
        </row>
        <row r="962">
          <cell r="A962" t="str">
            <v>TORNILLO AUTOPE 7/16" X 3/16"</v>
          </cell>
          <cell r="B962" t="str">
            <v>UND</v>
          </cell>
          <cell r="C962">
            <v>105</v>
          </cell>
        </row>
        <row r="963">
          <cell r="A963" t="str">
            <v>TORNILLO AUTOPENETRANTE SELLO NEOPRENO 3/4"X3/16"</v>
          </cell>
          <cell r="B963" t="str">
            <v>UND</v>
          </cell>
          <cell r="C963">
            <v>126</v>
          </cell>
        </row>
        <row r="964">
          <cell r="A964" t="str">
            <v>TORNILLO AUTOPERFORANTE 14-14X1-1/2" ARANDELA EPDM</v>
          </cell>
          <cell r="B964" t="str">
            <v>UND</v>
          </cell>
          <cell r="C964">
            <v>52.5</v>
          </cell>
        </row>
        <row r="965">
          <cell r="A965" t="str">
            <v>TORNILLO AUTOPERFORANTE/SELLO DE NEOPRENO</v>
          </cell>
          <cell r="B965" t="str">
            <v>UND</v>
          </cell>
          <cell r="C965">
            <v>180</v>
          </cell>
        </row>
        <row r="966">
          <cell r="A966" t="str">
            <v>TORNILLO CARRUAJE 5/8"  X  1 1/2"</v>
          </cell>
          <cell r="B966" t="str">
            <v>UND</v>
          </cell>
          <cell r="C966">
            <v>1320</v>
          </cell>
        </row>
        <row r="967">
          <cell r="A967" t="str">
            <v>TORNILLO CON CHAZO COLAPSIBLE 1/4" 1-1/2"</v>
          </cell>
          <cell r="B967" t="str">
            <v>UND</v>
          </cell>
          <cell r="C967">
            <v>271.95</v>
          </cell>
        </row>
        <row r="968">
          <cell r="A968" t="str">
            <v>TORNILLO DE ACERO GALVANIZADO 5/8``X12``</v>
          </cell>
          <cell r="B968" t="str">
            <v>un</v>
          </cell>
          <cell r="C968">
            <v>4740</v>
          </cell>
        </row>
        <row r="969">
          <cell r="A969" t="str">
            <v>TORNILLO DE ACERO GALVANIZADO 5/8``X2``</v>
          </cell>
          <cell r="B969" t="str">
            <v>un</v>
          </cell>
          <cell r="C969">
            <v>1690</v>
          </cell>
        </row>
        <row r="970">
          <cell r="A970" t="str">
            <v>TORNILLO DE CABEZA EXTRAPLANO 8" X 1"</v>
          </cell>
          <cell r="B970" t="str">
            <v>UND</v>
          </cell>
          <cell r="C970">
            <v>91.35</v>
          </cell>
        </row>
        <row r="971">
          <cell r="A971" t="str">
            <v>TORNILLO DE CARRUAJE 5/8 X 1 1/2``</v>
          </cell>
          <cell r="B971" t="str">
            <v>und</v>
          </cell>
          <cell r="C971">
            <v>1320</v>
          </cell>
        </row>
        <row r="972">
          <cell r="A972" t="str">
            <v>TORNILLO FIJADOR ALA 7/8"</v>
          </cell>
          <cell r="B972" t="str">
            <v>UND</v>
          </cell>
          <cell r="C972">
            <v>210</v>
          </cell>
        </row>
        <row r="973">
          <cell r="A973" t="str">
            <v>TORNILLO GOLOSO 1 X 8</v>
          </cell>
          <cell r="B973" t="str">
            <v>UND</v>
          </cell>
          <cell r="C973">
            <v>30.45</v>
          </cell>
        </row>
        <row r="974">
          <cell r="A974" t="str">
            <v>TORNILLO GOLOSO 4 X 1/4</v>
          </cell>
          <cell r="B974" t="str">
            <v>UND</v>
          </cell>
          <cell r="C974">
            <v>210</v>
          </cell>
        </row>
        <row r="975">
          <cell r="A975" t="str">
            <v>TORNILLO P/CANALETA 43 MET</v>
          </cell>
          <cell r="B975" t="str">
            <v>un</v>
          </cell>
          <cell r="C975">
            <v>1020</v>
          </cell>
        </row>
        <row r="976">
          <cell r="A976" t="str">
            <v>TORNILLO P/CANALETA 90</v>
          </cell>
          <cell r="B976" t="str">
            <v>un</v>
          </cell>
          <cell r="C976">
            <v>1650</v>
          </cell>
        </row>
        <row r="977">
          <cell r="A977" t="str">
            <v>TORNILLO PARA AGLOMERADO AUTOPERFORANTE</v>
          </cell>
          <cell r="B977" t="str">
            <v>UND</v>
          </cell>
          <cell r="C977">
            <v>24.15</v>
          </cell>
        </row>
        <row r="978">
          <cell r="A978" t="str">
            <v>TORNILLO PARA MADERA  2 X 8</v>
          </cell>
          <cell r="B978" t="str">
            <v>UND</v>
          </cell>
          <cell r="C978">
            <v>8.4</v>
          </cell>
        </row>
        <row r="979">
          <cell r="A979" t="str">
            <v>TORNILLO STANDAR 6 * 1 LARGO GYPLAC</v>
          </cell>
          <cell r="B979" t="str">
            <v>UND</v>
          </cell>
          <cell r="C979">
            <v>31.67</v>
          </cell>
        </row>
        <row r="980">
          <cell r="A980" t="str">
            <v>TORNILLO TIRAFONDO 3/8 X 3</v>
          </cell>
          <cell r="B980" t="str">
            <v>UND</v>
          </cell>
          <cell r="C980">
            <v>262.5</v>
          </cell>
        </row>
        <row r="981">
          <cell r="A981" t="str">
            <v>TORNILLOS 1/2  X 10 INCLUYE TUERCA, ARANDELA GRUESA</v>
          </cell>
          <cell r="B981" t="str">
            <v>UND</v>
          </cell>
          <cell r="C981">
            <v>3383.1</v>
          </cell>
        </row>
        <row r="982">
          <cell r="A982" t="str">
            <v>TORON DE TENSIONAMIENTO 1/2" - 5/8" GRADO 270 K BAJA RELAJACION</v>
          </cell>
          <cell r="B982" t="str">
            <v>KG</v>
          </cell>
          <cell r="C982">
            <v>4600</v>
          </cell>
        </row>
        <row r="983">
          <cell r="A983" t="str">
            <v>TRAMPA DE GRASAS 250 LT PVC</v>
          </cell>
          <cell r="B983" t="str">
            <v>UND</v>
          </cell>
          <cell r="C983">
            <v>102565.05</v>
          </cell>
        </row>
        <row r="984">
          <cell r="A984" t="str">
            <v>TRANSFORMADOR DE PEDESTAL 30 KVA. INCLUYE JUEGO TERMINALES PREMOLDEADOS TIPO BUJE Y TIPO CODO.DISPOSITIVOS PARQUEO, PROTECCIONES</v>
          </cell>
          <cell r="B984" t="str">
            <v>UND</v>
          </cell>
          <cell r="C984">
            <v>14565400</v>
          </cell>
        </row>
        <row r="985">
          <cell r="A985" t="str">
            <v>TRANSFORMADOR MONOFASICO 10KVA</v>
          </cell>
          <cell r="B985" t="str">
            <v>UND</v>
          </cell>
          <cell r="C985">
            <v>2050171</v>
          </cell>
        </row>
        <row r="986">
          <cell r="A986" t="str">
            <v>TRANSFORMADOR MONOFASICO 15 KVA</v>
          </cell>
          <cell r="B986" t="str">
            <v>UND</v>
          </cell>
          <cell r="C986">
            <v>2345885</v>
          </cell>
        </row>
        <row r="987">
          <cell r="A987" t="str">
            <v>TRANSFORMADOR MONOFASICO 25 KVA</v>
          </cell>
          <cell r="B987" t="str">
            <v>UND</v>
          </cell>
          <cell r="C987">
            <v>3099096</v>
          </cell>
        </row>
        <row r="988">
          <cell r="A988" t="str">
            <v>TRANSFORMADOR MONOFASICO 5 KVA</v>
          </cell>
          <cell r="B988" t="str">
            <v>UND</v>
          </cell>
          <cell r="C988">
            <v>1865000</v>
          </cell>
        </row>
        <row r="989">
          <cell r="A989" t="str">
            <v>TRANSFORMADOR TRIFASICO 112.5 KVA</v>
          </cell>
          <cell r="B989" t="str">
            <v>UND</v>
          </cell>
          <cell r="C989">
            <v>7950000</v>
          </cell>
        </row>
        <row r="990">
          <cell r="A990" t="str">
            <v>TRANSFORMADOR TRIFASICO 30 KVA</v>
          </cell>
          <cell r="B990" t="str">
            <v>UND</v>
          </cell>
          <cell r="C990">
            <v>3850000</v>
          </cell>
        </row>
        <row r="991">
          <cell r="A991" t="str">
            <v>TRANSFORMADOR TRIFASICO 45 KVA</v>
          </cell>
          <cell r="B991" t="str">
            <v>UND</v>
          </cell>
          <cell r="C991">
            <v>5162700</v>
          </cell>
        </row>
        <row r="992">
          <cell r="A992" t="str">
            <v>TRANSFORMADOR TRIFASICO 75 KVA</v>
          </cell>
          <cell r="B992" t="str">
            <v>UND</v>
          </cell>
          <cell r="C992">
            <v>6250000</v>
          </cell>
        </row>
        <row r="993">
          <cell r="A993" t="str">
            <v>TRANSFORMADORES DE CORRIENTE MEDIDA 200/ 5 A</v>
          </cell>
          <cell r="B993" t="str">
            <v>UND</v>
          </cell>
          <cell r="C993">
            <v>65200</v>
          </cell>
        </row>
        <row r="994">
          <cell r="A994" t="str">
            <v>TRANSPORTE CRUDO DE CASTILLA</v>
          </cell>
          <cell r="B994" t="str">
            <v>GL/KM</v>
          </cell>
          <cell r="C994">
            <v>5.7</v>
          </cell>
        </row>
        <row r="995">
          <cell r="A995" t="str">
            <v>TRANSPORTE DE BASES ASFALTICAS</v>
          </cell>
          <cell r="B995" t="str">
            <v>M3/KM</v>
          </cell>
          <cell r="C995">
            <v>1500</v>
          </cell>
        </row>
        <row r="996">
          <cell r="A996" t="str">
            <v>TRANSPORTE DE MATERIAL (VOLQUETA ACARREO)</v>
          </cell>
          <cell r="B996" t="str">
            <v>M3/KM</v>
          </cell>
          <cell r="C996">
            <v>1300</v>
          </cell>
        </row>
        <row r="997">
          <cell r="A997" t="str">
            <v>TRANSPORTE DE MATERIALES</v>
          </cell>
          <cell r="B997" t="str">
            <v xml:space="preserve"> % </v>
          </cell>
          <cell r="C997">
            <v>328144</v>
          </cell>
        </row>
        <row r="998">
          <cell r="A998" t="str">
            <v>TRANSPORTE DE MATERIAL BOGOTÁ-VILLAVICENCIO EQUIPO ELÉCTRICO ESPECIAL</v>
          </cell>
          <cell r="B998" t="str">
            <v>GLD</v>
          </cell>
          <cell r="C998">
            <v>290000</v>
          </cell>
        </row>
        <row r="999">
          <cell r="A999" t="str">
            <v>TRANSPORTE DE MATERIALES</v>
          </cell>
          <cell r="B999" t="str">
            <v xml:space="preserve"> % </v>
          </cell>
          <cell r="C999">
            <v>15522533</v>
          </cell>
        </row>
        <row r="1000">
          <cell r="A1000" t="str">
            <v>TRANSPORTE DE MATERIALES</v>
          </cell>
          <cell r="B1000" t="str">
            <v xml:space="preserve"> % </v>
          </cell>
          <cell r="C1000">
            <v>6027290</v>
          </cell>
        </row>
        <row r="1001">
          <cell r="A1001" t="str">
            <v>TRITURADO DE RIO</v>
          </cell>
          <cell r="B1001" t="str">
            <v>M3</v>
          </cell>
          <cell r="C1001">
            <v>56175</v>
          </cell>
        </row>
        <row r="1002">
          <cell r="A1002" t="str">
            <v>TROMPETAS DE DOCE TORONES  (TENSIONAMIENTO)</v>
          </cell>
          <cell r="B1002" t="str">
            <v>KG</v>
          </cell>
          <cell r="C1002">
            <v>58126</v>
          </cell>
        </row>
        <row r="1003">
          <cell r="A1003" t="str">
            <v>TUBERIA  A. N. 2 (0.128 X 3.25 MM)  PESADO</v>
          </cell>
          <cell r="B1003" t="str">
            <v>ML</v>
          </cell>
          <cell r="C1003">
            <v>15232.35</v>
          </cell>
        </row>
        <row r="1004">
          <cell r="A1004" t="str">
            <v>TUBERIA A. N. 1 LIVIANO 2.3 MM (0.090)</v>
          </cell>
          <cell r="B1004" t="str">
            <v>ML</v>
          </cell>
          <cell r="C1004">
            <v>6107.85</v>
          </cell>
        </row>
        <row r="1005">
          <cell r="A1005" t="str">
            <v>TUBERIA A.N 2`` (0,128``,3.25MM) PESADO</v>
          </cell>
          <cell r="B1005" t="str">
            <v>ML</v>
          </cell>
          <cell r="C1005">
            <v>15232.35</v>
          </cell>
        </row>
        <row r="1006">
          <cell r="A1006" t="str">
            <v>TUBERIA DE 10" PARA VACIADO TREMI DE 4"</v>
          </cell>
          <cell r="B1006" t="str">
            <v>UND</v>
          </cell>
          <cell r="C1006">
            <v>68790</v>
          </cell>
        </row>
        <row r="1007">
          <cell r="A1007" t="str">
            <v>TUBERIA PVC DRENAJE D=100MM (EN ROLLO CON FILTRO)</v>
          </cell>
          <cell r="B1007" t="str">
            <v>ML</v>
          </cell>
          <cell r="C1007">
            <v>28536</v>
          </cell>
        </row>
        <row r="1008">
          <cell r="A1008" t="str">
            <v>TUBO  A.N. 3 (0.128 , 3.25 MM ) PESADO</v>
          </cell>
          <cell r="B1008" t="str">
            <v>ML</v>
          </cell>
          <cell r="C1008">
            <v>22392.3</v>
          </cell>
        </row>
        <row r="1009">
          <cell r="A1009" t="str">
            <v>TUBO  GALVANIZADO SHC-40  2 1/2"</v>
          </cell>
          <cell r="B1009" t="str">
            <v>ML</v>
          </cell>
          <cell r="C1009">
            <v>50800</v>
          </cell>
        </row>
        <row r="1010">
          <cell r="A1010" t="str">
            <v>TUBO  GALVANIZADO SHC-40  4"</v>
          </cell>
          <cell r="B1010" t="str">
            <v>ML</v>
          </cell>
          <cell r="C1010">
            <v>100132</v>
          </cell>
        </row>
        <row r="1011">
          <cell r="A1011" t="str">
            <v>TUBO A.N 11/2`` (0,075``, 1,90MM) INTERMEDIO</v>
          </cell>
          <cell r="B1011" t="str">
            <v>ML</v>
          </cell>
          <cell r="C1011">
            <v>7245</v>
          </cell>
        </row>
        <row r="1012">
          <cell r="A1012" t="str">
            <v>TUBO A.N. 1-1/4" (0.059", 1.50 MM) LIVIANO</v>
          </cell>
          <cell r="B1012" t="str">
            <v>ML</v>
          </cell>
          <cell r="C1012">
            <v>5197.5</v>
          </cell>
        </row>
        <row r="1013">
          <cell r="A1013" t="str">
            <v>TUBO A.N. 4" (0.128", 3.25 MM) PESADO</v>
          </cell>
          <cell r="B1013" t="str">
            <v>ML</v>
          </cell>
          <cell r="C1013">
            <v>29088.15</v>
          </cell>
        </row>
        <row r="1014">
          <cell r="A1014" t="str">
            <v>TUBO COBRE 1/2" TIO L ASTM B-88</v>
          </cell>
          <cell r="B1014" t="str">
            <v>ML</v>
          </cell>
          <cell r="C1014">
            <v>11445</v>
          </cell>
        </row>
        <row r="1015">
          <cell r="A1015" t="str">
            <v>TUBO CONCRETO REFORZADO 24" CLASE II  L= 2.5 MT ÚTIL - NTC 401</v>
          </cell>
          <cell r="B1015" t="str">
            <v>ML</v>
          </cell>
          <cell r="C1015">
            <v>190184</v>
          </cell>
        </row>
        <row r="1016">
          <cell r="A1016" t="str">
            <v>TUBO CONCRETO REFORZADO 36" CLASE III  L= 2.5 MT ÚTIL - NTC 401</v>
          </cell>
          <cell r="B1016" t="str">
            <v>ML</v>
          </cell>
          <cell r="C1016">
            <v>382700</v>
          </cell>
        </row>
        <row r="1017">
          <cell r="A1017" t="str">
            <v>TUBO CONDUIT DUCTO PVC 3``</v>
          </cell>
          <cell r="B1017" t="str">
            <v>ML</v>
          </cell>
          <cell r="C1017">
            <v>9200</v>
          </cell>
        </row>
        <row r="1018">
          <cell r="A1018" t="str">
            <v>TUBO CONDUIT EMT 3/4``</v>
          </cell>
          <cell r="B1018" t="str">
            <v>ML</v>
          </cell>
          <cell r="C1018">
            <v>3706.5</v>
          </cell>
        </row>
        <row r="1019">
          <cell r="A1019" t="str">
            <v>TUBO CONDUIT METALICO 1 `` e= 3.2 MM</v>
          </cell>
          <cell r="B1019" t="str">
            <v>ML</v>
          </cell>
          <cell r="C1019">
            <v>5120</v>
          </cell>
        </row>
        <row r="1020">
          <cell r="A1020" t="str">
            <v>TUBO CONDUIT METALICO 1/2``</v>
          </cell>
          <cell r="B1020" t="str">
            <v>ML</v>
          </cell>
          <cell r="C1020">
            <v>7314</v>
          </cell>
        </row>
        <row r="1021">
          <cell r="A1021" t="str">
            <v>TUBO CONDUIT METALICO 3``</v>
          </cell>
          <cell r="B1021" t="str">
            <v>ML</v>
          </cell>
          <cell r="C1021">
            <v>65000</v>
          </cell>
        </row>
        <row r="1022">
          <cell r="A1022" t="str">
            <v>TUBO CONDUIT METÁLICO 3`` X 3 METROS TIPO IMC</v>
          </cell>
          <cell r="B1022" t="str">
            <v>UND</v>
          </cell>
          <cell r="C1022">
            <v>195000</v>
          </cell>
        </row>
        <row r="1023">
          <cell r="A1023" t="str">
            <v>TUBO CONDUIT PVC ½ ``</v>
          </cell>
          <cell r="B1023" t="str">
            <v>ML</v>
          </cell>
          <cell r="C1023">
            <v>1150</v>
          </cell>
        </row>
        <row r="1024">
          <cell r="A1024" t="str">
            <v>TUBO CONDUIT PVC 1 ``</v>
          </cell>
          <cell r="B1024" t="str">
            <v>ML</v>
          </cell>
          <cell r="C1024">
            <v>2980</v>
          </cell>
        </row>
        <row r="1025">
          <cell r="A1025" t="str">
            <v>TUBO CONDUIT PVC 1 ¼``</v>
          </cell>
          <cell r="B1025" t="str">
            <v>ML</v>
          </cell>
          <cell r="C1025">
            <v>3120</v>
          </cell>
        </row>
        <row r="1026">
          <cell r="A1026" t="str">
            <v>TUBO CONDUIT PVC 1 1/2`` TIPO PESADO COLMENA</v>
          </cell>
          <cell r="B1026" t="str">
            <v>ML</v>
          </cell>
          <cell r="C1026">
            <v>3650</v>
          </cell>
        </row>
        <row r="1027">
          <cell r="A1027" t="str">
            <v>TUBO CONDUIT PVC 1½``</v>
          </cell>
          <cell r="B1027" t="str">
            <v>ML</v>
          </cell>
          <cell r="C1027">
            <v>3480</v>
          </cell>
        </row>
        <row r="1028">
          <cell r="A1028" t="str">
            <v>TUBO CONDUIT PVC 2``</v>
          </cell>
          <cell r="B1028" t="str">
            <v>ML</v>
          </cell>
          <cell r="C1028">
            <v>4350</v>
          </cell>
        </row>
        <row r="1029">
          <cell r="A1029" t="str">
            <v>TUBO CONDUIT PVC 3/4``</v>
          </cell>
          <cell r="B1029" t="str">
            <v>ML</v>
          </cell>
          <cell r="C1029">
            <v>1750</v>
          </cell>
        </row>
        <row r="1030">
          <cell r="A1030" t="str">
            <v>TUBO CUADRADO 1 CALIBRE 18 (1.20MM)</v>
          </cell>
          <cell r="B1030" t="str">
            <v>ML</v>
          </cell>
          <cell r="C1030">
            <v>3355.8</v>
          </cell>
        </row>
        <row r="1031">
          <cell r="A1031" t="str">
            <v>TUBO CUADRADO 1-1/2" CAL 20 (0.90 MM)</v>
          </cell>
          <cell r="B1031" t="str">
            <v>ML</v>
          </cell>
          <cell r="C1031">
            <v>4322.8500000000004</v>
          </cell>
        </row>
        <row r="1032">
          <cell r="A1032" t="str">
            <v>TUBO DRENAJE PVC 100 MM PAVCO</v>
          </cell>
          <cell r="B1032" t="str">
            <v>ML</v>
          </cell>
          <cell r="C1032">
            <v>21619.5</v>
          </cell>
        </row>
        <row r="1033">
          <cell r="A1033" t="str">
            <v>TUBO DRENAJE PVC 65 MM PAVCO</v>
          </cell>
          <cell r="B1033" t="str">
            <v>ML</v>
          </cell>
          <cell r="C1033">
            <v>12551.7</v>
          </cell>
        </row>
        <row r="1034">
          <cell r="A1034" t="str">
            <v>TUBO GALVANIZADO 1-1/2", E=0.075" (1.90 MM)</v>
          </cell>
          <cell r="B1034" t="str">
            <v>ML</v>
          </cell>
          <cell r="C1034">
            <v>8169</v>
          </cell>
        </row>
        <row r="1035">
          <cell r="A1035" t="str">
            <v>TUBO GALVANIZADO 2"  (LIVIANO) E= 0.075 (1.90MM)</v>
          </cell>
          <cell r="B1035" t="str">
            <v>M</v>
          </cell>
          <cell r="C1035">
            <v>11934.3</v>
          </cell>
        </row>
        <row r="1036">
          <cell r="A1036" t="str">
            <v>TUBO NOVAFORT 6" ALCANTARILLADO</v>
          </cell>
          <cell r="B1036" t="str">
            <v>ML</v>
          </cell>
          <cell r="C1036">
            <v>38034.15</v>
          </cell>
        </row>
        <row r="1037">
          <cell r="A1037" t="str">
            <v>TUBO PRESIÓN 1" (21-200 PSI) PAVCO</v>
          </cell>
          <cell r="B1037" t="str">
            <v>ML</v>
          </cell>
          <cell r="C1037">
            <v>2782.5</v>
          </cell>
        </row>
        <row r="1038">
          <cell r="A1038" t="str">
            <v>TUBO PRESION 1/2" 13.5-315 PSI PAVCO</v>
          </cell>
          <cell r="B1038" t="str">
            <v>ML</v>
          </cell>
          <cell r="C1038">
            <v>1808.1</v>
          </cell>
        </row>
        <row r="1039">
          <cell r="A1039" t="str">
            <v>TUBO PRESION 1-1/2" 21-200 PSI PAVCO</v>
          </cell>
          <cell r="B1039" t="str">
            <v>ML</v>
          </cell>
          <cell r="C1039">
            <v>6282.15</v>
          </cell>
        </row>
        <row r="1040">
          <cell r="A1040" t="str">
            <v>TUBO PRESION 2" 21-200 PSI PAVCO</v>
          </cell>
          <cell r="B1040" t="str">
            <v>ML</v>
          </cell>
          <cell r="C1040">
            <v>8207.5400000000009</v>
          </cell>
        </row>
        <row r="1041">
          <cell r="A1041" t="str">
            <v>TUBO PRESION 3/4" 21-200 PSI PAVCO</v>
          </cell>
          <cell r="B1041" t="str">
            <v>ML</v>
          </cell>
          <cell r="C1041">
            <v>1907.85</v>
          </cell>
        </row>
        <row r="1042">
          <cell r="A1042" t="str">
            <v>TUBO PVC 20" TIPO RIBLOC</v>
          </cell>
          <cell r="B1042" t="str">
            <v>ML</v>
          </cell>
          <cell r="C1042">
            <v>175757.4</v>
          </cell>
        </row>
        <row r="1043">
          <cell r="A1043" t="str">
            <v>TUBO PVC 23" TIPO RIBLOC</v>
          </cell>
          <cell r="B1043" t="str">
            <v>ML</v>
          </cell>
          <cell r="C1043">
            <v>224519.4</v>
          </cell>
        </row>
        <row r="1044">
          <cell r="A1044" t="str">
            <v>TUBO PVC 3``</v>
          </cell>
          <cell r="B1044" t="str">
            <v>ML</v>
          </cell>
          <cell r="C1044">
            <v>9200</v>
          </cell>
        </row>
        <row r="1045">
          <cell r="A1045" t="str">
            <v>TUBO PVC DRENAJE 160 MM (6") SIN FILTRO</v>
          </cell>
          <cell r="B1045" t="str">
            <v>ML</v>
          </cell>
          <cell r="C1045">
            <v>53253.9</v>
          </cell>
        </row>
        <row r="1046">
          <cell r="A1046" t="str">
            <v>TUBO REDONDO 1-1/4" CAL 18</v>
          </cell>
          <cell r="B1046" t="str">
            <v>ML</v>
          </cell>
          <cell r="C1046">
            <v>6638.1</v>
          </cell>
        </row>
        <row r="1047">
          <cell r="A1047" t="str">
            <v>TUBO SANITARIO 2" PVC PAVCO</v>
          </cell>
          <cell r="B1047" t="str">
            <v>ML</v>
          </cell>
          <cell r="C1047">
            <v>5932.5</v>
          </cell>
        </row>
        <row r="1048">
          <cell r="A1048" t="str">
            <v>TUBO SANITARIO 3" PVC PAVCO</v>
          </cell>
          <cell r="B1048" t="str">
            <v>ML</v>
          </cell>
          <cell r="C1048">
            <v>12205.2</v>
          </cell>
        </row>
        <row r="1049">
          <cell r="A1049" t="str">
            <v>TUBO SANITARIO 4" PVC PAVCO</v>
          </cell>
          <cell r="B1049" t="str">
            <v>ML</v>
          </cell>
          <cell r="C1049">
            <v>13632.15</v>
          </cell>
        </row>
        <row r="1050">
          <cell r="A1050" t="str">
            <v>TUBO SANITARIO 6" PVC PAVCO</v>
          </cell>
          <cell r="B1050" t="str">
            <v>ML</v>
          </cell>
          <cell r="C1050">
            <v>36010.800000000003</v>
          </cell>
        </row>
        <row r="1051">
          <cell r="A1051" t="str">
            <v>TUERCA 1/2" G2</v>
          </cell>
          <cell r="B1051" t="str">
            <v>UND</v>
          </cell>
          <cell r="C1051">
            <v>315</v>
          </cell>
        </row>
        <row r="1052">
          <cell r="A1052" t="str">
            <v>TUERCA 5/8 G5</v>
          </cell>
          <cell r="B1052" t="str">
            <v>UND</v>
          </cell>
          <cell r="C1052">
            <v>367.5</v>
          </cell>
        </row>
        <row r="1053">
          <cell r="A1053" t="str">
            <v>TUERCA DE OJO ALARGADO 5/8``</v>
          </cell>
          <cell r="B1053" t="str">
            <v>UN</v>
          </cell>
          <cell r="C1053">
            <v>6750</v>
          </cell>
        </row>
        <row r="1054">
          <cell r="A1054" t="str">
            <v>UNIÓN DE CANAL</v>
          </cell>
          <cell r="B1054" t="str">
            <v>UND</v>
          </cell>
          <cell r="C1054">
            <v>9800</v>
          </cell>
        </row>
        <row r="1055">
          <cell r="A1055" t="str">
            <v>UNIÓN DE CANAL AMAZONA</v>
          </cell>
          <cell r="B1055" t="str">
            <v>un</v>
          </cell>
          <cell r="C1055">
            <v>13829.52</v>
          </cell>
        </row>
        <row r="1056">
          <cell r="A1056" t="str">
            <v>UNION EXOTERMICA</v>
          </cell>
          <cell r="B1056" t="str">
            <v>UND</v>
          </cell>
          <cell r="C1056">
            <v>19650</v>
          </cell>
        </row>
        <row r="1057">
          <cell r="A1057" t="str">
            <v>UNION SANITARIA 2" PVC</v>
          </cell>
          <cell r="B1057" t="str">
            <v>UND</v>
          </cell>
          <cell r="C1057">
            <v>1470</v>
          </cell>
        </row>
        <row r="1058">
          <cell r="A1058" t="str">
            <v>UNION SANITARIA 3" PVC</v>
          </cell>
          <cell r="B1058" t="str">
            <v>UND</v>
          </cell>
          <cell r="C1058">
            <v>2506.35</v>
          </cell>
        </row>
        <row r="1059">
          <cell r="A1059" t="str">
            <v>UNION SANITARIA 4" PVC</v>
          </cell>
          <cell r="B1059" t="str">
            <v>UND</v>
          </cell>
          <cell r="C1059">
            <v>5662.65</v>
          </cell>
        </row>
        <row r="1060">
          <cell r="A1060" t="str">
            <v>UNION SANITARIA 6" PAVCO</v>
          </cell>
          <cell r="B1060" t="str">
            <v>UND</v>
          </cell>
          <cell r="C1060">
            <v>18877.95</v>
          </cell>
        </row>
        <row r="1061">
          <cell r="A1061" t="str">
            <v>UNION TUBO DRENAJE 100 MM (4") PAVCO</v>
          </cell>
          <cell r="B1061" t="str">
            <v>UND</v>
          </cell>
          <cell r="C1061">
            <v>9905.11</v>
          </cell>
        </row>
        <row r="1062">
          <cell r="A1062" t="str">
            <v>UNION TUBO DRENAJE 160 MM (6") PAVCO</v>
          </cell>
          <cell r="B1062" t="str">
            <v>UND</v>
          </cell>
          <cell r="C1062">
            <v>23738.400000000001</v>
          </cell>
        </row>
        <row r="1063">
          <cell r="A1063" t="str">
            <v>UNION TUBO DRENAJE 65 MM (2-1/2") PAVCO</v>
          </cell>
          <cell r="B1063" t="str">
            <v>UND</v>
          </cell>
          <cell r="C1063">
            <v>8925</v>
          </cell>
        </row>
        <row r="1064">
          <cell r="A1064" t="str">
            <v>UNION UNIVERSAL PRESIÓN 1" PAVCO</v>
          </cell>
          <cell r="B1064" t="str">
            <v>UND</v>
          </cell>
          <cell r="C1064">
            <v>4515</v>
          </cell>
        </row>
        <row r="1065">
          <cell r="A1065" t="str">
            <v>UNION UNIVERSAL PRESION 1/2" PAVCO</v>
          </cell>
          <cell r="B1065" t="str">
            <v>UND</v>
          </cell>
          <cell r="C1065">
            <v>2100</v>
          </cell>
        </row>
        <row r="1066">
          <cell r="A1066" t="str">
            <v>VALVULA BOLA 600 PSI 1"</v>
          </cell>
          <cell r="B1066" t="str">
            <v>UND</v>
          </cell>
          <cell r="C1066">
            <v>19845</v>
          </cell>
        </row>
        <row r="1067">
          <cell r="A1067" t="str">
            <v>VALVULA BOLA 600 PSI 1/2"</v>
          </cell>
          <cell r="B1067" t="str">
            <v>UND</v>
          </cell>
          <cell r="C1067">
            <v>8295</v>
          </cell>
        </row>
        <row r="1068">
          <cell r="A1068" t="str">
            <v>VALVULA BOLA 600 PSI 3/4"</v>
          </cell>
          <cell r="B1068" t="str">
            <v>UND</v>
          </cell>
          <cell r="C1068">
            <v>11445</v>
          </cell>
        </row>
        <row r="1069">
          <cell r="A1069" t="str">
            <v>VALVULA CORTINA 1" RED-WHITE  8250 PSI)</v>
          </cell>
          <cell r="B1069" t="str">
            <v>UND</v>
          </cell>
          <cell r="C1069">
            <v>58695</v>
          </cell>
        </row>
        <row r="1070">
          <cell r="A1070" t="str">
            <v>VALVULA DE CORTINA 1/2" RED-WHITE (250 PSI)</v>
          </cell>
          <cell r="B1070" t="str">
            <v>UND</v>
          </cell>
          <cell r="C1070">
            <v>34545</v>
          </cell>
        </row>
        <row r="1071">
          <cell r="A1071" t="str">
            <v>VALVULA DE CORTINA 3/4" RED-WHITE (250 PSI)</v>
          </cell>
          <cell r="B1071" t="str">
            <v>UND</v>
          </cell>
          <cell r="C1071">
            <v>10353</v>
          </cell>
        </row>
        <row r="1072">
          <cell r="A1072" t="str">
            <v>VARA DE CLAVO 6 METROS</v>
          </cell>
          <cell r="B1072" t="str">
            <v>ML</v>
          </cell>
          <cell r="C1072">
            <v>3160.5</v>
          </cell>
        </row>
        <row r="1073">
          <cell r="A1073" t="str">
            <v>VARILLA 1/2`` SOSTEN FORMALETA L= 0,4 MTS (5 USO)</v>
          </cell>
          <cell r="B1073" t="str">
            <v>UN</v>
          </cell>
          <cell r="C1073">
            <v>749</v>
          </cell>
        </row>
        <row r="1074">
          <cell r="A1074" t="str">
            <v>VARILLA 10 MM CUADRADA</v>
          </cell>
          <cell r="B1074" t="str">
            <v>ML</v>
          </cell>
          <cell r="C1074">
            <v>1984.5</v>
          </cell>
        </row>
        <row r="1075">
          <cell r="A1075" t="str">
            <v>VARILLA ANCLAJE 5/8" X 1.8M</v>
          </cell>
          <cell r="B1075" t="str">
            <v>UN</v>
          </cell>
          <cell r="C1075">
            <v>17938</v>
          </cell>
        </row>
        <row r="1076">
          <cell r="A1076" t="str">
            <v>VARILLA COPER WELLDE 5/8`` X 2.40 COBRE MACIZO</v>
          </cell>
          <cell r="B1076" t="str">
            <v>UN</v>
          </cell>
          <cell r="C1076">
            <v>115130</v>
          </cell>
        </row>
        <row r="1077">
          <cell r="A1077" t="str">
            <v>VARILLA CW 5/8`` X 2.40</v>
          </cell>
          <cell r="B1077" t="str">
            <v>UN</v>
          </cell>
          <cell r="C1077">
            <v>152250</v>
          </cell>
        </row>
        <row r="1078">
          <cell r="A1078" t="str">
            <v>VARILLA ROSCADA 1/2"</v>
          </cell>
          <cell r="B1078" t="str">
            <v>ML</v>
          </cell>
          <cell r="C1078">
            <v>4813.2</v>
          </cell>
        </row>
        <row r="1079">
          <cell r="A1079" t="str">
            <v>VENTANA ALUMINIO COLOR ANOLO</v>
          </cell>
          <cell r="B1079" t="str">
            <v>M2</v>
          </cell>
          <cell r="C1079">
            <v>108150</v>
          </cell>
        </row>
        <row r="1080">
          <cell r="A1080" t="str">
            <v>VENTANA ALUMINIO COLOR ANOLO</v>
          </cell>
          <cell r="B1080" t="str">
            <v>M2</v>
          </cell>
          <cell r="C1080">
            <v>108150</v>
          </cell>
        </row>
        <row r="1081">
          <cell r="A1081" t="str">
            <v>VENTANA ALUMINIO CORREDIZA TRAFICO  PESADO ANOLOK INCLUYE VIDRIO</v>
          </cell>
          <cell r="B1081" t="str">
            <v>M2</v>
          </cell>
          <cell r="C1081">
            <v>152250</v>
          </cell>
        </row>
        <row r="1082">
          <cell r="A1082" t="str">
            <v>VENTANA ALUMINIO EN SISTEMA 744, INCLUYE VIDRIO</v>
          </cell>
          <cell r="B1082" t="str">
            <v>M2</v>
          </cell>
          <cell r="C1082">
            <v>152250</v>
          </cell>
        </row>
        <row r="1083">
          <cell r="A1083" t="str">
            <v>VENTANA ALUMINIO SISTEMA PERSIANA FIJA ALUMINIO</v>
          </cell>
          <cell r="B1083" t="str">
            <v>M2</v>
          </cell>
          <cell r="C1083">
            <v>168000</v>
          </cell>
        </row>
        <row r="1084">
          <cell r="A1084" t="str">
            <v>VENTANA ALUMINIO SISTEMA PROYECT,PISAVID PRESION</v>
          </cell>
          <cell r="B1084" t="str">
            <v>M2</v>
          </cell>
          <cell r="C1084">
            <v>178500</v>
          </cell>
        </row>
        <row r="1085">
          <cell r="A1085" t="str">
            <v>VENTANA ALUMINIO T.2 X 1 SISTE CELOSIA, INCLUYE VIDRIO</v>
          </cell>
          <cell r="B1085" t="str">
            <v>M2</v>
          </cell>
          <cell r="C1085">
            <v>168000</v>
          </cell>
        </row>
        <row r="1086">
          <cell r="A1086" t="str">
            <v>VENTANA FIJO CON PERSIANA FIJA 3 X 1</v>
          </cell>
          <cell r="B1086" t="str">
            <v>M2</v>
          </cell>
          <cell r="C1086">
            <v>231000</v>
          </cell>
        </row>
        <row r="1087">
          <cell r="A1087" t="str">
            <v>VENTANA SEGURIDAD TAQUILLA MARCO ALUMINIO</v>
          </cell>
          <cell r="B1087" t="str">
            <v>M2</v>
          </cell>
          <cell r="C1087">
            <v>131250</v>
          </cell>
        </row>
        <row r="1088">
          <cell r="A1088" t="str">
            <v>VIDRIO CRISTAL TEMPLADO INCOLORO 10M</v>
          </cell>
          <cell r="B1088" t="str">
            <v>M2</v>
          </cell>
          <cell r="C1088">
            <v>220500</v>
          </cell>
        </row>
        <row r="1089">
          <cell r="A1089" t="str">
            <v>VIDRIO MARTILLADO DE 4 MM</v>
          </cell>
          <cell r="B1089" t="str">
            <v>M2</v>
          </cell>
          <cell r="C1089">
            <v>42000</v>
          </cell>
        </row>
        <row r="1090">
          <cell r="A1090" t="str">
            <v>VIDRIO PELICULA BRONCE DE 4 MM</v>
          </cell>
          <cell r="B1090" t="str">
            <v>M2</v>
          </cell>
          <cell r="C1090">
            <v>48300</v>
          </cell>
        </row>
        <row r="1091">
          <cell r="A1091" t="str">
            <v>VIDRIO TRANSPARENTE DE 3 MM</v>
          </cell>
          <cell r="B1091" t="str">
            <v>M2</v>
          </cell>
          <cell r="C1091">
            <v>36750</v>
          </cell>
        </row>
        <row r="1092">
          <cell r="A1092" t="str">
            <v>VIDRIO TRANSPARENTE DE 4 MM</v>
          </cell>
          <cell r="B1092" t="str">
            <v>M2</v>
          </cell>
          <cell r="C1092">
            <v>40320</v>
          </cell>
        </row>
        <row r="1093">
          <cell r="A1093" t="str">
            <v>VIGA HEA 200 MM (8.0")</v>
          </cell>
          <cell r="B1093" t="str">
            <v>ML</v>
          </cell>
          <cell r="C1093">
            <v>123033.75</v>
          </cell>
        </row>
        <row r="1094">
          <cell r="A1094" t="str">
            <v>VIGA HEA 240 MM (9.45")</v>
          </cell>
          <cell r="B1094" t="str">
            <v>ML</v>
          </cell>
          <cell r="C1094">
            <v>159931.80000000002</v>
          </cell>
        </row>
        <row r="1095">
          <cell r="A1095" t="str">
            <v>VIGA MADERA ZAPÁN 0.18X0.06X4 CEPILLADA E INMUNIZADA</v>
          </cell>
          <cell r="B1095" t="str">
            <v>ML</v>
          </cell>
          <cell r="C1095">
            <v>15750</v>
          </cell>
        </row>
        <row r="1096">
          <cell r="A1096" t="str">
            <v>VIGAS GRIS (SELLANTE) 5 KILOS</v>
          </cell>
          <cell r="B1096" t="str">
            <v>KG</v>
          </cell>
          <cell r="C1096">
            <v>5691</v>
          </cell>
        </row>
        <row r="1097">
          <cell r="A1097" t="str">
            <v>VIGUETA CIELO RASO T. DRYWAY 41.3 MM 2.44 M</v>
          </cell>
          <cell r="B1097" t="str">
            <v>UND</v>
          </cell>
          <cell r="C1097">
            <v>5237.4000000000005</v>
          </cell>
        </row>
        <row r="1098">
          <cell r="A1098" t="str">
            <v>VIGUETA DE CONCRETO PARA ANCLAJE</v>
          </cell>
          <cell r="B1098" t="str">
            <v>ML</v>
          </cell>
          <cell r="C1098">
            <v>7900</v>
          </cell>
        </row>
        <row r="1099">
          <cell r="A1099" t="str">
            <v>VINILTEX PINTUCO</v>
          </cell>
          <cell r="B1099" t="str">
            <v>GLN</v>
          </cell>
          <cell r="C1099">
            <v>44100</v>
          </cell>
        </row>
        <row r="1100">
          <cell r="A1100" t="str">
            <v>VOLQUETA (VIAJE 5 M3 MAXIMO 10 KM)</v>
          </cell>
          <cell r="B1100" t="str">
            <v>VJ</v>
          </cell>
          <cell r="C1100">
            <v>53500</v>
          </cell>
        </row>
        <row r="1101">
          <cell r="A1101" t="str">
            <v>WING MARMOLIZADO</v>
          </cell>
          <cell r="B1101" t="str">
            <v>ML</v>
          </cell>
          <cell r="C1101">
            <v>1968.75</v>
          </cell>
        </row>
        <row r="1102">
          <cell r="A1102" t="str">
            <v>WING METALICO</v>
          </cell>
          <cell r="B1102" t="str">
            <v>ML</v>
          </cell>
          <cell r="C1102">
            <v>1995</v>
          </cell>
        </row>
        <row r="1103">
          <cell r="A1103" t="str">
            <v>YESO PARA ESTUCO (25 KG)</v>
          </cell>
          <cell r="B1103" t="str">
            <v>BLT</v>
          </cell>
          <cell r="C1103">
            <v>31920</v>
          </cell>
        </row>
        <row r="1104">
          <cell r="A1104" t="str">
            <v>ZOCALO O GUADAESCOBA LINEA MATIZ</v>
          </cell>
          <cell r="B1104" t="str">
            <v>ML</v>
          </cell>
          <cell r="C1104">
            <v>8085</v>
          </cell>
        </row>
        <row r="1105">
          <cell r="A1105">
            <v>0</v>
          </cell>
        </row>
        <row r="1106">
          <cell r="A1106" t="str">
            <v xml:space="preserve">LUMINARIA LED MPG-1E 30 W </v>
          </cell>
          <cell r="B1106" t="str">
            <v>UN</v>
          </cell>
          <cell r="C1106">
            <v>1994083</v>
          </cell>
        </row>
        <row r="1107">
          <cell r="A1107" t="str">
            <v xml:space="preserve">PROYECTOR LED KS-6 300 W </v>
          </cell>
          <cell r="B1107" t="str">
            <v>UN</v>
          </cell>
          <cell r="C1107">
            <v>8129485</v>
          </cell>
        </row>
        <row r="1108">
          <cell r="A1108" t="str">
            <v>MASTIL TIPO FARIO O SIMILAR DE 14 METROS</v>
          </cell>
          <cell r="B1108" t="str">
            <v>UN</v>
          </cell>
          <cell r="C1108">
            <v>3332000</v>
          </cell>
        </row>
        <row r="1109">
          <cell r="A1109" t="str">
            <v>MASTIL TIPO TAO O SIMILAR DE 6,5 METROS CON TRES BRAZOS DE 1 METRO</v>
          </cell>
          <cell r="B1109" t="str">
            <v>UN</v>
          </cell>
          <cell r="C1109">
            <v>2201500</v>
          </cell>
        </row>
        <row r="1110">
          <cell r="A1110" t="str">
            <v>MASTIL TIPO TAO O SIMILAR DE 6,5 METROS CON DOBLE BRAZO DE 1 METRO</v>
          </cell>
          <cell r="B1110" t="str">
            <v>UN</v>
          </cell>
          <cell r="C1110">
            <v>2023000</v>
          </cell>
        </row>
        <row r="1111">
          <cell r="A1111" t="str">
            <v>MASTIL TIPO TAO O SIMILAR DE 6,5 METROS CON BRAZO SENCILLO DE 1 METRO</v>
          </cell>
          <cell r="B1111" t="str">
            <v>UN</v>
          </cell>
          <cell r="C1111">
            <v>1785000</v>
          </cell>
        </row>
      </sheetData>
      <sheetData sheetId="1">
        <row r="1">
          <cell r="A1">
            <v>0</v>
          </cell>
          <cell r="B1">
            <v>0</v>
          </cell>
        </row>
        <row r="2">
          <cell r="A2" t="str">
            <v>DESMONTE DE POSTE DE 10M (INCLUYE RETIRO MÁX. 5 KM)</v>
          </cell>
          <cell r="B2" t="str">
            <v>UN</v>
          </cell>
          <cell r="C2">
            <v>647961</v>
          </cell>
        </row>
        <row r="3">
          <cell r="A3" t="str">
            <v>DESMONTE DE POSTE DE 12M (INCLUYE RETIRO MÁX. 5 KM)</v>
          </cell>
          <cell r="B3" t="str">
            <v>UN</v>
          </cell>
          <cell r="C3" t="e">
            <v>#REF!</v>
          </cell>
        </row>
        <row r="4">
          <cell r="A4">
            <v>0</v>
          </cell>
          <cell r="B4">
            <v>0</v>
          </cell>
          <cell r="C4">
            <v>0</v>
          </cell>
        </row>
        <row r="5">
          <cell r="A5" t="str">
            <v>DESMONTE DE ESTRUCTURA TIPO ICEL 712 (INCLUYE RETIRO MÁX. 5 KM)</v>
          </cell>
          <cell r="B5" t="str">
            <v>UN</v>
          </cell>
          <cell r="C5" t="e">
            <v>#REF!</v>
          </cell>
        </row>
        <row r="6">
          <cell r="A6" t="str">
            <v>RETIRO DE ESTRUCTURA TIPO ICEL 711 (INCLUYE RETIRO MÁX. 5 KM)</v>
          </cell>
          <cell r="B6" t="str">
            <v>UN</v>
          </cell>
          <cell r="C6" t="e">
            <v>#REF!</v>
          </cell>
        </row>
        <row r="7">
          <cell r="A7" t="str">
            <v>DESMONTE DE ESTRUCTURA TIPO ICEL 561 (INCLUYE RETIRO MÁX. 5 KM)</v>
          </cell>
          <cell r="B7" t="str">
            <v>UN</v>
          </cell>
          <cell r="C7" t="e">
            <v>#REF!</v>
          </cell>
        </row>
        <row r="8">
          <cell r="A8" t="str">
            <v>DESMONTE DE ESTRUCTURA TIPO ICEL 550 (INCLUYE RETIRO MÁX. 5 KM)</v>
          </cell>
          <cell r="B8" t="str">
            <v>UN</v>
          </cell>
          <cell r="C8" t="e">
            <v>#REF!</v>
          </cell>
        </row>
        <row r="9">
          <cell r="A9" t="str">
            <v>DESMONTE DE ESTRUCTURA TIPO ICEL 533 (INCLUYE RETIRO MÁX. 5 KM)</v>
          </cell>
          <cell r="B9" t="str">
            <v>UN</v>
          </cell>
          <cell r="C9" t="e">
            <v>#REF!</v>
          </cell>
        </row>
        <row r="10">
          <cell r="A10" t="str">
            <v>DESMONTE DE ESTRUCTURA TIPO ICEL 523 (INCLUYE RETIRO MÁX. 5 KM)</v>
          </cell>
          <cell r="B10" t="str">
            <v>UN</v>
          </cell>
          <cell r="C10" t="e">
            <v>#REF!</v>
          </cell>
        </row>
        <row r="11">
          <cell r="A11" t="str">
            <v>DESMONTE DE ESTRUCTURA TIPO CODENSA LA 218 (INCLUYE RETIRO MÁX. 5 KM)</v>
          </cell>
          <cell r="B11" t="str">
            <v>UN</v>
          </cell>
          <cell r="C11" t="e">
            <v>#REF!</v>
          </cell>
        </row>
        <row r="12">
          <cell r="A12" t="str">
            <v>DESMONTE DE ESTRUCTURA TIPO ICEL 610 (INCLUYE RETIRO MÁX. 5 KM)</v>
          </cell>
          <cell r="B12" t="str">
            <v>UN</v>
          </cell>
          <cell r="C12" t="e">
            <v>#REF!</v>
          </cell>
        </row>
        <row r="13">
          <cell r="A13" t="str">
            <v>DESMONTE DE ESTRUCTURA TIPO ICEL 611 (INCLUYE RETIRO MÁX. 5 KM)</v>
          </cell>
          <cell r="B13" t="str">
            <v>UN</v>
          </cell>
          <cell r="C13" t="e">
            <v>#REF!</v>
          </cell>
        </row>
        <row r="14">
          <cell r="A14" t="str">
            <v>DESMONTE DE ESTRUCTURA TIPO ICEL 621 (INCLUYE RETIRO MÁX. 5 KM)</v>
          </cell>
          <cell r="B14" t="str">
            <v>UN</v>
          </cell>
          <cell r="C14" t="e">
            <v>#REF!</v>
          </cell>
        </row>
        <row r="15">
          <cell r="A15" t="str">
            <v>DESMONTE DE ESTRUCTURA TIPO ICEL 623 (INCLUYE RETIRO MÁX. 5 KM)</v>
          </cell>
          <cell r="B15" t="str">
            <v>UN</v>
          </cell>
          <cell r="C15" t="e">
            <v>#REF!</v>
          </cell>
        </row>
        <row r="16">
          <cell r="A16" t="str">
            <v>DESMONTE DE CAJA DE DISTRIBUCIÓN PARA ACOMETIDAS DE BAJA TENSIÓN (INCLUYE RETIRO MÁX. 5 KM)</v>
          </cell>
          <cell r="B16" t="str">
            <v>UN</v>
          </cell>
          <cell r="C16" t="e">
            <v>#REF!</v>
          </cell>
        </row>
        <row r="17">
          <cell r="A17" t="str">
            <v>DESMONTE DE ESTRUCTURA TIPO CODENSA LA 320 (INCLUYE RETIRO MÁX. 5 KM)</v>
          </cell>
          <cell r="B17" t="str">
            <v>UN</v>
          </cell>
          <cell r="C17" t="e">
            <v>#REF!</v>
          </cell>
        </row>
        <row r="18">
          <cell r="A18" t="str">
            <v>DESMONTE DE ESTRUCTURA TIPO CODENSA LA 321 (INCLUYE RETIRO MÁX. 5 KM)</v>
          </cell>
          <cell r="B18" t="str">
            <v>UN</v>
          </cell>
          <cell r="C18" t="e">
            <v>#REF!</v>
          </cell>
        </row>
        <row r="19">
          <cell r="A19" t="str">
            <v>DESMONTE DE ESTRUCTURA TIPO CODENSA LA 324 (INCLUYE RETIRO MÁX. 5 KM)</v>
          </cell>
          <cell r="B19" t="str">
            <v>UN</v>
          </cell>
          <cell r="C19" t="e">
            <v>#REF!</v>
          </cell>
        </row>
        <row r="20">
          <cell r="A20" t="str">
            <v>DESMONTE DE TEMPLETE COMPLETO MEDIA Y BAJA TENSIÓN (INCLUYE RETIRO MÁX. 5 KM)</v>
          </cell>
          <cell r="B20" t="str">
            <v>UN</v>
          </cell>
          <cell r="C20" t="e">
            <v>#REF!</v>
          </cell>
        </row>
        <row r="21">
          <cell r="A21">
            <v>0</v>
          </cell>
          <cell r="B21">
            <v>0</v>
          </cell>
          <cell r="C21">
            <v>0</v>
          </cell>
        </row>
        <row r="22">
          <cell r="A22" t="str">
            <v>DESMONTE DE TRANSFORMADOR DE 112,5 KVA (INCLUYE RETIRO MÁX. 5 KM)</v>
          </cell>
          <cell r="B22" t="str">
            <v>UN</v>
          </cell>
          <cell r="C22" t="e">
            <v>#REF!</v>
          </cell>
        </row>
        <row r="23">
          <cell r="A23" t="str">
            <v>DESMONTE DE TRANSFORMADOR DE POTENCIA MENOR O IGUAL A 75KVA (INCLUYE RETIRO MÁX. 5 KM)</v>
          </cell>
          <cell r="B23" t="str">
            <v>UN</v>
          </cell>
          <cell r="C23" t="e">
            <v>#REF!</v>
          </cell>
        </row>
        <row r="24">
          <cell r="A24">
            <v>0</v>
          </cell>
          <cell r="B24">
            <v>0</v>
          </cell>
          <cell r="C24">
            <v>0</v>
          </cell>
        </row>
        <row r="25">
          <cell r="A25" t="str">
            <v>DESMONTE DE ACOMETIDAS DE BAJA TENSIÓN TRIFÁSICA O BIFÁSICA CON LONGITUD MÁX. 15m</v>
          </cell>
          <cell r="B25" t="str">
            <v>UN</v>
          </cell>
          <cell r="C25" t="e">
            <v>#REF!</v>
          </cell>
        </row>
        <row r="26">
          <cell r="A26" t="str">
            <v>DESMONTE DE ACOMETIDAS DE BAJA TENSIÓN MONOFÁSICA  LONGITUD MÁX. 15m</v>
          </cell>
          <cell r="B26" t="str">
            <v>UN</v>
          </cell>
          <cell r="C26" t="e">
            <v>#REF!</v>
          </cell>
        </row>
        <row r="27">
          <cell r="A27">
            <v>0</v>
          </cell>
          <cell r="B27">
            <v>0</v>
          </cell>
          <cell r="C27">
            <v>0</v>
          </cell>
        </row>
        <row r="28">
          <cell r="A28" t="str">
            <v>RETIRO DE LUMINARIA DE 70W A 400W (INCLUYE RETIRO MÁX. 5 KM)</v>
          </cell>
          <cell r="B28" t="str">
            <v>UN</v>
          </cell>
          <cell r="C28" t="e">
            <v>#REF!</v>
          </cell>
        </row>
        <row r="29">
          <cell r="A29">
            <v>0</v>
          </cell>
          <cell r="B29">
            <v>0</v>
          </cell>
          <cell r="C29">
            <v>0</v>
          </cell>
        </row>
        <row r="30">
          <cell r="A30" t="str">
            <v>RETIRO DE RED DE MEDIA TENSIÓN AEREA 3 HILOS (INCLUYE RETIRO MÁX. 5 KM)</v>
          </cell>
          <cell r="B30" t="str">
            <v>ML</v>
          </cell>
          <cell r="C30" t="e">
            <v>#REF!</v>
          </cell>
        </row>
        <row r="31">
          <cell r="A31" t="str">
            <v>RETIRO DE RED DE MEDIA TENSIÓN SUBTERRANEA 3 HILOS (INCLUYE RETIRO MÁX. 5 KM)</v>
          </cell>
          <cell r="B31" t="str">
            <v>ML</v>
          </cell>
          <cell r="C31" t="e">
            <v>#REF!</v>
          </cell>
        </row>
        <row r="32">
          <cell r="A32" t="str">
            <v>RETIRO DE RED DE BAJA TENSIÓN ABIERTA HASTA 5 HILOS (INCLUYE RETIRO MÁX. 5 KM)</v>
          </cell>
          <cell r="B32" t="str">
            <v>ML</v>
          </cell>
          <cell r="C32" t="e">
            <v>#REF!</v>
          </cell>
        </row>
        <row r="33">
          <cell r="A33" t="str">
            <v>RETIRO DE RED DE BAJA TENSIÓN EN CABLE TRENZADO ANTIFRAUDE (INCLUYE RETIRO MÁX. 5 KM)</v>
          </cell>
          <cell r="B33" t="str">
            <v>ML</v>
          </cell>
          <cell r="C33" t="e">
            <v>#REF!</v>
          </cell>
        </row>
        <row r="34">
          <cell r="A34" t="str">
            <v>RETIRO DE RED DE ALUMBRADO PÚBLICO (INCLUYE RETIRO MÁX. 5 KM)</v>
          </cell>
          <cell r="B34" t="str">
            <v>ML</v>
          </cell>
          <cell r="C34" t="e">
            <v>#REF!</v>
          </cell>
        </row>
        <row r="35">
          <cell r="A35">
            <v>0</v>
          </cell>
          <cell r="B35">
            <v>0</v>
          </cell>
          <cell r="C35">
            <v>0</v>
          </cell>
        </row>
        <row r="36">
          <cell r="A36" t="str">
            <v>SUMINISTRO E INSTALACIÓN DE ESTRUCTURA TIPO ICEL 712</v>
          </cell>
          <cell r="B36" t="str">
            <v>UN</v>
          </cell>
          <cell r="C36">
            <v>0</v>
          </cell>
        </row>
        <row r="37">
          <cell r="A37" t="str">
            <v>SUMINISTRO DE TRANSICIÓN A CIRCUITO SUBTERRANEO DE MT TIPO CODENSA LA 218</v>
          </cell>
          <cell r="B37" t="str">
            <v>UN</v>
          </cell>
          <cell r="C37" t="e">
            <v>#REF!</v>
          </cell>
        </row>
        <row r="38">
          <cell r="A38" t="str">
            <v>SUMINISTRO E INSTALACIÓN DE ESTRUCTURA TIPO ICEL 611</v>
          </cell>
          <cell r="B38" t="str">
            <v>UN</v>
          </cell>
          <cell r="C38" t="e">
            <v>#REF!</v>
          </cell>
        </row>
        <row r="39">
          <cell r="A39" t="str">
            <v>SUMINISTRO E INSTALACIÓN DE ESTRUCTURA TIPO ICEL 623</v>
          </cell>
          <cell r="B39" t="str">
            <v>UN</v>
          </cell>
          <cell r="C39" t="e">
            <v>#REF!</v>
          </cell>
        </row>
        <row r="40">
          <cell r="A40">
            <v>0</v>
          </cell>
          <cell r="B40">
            <v>0</v>
          </cell>
          <cell r="C40">
            <v>0</v>
          </cell>
        </row>
        <row r="41">
          <cell r="A41" t="str">
            <v>REUBICACIÓN DE TRANSFORMADOR DE 112.5 KVA</v>
          </cell>
          <cell r="B41" t="str">
            <v>UN</v>
          </cell>
          <cell r="C41">
            <v>577811.77509450808</v>
          </cell>
        </row>
        <row r="42">
          <cell r="A42" t="str">
            <v>REUBICACIÓN DE TRANSFORMADOR DE POTENCIA MENOR O IGUAL A 75 KVA</v>
          </cell>
          <cell r="B42" t="str">
            <v>UN</v>
          </cell>
          <cell r="C42">
            <v>347902.87296729896</v>
          </cell>
        </row>
        <row r="43">
          <cell r="A43">
            <v>0</v>
          </cell>
          <cell r="B43">
            <v>0</v>
          </cell>
          <cell r="C43">
            <v>0</v>
          </cell>
        </row>
        <row r="44">
          <cell r="A44" t="str">
            <v>SUMINISTRO E INSTALACIÓN DE TRANSFORMADOR OCASIONALMENTE SUMERGIBLE DE 30 KVA, INCLUYE ACCESORIOS DE CONEXIÓN.</v>
          </cell>
          <cell r="B44" t="str">
            <v>UN</v>
          </cell>
          <cell r="C44" t="e">
            <v>#REF!</v>
          </cell>
        </row>
        <row r="45">
          <cell r="A45" t="str">
            <v>SUMINISTRO E INSTALACIÓN DE TRANSFORMADOR OCASIONALMENTE SUMERGIBLE DE 45 KVA, INCLUYE ACCESORIOS DE CONEXIÓN.</v>
          </cell>
          <cell r="B45" t="str">
            <v>UN</v>
          </cell>
          <cell r="C45" t="e">
            <v>#REF!</v>
          </cell>
        </row>
        <row r="46">
          <cell r="A46" t="str">
            <v>SUMINISTRO E INSTALACIÓN DE TRANSFORMADOR OCASIONALMENTE SUMERGIBLE DE 75 KVA, INCLUYE ACCESORIOS DE CONEXIÓN.</v>
          </cell>
          <cell r="B46" t="str">
            <v>UN</v>
          </cell>
          <cell r="C46" t="e">
            <v>#REF!</v>
          </cell>
        </row>
        <row r="47">
          <cell r="A47" t="str">
            <v>SUMINISTRO E INSTALACIÓN DE TRANSFORMADOR OCASIONALMENTE SUMERGIBLE DE 112,5 KVA, INCLUYE ACCESORIOS DE CONEXIÓN.</v>
          </cell>
          <cell r="B47" t="str">
            <v>UN</v>
          </cell>
          <cell r="C47" t="e">
            <v>#REF!</v>
          </cell>
        </row>
        <row r="48">
          <cell r="A48" t="str">
            <v>SUMINISTRO E INSTALACIÓN DE CAJA DE MANIOBRAS OCASIONALMENTE SUMERGIBLE DE UNA ENTRADA, TRES SALIDAS, 600A, 15KV, INCLUYE ACCESORIOS DE CONEXIÓN.</v>
          </cell>
          <cell r="B48" t="str">
            <v>UN</v>
          </cell>
          <cell r="C48" t="e">
            <v>#REF!</v>
          </cell>
        </row>
        <row r="49">
          <cell r="A49">
            <v>0</v>
          </cell>
          <cell r="B49">
            <v>0</v>
          </cell>
          <cell r="C49">
            <v>0</v>
          </cell>
        </row>
        <row r="50">
          <cell r="A50" t="str">
            <v>SUMINISTRO E INSTALACIÓN DE BARRAJE PREFORMADO PARA MEDIA TENSIÓN DE 600A A 15KV, 4 PUERTOS.</v>
          </cell>
          <cell r="B50" t="str">
            <v>UN</v>
          </cell>
          <cell r="C50" t="e">
            <v>#REF!</v>
          </cell>
        </row>
        <row r="51">
          <cell r="A51" t="str">
            <v>SUMINISTRO E INSTALACIÓN DE TAPON PROTECTOR AISLADO 600A A 15KV.</v>
          </cell>
          <cell r="B51" t="str">
            <v>UN</v>
          </cell>
          <cell r="C51" t="e">
            <v>#REF!</v>
          </cell>
        </row>
        <row r="52">
          <cell r="A52" t="str">
            <v>SUMINISTRO E INSTALACIÓN DE TERMINAL TIPO CODO DE 600A A 15KV.</v>
          </cell>
          <cell r="B52" t="str">
            <v>UN</v>
          </cell>
          <cell r="C52" t="e">
            <v>#REF!</v>
          </cell>
        </row>
        <row r="53">
          <cell r="A53" t="str">
            <v>SUMINISTRO E INSTALACIÓN DE BARRAJE PREFORMADO PARA MEDIA TENSIÓN DE 200A A 15KV, ENTRADA, SALIDA, DERIVACIÓN Y RESERVA CON ACCESORIOS 4 PUERTOS.</v>
          </cell>
          <cell r="B53" t="str">
            <v>UN</v>
          </cell>
          <cell r="C53">
            <v>3496382.1583485776</v>
          </cell>
        </row>
        <row r="54">
          <cell r="A54" t="str">
            <v>SUMINISTRO E INSTALACIÓN DE TAPON PROTECTOR AISLADO 200A A 15KV.</v>
          </cell>
          <cell r="B54" t="str">
            <v>UN</v>
          </cell>
          <cell r="C54" t="e">
            <v>#REF!</v>
          </cell>
        </row>
        <row r="55">
          <cell r="A55" t="str">
            <v>SUMINISTRO E INSTALACIÓN DE TERMINAL TIPO CODO DE 200A A 15KV.</v>
          </cell>
          <cell r="B55" t="str">
            <v>UN</v>
          </cell>
          <cell r="C55" t="e">
            <v>#REF!</v>
          </cell>
        </row>
        <row r="56">
          <cell r="A56">
            <v>0</v>
          </cell>
          <cell r="B56">
            <v>0</v>
          </cell>
          <cell r="C56">
            <v>0</v>
          </cell>
        </row>
        <row r="57">
          <cell r="A57" t="str">
            <v>SUMINISTRO E INSTALACIÓN DE BARRAJES PREFORMADO DE BAJA TENSIÓN SUMERGIBLE DE 500 A 600V</v>
          </cell>
          <cell r="B57" t="str">
            <v>UN</v>
          </cell>
          <cell r="C57" t="e">
            <v>#REF!</v>
          </cell>
        </row>
        <row r="58">
          <cell r="A58">
            <v>0</v>
          </cell>
          <cell r="B58">
            <v>0</v>
          </cell>
          <cell r="C58">
            <v>0</v>
          </cell>
        </row>
        <row r="59">
          <cell r="A59" t="str">
            <v>SUMINISTRO E INSTALACIÓN DE ACOMETIDA DE BAJA TENSIÓN TRIFÁSICA EN CABLE DE COBRE No 6 AWG POR REGATA (MÁX. 10m).</v>
          </cell>
          <cell r="B59" t="str">
            <v>UN</v>
          </cell>
          <cell r="C59" t="e">
            <v>#REF!</v>
          </cell>
        </row>
        <row r="60">
          <cell r="A60" t="str">
            <v>SUMINISTRO E INSTALACIÓN DE ACOMETIDA DE BAJA TENSIÓN BIFÁSICA EN CABLE DE COBRE No 6 AWG POR REGATA (MÁX. 10m).</v>
          </cell>
          <cell r="B60" t="str">
            <v>UN</v>
          </cell>
          <cell r="C60" t="e">
            <v>#REF!</v>
          </cell>
        </row>
        <row r="61">
          <cell r="A61" t="str">
            <v>SUMINISTRO E INSTALACIÓN DE ACOMETIDA DE BAJA TENSIÓN MONOFÁSICA EN CABLE DE COBRE No 8 AWG POR REGATA (MÁX. 10m).</v>
          </cell>
          <cell r="B61" t="str">
            <v>UN</v>
          </cell>
          <cell r="C61" t="e">
            <v>#REF!</v>
          </cell>
        </row>
        <row r="62">
          <cell r="A62" t="str">
            <v>SUMINISTRO E INSTALACIÓN DE ACOMETIDA DE BAJA TENSIÓN TRIFÁSICA POR FACHADA EN TUBERÍA GALVANIZADA DE 1" Y CABLE DE COBRE No 6 AWG.</v>
          </cell>
          <cell r="B62" t="str">
            <v>UN</v>
          </cell>
          <cell r="C62">
            <v>1024360.8808077463</v>
          </cell>
        </row>
        <row r="63">
          <cell r="A63" t="str">
            <v>SUMINISTRO E INSTALACIÓN DE ACOMETIDA DE BAJA TENSIÓN BIFÁSICA POR FACHADA EN TUBERÍA GALVANIZADA DE 1" Y CABLE DE COBRE No 6 AWG.</v>
          </cell>
          <cell r="B63" t="str">
            <v>UN</v>
          </cell>
          <cell r="C63">
            <v>918566.3703265941</v>
          </cell>
        </row>
        <row r="64">
          <cell r="A64" t="str">
            <v>SUMINISTRO E INSTALACIÓN DE ACOMETIDA DE BAJA TENSIÓN MONOFÁSICA POR FACHADA EN TUBERÍA GALVANIZADA DE 1" Y CABLE DE COBRE No 8 AWG.</v>
          </cell>
          <cell r="B64" t="str">
            <v>UN</v>
          </cell>
          <cell r="C64">
            <v>631728.87798955711</v>
          </cell>
        </row>
        <row r="65">
          <cell r="A65" t="str">
            <v>SUMINISTRO E INSTALACIÓN DE ACOMETIDA DE BAJA TENSIÓN TRIFÁSICA POR FACHADA EN TUBERÍA GALVANIZADA DE 1 1/2" Y CABLE DE COBRE No 4 AWG.</v>
          </cell>
          <cell r="B65" t="str">
            <v>UN</v>
          </cell>
          <cell r="C65">
            <v>2169819.3264302546</v>
          </cell>
        </row>
        <row r="66">
          <cell r="A66" t="str">
            <v>SUMINISTRO E INSTALACIÓN DE ACOMETIDA DE BAJA TENSIÓN TRIFÁSICA POR FACHADA EN TUBERÍA GALVANIZADA DE 1 1/2" Y CABLE DE COBRE No 2 AWG.</v>
          </cell>
          <cell r="B66" t="str">
            <v>UN</v>
          </cell>
          <cell r="C66">
            <v>2401031.070587262</v>
          </cell>
        </row>
        <row r="67">
          <cell r="A67" t="str">
            <v>ADECUACIÓN DE ACOMETIDA SUBTERRANEA EXISTENTE A BARRAJES DE DISTRIBUCIÓN INSTALADOS.</v>
          </cell>
          <cell r="B67" t="str">
            <v>UN</v>
          </cell>
          <cell r="C67" t="e">
            <v>#REF!</v>
          </cell>
        </row>
        <row r="68">
          <cell r="A68">
            <v>0</v>
          </cell>
          <cell r="B68">
            <v>0</v>
          </cell>
          <cell r="C68">
            <v>0</v>
          </cell>
        </row>
        <row r="69">
          <cell r="A69" t="str">
            <v>SUMINISTRO E INSTALACIÓN DE CABLE TRIPOLAR N°2/0 XLPE A 15KV</v>
          </cell>
          <cell r="B69" t="str">
            <v>ML</v>
          </cell>
          <cell r="C69" t="e">
            <v>#REF!</v>
          </cell>
        </row>
        <row r="70">
          <cell r="A70">
            <v>0</v>
          </cell>
          <cell r="B70">
            <v>0</v>
          </cell>
          <cell r="C70">
            <v>0</v>
          </cell>
        </row>
        <row r="71">
          <cell r="A71" t="str">
            <v>SUMINISTRO E INSTALACIÓN DE TERMINAL PREMOLDEADO TIPO EXTERIOR PARA CABLE XLPE N° 2/0</v>
          </cell>
          <cell r="B71" t="str">
            <v>UN</v>
          </cell>
          <cell r="C71">
            <v>0</v>
          </cell>
        </row>
        <row r="72">
          <cell r="A72" t="str">
            <v>SUMINISTRO E INSTALACIÓN DE SISTEMA DE PUESTA A TIERRA PARA BARRAJES DE BAJA TENSIÓN</v>
          </cell>
          <cell r="B72" t="str">
            <v>UN</v>
          </cell>
          <cell r="C72" t="e">
            <v>#REF!</v>
          </cell>
        </row>
        <row r="73">
          <cell r="A73" t="str">
            <v>SUMINISTRO E INSTALACIÓN DE PIESTA A TIERRA PARA BARRAJES DE MEDIA TENSIÓN</v>
          </cell>
          <cell r="B73" t="str">
            <v>UN</v>
          </cell>
          <cell r="C73" t="e">
            <v>#REF!</v>
          </cell>
        </row>
        <row r="74">
          <cell r="A74" t="str">
            <v>SUMINISTRO E INSTALACIÓN DE MALLA DE PUESTA A TIERRA TRANSFORMADORES Y CAJAS DE MANIOBRA, INCLUYE 4 VARILLAS DE COBRE DE 2,4METROS Y CABLE DE COBRE DESNUDO No 2/0</v>
          </cell>
          <cell r="B74" t="str">
            <v>UN</v>
          </cell>
          <cell r="C74" t="e">
            <v>#REF!</v>
          </cell>
        </row>
        <row r="75">
          <cell r="A75">
            <v>0</v>
          </cell>
          <cell r="B75">
            <v>0</v>
          </cell>
          <cell r="C75">
            <v>0</v>
          </cell>
        </row>
        <row r="76">
          <cell r="A76" t="str">
            <v>SUMINISTRO E INSTALACIÓN DE CABLE DE COBRE AISLADO 600V THW N° 4/0 AWG</v>
          </cell>
          <cell r="B76" t="str">
            <v>ML</v>
          </cell>
          <cell r="C76">
            <v>68351.150915750914</v>
          </cell>
        </row>
        <row r="77">
          <cell r="A77" t="str">
            <v>SUMINISTRO E INSTALACIÓN DE CABLE DE COBRE AISLADO 600V THW 4 N° 2/0 AWG</v>
          </cell>
          <cell r="B77" t="str">
            <v>ML</v>
          </cell>
          <cell r="C77" t="e">
            <v>#REF!</v>
          </cell>
        </row>
        <row r="78">
          <cell r="A78" t="str">
            <v>SUMINISTRO E INSTALACIÓN DE CABLE DE COBRE AISLADO 600V THW N° 1/0 AWG</v>
          </cell>
          <cell r="B78" t="str">
            <v>ML</v>
          </cell>
          <cell r="C78">
            <v>36787.933913115754</v>
          </cell>
        </row>
        <row r="79">
          <cell r="A79" t="str">
            <v>SUMINISTRO E INSTALACIÓN DE CABLE DE COBRE AISLADO 600V THW 3 N° 2 AWG</v>
          </cell>
          <cell r="B79" t="str">
            <v>ML</v>
          </cell>
          <cell r="C79" t="e">
            <v>#REF!</v>
          </cell>
        </row>
        <row r="80">
          <cell r="A80" t="str">
            <v>SUMINISTRO E INSTALACIÓN DE CABLE DE COBRE AISLADO 600V THW N° 4 AWG</v>
          </cell>
          <cell r="B80" t="str">
            <v>ML</v>
          </cell>
          <cell r="C80">
            <v>25022.309271067705</v>
          </cell>
        </row>
        <row r="81">
          <cell r="A81" t="str">
            <v>SUMINISTRO E INSTALACIÓN DE CABLE DE COBRE AISLADO 600V THW N° 6 AWG</v>
          </cell>
          <cell r="B81" t="str">
            <v>ML</v>
          </cell>
          <cell r="C81">
            <v>7385.8862201556476</v>
          </cell>
        </row>
        <row r="82">
          <cell r="A82" t="str">
            <v>SUMINISTRO E INSTALACIÓN DE CABLE DE COBRE AISLADO 600V THW N° 8 AWG</v>
          </cell>
          <cell r="B82" t="str">
            <v>ML</v>
          </cell>
          <cell r="C82">
            <v>4563.951741679407</v>
          </cell>
        </row>
        <row r="83">
          <cell r="A83" t="str">
            <v>SUMINISTRO E INSTALACIÓN DE CABLE DE COBRE AISLADO 600V THW N° 12 AWG</v>
          </cell>
          <cell r="B83" t="str">
            <v>ML</v>
          </cell>
          <cell r="C83">
            <v>2800.5764124139787</v>
          </cell>
        </row>
        <row r="84">
          <cell r="A84">
            <v>0</v>
          </cell>
          <cell r="B84">
            <v>0</v>
          </cell>
          <cell r="C84">
            <v>0</v>
          </cell>
        </row>
        <row r="85">
          <cell r="A85" t="str">
            <v>SUMINISTRO E INSTALACIÓN DE LUMINARIA LED MPG-2 80W COMPLETA</v>
          </cell>
          <cell r="B85" t="str">
            <v>UN</v>
          </cell>
          <cell r="C85" t="e">
            <v>#REF!</v>
          </cell>
        </row>
        <row r="86">
          <cell r="A86">
            <v>0</v>
          </cell>
          <cell r="B86">
            <v>0</v>
          </cell>
          <cell r="C86">
            <v>0</v>
          </cell>
        </row>
        <row r="87">
          <cell r="A87" t="str">
            <v>CAJA DE INSPECCIÓN 0,7X0,6 m</v>
          </cell>
          <cell r="B87" t="str">
            <v>UN</v>
          </cell>
          <cell r="C87" t="e">
            <v>#REF!</v>
          </cell>
        </row>
        <row r="88">
          <cell r="A88" t="str">
            <v>CAJA DE INSPECCIÓN DE ACUERDO A NORMA CS 277</v>
          </cell>
          <cell r="B88" t="str">
            <v>UN</v>
          </cell>
          <cell r="C88">
            <v>2412794.0254710522</v>
          </cell>
        </row>
        <row r="89">
          <cell r="A89" t="str">
            <v>CAJA DE INSPECCIÓN DE ACUERDO A NORMA CS 280</v>
          </cell>
          <cell r="B89" t="str">
            <v>UN</v>
          </cell>
          <cell r="C89" t="e">
            <v>#REF!</v>
          </cell>
        </row>
        <row r="90">
          <cell r="A90" t="str">
            <v>CAJA DE INSPECCIÓN DE ACUERDO A NORMA CS 281</v>
          </cell>
          <cell r="B90" t="str">
            <v>UN</v>
          </cell>
          <cell r="C90" t="e">
            <v>#REF!</v>
          </cell>
        </row>
        <row r="91">
          <cell r="A91" t="str">
            <v>CAJA DE INSPECCIÓN PARA ALOJAR SECCIONADOR DE ACUERDO A NORMA CODENSA CS 290</v>
          </cell>
          <cell r="B91" t="str">
            <v>UN</v>
          </cell>
          <cell r="C91">
            <v>4972940.0184639012</v>
          </cell>
        </row>
        <row r="92">
          <cell r="A92" t="str">
            <v>CAJA DE INSPECCIÓN DE ACUERDO A NORMA CS 535</v>
          </cell>
          <cell r="B92" t="str">
            <v>UN</v>
          </cell>
          <cell r="C92" t="e">
            <v>#REF!</v>
          </cell>
        </row>
        <row r="93">
          <cell r="A93">
            <v>0</v>
          </cell>
          <cell r="B93">
            <v>0</v>
          </cell>
          <cell r="C93">
            <v>0</v>
          </cell>
        </row>
        <row r="94">
          <cell r="A94" t="str">
            <v xml:space="preserve">CANALIZACIÓN EN ANDEN 4 DUCTOS DE 4" y 3 DUCTOS DE 3" </v>
          </cell>
          <cell r="B94" t="str">
            <v>ML</v>
          </cell>
          <cell r="C94" t="e">
            <v>#REF!</v>
          </cell>
        </row>
        <row r="95">
          <cell r="A95" t="str">
            <v>CANALIZACIÓN EN ANDEN 4 DUCTOS DE 4", DE ACUERDO A NORMA CODENSA CS 209</v>
          </cell>
          <cell r="B95" t="str">
            <v>ML</v>
          </cell>
          <cell r="C95" t="e">
            <v>#REF!</v>
          </cell>
        </row>
        <row r="96">
          <cell r="A96" t="str">
            <v>CANALIZACIÓN EN ANDEN 3 DUCTOS DE 3"</v>
          </cell>
          <cell r="B96" t="str">
            <v>ML</v>
          </cell>
          <cell r="C96" t="e">
            <v>#REF!</v>
          </cell>
        </row>
        <row r="97">
          <cell r="A97" t="str">
            <v xml:space="preserve">CANALIZACIÓN EN ANDEN 8 DUCTOS DE 4" y 3 DUCTOS DE 3" </v>
          </cell>
          <cell r="B97" t="str">
            <v>ML</v>
          </cell>
          <cell r="C97" t="e">
            <v>#REF!</v>
          </cell>
        </row>
        <row r="98">
          <cell r="A98" t="str">
            <v xml:space="preserve">CANALIZACIÓN EN ZONA VERDE 2 DUCTO DE 3" </v>
          </cell>
          <cell r="B98" t="str">
            <v>ML</v>
          </cell>
          <cell r="C98" t="e">
            <v>#REF!</v>
          </cell>
        </row>
        <row r="99">
          <cell r="A99" t="str">
            <v xml:space="preserve">CANALIZACIÓN, CRUCE DE VIAS CON 8 DUCTOS DE 4" y 3 DUCTOS DE 3" </v>
          </cell>
          <cell r="B99" t="str">
            <v>ML</v>
          </cell>
          <cell r="C99" t="e">
            <v>#REF!</v>
          </cell>
        </row>
        <row r="100">
          <cell r="A100" t="str">
            <v xml:space="preserve">CANALIZACIÓN, CRUCE DE VIA CON 4 DUCTOS DE 4" y 3 DUCTOS DE 3" </v>
          </cell>
          <cell r="B100" t="str">
            <v>ML</v>
          </cell>
          <cell r="C100" t="e">
            <v>#REF!</v>
          </cell>
        </row>
        <row r="101">
          <cell r="A101" t="str">
            <v>CANALIZACIÓN EN ANDEN 1 DUCTO DE 1"</v>
          </cell>
          <cell r="B101" t="str">
            <v>ML</v>
          </cell>
          <cell r="C101" t="e">
            <v>#REF!</v>
          </cell>
        </row>
        <row r="102">
          <cell r="A102" t="str">
            <v>CANALIZACIÓN EN ANDEN 1 DUCTO DE 1 1/2"</v>
          </cell>
          <cell r="B102" t="str">
            <v>ML</v>
          </cell>
          <cell r="C102" t="e">
            <v>#REF!</v>
          </cell>
        </row>
        <row r="103">
          <cell r="A103">
            <v>0</v>
          </cell>
          <cell r="B103">
            <v>0</v>
          </cell>
          <cell r="C103">
            <v>0</v>
          </cell>
        </row>
        <row r="104">
          <cell r="A104" t="str">
            <v>SUMINISTRO E INSTALACIÓN DE CINTA TIPO SCOTH 700 PARA USO EN MT Y BT</v>
          </cell>
          <cell r="B104" t="str">
            <v>UN</v>
          </cell>
          <cell r="C104" t="e">
            <v>#REF!</v>
          </cell>
        </row>
        <row r="105">
          <cell r="A105" t="str">
            <v>SUMINISTRO E INSTALACIÓN DE CINTA TIPO SCOTH 23 PARA USO EN BT</v>
          </cell>
          <cell r="B105" t="str">
            <v>UN</v>
          </cell>
          <cell r="C105" t="e">
            <v>#REF!</v>
          </cell>
        </row>
        <row r="106">
          <cell r="A106" t="str">
            <v>SUMINISTRO E INSTALACIÓN DE EMPALME PREMOLDEADO PARA MT</v>
          </cell>
          <cell r="B106" t="str">
            <v>UN</v>
          </cell>
          <cell r="C106">
            <v>1105947.3582864548</v>
          </cell>
        </row>
        <row r="107">
          <cell r="A107" t="str">
            <v>SUMINISTRO E INSTALACIÓN DE DRENAJE PARA CAJA DE INSPECCIÓN EN GEOTEXTIL Y GRAVILLA DE 1 1/2"</v>
          </cell>
          <cell r="B107" t="str">
            <v>UN</v>
          </cell>
          <cell r="C107">
            <v>87935.16261571541</v>
          </cell>
        </row>
        <row r="108">
          <cell r="A108" t="str">
            <v>SUMINISTRO E INSTALACIÓN DE DRENAJE PARA CAJA DE INSPECCIÓN EN TUBERIA DE AGUAS LLUVIAS DE 2"</v>
          </cell>
          <cell r="B108" t="str">
            <v>UN</v>
          </cell>
          <cell r="C108" t="e">
            <v>#REF!</v>
          </cell>
        </row>
        <row r="109">
          <cell r="A109" t="str">
            <v>MARCACIÓN GENERAL DE CAJAS DE INSPECCIÓN Y RED CONSTRUIDA</v>
          </cell>
          <cell r="B109" t="str">
            <v>GL</v>
          </cell>
          <cell r="C109">
            <v>15143545.621861428</v>
          </cell>
        </row>
        <row r="110">
          <cell r="A110" t="str">
            <v>SUMINISTRO E INSTALACIÓN DE SECCIONADOR TIPO CUCHILLA 15KV, 600 AMPERIOS</v>
          </cell>
          <cell r="B110" t="str">
            <v>UN</v>
          </cell>
          <cell r="C110">
            <v>556014.53379884164</v>
          </cell>
        </row>
        <row r="111">
          <cell r="A111">
            <v>0</v>
          </cell>
          <cell r="B111">
            <v>0</v>
          </cell>
          <cell r="C111">
            <v>0</v>
          </cell>
        </row>
        <row r="112">
          <cell r="A112" t="str">
            <v>INSPECCIÓN RED DE MEDIA Y/O BAJA TENSIÓN Y CERTIFICACIÓN RETIE, INCLUYE IVA</v>
          </cell>
          <cell r="B112" t="str">
            <v>KM</v>
          </cell>
          <cell r="C112" t="e">
            <v>#REF!</v>
          </cell>
        </row>
        <row r="113">
          <cell r="A113" t="str">
            <v>INSPECCIÓN Y CERTIFICACIÓN TRANSFORMADORES Y CAJAS DE MANIOBRA, INCLUYE IVA</v>
          </cell>
          <cell r="B113" t="str">
            <v>UN</v>
          </cell>
          <cell r="C113" t="e">
            <v>#REF!</v>
          </cell>
        </row>
        <row r="114">
          <cell r="A114" t="str">
            <v>INSPECCIÓN Y CERTIFICACIÓN RETILAP, INCLUYE IVA</v>
          </cell>
          <cell r="B114" t="str">
            <v>KM</v>
          </cell>
          <cell r="C114" t="e">
            <v>#REF!</v>
          </cell>
        </row>
        <row r="115">
          <cell r="A115" t="str">
            <v>INSPECCIÓN DE DISTRIBUCIÓN USO FINAL DE ACOMETIDAS DESDE BARRAJES HASTA PINES DE CORTE DE GRUPO DE MEDIDA DE CADA USUARIO (10 A 25m POR ACOMETIDA), INCLUYE IVA</v>
          </cell>
          <cell r="B115" t="str">
            <v>UN</v>
          </cell>
          <cell r="C115" t="e">
            <v>#REF!</v>
          </cell>
        </row>
        <row r="116">
          <cell r="A116" t="str">
            <v>ESTUDIO Y APROBACIÓN DE LOS DISEÑOS POR PARTE EMSA, INCLUYE IVA</v>
          </cell>
          <cell r="B116" t="str">
            <v>UN</v>
          </cell>
          <cell r="C116" t="e">
            <v>#REF!</v>
          </cell>
        </row>
        <row r="117">
          <cell r="A117" t="str">
            <v>INSPECCIÓN Y CERTIFICACIÓN POR PARTE EMSA, INCLUYE IVA</v>
          </cell>
          <cell r="B117" t="str">
            <v>UN</v>
          </cell>
          <cell r="C117" t="e">
            <v>#REF!</v>
          </cell>
        </row>
        <row r="118">
          <cell r="A118">
            <v>0</v>
          </cell>
          <cell r="B118">
            <v>0</v>
          </cell>
        </row>
        <row r="119">
          <cell r="A119">
            <v>0</v>
          </cell>
          <cell r="B119">
            <v>0</v>
          </cell>
        </row>
        <row r="120">
          <cell r="A120">
            <v>0</v>
          </cell>
          <cell r="B120">
            <v>0</v>
          </cell>
        </row>
        <row r="121">
          <cell r="A121">
            <v>0</v>
          </cell>
          <cell r="B121">
            <v>0</v>
          </cell>
        </row>
        <row r="122">
          <cell r="A122">
            <v>0</v>
          </cell>
          <cell r="B122">
            <v>0</v>
          </cell>
        </row>
        <row r="123">
          <cell r="A123">
            <v>0</v>
          </cell>
          <cell r="B123">
            <v>0</v>
          </cell>
        </row>
        <row r="124">
          <cell r="A124">
            <v>0</v>
          </cell>
          <cell r="B124">
            <v>0</v>
          </cell>
        </row>
        <row r="125">
          <cell r="A125">
            <v>0</v>
          </cell>
          <cell r="B125">
            <v>0</v>
          </cell>
        </row>
        <row r="126">
          <cell r="A126">
            <v>0</v>
          </cell>
          <cell r="B126">
            <v>0</v>
          </cell>
        </row>
        <row r="127">
          <cell r="A127">
            <v>0</v>
          </cell>
          <cell r="B127">
            <v>0</v>
          </cell>
        </row>
        <row r="128">
          <cell r="A128">
            <v>0</v>
          </cell>
          <cell r="B128">
            <v>0</v>
          </cell>
        </row>
        <row r="129">
          <cell r="A129">
            <v>0</v>
          </cell>
          <cell r="B129">
            <v>0</v>
          </cell>
        </row>
        <row r="130">
          <cell r="A130">
            <v>0</v>
          </cell>
          <cell r="B130">
            <v>0</v>
          </cell>
        </row>
        <row r="131">
          <cell r="A131">
            <v>0</v>
          </cell>
          <cell r="B131">
            <v>0</v>
          </cell>
        </row>
        <row r="132">
          <cell r="A132">
            <v>0</v>
          </cell>
          <cell r="B132">
            <v>0</v>
          </cell>
        </row>
        <row r="133">
          <cell r="A133">
            <v>0</v>
          </cell>
          <cell r="B133">
            <v>0</v>
          </cell>
        </row>
        <row r="134">
          <cell r="A134">
            <v>0</v>
          </cell>
          <cell r="B134">
            <v>0</v>
          </cell>
        </row>
        <row r="135">
          <cell r="A135">
            <v>0</v>
          </cell>
          <cell r="B135">
            <v>0</v>
          </cell>
        </row>
        <row r="136">
          <cell r="A136">
            <v>0</v>
          </cell>
          <cell r="B136">
            <v>0</v>
          </cell>
        </row>
        <row r="137">
          <cell r="A137">
            <v>0</v>
          </cell>
          <cell r="B137">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3">
          <cell r="C13" t="str">
            <v xml:space="preserve">INSTALACIONES ELÉCTRICAS E ILUMINACIÓN EXTERIORES </v>
          </cell>
        </row>
      </sheetData>
      <sheetData sheetId="17"/>
      <sheetData sheetId="18"/>
      <sheetData sheetId="19"/>
      <sheetData sheetId="20"/>
      <sheetData sheetId="21"/>
      <sheetData sheetId="22"/>
      <sheetData sheetId="23"/>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1"/>
      <sheetName val="Alcantarillas"/>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TABLA_DE_CONTENIDO1"/>
      <sheetName val="GENERALIDADES_1"/>
      <sheetName val="CUMPLIMIENTO_%_1"/>
      <sheetName val="CUMPLIMIENTO_%__(2)1"/>
      <sheetName val="ESTADO_RED1"/>
      <sheetName val="SEMAFORO_45A-041"/>
      <sheetName val="SEMAFORO_55-011"/>
      <sheetName val="SEMAFORO_56-071"/>
      <sheetName val="SEMAFORO_55CN-031"/>
      <sheetName val="SEMAFORO_55CN-011"/>
      <sheetName val="TORTA_EST__VIAS_1"/>
      <sheetName val="EST__VIAS1"/>
      <sheetName val="MAPA_EST_RED1"/>
      <sheetName val="NECESIDAD_VIA1"/>
      <sheetName val="Necesidades_cr_1"/>
      <sheetName val="SITIOS_CRITICOS1"/>
      <sheetName val="CANT_OBRA_B-C1"/>
      <sheetName val="CANT_OBRA_C-G1"/>
      <sheetName val="CANT_OBRA_Z-U1"/>
      <sheetName val="CANT_OBRA_B-T1"/>
      <sheetName val="INF__EMERGENCIAS1"/>
      <sheetName val="NEC_PTES1"/>
      <sheetName val="NEC__PONTONES1"/>
      <sheetName val="señal_v1"/>
      <sheetName val="señal_H1"/>
      <sheetName val="ACCIDENTALIDAD_junio1"/>
      <sheetName val="ACCIDENTALIDAD_julio1"/>
      <sheetName val="ACCIDENTALIDAD_agosto1"/>
      <sheetName val="ACCIDENT_1"/>
      <sheetName val="DEFENSA_VIAS1"/>
      <sheetName val="ZONAS_RETIRO1"/>
      <sheetName val="CUANTI_AMV1"/>
      <sheetName val="CUALI_AMV1"/>
      <sheetName val="CUANTI_MICRO1"/>
      <sheetName val="CUALI_MICRO1"/>
      <sheetName val="ACC_EJECUTIVO1"/>
      <sheetName val="RESUM_ACCID1"/>
      <sheetName val="RESUM_ACCID_(2)1"/>
      <sheetName val="TABLA_DE_CONTENIDO2"/>
      <sheetName val="GENERALIDADES_2"/>
      <sheetName val="CUMPLIMIENTO_%_2"/>
      <sheetName val="CUMPLIMIENTO_%__(2)2"/>
      <sheetName val="ESTADO_RED2"/>
      <sheetName val="SEMAFORO_45A-042"/>
      <sheetName val="SEMAFORO_55-012"/>
      <sheetName val="SEMAFORO_56-072"/>
      <sheetName val="SEMAFORO_55CN-032"/>
      <sheetName val="SEMAFORO_55CN-012"/>
      <sheetName val="TORTA_EST__VIAS_2"/>
      <sheetName val="EST__VIAS2"/>
      <sheetName val="MAPA_EST_RED2"/>
      <sheetName val="NECESIDAD_VIA2"/>
      <sheetName val="Necesidades_cr_2"/>
      <sheetName val="SITIOS_CRITICOS2"/>
      <sheetName val="CANT_OBRA_B-C2"/>
      <sheetName val="CANT_OBRA_C-G2"/>
      <sheetName val="CANT_OBRA_Z-U2"/>
      <sheetName val="CANT_OBRA_B-T2"/>
      <sheetName val="INF__EMERGENCIAS2"/>
      <sheetName val="NEC_PTES2"/>
      <sheetName val="NEC__PONTONES2"/>
      <sheetName val="señal_v2"/>
      <sheetName val="señal_H2"/>
      <sheetName val="ACCIDENTALIDAD_junio2"/>
      <sheetName val="ACCIDENTALIDAD_julio2"/>
      <sheetName val="ACCIDENTALIDAD_agosto2"/>
      <sheetName val="ACCIDENT_2"/>
      <sheetName val="DEFENSA_VIAS2"/>
      <sheetName val="ZONAS_RETIRO2"/>
      <sheetName val="CUANTI_AMV2"/>
      <sheetName val="CUALI_AMV2"/>
      <sheetName val="CUANTI_MICRO2"/>
      <sheetName val="CUALI_MICRO2"/>
      <sheetName val="ACC_EJECUTIVO2"/>
      <sheetName val="RESUM_ACCID2"/>
      <sheetName val="RESUM_ACCID_(2)2"/>
      <sheetName val="TABLA_DE_CONTENIDO3"/>
      <sheetName val="GENERALIDADES_3"/>
      <sheetName val="CUMPLIMIENTO_%_3"/>
      <sheetName val="CUMPLIMIENTO_%__(2)3"/>
      <sheetName val="ESTADO_RED3"/>
      <sheetName val="SEMAFORO_45A-043"/>
      <sheetName val="SEMAFORO_55-013"/>
      <sheetName val="SEMAFORO_56-073"/>
      <sheetName val="SEMAFORO_55CN-033"/>
      <sheetName val="SEMAFORO_55CN-013"/>
      <sheetName val="TORTA_EST__VIAS_3"/>
      <sheetName val="EST__VIAS3"/>
      <sheetName val="MAPA_EST_RED3"/>
      <sheetName val="NECESIDAD_VIA3"/>
      <sheetName val="Necesidades_cr_3"/>
      <sheetName val="SITIOS_CRITICOS3"/>
      <sheetName val="CANT_OBRA_B-C3"/>
      <sheetName val="CANT_OBRA_C-G3"/>
      <sheetName val="CANT_OBRA_Z-U3"/>
      <sheetName val="CANT_OBRA_B-T3"/>
      <sheetName val="INF__EMERGENCIAS3"/>
      <sheetName val="NEC_PTES3"/>
      <sheetName val="NEC__PONTONES3"/>
      <sheetName val="señal_v3"/>
      <sheetName val="señal_H3"/>
      <sheetName val="ACCIDENTALIDAD_junio3"/>
      <sheetName val="ACCIDENTALIDAD_julio3"/>
      <sheetName val="ACCIDENTALIDAD_agosto3"/>
      <sheetName val="ACCIDENT_3"/>
      <sheetName val="DEFENSA_VIAS3"/>
      <sheetName val="ZONAS_RETIRO3"/>
      <sheetName val="CUANTI_AMV3"/>
      <sheetName val="CUALI_AMV3"/>
      <sheetName val="CUANTI_MICRO3"/>
      <sheetName val="CUALI_MICRO3"/>
      <sheetName val="ACC_EJECUTIVO3"/>
      <sheetName val="RESUM_ACCID3"/>
      <sheetName val="RESUM_ACCID_(2)3"/>
      <sheetName val="TABLA_DE_CONTENIDO4"/>
      <sheetName val="GENERALIDADES_4"/>
      <sheetName val="CUMPLIMIENTO_%_4"/>
      <sheetName val="CUMPLIMIENTO_%__(2)4"/>
      <sheetName val="ESTADO_RED4"/>
      <sheetName val="SEMAFORO_45A-044"/>
      <sheetName val="SEMAFORO_55-014"/>
      <sheetName val="SEMAFORO_56-074"/>
      <sheetName val="SEMAFORO_55CN-034"/>
      <sheetName val="SEMAFORO_55CN-014"/>
      <sheetName val="TORTA_EST__VIAS_4"/>
      <sheetName val="EST__VIAS4"/>
      <sheetName val="MAPA_EST_RED4"/>
      <sheetName val="NECESIDAD_VIA4"/>
      <sheetName val="Necesidades_cr_4"/>
      <sheetName val="SITIOS_CRITICOS4"/>
      <sheetName val="CANT_OBRA_B-C4"/>
      <sheetName val="CANT_OBRA_C-G4"/>
      <sheetName val="CANT_OBRA_Z-U4"/>
      <sheetName val="CANT_OBRA_B-T4"/>
      <sheetName val="INF__EMERGENCIAS4"/>
      <sheetName val="NEC_PTES4"/>
      <sheetName val="NEC__PONTONES4"/>
      <sheetName val="señal_v4"/>
      <sheetName val="señal_H4"/>
      <sheetName val="ACCIDENTALIDAD_junio4"/>
      <sheetName val="ACCIDENTALIDAD_julio4"/>
      <sheetName val="ACCIDENTALIDAD_agosto4"/>
      <sheetName val="ACCIDENT_4"/>
      <sheetName val="DEFENSA_VIAS4"/>
      <sheetName val="ZONAS_RETIRO4"/>
      <sheetName val="CUANTI_AMV4"/>
      <sheetName val="CUALI_AMV4"/>
      <sheetName val="CUANTI_MICRO4"/>
      <sheetName val="CUALI_MICRO4"/>
      <sheetName val="ACC_EJECUTIVO4"/>
      <sheetName val="RESUM_ACCID4"/>
      <sheetName val="RESUM_ACCID_(2)4"/>
      <sheetName val="TABLA_DE_CONTENIDO5"/>
      <sheetName val="GENERALIDADES_5"/>
      <sheetName val="CUMPLIMIENTO_%_5"/>
      <sheetName val="CUMPLIMIENTO_%__(2)5"/>
      <sheetName val="ESTADO_RED5"/>
      <sheetName val="SEMAFORO_45A-045"/>
      <sheetName val="SEMAFORO_55-015"/>
      <sheetName val="SEMAFORO_56-075"/>
      <sheetName val="SEMAFORO_55CN-035"/>
      <sheetName val="SEMAFORO_55CN-015"/>
      <sheetName val="TORTA_EST__VIAS_5"/>
      <sheetName val="EST__VIAS5"/>
      <sheetName val="MAPA_EST_RED5"/>
      <sheetName val="NECESIDAD_VIA5"/>
      <sheetName val="Necesidades_cr_5"/>
      <sheetName val="SITIOS_CRITICOS5"/>
      <sheetName val="CANT_OBRA_B-C5"/>
      <sheetName val="CANT_OBRA_C-G5"/>
      <sheetName val="CANT_OBRA_Z-U5"/>
      <sheetName val="CANT_OBRA_B-T5"/>
      <sheetName val="INF__EMERGENCIAS5"/>
      <sheetName val="NEC_PTES5"/>
      <sheetName val="NEC__PONTONES5"/>
      <sheetName val="señal_v5"/>
      <sheetName val="señal_H5"/>
      <sheetName val="ACCIDENTALIDAD_junio5"/>
      <sheetName val="ACCIDENTALIDAD_julio5"/>
      <sheetName val="ACCIDENTALIDAD_agosto5"/>
      <sheetName val="ACCIDENT_5"/>
      <sheetName val="DEFENSA_VIAS5"/>
      <sheetName val="ZONAS_RETIRO5"/>
      <sheetName val="CUANTI_AMV5"/>
      <sheetName val="CUALI_AMV5"/>
      <sheetName val="CUANTI_MICRO5"/>
      <sheetName val="CUALI_MICRO5"/>
      <sheetName val="ACC_EJECUTIVO5"/>
      <sheetName val="RESUM_ACCID5"/>
      <sheetName val="RESUM_ACCID_(2)5"/>
      <sheetName val="TABLA_DE_CONTENIDO8"/>
      <sheetName val="GENERALIDADES_8"/>
      <sheetName val="CUMPLIMIENTO_%_8"/>
      <sheetName val="CUMPLIMIENTO_%__(2)8"/>
      <sheetName val="ESTADO_RED8"/>
      <sheetName val="SEMAFORO_45A-048"/>
      <sheetName val="SEMAFORO_55-018"/>
      <sheetName val="SEMAFORO_56-078"/>
      <sheetName val="SEMAFORO_55CN-038"/>
      <sheetName val="SEMAFORO_55CN-018"/>
      <sheetName val="TORTA_EST__VIAS_8"/>
      <sheetName val="EST__VIAS8"/>
      <sheetName val="MAPA_EST_RED8"/>
      <sheetName val="NECESIDAD_VIA8"/>
      <sheetName val="Necesidades_cr_8"/>
      <sheetName val="SITIOS_CRITICOS8"/>
      <sheetName val="CANT_OBRA_B-C8"/>
      <sheetName val="CANT_OBRA_C-G8"/>
      <sheetName val="CANT_OBRA_Z-U8"/>
      <sheetName val="CANT_OBRA_B-T8"/>
      <sheetName val="INF__EMERGENCIAS8"/>
      <sheetName val="NEC_PTES8"/>
      <sheetName val="NEC__PONTONES8"/>
      <sheetName val="señal_v8"/>
      <sheetName val="señal_H8"/>
      <sheetName val="ACCIDENTALIDAD_junio8"/>
      <sheetName val="ACCIDENTALIDAD_julio8"/>
      <sheetName val="ACCIDENTALIDAD_agosto8"/>
      <sheetName val="ACCIDENT_8"/>
      <sheetName val="DEFENSA_VIAS8"/>
      <sheetName val="ZONAS_RETIRO8"/>
      <sheetName val="CUANTI_AMV8"/>
      <sheetName val="CUALI_AMV8"/>
      <sheetName val="CUANTI_MICRO8"/>
      <sheetName val="CUALI_MICRO8"/>
      <sheetName val="ACC_EJECUTIVO8"/>
      <sheetName val="RESUM_ACCID8"/>
      <sheetName val="RESUM_ACCID_(2)8"/>
      <sheetName val="TABLA_DE_CONTENIDO6"/>
      <sheetName val="GENERALIDADES_6"/>
      <sheetName val="CUMPLIMIENTO_%_6"/>
      <sheetName val="CUMPLIMIENTO_%__(2)6"/>
      <sheetName val="ESTADO_RED6"/>
      <sheetName val="SEMAFORO_45A-046"/>
      <sheetName val="SEMAFORO_55-016"/>
      <sheetName val="SEMAFORO_56-076"/>
      <sheetName val="SEMAFORO_55CN-036"/>
      <sheetName val="SEMAFORO_55CN-016"/>
      <sheetName val="TORTA_EST__VIAS_6"/>
      <sheetName val="EST__VIAS6"/>
      <sheetName val="MAPA_EST_RED6"/>
      <sheetName val="NECESIDAD_VIA6"/>
      <sheetName val="Necesidades_cr_6"/>
      <sheetName val="SITIOS_CRITICOS6"/>
      <sheetName val="CANT_OBRA_B-C6"/>
      <sheetName val="CANT_OBRA_C-G6"/>
      <sheetName val="CANT_OBRA_Z-U6"/>
      <sheetName val="CANT_OBRA_B-T6"/>
      <sheetName val="INF__EMERGENCIAS6"/>
      <sheetName val="NEC_PTES6"/>
      <sheetName val="NEC__PONTONES6"/>
      <sheetName val="señal_v6"/>
      <sheetName val="señal_H6"/>
      <sheetName val="ACCIDENTALIDAD_junio6"/>
      <sheetName val="ACCIDENTALIDAD_julio6"/>
      <sheetName val="ACCIDENTALIDAD_agosto6"/>
      <sheetName val="ACCIDENT_6"/>
      <sheetName val="DEFENSA_VIAS6"/>
      <sheetName val="ZONAS_RETIRO6"/>
      <sheetName val="CUANTI_AMV6"/>
      <sheetName val="CUALI_AMV6"/>
      <sheetName val="CUANTI_MICRO6"/>
      <sheetName val="CUALI_MICRO6"/>
      <sheetName val="ACC_EJECUTIVO6"/>
      <sheetName val="RESUM_ACCID6"/>
      <sheetName val="RESUM_ACCID_(2)6"/>
      <sheetName val="TABLA_DE_CONTENIDO7"/>
      <sheetName val="GENERALIDADES_7"/>
      <sheetName val="CUMPLIMIENTO_%_7"/>
      <sheetName val="CUMPLIMIENTO_%__(2)7"/>
      <sheetName val="ESTADO_RED7"/>
      <sheetName val="SEMAFORO_45A-047"/>
      <sheetName val="SEMAFORO_55-017"/>
      <sheetName val="SEMAFORO_56-077"/>
      <sheetName val="SEMAFORO_55CN-037"/>
      <sheetName val="SEMAFORO_55CN-017"/>
      <sheetName val="TORTA_EST__VIAS_7"/>
      <sheetName val="EST__VIAS7"/>
      <sheetName val="MAPA_EST_RED7"/>
      <sheetName val="NECESIDAD_VIA7"/>
      <sheetName val="Necesidades_cr_7"/>
      <sheetName val="SITIOS_CRITICOS7"/>
      <sheetName val="CANT_OBRA_B-C7"/>
      <sheetName val="CANT_OBRA_C-G7"/>
      <sheetName val="CANT_OBRA_Z-U7"/>
      <sheetName val="CANT_OBRA_B-T7"/>
      <sheetName val="INF__EMERGENCIAS7"/>
      <sheetName val="NEC_PTES7"/>
      <sheetName val="NEC__PONTONES7"/>
      <sheetName val="señal_v7"/>
      <sheetName val="señal_H7"/>
      <sheetName val="ACCIDENTALIDAD_junio7"/>
      <sheetName val="ACCIDENTALIDAD_julio7"/>
      <sheetName val="ACCIDENTALIDAD_agosto7"/>
      <sheetName val="ACCIDENT_7"/>
      <sheetName val="DEFENSA_VIAS7"/>
      <sheetName val="ZONAS_RETIRO7"/>
      <sheetName val="CUANTI_AMV7"/>
      <sheetName val="CUALI_AMV7"/>
      <sheetName val="CUANTI_MICRO7"/>
      <sheetName val="CUALI_MICRO7"/>
      <sheetName val="ACC_EJECUTIVO7"/>
      <sheetName val="RESUM_ACCID7"/>
      <sheetName val="RESUM_ACCID_(2)7"/>
      <sheetName val="TABLA_DE_CONTENIDO9"/>
      <sheetName val="GENERALIDADES_9"/>
      <sheetName val="CUMPLIMIENTO_%_9"/>
      <sheetName val="CUMPLIMIENTO_%__(2)9"/>
      <sheetName val="ESTADO_RED9"/>
      <sheetName val="SEMAFORO_45A-049"/>
      <sheetName val="SEMAFORO_55-019"/>
      <sheetName val="SEMAFORO_56-079"/>
      <sheetName val="SEMAFORO_55CN-039"/>
      <sheetName val="SEMAFORO_55CN-019"/>
      <sheetName val="TORTA_EST__VIAS_9"/>
      <sheetName val="EST__VIAS9"/>
      <sheetName val="MAPA_EST_RED9"/>
      <sheetName val="NECESIDAD_VIA9"/>
      <sheetName val="Necesidades_cr_9"/>
      <sheetName val="SITIOS_CRITICOS9"/>
      <sheetName val="CANT_OBRA_B-C9"/>
      <sheetName val="CANT_OBRA_C-G9"/>
      <sheetName val="CANT_OBRA_Z-U9"/>
      <sheetName val="CANT_OBRA_B-T9"/>
      <sheetName val="INF__EMERGENCIAS9"/>
      <sheetName val="NEC_PTES9"/>
      <sheetName val="NEC__PONTONES9"/>
      <sheetName val="señal_v9"/>
      <sheetName val="señal_H9"/>
      <sheetName val="ACCIDENTALIDAD_junio9"/>
      <sheetName val="ACCIDENTALIDAD_julio9"/>
      <sheetName val="ACCIDENTALIDAD_agosto9"/>
      <sheetName val="ACCIDENT_9"/>
      <sheetName val="DEFENSA_VIAS9"/>
      <sheetName val="ZONAS_RETIRO9"/>
      <sheetName val="CUANTI_AMV9"/>
      <sheetName val="CUALI_AMV9"/>
      <sheetName val="CUANTI_MICRO9"/>
      <sheetName val="CUALI_MICRO9"/>
      <sheetName val="ACC_EJECUTIVO9"/>
      <sheetName val="RESUM_ACCID9"/>
      <sheetName val="RESUM_ACCID_(2)9"/>
      <sheetName val="TABLA_DE_CONTENIDO10"/>
      <sheetName val="GENERALIDADES_10"/>
      <sheetName val="CUMPLIMIENTO_%_10"/>
      <sheetName val="CUMPLIMIENTO_%__(2)10"/>
      <sheetName val="ESTADO_RED10"/>
      <sheetName val="SEMAFORO_45A-0410"/>
      <sheetName val="SEMAFORO_55-0110"/>
      <sheetName val="SEMAFORO_56-0710"/>
      <sheetName val="SEMAFORO_55CN-0310"/>
      <sheetName val="SEMAFORO_55CN-0110"/>
      <sheetName val="TORTA_EST__VIAS_10"/>
      <sheetName val="EST__VIAS10"/>
      <sheetName val="MAPA_EST_RED10"/>
      <sheetName val="NECESIDAD_VIA10"/>
      <sheetName val="Necesidades_cr_10"/>
      <sheetName val="SITIOS_CRITICOS10"/>
      <sheetName val="CANT_OBRA_B-C10"/>
      <sheetName val="CANT_OBRA_C-G10"/>
      <sheetName val="CANT_OBRA_Z-U10"/>
      <sheetName val="CANT_OBRA_B-T10"/>
      <sheetName val="INF__EMERGENCIAS10"/>
      <sheetName val="NEC_PTES10"/>
      <sheetName val="NEC__PONTONES10"/>
      <sheetName val="señal_v10"/>
      <sheetName val="señal_H10"/>
      <sheetName val="ACCIDENTALIDAD_junio10"/>
      <sheetName val="ACCIDENTALIDAD_julio10"/>
      <sheetName val="ACCIDENTALIDAD_agosto10"/>
      <sheetName val="ACCIDENT_10"/>
      <sheetName val="DEFENSA_VIAS10"/>
      <sheetName val="ZONAS_RETIRO10"/>
      <sheetName val="CUANTI_AMV10"/>
      <sheetName val="CUALI_AMV10"/>
      <sheetName val="CUANTI_MICRO10"/>
      <sheetName val="CUALI_MICRO10"/>
      <sheetName val="ACC_EJECUTIVO10"/>
      <sheetName val="RESUM_ACCID10"/>
      <sheetName val="RESUM_ACCID_(2)10"/>
      <sheetName val="TABLA_DE_CONTENIDO20"/>
      <sheetName val="GENERALIDADES_20"/>
      <sheetName val="CUMPLIMIENTO_%_20"/>
      <sheetName val="CUMPLIMIENTO_%__(2)20"/>
      <sheetName val="ESTADO_RED20"/>
      <sheetName val="SEMAFORO_45A-0420"/>
      <sheetName val="SEMAFORO_55-0120"/>
      <sheetName val="SEMAFORO_56-0720"/>
      <sheetName val="SEMAFORO_55CN-0320"/>
      <sheetName val="SEMAFORO_55CN-0120"/>
      <sheetName val="TORTA_EST__VIAS_20"/>
      <sheetName val="EST__VIAS20"/>
      <sheetName val="MAPA_EST_RED20"/>
      <sheetName val="NECESIDAD_VIA20"/>
      <sheetName val="Necesidades_cr_20"/>
      <sheetName val="SITIOS_CRITICOS20"/>
      <sheetName val="CANT_OBRA_B-C20"/>
      <sheetName val="CANT_OBRA_C-G20"/>
      <sheetName val="CANT_OBRA_Z-U20"/>
      <sheetName val="CANT_OBRA_B-T20"/>
      <sheetName val="INF__EMERGENCIAS20"/>
      <sheetName val="NEC_PTES20"/>
      <sheetName val="NEC__PONTONES20"/>
      <sheetName val="señal_v20"/>
      <sheetName val="señal_H20"/>
      <sheetName val="ACCIDENTALIDAD_junio20"/>
      <sheetName val="ACCIDENTALIDAD_julio20"/>
      <sheetName val="ACCIDENTALIDAD_agosto20"/>
      <sheetName val="ACCIDENT_20"/>
      <sheetName val="DEFENSA_VIAS20"/>
      <sheetName val="ZONAS_RETIRO20"/>
      <sheetName val="CUANTI_AMV20"/>
      <sheetName val="CUALI_AMV20"/>
      <sheetName val="CUANTI_MICRO20"/>
      <sheetName val="CUALI_MICRO20"/>
      <sheetName val="ACC_EJECUTIVO20"/>
      <sheetName val="RESUM_ACCID20"/>
      <sheetName val="RESUM_ACCID_(2)20"/>
      <sheetName val="TABLA_DE_CONTENIDO15"/>
      <sheetName val="GENERALIDADES_15"/>
      <sheetName val="CUMPLIMIENTO_%_15"/>
      <sheetName val="CUMPLIMIENTO_%__(2)15"/>
      <sheetName val="ESTADO_RED15"/>
      <sheetName val="SEMAFORO_45A-0415"/>
      <sheetName val="SEMAFORO_55-0115"/>
      <sheetName val="SEMAFORO_56-0715"/>
      <sheetName val="SEMAFORO_55CN-0315"/>
      <sheetName val="SEMAFORO_55CN-0115"/>
      <sheetName val="TORTA_EST__VIAS_15"/>
      <sheetName val="EST__VIAS15"/>
      <sheetName val="MAPA_EST_RED15"/>
      <sheetName val="NECESIDAD_VIA15"/>
      <sheetName val="Necesidades_cr_15"/>
      <sheetName val="SITIOS_CRITICOS15"/>
      <sheetName val="CANT_OBRA_B-C15"/>
      <sheetName val="CANT_OBRA_C-G15"/>
      <sheetName val="CANT_OBRA_Z-U15"/>
      <sheetName val="CANT_OBRA_B-T15"/>
      <sheetName val="INF__EMERGENCIAS15"/>
      <sheetName val="NEC_PTES15"/>
      <sheetName val="NEC__PONTONES15"/>
      <sheetName val="señal_v15"/>
      <sheetName val="señal_H15"/>
      <sheetName val="ACCIDENTALIDAD_junio15"/>
      <sheetName val="ACCIDENTALIDAD_julio15"/>
      <sheetName val="ACCIDENTALIDAD_agosto15"/>
      <sheetName val="ACCIDENT_15"/>
      <sheetName val="DEFENSA_VIAS15"/>
      <sheetName val="ZONAS_RETIRO15"/>
      <sheetName val="CUANTI_AMV15"/>
      <sheetName val="CUALI_AMV15"/>
      <sheetName val="CUANTI_MICRO15"/>
      <sheetName val="CUALI_MICRO15"/>
      <sheetName val="ACC_EJECUTIVO15"/>
      <sheetName val="RESUM_ACCID15"/>
      <sheetName val="RESUM_ACCID_(2)15"/>
      <sheetName val="TABLA_DE_CONTENIDO13"/>
      <sheetName val="GENERALIDADES_13"/>
      <sheetName val="CUMPLIMIENTO_%_13"/>
      <sheetName val="CUMPLIMIENTO_%__(2)13"/>
      <sheetName val="ESTADO_RED13"/>
      <sheetName val="SEMAFORO_45A-0413"/>
      <sheetName val="SEMAFORO_55-0113"/>
      <sheetName val="SEMAFORO_56-0713"/>
      <sheetName val="SEMAFORO_55CN-0313"/>
      <sheetName val="SEMAFORO_55CN-0113"/>
      <sheetName val="TORTA_EST__VIAS_13"/>
      <sheetName val="EST__VIAS13"/>
      <sheetName val="MAPA_EST_RED13"/>
      <sheetName val="NECESIDAD_VIA13"/>
      <sheetName val="Necesidades_cr_13"/>
      <sheetName val="SITIOS_CRITICOS13"/>
      <sheetName val="CANT_OBRA_B-C13"/>
      <sheetName val="CANT_OBRA_C-G13"/>
      <sheetName val="CANT_OBRA_Z-U13"/>
      <sheetName val="CANT_OBRA_B-T13"/>
      <sheetName val="INF__EMERGENCIAS13"/>
      <sheetName val="NEC_PTES13"/>
      <sheetName val="NEC__PONTONES13"/>
      <sheetName val="señal_v13"/>
      <sheetName val="señal_H13"/>
      <sheetName val="ACCIDENTALIDAD_junio13"/>
      <sheetName val="ACCIDENTALIDAD_julio13"/>
      <sheetName val="ACCIDENTALIDAD_agosto13"/>
      <sheetName val="ACCIDENT_13"/>
      <sheetName val="DEFENSA_VIAS13"/>
      <sheetName val="ZONAS_RETIRO13"/>
      <sheetName val="CUANTI_AMV13"/>
      <sheetName val="CUALI_AMV13"/>
      <sheetName val="CUANTI_MICRO13"/>
      <sheetName val="CUALI_MICRO13"/>
      <sheetName val="ACC_EJECUTIVO13"/>
      <sheetName val="RESUM_ACCID13"/>
      <sheetName val="RESUM_ACCID_(2)13"/>
      <sheetName val="TABLA_DE_CONTENIDO11"/>
      <sheetName val="GENERALIDADES_11"/>
      <sheetName val="CUMPLIMIENTO_%_11"/>
      <sheetName val="CUMPLIMIENTO_%__(2)11"/>
      <sheetName val="ESTADO_RED11"/>
      <sheetName val="SEMAFORO_45A-0411"/>
      <sheetName val="SEMAFORO_55-0111"/>
      <sheetName val="SEMAFORO_56-0711"/>
      <sheetName val="SEMAFORO_55CN-0311"/>
      <sheetName val="SEMAFORO_55CN-0111"/>
      <sheetName val="TORTA_EST__VIAS_11"/>
      <sheetName val="EST__VIAS11"/>
      <sheetName val="MAPA_EST_RED11"/>
      <sheetName val="NECESIDAD_VIA11"/>
      <sheetName val="Necesidades_cr_11"/>
      <sheetName val="SITIOS_CRITICOS11"/>
      <sheetName val="CANT_OBRA_B-C11"/>
      <sheetName val="CANT_OBRA_C-G11"/>
      <sheetName val="CANT_OBRA_Z-U11"/>
      <sheetName val="CANT_OBRA_B-T11"/>
      <sheetName val="INF__EMERGENCIAS11"/>
      <sheetName val="NEC_PTES11"/>
      <sheetName val="NEC__PONTONES11"/>
      <sheetName val="señal_v11"/>
      <sheetName val="señal_H11"/>
      <sheetName val="ACCIDENTALIDAD_junio11"/>
      <sheetName val="ACCIDENTALIDAD_julio11"/>
      <sheetName val="ACCIDENTALIDAD_agosto11"/>
      <sheetName val="ACCIDENT_11"/>
      <sheetName val="DEFENSA_VIAS11"/>
      <sheetName val="ZONAS_RETIRO11"/>
      <sheetName val="CUANTI_AMV11"/>
      <sheetName val="CUALI_AMV11"/>
      <sheetName val="CUANTI_MICRO11"/>
      <sheetName val="CUALI_MICRO11"/>
      <sheetName val="ACC_EJECUTIVO11"/>
      <sheetName val="RESUM_ACCID11"/>
      <sheetName val="RESUM_ACCID_(2)11"/>
      <sheetName val="TABLA_DE_CONTENIDO12"/>
      <sheetName val="GENERALIDADES_12"/>
      <sheetName val="CUMPLIMIENTO_%_12"/>
      <sheetName val="CUMPLIMIENTO_%__(2)12"/>
      <sheetName val="ESTADO_RED12"/>
      <sheetName val="SEMAFORO_45A-0412"/>
      <sheetName val="SEMAFORO_55-0112"/>
      <sheetName val="SEMAFORO_56-0712"/>
      <sheetName val="SEMAFORO_55CN-0312"/>
      <sheetName val="SEMAFORO_55CN-0112"/>
      <sheetName val="TORTA_EST__VIAS_12"/>
      <sheetName val="EST__VIAS12"/>
      <sheetName val="MAPA_EST_RED12"/>
      <sheetName val="NECESIDAD_VIA12"/>
      <sheetName val="Necesidades_cr_12"/>
      <sheetName val="SITIOS_CRITICOS12"/>
      <sheetName val="CANT_OBRA_B-C12"/>
      <sheetName val="CANT_OBRA_C-G12"/>
      <sheetName val="CANT_OBRA_Z-U12"/>
      <sheetName val="CANT_OBRA_B-T12"/>
      <sheetName val="INF__EMERGENCIAS12"/>
      <sheetName val="NEC_PTES12"/>
      <sheetName val="NEC__PONTONES12"/>
      <sheetName val="señal_v12"/>
      <sheetName val="señal_H12"/>
      <sheetName val="ACCIDENTALIDAD_junio12"/>
      <sheetName val="ACCIDENTALIDAD_julio12"/>
      <sheetName val="ACCIDENTALIDAD_agosto12"/>
      <sheetName val="ACCIDENT_12"/>
      <sheetName val="DEFENSA_VIAS12"/>
      <sheetName val="ZONAS_RETIRO12"/>
      <sheetName val="CUANTI_AMV12"/>
      <sheetName val="CUALI_AMV12"/>
      <sheetName val="CUANTI_MICRO12"/>
      <sheetName val="CUALI_MICRO12"/>
      <sheetName val="ACC_EJECUTIVO12"/>
      <sheetName val="RESUM_ACCID12"/>
      <sheetName val="RESUM_ACCID_(2)12"/>
      <sheetName val="TABLA_DE_CONTENIDO14"/>
      <sheetName val="GENERALIDADES_14"/>
      <sheetName val="CUMPLIMIENTO_%_14"/>
      <sheetName val="CUMPLIMIENTO_%__(2)14"/>
      <sheetName val="ESTADO_RED14"/>
      <sheetName val="SEMAFORO_45A-0414"/>
      <sheetName val="SEMAFORO_55-0114"/>
      <sheetName val="SEMAFORO_56-0714"/>
      <sheetName val="SEMAFORO_55CN-0314"/>
      <sheetName val="SEMAFORO_55CN-0114"/>
      <sheetName val="TORTA_EST__VIAS_14"/>
      <sheetName val="EST__VIAS14"/>
      <sheetName val="MAPA_EST_RED14"/>
      <sheetName val="NECESIDAD_VIA14"/>
      <sheetName val="Necesidades_cr_14"/>
      <sheetName val="SITIOS_CRITICOS14"/>
      <sheetName val="CANT_OBRA_B-C14"/>
      <sheetName val="CANT_OBRA_C-G14"/>
      <sheetName val="CANT_OBRA_Z-U14"/>
      <sheetName val="CANT_OBRA_B-T14"/>
      <sheetName val="INF__EMERGENCIAS14"/>
      <sheetName val="NEC_PTES14"/>
      <sheetName val="NEC__PONTONES14"/>
      <sheetName val="señal_v14"/>
      <sheetName val="señal_H14"/>
      <sheetName val="ACCIDENTALIDAD_junio14"/>
      <sheetName val="ACCIDENTALIDAD_julio14"/>
      <sheetName val="ACCIDENTALIDAD_agosto14"/>
      <sheetName val="ACCIDENT_14"/>
      <sheetName val="DEFENSA_VIAS14"/>
      <sheetName val="ZONAS_RETIRO14"/>
      <sheetName val="CUANTI_AMV14"/>
      <sheetName val="CUALI_AMV14"/>
      <sheetName val="CUANTI_MICRO14"/>
      <sheetName val="CUALI_MICRO14"/>
      <sheetName val="ACC_EJECUTIVO14"/>
      <sheetName val="RESUM_ACCID14"/>
      <sheetName val="RESUM_ACCID_(2)14"/>
      <sheetName val="TABLA_DE_CONTENIDO16"/>
      <sheetName val="GENERALIDADES_16"/>
      <sheetName val="CUMPLIMIENTO_%_16"/>
      <sheetName val="CUMPLIMIENTO_%__(2)16"/>
      <sheetName val="ESTADO_RED16"/>
      <sheetName val="SEMAFORO_45A-0416"/>
      <sheetName val="SEMAFORO_55-0116"/>
      <sheetName val="SEMAFORO_56-0716"/>
      <sheetName val="SEMAFORO_55CN-0316"/>
      <sheetName val="SEMAFORO_55CN-0116"/>
      <sheetName val="TORTA_EST__VIAS_16"/>
      <sheetName val="EST__VIAS16"/>
      <sheetName val="MAPA_EST_RED16"/>
      <sheetName val="NECESIDAD_VIA16"/>
      <sheetName val="Necesidades_cr_16"/>
      <sheetName val="SITIOS_CRITICOS16"/>
      <sheetName val="CANT_OBRA_B-C16"/>
      <sheetName val="CANT_OBRA_C-G16"/>
      <sheetName val="CANT_OBRA_Z-U16"/>
      <sheetName val="CANT_OBRA_B-T16"/>
      <sheetName val="INF__EMERGENCIAS16"/>
      <sheetName val="NEC_PTES16"/>
      <sheetName val="NEC__PONTONES16"/>
      <sheetName val="señal_v16"/>
      <sheetName val="señal_H16"/>
      <sheetName val="ACCIDENTALIDAD_junio16"/>
      <sheetName val="ACCIDENTALIDAD_julio16"/>
      <sheetName val="ACCIDENTALIDAD_agosto16"/>
      <sheetName val="ACCIDENT_16"/>
      <sheetName val="DEFENSA_VIAS16"/>
      <sheetName val="ZONAS_RETIRO16"/>
      <sheetName val="CUANTI_AMV16"/>
      <sheetName val="CUALI_AMV16"/>
      <sheetName val="CUANTI_MICRO16"/>
      <sheetName val="CUALI_MICRO16"/>
      <sheetName val="ACC_EJECUTIVO16"/>
      <sheetName val="RESUM_ACCID16"/>
      <sheetName val="RESUM_ACCID_(2)16"/>
      <sheetName val="TABLA_DE_CONTENIDO17"/>
      <sheetName val="GENERALIDADES_17"/>
      <sheetName val="CUMPLIMIENTO_%_17"/>
      <sheetName val="CUMPLIMIENTO_%__(2)17"/>
      <sheetName val="ESTADO_RED17"/>
      <sheetName val="SEMAFORO_45A-0417"/>
      <sheetName val="SEMAFORO_55-0117"/>
      <sheetName val="SEMAFORO_56-0717"/>
      <sheetName val="SEMAFORO_55CN-0317"/>
      <sheetName val="SEMAFORO_55CN-0117"/>
      <sheetName val="TORTA_EST__VIAS_17"/>
      <sheetName val="EST__VIAS17"/>
      <sheetName val="MAPA_EST_RED17"/>
      <sheetName val="NECESIDAD_VIA17"/>
      <sheetName val="Necesidades_cr_17"/>
      <sheetName val="SITIOS_CRITICOS17"/>
      <sheetName val="CANT_OBRA_B-C17"/>
      <sheetName val="CANT_OBRA_C-G17"/>
      <sheetName val="CANT_OBRA_Z-U17"/>
      <sheetName val="CANT_OBRA_B-T17"/>
      <sheetName val="INF__EMERGENCIAS17"/>
      <sheetName val="NEC_PTES17"/>
      <sheetName val="NEC__PONTONES17"/>
      <sheetName val="señal_v17"/>
      <sheetName val="señal_H17"/>
      <sheetName val="ACCIDENTALIDAD_junio17"/>
      <sheetName val="ACCIDENTALIDAD_julio17"/>
      <sheetName val="ACCIDENTALIDAD_agosto17"/>
      <sheetName val="ACCIDENT_17"/>
      <sheetName val="DEFENSA_VIAS17"/>
      <sheetName val="ZONAS_RETIRO17"/>
      <sheetName val="CUANTI_AMV17"/>
      <sheetName val="CUALI_AMV17"/>
      <sheetName val="CUANTI_MICRO17"/>
      <sheetName val="CUALI_MICRO17"/>
      <sheetName val="ACC_EJECUTIVO17"/>
      <sheetName val="RESUM_ACCID17"/>
      <sheetName val="RESUM_ACCID_(2)17"/>
      <sheetName val="TABLA_DE_CONTENIDO18"/>
      <sheetName val="GENERALIDADES_18"/>
      <sheetName val="CUMPLIMIENTO_%_18"/>
      <sheetName val="CUMPLIMIENTO_%__(2)18"/>
      <sheetName val="ESTADO_RED18"/>
      <sheetName val="SEMAFORO_45A-0418"/>
      <sheetName val="SEMAFORO_55-0118"/>
      <sheetName val="SEMAFORO_56-0718"/>
      <sheetName val="SEMAFORO_55CN-0318"/>
      <sheetName val="SEMAFORO_55CN-0118"/>
      <sheetName val="TORTA_EST__VIAS_18"/>
      <sheetName val="EST__VIAS18"/>
      <sheetName val="MAPA_EST_RED18"/>
      <sheetName val="NECESIDAD_VIA18"/>
      <sheetName val="Necesidades_cr_18"/>
      <sheetName val="SITIOS_CRITICOS18"/>
      <sheetName val="CANT_OBRA_B-C18"/>
      <sheetName val="CANT_OBRA_C-G18"/>
      <sheetName val="CANT_OBRA_Z-U18"/>
      <sheetName val="CANT_OBRA_B-T18"/>
      <sheetName val="INF__EMERGENCIAS18"/>
      <sheetName val="NEC_PTES18"/>
      <sheetName val="NEC__PONTONES18"/>
      <sheetName val="señal_v18"/>
      <sheetName val="señal_H18"/>
      <sheetName val="ACCIDENTALIDAD_junio18"/>
      <sheetName val="ACCIDENTALIDAD_julio18"/>
      <sheetName val="ACCIDENTALIDAD_agosto18"/>
      <sheetName val="ACCIDENT_18"/>
      <sheetName val="DEFENSA_VIAS18"/>
      <sheetName val="ZONAS_RETIRO18"/>
      <sheetName val="CUANTI_AMV18"/>
      <sheetName val="CUALI_AMV18"/>
      <sheetName val="CUANTI_MICRO18"/>
      <sheetName val="CUALI_MICRO18"/>
      <sheetName val="ACC_EJECUTIVO18"/>
      <sheetName val="RESUM_ACCID18"/>
      <sheetName val="RESUM_ACCID_(2)18"/>
      <sheetName val="TABLA_DE_CONTENIDO19"/>
      <sheetName val="GENERALIDADES_19"/>
      <sheetName val="CUMPLIMIENTO_%_19"/>
      <sheetName val="CUMPLIMIENTO_%__(2)19"/>
      <sheetName val="ESTADO_RED19"/>
      <sheetName val="SEMAFORO_45A-0419"/>
      <sheetName val="SEMAFORO_55-0119"/>
      <sheetName val="SEMAFORO_56-0719"/>
      <sheetName val="SEMAFORO_55CN-0319"/>
      <sheetName val="SEMAFORO_55CN-0119"/>
      <sheetName val="TORTA_EST__VIAS_19"/>
      <sheetName val="EST__VIAS19"/>
      <sheetName val="MAPA_EST_RED19"/>
      <sheetName val="NECESIDAD_VIA19"/>
      <sheetName val="Necesidades_cr_19"/>
      <sheetName val="SITIOS_CRITICOS19"/>
      <sheetName val="CANT_OBRA_B-C19"/>
      <sheetName val="CANT_OBRA_C-G19"/>
      <sheetName val="CANT_OBRA_Z-U19"/>
      <sheetName val="CANT_OBRA_B-T19"/>
      <sheetName val="INF__EMERGENCIAS19"/>
      <sheetName val="NEC_PTES19"/>
      <sheetName val="NEC__PONTONES19"/>
      <sheetName val="señal_v19"/>
      <sheetName val="señal_H19"/>
      <sheetName val="ACCIDENTALIDAD_junio19"/>
      <sheetName val="ACCIDENTALIDAD_julio19"/>
      <sheetName val="ACCIDENTALIDAD_agosto19"/>
      <sheetName val="ACCIDENT_19"/>
      <sheetName val="DEFENSA_VIAS19"/>
      <sheetName val="ZONAS_RETIRO19"/>
      <sheetName val="CUANTI_AMV19"/>
      <sheetName val="CUALI_AMV19"/>
      <sheetName val="CUANTI_MICRO19"/>
      <sheetName val="CUALI_MICRO19"/>
      <sheetName val="ACC_EJECUTIVO19"/>
      <sheetName val="RESUM_ACCID19"/>
      <sheetName val="RESUM_ACCID_(2)19"/>
      <sheetName val="RECURSOS"/>
      <sheetName val="CUMPLIMIENTO"/>
      <sheetName val="Listado"/>
      <sheetName val="BD100-45-P1"/>
      <sheetName val="BASE DATOS"/>
      <sheetName val="5.2"/>
      <sheetName val="MATERIALES"/>
      <sheetName val="PROPUESTA PRESENTADA"/>
      <sheetName val="CRA.MODI"/>
      <sheetName val="Cotización"/>
      <sheetName val="BDATOS"/>
      <sheetName val="BASES"/>
      <sheetName val="DATOS"/>
    </sheetNames>
    <sheetDataSet>
      <sheetData sheetId="0">
        <row r="9">
          <cell r="E9" t="str">
            <v>EDGAR EDUARDO HERNANDEZ Q.</v>
          </cell>
        </row>
      </sheetData>
      <sheetData sheetId="1">
        <row r="2">
          <cell r="A2" t="str">
            <v>REGIONAL CUNDINAMARCA</v>
          </cell>
        </row>
      </sheetData>
      <sheetData sheetId="2"/>
      <sheetData sheetId="3">
        <row r="2">
          <cell r="A2" t="str">
            <v>REGIONAL CUNDINAMARCA</v>
          </cell>
        </row>
        <row r="9">
          <cell r="E9" t="str">
            <v>EDGAR EDUARDO HERNANDEZ Q.</v>
          </cell>
        </row>
      </sheetData>
      <sheetData sheetId="4"/>
      <sheetData sheetId="5">
        <row r="8">
          <cell r="E8" t="str">
            <v>BIMESTRE: JULIO - AGOSTO DE 2001</v>
          </cell>
        </row>
      </sheetData>
      <sheetData sheetId="6">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sheetData sheetId="50">
        <row r="9">
          <cell r="E9" t="str">
            <v>EDGAR EDUARDO HERNANDEZ Q.</v>
          </cell>
        </row>
      </sheetData>
      <sheetData sheetId="51">
        <row r="8">
          <cell r="E8" t="str">
            <v>BIMESTRE: JULIO - AGOSTO DE 2001</v>
          </cell>
        </row>
      </sheetData>
      <sheetData sheetId="52"/>
      <sheetData sheetId="53">
        <row r="8">
          <cell r="E8" t="str">
            <v>BIMESTRE: JULIO - AGOSTO DE 2001</v>
          </cell>
        </row>
      </sheetData>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row r="9">
          <cell r="E9" t="str">
            <v>EDGAR EDUARDO HERNANDEZ Q.</v>
          </cell>
        </row>
      </sheetData>
      <sheetData sheetId="87"/>
      <sheetData sheetId="88">
        <row r="9">
          <cell r="E9" t="str">
            <v>EDGAR EDUARDO HERNANDEZ Q.</v>
          </cell>
        </row>
      </sheetData>
      <sheetData sheetId="89"/>
      <sheetData sheetId="90"/>
      <sheetData sheetId="91">
        <row r="8">
          <cell r="E8" t="str">
            <v>BIMESTRE: JULIO - AGOSTO DE 2001</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row r="9">
          <cell r="E9" t="str">
            <v>EDGAR EDUARDO HERNANDEZ Q.</v>
          </cell>
        </row>
      </sheetData>
      <sheetData sheetId="127">
        <row r="8">
          <cell r="E8" t="str">
            <v>BIMESTRE: JULIO - AGOSTO DE 2001</v>
          </cell>
        </row>
      </sheetData>
      <sheetData sheetId="128"/>
      <sheetData sheetId="129">
        <row r="8">
          <cell r="E8" t="str">
            <v>BIMESTRE: JULIO - AGOSTO DE 2001</v>
          </cell>
        </row>
      </sheetData>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row r="9">
          <cell r="E9" t="str">
            <v>EDGAR EDUARDO HERNANDEZ Q.</v>
          </cell>
        </row>
      </sheetData>
      <sheetData sheetId="163"/>
      <sheetData sheetId="164">
        <row r="9">
          <cell r="E9" t="str">
            <v>EDGAR EDUARDO HERNANDEZ Q.</v>
          </cell>
        </row>
      </sheetData>
      <sheetData sheetId="165">
        <row r="8">
          <cell r="E8" t="str">
            <v>BIMESTRE: JULIO - AGOSTO DE 2001</v>
          </cell>
        </row>
      </sheetData>
      <sheetData sheetId="166"/>
      <sheetData sheetId="167">
        <row r="8">
          <cell r="E8" t="str">
            <v>BIMESTRE: JULIO - AGOSTO DE 2001</v>
          </cell>
        </row>
      </sheetData>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row r="9">
          <cell r="E9" t="str">
            <v>EDGAR EDUARDO HERNANDEZ Q.</v>
          </cell>
        </row>
      </sheetData>
      <sheetData sheetId="203"/>
      <sheetData sheetId="204"/>
      <sheetData sheetId="205">
        <row r="8">
          <cell r="E8" t="str">
            <v>BIMESTRE: JULIO - AGOSTO DE 2001</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ow r="9">
          <cell r="E9" t="str">
            <v>EDGAR EDUARDO HERNANDEZ Q.</v>
          </cell>
        </row>
      </sheetData>
      <sheetData sheetId="239"/>
      <sheetData sheetId="240">
        <row r="9">
          <cell r="E9" t="str">
            <v>EDGAR EDUARDO HERNANDEZ Q.</v>
          </cell>
        </row>
      </sheetData>
      <sheetData sheetId="241">
        <row r="8">
          <cell r="E8" t="str">
            <v>BIMESTRE: JULIO - AGOSTO DE 2001</v>
          </cell>
        </row>
      </sheetData>
      <sheetData sheetId="242"/>
      <sheetData sheetId="243">
        <row r="8">
          <cell r="E8" t="str">
            <v>BIMESTRE: JULIO - AGOSTO DE 2001</v>
          </cell>
        </row>
      </sheetData>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row r="9">
          <cell r="E9" t="str">
            <v>EDGAR EDUARDO HERNANDEZ Q.</v>
          </cell>
        </row>
      </sheetData>
      <sheetData sheetId="279"/>
      <sheetData sheetId="280"/>
      <sheetData sheetId="281">
        <row r="8">
          <cell r="E8" t="str">
            <v>BIMESTRE: JULIO - AGOSTO DE 2001</v>
          </cell>
        </row>
      </sheetData>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row r="9">
          <cell r="E9" t="str">
            <v>EDGAR EDUARDO HERNANDEZ Q.</v>
          </cell>
        </row>
      </sheetData>
      <sheetData sheetId="317"/>
      <sheetData sheetId="318"/>
      <sheetData sheetId="319">
        <row r="8">
          <cell r="E8" t="str">
            <v>BIMESTRE: JULIO - AGOSTO DE 2001</v>
          </cell>
        </row>
      </sheetData>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sheetData sheetId="392">
        <row r="9">
          <cell r="E9" t="str">
            <v>EDGAR EDUARDO HERNANDEZ Q.</v>
          </cell>
        </row>
      </sheetData>
      <sheetData sheetId="393">
        <row r="8">
          <cell r="E8" t="str">
            <v>BIMESTRE: JULIO - AGOSTO DE 2001</v>
          </cell>
        </row>
      </sheetData>
      <sheetData sheetId="394"/>
      <sheetData sheetId="395">
        <row r="8">
          <cell r="E8" t="str">
            <v>BIMESTRE: JULIO - AGOSTO DE 2001</v>
          </cell>
        </row>
      </sheetData>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row r="9">
          <cell r="E9" t="str">
            <v>EDGAR EDUARDO HERNANDEZ Q.</v>
          </cell>
        </row>
      </sheetData>
      <sheetData sheetId="431"/>
      <sheetData sheetId="432"/>
      <sheetData sheetId="433">
        <row r="8">
          <cell r="E8" t="str">
            <v>BIMESTRE: JULIO - AGOSTO DE 2001</v>
          </cell>
        </row>
      </sheetData>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row r="9">
          <cell r="E9" t="str">
            <v>EDGAR EDUARDO HERNANDEZ Q.</v>
          </cell>
        </row>
      </sheetData>
      <sheetData sheetId="469"/>
      <sheetData sheetId="470"/>
      <sheetData sheetId="471">
        <row r="8">
          <cell r="E8" t="str">
            <v>BIMESTRE: JULIO - AGOSTO DE 2001</v>
          </cell>
        </row>
      </sheetData>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row r="9">
          <cell r="E9" t="str">
            <v>EDGAR EDUARDO HERNANDEZ Q.</v>
          </cell>
        </row>
      </sheetData>
      <sheetData sheetId="507"/>
      <sheetData sheetId="508"/>
      <sheetData sheetId="509">
        <row r="8">
          <cell r="E8" t="str">
            <v>BIMESTRE: JULIO - AGOSTO DE 2001</v>
          </cell>
        </row>
      </sheetData>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row r="9">
          <cell r="E9" t="str">
            <v>EDGAR EDUARDO HERNANDEZ Q.</v>
          </cell>
        </row>
      </sheetData>
      <sheetData sheetId="545"/>
      <sheetData sheetId="546"/>
      <sheetData sheetId="547">
        <row r="8">
          <cell r="E8" t="str">
            <v>BIMESTRE: JULIO - AGOSTO DE 2001</v>
          </cell>
        </row>
      </sheetData>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row r="9">
          <cell r="E9" t="str">
            <v>EDGAR EDUARDO HERNANDEZ Q.</v>
          </cell>
        </row>
      </sheetData>
      <sheetData sheetId="583"/>
      <sheetData sheetId="584"/>
      <sheetData sheetId="585">
        <row r="8">
          <cell r="E8" t="str">
            <v>BIMESTRE: JULIO - AGOSTO DE 2001</v>
          </cell>
        </row>
      </sheetData>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row r="9">
          <cell r="E9" t="str">
            <v>EDGAR EDUARDO HERNANDEZ Q.</v>
          </cell>
        </row>
      </sheetData>
      <sheetData sheetId="621"/>
      <sheetData sheetId="622"/>
      <sheetData sheetId="623">
        <row r="8">
          <cell r="E8" t="str">
            <v>BIMESTRE: JULIO - AGOSTO DE 2001</v>
          </cell>
        </row>
      </sheetData>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row r="9">
          <cell r="E9" t="str">
            <v>EDGAR EDUARDO HERNANDEZ Q.</v>
          </cell>
        </row>
      </sheetData>
      <sheetData sheetId="659"/>
      <sheetData sheetId="660"/>
      <sheetData sheetId="661">
        <row r="8">
          <cell r="E8" t="str">
            <v>BIMESTRE: JULIO - AGOSTO DE 2001</v>
          </cell>
        </row>
      </sheetData>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row r="9">
          <cell r="E9" t="str">
            <v>EDGAR EDUARDO HERNANDEZ Q.</v>
          </cell>
        </row>
      </sheetData>
      <sheetData sheetId="697"/>
      <sheetData sheetId="698"/>
      <sheetData sheetId="699">
        <row r="8">
          <cell r="E8" t="str">
            <v>BIMESTRE: JULIO - AGOSTO DE 2001</v>
          </cell>
        </row>
      </sheetData>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row r="9">
          <cell r="E9" t="str">
            <v>EDGAR EDUARDO HERNANDEZ Q.</v>
          </cell>
        </row>
      </sheetData>
      <sheetData sheetId="735"/>
      <sheetData sheetId="736"/>
      <sheetData sheetId="737">
        <row r="8">
          <cell r="E8" t="str">
            <v>BIMESTRE: JULIO - AGOSTO DE 2001</v>
          </cell>
        </row>
      </sheetData>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row r="9">
          <cell r="E9" t="str">
            <v>EDGAR EDUARDO HERNANDEZ Q.</v>
          </cell>
        </row>
      </sheetData>
      <sheetData sheetId="773"/>
      <sheetData sheetId="774"/>
      <sheetData sheetId="775">
        <row r="8">
          <cell r="E8" t="str">
            <v>BIMESTRE: JULIO - AGOSTO DE 2001</v>
          </cell>
        </row>
      </sheetData>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row r="9">
          <cell r="E9" t="str">
            <v>EDGAR EDUARDO HERNANDEZ Q.</v>
          </cell>
        </row>
      </sheetData>
      <sheetData sheetId="811"/>
      <sheetData sheetId="812"/>
      <sheetData sheetId="813">
        <row r="8">
          <cell r="E8" t="str">
            <v>BIMESTRE: JULIO - AGOSTO DE 2001</v>
          </cell>
        </row>
      </sheetData>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sheetData sheetId="857" refreshError="1"/>
      <sheetData sheetId="858" refreshError="1"/>
      <sheetData sheetId="859"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_Cancha"/>
      <sheetName val="Soporte_de_cantidades1"/>
      <sheetName val="1_Preliminares"/>
      <sheetName val="2_Cimentación_Est_Met1"/>
      <sheetName val="3_HS"/>
      <sheetName val="Apus_In_Elect1"/>
      <sheetName val="Apus_Cubierta"/>
      <sheetName val="Apus_Dotación_Pintura"/>
      <sheetName val="Insumos"/>
      <sheetName val="Equipo_Trans_1"/>
      <sheetName val="M_Obra1"/>
      <sheetName val="Soporte_de_cantidades"/>
      <sheetName val="2_Cimentación_Est_Met"/>
      <sheetName val="Apus_In_Elect"/>
      <sheetName val="Equipo_Trans_"/>
      <sheetName val="M_Obra"/>
      <sheetName val="Soporte_de_cantidades2"/>
      <sheetName val="2_Cimentación_Est_Met2"/>
      <sheetName val="Apus_In_Elect2"/>
      <sheetName val="Equipo_Trans_2"/>
      <sheetName val="M_Obra2"/>
      <sheetName val="Soporte de cantidades"/>
      <sheetName val="2_Cimentación_Est.Met"/>
      <sheetName val="Apus_In.Elect"/>
      <sheetName val="Equipo_Trans "/>
      <sheetName val="M.Obra"/>
      <sheetName val="Soporte_de_cantidades3"/>
      <sheetName val="2_Cimentación_Est_Met3"/>
      <sheetName val="Apus_In_Elect3"/>
      <sheetName val="Equipo_Trans_3"/>
      <sheetName val="M_Obra3"/>
      <sheetName val="Soporte_de_cantidades4"/>
      <sheetName val="2_Cimentación_Est_Met4"/>
      <sheetName val="Apus_In_Elect4"/>
      <sheetName val="Equipo_Trans_4"/>
      <sheetName val="M_Obra4"/>
      <sheetName val="Soporte_de_cantidades5"/>
      <sheetName val="2_Cimentación_Est_Met5"/>
      <sheetName val="Apus_In_Elect5"/>
      <sheetName val="Equipo_Trans_5"/>
      <sheetName val="M_Obra5"/>
      <sheetName val="Soporte_de_cantidades8"/>
      <sheetName val="2_Cimentación_Est_Met8"/>
      <sheetName val="Apus_In_Elect8"/>
      <sheetName val="Equipo_Trans_8"/>
      <sheetName val="M_Obra8"/>
      <sheetName val="Soporte_de_cantidades6"/>
      <sheetName val="2_Cimentación_Est_Met6"/>
      <sheetName val="Apus_In_Elect6"/>
      <sheetName val="Equipo_Trans_6"/>
      <sheetName val="M_Obra6"/>
      <sheetName val="Soporte_de_cantidades7"/>
      <sheetName val="2_Cimentación_Est_Met7"/>
      <sheetName val="Apus_In_Elect7"/>
      <sheetName val="Equipo_Trans_7"/>
      <sheetName val="M_Obra7"/>
      <sheetName val="Soporte_de_cantidades9"/>
      <sheetName val="2_Cimentación_Est_Met9"/>
      <sheetName val="Apus_In_Elect9"/>
      <sheetName val="Equipo_Trans_9"/>
      <sheetName val="M_Obra9"/>
      <sheetName val="Soporte_de_cantidades10"/>
      <sheetName val="2_Cimentación_Est_Met10"/>
      <sheetName val="Apus_In_Elect10"/>
      <sheetName val="Equipo_Trans_10"/>
      <sheetName val="M_Obra10"/>
    </sheetNames>
    <sheetDataSet>
      <sheetData sheetId="0">
        <row r="67">
          <cell r="F67">
            <v>0.13</v>
          </cell>
        </row>
      </sheetData>
      <sheetData sheetId="1"/>
      <sheetData sheetId="2"/>
      <sheetData sheetId="3">
        <row r="26">
          <cell r="A26" t="str">
            <v>W09</v>
          </cell>
        </row>
      </sheetData>
      <sheetData sheetId="4">
        <row r="52">
          <cell r="I52">
            <v>34304</v>
          </cell>
        </row>
      </sheetData>
      <sheetData sheetId="5">
        <row r="48">
          <cell r="I48">
            <v>24149</v>
          </cell>
        </row>
      </sheetData>
      <sheetData sheetId="6"/>
      <sheetData sheetId="7">
        <row r="53">
          <cell r="I53">
            <v>57912</v>
          </cell>
        </row>
      </sheetData>
      <sheetData sheetId="8">
        <row r="53">
          <cell r="I53">
            <v>558640.9</v>
          </cell>
        </row>
      </sheetData>
      <sheetData sheetId="9">
        <row r="4">
          <cell r="A4" t="str">
            <v>A</v>
          </cell>
        </row>
      </sheetData>
      <sheetData sheetId="10">
        <row r="1">
          <cell r="A1" t="str">
            <v xml:space="preserve">Codigo </v>
          </cell>
        </row>
      </sheetData>
      <sheetData sheetId="11">
        <row r="35">
          <cell r="A35" t="str">
            <v>MO-01</v>
          </cell>
        </row>
      </sheetData>
      <sheetData sheetId="12"/>
      <sheetData sheetId="13">
        <row r="52">
          <cell r="I52">
            <v>34304</v>
          </cell>
        </row>
      </sheetData>
      <sheetData sheetId="14"/>
      <sheetData sheetId="15">
        <row r="1">
          <cell r="A1" t="str">
            <v xml:space="preserve">Codigo </v>
          </cell>
        </row>
      </sheetData>
      <sheetData sheetId="16">
        <row r="35">
          <cell r="A35" t="str">
            <v>MO-01</v>
          </cell>
        </row>
      </sheetData>
      <sheetData sheetId="17"/>
      <sheetData sheetId="18">
        <row r="52">
          <cell r="I52">
            <v>34304</v>
          </cell>
        </row>
      </sheetData>
      <sheetData sheetId="19"/>
      <sheetData sheetId="20">
        <row r="1">
          <cell r="A1" t="str">
            <v xml:space="preserve">Codigo </v>
          </cell>
        </row>
      </sheetData>
      <sheetData sheetId="21">
        <row r="35">
          <cell r="A35" t="str">
            <v>MO-01</v>
          </cell>
        </row>
      </sheetData>
      <sheetData sheetId="22"/>
      <sheetData sheetId="23">
        <row r="52">
          <cell r="I52">
            <v>34304</v>
          </cell>
        </row>
      </sheetData>
      <sheetData sheetId="24"/>
      <sheetData sheetId="25">
        <row r="1">
          <cell r="A1" t="str">
            <v xml:space="preserve">Codigo </v>
          </cell>
        </row>
      </sheetData>
      <sheetData sheetId="26">
        <row r="35">
          <cell r="A35" t="str">
            <v>MO-01</v>
          </cell>
          <cell r="B35" t="str">
            <v>CUADRILLA AB  ALBAÑIL (1 OFICIAL + 1 AYUDANTE)</v>
          </cell>
        </row>
        <row r="36">
          <cell r="A36" t="str">
            <v>MO-02</v>
          </cell>
          <cell r="B36" t="str">
            <v>CUADRILLA AA (2 Ayudantes)</v>
          </cell>
        </row>
        <row r="37">
          <cell r="A37" t="str">
            <v>MO-03</v>
          </cell>
          <cell r="B37" t="str">
            <v xml:space="preserve">CUADRILLA A (1 Ayudante) de Excavación </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sheetData>
      <sheetData sheetId="27"/>
      <sheetData sheetId="28">
        <row r="52">
          <cell r="I52">
            <v>34304</v>
          </cell>
        </row>
      </sheetData>
      <sheetData sheetId="29"/>
      <sheetData sheetId="30">
        <row r="1">
          <cell r="A1" t="str">
            <v xml:space="preserve">Codigo </v>
          </cell>
        </row>
      </sheetData>
      <sheetData sheetId="31">
        <row r="35">
          <cell r="A35" t="str">
            <v>MO-01</v>
          </cell>
        </row>
      </sheetData>
      <sheetData sheetId="32"/>
      <sheetData sheetId="33">
        <row r="52">
          <cell r="I52">
            <v>34304</v>
          </cell>
        </row>
      </sheetData>
      <sheetData sheetId="34"/>
      <sheetData sheetId="35">
        <row r="1">
          <cell r="A1" t="str">
            <v xml:space="preserve">Codigo </v>
          </cell>
        </row>
      </sheetData>
      <sheetData sheetId="36">
        <row r="35">
          <cell r="A35" t="str">
            <v>MO-01</v>
          </cell>
        </row>
      </sheetData>
      <sheetData sheetId="37"/>
      <sheetData sheetId="38">
        <row r="52">
          <cell r="I52">
            <v>34304</v>
          </cell>
        </row>
      </sheetData>
      <sheetData sheetId="39"/>
      <sheetData sheetId="40">
        <row r="1">
          <cell r="A1" t="str">
            <v xml:space="preserve">Codigo </v>
          </cell>
        </row>
      </sheetData>
      <sheetData sheetId="41">
        <row r="35">
          <cell r="A35" t="str">
            <v>MO-01</v>
          </cell>
        </row>
      </sheetData>
      <sheetData sheetId="42"/>
      <sheetData sheetId="43">
        <row r="52">
          <cell r="I52">
            <v>34304</v>
          </cell>
        </row>
      </sheetData>
      <sheetData sheetId="44"/>
      <sheetData sheetId="45">
        <row r="1">
          <cell r="A1" t="str">
            <v xml:space="preserve">Codigo </v>
          </cell>
        </row>
      </sheetData>
      <sheetData sheetId="46">
        <row r="35">
          <cell r="A35" t="str">
            <v>MO-01</v>
          </cell>
        </row>
      </sheetData>
      <sheetData sheetId="47"/>
      <sheetData sheetId="48">
        <row r="52">
          <cell r="I52">
            <v>34304</v>
          </cell>
        </row>
      </sheetData>
      <sheetData sheetId="49"/>
      <sheetData sheetId="50">
        <row r="1">
          <cell r="A1" t="str">
            <v xml:space="preserve">Codigo </v>
          </cell>
        </row>
      </sheetData>
      <sheetData sheetId="51">
        <row r="35">
          <cell r="A35" t="str">
            <v>MO-01</v>
          </cell>
        </row>
      </sheetData>
      <sheetData sheetId="52" refreshError="1"/>
      <sheetData sheetId="53" refreshError="1"/>
      <sheetData sheetId="54" refreshError="1"/>
      <sheetData sheetId="55" refreshError="1"/>
      <sheetData sheetId="56" refreshError="1"/>
      <sheetData sheetId="57"/>
      <sheetData sheetId="58">
        <row r="52">
          <cell r="I52">
            <v>34304</v>
          </cell>
        </row>
      </sheetData>
      <sheetData sheetId="59"/>
      <sheetData sheetId="60">
        <row r="1">
          <cell r="A1" t="str">
            <v xml:space="preserve">Codigo </v>
          </cell>
        </row>
      </sheetData>
      <sheetData sheetId="61">
        <row r="35">
          <cell r="A35" t="str">
            <v>MO-01</v>
          </cell>
        </row>
      </sheetData>
      <sheetData sheetId="62"/>
      <sheetData sheetId="63">
        <row r="52">
          <cell r="I52">
            <v>34304</v>
          </cell>
        </row>
      </sheetData>
      <sheetData sheetId="64"/>
      <sheetData sheetId="65">
        <row r="1">
          <cell r="A1" t="str">
            <v xml:space="preserve">Codigo </v>
          </cell>
        </row>
      </sheetData>
      <sheetData sheetId="66">
        <row r="35">
          <cell r="A35" t="str">
            <v>MO-01</v>
          </cell>
        </row>
      </sheetData>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 I"/>
      <sheetName val="CAP. II"/>
      <sheetName val="CAP. III"/>
      <sheetName val="CAP. IV"/>
      <sheetName val="Cuadro.1"/>
      <sheetName val="Cuadro.2"/>
      <sheetName val="Cuadro.3"/>
      <sheetName val="APU"/>
      <sheetName val="Cuadro.4"/>
      <sheetName val="Cuadro.5"/>
      <sheetName val="Cuadro.V"/>
      <sheetName val="Cuadro VI"/>
      <sheetName val="ITEM  CONCRETO 3000 PS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cios-básicos2002"/>
    </sheetNames>
    <sheetDataSet>
      <sheetData sheetId="0" refreshError="1"/>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FLUJOS"/>
      <sheetName val="Puntajes"/>
      <sheetName val="TOTCAPIT"/>
      <sheetName val="JORNABAS"/>
      <sheetName val="MATERIALES"/>
      <sheetName val="TOTCUADEQ"/>
      <sheetName val="TOTCUADMO"/>
      <sheetName val="Anexo No. 5"/>
      <sheetName val="Datos"/>
      <sheetName val="5094-2003"/>
      <sheetName val="FINANCIERA"/>
      <sheetName val="PREACTA"/>
      <sheetName val="ESTADO VÍA-CRIT.TECNIC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BASE"/>
      <sheetName val="calidad"/>
      <sheetName val="COSTOS OFICINA"/>
      <sheetName val="COSTOS CAMPAMENTO"/>
      <sheetName val="Civil work"/>
      <sheetName val="PRESUPUESTO "/>
      <sheetName val="Cuadrillas"/>
      <sheetName val="Equ"/>
      <sheetName val="Trans"/>
      <sheetName val="Mat"/>
      <sheetName val="Salarios"/>
      <sheetName val="1_Preliminares"/>
      <sheetName val="Insumos"/>
      <sheetName val="M.Obra"/>
      <sheetName val="HOJA BASE"/>
      <sheetName val="FACTORES"/>
      <sheetName val="PERSONAL"/>
      <sheetName val="LISTADO APU"/>
      <sheetName val="General"/>
      <sheetName val="Hoja3"/>
      <sheetName val="Hoja1"/>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APU_PART2"/>
      <sheetName val="A__P__U_2"/>
      <sheetName val="Analisis_de_Precios_Unitarios_2"/>
      <sheetName val="Análisis_de_precios"/>
      <sheetName val="APU_PART3"/>
      <sheetName val="A__P__U_3"/>
      <sheetName val="Analisis_de_Precios_Unitarios_3"/>
      <sheetName val="Análisis_de_precios1"/>
      <sheetName val="ESTADO_RED"/>
      <sheetName val="GENERALIDADES_"/>
      <sheetName val="A__P__U_4"/>
      <sheetName val="Anexo_No__5"/>
      <sheetName val="Anal"/>
      <sheetName val="Capitulos"/>
      <sheetName val="Maqui Equip"/>
      <sheetName val="Personalizar"/>
      <sheetName val="Index"/>
      <sheetName val="NPV Summary"/>
      <sheetName val="Equip Data"/>
      <sheetName val="Royalties"/>
      <sheetName val="Titl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PRESU"/>
      <sheetName val="CANT"/>
      <sheetName val="MAT"/>
      <sheetName val="AIU"/>
      <sheetName val="EQUI"/>
      <sheetName val="MH"/>
      <sheetName val="APU"/>
      <sheetName val="1,1"/>
      <sheetName val="1,2"/>
      <sheetName val="2,1"/>
      <sheetName val="2,2"/>
      <sheetName val="2,3"/>
      <sheetName val="2,4"/>
      <sheetName val="2,5"/>
      <sheetName val="2,6"/>
      <sheetName val="2,7"/>
      <sheetName val="3,1"/>
      <sheetName val="3,2"/>
      <sheetName val="4,1"/>
      <sheetName val="4,2"/>
      <sheetName val="4,3"/>
      <sheetName val="4,4"/>
      <sheetName val="4,5"/>
      <sheetName val="5,1"/>
      <sheetName val="5,2"/>
      <sheetName val="6,1"/>
      <sheetName val="6,2"/>
      <sheetName val="6,3"/>
      <sheetName val="6,4"/>
      <sheetName val="6,5"/>
      <sheetName val="6,6"/>
      <sheetName val="7,1"/>
      <sheetName val="7,2"/>
      <sheetName val="CONCRETO 3500 PSI "/>
      <sheetName val="CONCRETO 3000 PSI"/>
      <sheetName val="CONCRETO 2500 PSI "/>
      <sheetName val="CONCRETO 2000 PSI"/>
      <sheetName val="MORTERO 1,3"/>
      <sheetName val="MORTERO 1,4"/>
      <sheetName val="CONC Y MORT BASICOS"/>
    </sheetNames>
    <sheetDataSet>
      <sheetData sheetId="0"/>
      <sheetData sheetId="1">
        <row r="13">
          <cell r="A13">
            <v>1</v>
          </cell>
        </row>
        <row r="14">
          <cell r="A14">
            <v>1.1000000000000001</v>
          </cell>
        </row>
        <row r="15">
          <cell r="A15">
            <v>1.2</v>
          </cell>
        </row>
        <row r="16">
          <cell r="A16">
            <v>2</v>
          </cell>
        </row>
        <row r="17">
          <cell r="A17">
            <v>2.1</v>
          </cell>
        </row>
        <row r="18">
          <cell r="A18">
            <v>2.2000000000000002</v>
          </cell>
        </row>
        <row r="19">
          <cell r="A19">
            <v>2.2999999999999998</v>
          </cell>
        </row>
        <row r="20">
          <cell r="A20">
            <v>2.4</v>
          </cell>
        </row>
        <row r="21">
          <cell r="A21">
            <v>2.5</v>
          </cell>
        </row>
        <row r="22">
          <cell r="A22">
            <v>2.6</v>
          </cell>
        </row>
        <row r="23">
          <cell r="A23">
            <v>2.7</v>
          </cell>
        </row>
        <row r="24">
          <cell r="A24">
            <v>3</v>
          </cell>
        </row>
        <row r="25">
          <cell r="A25">
            <v>3.1</v>
          </cell>
        </row>
        <row r="26">
          <cell r="A26">
            <v>3.2</v>
          </cell>
        </row>
        <row r="27">
          <cell r="A27">
            <v>4</v>
          </cell>
        </row>
        <row r="28">
          <cell r="A28">
            <v>4.0999999999999996</v>
          </cell>
        </row>
        <row r="29">
          <cell r="A29">
            <v>4.2</v>
          </cell>
        </row>
        <row r="30">
          <cell r="A30">
            <v>4.3</v>
          </cell>
        </row>
        <row r="31">
          <cell r="A31">
            <v>4.4000000000000004</v>
          </cell>
        </row>
        <row r="32">
          <cell r="A32">
            <v>4.5</v>
          </cell>
        </row>
        <row r="33">
          <cell r="A33">
            <v>5</v>
          </cell>
        </row>
        <row r="34">
          <cell r="A34">
            <v>5.0999999999999996</v>
          </cell>
        </row>
        <row r="35">
          <cell r="A35">
            <v>5.2</v>
          </cell>
        </row>
        <row r="36">
          <cell r="A36">
            <v>6</v>
          </cell>
        </row>
        <row r="37">
          <cell r="A37">
            <v>6.1</v>
          </cell>
        </row>
        <row r="38">
          <cell r="A38">
            <v>6.2</v>
          </cell>
        </row>
        <row r="39">
          <cell r="A39">
            <v>6.3</v>
          </cell>
        </row>
        <row r="40">
          <cell r="A40">
            <v>6.4</v>
          </cell>
        </row>
        <row r="41">
          <cell r="A41">
            <v>6.5</v>
          </cell>
        </row>
        <row r="42">
          <cell r="A42">
            <v>6.6</v>
          </cell>
        </row>
        <row r="43">
          <cell r="A43">
            <v>7</v>
          </cell>
        </row>
        <row r="44">
          <cell r="A44">
            <v>7.1</v>
          </cell>
        </row>
        <row r="45">
          <cell r="A45">
            <v>7.2</v>
          </cell>
        </row>
        <row r="57">
          <cell r="A57" t="str">
            <v xml:space="preserve">VOLOR EN LETRAS: </v>
          </cell>
        </row>
        <row r="60">
          <cell r="A60" t="str">
            <v>VALOR TOTAL CON INTERVENTORIA</v>
          </cell>
        </row>
        <row r="68">
          <cell r="A68" t="e">
            <v>#NAME?</v>
          </cell>
        </row>
        <row r="525">
          <cell r="A525">
            <v>7</v>
          </cell>
        </row>
        <row r="526">
          <cell r="A526">
            <v>7</v>
          </cell>
        </row>
        <row r="544">
          <cell r="A544">
            <v>7</v>
          </cell>
        </row>
      </sheetData>
      <sheetData sheetId="2"/>
      <sheetData sheetId="3">
        <row r="5">
          <cell r="A5" t="str">
            <v>Desperdicio</v>
          </cell>
        </row>
      </sheetData>
      <sheetData sheetId="4"/>
      <sheetData sheetId="5">
        <row r="7">
          <cell r="A7" t="str">
            <v>Herramientas Menores</v>
          </cell>
        </row>
      </sheetData>
      <sheetData sheetId="6">
        <row r="6">
          <cell r="A6" t="str">
            <v>OFICIAL</v>
          </cell>
        </row>
        <row r="7">
          <cell r="A7" t="str">
            <v>AYUDANTE</v>
          </cell>
        </row>
        <row r="8">
          <cell r="A8" t="str">
            <v>TOPOGRAFO</v>
          </cell>
        </row>
        <row r="9">
          <cell r="A9" t="str">
            <v>CADENERO 1</v>
          </cell>
        </row>
        <row r="10">
          <cell r="A10" t="str">
            <v>CADENERO 2</v>
          </cell>
        </row>
        <row r="11">
          <cell r="A11" t="str">
            <v>RASTRILLEROS</v>
          </cell>
        </row>
        <row r="12">
          <cell r="A12" t="str">
            <v>ORNAMENTADOR</v>
          </cell>
        </row>
        <row r="13">
          <cell r="A13" t="str">
            <v>OPERADOR</v>
          </cell>
        </row>
        <row r="14">
          <cell r="A14" t="str">
            <v>PALEROS</v>
          </cell>
        </row>
        <row r="15">
          <cell r="A15" t="str">
            <v>PALETEROS</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1,1"/>
      <sheetName val="FP"/>
    </sheetNames>
    <sheetDataSet>
      <sheetData sheetId="0" refreshError="1"/>
      <sheetData sheetId="1"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UMOS"/>
      <sheetName val="A.P.U."/>
      <sheetName val="A.P.U. (2)"/>
      <sheetName val="RESUMEN VIAS"/>
      <sheetName val="COSTOS POR KM"/>
      <sheetName val="RESUMEN UNITARIOS"/>
      <sheetName val="Accidentalidad"/>
      <sheetName val="Causa Posible"/>
      <sheetName val="Elementos Involucrados"/>
      <sheetName val="Res-Accide-10"/>
      <sheetName val="COSTOS OFICINA"/>
      <sheetName val="Format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PRESUPUESTO"/>
      <sheetName val="Base Datos"/>
      <sheetName val="1"/>
      <sheetName val="2"/>
      <sheetName val="3"/>
      <sheetName val="4"/>
      <sheetName val="5"/>
      <sheetName val="6"/>
      <sheetName val="7"/>
      <sheetName val="8"/>
      <sheetName val="9"/>
      <sheetName val="10"/>
      <sheetName val="11"/>
      <sheetName val="11,1"/>
      <sheetName val="12"/>
      <sheetName val="13"/>
      <sheetName val="14"/>
      <sheetName val="15"/>
      <sheetName val="16"/>
      <sheetName val="17"/>
      <sheetName val="17,1"/>
      <sheetName val="17,2"/>
      <sheetName val="18"/>
      <sheetName val="18,1"/>
      <sheetName val="18,2"/>
      <sheetName val="19"/>
      <sheetName val="19,1"/>
      <sheetName val="19,2"/>
      <sheetName val="20"/>
      <sheetName val="21"/>
      <sheetName val="22"/>
      <sheetName val="23"/>
      <sheetName val="26"/>
      <sheetName val="27"/>
      <sheetName val="28"/>
      <sheetName val="29"/>
      <sheetName val="31"/>
      <sheetName val="30"/>
      <sheetName val="32"/>
      <sheetName val="33"/>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ESTADO RED"/>
      <sheetName val="CARRETERAS"/>
      <sheetName val="GENERALIDADES "/>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refreshError="1"/>
      <sheetData sheetId="706">
        <row r="4">
          <cell r="B4">
            <v>0</v>
          </cell>
        </row>
      </sheetData>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refreshError="1"/>
      <sheetData sheetId="785"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Ppto completo"/>
      <sheetName val="Ppto Et1"/>
      <sheetName val="Ppto Et2"/>
      <sheetName val="AIU"/>
      <sheetName val="apu"/>
      <sheetName val="Auxiliares"/>
      <sheetName val="Insumos"/>
      <sheetName val="CO Teatro"/>
      <sheetName val="Ref Teatro"/>
      <sheetName val="CO MUROS NIVEL 1"/>
      <sheetName val="CO MUROS NIVEL 2"/>
      <sheetName val="CO MUROS CUARTO PROYECCION"/>
      <sheetName val="ELE-PPTO"/>
      <sheetName val="ELE-APU"/>
      <sheetName val="HID-PPTO"/>
      <sheetName val="HID-APU"/>
      <sheetName val="Ppto_completo"/>
      <sheetName val="Ppto_Et1"/>
      <sheetName val="Ppto_Et2"/>
      <sheetName val="CO_Teatro"/>
      <sheetName val="Ref_Teatro"/>
      <sheetName val="CO_MUROS_NIVEL_1"/>
      <sheetName val="CO_MUROS_NIVEL_2"/>
      <sheetName val="CO_MUROS_CUARTO_PROYECCION"/>
    </sheetNames>
    <sheetDataSet>
      <sheetData sheetId="0"/>
      <sheetData sheetId="1">
        <row r="1">
          <cell r="E1">
            <v>2700404427.2070532</v>
          </cell>
          <cell r="L1">
            <v>1817230.435536375</v>
          </cell>
        </row>
        <row r="2">
          <cell r="D2">
            <v>0</v>
          </cell>
        </row>
        <row r="3">
          <cell r="D3" t="str">
            <v>TEATRO SANTA MARIA - JERICO ANTIOQUIAESTIMATIVO PRESUPUESTAL - SEGUNDA ETAPA</v>
          </cell>
        </row>
        <row r="4">
          <cell r="D4" t="str">
            <v>Item</v>
          </cell>
          <cell r="E4" t="str">
            <v>Descripción</v>
          </cell>
          <cell r="F4" t="str">
            <v>Unidad</v>
          </cell>
          <cell r="J4" t="str">
            <v>Vr Total</v>
          </cell>
          <cell r="K4" t="str">
            <v>Subtotal</v>
          </cell>
          <cell r="L4" t="str">
            <v>Vr Capitulo</v>
          </cell>
        </row>
        <row r="5">
          <cell r="B5" t="str">
            <v>subcap</v>
          </cell>
          <cell r="C5" t="str">
            <v>cap</v>
          </cell>
        </row>
        <row r="6">
          <cell r="B6">
            <v>0</v>
          </cell>
          <cell r="C6" t="str">
            <v>01</v>
          </cell>
          <cell r="D6" t="str">
            <v>01</v>
          </cell>
          <cell r="E6" t="str">
            <v>PRELIMINARES</v>
          </cell>
          <cell r="J6">
            <v>0</v>
          </cell>
          <cell r="K6">
            <v>0</v>
          </cell>
          <cell r="L6">
            <v>3306130</v>
          </cell>
        </row>
        <row r="7">
          <cell r="B7">
            <v>0</v>
          </cell>
          <cell r="C7" t="str">
            <v>01</v>
          </cell>
          <cell r="D7" t="str">
            <v>01-01</v>
          </cell>
          <cell r="E7" t="str">
            <v>INSTALACIONES PROVISIONALES</v>
          </cell>
          <cell r="J7">
            <v>0</v>
          </cell>
          <cell r="K7">
            <v>3306130</v>
          </cell>
          <cell r="L7">
            <v>0</v>
          </cell>
        </row>
        <row r="8">
          <cell r="B8" t="str">
            <v>01-01</v>
          </cell>
          <cell r="C8" t="str">
            <v>01</v>
          </cell>
          <cell r="D8" t="str">
            <v>01-01-010</v>
          </cell>
          <cell r="E8" t="str">
            <v>CERRAMIENTO PROVISIONAL EN TELA DE CERRAMIENTO VERDE H: 2.10 M. INCLUYE ESTRUCTURA DE MADERA COMUN, ANCLAJES DE PARALES AL PISO Y TELA VERDE</v>
          </cell>
          <cell r="F8" t="str">
            <v>M</v>
          </cell>
          <cell r="J8">
            <v>906130</v>
          </cell>
          <cell r="K8">
            <v>0</v>
          </cell>
          <cell r="L8">
            <v>0</v>
          </cell>
        </row>
        <row r="9">
          <cell r="B9" t="str">
            <v>01-01</v>
          </cell>
          <cell r="C9" t="str">
            <v>01</v>
          </cell>
          <cell r="D9" t="str">
            <v>01-01-030</v>
          </cell>
          <cell r="E9" t="str">
            <v>BAÑO PROVISIONAL EN LADRILLO (4 M2). INCLUYE TODO LO NECESARIO PARA SU CORRECTO FUNCIONAMIENTO</v>
          </cell>
          <cell r="F9" t="str">
            <v>UN</v>
          </cell>
          <cell r="J9">
            <v>2400000</v>
          </cell>
          <cell r="K9">
            <v>0</v>
          </cell>
          <cell r="L9">
            <v>0</v>
          </cell>
        </row>
        <row r="10">
          <cell r="B10">
            <v>0</v>
          </cell>
          <cell r="C10" t="str">
            <v>02</v>
          </cell>
          <cell r="D10" t="str">
            <v>02</v>
          </cell>
          <cell r="E10" t="str">
            <v>LOCALIZACION Y REPLANTEO</v>
          </cell>
          <cell r="J10">
            <v>0</v>
          </cell>
          <cell r="K10">
            <v>0</v>
          </cell>
          <cell r="L10">
            <v>3599092</v>
          </cell>
        </row>
        <row r="11">
          <cell r="B11">
            <v>0</v>
          </cell>
          <cell r="C11" t="str">
            <v>02</v>
          </cell>
          <cell r="D11" t="str">
            <v>02-01</v>
          </cell>
          <cell r="E11" t="str">
            <v>LOCALIZACION Y REPLANTEO</v>
          </cell>
          <cell r="J11">
            <v>0</v>
          </cell>
          <cell r="K11">
            <v>3599092</v>
          </cell>
          <cell r="L11">
            <v>0</v>
          </cell>
        </row>
        <row r="12">
          <cell r="B12" t="str">
            <v>02-01</v>
          </cell>
          <cell r="C12" t="str">
            <v>02</v>
          </cell>
          <cell r="D12" t="str">
            <v>02-01-010</v>
          </cell>
          <cell r="E12" t="str">
            <v>LOCALIZACION Y REPLANTEO DE EDIFICACIONES. MEDIDO COMO AREA DE LA EDIFICACION</v>
          </cell>
          <cell r="F12" t="str">
            <v>M2</v>
          </cell>
          <cell r="J12">
            <v>3599092</v>
          </cell>
          <cell r="K12">
            <v>0</v>
          </cell>
          <cell r="L12">
            <v>0</v>
          </cell>
        </row>
        <row r="13">
          <cell r="B13">
            <v>0</v>
          </cell>
          <cell r="C13" t="str">
            <v>03</v>
          </cell>
          <cell r="D13" t="str">
            <v>03</v>
          </cell>
          <cell r="E13" t="str">
            <v>MOVIMIENTOS DE TIERRA</v>
          </cell>
          <cell r="J13">
            <v>0</v>
          </cell>
          <cell r="K13">
            <v>0</v>
          </cell>
          <cell r="L13">
            <v>14295077</v>
          </cell>
        </row>
        <row r="14">
          <cell r="B14">
            <v>0</v>
          </cell>
          <cell r="C14" t="str">
            <v>03</v>
          </cell>
          <cell r="D14" t="str">
            <v>03-01</v>
          </cell>
          <cell r="E14" t="str">
            <v>CORTES</v>
          </cell>
          <cell r="J14">
            <v>0</v>
          </cell>
          <cell r="K14">
            <v>4069893</v>
          </cell>
          <cell r="L14">
            <v>0</v>
          </cell>
        </row>
        <row r="15">
          <cell r="B15" t="str">
            <v>03-01</v>
          </cell>
          <cell r="C15" t="str">
            <v>03</v>
          </cell>
          <cell r="D15" t="str">
            <v>03-01-210</v>
          </cell>
          <cell r="E15" t="str">
            <v>EXCAVACIÓN MANUAL EN TIERRA BAJO CUALQUIER GRADO DE HUMEDAD. INCLUYE ACARREO INTERNO, CARGUE, TRANSPORTE Y DISPOSICION FINAL DEL MATERIAL SOBRANTE EN BOTADEROS OFICIALES.</v>
          </cell>
          <cell r="F15" t="str">
            <v>M3</v>
          </cell>
          <cell r="J15">
            <v>2626326</v>
          </cell>
          <cell r="K15">
            <v>0</v>
          </cell>
          <cell r="L15">
            <v>0</v>
          </cell>
        </row>
        <row r="16">
          <cell r="B16" t="str">
            <v>03-01</v>
          </cell>
          <cell r="C16" t="str">
            <v>03</v>
          </cell>
          <cell r="D16" t="str">
            <v>03-01-300</v>
          </cell>
          <cell r="E16" t="str">
            <v>EXCAVACIÓN MANUAL DE PILOTES CON PALA HOYADORA Ø 0.30 M. INCLUYE CARGUE, TRANSPORTE Y DISPOSICION FINAL DEL MATERIAL SOBRANTE EN BOTADEROS OFICIALES.</v>
          </cell>
          <cell r="F16" t="str">
            <v>M</v>
          </cell>
          <cell r="J16">
            <v>1443567</v>
          </cell>
          <cell r="K16">
            <v>0</v>
          </cell>
          <cell r="L16">
            <v>0</v>
          </cell>
        </row>
        <row r="17">
          <cell r="B17">
            <v>0</v>
          </cell>
          <cell r="C17" t="str">
            <v>03</v>
          </cell>
          <cell r="D17" t="str">
            <v>03-02</v>
          </cell>
          <cell r="E17" t="str">
            <v>LLENOS</v>
          </cell>
          <cell r="J17">
            <v>0</v>
          </cell>
          <cell r="K17">
            <v>5229496</v>
          </cell>
          <cell r="L17">
            <v>0</v>
          </cell>
        </row>
        <row r="18">
          <cell r="B18" t="str">
            <v>03-02</v>
          </cell>
          <cell r="C18" t="str">
            <v>03</v>
          </cell>
          <cell r="D18" t="str">
            <v>03-02-010</v>
          </cell>
          <cell r="E18" t="str">
            <v>LLENOS COMPACTADOS EN ARENILLA ALREDEDOR DE ESTRUCTURAS. INCLUYE SUMINISTRO, TRANSPORTE INTERNO Y COMPACTACION.</v>
          </cell>
          <cell r="F18" t="str">
            <v>M3</v>
          </cell>
          <cell r="J18">
            <v>748720</v>
          </cell>
          <cell r="K18">
            <v>0</v>
          </cell>
          <cell r="L18">
            <v>0</v>
          </cell>
        </row>
        <row r="19">
          <cell r="B19" t="str">
            <v>03-02</v>
          </cell>
          <cell r="C19" t="str">
            <v>03</v>
          </cell>
          <cell r="D19" t="str">
            <v>03-02-100</v>
          </cell>
          <cell r="E19" t="str">
            <v>REEMPLAZO EN SUB-BASE GRANULAR COMPACTADA MANUALMENTE PARA LOSAS DE PISO</v>
          </cell>
          <cell r="F19" t="str">
            <v>M3</v>
          </cell>
          <cell r="J19">
            <v>4480776</v>
          </cell>
          <cell r="K19">
            <v>0</v>
          </cell>
          <cell r="L19">
            <v>0</v>
          </cell>
        </row>
        <row r="20">
          <cell r="B20">
            <v>0</v>
          </cell>
          <cell r="C20" t="str">
            <v>03</v>
          </cell>
          <cell r="D20" t="str">
            <v>03-03</v>
          </cell>
          <cell r="E20" t="str">
            <v>IMPERMEABILIZACIONES</v>
          </cell>
          <cell r="J20">
            <v>0</v>
          </cell>
          <cell r="K20">
            <v>3164710</v>
          </cell>
          <cell r="L20">
            <v>0</v>
          </cell>
        </row>
        <row r="21">
          <cell r="B21" t="str">
            <v>03-03</v>
          </cell>
          <cell r="C21" t="str">
            <v>03</v>
          </cell>
          <cell r="D21" t="str">
            <v>03-03-010</v>
          </cell>
          <cell r="E21" t="str">
            <v>IMPERMEABILIZACION DE MUROS DE CONTENCION CON IGOL DENSO DE SIKA O EQUIVALENTE</v>
          </cell>
          <cell r="F21" t="str">
            <v>M2</v>
          </cell>
          <cell r="J21">
            <v>2380850</v>
          </cell>
          <cell r="K21">
            <v>0</v>
          </cell>
          <cell r="L21">
            <v>0</v>
          </cell>
        </row>
        <row r="22">
          <cell r="B22" t="str">
            <v>03-03</v>
          </cell>
          <cell r="C22" t="str">
            <v>03</v>
          </cell>
          <cell r="D22" t="str">
            <v>03-03-020</v>
          </cell>
          <cell r="E22" t="str">
            <v>CAÑUELA EN CONCRETO F'C 21 MPA A: 0.30 M. - H: 0.05 M. PARA FILTROS MURO DE CONTENCION</v>
          </cell>
          <cell r="F22" t="str">
            <v>M</v>
          </cell>
          <cell r="J22">
            <v>783860</v>
          </cell>
          <cell r="K22">
            <v>0</v>
          </cell>
          <cell r="L22">
            <v>0</v>
          </cell>
        </row>
        <row r="23">
          <cell r="B23">
            <v>0</v>
          </cell>
          <cell r="C23" t="str">
            <v>03</v>
          </cell>
          <cell r="D23" t="str">
            <v>03-04</v>
          </cell>
          <cell r="E23" t="str">
            <v>FILTROS</v>
          </cell>
          <cell r="J23">
            <v>0</v>
          </cell>
          <cell r="K23">
            <v>1830978</v>
          </cell>
          <cell r="L23">
            <v>0</v>
          </cell>
        </row>
        <row r="24">
          <cell r="B24" t="str">
            <v>03-04</v>
          </cell>
          <cell r="C24" t="str">
            <v>03</v>
          </cell>
          <cell r="D24" t="str">
            <v>03-04-010</v>
          </cell>
          <cell r="E24" t="str">
            <v>FILTRO EN MATERIAL GRANULAR A: 0.30 M. PARA MUROS DE CONTENCION. INCLUYE MATERIAL GRANULAR 1", GEOTEXTIL NT 1600 DE PAVCO O EQUIVALENTE Y TUBERIA PERFORADA Ø 4"</v>
          </cell>
          <cell r="F24" t="str">
            <v>M2</v>
          </cell>
          <cell r="J24">
            <v>1830978</v>
          </cell>
          <cell r="K24">
            <v>0</v>
          </cell>
          <cell r="L24">
            <v>0</v>
          </cell>
        </row>
        <row r="25">
          <cell r="B25">
            <v>0</v>
          </cell>
          <cell r="C25" t="str">
            <v>04</v>
          </cell>
          <cell r="D25" t="str">
            <v>04</v>
          </cell>
          <cell r="E25" t="str">
            <v>CONCRETOS</v>
          </cell>
          <cell r="J25">
            <v>0</v>
          </cell>
          <cell r="K25">
            <v>0</v>
          </cell>
          <cell r="L25">
            <v>81263265.039999992</v>
          </cell>
        </row>
        <row r="26">
          <cell r="B26">
            <v>0</v>
          </cell>
          <cell r="C26" t="str">
            <v>04</v>
          </cell>
          <cell r="D26" t="str">
            <v>04-01</v>
          </cell>
          <cell r="E26" t="str">
            <v>PILAS Y PILOTES</v>
          </cell>
          <cell r="J26">
            <v>0</v>
          </cell>
          <cell r="K26">
            <v>8268052</v>
          </cell>
          <cell r="L26">
            <v>0</v>
          </cell>
        </row>
        <row r="27">
          <cell r="B27" t="str">
            <v>04-01</v>
          </cell>
          <cell r="C27" t="str">
            <v>04</v>
          </cell>
          <cell r="D27" t="str">
            <v>04-01-010</v>
          </cell>
          <cell r="E27" t="str">
            <v xml:space="preserve">VACIADO DE PILOTES EN CONCRETO F'C 21 MPA </v>
          </cell>
          <cell r="F27" t="str">
            <v>M3</v>
          </cell>
          <cell r="J27">
            <v>8268052</v>
          </cell>
          <cell r="K27">
            <v>0</v>
          </cell>
          <cell r="L27">
            <v>0</v>
          </cell>
        </row>
        <row r="28">
          <cell r="B28">
            <v>0</v>
          </cell>
          <cell r="C28" t="str">
            <v>04</v>
          </cell>
          <cell r="D28" t="str">
            <v>04-02</v>
          </cell>
          <cell r="E28" t="str">
            <v>ZAPATAS, PEDESTALES Y DADOS DE FUNDACIÓN</v>
          </cell>
          <cell r="J28">
            <v>0</v>
          </cell>
          <cell r="K28">
            <v>8946245</v>
          </cell>
          <cell r="L28">
            <v>0</v>
          </cell>
        </row>
        <row r="29">
          <cell r="B29" t="str">
            <v>04-02</v>
          </cell>
          <cell r="C29" t="str">
            <v>04</v>
          </cell>
          <cell r="D29" t="str">
            <v>04-02-100</v>
          </cell>
          <cell r="E29" t="str">
            <v>ZAPATAS DE FUNDACION PARA MUROS CARGUEROS Y MUROS DE CONTENCION. CONCRETO F'C 21 MPA.</v>
          </cell>
          <cell r="F29" t="str">
            <v>M3</v>
          </cell>
          <cell r="J29">
            <v>8403633</v>
          </cell>
          <cell r="K29">
            <v>0</v>
          </cell>
          <cell r="L29">
            <v>0</v>
          </cell>
        </row>
        <row r="30">
          <cell r="B30" t="str">
            <v>04-02</v>
          </cell>
          <cell r="C30" t="str">
            <v>04</v>
          </cell>
          <cell r="D30" t="str">
            <v>04-02-200</v>
          </cell>
          <cell r="E30" t="str">
            <v>PEDESTALES EN CONCRETO F'C 21 MPA</v>
          </cell>
          <cell r="F30" t="str">
            <v>M3</v>
          </cell>
          <cell r="J30">
            <v>542612</v>
          </cell>
          <cell r="K30">
            <v>0</v>
          </cell>
          <cell r="L30">
            <v>0</v>
          </cell>
        </row>
        <row r="31">
          <cell r="B31">
            <v>0</v>
          </cell>
          <cell r="C31" t="str">
            <v>04</v>
          </cell>
          <cell r="D31" t="str">
            <v>04-03</v>
          </cell>
          <cell r="E31" t="str">
            <v>MUROS DE CONTENCION</v>
          </cell>
          <cell r="J31">
            <v>0</v>
          </cell>
          <cell r="K31">
            <v>8864784</v>
          </cell>
          <cell r="L31">
            <v>0</v>
          </cell>
        </row>
        <row r="32">
          <cell r="B32" t="str">
            <v>04-03</v>
          </cell>
          <cell r="C32" t="str">
            <v>04</v>
          </cell>
          <cell r="D32" t="str">
            <v>04-03-010</v>
          </cell>
          <cell r="E32" t="str">
            <v>MURO DE CONTENCION EN BLOQUE DE CONCRETO 20x20x40. LOS LLENOS EN GROUT SE PAGAN EN ITEM APARTE</v>
          </cell>
          <cell r="F32" t="str">
            <v>M2</v>
          </cell>
          <cell r="J32">
            <v>1688184</v>
          </cell>
          <cell r="K32">
            <v>0</v>
          </cell>
          <cell r="L32">
            <v>0</v>
          </cell>
        </row>
        <row r="33">
          <cell r="B33" t="str">
            <v>04-03</v>
          </cell>
          <cell r="C33" t="str">
            <v>04</v>
          </cell>
          <cell r="D33" t="str">
            <v>04-03-100</v>
          </cell>
          <cell r="E33" t="str">
            <v>MURO DE CONTENCION EN CONCRETO VISTO F'C 21 MPA. E: 0.20 M.</v>
          </cell>
          <cell r="F33" t="str">
            <v>M3</v>
          </cell>
          <cell r="J33">
            <v>7176600</v>
          </cell>
          <cell r="K33">
            <v>0</v>
          </cell>
          <cell r="L33">
            <v>0</v>
          </cell>
        </row>
        <row r="34">
          <cell r="B34">
            <v>0</v>
          </cell>
          <cell r="C34" t="str">
            <v>04</v>
          </cell>
          <cell r="D34" t="str">
            <v>04-04</v>
          </cell>
          <cell r="E34" t="str">
            <v>VIGAS DE FUNDACION</v>
          </cell>
          <cell r="J34">
            <v>0</v>
          </cell>
          <cell r="K34">
            <v>9575429</v>
          </cell>
          <cell r="L34">
            <v>0</v>
          </cell>
        </row>
        <row r="35">
          <cell r="B35" t="str">
            <v>04-04</v>
          </cell>
          <cell r="C35" t="str">
            <v>04</v>
          </cell>
          <cell r="D35" t="str">
            <v>04-04-010</v>
          </cell>
          <cell r="E35" t="str">
            <v>VIGAS DE FUNDACION EN CONCRETO F'C 21 MPA.</v>
          </cell>
          <cell r="F35" t="str">
            <v>M3</v>
          </cell>
          <cell r="J35">
            <v>9575429</v>
          </cell>
          <cell r="K35">
            <v>0</v>
          </cell>
          <cell r="L35">
            <v>0</v>
          </cell>
        </row>
        <row r="36">
          <cell r="B36">
            <v>0</v>
          </cell>
          <cell r="C36" t="str">
            <v>04</v>
          </cell>
          <cell r="D36" t="str">
            <v>04-05</v>
          </cell>
          <cell r="E36" t="str">
            <v>LOSAS DE FUNDACION</v>
          </cell>
          <cell r="J36">
            <v>0</v>
          </cell>
          <cell r="K36">
            <v>15485708</v>
          </cell>
          <cell r="L36">
            <v>0</v>
          </cell>
        </row>
        <row r="37">
          <cell r="B37" t="str">
            <v>04-05</v>
          </cell>
          <cell r="C37" t="str">
            <v>04</v>
          </cell>
          <cell r="D37" t="str">
            <v>04-05-010</v>
          </cell>
          <cell r="E37" t="str">
            <v>LOSA DE CONTRAPISO E: 0.15 F'C 21 MPA.</v>
          </cell>
          <cell r="F37" t="str">
            <v>M2</v>
          </cell>
          <cell r="J37">
            <v>15485708</v>
          </cell>
          <cell r="K37">
            <v>0</v>
          </cell>
          <cell r="L37">
            <v>0</v>
          </cell>
        </row>
        <row r="38">
          <cell r="B38">
            <v>0</v>
          </cell>
          <cell r="C38" t="str">
            <v>04</v>
          </cell>
          <cell r="D38" t="str">
            <v>04-07</v>
          </cell>
          <cell r="E38" t="str">
            <v>COLUMNAS</v>
          </cell>
          <cell r="J38">
            <v>0</v>
          </cell>
          <cell r="K38">
            <v>4844958</v>
          </cell>
          <cell r="L38">
            <v>0</v>
          </cell>
        </row>
        <row r="39">
          <cell r="B39" t="str">
            <v>04-07</v>
          </cell>
          <cell r="C39" t="str">
            <v>04</v>
          </cell>
          <cell r="D39" t="str">
            <v>04-07-010</v>
          </cell>
          <cell r="E39" t="str">
            <v>COLUMNAS EN CONCRETO VISTO F'C 21 MPA (0.25 M. x 0.25 M.) SOPORTE PALCO</v>
          </cell>
          <cell r="F39" t="str">
            <v>M3</v>
          </cell>
          <cell r="J39">
            <v>692685</v>
          </cell>
          <cell r="K39">
            <v>0</v>
          </cell>
          <cell r="L39">
            <v>0</v>
          </cell>
        </row>
        <row r="40">
          <cell r="B40" t="str">
            <v>04-07</v>
          </cell>
          <cell r="C40" t="str">
            <v>04</v>
          </cell>
          <cell r="D40" t="str">
            <v>04-07-020</v>
          </cell>
          <cell r="E40" t="str">
            <v>COLUMNA / MACHON EN CONCRETO F'C 21 MPA (0.40 M. x 0.30 M.) - LATERAL ESCENARIO</v>
          </cell>
          <cell r="F40" t="str">
            <v>M3</v>
          </cell>
          <cell r="J40">
            <v>1965849</v>
          </cell>
          <cell r="K40">
            <v>0</v>
          </cell>
          <cell r="L40">
            <v>0</v>
          </cell>
        </row>
        <row r="41">
          <cell r="B41" t="str">
            <v>04-07</v>
          </cell>
          <cell r="C41" t="str">
            <v>04</v>
          </cell>
          <cell r="D41" t="str">
            <v>04-07-030</v>
          </cell>
          <cell r="E41" t="str">
            <v>COLUMNAS DE CONFINAMIENTO EN CONCRETO F'C 21 MPA (0.20 M. x 0.20 M.) LATERAL ESCENARIO</v>
          </cell>
          <cell r="F41" t="str">
            <v>M3</v>
          </cell>
          <cell r="J41">
            <v>2186424</v>
          </cell>
          <cell r="K41">
            <v>0</v>
          </cell>
          <cell r="L41">
            <v>0</v>
          </cell>
        </row>
        <row r="42">
          <cell r="B42">
            <v>0</v>
          </cell>
          <cell r="C42" t="str">
            <v>04</v>
          </cell>
          <cell r="D42" t="str">
            <v>04-08</v>
          </cell>
          <cell r="E42" t="str">
            <v>LOSAS Y VIGAS AEREAS</v>
          </cell>
          <cell r="J42">
            <v>0</v>
          </cell>
          <cell r="K42">
            <v>20216268</v>
          </cell>
          <cell r="L42">
            <v>0</v>
          </cell>
        </row>
        <row r="43">
          <cell r="B43" t="str">
            <v>04-08</v>
          </cell>
          <cell r="C43" t="str">
            <v>04</v>
          </cell>
          <cell r="D43" t="str">
            <v>04-08-010</v>
          </cell>
          <cell r="E43" t="str">
            <v>LOSA MACIZA EN CONCRETO F'C 21 MPA E: 0.10 M. PARA ESCENARIO Y PALCOS</v>
          </cell>
          <cell r="F43" t="str">
            <v>M2</v>
          </cell>
          <cell r="J43">
            <v>19015554</v>
          </cell>
          <cell r="K43">
            <v>0</v>
          </cell>
          <cell r="L43">
            <v>0</v>
          </cell>
        </row>
        <row r="44">
          <cell r="B44" t="str">
            <v>04-08</v>
          </cell>
          <cell r="C44" t="str">
            <v>04</v>
          </cell>
          <cell r="D44" t="str">
            <v>04-08-200</v>
          </cell>
          <cell r="E44" t="str">
            <v>VIGA DE AMARRE EN CONCRETO F'C 21 MPA SOBRE MUROS DE BLOQUE (0.20 M. x 0.20 M.)</v>
          </cell>
          <cell r="F44" t="str">
            <v>M3</v>
          </cell>
          <cell r="J44">
            <v>1200714</v>
          </cell>
          <cell r="K44">
            <v>0</v>
          </cell>
          <cell r="L44">
            <v>0</v>
          </cell>
        </row>
        <row r="45">
          <cell r="B45">
            <v>0</v>
          </cell>
          <cell r="C45" t="str">
            <v>04</v>
          </cell>
          <cell r="D45" t="str">
            <v>04-10</v>
          </cell>
          <cell r="E45" t="str">
            <v>ESCALERAS Y RAMPAS</v>
          </cell>
          <cell r="J45">
            <v>0</v>
          </cell>
          <cell r="K45">
            <v>5061821.0399999991</v>
          </cell>
          <cell r="L45">
            <v>0</v>
          </cell>
        </row>
        <row r="46">
          <cell r="B46" t="str">
            <v>04-10</v>
          </cell>
          <cell r="C46" t="str">
            <v>04</v>
          </cell>
          <cell r="D46" t="str">
            <v>04-10-010</v>
          </cell>
          <cell r="E46" t="str">
            <v>ESCALERAS EN CONCRETO VISTO F'C 21 MPA. INCLUYE LOSETA VIGAS DESCOLGADAS EN DESCANSOS.</v>
          </cell>
          <cell r="F46" t="str">
            <v>M3</v>
          </cell>
          <cell r="J46">
            <v>5061821.0399999991</v>
          </cell>
          <cell r="K46">
            <v>0</v>
          </cell>
          <cell r="L46">
            <v>0</v>
          </cell>
        </row>
        <row r="47">
          <cell r="B47">
            <v>0</v>
          </cell>
          <cell r="C47" t="str">
            <v>05</v>
          </cell>
          <cell r="D47" t="str">
            <v>05</v>
          </cell>
          <cell r="E47" t="str">
            <v>ACEROS Y ESTRUCTURAS METÁLICAS</v>
          </cell>
          <cell r="J47">
            <v>0</v>
          </cell>
          <cell r="K47">
            <v>0</v>
          </cell>
          <cell r="L47">
            <v>177945298</v>
          </cell>
        </row>
        <row r="48">
          <cell r="B48">
            <v>0</v>
          </cell>
          <cell r="C48" t="str">
            <v>05</v>
          </cell>
          <cell r="D48" t="str">
            <v>05-01</v>
          </cell>
          <cell r="E48" t="str">
            <v>ACERO DE REFUERZO PARA ESTRUCTURAS</v>
          </cell>
          <cell r="J48">
            <v>0</v>
          </cell>
          <cell r="K48">
            <v>22495680</v>
          </cell>
          <cell r="L48">
            <v>0</v>
          </cell>
        </row>
        <row r="49">
          <cell r="B49" t="str">
            <v>05-01</v>
          </cell>
          <cell r="C49" t="str">
            <v>05</v>
          </cell>
          <cell r="D49" t="str">
            <v>05-01-010</v>
          </cell>
          <cell r="E49" t="str">
            <v>ACERO DE REFUERZO FY 420 MPA</v>
          </cell>
          <cell r="F49" t="str">
            <v>KG</v>
          </cell>
          <cell r="J49">
            <v>22495680</v>
          </cell>
          <cell r="K49">
            <v>0</v>
          </cell>
          <cell r="L49">
            <v>0</v>
          </cell>
        </row>
        <row r="50">
          <cell r="B50">
            <v>0</v>
          </cell>
          <cell r="C50" t="str">
            <v>05</v>
          </cell>
          <cell r="D50" t="str">
            <v>05-02</v>
          </cell>
          <cell r="E50" t="str">
            <v>MALLAS ELECTROSOLDADAS PARA ESTRUCTURAS</v>
          </cell>
          <cell r="J50">
            <v>0</v>
          </cell>
          <cell r="K50">
            <v>2635423</v>
          </cell>
          <cell r="L50">
            <v>0</v>
          </cell>
        </row>
        <row r="51">
          <cell r="B51" t="str">
            <v>05-02</v>
          </cell>
          <cell r="C51" t="str">
            <v>05</v>
          </cell>
          <cell r="D51" t="str">
            <v>05-02-020</v>
          </cell>
          <cell r="E51" t="str">
            <v>MALLA ELECTROSOLDADA U-221</v>
          </cell>
          <cell r="F51" t="str">
            <v>M2</v>
          </cell>
          <cell r="J51">
            <v>1672062</v>
          </cell>
          <cell r="K51">
            <v>0</v>
          </cell>
          <cell r="L51">
            <v>0</v>
          </cell>
        </row>
        <row r="52">
          <cell r="B52" t="str">
            <v>05-02</v>
          </cell>
          <cell r="C52" t="str">
            <v>05</v>
          </cell>
          <cell r="D52" t="str">
            <v>05-02-030</v>
          </cell>
          <cell r="E52" t="str">
            <v>MALLA ELECTROSOLDADA D-84</v>
          </cell>
          <cell r="F52" t="str">
            <v>M2</v>
          </cell>
          <cell r="J52">
            <v>150465</v>
          </cell>
          <cell r="K52">
            <v>0</v>
          </cell>
          <cell r="L52">
            <v>0</v>
          </cell>
        </row>
        <row r="53">
          <cell r="B53" t="str">
            <v>05-02</v>
          </cell>
          <cell r="C53" t="str">
            <v>05</v>
          </cell>
          <cell r="D53" t="str">
            <v>05-02-040</v>
          </cell>
          <cell r="E53" t="str">
            <v>MALLA ELECTROSOLDADA D-188</v>
          </cell>
          <cell r="F53" t="str">
            <v>M2</v>
          </cell>
          <cell r="J53">
            <v>812896</v>
          </cell>
          <cell r="K53">
            <v>0</v>
          </cell>
          <cell r="L53">
            <v>0</v>
          </cell>
        </row>
        <row r="54">
          <cell r="B54">
            <v>0</v>
          </cell>
          <cell r="C54" t="str">
            <v>05</v>
          </cell>
          <cell r="D54" t="str">
            <v>05-03</v>
          </cell>
          <cell r="E54" t="str">
            <v>ESTRUCTURAS METALICAS</v>
          </cell>
          <cell r="J54">
            <v>0</v>
          </cell>
          <cell r="K54">
            <v>152814195</v>
          </cell>
          <cell r="L54">
            <v>0</v>
          </cell>
        </row>
        <row r="55">
          <cell r="B55" t="str">
            <v>05-03</v>
          </cell>
          <cell r="C55" t="str">
            <v>05</v>
          </cell>
          <cell r="D55" t="str">
            <v>05-03-100</v>
          </cell>
          <cell r="E55" t="str">
            <v>LOSA EN LAMINA COLABORANTE. STEELDECK 2" CAL. 20 O EQUIVALENTE, CONCRETO F'C 21 MPA E: 0.12 M. Y CONECTORES</v>
          </cell>
          <cell r="F55" t="str">
            <v>M2</v>
          </cell>
          <cell r="J55">
            <v>8342075</v>
          </cell>
          <cell r="K55">
            <v>0</v>
          </cell>
          <cell r="L55">
            <v>0</v>
          </cell>
        </row>
        <row r="56">
          <cell r="B56" t="str">
            <v>05-03</v>
          </cell>
          <cell r="C56" t="str">
            <v>05</v>
          </cell>
          <cell r="D56" t="str">
            <v>05-03-200</v>
          </cell>
          <cell r="E56" t="str">
            <v>ESTRUCTURA METALICA DE ESCALAS DE ACCESO A SONIDO</v>
          </cell>
          <cell r="F56" t="str">
            <v>KG</v>
          </cell>
          <cell r="J56">
            <v>10030000</v>
          </cell>
          <cell r="K56">
            <v>0</v>
          </cell>
          <cell r="L56">
            <v>0</v>
          </cell>
        </row>
        <row r="57">
          <cell r="B57" t="str">
            <v>05-03</v>
          </cell>
          <cell r="C57" t="str">
            <v>05</v>
          </cell>
          <cell r="D57" t="str">
            <v>05-03-210</v>
          </cell>
          <cell r="E57" t="str">
            <v>CERCHAS METALICAS PARA GRADERIAS EN SEGUNDO PISO</v>
          </cell>
          <cell r="F57" t="str">
            <v>KG</v>
          </cell>
          <cell r="J57">
            <v>22366900</v>
          </cell>
          <cell r="K57">
            <v>0</v>
          </cell>
          <cell r="L57">
            <v>0</v>
          </cell>
        </row>
        <row r="58">
          <cell r="B58" t="str">
            <v>05-03</v>
          </cell>
          <cell r="C58" t="str">
            <v>05</v>
          </cell>
          <cell r="D58" t="str">
            <v>05-03-220</v>
          </cell>
          <cell r="E58" t="str">
            <v>VIGAS METALICAS IPE200 PARA SOPORTE LOSA CUARTO DE PROYECCION</v>
          </cell>
          <cell r="F58" t="str">
            <v>KG</v>
          </cell>
          <cell r="J58">
            <v>7321900</v>
          </cell>
          <cell r="K58">
            <v>0</v>
          </cell>
          <cell r="L58">
            <v>0</v>
          </cell>
        </row>
        <row r="59">
          <cell r="B59" t="str">
            <v>05-03</v>
          </cell>
          <cell r="C59" t="str">
            <v>05</v>
          </cell>
          <cell r="D59" t="str">
            <v>05-03-230</v>
          </cell>
          <cell r="E59" t="str">
            <v>VIGAS METALICAS IPE200, IPE240 Y TUBULARES PTEC 5" x 5" x 4.5 MM. PARA SOPORTE PISO MADERA CUARTO DE SONIDO</v>
          </cell>
          <cell r="F59" t="str">
            <v>KG</v>
          </cell>
          <cell r="J59">
            <v>3490440</v>
          </cell>
          <cell r="K59">
            <v>0</v>
          </cell>
          <cell r="L59">
            <v>0</v>
          </cell>
        </row>
        <row r="60">
          <cell r="B60" t="str">
            <v>05-03</v>
          </cell>
          <cell r="C60" t="str">
            <v>05</v>
          </cell>
          <cell r="D60" t="str">
            <v>05-03-240</v>
          </cell>
          <cell r="E60" t="str">
            <v>VIGAS METALICAS IPE300, IPE240 PARA SOPORTE PISO MADERA Y STEELDECK OFICINAS SEGUNDO PISO</v>
          </cell>
          <cell r="F60" t="str">
            <v>KG</v>
          </cell>
          <cell r="J60">
            <v>43018670</v>
          </cell>
          <cell r="K60">
            <v>0</v>
          </cell>
          <cell r="L60">
            <v>0</v>
          </cell>
        </row>
        <row r="61">
          <cell r="B61" t="str">
            <v>05-03</v>
          </cell>
          <cell r="C61" t="str">
            <v>05</v>
          </cell>
          <cell r="D61" t="str">
            <v>05-03-250</v>
          </cell>
          <cell r="E61" t="str">
            <v>ESTRUCTURA METALICA Y CUELGAS DE LA PARRILLA DE ILUMINACION</v>
          </cell>
          <cell r="F61" t="str">
            <v>KG</v>
          </cell>
          <cell r="J61">
            <v>12005910</v>
          </cell>
          <cell r="K61">
            <v>0</v>
          </cell>
          <cell r="L61">
            <v>0</v>
          </cell>
        </row>
        <row r="62">
          <cell r="B62" t="str">
            <v>05-03</v>
          </cell>
          <cell r="C62" t="str">
            <v>05</v>
          </cell>
          <cell r="D62" t="str">
            <v>05-03-260</v>
          </cell>
          <cell r="E62" t="str">
            <v>ESTRUCTURA METALICA Y PASAMANOS DE LOS CORREDORES TECNICOS INTERIORES Y EXTERIORES</v>
          </cell>
          <cell r="F62" t="str">
            <v>KG</v>
          </cell>
          <cell r="J62">
            <v>6930730</v>
          </cell>
          <cell r="K62">
            <v>0</v>
          </cell>
          <cell r="L62">
            <v>0</v>
          </cell>
        </row>
        <row r="63">
          <cell r="B63" t="str">
            <v>05-03</v>
          </cell>
          <cell r="C63" t="str">
            <v>05</v>
          </cell>
          <cell r="D63" t="str">
            <v>05-03-270</v>
          </cell>
          <cell r="E63" t="str">
            <v>PERFILES GALVANIZADOS TIPO ACESCO O EQUIVALENTE PARA SOPORTE DE TEJAS DE CUBIERTA</v>
          </cell>
          <cell r="F63" t="str">
            <v>KG</v>
          </cell>
          <cell r="J63">
            <v>39307570</v>
          </cell>
          <cell r="K63">
            <v>0</v>
          </cell>
          <cell r="L63">
            <v>0</v>
          </cell>
        </row>
        <row r="64">
          <cell r="B64">
            <v>0</v>
          </cell>
          <cell r="C64" t="str">
            <v>06</v>
          </cell>
          <cell r="D64" t="str">
            <v>06</v>
          </cell>
          <cell r="E64" t="str">
            <v>MAMPOSTERIA</v>
          </cell>
          <cell r="J64">
            <v>0</v>
          </cell>
          <cell r="K64">
            <v>0</v>
          </cell>
          <cell r="L64">
            <v>159212653</v>
          </cell>
        </row>
        <row r="65">
          <cell r="B65">
            <v>0</v>
          </cell>
          <cell r="C65" t="str">
            <v>06</v>
          </cell>
          <cell r="D65" t="str">
            <v>06-01</v>
          </cell>
          <cell r="E65" t="str">
            <v>MUROS EN PANELERIA LIVIANA</v>
          </cell>
          <cell r="J65">
            <v>0</v>
          </cell>
          <cell r="K65">
            <v>71597558</v>
          </cell>
          <cell r="L65">
            <v>0</v>
          </cell>
        </row>
        <row r="66">
          <cell r="B66" t="str">
            <v>06-01</v>
          </cell>
          <cell r="C66" t="str">
            <v>06</v>
          </cell>
          <cell r="D66" t="str">
            <v>06-01-100</v>
          </cell>
          <cell r="E66" t="str">
            <v>MUROS EN SUPERBOARD DOS CARAS</v>
          </cell>
          <cell r="F66" t="str">
            <v>M2</v>
          </cell>
          <cell r="J66">
            <v>41125738</v>
          </cell>
          <cell r="K66">
            <v>0</v>
          </cell>
          <cell r="L66">
            <v>0</v>
          </cell>
        </row>
        <row r="67">
          <cell r="B67" t="str">
            <v>06-01</v>
          </cell>
          <cell r="C67" t="str">
            <v>06</v>
          </cell>
          <cell r="D67" t="str">
            <v>06-01-110</v>
          </cell>
          <cell r="E67" t="str">
            <v>MUROS EN SUPERBOARD UNA CARA</v>
          </cell>
          <cell r="F67" t="str">
            <v>M2</v>
          </cell>
          <cell r="J67">
            <v>30471820</v>
          </cell>
          <cell r="K67">
            <v>0</v>
          </cell>
          <cell r="L67">
            <v>0</v>
          </cell>
        </row>
        <row r="68">
          <cell r="B68">
            <v>0</v>
          </cell>
          <cell r="C68" t="str">
            <v>06</v>
          </cell>
          <cell r="D68" t="str">
            <v>06-02</v>
          </cell>
          <cell r="E68" t="str">
            <v>MUROS EN LADRILLO Y BLOQUE</v>
          </cell>
          <cell r="J68">
            <v>0</v>
          </cell>
          <cell r="K68">
            <v>52948010</v>
          </cell>
          <cell r="L68">
            <v>0</v>
          </cell>
        </row>
        <row r="69">
          <cell r="B69" t="str">
            <v>06-02</v>
          </cell>
          <cell r="C69" t="str">
            <v>06</v>
          </cell>
          <cell r="D69" t="str">
            <v>06-02-010</v>
          </cell>
          <cell r="E69" t="str">
            <v>MAMPOSTERIA INTERIOR EN LADRILLO TOLETE 15x20x40 REVITADO DOS CARAS</v>
          </cell>
          <cell r="F69" t="str">
            <v>M2</v>
          </cell>
          <cell r="J69">
            <v>18269050</v>
          </cell>
          <cell r="K69">
            <v>0</v>
          </cell>
          <cell r="L69">
            <v>0</v>
          </cell>
        </row>
        <row r="70">
          <cell r="B70" t="str">
            <v>06-02</v>
          </cell>
          <cell r="C70" t="str">
            <v>06</v>
          </cell>
          <cell r="D70" t="str">
            <v>06-02-020</v>
          </cell>
          <cell r="E70" t="str">
            <v>MAMPOSTERIA INTERIOR EN LADRILLO 10x20x40 REVITADO DOS CARAS</v>
          </cell>
          <cell r="F70" t="str">
            <v>M2</v>
          </cell>
          <cell r="J70">
            <v>7382284</v>
          </cell>
          <cell r="K70">
            <v>0</v>
          </cell>
          <cell r="L70">
            <v>0</v>
          </cell>
        </row>
        <row r="71">
          <cell r="B71" t="str">
            <v>06-02</v>
          </cell>
          <cell r="C71" t="str">
            <v>06</v>
          </cell>
          <cell r="D71" t="str">
            <v>06-02-030</v>
          </cell>
          <cell r="E71" t="str">
            <v>MAMPOSTERIA INTERIOR EN BLOQUE 20x20x40 REVITADO DOS CARAS</v>
          </cell>
          <cell r="F71" t="str">
            <v>M2</v>
          </cell>
          <cell r="J71">
            <v>27296676</v>
          </cell>
          <cell r="K71">
            <v>0</v>
          </cell>
          <cell r="L71">
            <v>0</v>
          </cell>
        </row>
        <row r="72">
          <cell r="B72">
            <v>0</v>
          </cell>
          <cell r="C72" t="str">
            <v>06</v>
          </cell>
          <cell r="D72" t="str">
            <v>06-03</v>
          </cell>
          <cell r="E72" t="str">
            <v>ELEMENTOS NO ESTRUCTURALES</v>
          </cell>
          <cell r="J72">
            <v>0</v>
          </cell>
          <cell r="K72">
            <v>31460295</v>
          </cell>
          <cell r="L72">
            <v>0</v>
          </cell>
        </row>
        <row r="73">
          <cell r="B73" t="str">
            <v>06-03</v>
          </cell>
          <cell r="C73" t="str">
            <v>06</v>
          </cell>
          <cell r="D73" t="str">
            <v>06-03-010</v>
          </cell>
          <cell r="E73" t="str">
            <v>GROUTING PARA MUROS DE E: 0.20 F'C 14.5 MPA</v>
          </cell>
          <cell r="F73" t="str">
            <v>M</v>
          </cell>
          <cell r="J73">
            <v>9488440</v>
          </cell>
          <cell r="K73">
            <v>0</v>
          </cell>
          <cell r="L73">
            <v>0</v>
          </cell>
        </row>
        <row r="74">
          <cell r="B74" t="str">
            <v>06-03</v>
          </cell>
          <cell r="C74" t="str">
            <v>06</v>
          </cell>
          <cell r="D74" t="str">
            <v>06-03-020</v>
          </cell>
          <cell r="E74" t="str">
            <v>GROUTING PARA MUROS DE E: 0.15 F'C 14.5 MPA</v>
          </cell>
          <cell r="F74" t="str">
            <v>M</v>
          </cell>
          <cell r="J74">
            <v>10014213</v>
          </cell>
          <cell r="K74">
            <v>0</v>
          </cell>
          <cell r="L74">
            <v>0</v>
          </cell>
        </row>
        <row r="75">
          <cell r="B75" t="str">
            <v>06-03</v>
          </cell>
          <cell r="C75" t="str">
            <v>06</v>
          </cell>
          <cell r="D75" t="str">
            <v>06-03-025</v>
          </cell>
          <cell r="E75" t="str">
            <v>GROUTING PARA MUROS DE E: 0.10 F'C 14.5 MPA</v>
          </cell>
          <cell r="F75" t="str">
            <v>M</v>
          </cell>
          <cell r="J75">
            <v>3957366</v>
          </cell>
          <cell r="K75">
            <v>0</v>
          </cell>
          <cell r="L75">
            <v>0</v>
          </cell>
        </row>
        <row r="76">
          <cell r="B76" t="str">
            <v>06-03</v>
          </cell>
          <cell r="C76" t="str">
            <v>06</v>
          </cell>
          <cell r="D76" t="str">
            <v>06-03-030</v>
          </cell>
          <cell r="E76" t="str">
            <v>ANCLAJES PARA REFUERZO DOVELAS. PERFORACION LOSA, EPOXICO Y ACERO DE REFUERZO</v>
          </cell>
          <cell r="F76" t="str">
            <v>UN</v>
          </cell>
          <cell r="J76">
            <v>8000276</v>
          </cell>
          <cell r="K76">
            <v>0</v>
          </cell>
          <cell r="L76">
            <v>0</v>
          </cell>
        </row>
        <row r="77">
          <cell r="B77">
            <v>0</v>
          </cell>
          <cell r="C77" t="str">
            <v>06</v>
          </cell>
          <cell r="D77" t="str">
            <v>06-04</v>
          </cell>
          <cell r="E77" t="str">
            <v>ACERO DE REFUERZO PARA MAMPOSTERIAS</v>
          </cell>
          <cell r="J77">
            <v>0</v>
          </cell>
          <cell r="K77">
            <v>3206790</v>
          </cell>
          <cell r="L77">
            <v>0</v>
          </cell>
        </row>
        <row r="78">
          <cell r="B78" t="str">
            <v>06-04</v>
          </cell>
          <cell r="C78" t="str">
            <v>06</v>
          </cell>
          <cell r="D78" t="str">
            <v>06-04-010</v>
          </cell>
          <cell r="E78" t="str">
            <v>ACERO DE REFUERZO FY 420 MPA PARA MAMPOSTERIAS</v>
          </cell>
          <cell r="F78" t="str">
            <v>KG</v>
          </cell>
          <cell r="J78">
            <v>3206790</v>
          </cell>
          <cell r="K78">
            <v>0</v>
          </cell>
          <cell r="L78">
            <v>0</v>
          </cell>
        </row>
        <row r="79">
          <cell r="B79">
            <v>0</v>
          </cell>
          <cell r="C79" t="str">
            <v>08</v>
          </cell>
          <cell r="D79" t="str">
            <v>08</v>
          </cell>
          <cell r="E79" t="str">
            <v>CUBIERTAS Y CIELOS</v>
          </cell>
          <cell r="J79">
            <v>0</v>
          </cell>
          <cell r="K79">
            <v>0</v>
          </cell>
          <cell r="L79">
            <v>158277529</v>
          </cell>
        </row>
        <row r="80">
          <cell r="B80">
            <v>0</v>
          </cell>
          <cell r="C80" t="str">
            <v>08</v>
          </cell>
          <cell r="D80" t="str">
            <v>08-01</v>
          </cell>
          <cell r="E80" t="str">
            <v>CUBIERTAS</v>
          </cell>
          <cell r="J80">
            <v>0</v>
          </cell>
          <cell r="K80">
            <v>91631904</v>
          </cell>
          <cell r="L80">
            <v>0</v>
          </cell>
        </row>
        <row r="81">
          <cell r="B81" t="str">
            <v>08-01</v>
          </cell>
          <cell r="C81" t="str">
            <v>08</v>
          </cell>
          <cell r="D81" t="str">
            <v>08-01-010</v>
          </cell>
          <cell r="E81" t="str">
            <v>CUBIERTA EN TEJA METALICA TIPO SANDUCHE 333 C E: 50 MM. DE HUNTER DOUGLAS O EQUIVALENTE. LAMINAS INTERIOR Y EXTERIOR EN ALUZINC CAL 24 + RELLENO EN FIBRA DE VIDRIO. INCLUYE REMATES LATERALES Y CABALLETES</v>
          </cell>
          <cell r="F81" t="str">
            <v>M2</v>
          </cell>
          <cell r="J81">
            <v>90498618</v>
          </cell>
          <cell r="K81">
            <v>0</v>
          </cell>
          <cell r="L81">
            <v>0</v>
          </cell>
        </row>
        <row r="82">
          <cell r="B82" t="str">
            <v>08-01</v>
          </cell>
          <cell r="C82" t="str">
            <v>08</v>
          </cell>
          <cell r="D82" t="str">
            <v>08-01-020</v>
          </cell>
          <cell r="E82" t="str">
            <v>TRAGALUCES EN TEJA DE POLICARBONATO</v>
          </cell>
          <cell r="F82" t="str">
            <v>M2</v>
          </cell>
          <cell r="J82">
            <v>1133286</v>
          </cell>
          <cell r="K82">
            <v>0</v>
          </cell>
          <cell r="L82">
            <v>0</v>
          </cell>
        </row>
        <row r="83">
          <cell r="B83">
            <v>0</v>
          </cell>
          <cell r="C83" t="str">
            <v>08</v>
          </cell>
          <cell r="D83" t="str">
            <v>08-02</v>
          </cell>
          <cell r="E83" t="str">
            <v>CIELO FALSO</v>
          </cell>
          <cell r="J83">
            <v>0</v>
          </cell>
          <cell r="K83">
            <v>48874572</v>
          </cell>
          <cell r="L83">
            <v>0</v>
          </cell>
        </row>
        <row r="84">
          <cell r="B84" t="str">
            <v>08-02</v>
          </cell>
          <cell r="C84" t="str">
            <v>08</v>
          </cell>
          <cell r="D84" t="str">
            <v>08-02-010</v>
          </cell>
          <cell r="E84" t="str">
            <v>CIELO FALSO EN TABLAYESO A JUNTA PERDIDA. INCLUYE CUELGAS</v>
          </cell>
          <cell r="F84" t="str">
            <v>M2</v>
          </cell>
          <cell r="J84">
            <v>48874572</v>
          </cell>
          <cell r="K84">
            <v>0</v>
          </cell>
          <cell r="L84">
            <v>0</v>
          </cell>
        </row>
        <row r="85">
          <cell r="B85">
            <v>0</v>
          </cell>
          <cell r="C85" t="str">
            <v>08</v>
          </cell>
          <cell r="D85" t="str">
            <v>08-03</v>
          </cell>
          <cell r="E85" t="str">
            <v>ACCESORIOS PARA CUBIERTAS</v>
          </cell>
          <cell r="J85">
            <v>0</v>
          </cell>
          <cell r="K85">
            <v>17771053</v>
          </cell>
          <cell r="L85">
            <v>0</v>
          </cell>
        </row>
        <row r="86">
          <cell r="B86" t="str">
            <v>08-03</v>
          </cell>
          <cell r="C86" t="str">
            <v>08</v>
          </cell>
          <cell r="D86" t="str">
            <v>08-03-010</v>
          </cell>
          <cell r="E86" t="str">
            <v>CANOA METALICA EN LAMINA GALVANIZADA CAL 22. DESARROLLO 2.20 M. INCLUYE ANTICORROSIVO + PINTURA DE ACABADO</v>
          </cell>
          <cell r="F86" t="str">
            <v>M</v>
          </cell>
          <cell r="J86">
            <v>11483925</v>
          </cell>
          <cell r="K86">
            <v>0</v>
          </cell>
          <cell r="L86">
            <v>0</v>
          </cell>
        </row>
        <row r="87">
          <cell r="B87" t="str">
            <v>08-03</v>
          </cell>
          <cell r="C87" t="str">
            <v>08</v>
          </cell>
          <cell r="D87" t="str">
            <v>08-03-020</v>
          </cell>
          <cell r="E87" t="str">
            <v>CANOA / RUANA METALICA EN LAMINA GALVANIZADA CAL 22. DESARROLLO 1.20 M. INCLUYE ANTICORROSIVO + PINTURA DE ACABADO</v>
          </cell>
          <cell r="F87" t="str">
            <v>M</v>
          </cell>
          <cell r="J87">
            <v>4450644</v>
          </cell>
          <cell r="K87">
            <v>0</v>
          </cell>
          <cell r="L87">
            <v>0</v>
          </cell>
        </row>
        <row r="88">
          <cell r="B88" t="str">
            <v>08-03</v>
          </cell>
          <cell r="C88" t="str">
            <v>08</v>
          </cell>
          <cell r="D88" t="str">
            <v>08-03-030</v>
          </cell>
          <cell r="E88" t="str">
            <v>DOBLE TRAGANTE Ø 4" EN LAMINA GALVANIZADA CAL 22.</v>
          </cell>
          <cell r="F88" t="str">
            <v>UN</v>
          </cell>
          <cell r="J88">
            <v>1241071</v>
          </cell>
          <cell r="K88">
            <v>0</v>
          </cell>
          <cell r="L88">
            <v>0</v>
          </cell>
        </row>
        <row r="89">
          <cell r="B89" t="str">
            <v>08-03</v>
          </cell>
          <cell r="C89" t="str">
            <v>08</v>
          </cell>
          <cell r="D89" t="str">
            <v>08-03-040</v>
          </cell>
          <cell r="E89" t="str">
            <v>PLETINA EN ACERO 1/8" x 1" - L: 0.60 M. ANCLADA A MUROS PARA SOPORTE DE TUBERIAS DE AGUAS LLUVIAS</v>
          </cell>
          <cell r="F89" t="str">
            <v>UN</v>
          </cell>
          <cell r="J89">
            <v>595413</v>
          </cell>
          <cell r="K89">
            <v>0</v>
          </cell>
          <cell r="L89">
            <v>0</v>
          </cell>
        </row>
        <row r="90">
          <cell r="B90">
            <v>0</v>
          </cell>
          <cell r="C90" t="str">
            <v>09</v>
          </cell>
          <cell r="D90" t="str">
            <v>09</v>
          </cell>
          <cell r="E90" t="str">
            <v>RECUBRIMIENTOS</v>
          </cell>
          <cell r="J90">
            <v>0</v>
          </cell>
          <cell r="K90">
            <v>0</v>
          </cell>
          <cell r="L90">
            <v>111630891</v>
          </cell>
        </row>
        <row r="91">
          <cell r="B91">
            <v>0</v>
          </cell>
          <cell r="C91" t="str">
            <v>09</v>
          </cell>
          <cell r="D91" t="str">
            <v>09-01</v>
          </cell>
          <cell r="E91" t="str">
            <v>REVOQUE</v>
          </cell>
          <cell r="J91">
            <v>0</v>
          </cell>
          <cell r="K91">
            <v>34059438</v>
          </cell>
          <cell r="L91">
            <v>0</v>
          </cell>
        </row>
        <row r="92">
          <cell r="B92" t="str">
            <v>09-01</v>
          </cell>
          <cell r="C92" t="str">
            <v>09</v>
          </cell>
          <cell r="D92" t="str">
            <v>09-01-010</v>
          </cell>
          <cell r="E92" t="str">
            <v>REVOQUE MUROS. INCLUYE FAJAS, FILETES Y RANURAS</v>
          </cell>
          <cell r="F92" t="str">
            <v>M2</v>
          </cell>
          <cell r="J92">
            <v>34059438</v>
          </cell>
          <cell r="K92">
            <v>0</v>
          </cell>
          <cell r="L92">
            <v>0</v>
          </cell>
        </row>
        <row r="93">
          <cell r="B93">
            <v>0</v>
          </cell>
          <cell r="C93" t="str">
            <v>09</v>
          </cell>
          <cell r="D93" t="str">
            <v>09-02</v>
          </cell>
          <cell r="E93" t="str">
            <v>ENCHAPES</v>
          </cell>
          <cell r="J93">
            <v>0</v>
          </cell>
          <cell r="K93">
            <v>18489075</v>
          </cell>
          <cell r="L93">
            <v>0</v>
          </cell>
        </row>
        <row r="94">
          <cell r="B94" t="str">
            <v>09-02</v>
          </cell>
          <cell r="C94" t="str">
            <v>09</v>
          </cell>
          <cell r="D94" t="str">
            <v>09-02-010</v>
          </cell>
          <cell r="E94" t="str">
            <v>ENCHAPE DE MURO EN BAÑOS REF. AUSTRALIA 30x45 DE CORONA O EQUIVALENTE COLOR BLANCO.</v>
          </cell>
          <cell r="F94" t="str">
            <v>M2</v>
          </cell>
          <cell r="J94">
            <v>18489075</v>
          </cell>
          <cell r="K94">
            <v>0</v>
          </cell>
          <cell r="L94">
            <v>0</v>
          </cell>
        </row>
        <row r="95">
          <cell r="B95">
            <v>0</v>
          </cell>
          <cell r="C95" t="str">
            <v>09</v>
          </cell>
          <cell r="D95" t="str">
            <v>09-03</v>
          </cell>
          <cell r="E95" t="str">
            <v>ESTUCOS Y PINTURAS</v>
          </cell>
          <cell r="J95">
            <v>0</v>
          </cell>
          <cell r="K95">
            <v>59082378</v>
          </cell>
          <cell r="L95">
            <v>0</v>
          </cell>
        </row>
        <row r="96">
          <cell r="B96" t="str">
            <v>09-03</v>
          </cell>
          <cell r="C96" t="str">
            <v>09</v>
          </cell>
          <cell r="D96" t="str">
            <v>09-03-010</v>
          </cell>
          <cell r="E96" t="str">
            <v>PINTURA DE MUROS REF. ACRILTEX DE PINTUCO O EQUIVALENTE - 3 MANOS</v>
          </cell>
          <cell r="F96" t="str">
            <v>M2</v>
          </cell>
          <cell r="J96">
            <v>23439156</v>
          </cell>
          <cell r="K96">
            <v>0</v>
          </cell>
          <cell r="L96">
            <v>0</v>
          </cell>
        </row>
        <row r="97">
          <cell r="B97" t="str">
            <v>09-03</v>
          </cell>
          <cell r="C97" t="str">
            <v>09</v>
          </cell>
          <cell r="D97" t="str">
            <v>09-03-030</v>
          </cell>
          <cell r="E97" t="str">
            <v>PINTURA DE CIELOS REF. ACRILTEX DE PINTUCO O EQUIVALENTE - 2 MANOS</v>
          </cell>
          <cell r="F97" t="str">
            <v>M2</v>
          </cell>
          <cell r="J97">
            <v>8187816</v>
          </cell>
          <cell r="K97">
            <v>0</v>
          </cell>
          <cell r="L97">
            <v>0</v>
          </cell>
        </row>
        <row r="98">
          <cell r="B98" t="str">
            <v>09-03</v>
          </cell>
          <cell r="C98" t="str">
            <v>09</v>
          </cell>
          <cell r="D98" t="str">
            <v>09-03-100</v>
          </cell>
          <cell r="E98" t="str">
            <v>ESTUCO PLASTICO TIPO ESTUCOR DE CORONA O EQUIVALENTE</v>
          </cell>
          <cell r="F98" t="str">
            <v>M2</v>
          </cell>
          <cell r="J98">
            <v>19535406</v>
          </cell>
          <cell r="K98">
            <v>0</v>
          </cell>
          <cell r="L98">
            <v>0</v>
          </cell>
        </row>
        <row r="99">
          <cell r="B99" t="str">
            <v>09-03</v>
          </cell>
          <cell r="C99" t="str">
            <v>09</v>
          </cell>
          <cell r="D99" t="str">
            <v>09-03-110</v>
          </cell>
          <cell r="E99" t="str">
            <v>MOLDURAS Y CENEFAS</v>
          </cell>
          <cell r="F99" t="str">
            <v>M</v>
          </cell>
          <cell r="J99">
            <v>7920000</v>
          </cell>
          <cell r="K99">
            <v>0</v>
          </cell>
          <cell r="L99">
            <v>0</v>
          </cell>
        </row>
        <row r="100">
          <cell r="B100">
            <v>0</v>
          </cell>
          <cell r="C100" t="str">
            <v>10</v>
          </cell>
          <cell r="D100" t="str">
            <v>10</v>
          </cell>
          <cell r="E100" t="str">
            <v>PISOS Y ZOCALOS</v>
          </cell>
          <cell r="J100">
            <v>0</v>
          </cell>
          <cell r="K100">
            <v>0</v>
          </cell>
          <cell r="L100">
            <v>128795740</v>
          </cell>
        </row>
        <row r="101">
          <cell r="B101">
            <v>0</v>
          </cell>
          <cell r="C101" t="str">
            <v>10</v>
          </cell>
          <cell r="D101" t="str">
            <v>10-01</v>
          </cell>
          <cell r="E101" t="str">
            <v>ACABADOS DE PISO</v>
          </cell>
          <cell r="J101">
            <v>0</v>
          </cell>
          <cell r="K101">
            <v>122819578</v>
          </cell>
          <cell r="L101">
            <v>0</v>
          </cell>
        </row>
        <row r="102">
          <cell r="B102" t="str">
            <v>10-01</v>
          </cell>
          <cell r="C102" t="str">
            <v>10</v>
          </cell>
          <cell r="D102" t="str">
            <v>10-01-010</v>
          </cell>
          <cell r="E102" t="str">
            <v>BALDOSA DE CEMENTO 20x20 DECORADA TIPO 1. INCLUYE MORTERO DE PEGA, PULIDA Y BRILLADA</v>
          </cell>
          <cell r="F102" t="str">
            <v>M2</v>
          </cell>
          <cell r="J102">
            <v>4156380</v>
          </cell>
          <cell r="K102">
            <v>0</v>
          </cell>
          <cell r="L102">
            <v>0</v>
          </cell>
        </row>
        <row r="103">
          <cell r="B103" t="str">
            <v>10-01</v>
          </cell>
          <cell r="C103" t="str">
            <v>10</v>
          </cell>
          <cell r="D103" t="str">
            <v>10-01-020</v>
          </cell>
          <cell r="E103" t="str">
            <v>BALDOSA DE CEMENTO 20x20 DECORADA TIPO 2. INCLUYE MORTERO DE PEGA, PULIDA Y BRILLADA</v>
          </cell>
          <cell r="F103" t="str">
            <v>M2</v>
          </cell>
          <cell r="J103">
            <v>1372959</v>
          </cell>
          <cell r="K103">
            <v>0</v>
          </cell>
          <cell r="L103">
            <v>0</v>
          </cell>
        </row>
        <row r="104">
          <cell r="B104" t="str">
            <v>10-01</v>
          </cell>
          <cell r="C104" t="str">
            <v>10</v>
          </cell>
          <cell r="D104" t="str">
            <v>10-01-030</v>
          </cell>
          <cell r="E104" t="str">
            <v>BALDOSA DE CEMENTO 20x20 DECORADA TIPO 3. INCLUYE MORTERO DE PEGA, PULIDA Y BRILLADA</v>
          </cell>
          <cell r="F104" t="str">
            <v>M2</v>
          </cell>
          <cell r="J104">
            <v>1316187</v>
          </cell>
          <cell r="K104">
            <v>0</v>
          </cell>
          <cell r="L104">
            <v>0</v>
          </cell>
        </row>
        <row r="105">
          <cell r="B105" t="str">
            <v>10-01</v>
          </cell>
          <cell r="C105" t="str">
            <v>10</v>
          </cell>
          <cell r="D105" t="str">
            <v>10-01-040</v>
          </cell>
          <cell r="E105" t="str">
            <v>BALDOSA DE CEMENTO 20x20 DECORADA TIPO 4. INCLUYE MORTERO DE PEGA, PULIDA Y BRILLADA</v>
          </cell>
          <cell r="F105" t="str">
            <v>M2</v>
          </cell>
          <cell r="J105">
            <v>19950624</v>
          </cell>
          <cell r="K105">
            <v>0</v>
          </cell>
          <cell r="L105">
            <v>0</v>
          </cell>
        </row>
        <row r="106">
          <cell r="B106" t="str">
            <v>10-01</v>
          </cell>
          <cell r="C106" t="str">
            <v>10</v>
          </cell>
          <cell r="D106" t="str">
            <v>10-01-050</v>
          </cell>
          <cell r="E106" t="str">
            <v>BALDOSA DE CEMENTO 20x20 DECORADA TIPO 5. INCLUYE MORTERO DE PEGA, PULIDA Y BRILLADA</v>
          </cell>
          <cell r="F106" t="str">
            <v>M2</v>
          </cell>
          <cell r="J106">
            <v>4710564</v>
          </cell>
          <cell r="K106">
            <v>0</v>
          </cell>
          <cell r="L106">
            <v>0</v>
          </cell>
        </row>
        <row r="107">
          <cell r="B107" t="str">
            <v>10-01</v>
          </cell>
          <cell r="C107" t="str">
            <v>10</v>
          </cell>
          <cell r="D107" t="str">
            <v>10-01-060</v>
          </cell>
          <cell r="E107" t="str">
            <v>BALDOSA DE CEMENTO 20x20 DECORADA TIPO 6. INCLUYE MORTERO DE PEGA, PULIDA Y BRILLADA</v>
          </cell>
          <cell r="F107" t="str">
            <v>M2</v>
          </cell>
          <cell r="J107">
            <v>3179484</v>
          </cell>
          <cell r="K107">
            <v>0</v>
          </cell>
          <cell r="L107">
            <v>0</v>
          </cell>
        </row>
        <row r="108">
          <cell r="B108" t="str">
            <v>10-01</v>
          </cell>
          <cell r="C108" t="str">
            <v>10</v>
          </cell>
          <cell r="D108" t="str">
            <v>10-01-070</v>
          </cell>
          <cell r="E108" t="str">
            <v>CERAMICA TIPO DUROPISO DE CORONA O EQUIVALENTE COLOR NEGRO</v>
          </cell>
          <cell r="F108" t="str">
            <v>M2</v>
          </cell>
          <cell r="J108">
            <v>6203500</v>
          </cell>
          <cell r="K108">
            <v>0</v>
          </cell>
          <cell r="L108">
            <v>0</v>
          </cell>
        </row>
        <row r="109">
          <cell r="B109" t="str">
            <v>10-01</v>
          </cell>
          <cell r="C109" t="str">
            <v>10</v>
          </cell>
          <cell r="D109" t="str">
            <v>10-01-080</v>
          </cell>
          <cell r="E109" t="str">
            <v>PISO EN MADERA PARA OFICINAS. ESTRUCTURA DE ALFARDAS Y TABLILLA DE PISO. INCLUYE ACABADO</v>
          </cell>
          <cell r="F109" t="str">
            <v>M2</v>
          </cell>
          <cell r="J109">
            <v>45635238</v>
          </cell>
          <cell r="K109">
            <v>0</v>
          </cell>
          <cell r="L109">
            <v>0</v>
          </cell>
        </row>
        <row r="110">
          <cell r="B110" t="str">
            <v>10-01</v>
          </cell>
          <cell r="C110" t="str">
            <v>10</v>
          </cell>
          <cell r="D110" t="str">
            <v>10-01-090</v>
          </cell>
          <cell r="E110" t="str">
            <v>PISO EN CONCRETO F'C 21 MPA E: 0.05 M. PULIDO ENDURECIDO CON SIKAFLOOR 3 QUARTZTOP DE SIKA O EQUIVALENTE</v>
          </cell>
          <cell r="F110" t="str">
            <v>M2</v>
          </cell>
          <cell r="J110">
            <v>17334642</v>
          </cell>
          <cell r="K110">
            <v>0</v>
          </cell>
          <cell r="L110">
            <v>0</v>
          </cell>
        </row>
        <row r="111">
          <cell r="B111" t="str">
            <v>10-01</v>
          </cell>
          <cell r="C111" t="str">
            <v>10</v>
          </cell>
          <cell r="D111" t="str">
            <v>10-01-100</v>
          </cell>
          <cell r="E111" t="str">
            <v>PISO EN MADERA LAMINADA PARA ESCALAS</v>
          </cell>
          <cell r="F111" t="str">
            <v>M2</v>
          </cell>
          <cell r="J111">
            <v>3360000</v>
          </cell>
          <cell r="K111">
            <v>0</v>
          </cell>
          <cell r="L111">
            <v>0</v>
          </cell>
        </row>
        <row r="112">
          <cell r="B112" t="str">
            <v>10-01</v>
          </cell>
          <cell r="C112" t="str">
            <v>10</v>
          </cell>
          <cell r="D112" t="str">
            <v>10-01-200</v>
          </cell>
          <cell r="E112" t="str">
            <v>PISO INDUSTRIAL TIPO COLREJILLAS O EQUIVALENTE EN CORREDORES TECNICOS</v>
          </cell>
          <cell r="F112" t="str">
            <v>M2</v>
          </cell>
          <cell r="J112">
            <v>15600000</v>
          </cell>
          <cell r="K112">
            <v>0</v>
          </cell>
          <cell r="L112">
            <v>0</v>
          </cell>
        </row>
        <row r="113">
          <cell r="B113">
            <v>0</v>
          </cell>
          <cell r="C113" t="str">
            <v>10</v>
          </cell>
          <cell r="D113" t="str">
            <v>10-02</v>
          </cell>
          <cell r="E113" t="str">
            <v>ZOCALOS Y ENCHARQUES</v>
          </cell>
          <cell r="J113">
            <v>0</v>
          </cell>
          <cell r="K113">
            <v>5976162</v>
          </cell>
          <cell r="L113">
            <v>0</v>
          </cell>
        </row>
        <row r="114">
          <cell r="B114" t="str">
            <v>10-02</v>
          </cell>
          <cell r="C114" t="str">
            <v>10</v>
          </cell>
          <cell r="D114" t="str">
            <v>10-02-020</v>
          </cell>
          <cell r="E114" t="str">
            <v>ZOCALO EN MEDIA CAÑA DE GRANO. INCLUYE MORTERO DE PEGA, VARILLAS DE DILATACION, PULIDA Y BRILLADA</v>
          </cell>
          <cell r="F114" t="str">
            <v>M</v>
          </cell>
          <cell r="J114">
            <v>5470194</v>
          </cell>
          <cell r="K114">
            <v>0</v>
          </cell>
          <cell r="L114">
            <v>0</v>
          </cell>
        </row>
        <row r="115">
          <cell r="B115" t="str">
            <v>10-02</v>
          </cell>
          <cell r="C115" t="str">
            <v>10</v>
          </cell>
          <cell r="D115" t="str">
            <v>10-02-030</v>
          </cell>
          <cell r="E115" t="str">
            <v>ENCHARQUE DE DUCHAS EN CONCRETO F'C 21 MPA - A: 0.05 M. - H: 0.07 M. FORRADO EN GRANO GRIS #1 - FONDO GRIS</v>
          </cell>
          <cell r="F115" t="str">
            <v>M</v>
          </cell>
          <cell r="J115">
            <v>107460</v>
          </cell>
          <cell r="K115">
            <v>0</v>
          </cell>
          <cell r="L115">
            <v>0</v>
          </cell>
        </row>
        <row r="116">
          <cell r="B116" t="str">
            <v>10-02</v>
          </cell>
          <cell r="C116" t="str">
            <v>10</v>
          </cell>
          <cell r="D116" t="str">
            <v>10-02-100</v>
          </cell>
          <cell r="E116" t="str">
            <v>FRANJA DE PISO EN MADERA DE PINO A: 0.30 M. PARA BORDE ESCENARIO. INCLUYE TRATAMIENTO DE ACABADO.</v>
          </cell>
          <cell r="F116" t="str">
            <v>M</v>
          </cell>
          <cell r="J116">
            <v>398508</v>
          </cell>
          <cell r="K116">
            <v>0</v>
          </cell>
          <cell r="L116">
            <v>0</v>
          </cell>
        </row>
        <row r="117">
          <cell r="B117">
            <v>0</v>
          </cell>
          <cell r="C117" t="str">
            <v>11</v>
          </cell>
          <cell r="D117" t="str">
            <v>11</v>
          </cell>
          <cell r="E117" t="str">
            <v>CARPINTERIA METALICA (Todas las puertas y vidrieras incluyen cerraduras y haladeras según los detalles arquitectonicos)</v>
          </cell>
          <cell r="J117">
            <v>0</v>
          </cell>
          <cell r="K117">
            <v>0</v>
          </cell>
          <cell r="L117">
            <v>116763985</v>
          </cell>
        </row>
        <row r="118">
          <cell r="B118">
            <v>0</v>
          </cell>
          <cell r="C118" t="str">
            <v>11</v>
          </cell>
          <cell r="D118" t="str">
            <v>11-01</v>
          </cell>
          <cell r="E118" t="str">
            <v>VENTANERIA METALICA</v>
          </cell>
          <cell r="J118">
            <v>0</v>
          </cell>
          <cell r="K118">
            <v>4985906</v>
          </cell>
          <cell r="L118">
            <v>0</v>
          </cell>
        </row>
        <row r="119">
          <cell r="B119" t="str">
            <v>11-01</v>
          </cell>
          <cell r="C119" t="str">
            <v>11</v>
          </cell>
          <cell r="D119" t="str">
            <v>11-01-010</v>
          </cell>
          <cell r="E119" t="str">
            <v>VENTANA V25 (0.72x0.48 Y 0.64x0.41). CONJUNTO DE VENTANAS PARA CUARTO DE PROYECCION DE TIPO REGISTRABLE, AISLAMIENTO ACUSTICO, CRISTAL OPTICO RECTIFICADO TIPO PYREX O EQUIVALENTE Y TORNILLOS DE FIJACION PARA REGISTRO</v>
          </cell>
          <cell r="F119" t="str">
            <v>UN</v>
          </cell>
          <cell r="J119">
            <v>1222867</v>
          </cell>
          <cell r="K119">
            <v>0</v>
          </cell>
          <cell r="L119">
            <v>0</v>
          </cell>
        </row>
        <row r="120">
          <cell r="B120" t="str">
            <v>11-01</v>
          </cell>
          <cell r="C120" t="str">
            <v>11</v>
          </cell>
          <cell r="D120" t="str">
            <v>11-01-100</v>
          </cell>
          <cell r="E120" t="str">
            <v>REJA PARA TAQUILLA (0.70 M. x 0.90 M.) EN HIERRO FORJADO SEGÚN DETALLE.</v>
          </cell>
          <cell r="F120" t="str">
            <v>UN</v>
          </cell>
          <cell r="J120">
            <v>3763039</v>
          </cell>
          <cell r="K120">
            <v>0</v>
          </cell>
          <cell r="L120">
            <v>0</v>
          </cell>
        </row>
        <row r="121">
          <cell r="B121">
            <v>0</v>
          </cell>
          <cell r="C121" t="str">
            <v>11</v>
          </cell>
          <cell r="D121" t="str">
            <v>11-03</v>
          </cell>
          <cell r="E121" t="str">
            <v>PUERTAS METALICAS</v>
          </cell>
          <cell r="J121">
            <v>0</v>
          </cell>
          <cell r="K121">
            <v>6830079</v>
          </cell>
          <cell r="L121">
            <v>0</v>
          </cell>
        </row>
        <row r="122">
          <cell r="B122" t="str">
            <v>11-03</v>
          </cell>
          <cell r="C122" t="str">
            <v>11</v>
          </cell>
          <cell r="D122" t="str">
            <v>11-03-150</v>
          </cell>
          <cell r="E122" t="str">
            <v>PUERTA P15 (2.00x2.10). MARCO + ALAS METALICAS C16. INCLUYE PINTURA GRIS ELECTROSTATICA, DOS BARRAS ANTIPANICO Y DOS BRAZOS HIDRAULICOS TRABAJO SUPERPESADO</v>
          </cell>
          <cell r="F122" t="str">
            <v>UN</v>
          </cell>
          <cell r="J122">
            <v>3426881</v>
          </cell>
          <cell r="K122">
            <v>0</v>
          </cell>
          <cell r="L122">
            <v>0</v>
          </cell>
        </row>
        <row r="123">
          <cell r="B123" t="str">
            <v>11-03</v>
          </cell>
          <cell r="C123" t="str">
            <v>11</v>
          </cell>
          <cell r="D123" t="str">
            <v>11-03-160</v>
          </cell>
          <cell r="E123" t="str">
            <v>PUERTA P16 (1.20x2.10). MARCO + ALA METALICA C16. INCLUYE PINTURA GRIS ELECTROSTATICA, UNA BARRA ANTIPANICO Y UN BRAZO HIDRAULICO TRABAJO SUPERPESADO.</v>
          </cell>
          <cell r="F123" t="str">
            <v>UN</v>
          </cell>
          <cell r="J123">
            <v>3403198</v>
          </cell>
          <cell r="K123">
            <v>0</v>
          </cell>
          <cell r="L123">
            <v>0</v>
          </cell>
        </row>
        <row r="124">
          <cell r="B124">
            <v>0</v>
          </cell>
          <cell r="C124" t="str">
            <v>11</v>
          </cell>
          <cell r="D124" t="str">
            <v>11-05</v>
          </cell>
          <cell r="E124" t="str">
            <v>PASAMANOS</v>
          </cell>
          <cell r="J124">
            <v>0</v>
          </cell>
          <cell r="K124">
            <v>67398000</v>
          </cell>
          <cell r="L124">
            <v>0</v>
          </cell>
        </row>
        <row r="125">
          <cell r="B125" t="str">
            <v>11-05</v>
          </cell>
          <cell r="C125" t="str">
            <v>11</v>
          </cell>
          <cell r="D125" t="str">
            <v>11-05-030</v>
          </cell>
          <cell r="E125" t="str">
            <v>PASAMANOS EN SOPORTES Y TUBULAR Ø 2" DE ACERO INOXIDABLE Y VIDRIO LAMINADO 8 MM. INCLUYE ANCLAJES A LOSA.</v>
          </cell>
          <cell r="F125" t="str">
            <v>M</v>
          </cell>
          <cell r="J125">
            <v>57768000</v>
          </cell>
          <cell r="K125">
            <v>0</v>
          </cell>
          <cell r="L125">
            <v>0</v>
          </cell>
        </row>
        <row r="126">
          <cell r="B126" t="str">
            <v>11-05</v>
          </cell>
          <cell r="C126" t="str">
            <v>11</v>
          </cell>
          <cell r="D126" t="str">
            <v>11-05-040</v>
          </cell>
          <cell r="E126" t="str">
            <v>PASAMANOS EN SOPORTES Y TUBULAR SUPERIOR Ø 2" DE ACERO INOXIDABLE. INCLUYE ANCLAJES A ESTRUCTURA</v>
          </cell>
          <cell r="F126" t="str">
            <v>M</v>
          </cell>
          <cell r="J126">
            <v>6955000</v>
          </cell>
          <cell r="K126">
            <v>0</v>
          </cell>
          <cell r="L126">
            <v>0</v>
          </cell>
        </row>
        <row r="127">
          <cell r="B127" t="str">
            <v>11-05</v>
          </cell>
          <cell r="C127" t="str">
            <v>11</v>
          </cell>
          <cell r="D127" t="str">
            <v>11-05-050</v>
          </cell>
          <cell r="E127" t="str">
            <v>PASAMANOS PARA DISCAPACITADOS. DOBLE TUBULAR Ø 2" EN ACERO INOXIDABLE ANCLADO A MUROS</v>
          </cell>
          <cell r="F127" t="str">
            <v>M</v>
          </cell>
          <cell r="J127">
            <v>2675000</v>
          </cell>
          <cell r="K127">
            <v>0</v>
          </cell>
          <cell r="L127">
            <v>0</v>
          </cell>
        </row>
        <row r="128">
          <cell r="B128">
            <v>0</v>
          </cell>
          <cell r="C128" t="str">
            <v>11</v>
          </cell>
          <cell r="D128" t="str">
            <v>11-06</v>
          </cell>
          <cell r="E128" t="str">
            <v>OTROS</v>
          </cell>
          <cell r="J128">
            <v>0</v>
          </cell>
          <cell r="K128">
            <v>37550000</v>
          </cell>
          <cell r="L128">
            <v>0</v>
          </cell>
        </row>
        <row r="129">
          <cell r="B129" t="str">
            <v>11-06</v>
          </cell>
          <cell r="C129" t="str">
            <v>11</v>
          </cell>
          <cell r="D129" t="str">
            <v>11-06-010</v>
          </cell>
          <cell r="E129" t="str">
            <v>ESCALERA ESCAMOTEABLE</v>
          </cell>
          <cell r="F129" t="str">
            <v>UN</v>
          </cell>
          <cell r="J129">
            <v>4000000</v>
          </cell>
          <cell r="K129">
            <v>0</v>
          </cell>
          <cell r="L129">
            <v>0</v>
          </cell>
        </row>
        <row r="130">
          <cell r="B130" t="str">
            <v>11-06</v>
          </cell>
          <cell r="C130" t="str">
            <v>11</v>
          </cell>
          <cell r="D130" t="str">
            <v>11-06-020</v>
          </cell>
          <cell r="E130" t="str">
            <v>GRADERIAS Y TARIMAS EN ESTRUCTURA METALICA + ACABADO EN MADERA PINO</v>
          </cell>
          <cell r="F130" t="str">
            <v>M2</v>
          </cell>
          <cell r="J130">
            <v>33550000</v>
          </cell>
          <cell r="K130">
            <v>0</v>
          </cell>
          <cell r="L130">
            <v>0</v>
          </cell>
        </row>
        <row r="131">
          <cell r="B131">
            <v>0</v>
          </cell>
          <cell r="C131" t="str">
            <v>12</v>
          </cell>
          <cell r="D131" t="str">
            <v>12</v>
          </cell>
          <cell r="E131" t="str">
            <v>CARPINTERIA DE MADERA (Todas las puertas y vidrieras incluyen cerraduras y haladeras según los detalles arquitectonicos)</v>
          </cell>
          <cell r="J131">
            <v>0</v>
          </cell>
          <cell r="K131">
            <v>0</v>
          </cell>
          <cell r="L131">
            <v>282240842</v>
          </cell>
        </row>
        <row r="132">
          <cell r="B132">
            <v>0</v>
          </cell>
          <cell r="C132" t="str">
            <v>12</v>
          </cell>
          <cell r="D132" t="str">
            <v>12-01</v>
          </cell>
          <cell r="E132" t="str">
            <v>VENTANAS EN MADERA</v>
          </cell>
          <cell r="J132">
            <v>0</v>
          </cell>
          <cell r="K132">
            <v>119233752</v>
          </cell>
          <cell r="L132">
            <v>0</v>
          </cell>
        </row>
        <row r="133">
          <cell r="B133" t="str">
            <v>12-01</v>
          </cell>
          <cell r="C133" t="str">
            <v>12</v>
          </cell>
          <cell r="D133" t="str">
            <v>12-01-010</v>
          </cell>
          <cell r="E133" t="str">
            <v>VENTANA V1 (1.36x2.78). MARCO + ALAS EN MADERA. DOS ALAS BATIENTES. INCLUYE PASAMANOS EN MADERA Y ACABADO FINAL</v>
          </cell>
          <cell r="F133" t="str">
            <v>UN</v>
          </cell>
          <cell r="J133">
            <v>6106693</v>
          </cell>
          <cell r="K133">
            <v>0</v>
          </cell>
          <cell r="L133">
            <v>0</v>
          </cell>
        </row>
        <row r="134">
          <cell r="B134" t="str">
            <v>12-01</v>
          </cell>
          <cell r="C134" t="str">
            <v>12</v>
          </cell>
          <cell r="D134" t="str">
            <v>12-01-020</v>
          </cell>
          <cell r="E134" t="str">
            <v>VENTANA V2 (1.31x2.78). MARCO + ALAS EN MADERA. DOS ALAS BATIENTES. INCLUYE PASAMANOS EN MADERA Y ACABADO FINAL</v>
          </cell>
          <cell r="F134" t="str">
            <v>UN</v>
          </cell>
          <cell r="J134">
            <v>5969313</v>
          </cell>
          <cell r="K134">
            <v>0</v>
          </cell>
          <cell r="L134">
            <v>0</v>
          </cell>
        </row>
        <row r="135">
          <cell r="B135" t="str">
            <v>12-01</v>
          </cell>
          <cell r="C135" t="str">
            <v>12</v>
          </cell>
          <cell r="D135" t="str">
            <v>12-01-030</v>
          </cell>
          <cell r="E135" t="str">
            <v>VENTANA V3 (1.36x2.78). MARCO + ALAS EN MADERA. DOS ALAS BATIENTES. INCLUYE PASAMANOS EN MADERA Y ACABADO FINAL</v>
          </cell>
          <cell r="F135" t="str">
            <v>UN</v>
          </cell>
          <cell r="J135">
            <v>6162926</v>
          </cell>
          <cell r="K135">
            <v>0</v>
          </cell>
          <cell r="L135">
            <v>0</v>
          </cell>
        </row>
        <row r="136">
          <cell r="B136" t="str">
            <v>12-01</v>
          </cell>
          <cell r="C136" t="str">
            <v>12</v>
          </cell>
          <cell r="D136" t="str">
            <v>12-01-040</v>
          </cell>
          <cell r="E136" t="str">
            <v>VENTANA V4 (1.36x2.78). MARCO + ALAS EN MADERA. DOS ALAS BATIENTES. INCLUYE PASAMANOS EN MADERA Y ACABADO FINAL</v>
          </cell>
          <cell r="F136" t="str">
            <v>UN</v>
          </cell>
          <cell r="J136">
            <v>6162926</v>
          </cell>
          <cell r="K136">
            <v>0</v>
          </cell>
          <cell r="L136">
            <v>0</v>
          </cell>
        </row>
        <row r="137">
          <cell r="B137" t="str">
            <v>12-01</v>
          </cell>
          <cell r="C137" t="str">
            <v>12</v>
          </cell>
          <cell r="D137" t="str">
            <v>12-01-050</v>
          </cell>
          <cell r="E137" t="str">
            <v>VENTANA V5 (1.42x2.78). MARCO + ALAS EN MADERA. DOS ALAS BATIENTES. INCLUYE PASAMANOS EN MADERA Y ACABADO FINAL</v>
          </cell>
          <cell r="F137" t="str">
            <v>UN</v>
          </cell>
          <cell r="J137">
            <v>6425252</v>
          </cell>
          <cell r="K137">
            <v>0</v>
          </cell>
          <cell r="L137">
            <v>0</v>
          </cell>
        </row>
        <row r="138">
          <cell r="B138" t="str">
            <v>12-01</v>
          </cell>
          <cell r="C138" t="str">
            <v>12</v>
          </cell>
          <cell r="D138" t="str">
            <v>12-01-060</v>
          </cell>
          <cell r="E138" t="str">
            <v>VENTANA V6 (1.43x2.78). MARCO + ALAS EN MADERA. DOS ALAS BATIENTES. INCLUYE PASAMANOS EN MADERA Y ACABADO FINAL</v>
          </cell>
          <cell r="F138" t="str">
            <v>UN</v>
          </cell>
          <cell r="J138">
            <v>6437732</v>
          </cell>
          <cell r="K138">
            <v>0</v>
          </cell>
          <cell r="L138">
            <v>0</v>
          </cell>
        </row>
        <row r="139">
          <cell r="B139" t="str">
            <v>12-01</v>
          </cell>
          <cell r="C139" t="str">
            <v>12</v>
          </cell>
          <cell r="D139" t="str">
            <v>12-01-070</v>
          </cell>
          <cell r="E139" t="str">
            <v>VENTANA V7 (1.43x2.78). MARCO + ALAS EN MADERA. DOS ALAS BATIENTES. INCLUYE PASAMANOS EN MADERA Y ACABADO FINAL</v>
          </cell>
          <cell r="F139" t="str">
            <v>UN</v>
          </cell>
          <cell r="J139">
            <v>6437732</v>
          </cell>
          <cell r="K139">
            <v>0</v>
          </cell>
          <cell r="L139">
            <v>0</v>
          </cell>
        </row>
        <row r="140">
          <cell r="B140" t="str">
            <v>12-01</v>
          </cell>
          <cell r="C140" t="str">
            <v>12</v>
          </cell>
          <cell r="D140" t="str">
            <v>12-01-080</v>
          </cell>
          <cell r="E140" t="str">
            <v>VENTANA V8 (1.43x2.78). MARCO + ALAS EN MADERA. DOS ALAS BATIENTES. INCLUYE PASAMANOS EN MADERA Y ACABADO FINAL</v>
          </cell>
          <cell r="F140" t="str">
            <v>UN</v>
          </cell>
          <cell r="J140">
            <v>6437732</v>
          </cell>
          <cell r="K140">
            <v>0</v>
          </cell>
          <cell r="L140">
            <v>0</v>
          </cell>
        </row>
        <row r="141">
          <cell r="B141" t="str">
            <v>12-01</v>
          </cell>
          <cell r="C141" t="str">
            <v>12</v>
          </cell>
          <cell r="D141" t="str">
            <v>12-01-090</v>
          </cell>
          <cell r="E141" t="str">
            <v>VENTANA V9 (1.43x2.78). MARCO + ALAS EN MADERA. DOS ALAS BATIENTES. INCLUYE PASAMANOS EN MADERA Y ACABADO FINAL</v>
          </cell>
          <cell r="F141" t="str">
            <v>UN</v>
          </cell>
          <cell r="J141">
            <v>6437732</v>
          </cell>
          <cell r="K141">
            <v>0</v>
          </cell>
          <cell r="L141">
            <v>0</v>
          </cell>
        </row>
        <row r="142">
          <cell r="B142" t="str">
            <v>12-01</v>
          </cell>
          <cell r="C142" t="str">
            <v>12</v>
          </cell>
          <cell r="D142" t="str">
            <v>12-01-100</v>
          </cell>
          <cell r="E142" t="str">
            <v>VENTANA V10 (1.39x2.78). MARCO + ALAS EN MADERA. DOS ALAS BATIENTES. INCLUYE PASAMANOS EN MADERA Y ACABADO FINAL</v>
          </cell>
          <cell r="F142" t="str">
            <v>UN</v>
          </cell>
          <cell r="J142">
            <v>6294089</v>
          </cell>
          <cell r="K142">
            <v>0</v>
          </cell>
          <cell r="L142">
            <v>0</v>
          </cell>
        </row>
        <row r="143">
          <cell r="B143" t="str">
            <v>12-01</v>
          </cell>
          <cell r="C143" t="str">
            <v>12</v>
          </cell>
          <cell r="D143" t="str">
            <v>12-01-110</v>
          </cell>
          <cell r="E143" t="str">
            <v>VENTANA V11 (1.44x2.78). MARCO + ALAS EN MADERA. DOS ALAS BATIENTES. INCLUYE PASAMANOS EN MADERA Y ACABADO FINAL</v>
          </cell>
          <cell r="F143" t="str">
            <v>UN</v>
          </cell>
          <cell r="J143">
            <v>6506445</v>
          </cell>
          <cell r="K143">
            <v>0</v>
          </cell>
          <cell r="L143">
            <v>0</v>
          </cell>
        </row>
        <row r="144">
          <cell r="B144" t="str">
            <v>12-01</v>
          </cell>
          <cell r="C144" t="str">
            <v>12</v>
          </cell>
          <cell r="D144" t="str">
            <v>12-01-115</v>
          </cell>
          <cell r="E144" t="str">
            <v>VENTANA V11A (1.44x2.78). MARCO + ALAS EN MADERA. DOS ALAS BATIENTES. INCLUYE PASAMANOS EN MADERA Y ACABADO FINAL</v>
          </cell>
          <cell r="F144" t="str">
            <v>UN</v>
          </cell>
          <cell r="J144">
            <v>6506445</v>
          </cell>
          <cell r="K144">
            <v>0</v>
          </cell>
          <cell r="L144">
            <v>0</v>
          </cell>
        </row>
        <row r="145">
          <cell r="B145" t="str">
            <v>12-01</v>
          </cell>
          <cell r="C145" t="str">
            <v>12</v>
          </cell>
          <cell r="D145" t="str">
            <v>12-01-120</v>
          </cell>
          <cell r="E145" t="str">
            <v>VENTANA V12 (1.43x2.78). MARCO + ALAS EN MADERA. DOS ALAS BATIENTES. INCLUYE PASAMANOS EN MADERA Y ACABADO FINAL</v>
          </cell>
          <cell r="F145" t="str">
            <v>UN</v>
          </cell>
          <cell r="J145">
            <v>6437732</v>
          </cell>
          <cell r="K145">
            <v>0</v>
          </cell>
          <cell r="L145">
            <v>0</v>
          </cell>
        </row>
        <row r="146">
          <cell r="B146" t="str">
            <v>12-01</v>
          </cell>
          <cell r="C146" t="str">
            <v>12</v>
          </cell>
          <cell r="D146" t="str">
            <v>12-01-130</v>
          </cell>
          <cell r="E146" t="str">
            <v>VENTANA V13 (1.43x2.78). MARCO + ALAS EN MADERA. DOS ALAS BATIENTES. INCLUYE PASAMANOS EN MADERA Y ACABADO FINAL</v>
          </cell>
          <cell r="F146" t="str">
            <v>UN</v>
          </cell>
          <cell r="J146">
            <v>6437732</v>
          </cell>
          <cell r="K146">
            <v>0</v>
          </cell>
          <cell r="L146">
            <v>0</v>
          </cell>
        </row>
        <row r="147">
          <cell r="B147" t="str">
            <v>12-01</v>
          </cell>
          <cell r="C147" t="str">
            <v>12</v>
          </cell>
          <cell r="D147" t="str">
            <v>12-01-140</v>
          </cell>
          <cell r="E147" t="str">
            <v>VENTANA V14 (1.42x2.78). MARCO + ALAS EN MADERA. DOS ALAS BATIENTES. INCLUYE PASAMANOS EN MADERA Y ACABADO FINAL</v>
          </cell>
          <cell r="F147" t="str">
            <v>UN</v>
          </cell>
          <cell r="J147">
            <v>6406508</v>
          </cell>
          <cell r="K147">
            <v>0</v>
          </cell>
          <cell r="L147">
            <v>0</v>
          </cell>
        </row>
        <row r="148">
          <cell r="B148" t="str">
            <v>12-01</v>
          </cell>
          <cell r="C148" t="str">
            <v>12</v>
          </cell>
          <cell r="D148" t="str">
            <v>12-01-150</v>
          </cell>
          <cell r="E148" t="str">
            <v>VENTANA V15 (1.30x1.35). MARCO + REJA + PANELES EN MADERA. INCLUYE ACABADO FINAL</v>
          </cell>
          <cell r="F148" t="str">
            <v>UN</v>
          </cell>
          <cell r="J148">
            <v>3038733</v>
          </cell>
          <cell r="K148">
            <v>0</v>
          </cell>
          <cell r="L148">
            <v>0</v>
          </cell>
        </row>
        <row r="149">
          <cell r="B149" t="str">
            <v>12-01</v>
          </cell>
          <cell r="C149" t="str">
            <v>12</v>
          </cell>
          <cell r="D149" t="str">
            <v>12-01-160</v>
          </cell>
          <cell r="E149" t="str">
            <v>VENTANA V16 (1.66x1.83). MARCO + PANELES BATIENTES EN MADERA. INCLUYE ACABADO FINAL</v>
          </cell>
          <cell r="F149" t="str">
            <v>UN</v>
          </cell>
          <cell r="J149">
            <v>2093587</v>
          </cell>
          <cell r="K149">
            <v>0</v>
          </cell>
          <cell r="L149">
            <v>0</v>
          </cell>
        </row>
        <row r="150">
          <cell r="B150" t="str">
            <v>12-01</v>
          </cell>
          <cell r="C150" t="str">
            <v>12</v>
          </cell>
          <cell r="D150" t="str">
            <v>12-01-170</v>
          </cell>
          <cell r="E150" t="str">
            <v>VENTANA V17 (0.60x0.50). MARCO + PERSIANA EN MADERA. INCLUYE ACABADO FINAL</v>
          </cell>
          <cell r="F150" t="str">
            <v>UN</v>
          </cell>
          <cell r="J150">
            <v>1072552</v>
          </cell>
          <cell r="K150">
            <v>0</v>
          </cell>
          <cell r="L150">
            <v>0</v>
          </cell>
        </row>
        <row r="151">
          <cell r="B151" t="str">
            <v>12-01</v>
          </cell>
          <cell r="C151" t="str">
            <v>12</v>
          </cell>
          <cell r="D151" t="str">
            <v>12-01-180</v>
          </cell>
          <cell r="E151" t="str">
            <v>VENTANA V18 (1.57x2.13). MARCO EN MADERA + VIDRIO TEMPLADO TRANSLUCIDO. INCLUYE ACABADO FINAL</v>
          </cell>
          <cell r="F151" t="str">
            <v>UN</v>
          </cell>
          <cell r="J151">
            <v>1383039</v>
          </cell>
          <cell r="K151">
            <v>0</v>
          </cell>
          <cell r="L151">
            <v>0</v>
          </cell>
        </row>
        <row r="152">
          <cell r="B152" t="str">
            <v>12-01</v>
          </cell>
          <cell r="C152" t="str">
            <v>12</v>
          </cell>
          <cell r="D152" t="str">
            <v>12-01-190</v>
          </cell>
          <cell r="E152" t="str">
            <v>VENTANA V19 (1.45x2.73). MARCO EN MADERA + VIDRIO TEMPLADO TRANSLUCIDO. INCLUYE ACABADO FINAL</v>
          </cell>
          <cell r="F152" t="str">
            <v>UN</v>
          </cell>
          <cell r="J152">
            <v>1702607</v>
          </cell>
          <cell r="K152">
            <v>0</v>
          </cell>
          <cell r="L152">
            <v>0</v>
          </cell>
        </row>
        <row r="153">
          <cell r="B153" t="str">
            <v>12-01</v>
          </cell>
          <cell r="C153" t="str">
            <v>12</v>
          </cell>
          <cell r="D153" t="str">
            <v>12-01-200</v>
          </cell>
          <cell r="E153" t="str">
            <v>VENTANA V20 (2.96x2.73). MARCO EN MADERA + VIDRIO TEMPLADO TRANSLUCIDO. INCLUYE ACABADO FINAL</v>
          </cell>
          <cell r="F153" t="str">
            <v>UN</v>
          </cell>
          <cell r="J153">
            <v>2812404</v>
          </cell>
          <cell r="K153">
            <v>0</v>
          </cell>
          <cell r="L153">
            <v>0</v>
          </cell>
        </row>
        <row r="154">
          <cell r="B154" t="str">
            <v>12-01</v>
          </cell>
          <cell r="C154" t="str">
            <v>12</v>
          </cell>
          <cell r="D154" t="str">
            <v>12-01-210</v>
          </cell>
          <cell r="E154" t="str">
            <v>VENTANA V21 (4.68x2.73). MARCO EN MADERA + VIDRIO TEMPLADO TRANSLUCIDO. INCLUYE ACABADO FINAL</v>
          </cell>
          <cell r="F154" t="str">
            <v>UN</v>
          </cell>
          <cell r="J154">
            <v>4439226</v>
          </cell>
          <cell r="K154">
            <v>0</v>
          </cell>
          <cell r="L154">
            <v>0</v>
          </cell>
        </row>
        <row r="155">
          <cell r="B155" t="str">
            <v>12-01</v>
          </cell>
          <cell r="C155" t="str">
            <v>12</v>
          </cell>
          <cell r="D155" t="str">
            <v>12-01-220</v>
          </cell>
          <cell r="E155" t="str">
            <v>VENTANA V22 (0.60x2.73). MARCO EN MADERA + VIDRIO TEMPLADO TRANSLUCIDO. INCLUYE ACABADO FINAL</v>
          </cell>
          <cell r="F155" t="str">
            <v>UN</v>
          </cell>
          <cell r="J155">
            <v>1406002</v>
          </cell>
          <cell r="K155">
            <v>0</v>
          </cell>
          <cell r="L155">
            <v>0</v>
          </cell>
        </row>
        <row r="156">
          <cell r="B156" t="str">
            <v>12-01</v>
          </cell>
          <cell r="C156" t="str">
            <v>12</v>
          </cell>
          <cell r="D156" t="str">
            <v>12-01-230</v>
          </cell>
          <cell r="E156" t="str">
            <v>VENTANA V23 (3.17x2.73). MARCO EN MADERA + VIDRIO TEMPLADO TRANSLUCIDO. INCLUYE ACABADO FINAL</v>
          </cell>
          <cell r="F156" t="str">
            <v>UN</v>
          </cell>
          <cell r="J156">
            <v>3024860</v>
          </cell>
          <cell r="K156">
            <v>0</v>
          </cell>
          <cell r="L156">
            <v>0</v>
          </cell>
        </row>
        <row r="157">
          <cell r="B157" t="str">
            <v>12-01</v>
          </cell>
          <cell r="C157" t="str">
            <v>12</v>
          </cell>
          <cell r="D157" t="str">
            <v>12-01-240</v>
          </cell>
          <cell r="E157" t="str">
            <v>VENTANA V24 (1.34x2.73). MARCO EN MADERA + VIDRIO TEMPLADO TRANSLUCIDO. INCLUYE ACABADO FINAL</v>
          </cell>
          <cell r="F157" t="str">
            <v>UN</v>
          </cell>
          <cell r="J157">
            <v>1317367</v>
          </cell>
          <cell r="K157">
            <v>0</v>
          </cell>
          <cell r="L157">
            <v>0</v>
          </cell>
        </row>
        <row r="158">
          <cell r="B158" t="str">
            <v>12-01</v>
          </cell>
          <cell r="C158" t="str">
            <v>12</v>
          </cell>
          <cell r="D158" t="str">
            <v>12-01-250</v>
          </cell>
          <cell r="E158" t="str">
            <v>VENTANA V26 (2.50x1.10). MARCO EN MADERA + VIDRIO TEMPLADO TRANSLUCIDO. INCLUYE ACABADO FINAL</v>
          </cell>
          <cell r="F158" t="str">
            <v>UN</v>
          </cell>
          <cell r="J158">
            <v>1368207</v>
          </cell>
          <cell r="K158">
            <v>0</v>
          </cell>
          <cell r="L158">
            <v>0</v>
          </cell>
        </row>
        <row r="159">
          <cell r="B159" t="str">
            <v>12-01</v>
          </cell>
          <cell r="C159" t="str">
            <v>12</v>
          </cell>
          <cell r="D159" t="str">
            <v>12-01-260</v>
          </cell>
          <cell r="E159" t="str">
            <v>VENTANA V27 (0.60x0.40). MARCO EN MADERA + VIDRIO TEMPLADO TRANSLUCIDO. INCLUYE ACABADO FINAL</v>
          </cell>
          <cell r="F159" t="str">
            <v>UN</v>
          </cell>
          <cell r="J159">
            <v>408179</v>
          </cell>
          <cell r="K159">
            <v>0</v>
          </cell>
          <cell r="L159">
            <v>0</v>
          </cell>
        </row>
        <row r="160">
          <cell r="B160">
            <v>0</v>
          </cell>
          <cell r="C160" t="str">
            <v>12</v>
          </cell>
          <cell r="D160" t="str">
            <v>12-02</v>
          </cell>
          <cell r="E160" t="str">
            <v>PUERTAS EN MADERA</v>
          </cell>
          <cell r="J160">
            <v>0</v>
          </cell>
          <cell r="K160">
            <v>158807090</v>
          </cell>
          <cell r="L160">
            <v>0</v>
          </cell>
        </row>
        <row r="161">
          <cell r="B161" t="str">
            <v>12-02</v>
          </cell>
          <cell r="C161" t="str">
            <v>12</v>
          </cell>
          <cell r="D161" t="str">
            <v>12-02-010</v>
          </cell>
          <cell r="E161" t="str">
            <v>PUERTA P01 (1.80x2.88). MARCO + ALA(S) EN MADERA. INCLUYE ACABADO FINAL</v>
          </cell>
          <cell r="F161" t="str">
            <v>UN</v>
          </cell>
          <cell r="J161">
            <v>7561133</v>
          </cell>
          <cell r="K161">
            <v>0</v>
          </cell>
          <cell r="L161">
            <v>0</v>
          </cell>
        </row>
        <row r="162">
          <cell r="B162" t="str">
            <v>12-02</v>
          </cell>
          <cell r="C162" t="str">
            <v>12</v>
          </cell>
          <cell r="D162" t="str">
            <v>12-02-020</v>
          </cell>
          <cell r="E162" t="str">
            <v>PUERTA P02 (1.77x3.12). MARCO + ALA(S) EN MADERA. INCLUYE ACABADO FINAL</v>
          </cell>
          <cell r="F162" t="str">
            <v>UN</v>
          </cell>
          <cell r="J162">
            <v>8086048</v>
          </cell>
          <cell r="K162">
            <v>0</v>
          </cell>
          <cell r="L162">
            <v>0</v>
          </cell>
        </row>
        <row r="163">
          <cell r="B163" t="str">
            <v>12-02</v>
          </cell>
          <cell r="C163" t="str">
            <v>12</v>
          </cell>
          <cell r="D163" t="str">
            <v>12-02-030</v>
          </cell>
          <cell r="E163" t="str">
            <v>PUERTA P03 (1.77x3.35). MARCO + ALA(S) EN MADERA. INCLUYE ACABADO FINAL</v>
          </cell>
          <cell r="F163" t="str">
            <v>UN</v>
          </cell>
          <cell r="J163">
            <v>9271929</v>
          </cell>
          <cell r="K163">
            <v>0</v>
          </cell>
          <cell r="L163">
            <v>0</v>
          </cell>
        </row>
        <row r="164">
          <cell r="B164" t="str">
            <v>12-02</v>
          </cell>
          <cell r="C164" t="str">
            <v>12</v>
          </cell>
          <cell r="D164" t="str">
            <v>12-02-040</v>
          </cell>
          <cell r="E164" t="str">
            <v>PUERTA P04 (1.55x2.71). MARCO + ALA(S) EN MADERA. INCLUYE ACABADO FINAL</v>
          </cell>
          <cell r="F164" t="str">
            <v>UN</v>
          </cell>
          <cell r="J164">
            <v>6207670</v>
          </cell>
          <cell r="K164">
            <v>0</v>
          </cell>
          <cell r="L164">
            <v>0</v>
          </cell>
        </row>
        <row r="165">
          <cell r="B165" t="str">
            <v>12-02</v>
          </cell>
          <cell r="C165" t="str">
            <v>12</v>
          </cell>
          <cell r="D165" t="str">
            <v>12-02-050</v>
          </cell>
          <cell r="E165" t="str">
            <v>PUERTA P05 (1.56x2.98). MARCO + ALA(S) EN MADERA. INCLUYE ACABADO FINAL</v>
          </cell>
          <cell r="F165" t="str">
            <v>UN</v>
          </cell>
          <cell r="J165">
            <v>6849466</v>
          </cell>
          <cell r="K165">
            <v>0</v>
          </cell>
          <cell r="L165">
            <v>0</v>
          </cell>
        </row>
        <row r="166">
          <cell r="B166" t="str">
            <v>12-02</v>
          </cell>
          <cell r="C166" t="str">
            <v>12</v>
          </cell>
          <cell r="D166" t="str">
            <v>12-02-060</v>
          </cell>
          <cell r="E166" t="str">
            <v>PUERTA P06 (1.55x3.13). MARCO + ALA(S) EN MADERA. INCLUYE ACABADO FINAL</v>
          </cell>
          <cell r="F166" t="str">
            <v>UN</v>
          </cell>
          <cell r="J166">
            <v>7145056</v>
          </cell>
          <cell r="K166">
            <v>0</v>
          </cell>
          <cell r="L166">
            <v>0</v>
          </cell>
        </row>
        <row r="167">
          <cell r="B167" t="str">
            <v>12-02</v>
          </cell>
          <cell r="C167" t="str">
            <v>12</v>
          </cell>
          <cell r="D167" t="str">
            <v>12-02-070</v>
          </cell>
          <cell r="E167" t="str">
            <v>PUERTA P07 (1.52x2.94). MARCO + ALA(S) EN MADERA. INCLUYE ACABADO FINAL</v>
          </cell>
          <cell r="F167" t="str">
            <v>UN</v>
          </cell>
          <cell r="J167">
            <v>6602745</v>
          </cell>
          <cell r="K167">
            <v>0</v>
          </cell>
          <cell r="L167">
            <v>0</v>
          </cell>
        </row>
        <row r="168">
          <cell r="B168" t="str">
            <v>12-02</v>
          </cell>
          <cell r="C168" t="str">
            <v>12</v>
          </cell>
          <cell r="D168" t="str">
            <v>12-02-090</v>
          </cell>
          <cell r="E168" t="str">
            <v>PUERTA P09 (1.58x2.94). MARCO + ALA(S) EN MADERA. INCLUYE ACABADO FINAL</v>
          </cell>
          <cell r="F168" t="str">
            <v>UN</v>
          </cell>
          <cell r="J168">
            <v>5685882</v>
          </cell>
          <cell r="K168">
            <v>0</v>
          </cell>
          <cell r="L168">
            <v>0</v>
          </cell>
        </row>
        <row r="169">
          <cell r="B169" t="str">
            <v>12-02</v>
          </cell>
          <cell r="C169" t="str">
            <v>12</v>
          </cell>
          <cell r="D169" t="str">
            <v>12-02-100</v>
          </cell>
          <cell r="E169" t="str">
            <v>PUERTA P10 (1.42x2.76). MARCO + ALA(S) EN MADERA. INCLUYE ACABADO FINAL</v>
          </cell>
          <cell r="F169" t="str">
            <v>UN</v>
          </cell>
          <cell r="J169">
            <v>5769879</v>
          </cell>
          <cell r="K169">
            <v>0</v>
          </cell>
          <cell r="L169">
            <v>0</v>
          </cell>
        </row>
        <row r="170">
          <cell r="B170" t="str">
            <v>12-02</v>
          </cell>
          <cell r="C170" t="str">
            <v>12</v>
          </cell>
          <cell r="D170" t="str">
            <v>12-02-110</v>
          </cell>
          <cell r="E170" t="str">
            <v>PUERTA P11 (1.42x2.60). MARCO + ALA(S) EN MADERA. INCLUYE ACABADO FINAL</v>
          </cell>
          <cell r="F170" t="str">
            <v>UN</v>
          </cell>
          <cell r="J170">
            <v>5458456</v>
          </cell>
          <cell r="K170">
            <v>0</v>
          </cell>
          <cell r="L170">
            <v>0</v>
          </cell>
        </row>
        <row r="171">
          <cell r="B171" t="str">
            <v>12-02</v>
          </cell>
          <cell r="C171" t="str">
            <v>12</v>
          </cell>
          <cell r="D171" t="str">
            <v>12-02-120</v>
          </cell>
          <cell r="E171" t="str">
            <v>PUERTA P12 (1.49x2.74). MARCO + ALA(S) EN MADERA. INCLUYE ACABADO FINAL</v>
          </cell>
          <cell r="F171" t="str">
            <v>UN</v>
          </cell>
          <cell r="J171">
            <v>6477845</v>
          </cell>
          <cell r="K171">
            <v>0</v>
          </cell>
          <cell r="L171">
            <v>0</v>
          </cell>
        </row>
        <row r="172">
          <cell r="B172" t="str">
            <v>12-02</v>
          </cell>
          <cell r="C172" t="str">
            <v>12</v>
          </cell>
          <cell r="D172" t="str">
            <v>12-02-130</v>
          </cell>
          <cell r="E172" t="str">
            <v>PUERTA P13 (1.42x2.60). MARCO + ALA(S) EN MADERA. INCLUYE ACABADO FINAL</v>
          </cell>
          <cell r="F172" t="str">
            <v>UN</v>
          </cell>
          <cell r="J172">
            <v>5772654</v>
          </cell>
          <cell r="K172">
            <v>0</v>
          </cell>
          <cell r="L172">
            <v>0</v>
          </cell>
        </row>
        <row r="173">
          <cell r="B173" t="str">
            <v>12-02</v>
          </cell>
          <cell r="C173" t="str">
            <v>12</v>
          </cell>
          <cell r="D173" t="str">
            <v>12-02-140</v>
          </cell>
          <cell r="E173" t="str">
            <v>PUERTA P14 (1.49x2.34). MARCO + ALA(S) EN MADERA. INCLUYE ACABADO FINAL</v>
          </cell>
          <cell r="F173" t="str">
            <v>UN</v>
          </cell>
          <cell r="J173">
            <v>5143403</v>
          </cell>
          <cell r="K173">
            <v>0</v>
          </cell>
          <cell r="L173">
            <v>0</v>
          </cell>
        </row>
        <row r="174">
          <cell r="B174" t="str">
            <v>12-02</v>
          </cell>
          <cell r="C174" t="str">
            <v>12</v>
          </cell>
          <cell r="D174" t="str">
            <v>12-02-170</v>
          </cell>
          <cell r="E174" t="str">
            <v>PUERTA P17 (0.90x2.10). MARCO + ALA(S) EN MADERA. INCLUYE ACABADO FINAL</v>
          </cell>
          <cell r="F174" t="str">
            <v>UN</v>
          </cell>
          <cell r="J174">
            <v>3244684</v>
          </cell>
          <cell r="K174">
            <v>0</v>
          </cell>
          <cell r="L174">
            <v>0</v>
          </cell>
        </row>
        <row r="175">
          <cell r="B175" t="str">
            <v>12-02</v>
          </cell>
          <cell r="C175" t="str">
            <v>12</v>
          </cell>
          <cell r="D175" t="str">
            <v>12-02-180</v>
          </cell>
          <cell r="E175" t="str">
            <v>PUERTA P18 (0.80x2.10). MARCO + ALA(S) EN MADERA. INCLUYE ACABADO FINAL</v>
          </cell>
          <cell r="F175" t="str">
            <v>UN</v>
          </cell>
          <cell r="J175">
            <v>8051615</v>
          </cell>
          <cell r="K175">
            <v>0</v>
          </cell>
          <cell r="L175">
            <v>0</v>
          </cell>
        </row>
        <row r="176">
          <cell r="B176" t="str">
            <v>12-02</v>
          </cell>
          <cell r="C176" t="str">
            <v>12</v>
          </cell>
          <cell r="D176" t="str">
            <v>12-02-190</v>
          </cell>
          <cell r="E176" t="str">
            <v>PUERTA P19 (0.70x2.10). MARCO + ALA(S) EN MADERA. INCLUYE ACABADO FINAL</v>
          </cell>
          <cell r="F176" t="str">
            <v>UN</v>
          </cell>
          <cell r="J176">
            <v>1995750</v>
          </cell>
          <cell r="K176">
            <v>0</v>
          </cell>
          <cell r="L176">
            <v>0</v>
          </cell>
        </row>
        <row r="177">
          <cell r="B177" t="str">
            <v>12-02</v>
          </cell>
          <cell r="C177" t="str">
            <v>12</v>
          </cell>
          <cell r="D177" t="str">
            <v>12-02-200</v>
          </cell>
          <cell r="E177" t="str">
            <v>PUERTA P20 (1.00x2.10). MARCO + ALA(S) EN MADERA. INCLUYE ACABADO FINAL</v>
          </cell>
          <cell r="F177" t="str">
            <v>UN</v>
          </cell>
          <cell r="J177">
            <v>2572494</v>
          </cell>
          <cell r="K177">
            <v>0</v>
          </cell>
          <cell r="L177">
            <v>0</v>
          </cell>
        </row>
        <row r="178">
          <cell r="B178" t="str">
            <v>12-02</v>
          </cell>
          <cell r="C178" t="str">
            <v>12</v>
          </cell>
          <cell r="D178" t="str">
            <v>12-02-210</v>
          </cell>
          <cell r="E178" t="str">
            <v>PUERTA P21 (1.25x3.32). MARCO + ALA(S) EN MADERA. INCLUYE ACABADO FINAL</v>
          </cell>
          <cell r="F178" t="str">
            <v>UN</v>
          </cell>
          <cell r="J178">
            <v>5389476</v>
          </cell>
          <cell r="K178">
            <v>0</v>
          </cell>
          <cell r="L178">
            <v>0</v>
          </cell>
        </row>
        <row r="179">
          <cell r="B179" t="str">
            <v>12-02</v>
          </cell>
          <cell r="C179" t="str">
            <v>12</v>
          </cell>
          <cell r="D179" t="str">
            <v>12-02-220</v>
          </cell>
          <cell r="E179" t="str">
            <v>PUERTA P22 (1.42x2.73). MARCO + ALA(S) EN MADERA. INCLUYE ACABADO FINAL</v>
          </cell>
          <cell r="F179" t="str">
            <v>UN</v>
          </cell>
          <cell r="J179">
            <v>11500296</v>
          </cell>
          <cell r="K179">
            <v>0</v>
          </cell>
          <cell r="L179">
            <v>0</v>
          </cell>
        </row>
        <row r="180">
          <cell r="B180" t="str">
            <v>12-02</v>
          </cell>
          <cell r="C180" t="str">
            <v>12</v>
          </cell>
          <cell r="D180" t="str">
            <v>12-02-230</v>
          </cell>
          <cell r="E180" t="str">
            <v>PUERTA P23 (1.30x2.73). MARCO + ALA(S) EN MADERA. INCLUYE ACABADO FINAL</v>
          </cell>
          <cell r="F180" t="str">
            <v>UN</v>
          </cell>
          <cell r="J180">
            <v>5419681</v>
          </cell>
          <cell r="K180">
            <v>0</v>
          </cell>
          <cell r="L180">
            <v>0</v>
          </cell>
        </row>
        <row r="181">
          <cell r="B181" t="str">
            <v>12-02</v>
          </cell>
          <cell r="C181" t="str">
            <v>12</v>
          </cell>
          <cell r="D181" t="str">
            <v>12-02-240</v>
          </cell>
          <cell r="E181" t="str">
            <v>PUERTA P24 (1.20x2.73). MARCO + ALA(S) EN MADERA. INCLUYE ACABADO FINAL</v>
          </cell>
          <cell r="F181" t="str">
            <v>UN</v>
          </cell>
          <cell r="J181">
            <v>29047518</v>
          </cell>
          <cell r="K181">
            <v>0</v>
          </cell>
          <cell r="L181">
            <v>0</v>
          </cell>
        </row>
        <row r="182">
          <cell r="B182" t="str">
            <v>12-02</v>
          </cell>
          <cell r="C182" t="str">
            <v>12</v>
          </cell>
          <cell r="D182" t="str">
            <v>12-02-250</v>
          </cell>
          <cell r="E182" t="str">
            <v>PUERTA PV06 ((1.58+2.54)x2.73). MARCO + ALA(S) EN MADERA + VIDRIO TEMPLADO TRANSLUCIDO. INCLUYE ACABADO FINAL</v>
          </cell>
          <cell r="F182" t="str">
            <v>UN</v>
          </cell>
          <cell r="J182">
            <v>5553410</v>
          </cell>
          <cell r="K182">
            <v>0</v>
          </cell>
          <cell r="L182">
            <v>0</v>
          </cell>
        </row>
        <row r="183">
          <cell r="B183">
            <v>0</v>
          </cell>
          <cell r="C183" t="str">
            <v>12</v>
          </cell>
          <cell r="D183" t="str">
            <v>12-03</v>
          </cell>
          <cell r="E183" t="str">
            <v>OTROS</v>
          </cell>
          <cell r="J183">
            <v>0</v>
          </cell>
          <cell r="K183">
            <v>4200000</v>
          </cell>
          <cell r="L183">
            <v>0</v>
          </cell>
        </row>
        <row r="184">
          <cell r="B184" t="str">
            <v>12-03</v>
          </cell>
          <cell r="C184" t="str">
            <v>12</v>
          </cell>
          <cell r="D184" t="str">
            <v>12-03-010</v>
          </cell>
          <cell r="E184" t="str">
            <v>CONSUETA. INCLUYE ESCALAS DE ACCESO AL ESCENARIO CON SU ESTRUCTURA, ENCHAPES EN MADERA Y CONCHA EN MADERA.</v>
          </cell>
          <cell r="F184" t="str">
            <v>UN</v>
          </cell>
          <cell r="J184">
            <v>4200000</v>
          </cell>
          <cell r="K184">
            <v>0</v>
          </cell>
          <cell r="L184">
            <v>0</v>
          </cell>
        </row>
        <row r="185">
          <cell r="B185">
            <v>0</v>
          </cell>
          <cell r="C185" t="str">
            <v>13</v>
          </cell>
          <cell r="D185" t="str">
            <v>13</v>
          </cell>
          <cell r="E185" t="str">
            <v>MUEBLES, APARATOS SANITARIOS Y GRIFERIAS</v>
          </cell>
          <cell r="J185">
            <v>0</v>
          </cell>
          <cell r="K185">
            <v>0</v>
          </cell>
          <cell r="L185">
            <v>342669533</v>
          </cell>
        </row>
        <row r="186">
          <cell r="B186">
            <v>0</v>
          </cell>
          <cell r="C186" t="str">
            <v>13</v>
          </cell>
          <cell r="D186" t="str">
            <v>13-01</v>
          </cell>
          <cell r="E186" t="str">
            <v>MUEBLES</v>
          </cell>
          <cell r="J186">
            <v>0</v>
          </cell>
          <cell r="K186">
            <v>274295465</v>
          </cell>
          <cell r="L186">
            <v>0</v>
          </cell>
        </row>
        <row r="187">
          <cell r="B187" t="str">
            <v>13-01</v>
          </cell>
          <cell r="C187" t="str">
            <v>13</v>
          </cell>
          <cell r="D187" t="str">
            <v>13-01-010</v>
          </cell>
          <cell r="E187" t="str">
            <v>TOCADORES CAMERINOS. MESONES EN GRANITO PULIDO NEGRO. INCLUYE ANCLAJES A MUROS Y SOPORTES</v>
          </cell>
          <cell r="F187" t="str">
            <v>M</v>
          </cell>
          <cell r="J187">
            <v>1627268</v>
          </cell>
          <cell r="K187">
            <v>0</v>
          </cell>
          <cell r="L187">
            <v>0</v>
          </cell>
        </row>
        <row r="188">
          <cell r="B188" t="str">
            <v>13-01</v>
          </cell>
          <cell r="C188" t="str">
            <v>13</v>
          </cell>
          <cell r="D188" t="str">
            <v>13-01-020</v>
          </cell>
          <cell r="E188" t="str">
            <v>MESONES PARA LAVAMANOS EN GRANITO PULIDO NEGRO. INCLUYE ANCLAJES A MUROS Y SOPORTES</v>
          </cell>
          <cell r="F188" t="str">
            <v>M</v>
          </cell>
          <cell r="J188">
            <v>3947301</v>
          </cell>
          <cell r="K188">
            <v>0</v>
          </cell>
          <cell r="L188">
            <v>0</v>
          </cell>
        </row>
        <row r="189">
          <cell r="B189" t="str">
            <v>13-01</v>
          </cell>
          <cell r="C189" t="str">
            <v>13</v>
          </cell>
          <cell r="D189" t="str">
            <v>13-01-030</v>
          </cell>
          <cell r="E189" t="str">
            <v>MUEBLE COCINETA LOCAL CAFÉ. MESON EN ACERO INOXIDABLE CON POZUELO + MUEBLE BAJO EN FORMICA RH</v>
          </cell>
          <cell r="F189" t="str">
            <v>M</v>
          </cell>
          <cell r="J189">
            <v>2635407</v>
          </cell>
          <cell r="K189">
            <v>0</v>
          </cell>
          <cell r="L189">
            <v>0</v>
          </cell>
        </row>
        <row r="190">
          <cell r="B190" t="str">
            <v>13-01</v>
          </cell>
          <cell r="C190" t="str">
            <v>13</v>
          </cell>
          <cell r="D190" t="str">
            <v>13-01-040</v>
          </cell>
          <cell r="E190" t="str">
            <v>BANCAS CAMERINOS EN CONCRETO F'C 21 MPA + GRANITO VACIADO Y PULIDO. INCLUYE ACERO DE REFUERZO</v>
          </cell>
          <cell r="F190" t="str">
            <v>M</v>
          </cell>
          <cell r="J190">
            <v>1421745</v>
          </cell>
          <cell r="K190">
            <v>0</v>
          </cell>
          <cell r="L190">
            <v>0</v>
          </cell>
        </row>
        <row r="191">
          <cell r="B191" t="str">
            <v>13-01</v>
          </cell>
          <cell r="C191" t="str">
            <v>13</v>
          </cell>
          <cell r="D191" t="str">
            <v>13-01-050</v>
          </cell>
          <cell r="E191" t="str">
            <v>LAVAESCOBAS PREFABRICADO EN GRANO PULIDO. INCLUYE LLAVE CROMADA</v>
          </cell>
          <cell r="F191" t="str">
            <v>UN</v>
          </cell>
          <cell r="J191">
            <v>483744</v>
          </cell>
          <cell r="K191">
            <v>0</v>
          </cell>
          <cell r="L191">
            <v>0</v>
          </cell>
        </row>
        <row r="192">
          <cell r="B192" t="str">
            <v>13-01</v>
          </cell>
          <cell r="C192" t="str">
            <v>13</v>
          </cell>
          <cell r="D192" t="str">
            <v>13-01-100</v>
          </cell>
          <cell r="E192" t="str">
            <v>SILLETERIA SIN ESPALDAR EN GRADERIAS SEGUNDO PISO</v>
          </cell>
          <cell r="F192" t="str">
            <v>UN</v>
          </cell>
          <cell r="J192">
            <v>264180000</v>
          </cell>
          <cell r="K192">
            <v>0</v>
          </cell>
          <cell r="L192">
            <v>0</v>
          </cell>
        </row>
        <row r="193">
          <cell r="B193">
            <v>0</v>
          </cell>
          <cell r="C193" t="str">
            <v>13</v>
          </cell>
          <cell r="D193" t="str">
            <v>13-03</v>
          </cell>
          <cell r="E193" t="str">
            <v>APARATOS SANITARIOS</v>
          </cell>
          <cell r="J193">
            <v>0</v>
          </cell>
          <cell r="K193">
            <v>11291179</v>
          </cell>
          <cell r="L193">
            <v>0</v>
          </cell>
        </row>
        <row r="194">
          <cell r="B194" t="str">
            <v>13-03</v>
          </cell>
          <cell r="C194" t="str">
            <v>13</v>
          </cell>
          <cell r="D194" t="str">
            <v>13-03-010</v>
          </cell>
          <cell r="E194" t="str">
            <v>TAZA DE SANITARIO PARA FLUXOMETRO REF. BALTICO DE CORONA O EQUIVALENTE + ASIENTO SANITARIO INSTITUCIONAL ABIERTO COLOR BLANCO</v>
          </cell>
          <cell r="F194" t="str">
            <v>UN</v>
          </cell>
          <cell r="J194">
            <v>5052008</v>
          </cell>
          <cell r="K194">
            <v>0</v>
          </cell>
          <cell r="L194">
            <v>0</v>
          </cell>
        </row>
        <row r="195">
          <cell r="B195" t="str">
            <v>13-03</v>
          </cell>
          <cell r="C195" t="str">
            <v>13</v>
          </cell>
          <cell r="D195" t="str">
            <v>13-03-012</v>
          </cell>
          <cell r="E195" t="str">
            <v>SANITARIO REF. AQUAJET DE CORONA O EQUIVALENTE + ASIENTO SANITARIO INSTITUCIONAL ABIERTO COLOR BLANCO + GRIFERIA</v>
          </cell>
          <cell r="F195" t="str">
            <v>UN</v>
          </cell>
          <cell r="J195">
            <v>2400168</v>
          </cell>
          <cell r="K195">
            <v>0</v>
          </cell>
          <cell r="L195">
            <v>0</v>
          </cell>
        </row>
        <row r="196">
          <cell r="B196" t="str">
            <v>13-03</v>
          </cell>
          <cell r="C196" t="str">
            <v>13</v>
          </cell>
          <cell r="D196" t="str">
            <v>13-03-020</v>
          </cell>
          <cell r="E196" t="str">
            <v>ORINAL GRANDE PARA FLUXOMETRO DE CORONA O EQUIVALENTE COLOR BLANCO. INCLUYE GRAPAS PARA COLGAR Y DESAGUE SIFON</v>
          </cell>
          <cell r="F196" t="str">
            <v>UN</v>
          </cell>
          <cell r="J196">
            <v>1757195</v>
          </cell>
          <cell r="K196">
            <v>0</v>
          </cell>
          <cell r="L196">
            <v>0</v>
          </cell>
        </row>
        <row r="197">
          <cell r="B197" t="str">
            <v>13-03</v>
          </cell>
          <cell r="C197" t="str">
            <v>13</v>
          </cell>
          <cell r="D197" t="str">
            <v>13-03-030</v>
          </cell>
          <cell r="E197" t="str">
            <v>LAVAMANOS DE SOBREPONER REF. SAN LORENZO DE CORONA O EQUIVALENTE. INCLUYE ABASTOS, SIFON Y DESAGUE SENCILLO</v>
          </cell>
          <cell r="F197" t="str">
            <v>UN</v>
          </cell>
          <cell r="J197">
            <v>1719456</v>
          </cell>
          <cell r="K197">
            <v>0</v>
          </cell>
          <cell r="L197">
            <v>0</v>
          </cell>
        </row>
        <row r="198">
          <cell r="B198" t="str">
            <v>13-03</v>
          </cell>
          <cell r="C198" t="str">
            <v>13</v>
          </cell>
          <cell r="D198" t="str">
            <v>13-03-040</v>
          </cell>
          <cell r="E198" t="str">
            <v>LAVAMANOS DE COLGAR REF. FREE DE CORONA O EQUIVALENTE. INCLUYE ABASTOS, SIFON, DESAGUE SENCILLO Y SISTEMA PARA COLGAR</v>
          </cell>
          <cell r="F198" t="str">
            <v>UN</v>
          </cell>
          <cell r="J198">
            <v>362352</v>
          </cell>
          <cell r="K198">
            <v>0</v>
          </cell>
          <cell r="L198">
            <v>0</v>
          </cell>
        </row>
        <row r="199">
          <cell r="B199">
            <v>0</v>
          </cell>
          <cell r="C199" t="str">
            <v>13</v>
          </cell>
          <cell r="D199" t="str">
            <v>13-04</v>
          </cell>
          <cell r="E199" t="str">
            <v>GRIFERIAS</v>
          </cell>
          <cell r="J199">
            <v>0</v>
          </cell>
          <cell r="K199">
            <v>19870078</v>
          </cell>
          <cell r="L199">
            <v>0</v>
          </cell>
        </row>
        <row r="200">
          <cell r="B200" t="str">
            <v>13-04</v>
          </cell>
          <cell r="C200" t="str">
            <v>13</v>
          </cell>
          <cell r="D200" t="str">
            <v>13-04-010</v>
          </cell>
          <cell r="E200" t="str">
            <v>FLUXOMETRO ELECTRONICO CON SISTEMA DE INSTALACION DE VALVULA ANTIVANDALICA DE GRIVAL O EQUIVALENTE PARA SANITARIOS</v>
          </cell>
          <cell r="F200" t="str">
            <v>UN</v>
          </cell>
          <cell r="J200">
            <v>7303387</v>
          </cell>
          <cell r="K200">
            <v>0</v>
          </cell>
          <cell r="L200">
            <v>0</v>
          </cell>
        </row>
        <row r="201">
          <cell r="B201" t="str">
            <v>13-04</v>
          </cell>
          <cell r="C201" t="str">
            <v>13</v>
          </cell>
          <cell r="D201" t="str">
            <v>13-04-020</v>
          </cell>
          <cell r="E201" t="str">
            <v>FLUXOMETRO ELECTRONICO CON SISTEMA DE INSTALACION DE VALVULA ANTIVANDALICA DE GRIVAL O EQUIVALENTE PARA ORINALES</v>
          </cell>
          <cell r="F201" t="str">
            <v>UN</v>
          </cell>
          <cell r="J201">
            <v>2572265</v>
          </cell>
          <cell r="K201">
            <v>0</v>
          </cell>
          <cell r="L201">
            <v>0</v>
          </cell>
        </row>
        <row r="202">
          <cell r="B202" t="str">
            <v>13-04</v>
          </cell>
          <cell r="C202" t="str">
            <v>13</v>
          </cell>
          <cell r="D202" t="str">
            <v>13-04-030</v>
          </cell>
          <cell r="E202" t="str">
            <v>GRIFERIA PARA LAVAMANOS ANTIVANDALICA DE PUSH DE GRIVAL O EQUIVALENTE. INCLUYE ABASTOS.</v>
          </cell>
          <cell r="F202" t="str">
            <v>UN</v>
          </cell>
          <cell r="J202">
            <v>9404622</v>
          </cell>
          <cell r="K202">
            <v>0</v>
          </cell>
          <cell r="L202">
            <v>0</v>
          </cell>
        </row>
        <row r="203">
          <cell r="B203" t="str">
            <v>13-04</v>
          </cell>
          <cell r="C203" t="str">
            <v>13</v>
          </cell>
          <cell r="D203" t="str">
            <v>13-04-040</v>
          </cell>
          <cell r="E203" t="str">
            <v>GRIFERIA PARA DUCHAS REF. ANTIVANDALICA CON REGADERA EMPOTRADA DE GRIVAL O EQUIVALENTE.</v>
          </cell>
          <cell r="F203" t="str">
            <v>UN</v>
          </cell>
          <cell r="J203">
            <v>514006</v>
          </cell>
          <cell r="K203">
            <v>0</v>
          </cell>
          <cell r="L203">
            <v>0</v>
          </cell>
        </row>
        <row r="204">
          <cell r="B204" t="str">
            <v>13-04</v>
          </cell>
          <cell r="C204" t="str">
            <v>13</v>
          </cell>
          <cell r="D204" t="str">
            <v>13-04-050</v>
          </cell>
          <cell r="E204" t="str">
            <v>GRIFERIA PARA LAVAPLATOS REF. GALAXIA DE GRIVAL O EQUIVALENTE.</v>
          </cell>
          <cell r="F204" t="str">
            <v>UN</v>
          </cell>
          <cell r="J204">
            <v>75798</v>
          </cell>
          <cell r="K204">
            <v>0</v>
          </cell>
          <cell r="L204">
            <v>0</v>
          </cell>
        </row>
        <row r="205">
          <cell r="B205">
            <v>0</v>
          </cell>
          <cell r="C205" t="str">
            <v>13</v>
          </cell>
          <cell r="D205" t="str">
            <v>13-05</v>
          </cell>
          <cell r="E205" t="str">
            <v>ACCESORIOS</v>
          </cell>
          <cell r="J205">
            <v>0</v>
          </cell>
          <cell r="K205">
            <v>37212811</v>
          </cell>
          <cell r="L205">
            <v>0</v>
          </cell>
        </row>
        <row r="206">
          <cell r="B206" t="str">
            <v>13-05</v>
          </cell>
          <cell r="C206" t="str">
            <v>13</v>
          </cell>
          <cell r="D206" t="str">
            <v>13-05-010</v>
          </cell>
          <cell r="E206" t="str">
            <v>DISPENSADORES DE PAPEL HIGIENICO EN ACERO INOXIDABLE DE SOCODA O EQUIVALENTE.</v>
          </cell>
          <cell r="F206" t="str">
            <v>UN</v>
          </cell>
          <cell r="J206">
            <v>4581071</v>
          </cell>
          <cell r="K206">
            <v>0</v>
          </cell>
          <cell r="L206">
            <v>0</v>
          </cell>
        </row>
        <row r="207">
          <cell r="B207" t="str">
            <v>13-05</v>
          </cell>
          <cell r="C207" t="str">
            <v>13</v>
          </cell>
          <cell r="D207" t="str">
            <v>13-05-020</v>
          </cell>
          <cell r="E207" t="str">
            <v>DISPENSADORES DE TOALLAS DE PAPEL EN ACERO INOXIDABLE DE SOCODA O EQUIVALENTE.</v>
          </cell>
          <cell r="F207" t="str">
            <v>UN</v>
          </cell>
          <cell r="J207">
            <v>2970926</v>
          </cell>
          <cell r="K207">
            <v>0</v>
          </cell>
          <cell r="L207">
            <v>0</v>
          </cell>
        </row>
        <row r="208">
          <cell r="B208" t="str">
            <v>13-05</v>
          </cell>
          <cell r="C208" t="str">
            <v>13</v>
          </cell>
          <cell r="D208" t="str">
            <v>13-05-030</v>
          </cell>
          <cell r="E208" t="str">
            <v>DISPENSADORES DE JABON EN ACERO INOXIDABLE DE SOCODA O EQUIVALENTE.</v>
          </cell>
          <cell r="F208" t="str">
            <v>UN</v>
          </cell>
          <cell r="J208">
            <v>2410926</v>
          </cell>
          <cell r="K208">
            <v>0</v>
          </cell>
          <cell r="L208">
            <v>0</v>
          </cell>
        </row>
        <row r="209">
          <cell r="B209" t="str">
            <v>13-05</v>
          </cell>
          <cell r="C209" t="str">
            <v>13</v>
          </cell>
          <cell r="D209" t="str">
            <v>13-05-040</v>
          </cell>
          <cell r="E209" t="str">
            <v>BARRAS DE SEGURIDAD 18" EN ACERO INOXIDABLE DE GRIVAL O EQUIVALENTE.</v>
          </cell>
          <cell r="F209" t="str">
            <v>UN</v>
          </cell>
          <cell r="J209">
            <v>123209</v>
          </cell>
          <cell r="K209">
            <v>0</v>
          </cell>
          <cell r="L209">
            <v>0</v>
          </cell>
        </row>
        <row r="210">
          <cell r="B210" t="str">
            <v>13-05</v>
          </cell>
          <cell r="C210" t="str">
            <v>13</v>
          </cell>
          <cell r="D210" t="str">
            <v>13-05-050</v>
          </cell>
          <cell r="E210" t="str">
            <v>BARRAS DE SEGURIDAD 30" EN ACERO INOXIDABLE DE GRIVAL O EQUIVALENTE.</v>
          </cell>
          <cell r="F210" t="str">
            <v>UN</v>
          </cell>
          <cell r="J210">
            <v>145210</v>
          </cell>
          <cell r="K210">
            <v>0</v>
          </cell>
          <cell r="L210">
            <v>0</v>
          </cell>
        </row>
        <row r="211">
          <cell r="B211" t="str">
            <v>13-05</v>
          </cell>
          <cell r="C211" t="str">
            <v>13</v>
          </cell>
          <cell r="D211" t="str">
            <v>13-05-060</v>
          </cell>
          <cell r="E211" t="str">
            <v>REJILLAS DE PISO EN ALUMINIO Ø 4"</v>
          </cell>
          <cell r="F211" t="str">
            <v>UN</v>
          </cell>
          <cell r="J211">
            <v>229197</v>
          </cell>
          <cell r="K211">
            <v>0</v>
          </cell>
          <cell r="L211">
            <v>0</v>
          </cell>
        </row>
        <row r="212">
          <cell r="B212" t="str">
            <v>13-05</v>
          </cell>
          <cell r="C212" t="str">
            <v>13</v>
          </cell>
          <cell r="D212" t="str">
            <v>13-05-070</v>
          </cell>
          <cell r="E212" t="str">
            <v>ESPEJOS 5 MM. CALIDAD PELDAR O EQUIVALENTE. INCLUYE ANCLAJES A MURO</v>
          </cell>
          <cell r="F212" t="str">
            <v>M2</v>
          </cell>
          <cell r="J212">
            <v>1283892</v>
          </cell>
          <cell r="K212">
            <v>0</v>
          </cell>
          <cell r="L212">
            <v>0</v>
          </cell>
        </row>
        <row r="213">
          <cell r="B213" t="str">
            <v>13-05</v>
          </cell>
          <cell r="C213" t="str">
            <v>13</v>
          </cell>
          <cell r="D213" t="str">
            <v>13-05-080</v>
          </cell>
          <cell r="E213" t="str">
            <v>DIVISIONES EN ACERO INOXIDABLE TIPO SOCODA O EQUIVALENTE</v>
          </cell>
          <cell r="F213" t="str">
            <v>M2</v>
          </cell>
          <cell r="J213">
            <v>25468380</v>
          </cell>
          <cell r="K213">
            <v>0</v>
          </cell>
          <cell r="L213">
            <v>0</v>
          </cell>
        </row>
        <row r="214">
          <cell r="B214">
            <v>0</v>
          </cell>
          <cell r="C214" t="str">
            <v>14</v>
          </cell>
          <cell r="D214" t="str">
            <v>14</v>
          </cell>
          <cell r="E214" t="str">
            <v>INSTALACIONES HIDROSANITARIAS</v>
          </cell>
          <cell r="J214">
            <v>0</v>
          </cell>
          <cell r="K214">
            <v>0</v>
          </cell>
          <cell r="L214">
            <v>40930009.194011062</v>
          </cell>
        </row>
        <row r="215">
          <cell r="B215">
            <v>0</v>
          </cell>
          <cell r="C215" t="str">
            <v>14</v>
          </cell>
          <cell r="D215" t="str">
            <v>14-01</v>
          </cell>
          <cell r="E215" t="str">
            <v>I. CANTIDADES DE OBRA Y PRESUPUESTO RED DE ABASTOS</v>
          </cell>
          <cell r="F215">
            <v>0</v>
          </cell>
          <cell r="J215">
            <v>0</v>
          </cell>
          <cell r="K215">
            <v>17341972.044</v>
          </cell>
          <cell r="L215">
            <v>0</v>
          </cell>
        </row>
        <row r="216">
          <cell r="B216" t="str">
            <v>14-01</v>
          </cell>
          <cell r="C216" t="str">
            <v>14</v>
          </cell>
          <cell r="D216" t="str">
            <v>14-01A</v>
          </cell>
          <cell r="E216" t="str">
            <v>ACOMETIDAS DE ACUEDUCTO</v>
          </cell>
          <cell r="F216">
            <v>0</v>
          </cell>
          <cell r="J216">
            <v>0</v>
          </cell>
          <cell r="K216">
            <v>0</v>
          </cell>
          <cell r="L216">
            <v>0</v>
          </cell>
        </row>
        <row r="217">
          <cell r="B217" t="str">
            <v>14-01</v>
          </cell>
          <cell r="C217" t="str">
            <v>14</v>
          </cell>
          <cell r="D217" t="str">
            <v>14-01-010</v>
          </cell>
          <cell r="E217" t="str">
            <v>ACOMETIDA A RED PUBLICA DIAM. 1 1/2" INCLUYE CONTADOR CAJA Y ACCESORIOS</v>
          </cell>
          <cell r="F217" t="str">
            <v>UN</v>
          </cell>
          <cell r="J217">
            <v>6845837</v>
          </cell>
          <cell r="K217">
            <v>0</v>
          </cell>
          <cell r="L217">
            <v>0</v>
          </cell>
        </row>
        <row r="218">
          <cell r="B218" t="str">
            <v>14-01</v>
          </cell>
          <cell r="C218" t="str">
            <v>14</v>
          </cell>
          <cell r="D218" t="str">
            <v>14-01-020</v>
          </cell>
          <cell r="E218" t="str">
            <v>ACOMETIDA A RED PUBLICA DIAM. 1/2" INCLUYE CONTADOR CAJA Y ACCESORIOS</v>
          </cell>
          <cell r="F218" t="str">
            <v>UN</v>
          </cell>
          <cell r="J218">
            <v>2946950</v>
          </cell>
          <cell r="K218">
            <v>0</v>
          </cell>
          <cell r="L218">
            <v>0</v>
          </cell>
        </row>
        <row r="219">
          <cell r="B219" t="str">
            <v>14-01</v>
          </cell>
          <cell r="C219" t="str">
            <v>14</v>
          </cell>
          <cell r="D219" t="str">
            <v>14-01B</v>
          </cell>
          <cell r="E219" t="str">
            <v>SUMINISTRO, TRANSPORTE E INSTALACIÓN DE TUBERÍA RED DE ABASTO, INCLUYE ACCESORIOS Y TODO LO NECESARIO PARA SU CORRECTA INSTALACIÓN Y FUNCIONAMIENTO.</v>
          </cell>
          <cell r="F219">
            <v>0</v>
          </cell>
          <cell r="J219">
            <v>0</v>
          </cell>
          <cell r="K219">
            <v>0</v>
          </cell>
          <cell r="L219">
            <v>0</v>
          </cell>
        </row>
        <row r="220">
          <cell r="B220" t="str">
            <v>14-01</v>
          </cell>
          <cell r="C220" t="str">
            <v>14</v>
          </cell>
          <cell r="D220" t="str">
            <v>14-01-060</v>
          </cell>
          <cell r="E220" t="str">
            <v>TUBERÍA P.V.C. PRESIÓN DIAM.  1 1/2" RDE. 21</v>
          </cell>
          <cell r="F220" t="str">
            <v>M</v>
          </cell>
          <cell r="J220">
            <v>181997.69899999999</v>
          </cell>
          <cell r="K220">
            <v>0</v>
          </cell>
          <cell r="L220">
            <v>0</v>
          </cell>
        </row>
        <row r="221">
          <cell r="B221" t="str">
            <v>14-01</v>
          </cell>
          <cell r="C221" t="str">
            <v>14</v>
          </cell>
          <cell r="D221" t="str">
            <v>14-01-070</v>
          </cell>
          <cell r="E221" t="str">
            <v>TUBERÍA P.V.C. PRESIÓN DIAM.  1 1/4" RDE. 21</v>
          </cell>
          <cell r="F221" t="str">
            <v>M</v>
          </cell>
          <cell r="J221">
            <v>53316.552000000003</v>
          </cell>
          <cell r="K221">
            <v>0</v>
          </cell>
          <cell r="L221">
            <v>0</v>
          </cell>
        </row>
        <row r="222">
          <cell r="B222" t="str">
            <v>14-01</v>
          </cell>
          <cell r="C222" t="str">
            <v>14</v>
          </cell>
          <cell r="D222" t="str">
            <v>14-01-080</v>
          </cell>
          <cell r="E222" t="str">
            <v>TUBERÍA P.V.C. PRESIÓN DIAM.  1" RDE. 21</v>
          </cell>
          <cell r="F222" t="str">
            <v>M</v>
          </cell>
          <cell r="J222">
            <v>372133.92</v>
          </cell>
          <cell r="K222">
            <v>0</v>
          </cell>
          <cell r="L222">
            <v>0</v>
          </cell>
        </row>
        <row r="223">
          <cell r="B223" t="str">
            <v>14-01</v>
          </cell>
          <cell r="C223" t="str">
            <v>14</v>
          </cell>
          <cell r="D223" t="str">
            <v>14-01-100</v>
          </cell>
          <cell r="E223" t="str">
            <v>TUBERÍA P.V.C. PRESIÓN DIAM.  1/2" RDE. 9</v>
          </cell>
          <cell r="F223" t="str">
            <v>M</v>
          </cell>
          <cell r="J223">
            <v>379501.39</v>
          </cell>
          <cell r="K223">
            <v>0</v>
          </cell>
          <cell r="L223">
            <v>0</v>
          </cell>
        </row>
        <row r="224">
          <cell r="B224" t="str">
            <v>14-01</v>
          </cell>
          <cell r="C224" t="str">
            <v>14</v>
          </cell>
          <cell r="D224" t="str">
            <v>14-01D</v>
          </cell>
          <cell r="E224" t="str">
            <v>SUMINISTRO, TRANSPORTE E INSTALACIÓN DE TUBERÍA Y ACCESORIOS PARA SALIDAS DE ABASTOS</v>
          </cell>
          <cell r="F224">
            <v>0</v>
          </cell>
          <cell r="J224">
            <v>0</v>
          </cell>
          <cell r="K224">
            <v>0</v>
          </cell>
          <cell r="L224">
            <v>0</v>
          </cell>
        </row>
        <row r="225">
          <cell r="B225" t="str">
            <v>14-01</v>
          </cell>
          <cell r="C225" t="str">
            <v>14</v>
          </cell>
          <cell r="D225" t="str">
            <v>14-01-270</v>
          </cell>
          <cell r="E225" t="str">
            <v>SALIDA A. FRÍA FLUXÓMETRO DIAM 1 1/4" PARA SANITARIO</v>
          </cell>
          <cell r="F225" t="str">
            <v>UN</v>
          </cell>
          <cell r="J225">
            <v>1782819.4400000002</v>
          </cell>
          <cell r="K225">
            <v>0</v>
          </cell>
          <cell r="L225">
            <v>0</v>
          </cell>
        </row>
        <row r="226">
          <cell r="B226" t="str">
            <v>14-01</v>
          </cell>
          <cell r="C226" t="str">
            <v>14</v>
          </cell>
          <cell r="D226" t="str">
            <v>14-01-280</v>
          </cell>
          <cell r="E226" t="str">
            <v>SALIDA A. FRÍA DIAM 1/2" PARA LAVAPLATOS, POZUELOS</v>
          </cell>
          <cell r="F226" t="str">
            <v>UN</v>
          </cell>
          <cell r="J226">
            <v>133731.29999999999</v>
          </cell>
          <cell r="K226">
            <v>0</v>
          </cell>
          <cell r="L226">
            <v>0</v>
          </cell>
        </row>
        <row r="227">
          <cell r="B227" t="str">
            <v>14-01</v>
          </cell>
          <cell r="C227" t="str">
            <v>14</v>
          </cell>
          <cell r="D227" t="str">
            <v>14-01-290</v>
          </cell>
          <cell r="E227" t="str">
            <v>SALIDA A. FRÍA DIAM 1/2" PARA LAVAMANOS</v>
          </cell>
          <cell r="F227" t="str">
            <v>UN</v>
          </cell>
          <cell r="J227">
            <v>592070.85</v>
          </cell>
          <cell r="K227">
            <v>0</v>
          </cell>
          <cell r="L227">
            <v>0</v>
          </cell>
        </row>
        <row r="228">
          <cell r="B228" t="str">
            <v>14-01</v>
          </cell>
          <cell r="C228" t="str">
            <v>14</v>
          </cell>
          <cell r="D228" t="str">
            <v>14-01-300</v>
          </cell>
          <cell r="E228" t="str">
            <v>SALIDA A. FRÍA FLUXÓMETRO DIAM 1/2" PARA ORINAL</v>
          </cell>
          <cell r="F228" t="str">
            <v>UN</v>
          </cell>
          <cell r="J228">
            <v>1196664.125</v>
          </cell>
          <cell r="K228">
            <v>0</v>
          </cell>
          <cell r="L228">
            <v>0</v>
          </cell>
        </row>
        <row r="229">
          <cell r="B229" t="str">
            <v>14-01</v>
          </cell>
          <cell r="C229" t="str">
            <v>14</v>
          </cell>
          <cell r="D229" t="str">
            <v>14-01-310</v>
          </cell>
          <cell r="E229" t="str">
            <v>SALIDA A. FRÍA DIAM 1/2" PARA DUCHA</v>
          </cell>
          <cell r="F229" t="str">
            <v>UN</v>
          </cell>
          <cell r="J229">
            <v>90167.65</v>
          </cell>
          <cell r="K229">
            <v>0</v>
          </cell>
          <cell r="L229">
            <v>0</v>
          </cell>
        </row>
        <row r="230">
          <cell r="B230" t="str">
            <v>14-01</v>
          </cell>
          <cell r="C230" t="str">
            <v>14</v>
          </cell>
          <cell r="D230" t="str">
            <v>14-01-320</v>
          </cell>
          <cell r="E230" t="str">
            <v>SALIDA A. FRÍA DIAM 1/2" PARA SANITARIO DE TANQUE</v>
          </cell>
          <cell r="F230" t="str">
            <v>UN</v>
          </cell>
          <cell r="J230">
            <v>460499.54999999993</v>
          </cell>
          <cell r="K230">
            <v>0</v>
          </cell>
          <cell r="L230">
            <v>0</v>
          </cell>
        </row>
        <row r="231">
          <cell r="B231" t="str">
            <v>14-01</v>
          </cell>
          <cell r="C231" t="str">
            <v>14</v>
          </cell>
          <cell r="D231" t="str">
            <v>14-01E</v>
          </cell>
          <cell r="E231" t="str">
            <v>INSTALACIÓN DE APARATOS SANITARIOS</v>
          </cell>
          <cell r="F231">
            <v>0</v>
          </cell>
          <cell r="J231">
            <v>0</v>
          </cell>
          <cell r="K231">
            <v>0</v>
          </cell>
          <cell r="L231">
            <v>0</v>
          </cell>
        </row>
        <row r="232">
          <cell r="B232" t="str">
            <v>14-01</v>
          </cell>
          <cell r="C232" t="str">
            <v>14</v>
          </cell>
          <cell r="D232" t="str">
            <v>14-01-330</v>
          </cell>
          <cell r="E232" t="str">
            <v>INSTALACIÓN SANITARIOS DE FLUXÓMETRO</v>
          </cell>
          <cell r="F232" t="str">
            <v>UN</v>
          </cell>
          <cell r="J232">
            <v>373536.848</v>
          </cell>
          <cell r="K232">
            <v>0</v>
          </cell>
          <cell r="L232">
            <v>0</v>
          </cell>
        </row>
        <row r="233">
          <cell r="B233" t="str">
            <v>14-01</v>
          </cell>
          <cell r="C233" t="str">
            <v>14</v>
          </cell>
          <cell r="D233" t="str">
            <v>14-01-340</v>
          </cell>
          <cell r="E233" t="str">
            <v>INSTALACIÓN DE LAVAMANOS (UN AGUA)</v>
          </cell>
          <cell r="F233" t="str">
            <v>UN</v>
          </cell>
          <cell r="J233">
            <v>1254600</v>
          </cell>
          <cell r="K233">
            <v>0</v>
          </cell>
          <cell r="L233">
            <v>0</v>
          </cell>
        </row>
        <row r="234">
          <cell r="B234" t="str">
            <v>14-01</v>
          </cell>
          <cell r="C234" t="str">
            <v>14</v>
          </cell>
          <cell r="D234" t="str">
            <v>14-01-350</v>
          </cell>
          <cell r="E234" t="str">
            <v>INSTALACIÓN DE LAVAPLATOS (UN AGUA)</v>
          </cell>
          <cell r="F234" t="str">
            <v>UN</v>
          </cell>
          <cell r="J234">
            <v>69700</v>
          </cell>
          <cell r="K234">
            <v>0</v>
          </cell>
          <cell r="L234">
            <v>0</v>
          </cell>
        </row>
        <row r="235">
          <cell r="B235" t="str">
            <v>14-01</v>
          </cell>
          <cell r="C235" t="str">
            <v>14</v>
          </cell>
          <cell r="D235" t="str">
            <v>14-01-360</v>
          </cell>
          <cell r="E235" t="str">
            <v>INSTALACIÓN DE ORINALES</v>
          </cell>
          <cell r="F235" t="str">
            <v>UN</v>
          </cell>
          <cell r="J235">
            <v>314000</v>
          </cell>
          <cell r="K235">
            <v>0</v>
          </cell>
          <cell r="L235">
            <v>0</v>
          </cell>
        </row>
        <row r="236">
          <cell r="B236" t="str">
            <v>14-01</v>
          </cell>
          <cell r="C236" t="str">
            <v>14</v>
          </cell>
          <cell r="D236" t="str">
            <v>14-01-370</v>
          </cell>
          <cell r="E236" t="str">
            <v>INSTALACIÓN DE POZUELOS</v>
          </cell>
          <cell r="F236" t="str">
            <v>UN</v>
          </cell>
          <cell r="J236">
            <v>209100</v>
          </cell>
          <cell r="K236">
            <v>0</v>
          </cell>
          <cell r="L236">
            <v>0</v>
          </cell>
        </row>
        <row r="237">
          <cell r="B237" t="str">
            <v>14-01</v>
          </cell>
          <cell r="C237" t="str">
            <v>14</v>
          </cell>
          <cell r="D237" t="str">
            <v>14-01-380</v>
          </cell>
          <cell r="E237" t="str">
            <v xml:space="preserve">INSTALACIÓN DUCHA SENCILLA </v>
          </cell>
          <cell r="F237" t="str">
            <v>UN</v>
          </cell>
          <cell r="J237">
            <v>85345.72</v>
          </cell>
          <cell r="K237">
            <v>0</v>
          </cell>
          <cell r="L237">
            <v>0</v>
          </cell>
        </row>
        <row r="238">
          <cell r="B238">
            <v>0</v>
          </cell>
          <cell r="C238" t="str">
            <v>14</v>
          </cell>
          <cell r="D238" t="str">
            <v>14-02</v>
          </cell>
          <cell r="E238" t="str">
            <v>II. CANTIDADES DE OBRA Y PRESUPUESTO RED DE DESAGÜES</v>
          </cell>
          <cell r="F238">
            <v>0</v>
          </cell>
          <cell r="J238">
            <v>0</v>
          </cell>
          <cell r="K238">
            <v>23588037.150011063</v>
          </cell>
          <cell r="L238">
            <v>0</v>
          </cell>
        </row>
        <row r="239">
          <cell r="B239" t="str">
            <v>14-02</v>
          </cell>
          <cell r="C239" t="str">
            <v>14</v>
          </cell>
          <cell r="D239" t="str">
            <v>14-02A</v>
          </cell>
          <cell r="E239" t="str">
            <v>OBRA CIVIL</v>
          </cell>
          <cell r="F239">
            <v>0</v>
          </cell>
          <cell r="J239">
            <v>0</v>
          </cell>
          <cell r="K239">
            <v>0</v>
          </cell>
          <cell r="L239">
            <v>0</v>
          </cell>
        </row>
        <row r="240">
          <cell r="B240" t="str">
            <v>14-02</v>
          </cell>
          <cell r="C240" t="str">
            <v>14</v>
          </cell>
          <cell r="D240" t="str">
            <v>14-02-010</v>
          </cell>
          <cell r="E240" t="str">
            <v>CONSTRUCCIÓN DE CAJAS DE EMPALME O DE INSPECCIÓN (A.R.)</v>
          </cell>
          <cell r="F240" t="str">
            <v>UN</v>
          </cell>
          <cell r="J240">
            <v>1083192</v>
          </cell>
          <cell r="K240">
            <v>0</v>
          </cell>
          <cell r="L240">
            <v>0</v>
          </cell>
        </row>
        <row r="241">
          <cell r="B241" t="str">
            <v>14-02</v>
          </cell>
          <cell r="C241" t="str">
            <v>14</v>
          </cell>
          <cell r="D241" t="str">
            <v>14-02-020</v>
          </cell>
          <cell r="E241" t="str">
            <v>CONSTRUCCIÓN DE CAJAS DE EMPALME O DE INSPECCIÓN (A.LL.)</v>
          </cell>
          <cell r="F241" t="str">
            <v>UN</v>
          </cell>
          <cell r="J241">
            <v>1083192</v>
          </cell>
          <cell r="K241">
            <v>0</v>
          </cell>
          <cell r="L241">
            <v>0</v>
          </cell>
        </row>
        <row r="242">
          <cell r="B242" t="str">
            <v>14-02</v>
          </cell>
          <cell r="C242" t="str">
            <v>14</v>
          </cell>
          <cell r="D242" t="str">
            <v>14-02B</v>
          </cell>
          <cell r="E242" t="str">
            <v>DESAGUES AGUAS RESIDUALES</v>
          </cell>
          <cell r="F242">
            <v>0</v>
          </cell>
          <cell r="J242">
            <v>0</v>
          </cell>
          <cell r="K242">
            <v>0</v>
          </cell>
          <cell r="L242">
            <v>0</v>
          </cell>
        </row>
        <row r="243">
          <cell r="B243" t="str">
            <v>14-02</v>
          </cell>
          <cell r="C243" t="str">
            <v>14</v>
          </cell>
          <cell r="D243" t="str">
            <v>14-02C</v>
          </cell>
          <cell r="E243" t="str">
            <v>SUMINISTRO, TRANSPORTE E INSTALACION DE TUBERIA PARA AGUAS RESIDUALES, INCLUYE ACCESORIOS Y TODO LO NECESARIO PARA SU CORRECTA INSTALACION Y FUNCIONAMIENTO.</v>
          </cell>
          <cell r="F243">
            <v>0</v>
          </cell>
          <cell r="J243">
            <v>0</v>
          </cell>
          <cell r="K243">
            <v>0</v>
          </cell>
          <cell r="L243">
            <v>0</v>
          </cell>
        </row>
        <row r="244">
          <cell r="B244" t="str">
            <v>14-02</v>
          </cell>
          <cell r="C244" t="str">
            <v>14</v>
          </cell>
          <cell r="D244" t="str">
            <v>14-02-040</v>
          </cell>
          <cell r="E244" t="str">
            <v>TUBERÍA  D= 4" P.V.C. SANITARIA. (EXTERIOR - INTERIOR)</v>
          </cell>
          <cell r="F244" t="str">
            <v>M</v>
          </cell>
          <cell r="J244">
            <v>2552531.8845580402</v>
          </cell>
          <cell r="K244">
            <v>0</v>
          </cell>
          <cell r="L244">
            <v>0</v>
          </cell>
        </row>
        <row r="245">
          <cell r="B245" t="str">
            <v>14-02</v>
          </cell>
          <cell r="C245" t="str">
            <v>14</v>
          </cell>
          <cell r="D245" t="str">
            <v>14-02-050</v>
          </cell>
          <cell r="E245" t="str">
            <v>TUBERÍA  D= 3" P.V.C. SANITARIA. (EXTERIOR - INTERIOR)</v>
          </cell>
          <cell r="F245" t="str">
            <v>M</v>
          </cell>
          <cell r="J245">
            <v>30496.807334800003</v>
          </cell>
          <cell r="K245">
            <v>0</v>
          </cell>
          <cell r="L245">
            <v>0</v>
          </cell>
        </row>
        <row r="246">
          <cell r="B246" t="str">
            <v>14-02</v>
          </cell>
          <cell r="C246" t="str">
            <v>14</v>
          </cell>
          <cell r="D246" t="str">
            <v>14-02-060</v>
          </cell>
          <cell r="E246" t="str">
            <v>TUBERÍA  D= 2" P.V.C. SANITARIA. (INTERIOR)</v>
          </cell>
          <cell r="F246" t="str">
            <v>M</v>
          </cell>
          <cell r="J246">
            <v>1693448.1374316001</v>
          </cell>
          <cell r="K246">
            <v>0</v>
          </cell>
          <cell r="L246">
            <v>0</v>
          </cell>
        </row>
        <row r="247">
          <cell r="B247" t="str">
            <v>14-02</v>
          </cell>
          <cell r="C247" t="str">
            <v>14</v>
          </cell>
          <cell r="D247" t="str">
            <v>14-02-080</v>
          </cell>
          <cell r="E247" t="str">
            <v>TUBERÍA  D= 2" P.V.C. LIVIANA. (VENTILACIÓN)</v>
          </cell>
          <cell r="F247" t="str">
            <v>M</v>
          </cell>
          <cell r="J247">
            <v>1123542.9574096</v>
          </cell>
          <cell r="K247">
            <v>0</v>
          </cell>
          <cell r="L247">
            <v>0</v>
          </cell>
        </row>
        <row r="248">
          <cell r="B248" t="str">
            <v>14-02</v>
          </cell>
          <cell r="C248" t="str">
            <v>14</v>
          </cell>
          <cell r="D248" t="str">
            <v>14-02-090</v>
          </cell>
          <cell r="E248" t="str">
            <v>TUBERÍA  D= 4" P.V.C. SANITARIA. (B.A.R.)</v>
          </cell>
          <cell r="F248" t="str">
            <v>TRAMO</v>
          </cell>
          <cell r="J248">
            <v>290529.36666960001</v>
          </cell>
          <cell r="K248">
            <v>0</v>
          </cell>
          <cell r="L248">
            <v>0</v>
          </cell>
        </row>
        <row r="249">
          <cell r="B249" t="str">
            <v>14-02</v>
          </cell>
          <cell r="C249" t="str">
            <v>14</v>
          </cell>
          <cell r="D249" t="str">
            <v>14-02-140</v>
          </cell>
          <cell r="E249" t="str">
            <v>TUBERÍA  D= 3" P.V.C. LIVIANA. (MONTANTE VENTILACIÓN)</v>
          </cell>
          <cell r="F249" t="str">
            <v>TRAMO</v>
          </cell>
          <cell r="J249">
            <v>269595.42933919997</v>
          </cell>
          <cell r="K249">
            <v>0</v>
          </cell>
          <cell r="L249">
            <v>0</v>
          </cell>
        </row>
        <row r="250">
          <cell r="B250" t="str">
            <v>14-02</v>
          </cell>
          <cell r="C250" t="str">
            <v>14</v>
          </cell>
          <cell r="D250" t="str">
            <v>14-02D</v>
          </cell>
          <cell r="E250" t="str">
            <v>SALIDAS DESAGUES</v>
          </cell>
          <cell r="F250">
            <v>0</v>
          </cell>
          <cell r="J250">
            <v>0</v>
          </cell>
          <cell r="K250">
            <v>0</v>
          </cell>
          <cell r="L250">
            <v>0</v>
          </cell>
        </row>
        <row r="251">
          <cell r="B251" t="str">
            <v>14-02</v>
          </cell>
          <cell r="C251" t="str">
            <v>14</v>
          </cell>
          <cell r="D251" t="str">
            <v>14-02E</v>
          </cell>
          <cell r="E251" t="str">
            <v>SUMINISTRO, TRANSPORTE E INSTALACION DE TUBERIA Y ACCESORIOS PARA SALIDAS DE DESAGUES DE AGUAS RESIDUALES. INCLUYE TODO LO NECESARIO PARA SU CORRECTA INSTALACION Y FUNCIONAMIENTO.</v>
          </cell>
          <cell r="F251">
            <v>0</v>
          </cell>
          <cell r="J251">
            <v>0</v>
          </cell>
          <cell r="K251">
            <v>0</v>
          </cell>
          <cell r="L251">
            <v>0</v>
          </cell>
        </row>
        <row r="252">
          <cell r="B252" t="str">
            <v>14-02</v>
          </cell>
          <cell r="C252" t="str">
            <v>14</v>
          </cell>
          <cell r="D252" t="str">
            <v>14-02-170</v>
          </cell>
          <cell r="E252" t="str">
            <v>SALIDA P.V.C.  SANITARIA SIFÓN D= 2" DUCHAS, DESAGUES DE PISO</v>
          </cell>
          <cell r="F252" t="str">
            <v>UN</v>
          </cell>
          <cell r="J252">
            <v>1043598.635</v>
          </cell>
          <cell r="K252">
            <v>0</v>
          </cell>
          <cell r="L252">
            <v>0</v>
          </cell>
        </row>
        <row r="253">
          <cell r="B253" t="str">
            <v>14-02</v>
          </cell>
          <cell r="C253" t="str">
            <v>14</v>
          </cell>
          <cell r="D253" t="str">
            <v>14-02-190</v>
          </cell>
          <cell r="E253" t="str">
            <v>SALIDA P.V.C.  SANITARIA D= 4" SANITARIOS, EMPALMES A BAR</v>
          </cell>
          <cell r="F253" t="str">
            <v>UN</v>
          </cell>
          <cell r="J253">
            <v>2057205.7000000002</v>
          </cell>
          <cell r="K253">
            <v>0</v>
          </cell>
          <cell r="L253">
            <v>0</v>
          </cell>
        </row>
        <row r="254">
          <cell r="B254" t="str">
            <v>14-02</v>
          </cell>
          <cell r="C254" t="str">
            <v>14</v>
          </cell>
          <cell r="D254" t="str">
            <v>14-02-200</v>
          </cell>
          <cell r="E254" t="str">
            <v>SALIDA P.V.C.  SANITARIA D= 2" LAVAMANOS, LAVAPLATOS, ORINALES.</v>
          </cell>
          <cell r="F254" t="str">
            <v>UN</v>
          </cell>
          <cell r="J254">
            <v>1694522.4750000001</v>
          </cell>
          <cell r="K254">
            <v>0</v>
          </cell>
          <cell r="L254">
            <v>0</v>
          </cell>
        </row>
        <row r="255">
          <cell r="B255" t="str">
            <v>14-02</v>
          </cell>
          <cell r="C255" t="str">
            <v>14</v>
          </cell>
          <cell r="D255" t="str">
            <v>14-02F</v>
          </cell>
          <cell r="E255" t="str">
            <v>DESAGUES AGUAS LLUVIAS</v>
          </cell>
          <cell r="F255">
            <v>0</v>
          </cell>
          <cell r="J255">
            <v>0</v>
          </cell>
          <cell r="K255">
            <v>0</v>
          </cell>
          <cell r="L255">
            <v>0</v>
          </cell>
        </row>
        <row r="256">
          <cell r="B256" t="str">
            <v>14-02</v>
          </cell>
          <cell r="C256" t="str">
            <v>14</v>
          </cell>
          <cell r="D256" t="str">
            <v>14-02G</v>
          </cell>
          <cell r="E256" t="str">
            <v>SUMINISTRO, TRANSPORTE E INSTALACION DE TUBERIA PARA AGUAS LLUVIAS, INCLUYE ACCESORIOS Y TODO LO NECESARIO PARA SU CORRECTA INSTALACION Y FUNCIONAMIENTO.</v>
          </cell>
          <cell r="F256">
            <v>0</v>
          </cell>
          <cell r="J256">
            <v>0</v>
          </cell>
          <cell r="K256">
            <v>0</v>
          </cell>
          <cell r="L256">
            <v>0</v>
          </cell>
        </row>
        <row r="257">
          <cell r="B257" t="str">
            <v>14-02</v>
          </cell>
          <cell r="C257" t="str">
            <v>14</v>
          </cell>
          <cell r="D257" t="str">
            <v>14-02-230</v>
          </cell>
          <cell r="E257" t="str">
            <v>TUBERÍA  D= 6" P.V.C. SANITARIA. (INTERIOR )</v>
          </cell>
          <cell r="F257" t="str">
            <v>M</v>
          </cell>
          <cell r="J257">
            <v>2937682.7205145578</v>
          </cell>
          <cell r="K257">
            <v>0</v>
          </cell>
          <cell r="L257">
            <v>0</v>
          </cell>
        </row>
        <row r="258">
          <cell r="B258" t="str">
            <v>14-02</v>
          </cell>
          <cell r="C258" t="str">
            <v>14</v>
          </cell>
          <cell r="D258" t="str">
            <v>14-02-240</v>
          </cell>
          <cell r="E258" t="str">
            <v>TUBERÍA  D= 4" P.V.C. SANITARIA. (INTERIOR)</v>
          </cell>
          <cell r="F258" t="str">
            <v>M</v>
          </cell>
          <cell r="J258">
            <v>4163570.4007096654</v>
          </cell>
          <cell r="K258">
            <v>0</v>
          </cell>
          <cell r="L258">
            <v>0</v>
          </cell>
        </row>
        <row r="259">
          <cell r="B259" t="str">
            <v>14-02</v>
          </cell>
          <cell r="C259" t="str">
            <v>14</v>
          </cell>
          <cell r="D259" t="str">
            <v>14-02-260</v>
          </cell>
          <cell r="E259" t="str">
            <v>TUBERÍA  D= 4" P.V.C. SANITARIA. (B.A.LL.)</v>
          </cell>
          <cell r="F259" t="str">
            <v>TRAMO</v>
          </cell>
          <cell r="J259">
            <v>581058.73333920003</v>
          </cell>
          <cell r="K259">
            <v>0</v>
          </cell>
          <cell r="L259">
            <v>0</v>
          </cell>
        </row>
        <row r="260">
          <cell r="B260" t="str">
            <v>14-02</v>
          </cell>
          <cell r="C260" t="str">
            <v>14</v>
          </cell>
          <cell r="D260" t="str">
            <v>14-02-270</v>
          </cell>
          <cell r="E260" t="str">
            <v>TUBERÍA  D= 6" P.V.C. SANITARIA   (B.A.LL.)</v>
          </cell>
          <cell r="F260" t="str">
            <v>TRAMO</v>
          </cell>
          <cell r="J260">
            <v>1004017.9013392</v>
          </cell>
          <cell r="K260">
            <v>0</v>
          </cell>
          <cell r="L260">
            <v>0</v>
          </cell>
        </row>
        <row r="261">
          <cell r="B261" t="str">
            <v>14-02</v>
          </cell>
          <cell r="C261" t="str">
            <v>14</v>
          </cell>
          <cell r="D261" t="str">
            <v>14-02I</v>
          </cell>
          <cell r="E261" t="str">
            <v>SALIDAS DESAGUES AGUAS LLUVIAS</v>
          </cell>
          <cell r="F261">
            <v>0</v>
          </cell>
          <cell r="J261">
            <v>0</v>
          </cell>
          <cell r="K261">
            <v>0</v>
          </cell>
          <cell r="L261">
            <v>0</v>
          </cell>
        </row>
        <row r="262">
          <cell r="B262" t="str">
            <v>14-02</v>
          </cell>
          <cell r="C262" t="str">
            <v>14</v>
          </cell>
          <cell r="D262" t="str">
            <v>14-02J</v>
          </cell>
          <cell r="E262" t="str">
            <v>SUMINISTRO, TRANSPORTE E INSTALACION DE TUBERIA Y ACCESORIOS PARA SALIDAS DE DESAGUES DE AGUAS LLUVIAS. INCLUYE TODO LO NECESARIO PARA SU CORRECTA INSTALACION Y FUNCIONAMIENTO.</v>
          </cell>
          <cell r="F262">
            <v>0</v>
          </cell>
          <cell r="J262">
            <v>0</v>
          </cell>
          <cell r="K262">
            <v>0</v>
          </cell>
          <cell r="L262">
            <v>0</v>
          </cell>
        </row>
        <row r="263">
          <cell r="B263" t="str">
            <v>14-02</v>
          </cell>
          <cell r="C263" t="str">
            <v>14</v>
          </cell>
          <cell r="D263" t="str">
            <v>14-02-300</v>
          </cell>
          <cell r="E263" t="str">
            <v>SALIDA P.V.C.  SANITARIA D= 4"</v>
          </cell>
          <cell r="F263" t="str">
            <v>UN</v>
          </cell>
          <cell r="J263">
            <v>1684632.3000264</v>
          </cell>
          <cell r="K263">
            <v>0</v>
          </cell>
          <cell r="L263">
            <v>0</v>
          </cell>
        </row>
        <row r="264">
          <cell r="B264" t="str">
            <v>14-02</v>
          </cell>
          <cell r="C264" t="str">
            <v>14</v>
          </cell>
          <cell r="D264" t="str">
            <v>14-02-310</v>
          </cell>
          <cell r="E264" t="str">
            <v>SALIDA P.V.C.  SANITARIA D= 4" EMPALMES A BALL</v>
          </cell>
          <cell r="F264" t="str">
            <v>UN</v>
          </cell>
          <cell r="J264">
            <v>295219.70133920002</v>
          </cell>
          <cell r="K264">
            <v>0</v>
          </cell>
          <cell r="L264">
            <v>0</v>
          </cell>
        </row>
        <row r="265">
          <cell r="B265">
            <v>0</v>
          </cell>
          <cell r="C265" t="str">
            <v>15</v>
          </cell>
          <cell r="D265" t="str">
            <v>15</v>
          </cell>
          <cell r="E265" t="str">
            <v>INSTALACIONES ELECTRICAS</v>
          </cell>
          <cell r="J265">
            <v>0</v>
          </cell>
          <cell r="K265">
            <v>0</v>
          </cell>
          <cell r="L265">
            <v>146749639.90252796</v>
          </cell>
        </row>
        <row r="266">
          <cell r="B266">
            <v>0</v>
          </cell>
          <cell r="C266" t="str">
            <v>15</v>
          </cell>
          <cell r="D266" t="str">
            <v>15-01</v>
          </cell>
          <cell r="E266" t="str">
            <v>INSTALACIONES ELECTRICAS</v>
          </cell>
          <cell r="F266">
            <v>0</v>
          </cell>
          <cell r="J266">
            <v>0</v>
          </cell>
          <cell r="K266">
            <v>146749639.90252796</v>
          </cell>
          <cell r="L266">
            <v>0</v>
          </cell>
        </row>
        <row r="267">
          <cell r="B267" t="str">
            <v>15-01</v>
          </cell>
          <cell r="C267" t="str">
            <v>15</v>
          </cell>
          <cell r="D267" t="str">
            <v>15-01A</v>
          </cell>
          <cell r="E267" t="str">
            <v>LOCALES COMERCIALES Y CAFÉ</v>
          </cell>
          <cell r="F267">
            <v>0</v>
          </cell>
          <cell r="J267">
            <v>0</v>
          </cell>
          <cell r="K267">
            <v>0</v>
          </cell>
          <cell r="L267">
            <v>0</v>
          </cell>
        </row>
        <row r="268">
          <cell r="B268" t="str">
            <v>15-01</v>
          </cell>
          <cell r="C268" t="str">
            <v>15</v>
          </cell>
          <cell r="D268" t="str">
            <v>15-01B</v>
          </cell>
          <cell r="E268" t="str">
            <v>INSTALACIONES ELECTRICAS PARA TOMAS, ILUMINACION Y TELEFONO</v>
          </cell>
          <cell r="F268">
            <v>0</v>
          </cell>
          <cell r="J268">
            <v>0</v>
          </cell>
          <cell r="K268">
            <v>0</v>
          </cell>
          <cell r="L268">
            <v>0</v>
          </cell>
        </row>
        <row r="269">
          <cell r="B269" t="str">
            <v>15-01</v>
          </cell>
          <cell r="C269" t="str">
            <v>15</v>
          </cell>
          <cell r="D269" t="str">
            <v>15-01-010</v>
          </cell>
          <cell r="E269" t="str">
            <v xml:space="preserve">SUMINISTRO, TRANSPORTE E INSTALACIÓN DE SALIDA PARA ILUMINACION. INCLUYE ALAMBRE RIGIDO 3#12, TUBERÍA EMT 1/2", CAJA METALICA 12X12X5, TOMA 15A/120V Y ACCESORIOS PARA SU CORRECTO FUNCIONAMIENTO. NO INCLUYE LUMINARIA </v>
          </cell>
          <cell r="F269" t="str">
            <v>UND</v>
          </cell>
          <cell r="J269">
            <v>2957986.0799999991</v>
          </cell>
          <cell r="K269">
            <v>0</v>
          </cell>
          <cell r="L269">
            <v>0</v>
          </cell>
        </row>
        <row r="270">
          <cell r="B270" t="str">
            <v>15-01</v>
          </cell>
          <cell r="C270" t="str">
            <v>15</v>
          </cell>
          <cell r="D270" t="str">
            <v>15-01-020</v>
          </cell>
          <cell r="E270" t="str">
            <v xml:space="preserve">SUMINISTRO, TRANSPORTE E INSTALACIÓN DE SALIDA PARA INTERRUPTOR SENCILLO. INCLUYE ALAMBRE RIGIDO 3#12, TUBERÍA EMT 1/2", CAJA METALICA 12X12X5, INTERRUPTOR SENCILLO Y ACCESORIOS PARA SU CORRECTOR FUNCIONAMIENTO. </v>
          </cell>
          <cell r="F270" t="str">
            <v>UND</v>
          </cell>
          <cell r="J270">
            <v>887395.82399999979</v>
          </cell>
          <cell r="K270">
            <v>0</v>
          </cell>
          <cell r="L270">
            <v>0</v>
          </cell>
        </row>
        <row r="271">
          <cell r="B271" t="str">
            <v>15-01</v>
          </cell>
          <cell r="C271" t="str">
            <v>15</v>
          </cell>
          <cell r="D271" t="str">
            <v>15-01-030</v>
          </cell>
          <cell r="E271" t="str">
            <v xml:space="preserve">SUMINISTRO, TRANSPORTE E INSTALACIÓN DE SALIDA PARA INTERRUPTOR DOBLE. INCLUYE ALAMBRE RIGIDO 3 #12, TUBERÍA EMT 1/2", CAJA METALICA 12X12X5, INTERRUPTOR DOBLE Y ACCESORIOS PARA SU CORRECTO FUNCIONAMIENTO. </v>
          </cell>
          <cell r="F271" t="str">
            <v>UND</v>
          </cell>
          <cell r="J271">
            <v>394398.14399999991</v>
          </cell>
          <cell r="K271">
            <v>0</v>
          </cell>
          <cell r="L271">
            <v>0</v>
          </cell>
        </row>
        <row r="272">
          <cell r="B272" t="str">
            <v>15-01</v>
          </cell>
          <cell r="C272" t="str">
            <v>15</v>
          </cell>
          <cell r="D272" t="str">
            <v>15-01-040</v>
          </cell>
          <cell r="E272" t="str">
            <v>SUMINISTRO, TRANSPORTE E INSTALACIÓN DE SALIDA PARA TOMA DOBLE 15A/120V. INCLUYE ALAMBRE RIGIDO 3#12, TUBERÍA EMT 1/2", CAJA METALICA 12X12X5, TOMA 15A/120V Y ACCESORIOS PARA SU CORRECTO FUNCIONAMIENTO.</v>
          </cell>
          <cell r="F272" t="str">
            <v>UND</v>
          </cell>
          <cell r="J272">
            <v>1774791.6479999996</v>
          </cell>
          <cell r="K272">
            <v>0</v>
          </cell>
          <cell r="L272">
            <v>0</v>
          </cell>
        </row>
        <row r="273">
          <cell r="B273" t="str">
            <v>15-01</v>
          </cell>
          <cell r="C273" t="str">
            <v>15</v>
          </cell>
          <cell r="D273" t="str">
            <v>15-01-050</v>
          </cell>
          <cell r="E273" t="str">
            <v>SUMINISTRO, TRANSPORTE E INSTALACIÓN DE SALIDA PARA TOMA DOBLE 15A/120V CON PROTECCION GFCI. INCLUYE ALAMBRE RIGIDO 3#12, TUBERÍA EMT 1/2", CAJA METALICA 12X12X5, TOMA GFCI 15A/120V Y ACCESORIOS PARA SU CORRECTO FUNCIONAMIENTO.</v>
          </cell>
          <cell r="F273" t="str">
            <v>UND</v>
          </cell>
          <cell r="J273">
            <v>121799.5128</v>
          </cell>
          <cell r="K273">
            <v>0</v>
          </cell>
          <cell r="L273">
            <v>0</v>
          </cell>
        </row>
        <row r="274">
          <cell r="B274" t="str">
            <v>15-01</v>
          </cell>
          <cell r="C274" t="str">
            <v>15</v>
          </cell>
          <cell r="D274" t="str">
            <v>15-01-060</v>
          </cell>
          <cell r="E274" t="str">
            <v>SUMINISTRO, TRANSPORTE E INSTALACIÓN DE SALIDA PARA TOMA 30A/220V. INCLUYE ALAMBRE RIGIDO 3#10, TUBERÍA EMT 3/4", CAJA METALICA 12X12X5, TOMA 30A/220V Y ACCESORIOS PARA SU CORRECTO FUNCIONAMIENTO.</v>
          </cell>
          <cell r="F274" t="str">
            <v>UND</v>
          </cell>
          <cell r="J274">
            <v>107880.54983999999</v>
          </cell>
          <cell r="K274">
            <v>0</v>
          </cell>
          <cell r="L274">
            <v>0</v>
          </cell>
        </row>
        <row r="275">
          <cell r="B275" t="str">
            <v>15-01</v>
          </cell>
          <cell r="C275" t="str">
            <v>15</v>
          </cell>
          <cell r="D275" t="str">
            <v>15-01-070</v>
          </cell>
          <cell r="E275" t="str">
            <v>SUMINISTRO, TRANSPORTE E INSTALACIÓN DE SALIDA PARA TELEFONO. INCLUYE CABLE TELEFONICO 2 PARES, TUBERÍA EMT 1/2", CAJA METALICA 12X12X5, TOMA TELEFONICO Y ACCESORIOS PARA SU CORRECTO FUNCIONAMIENTO.</v>
          </cell>
          <cell r="F275" t="str">
            <v>UND</v>
          </cell>
          <cell r="J275">
            <v>288839.93040000001</v>
          </cell>
          <cell r="K275">
            <v>0</v>
          </cell>
          <cell r="L275">
            <v>0</v>
          </cell>
        </row>
        <row r="276">
          <cell r="B276" t="str">
            <v>15-01</v>
          </cell>
          <cell r="C276" t="str">
            <v>15</v>
          </cell>
          <cell r="D276" t="str">
            <v>15-01C</v>
          </cell>
          <cell r="E276" t="str">
            <v>LUMINARIAS, TABLEROS, BREAKER</v>
          </cell>
          <cell r="F276" t="str">
            <v>UND</v>
          </cell>
          <cell r="J276">
            <v>0</v>
          </cell>
          <cell r="K276">
            <v>0</v>
          </cell>
          <cell r="L276">
            <v>0</v>
          </cell>
        </row>
        <row r="277">
          <cell r="B277" t="str">
            <v>15-01</v>
          </cell>
          <cell r="C277" t="str">
            <v>15</v>
          </cell>
          <cell r="D277" t="str">
            <v>15-01-080</v>
          </cell>
          <cell r="E277" t="str">
            <v>SUMINISTRO, TRANSPORTE E INSTALACIÓN DE CONTADOR MONOFASICO CICLOMETRICO 15(60A), INCLUYE CAJA METALICA CON ESPACIO PARA TOTALIZADOR.</v>
          </cell>
          <cell r="F277" t="str">
            <v>UND</v>
          </cell>
          <cell r="J277">
            <v>1206398.7936</v>
          </cell>
          <cell r="K277">
            <v>0</v>
          </cell>
          <cell r="L277">
            <v>0</v>
          </cell>
        </row>
        <row r="278">
          <cell r="B278" t="str">
            <v>15-01</v>
          </cell>
          <cell r="C278" t="str">
            <v>15</v>
          </cell>
          <cell r="D278" t="str">
            <v>15-01-090</v>
          </cell>
          <cell r="E278" t="str">
            <v>SUMINISTRO, TRANSPORTE E INSTALACIÓN DE BREAKER BIPOLAR DOBLE TORNILLO O TIPO RIEL DE 50 A. MARCA SIEMENS O SIMILAR</v>
          </cell>
          <cell r="F278" t="str">
            <v>UND</v>
          </cell>
          <cell r="J278">
            <v>301598.23680000001</v>
          </cell>
          <cell r="K278">
            <v>0</v>
          </cell>
          <cell r="L278">
            <v>0</v>
          </cell>
        </row>
        <row r="279">
          <cell r="B279" t="str">
            <v>15-01</v>
          </cell>
          <cell r="C279" t="str">
            <v>15</v>
          </cell>
          <cell r="D279" t="str">
            <v>15-01-100</v>
          </cell>
          <cell r="E279" t="str">
            <v xml:space="preserve">SUMINISTRO, TRANSPORTE E INSTALACIÓN DE TABLERO 2F, 4H, 8 CIRCUITOS, MARCA TERCOL  O SIMILAR . </v>
          </cell>
          <cell r="F279" t="str">
            <v>UND</v>
          </cell>
          <cell r="J279">
            <v>686718.14399999985</v>
          </cell>
          <cell r="K279">
            <v>0</v>
          </cell>
          <cell r="L279">
            <v>0</v>
          </cell>
        </row>
        <row r="280">
          <cell r="B280" t="str">
            <v>15-01</v>
          </cell>
          <cell r="C280" t="str">
            <v>15</v>
          </cell>
          <cell r="D280" t="str">
            <v>15-01-110</v>
          </cell>
          <cell r="E280" t="str">
            <v>SUMINISTRO, TRANSPORTE E INSTALACIÓN DE BREAKER MONOPOLAR ENCHUFABLE DE 20A. MARCA SIEMENS O SIMILAR</v>
          </cell>
          <cell r="F280" t="str">
            <v>UND</v>
          </cell>
          <cell r="J280">
            <v>271436.65919999999</v>
          </cell>
          <cell r="K280">
            <v>0</v>
          </cell>
          <cell r="L280">
            <v>0</v>
          </cell>
        </row>
        <row r="281">
          <cell r="B281" t="str">
            <v>15-01</v>
          </cell>
          <cell r="C281" t="str">
            <v>15</v>
          </cell>
          <cell r="D281" t="str">
            <v>15-01-120</v>
          </cell>
          <cell r="E281" t="str">
            <v>SUMINISTRO, TRANSPORTE E INSTALACIÓN DE BREAKER BIPOLAR ENCHUFABLE DE 30A. MARCA SIEMENS O SIMILAR</v>
          </cell>
          <cell r="F281" t="str">
            <v>UND</v>
          </cell>
          <cell r="J281">
            <v>45819.698399999994</v>
          </cell>
          <cell r="K281">
            <v>0</v>
          </cell>
          <cell r="L281">
            <v>0</v>
          </cell>
        </row>
        <row r="282">
          <cell r="B282" t="str">
            <v>15-01</v>
          </cell>
          <cell r="C282" t="str">
            <v>15</v>
          </cell>
          <cell r="D282" t="str">
            <v>15-01-130</v>
          </cell>
          <cell r="E282" t="str">
            <v>SUMINISTRO, TRANSPORTE E INSTALACION DE LUMINARIA 2X32W DE SOBREPONER. MARCA ISOLUX O SIMILAR. INCLUYE TUBO LUZ DIA,BALASTO ELECTRONICO MARCA OSRAM, CABLE ENCAUCHETADO 3X16 Y MACHO CON POLO A TIERRA.</v>
          </cell>
          <cell r="F282" t="str">
            <v>UND</v>
          </cell>
          <cell r="J282">
            <v>3596003.7120000003</v>
          </cell>
          <cell r="K282">
            <v>0</v>
          </cell>
          <cell r="L282">
            <v>0</v>
          </cell>
        </row>
        <row r="283">
          <cell r="B283" t="str">
            <v>15-01</v>
          </cell>
          <cell r="C283" t="str">
            <v>15</v>
          </cell>
          <cell r="D283" t="str">
            <v>15-01D</v>
          </cell>
          <cell r="E283" t="str">
            <v>OFICINAS SEGUNDO PISO</v>
          </cell>
          <cell r="F283">
            <v>0</v>
          </cell>
          <cell r="J283">
            <v>0</v>
          </cell>
          <cell r="K283">
            <v>0</v>
          </cell>
          <cell r="L283">
            <v>0</v>
          </cell>
        </row>
        <row r="284">
          <cell r="B284" t="str">
            <v>15-01</v>
          </cell>
          <cell r="C284" t="str">
            <v>15</v>
          </cell>
          <cell r="D284" t="str">
            <v>15-01E</v>
          </cell>
          <cell r="E284" t="str">
            <v>INSTALACIONES ELECTRICAS PARA TOMAS E ILUMINACION.</v>
          </cell>
          <cell r="F284">
            <v>0</v>
          </cell>
          <cell r="J284">
            <v>0</v>
          </cell>
          <cell r="K284">
            <v>0</v>
          </cell>
          <cell r="L284">
            <v>0</v>
          </cell>
        </row>
        <row r="285">
          <cell r="B285" t="str">
            <v>15-01</v>
          </cell>
          <cell r="C285" t="str">
            <v>15</v>
          </cell>
          <cell r="D285" t="str">
            <v>15-01-140</v>
          </cell>
          <cell r="E285" t="str">
            <v xml:space="preserve">SUMINISTRO, TRANSPORTE E INSTALACIÓN DE SALIDA PARA ILUMINACION. INCLUYE ALAMBRE RIGIDO 3#12, TUBERÍA EMT 1/2", CAJA METALICA 12X12X5, TOMA 15A/120V Y ACCESORIOS PARA SU CORRECTO FUNCIONAMIENTO. NO INCLUYE LUMINARIA </v>
          </cell>
          <cell r="F285" t="str">
            <v>UND</v>
          </cell>
          <cell r="J285">
            <v>5718773.0879999986</v>
          </cell>
          <cell r="K285">
            <v>0</v>
          </cell>
          <cell r="L285">
            <v>0</v>
          </cell>
        </row>
        <row r="286">
          <cell r="B286" t="str">
            <v>15-01</v>
          </cell>
          <cell r="C286" t="str">
            <v>15</v>
          </cell>
          <cell r="D286" t="str">
            <v>15-01-150</v>
          </cell>
          <cell r="E286" t="str">
            <v xml:space="preserve">SUMINISTRO, TRANSPORTE E INSTALACIÓN DE SALIDA PARA INTERRUPTOR SENCILLO. INCLUYE ALAMBRE RIGIDO 3#12, TUBERÍA EMT 1/2", CAJA METALICA 12X12X5, INTERRUPTOR SENCILLO Y ACCESORIOS PARA SU CORRECTOR FUNCIONAMIENTO. </v>
          </cell>
          <cell r="F286" t="str">
            <v>UND</v>
          </cell>
          <cell r="J286">
            <v>295798.60799999995</v>
          </cell>
          <cell r="K286">
            <v>0</v>
          </cell>
          <cell r="L286">
            <v>0</v>
          </cell>
        </row>
        <row r="287">
          <cell r="B287" t="str">
            <v>15-01</v>
          </cell>
          <cell r="C287" t="str">
            <v>15</v>
          </cell>
          <cell r="D287" t="str">
            <v>15-01-160</v>
          </cell>
          <cell r="E287" t="str">
            <v xml:space="preserve">SUMINISTRO, TRANSPORTE E INSTALACIÓN DE SALIDA PARA INTERRUPTOR DOBLE. INCLUYE ALAMBRE RIGIDO 3 #12, TUBERÍA EMT 1/2", CAJA METALICA 12X12X5, INTERRUPTOR DOBLE Y ACCESORIOS PARA SU CORRECTO FUNCIONAMIENTO. </v>
          </cell>
          <cell r="F287" t="str">
            <v>UND</v>
          </cell>
          <cell r="J287">
            <v>510398.02799999993</v>
          </cell>
          <cell r="K287">
            <v>0</v>
          </cell>
          <cell r="L287">
            <v>0</v>
          </cell>
        </row>
        <row r="288">
          <cell r="B288" t="str">
            <v>15-01</v>
          </cell>
          <cell r="C288" t="str">
            <v>15</v>
          </cell>
          <cell r="D288" t="str">
            <v>15-01-170</v>
          </cell>
          <cell r="E288" t="str">
            <v xml:space="preserve">SUMINISTRO, TRANSPORTE E INSTALACIÓN DE SALIDA PARA INTERRUPTOR TRIPLE. INCLUYE ALAMBRE RIGIDO 3 #12, TUBERÍA EMT 1/2", CAJA METALICA 12X12X5, INTERRUPTOR TRIPLE Y ACCESORIOS PARA SU CORRECTO FUNCIONAMIENTO. </v>
          </cell>
          <cell r="F288" t="str">
            <v>UND</v>
          </cell>
          <cell r="J288">
            <v>316679.02559999999</v>
          </cell>
          <cell r="K288">
            <v>0</v>
          </cell>
          <cell r="L288">
            <v>0</v>
          </cell>
        </row>
        <row r="289">
          <cell r="B289" t="str">
            <v>15-01</v>
          </cell>
          <cell r="C289" t="str">
            <v>15</v>
          </cell>
          <cell r="D289" t="str">
            <v>15-01-180</v>
          </cell>
          <cell r="E289" t="str">
            <v xml:space="preserve">SUMINISTRO, TRANSPORTE E INSTALACIÓN DE SALIDA PARA INTERRUPTOR DOBLE ESCALA. INCLUYE ALAMBRE RIGIDO 3 #12, TUBERÍA EMT 1/2", CAJA METALICA 12X12X5, INTERRUPTOR DOBLE ESCALA Y ACCESORIOS PARA SU CORRECTO FUNCIONAMIENTO. </v>
          </cell>
          <cell r="F289" t="str">
            <v>UND</v>
          </cell>
          <cell r="J289">
            <v>422238.70079999999</v>
          </cell>
          <cell r="K289">
            <v>0</v>
          </cell>
          <cell r="L289">
            <v>0</v>
          </cell>
        </row>
        <row r="290">
          <cell r="B290" t="str">
            <v>15-01</v>
          </cell>
          <cell r="C290" t="str">
            <v>15</v>
          </cell>
          <cell r="D290" t="str">
            <v>15-01-190</v>
          </cell>
          <cell r="E290" t="str">
            <v>SUMINISTRO, TRANSPORTE E INSTALACION DE SALIDA PARA  TOMA ENERGIA NORMAL, 15A, 120V POR CANALETA METALICA 11X5, INCLUYE ALAMBRE RIGIDO 3#12, TAPA TROQUEL METALICA Y TOMA LEVITON. NO INCLUYE CANALETA METALICA</v>
          </cell>
          <cell r="F290" t="str">
            <v>UND</v>
          </cell>
          <cell r="J290">
            <v>2960336.3328000004</v>
          </cell>
          <cell r="K290">
            <v>0</v>
          </cell>
          <cell r="L290">
            <v>0</v>
          </cell>
        </row>
        <row r="291">
          <cell r="B291" t="str">
            <v>15-01</v>
          </cell>
          <cell r="C291" t="str">
            <v>15</v>
          </cell>
          <cell r="D291" t="str">
            <v>15-01F</v>
          </cell>
          <cell r="E291" t="str">
            <v>INSTALACIONES PARA VOZ Y DATOS</v>
          </cell>
          <cell r="F291">
            <v>0</v>
          </cell>
          <cell r="J291">
            <v>0</v>
          </cell>
          <cell r="K291">
            <v>0</v>
          </cell>
          <cell r="L291">
            <v>0</v>
          </cell>
        </row>
        <row r="292">
          <cell r="B292" t="str">
            <v>15-01</v>
          </cell>
          <cell r="C292" t="str">
            <v>15</v>
          </cell>
          <cell r="D292" t="str">
            <v>15-01-200</v>
          </cell>
          <cell r="E292" t="str">
            <v>SUMINISTRO, TRANSPORTE E INSTALACION DE SALIDA DOBLE PARA VOZ Y DATOS EN CANALETA METALICA 10X4 CM , INCLUYE TAPA TROQUEL METALICA, JACK RJ45, FACE PLATE. NO INCLUYE CABLE UTP, NI CANALETA.</v>
          </cell>
          <cell r="F292" t="str">
            <v>UND</v>
          </cell>
          <cell r="J292">
            <v>2262007.2383999997</v>
          </cell>
          <cell r="K292">
            <v>0</v>
          </cell>
          <cell r="L292">
            <v>0</v>
          </cell>
        </row>
        <row r="293">
          <cell r="B293" t="str">
            <v>15-01</v>
          </cell>
          <cell r="C293" t="str">
            <v>15</v>
          </cell>
          <cell r="D293" t="str">
            <v>15-01-210</v>
          </cell>
          <cell r="E293" t="str">
            <v>SUMINISTRO, TRANSPORTE E INSTALACION DE CABLE UTP CATEGORIA 6</v>
          </cell>
          <cell r="F293" t="str">
            <v>ML</v>
          </cell>
          <cell r="J293">
            <v>3709716.1920000003</v>
          </cell>
          <cell r="K293">
            <v>0</v>
          </cell>
          <cell r="L293">
            <v>0</v>
          </cell>
        </row>
        <row r="294">
          <cell r="B294" t="str">
            <v>15-01</v>
          </cell>
          <cell r="C294" t="str">
            <v>15</v>
          </cell>
          <cell r="D294" t="str">
            <v>15-01-220</v>
          </cell>
          <cell r="E294" t="str">
            <v xml:space="preserve">SUMINISTRO, TRANSPORTE E INSTALACION DE PATCH PANEL DE 24 PUERTOS CATEGORIA 6. </v>
          </cell>
          <cell r="F294" t="str">
            <v>UND</v>
          </cell>
          <cell r="J294">
            <v>4036796.8401599992</v>
          </cell>
          <cell r="K294">
            <v>0</v>
          </cell>
          <cell r="L294">
            <v>0</v>
          </cell>
        </row>
        <row r="295">
          <cell r="B295" t="str">
            <v>15-01</v>
          </cell>
          <cell r="C295" t="str">
            <v>15</v>
          </cell>
          <cell r="D295" t="str">
            <v>15-01-230</v>
          </cell>
          <cell r="E295" t="str">
            <v>SUMINISTRO, TRANSPORTE E INSTALACION DE PATCH CORD DE 1.5 MTS CATEGORIA 6</v>
          </cell>
          <cell r="F295" t="str">
            <v>UND</v>
          </cell>
          <cell r="J295">
            <v>1749289.6511999997</v>
          </cell>
          <cell r="K295">
            <v>0</v>
          </cell>
          <cell r="L295">
            <v>0</v>
          </cell>
        </row>
        <row r="296">
          <cell r="B296" t="str">
            <v>15-01</v>
          </cell>
          <cell r="C296" t="str">
            <v>15</v>
          </cell>
          <cell r="D296" t="str">
            <v>15-01-240</v>
          </cell>
          <cell r="E296" t="str">
            <v>SUMINISTRO, TRANSPORTE E INSTALACION DE PATCH CORD DE 2 MTS CATEGORIA 6</v>
          </cell>
          <cell r="F296" t="str">
            <v>UND</v>
          </cell>
          <cell r="J296">
            <v>1055608.4447999997</v>
          </cell>
          <cell r="K296">
            <v>0</v>
          </cell>
          <cell r="L296">
            <v>0</v>
          </cell>
        </row>
        <row r="297">
          <cell r="B297" t="str">
            <v>15-01</v>
          </cell>
          <cell r="C297" t="str">
            <v>15</v>
          </cell>
          <cell r="D297" t="str">
            <v>15-01-250</v>
          </cell>
          <cell r="E297" t="str">
            <v>SUMINISTRO, TRANSPORTE E INSTALACION DE GABINETE CERRADO PARA TELECOMUNICACIONES DE 80CM DE ALTO.</v>
          </cell>
          <cell r="F297" t="str">
            <v>UND</v>
          </cell>
          <cell r="J297">
            <v>695999.45015999989</v>
          </cell>
          <cell r="K297">
            <v>0</v>
          </cell>
          <cell r="L297">
            <v>0</v>
          </cell>
        </row>
        <row r="298">
          <cell r="B298" t="str">
            <v>15-01</v>
          </cell>
          <cell r="C298" t="str">
            <v>15</v>
          </cell>
          <cell r="D298" t="str">
            <v>15-01-260</v>
          </cell>
          <cell r="E298" t="str">
            <v>SUMINISTRO, TRANSPORTE E INSTALACION DE CANALETA METALICA 10X4CM  PARA SALIDAS DE VOZ Y DATOS Y ENERGIA.</v>
          </cell>
          <cell r="F298" t="str">
            <v>UND</v>
          </cell>
          <cell r="J298">
            <v>8746448.2559999991</v>
          </cell>
          <cell r="K298">
            <v>0</v>
          </cell>
          <cell r="L298">
            <v>0</v>
          </cell>
        </row>
        <row r="299">
          <cell r="B299" t="str">
            <v>15-01</v>
          </cell>
          <cell r="C299" t="str">
            <v>15</v>
          </cell>
          <cell r="D299" t="str">
            <v>15-01-270</v>
          </cell>
          <cell r="E299" t="str">
            <v>CERTIFICACION DE PUNTO DE VOZ Y/O DATOS</v>
          </cell>
          <cell r="F299" t="str">
            <v>UND</v>
          </cell>
          <cell r="J299">
            <v>904792.72540799994</v>
          </cell>
          <cell r="K299">
            <v>0</v>
          </cell>
          <cell r="L299">
            <v>0</v>
          </cell>
        </row>
        <row r="300">
          <cell r="B300" t="str">
            <v>15-01</v>
          </cell>
          <cell r="C300" t="str">
            <v>15</v>
          </cell>
          <cell r="D300" t="str">
            <v>15-01G</v>
          </cell>
          <cell r="E300" t="str">
            <v>LUMINARIAS, TABLEROS, BREAKER</v>
          </cell>
          <cell r="F300">
            <v>0</v>
          </cell>
          <cell r="J300">
            <v>0</v>
          </cell>
          <cell r="K300">
            <v>0</v>
          </cell>
          <cell r="L300">
            <v>0</v>
          </cell>
        </row>
        <row r="301">
          <cell r="B301" t="str">
            <v>15-01</v>
          </cell>
          <cell r="C301" t="str">
            <v>15</v>
          </cell>
          <cell r="D301" t="str">
            <v>15-01-280</v>
          </cell>
          <cell r="E301" t="str">
            <v xml:space="preserve">SUMINISTRO, TRANSPORTE E INSTALACIÓN DE TABLERO 2F, 4H, 18 CIRCUITOS, MARCA TERCOL  O SIMILAR . </v>
          </cell>
          <cell r="F301" t="str">
            <v>UND</v>
          </cell>
          <cell r="J301">
            <v>249400.11599999995</v>
          </cell>
          <cell r="K301">
            <v>0</v>
          </cell>
          <cell r="L301">
            <v>0</v>
          </cell>
        </row>
        <row r="302">
          <cell r="B302" t="str">
            <v>15-01</v>
          </cell>
          <cell r="C302" t="str">
            <v>15</v>
          </cell>
          <cell r="D302" t="str">
            <v>15-01-290</v>
          </cell>
          <cell r="E302" t="str">
            <v>SUMINISTRO, TRANSPORTE E INSTALACIÓN DE BREAKER BIPOLAR ENCHUFABLE DE 70A. MARCA SIEMENS O SIMILAR</v>
          </cell>
          <cell r="F302" t="str">
            <v>UND</v>
          </cell>
          <cell r="J302">
            <v>98599.535999999978</v>
          </cell>
          <cell r="K302">
            <v>0</v>
          </cell>
          <cell r="L302">
            <v>0</v>
          </cell>
        </row>
        <row r="303">
          <cell r="B303" t="str">
            <v>15-01</v>
          </cell>
          <cell r="C303" t="str">
            <v>15</v>
          </cell>
          <cell r="D303" t="str">
            <v>15-01-300</v>
          </cell>
          <cell r="E303" t="str">
            <v>SUMINISTRO, TRANSPORTE E INSTALACIÓN DE BREAKER MONOPOLAR ENCHUFABLE DE 20A. MARCA SIEMENS O SIMILAR</v>
          </cell>
          <cell r="F303" t="str">
            <v>UND</v>
          </cell>
          <cell r="J303">
            <v>226197.21600000001</v>
          </cell>
          <cell r="K303">
            <v>0</v>
          </cell>
          <cell r="L303">
            <v>0</v>
          </cell>
        </row>
        <row r="304">
          <cell r="B304" t="str">
            <v>15-01</v>
          </cell>
          <cell r="C304" t="str">
            <v>15</v>
          </cell>
          <cell r="D304" t="str">
            <v>15-01-310</v>
          </cell>
          <cell r="E304" t="str">
            <v>SUMINISTRO, TRANSPORTE E INSTALACIÓN DE ACOMETIDA ELECTRICA 2#6+2#8</v>
          </cell>
          <cell r="F304" t="str">
            <v>ML</v>
          </cell>
          <cell r="J304">
            <v>1237131.8567999997</v>
          </cell>
          <cell r="K304">
            <v>0</v>
          </cell>
          <cell r="L304">
            <v>0</v>
          </cell>
        </row>
        <row r="305">
          <cell r="B305" t="str">
            <v>15-01</v>
          </cell>
          <cell r="C305" t="str">
            <v>15</v>
          </cell>
          <cell r="D305" t="str">
            <v>15-01-320</v>
          </cell>
          <cell r="E305" t="str">
            <v>SUMINISTRO, TRANSPORTE E INSTALACIÓN DE TUBERIA EMT 11/4</v>
          </cell>
          <cell r="F305" t="str">
            <v>ML</v>
          </cell>
          <cell r="J305">
            <v>637988.4</v>
          </cell>
          <cell r="K305">
            <v>0</v>
          </cell>
          <cell r="L305">
            <v>0</v>
          </cell>
        </row>
        <row r="306">
          <cell r="B306" t="str">
            <v>15-01</v>
          </cell>
          <cell r="C306" t="str">
            <v>15</v>
          </cell>
          <cell r="D306" t="str">
            <v>15-01-330</v>
          </cell>
          <cell r="E306" t="str">
            <v>SUMINISTRO, TRANSPORTE E INSTALACION DE LUMINARIA 2X32W DE SOBREPONER. MARCA ISOLUX O SIMILAR. INCLUYE TUBO LUZ DIA,BALASTO ELECTRONICO MARCA OSRAM, CABLE ENCAUCHETADO 3X16 Y MACHO CON POLO A TIERRA.</v>
          </cell>
          <cell r="F306" t="str">
            <v>UND</v>
          </cell>
          <cell r="J306">
            <v>7192007.4240000006</v>
          </cell>
          <cell r="K306">
            <v>0</v>
          </cell>
          <cell r="L306">
            <v>0</v>
          </cell>
        </row>
        <row r="307">
          <cell r="B307" t="str">
            <v>15-01</v>
          </cell>
          <cell r="C307" t="str">
            <v>15</v>
          </cell>
          <cell r="D307" t="str">
            <v>15-01-340</v>
          </cell>
          <cell r="E307" t="str">
            <v>SUMINISTRO, TRANSPORTE E INSTALACION DE OJO DE BUEY 2X32W. MARCA ISOLUX O SIMILAR. INCLUYE BOMBILLAS 326W, CABLE ENCAUCHETADO 3X16 Y MACHO CON POLO A TIERRA.</v>
          </cell>
          <cell r="F307" t="str">
            <v>UND</v>
          </cell>
          <cell r="J307">
            <v>4408010.2079999996</v>
          </cell>
          <cell r="K307">
            <v>0</v>
          </cell>
          <cell r="L307">
            <v>0</v>
          </cell>
        </row>
        <row r="308">
          <cell r="B308" t="str">
            <v>15-01</v>
          </cell>
          <cell r="C308" t="str">
            <v>15</v>
          </cell>
          <cell r="D308" t="str">
            <v>15-01H</v>
          </cell>
          <cell r="E308" t="str">
            <v>INSTALACIONES TEATRO INCLUYE CAMERINOS</v>
          </cell>
          <cell r="F308">
            <v>0</v>
          </cell>
          <cell r="J308">
            <v>0</v>
          </cell>
          <cell r="K308">
            <v>0</v>
          </cell>
          <cell r="L308">
            <v>0</v>
          </cell>
        </row>
        <row r="309">
          <cell r="B309" t="str">
            <v>15-01</v>
          </cell>
          <cell r="C309" t="str">
            <v>15</v>
          </cell>
          <cell r="D309" t="str">
            <v>15-01I</v>
          </cell>
          <cell r="E309" t="str">
            <v>INSTALACIONES ELECTRICAS PARA TOMAS, ILUMINACION Y TELEFONO</v>
          </cell>
          <cell r="F309" t="str">
            <v>UND</v>
          </cell>
          <cell r="J309">
            <v>0</v>
          </cell>
          <cell r="K309">
            <v>0</v>
          </cell>
          <cell r="L309">
            <v>0</v>
          </cell>
        </row>
        <row r="310">
          <cell r="B310" t="str">
            <v>15-01</v>
          </cell>
          <cell r="C310" t="str">
            <v>15</v>
          </cell>
          <cell r="D310" t="str">
            <v>15-01-350</v>
          </cell>
          <cell r="E310" t="str">
            <v xml:space="preserve">SUMINISTRO, TRANSPORTE E INSTALACIÓN DE SALIDA PARA ILUMINACION. INCLUYE ALAMBRE RIGIDO 3#12, TUBERÍA EMT 1/2", CAJA METALICA 12X12X5, TOMA 15A/120V Y ACCESORIOS PARA SU CORRECTO FUNCIONAMIENTO. NO INCLUYE LUMINARIA </v>
          </cell>
          <cell r="F310" t="str">
            <v>UND</v>
          </cell>
          <cell r="J310">
            <v>2760787.0079999994</v>
          </cell>
          <cell r="K310">
            <v>0</v>
          </cell>
          <cell r="L310">
            <v>0</v>
          </cell>
        </row>
        <row r="311">
          <cell r="B311" t="str">
            <v>15-01</v>
          </cell>
          <cell r="C311" t="str">
            <v>15</v>
          </cell>
          <cell r="D311" t="str">
            <v>15-01-360</v>
          </cell>
          <cell r="E311" t="str">
            <v xml:space="preserve">SUMINISTRO, TRANSPORTE E INSTALACIÓN DE SALIDA PARA INTERRUPTOR SENCILLO. INCLUYE ALAMBRE RIGIDO 3#12, TUBERÍA EMT 1/2", CAJA METALICA 12X12X5, INTERRUPTOR SENCILLO Y ACCESORIOS PARA SU CORRECTOR FUNCIONAMIENTO. </v>
          </cell>
          <cell r="F311" t="str">
            <v>UND</v>
          </cell>
          <cell r="J311">
            <v>394398.14399999991</v>
          </cell>
          <cell r="K311">
            <v>0</v>
          </cell>
          <cell r="L311">
            <v>0</v>
          </cell>
        </row>
        <row r="312">
          <cell r="B312" t="str">
            <v>15-01</v>
          </cell>
          <cell r="C312" t="str">
            <v>15</v>
          </cell>
          <cell r="D312" t="str">
            <v>15-01-370</v>
          </cell>
          <cell r="E312" t="str">
            <v xml:space="preserve">SUMINISTRO, TRANSPORTE E INSTALACIÓN DE SALIDA PARA INTERRUPTOR DOBLE. INCLUYE ALAMBRE RIGIDO 3 #12, TUBERÍA EMT 1/2", CAJA METALICA 12X12X5, INTERRUPTOR DOBLE Y ACCESORIOS PARA SU CORRECTO FUNCIONAMIENTO. </v>
          </cell>
          <cell r="F312" t="str">
            <v>UND</v>
          </cell>
          <cell r="J312">
            <v>204159.21119999996</v>
          </cell>
          <cell r="K312">
            <v>0</v>
          </cell>
          <cell r="L312">
            <v>0</v>
          </cell>
        </row>
        <row r="313">
          <cell r="B313" t="str">
            <v>15-01</v>
          </cell>
          <cell r="C313" t="str">
            <v>15</v>
          </cell>
          <cell r="D313" t="str">
            <v>15-01-380</v>
          </cell>
          <cell r="E313" t="str">
            <v xml:space="preserve">SUMINISTRO, TRANSPORTE E INSTALACIÓN DE SALIDA PARA INTERRUPTOR SENCILLO ESCALA. INCLUYE ALAMBRE RIGIDO 3 #12, TUBERÍA EMT 1/2", CAJA METALICA 12X12X5, INTERRUPTOR SENCILLO ESCALA Y ACCESORIOS PARA SU CORRECTO FUNCIONAMIENTO. </v>
          </cell>
          <cell r="F313" t="str">
            <v>UND</v>
          </cell>
          <cell r="J313">
            <v>214600.88159999999</v>
          </cell>
          <cell r="K313">
            <v>0</v>
          </cell>
          <cell r="L313">
            <v>0</v>
          </cell>
        </row>
        <row r="314">
          <cell r="B314" t="str">
            <v>15-01</v>
          </cell>
          <cell r="C314" t="str">
            <v>15</v>
          </cell>
          <cell r="D314" t="str">
            <v>15-01-390</v>
          </cell>
          <cell r="E314" t="str">
            <v>SUMINISTRO, TRANSPORTE E INSTALACIÓN DE SALIDA PARA TOMA DOBLE 15A/120V. INCLUYE ALAMBRE RIGIDO 3#12, TUBERÍA EMT 1/2", CAJA METALICA 12X12X5, TOMA 15A/120V Y ACCESORIOS PARA SU CORRECTO FUNCIONAMIENTO.</v>
          </cell>
          <cell r="F314" t="str">
            <v>UND</v>
          </cell>
          <cell r="J314">
            <v>3746782.3679999993</v>
          </cell>
          <cell r="K314">
            <v>0</v>
          </cell>
          <cell r="L314">
            <v>0</v>
          </cell>
        </row>
        <row r="315">
          <cell r="B315" t="str">
            <v>15-01</v>
          </cell>
          <cell r="C315" t="str">
            <v>15</v>
          </cell>
          <cell r="D315" t="str">
            <v>15-01-400</v>
          </cell>
          <cell r="E315" t="str">
            <v>SUMINISTRO, TRANSPORTE E INSTALACIÓN DE SALIDA PARA TELEFONO. INCLUYE CABLE TELEFONICO 2 PARES, TUBERÍA EMT 1/2", CAJA METALICA 12X12X5, TOMA TELEFONICO Y ACCESORIOS PARA SU CORRECTO FUNCIONAMIENTO.</v>
          </cell>
          <cell r="F315" t="str">
            <v>UND</v>
          </cell>
          <cell r="J315">
            <v>96279.976800000004</v>
          </cell>
          <cell r="K315">
            <v>0</v>
          </cell>
          <cell r="L315">
            <v>0</v>
          </cell>
        </row>
        <row r="316">
          <cell r="B316" t="str">
            <v>15-01</v>
          </cell>
          <cell r="C316" t="str">
            <v>15</v>
          </cell>
          <cell r="D316" t="str">
            <v>15-01J</v>
          </cell>
          <cell r="E316" t="str">
            <v>LUMINARIAS, TABLEROS, BREAKER</v>
          </cell>
          <cell r="F316">
            <v>0</v>
          </cell>
          <cell r="J316">
            <v>0</v>
          </cell>
          <cell r="K316">
            <v>0</v>
          </cell>
          <cell r="L316">
            <v>0</v>
          </cell>
        </row>
        <row r="317">
          <cell r="B317" t="str">
            <v>15-01</v>
          </cell>
          <cell r="C317" t="str">
            <v>15</v>
          </cell>
          <cell r="D317" t="str">
            <v>15-01-410</v>
          </cell>
          <cell r="E317" t="str">
            <v xml:space="preserve">SUMINISTRO, TRANSPORTE E INSTALACIÓN DE TABLERO 2F, 4H, 12 CIRCUITOS, MARCA TERCOL  O SIMILAR . </v>
          </cell>
          <cell r="F317" t="str">
            <v>UND</v>
          </cell>
          <cell r="J317">
            <v>249400.11599999995</v>
          </cell>
          <cell r="K317">
            <v>0</v>
          </cell>
          <cell r="L317">
            <v>0</v>
          </cell>
        </row>
        <row r="318">
          <cell r="B318" t="str">
            <v>15-01</v>
          </cell>
          <cell r="C318" t="str">
            <v>15</v>
          </cell>
          <cell r="D318" t="str">
            <v>15-01-420</v>
          </cell>
          <cell r="E318" t="str">
            <v>SUMINISTRO, TRANSPORTE E INSTALACIÓN DE BREAKER BIPOLAR ENCHUFABLE DE 40A. MARCA SIEMENS O SIMILAR</v>
          </cell>
          <cell r="F318" t="str">
            <v>UND</v>
          </cell>
          <cell r="J318">
            <v>64959.496559999992</v>
          </cell>
          <cell r="K318">
            <v>0</v>
          </cell>
          <cell r="L318">
            <v>0</v>
          </cell>
        </row>
        <row r="319">
          <cell r="B319" t="str">
            <v>15-01</v>
          </cell>
          <cell r="C319" t="str">
            <v>15</v>
          </cell>
          <cell r="D319" t="str">
            <v>15-01-430</v>
          </cell>
          <cell r="E319" t="str">
            <v>SUMINISTRO, TRANSPORTE E INSTALACIÓN DE BREAKER BREAKER INDUSTRIAL DE 250A. MARCA SIEMENS O SIMILAR</v>
          </cell>
          <cell r="F319" t="str">
            <v>UND</v>
          </cell>
          <cell r="J319">
            <v>1276000.1856</v>
          </cell>
          <cell r="K319">
            <v>0</v>
          </cell>
          <cell r="L319">
            <v>0</v>
          </cell>
        </row>
        <row r="320">
          <cell r="B320" t="str">
            <v>15-01</v>
          </cell>
          <cell r="C320" t="str">
            <v>15</v>
          </cell>
          <cell r="D320" t="str">
            <v>15-01-440</v>
          </cell>
          <cell r="E320" t="str">
            <v>SUMINISTRO, TRANSPORTE E INSTALACIÓN DE BREAKER MONOPOLAR ENCHUFABLE DE 20A. MARCA SIEMENS O SIMILAR</v>
          </cell>
          <cell r="F320" t="str">
            <v>UND</v>
          </cell>
          <cell r="J320">
            <v>294056.38079999998</v>
          </cell>
          <cell r="K320">
            <v>0</v>
          </cell>
          <cell r="L320">
            <v>0</v>
          </cell>
        </row>
        <row r="321">
          <cell r="B321" t="str">
            <v>15-01</v>
          </cell>
          <cell r="C321" t="str">
            <v>15</v>
          </cell>
          <cell r="D321" t="str">
            <v>15-01-450</v>
          </cell>
          <cell r="E321" t="str">
            <v>SUMINISTRO, TRANSPORTE E INSTALACIÓN DE ACOMETIDA ELECTRICA 2#8+1#8+1#10</v>
          </cell>
          <cell r="F321" t="str">
            <v>ML</v>
          </cell>
          <cell r="J321">
            <v>2560354.8768000002</v>
          </cell>
          <cell r="K321">
            <v>0</v>
          </cell>
          <cell r="L321">
            <v>0</v>
          </cell>
        </row>
        <row r="322">
          <cell r="B322" t="str">
            <v>15-01</v>
          </cell>
          <cell r="C322" t="str">
            <v>15</v>
          </cell>
          <cell r="D322" t="str">
            <v>15-01-460</v>
          </cell>
          <cell r="E322" t="str">
            <v>SUMINISTRO, TRANSPORTE E INSTALACIÓN DE ACOMETIDA ELECTRICA 2#4/0+1#2/0+1#2</v>
          </cell>
          <cell r="F322" t="str">
            <v>ML</v>
          </cell>
          <cell r="J322">
            <v>2964966.6815999993</v>
          </cell>
          <cell r="K322">
            <v>0</v>
          </cell>
          <cell r="L322">
            <v>0</v>
          </cell>
        </row>
        <row r="323">
          <cell r="B323" t="str">
            <v>15-01</v>
          </cell>
          <cell r="C323" t="str">
            <v>15</v>
          </cell>
          <cell r="D323" t="str">
            <v>15-01-470</v>
          </cell>
          <cell r="E323" t="str">
            <v>SUMINISTRO, TRANSPORTE E INSTALACIÓN DE TUBERIA EMT 1"</v>
          </cell>
          <cell r="F323" t="str">
            <v>ML</v>
          </cell>
          <cell r="J323">
            <v>1461629.2320000001</v>
          </cell>
          <cell r="K323">
            <v>0</v>
          </cell>
          <cell r="L323">
            <v>0</v>
          </cell>
        </row>
        <row r="324">
          <cell r="B324" t="str">
            <v>15-01</v>
          </cell>
          <cell r="C324" t="str">
            <v>15</v>
          </cell>
          <cell r="D324" t="str">
            <v>15-01-480</v>
          </cell>
          <cell r="E324" t="str">
            <v>SUMINISTRO, TRANSPORTE E INSTALACIÓN DE TUBERIA EMT 3"</v>
          </cell>
          <cell r="F324" t="str">
            <v>ML</v>
          </cell>
          <cell r="J324">
            <v>753995.59200000006</v>
          </cell>
          <cell r="K324">
            <v>0</v>
          </cell>
          <cell r="L324">
            <v>0</v>
          </cell>
        </row>
        <row r="325">
          <cell r="B325" t="str">
            <v>15-01</v>
          </cell>
          <cell r="C325" t="str">
            <v>15</v>
          </cell>
          <cell r="D325" t="str">
            <v>15-01-490</v>
          </cell>
          <cell r="E325" t="str">
            <v>SUMINISTRO, TRANSPORTE E INSTALACION DE LUMINARIA 2X32W DE SOBREPONER. MARCA ISOLUX O SIMILAR. INCLUYE TUBO LUZ DIA,BALASTO ELECTRONICO MARCA OSRAM, CABLE ENCAUCHETADO 3X16 Y MACHO CON POLO A TIERRA.</v>
          </cell>
          <cell r="F325" t="str">
            <v>UND</v>
          </cell>
          <cell r="J325">
            <v>1078801.1136000003</v>
          </cell>
          <cell r="K325">
            <v>0</v>
          </cell>
          <cell r="L325">
            <v>0</v>
          </cell>
        </row>
        <row r="326">
          <cell r="B326" t="str">
            <v>15-01</v>
          </cell>
          <cell r="C326" t="str">
            <v>15</v>
          </cell>
          <cell r="D326" t="str">
            <v>15-01-500</v>
          </cell>
          <cell r="E326" t="str">
            <v>SUMINISTRO, TRANSPORTE E INSTALACION DE LUMINARIA 2X54W DE SOBREPONER. MARCA ISOLUX O SIMILAR. INCLUYE TUBO LUZ DIA,BALASTO ELECTRONICO MARCA OSRAM, CABLE ENCAUCHETADO 3X16 Y MACHO CON POLO A TIERRA.</v>
          </cell>
          <cell r="F326" t="str">
            <v>UND</v>
          </cell>
          <cell r="J326">
            <v>33051346.423199996</v>
          </cell>
          <cell r="K326">
            <v>0</v>
          </cell>
          <cell r="L326">
            <v>0</v>
          </cell>
        </row>
        <row r="327">
          <cell r="B327" t="str">
            <v>15-01</v>
          </cell>
          <cell r="C327" t="str">
            <v>15</v>
          </cell>
          <cell r="D327" t="str">
            <v>15-01-510</v>
          </cell>
          <cell r="E327" t="str">
            <v>SUMINISTRO, TRANSPORTE E INSTALACION DE OJO DE BUEY 2X32W. MARCA ISOLUX O SIMILAR. INCLUYE BOMBILLO 32W, CABLE ENCAUCHETADO 3X16 Y MACHO CON POLO A TIERRA.</v>
          </cell>
          <cell r="F327" t="str">
            <v>UND</v>
          </cell>
          <cell r="J327">
            <v>13224030.623999998</v>
          </cell>
          <cell r="K327">
            <v>0</v>
          </cell>
          <cell r="L327">
            <v>0</v>
          </cell>
        </row>
        <row r="328">
          <cell r="B328" t="str">
            <v>15-01</v>
          </cell>
          <cell r="C328" t="str">
            <v>15</v>
          </cell>
          <cell r="D328" t="str">
            <v>15-01-520</v>
          </cell>
          <cell r="E328" t="str">
            <v>SUMINISTRO, TRANSPORTE E INSTALACION DE MINI LED DE 20W. MARCA ISOLUX O SIMILAR. INCLUYE  CABLE ENCAUCHETADO 3X16 Y MACHO CON POLO A TIERRA.</v>
          </cell>
          <cell r="F328" t="str">
            <v>UND</v>
          </cell>
          <cell r="J328">
            <v>3841929.6047999999</v>
          </cell>
          <cell r="K328">
            <v>0</v>
          </cell>
          <cell r="L328">
            <v>0</v>
          </cell>
        </row>
        <row r="329">
          <cell r="B329" t="str">
            <v>15-01</v>
          </cell>
          <cell r="C329" t="str">
            <v>15</v>
          </cell>
          <cell r="D329" t="str">
            <v>15-01-530</v>
          </cell>
          <cell r="E329" t="str">
            <v>SUMINISTRO, TRANSPORTE E INSTALACION DE LUMINARIA DECORATIVA 2X26W. MARCA ISOLUX O SIMILAR. INCLUYE  CABLE ENCAUCHETADO 3X16 Y MACHO CON POLO A TIERRA.</v>
          </cell>
          <cell r="F329" t="str">
            <v>UND</v>
          </cell>
          <cell r="J329">
            <v>1531195.5455999996</v>
          </cell>
          <cell r="K329">
            <v>0</v>
          </cell>
          <cell r="L329">
            <v>0</v>
          </cell>
        </row>
        <row r="330">
          <cell r="B330" t="str">
            <v>15-01</v>
          </cell>
          <cell r="C330" t="str">
            <v>15</v>
          </cell>
          <cell r="D330" t="str">
            <v>15-01-540</v>
          </cell>
          <cell r="E330" t="str">
            <v>SUMINISTRO, TRANSPORTE E INSTALACION DE LUMINARIA DECORATIVA 2X20W. MARCA ISOLUX O SIMILAR. INCLUYE  CABLE ENCAUCHETADO 3X16 Y MACHO CON POLO A TIERRA.</v>
          </cell>
          <cell r="F330" t="str">
            <v>UND</v>
          </cell>
          <cell r="J330">
            <v>1099681.5311999996</v>
          </cell>
          <cell r="K330">
            <v>0</v>
          </cell>
          <cell r="L330">
            <v>0</v>
          </cell>
        </row>
        <row r="331">
          <cell r="B331" t="str">
            <v>15-01</v>
          </cell>
          <cell r="C331" t="str">
            <v>15</v>
          </cell>
          <cell r="D331" t="str">
            <v>15-01-550</v>
          </cell>
          <cell r="E331" t="str">
            <v>SUMINISTRO, TRANSPORTE E INSTALACION DE LUMINARIA DE EMERGENCIA DE 5W. MARCA ISOLUX O SIMILAR. INCLUYE  CABLE ENCAUCHETADO 3X16 Y MACHO CON POLO A TIERRA.</v>
          </cell>
          <cell r="F331" t="str">
            <v>UND</v>
          </cell>
          <cell r="J331">
            <v>1421001.1368</v>
          </cell>
          <cell r="K331">
            <v>0</v>
          </cell>
          <cell r="L331">
            <v>0</v>
          </cell>
        </row>
        <row r="332">
          <cell r="B332" t="str">
            <v>15-01</v>
          </cell>
          <cell r="C332" t="str">
            <v>15</v>
          </cell>
          <cell r="D332" t="str">
            <v>15-01-560</v>
          </cell>
          <cell r="E332" t="str">
            <v>GABINETE PARA CONTROL DE TABLERO DE ILUMINACION DE 18 CIRCUITOS</v>
          </cell>
          <cell r="F332" t="str">
            <v>UND</v>
          </cell>
          <cell r="J332">
            <v>2900000.0231999997</v>
          </cell>
          <cell r="K332">
            <v>0</v>
          </cell>
          <cell r="L332">
            <v>0</v>
          </cell>
        </row>
        <row r="333">
          <cell r="B333" t="str">
            <v>15-01</v>
          </cell>
          <cell r="C333" t="str">
            <v>15</v>
          </cell>
          <cell r="D333" t="str">
            <v>15-01-570</v>
          </cell>
          <cell r="E333" t="str">
            <v>GABINETE PARA CONTROL DE SONIDO, INCLUYE EQUIPOS SEGÚN ESPECIFICACIONES DEL PROVEEDOR ELEGIDO</v>
          </cell>
          <cell r="F333" t="str">
            <v>UND</v>
          </cell>
          <cell r="J333">
            <v>3363999.5592</v>
          </cell>
          <cell r="K333">
            <v>0</v>
          </cell>
          <cell r="L333">
            <v>0</v>
          </cell>
        </row>
        <row r="334">
          <cell r="B334" t="str">
            <v>15-01</v>
          </cell>
          <cell r="C334" t="str">
            <v>15</v>
          </cell>
          <cell r="D334" t="str">
            <v>15-01-580</v>
          </cell>
          <cell r="E334" t="str">
            <v xml:space="preserve">SUMINISTRO, TRANSPORTE E INSTALACION DE TRANSFORMADOR MONOFASICO DE 37.5 KVA EN POSTE. INCLUYE ACOMETIDA ELECTRICA, BAJANTE, CAJA PARA CONTADOR, CONTADOR , CANALIZACION,  CAJA DE PISO Y TODOS ELEMENTOS NECESARIOS PARA SU CORRECTA INSTALACION        </v>
          </cell>
          <cell r="F334" t="str">
            <v>GL</v>
          </cell>
          <cell r="J334">
            <v>8119999.9187999992</v>
          </cell>
          <cell r="K334">
            <v>0</v>
          </cell>
          <cell r="L334">
            <v>0</v>
          </cell>
        </row>
        <row r="336">
          <cell r="E336" t="str">
            <v>SUBTOTAL COSTO DIRECTO</v>
          </cell>
          <cell r="L336">
            <v>1767679684.136539</v>
          </cell>
        </row>
        <row r="337">
          <cell r="E337" t="str">
            <v>TOTAL COSTO DIRECTO</v>
          </cell>
          <cell r="L337">
            <v>1767679684.136539</v>
          </cell>
        </row>
        <row r="338">
          <cell r="E338" t="str">
            <v>TOTAL AIU</v>
          </cell>
          <cell r="F338" t="str">
            <v>%</v>
          </cell>
          <cell r="J338">
            <v>797684278.27780652</v>
          </cell>
          <cell r="L338">
            <v>797684278.27780652</v>
          </cell>
        </row>
        <row r="339">
          <cell r="E339" t="str">
            <v>IMPUESTO DE SEGURIDAD NACIONAL</v>
          </cell>
          <cell r="F339" t="str">
            <v>%</v>
          </cell>
          <cell r="J339">
            <v>135040464.79270735</v>
          </cell>
          <cell r="L339">
            <v>135040464.79270735</v>
          </cell>
        </row>
        <row r="341">
          <cell r="E341" t="str">
            <v>GRAN TOTAL</v>
          </cell>
          <cell r="L341">
            <v>2700404427.2070532</v>
          </cell>
        </row>
      </sheetData>
      <sheetData sheetId="2"/>
      <sheetData sheetId="3"/>
      <sheetData sheetId="4"/>
      <sheetData sheetId="5">
        <row r="1">
          <cell r="B1" t="str">
            <v>ANALISIS DE PRECIOS UNITARIOS - TEATRO JERICO</v>
          </cell>
        </row>
        <row r="2">
          <cell r="B2" t="str">
            <v>CLAVE</v>
          </cell>
          <cell r="C2" t="str">
            <v>DESCRIPCION</v>
          </cell>
          <cell r="D2" t="str">
            <v>CANTIDAD</v>
          </cell>
          <cell r="E2" t="str">
            <v>UN</v>
          </cell>
          <cell r="F2" t="str">
            <v>VR. UNIT.</v>
          </cell>
          <cell r="G2" t="str">
            <v>VR. TOTAL</v>
          </cell>
        </row>
        <row r="3">
          <cell r="B3" t="str">
            <v>01</v>
          </cell>
          <cell r="C3" t="str">
            <v>PRELIMINARES</v>
          </cell>
          <cell r="F3">
            <v>0</v>
          </cell>
          <cell r="G3">
            <v>0</v>
          </cell>
          <cell r="M3" t="e">
            <v>#N/A</v>
          </cell>
        </row>
        <row r="4">
          <cell r="A4" t="str">
            <v>01-01-010</v>
          </cell>
          <cell r="B4" t="str">
            <v>01-01-010</v>
          </cell>
          <cell r="C4" t="str">
            <v>CERRAMIENTO PROVISIONAL EN TELA DE CERRAMIENTO VERDE H: 2.10 M. INCLUYE ESTRUCTURA DE MADERA COMUN, ANCLAJES DE PARALES AL PISO Y TELA VERDE</v>
          </cell>
          <cell r="D4">
            <v>62</v>
          </cell>
          <cell r="E4" t="str">
            <v>M</v>
          </cell>
          <cell r="F4">
            <v>0</v>
          </cell>
          <cell r="G4">
            <v>14615</v>
          </cell>
          <cell r="M4" t="e">
            <v>#N/A</v>
          </cell>
        </row>
        <row r="5">
          <cell r="A5" t="str">
            <v>01-01-010</v>
          </cell>
          <cell r="B5" t="str">
            <v>mt56200</v>
          </cell>
          <cell r="C5" t="str">
            <v>Canes en madera comun</v>
          </cell>
          <cell r="D5">
            <v>2.5</v>
          </cell>
          <cell r="E5" t="str">
            <v>m</v>
          </cell>
          <cell r="F5">
            <v>1172.2964000000004</v>
          </cell>
          <cell r="G5">
            <v>2931</v>
          </cell>
          <cell r="M5" t="str">
            <v>mt</v>
          </cell>
        </row>
        <row r="6">
          <cell r="A6" t="str">
            <v>01-01-010</v>
          </cell>
          <cell r="B6" t="str">
            <v>au10700</v>
          </cell>
          <cell r="C6" t="str">
            <v>Aux concreto 3000 psi -obra- 3/4"</v>
          </cell>
          <cell r="D6">
            <v>2.0000000000000005E-3</v>
          </cell>
          <cell r="E6" t="str">
            <v>m3</v>
          </cell>
          <cell r="F6">
            <v>271081</v>
          </cell>
          <cell r="G6">
            <v>543</v>
          </cell>
          <cell r="M6" t="str">
            <v>au</v>
          </cell>
        </row>
        <row r="7">
          <cell r="A7" t="str">
            <v>01-01-010</v>
          </cell>
          <cell r="B7" t="str">
            <v>mt120810</v>
          </cell>
          <cell r="C7" t="str">
            <v>Tela verde cerramiento h: 2.10 m</v>
          </cell>
          <cell r="D7">
            <v>1.1000000000000001</v>
          </cell>
          <cell r="E7" t="str">
            <v>m</v>
          </cell>
          <cell r="F7">
            <v>4700</v>
          </cell>
          <cell r="G7">
            <v>5170</v>
          </cell>
          <cell r="M7" t="str">
            <v>mt</v>
          </cell>
        </row>
        <row r="8">
          <cell r="A8" t="str">
            <v>01-01-010</v>
          </cell>
          <cell r="B8" t="str">
            <v>mt13000</v>
          </cell>
          <cell r="C8" t="str">
            <v>Clavo corriente 1-1/2" a 3"</v>
          </cell>
          <cell r="D8">
            <v>0.1</v>
          </cell>
          <cell r="E8" t="str">
            <v>lb</v>
          </cell>
          <cell r="F8">
            <v>2366.3999999999996</v>
          </cell>
          <cell r="G8">
            <v>237</v>
          </cell>
          <cell r="M8" t="str">
            <v>mt</v>
          </cell>
        </row>
        <row r="9">
          <cell r="A9" t="str">
            <v>01-01-010</v>
          </cell>
          <cell r="B9" t="str">
            <v>mo65800</v>
          </cell>
          <cell r="C9" t="str">
            <v>MO instalacion cerramiento provisional en tela verde</v>
          </cell>
          <cell r="D9">
            <v>1</v>
          </cell>
          <cell r="E9" t="str">
            <v>m</v>
          </cell>
          <cell r="F9">
            <v>5500</v>
          </cell>
          <cell r="G9">
            <v>5500</v>
          </cell>
          <cell r="M9" t="str">
            <v>mo</v>
          </cell>
        </row>
        <row r="10">
          <cell r="A10" t="str">
            <v>01-01-010</v>
          </cell>
          <cell r="B10" t="str">
            <v>mt13900</v>
          </cell>
          <cell r="C10" t="str">
            <v>Elementos de consumo y protección</v>
          </cell>
          <cell r="D10">
            <v>5500</v>
          </cell>
          <cell r="E10" t="str">
            <v>%</v>
          </cell>
          <cell r="F10">
            <v>1.2455000000000001E-2</v>
          </cell>
          <cell r="G10">
            <v>69</v>
          </cell>
          <cell r="M10" t="str">
            <v>mt</v>
          </cell>
        </row>
        <row r="11">
          <cell r="A11" t="str">
            <v>01-01-010</v>
          </cell>
          <cell r="B11" t="str">
            <v>hm15100</v>
          </cell>
          <cell r="C11" t="str">
            <v>Herramienta y equipo menor</v>
          </cell>
          <cell r="D11">
            <v>5500</v>
          </cell>
          <cell r="E11" t="str">
            <v>%</v>
          </cell>
          <cell r="F11">
            <v>0.03</v>
          </cell>
          <cell r="G11">
            <v>165</v>
          </cell>
          <cell r="M11" t="str">
            <v>hm</v>
          </cell>
        </row>
        <row r="12">
          <cell r="A12">
            <v>0</v>
          </cell>
          <cell r="C12" t="str">
            <v>DIRECTO:  14,615 / M</v>
          </cell>
          <cell r="D12">
            <v>0</v>
          </cell>
          <cell r="E12">
            <v>0</v>
          </cell>
          <cell r="F12">
            <v>0</v>
          </cell>
          <cell r="G12">
            <v>0</v>
          </cell>
          <cell r="M12">
            <v>0</v>
          </cell>
        </row>
        <row r="13">
          <cell r="A13">
            <v>0</v>
          </cell>
          <cell r="C13">
            <v>0</v>
          </cell>
          <cell r="E13">
            <v>0</v>
          </cell>
          <cell r="F13">
            <v>0</v>
          </cell>
          <cell r="G13">
            <v>0</v>
          </cell>
          <cell r="M13">
            <v>0</v>
          </cell>
        </row>
        <row r="14">
          <cell r="A14" t="str">
            <v>01-01-030</v>
          </cell>
          <cell r="B14" t="str">
            <v>01-01-030</v>
          </cell>
          <cell r="C14" t="str">
            <v>BAÑO PROVISIONAL EN LADRILLO (4 M2). INCLUYE TODO LO NECESARIO PARA SU CORRECTO FUNCIONAMIENTO</v>
          </cell>
          <cell r="D14">
            <v>1</v>
          </cell>
          <cell r="E14" t="str">
            <v>UN</v>
          </cell>
          <cell r="F14">
            <v>0</v>
          </cell>
          <cell r="G14">
            <v>2400000</v>
          </cell>
          <cell r="M14" t="e">
            <v>#N/A</v>
          </cell>
        </row>
        <row r="15">
          <cell r="A15" t="str">
            <v>01-01-030</v>
          </cell>
          <cell r="B15" t="str">
            <v>sc121100</v>
          </cell>
          <cell r="C15" t="str">
            <v>Sc baños en ladrillo 4m2 completo</v>
          </cell>
          <cell r="D15">
            <v>1</v>
          </cell>
          <cell r="E15" t="str">
            <v>gb</v>
          </cell>
          <cell r="F15">
            <v>2400000</v>
          </cell>
          <cell r="G15">
            <v>2400000</v>
          </cell>
          <cell r="M15" t="str">
            <v>sc</v>
          </cell>
        </row>
        <row r="16">
          <cell r="A16">
            <v>0</v>
          </cell>
          <cell r="C16" t="str">
            <v>DIRECTO:  2,400,000 / UN</v>
          </cell>
          <cell r="D16">
            <v>0</v>
          </cell>
          <cell r="E16">
            <v>0</v>
          </cell>
          <cell r="F16">
            <v>0</v>
          </cell>
          <cell r="G16">
            <v>0</v>
          </cell>
          <cell r="M16">
            <v>0</v>
          </cell>
        </row>
        <row r="17">
          <cell r="A17">
            <v>0</v>
          </cell>
          <cell r="B17" t="str">
            <v>02</v>
          </cell>
          <cell r="C17" t="str">
            <v>LOCALIZACION Y REPLANTEO</v>
          </cell>
          <cell r="E17">
            <v>0</v>
          </cell>
          <cell r="F17">
            <v>0</v>
          </cell>
          <cell r="G17">
            <v>0</v>
          </cell>
          <cell r="M17" t="e">
            <v>#N/A</v>
          </cell>
        </row>
        <row r="18">
          <cell r="A18" t="str">
            <v>02-01-010</v>
          </cell>
          <cell r="B18" t="str">
            <v>02-01-010</v>
          </cell>
          <cell r="C18" t="str">
            <v>LOCALIZACION Y REPLANTEO DE EDIFICACIONES. MEDIDO COMO AREA DE LA EDIFICACION</v>
          </cell>
          <cell r="D18">
            <v>1486</v>
          </cell>
          <cell r="E18" t="str">
            <v>M2</v>
          </cell>
          <cell r="F18">
            <v>0</v>
          </cell>
          <cell r="G18">
            <v>2422</v>
          </cell>
          <cell r="M18" t="e">
            <v>#N/A</v>
          </cell>
        </row>
        <row r="19">
          <cell r="A19" t="str">
            <v>02-01-010</v>
          </cell>
          <cell r="B19" t="str">
            <v>mt24200</v>
          </cell>
          <cell r="C19" t="str">
            <v>Alambre de amarrar</v>
          </cell>
          <cell r="D19">
            <v>0.05</v>
          </cell>
          <cell r="E19" t="str">
            <v>kg</v>
          </cell>
          <cell r="F19">
            <v>2441.7999999999997</v>
          </cell>
          <cell r="G19">
            <v>123</v>
          </cell>
          <cell r="M19" t="str">
            <v>mt</v>
          </cell>
        </row>
        <row r="20">
          <cell r="A20" t="str">
            <v>02-01-010</v>
          </cell>
          <cell r="B20" t="str">
            <v>mt66000</v>
          </cell>
          <cell r="C20" t="str">
            <v>Durmiente 3m</v>
          </cell>
          <cell r="D20">
            <v>0.1</v>
          </cell>
          <cell r="E20" t="str">
            <v>m</v>
          </cell>
          <cell r="F20">
            <v>1895</v>
          </cell>
          <cell r="G20">
            <v>190</v>
          </cell>
          <cell r="M20" t="str">
            <v>mt</v>
          </cell>
        </row>
        <row r="21">
          <cell r="A21" t="str">
            <v>02-01-010</v>
          </cell>
          <cell r="B21" t="str">
            <v>mt13000</v>
          </cell>
          <cell r="C21" t="str">
            <v>Clavo corriente 1-1/2" a 3"</v>
          </cell>
          <cell r="D21">
            <v>0.01</v>
          </cell>
          <cell r="E21" t="str">
            <v>lb</v>
          </cell>
          <cell r="F21">
            <v>2366.3999999999996</v>
          </cell>
          <cell r="G21">
            <v>24</v>
          </cell>
          <cell r="M21" t="str">
            <v>mt</v>
          </cell>
        </row>
        <row r="22">
          <cell r="A22" t="str">
            <v>02-01-010</v>
          </cell>
          <cell r="B22" t="str">
            <v>mo65700</v>
          </cell>
          <cell r="C22" t="str">
            <v>MO localizacion y replanteo estructuras</v>
          </cell>
          <cell r="D22">
            <v>1</v>
          </cell>
          <cell r="E22" t="str">
            <v>m2</v>
          </cell>
          <cell r="F22">
            <v>2000</v>
          </cell>
          <cell r="G22">
            <v>2000</v>
          </cell>
          <cell r="M22" t="str">
            <v>mo</v>
          </cell>
        </row>
        <row r="23">
          <cell r="A23" t="str">
            <v>02-01-010</v>
          </cell>
          <cell r="B23" t="str">
            <v>mt13900</v>
          </cell>
          <cell r="C23" t="str">
            <v>Elementos de consumo y protección</v>
          </cell>
          <cell r="D23">
            <v>2000</v>
          </cell>
          <cell r="E23" t="str">
            <v>%</v>
          </cell>
          <cell r="F23">
            <v>1.2455000000000001E-2</v>
          </cell>
          <cell r="G23">
            <v>25</v>
          </cell>
          <cell r="M23" t="str">
            <v>mt</v>
          </cell>
        </row>
        <row r="24">
          <cell r="A24" t="str">
            <v>02-01-010</v>
          </cell>
          <cell r="B24" t="str">
            <v>hm15100</v>
          </cell>
          <cell r="C24" t="str">
            <v>Herramienta y equipo menor</v>
          </cell>
          <cell r="D24">
            <v>2000</v>
          </cell>
          <cell r="E24" t="str">
            <v>%</v>
          </cell>
          <cell r="F24">
            <v>0.03</v>
          </cell>
          <cell r="G24">
            <v>60</v>
          </cell>
          <cell r="M24" t="str">
            <v>hm</v>
          </cell>
        </row>
        <row r="25">
          <cell r="A25">
            <v>0</v>
          </cell>
          <cell r="C25" t="str">
            <v>DIRECTO:  2,422 / M2</v>
          </cell>
          <cell r="D25">
            <v>0</v>
          </cell>
          <cell r="E25">
            <v>0</v>
          </cell>
          <cell r="F25">
            <v>0</v>
          </cell>
          <cell r="G25">
            <v>0</v>
          </cell>
          <cell r="M25">
            <v>0</v>
          </cell>
        </row>
        <row r="26">
          <cell r="A26">
            <v>0</v>
          </cell>
          <cell r="B26" t="str">
            <v>03</v>
          </cell>
          <cell r="C26" t="str">
            <v>MOVIMIENTOS DE TIERRA</v>
          </cell>
          <cell r="E26">
            <v>0</v>
          </cell>
          <cell r="F26">
            <v>0</v>
          </cell>
          <cell r="G26">
            <v>0</v>
          </cell>
          <cell r="M26" t="e">
            <v>#N/A</v>
          </cell>
        </row>
        <row r="27">
          <cell r="A27" t="str">
            <v>03-01-210</v>
          </cell>
          <cell r="B27" t="str">
            <v>03-01-210</v>
          </cell>
          <cell r="C27" t="str">
            <v>EXCAVACIÓN MANUAL EN TIERRA BAJO CUALQUIER GRADO DE HUMEDAD. INCLUYE ACARREO INTERNO, CARGUE, TRANSPORTE Y DISPOSICION FINAL DEL MATERIAL SOBRANTE EN BOTADEROS OFICIALES.</v>
          </cell>
          <cell r="D27">
            <v>59</v>
          </cell>
          <cell r="E27" t="str">
            <v>M3</v>
          </cell>
          <cell r="F27">
            <v>0</v>
          </cell>
          <cell r="G27">
            <v>44514</v>
          </cell>
          <cell r="M27" t="e">
            <v>#N/A</v>
          </cell>
        </row>
        <row r="28">
          <cell r="A28" t="str">
            <v>03-01-210</v>
          </cell>
          <cell r="B28" t="str">
            <v>mo16000</v>
          </cell>
          <cell r="C28" t="str">
            <v>MO excavacion manual</v>
          </cell>
          <cell r="D28">
            <v>1</v>
          </cell>
          <cell r="E28" t="str">
            <v>m3</v>
          </cell>
          <cell r="F28">
            <v>13000</v>
          </cell>
          <cell r="G28">
            <v>13000</v>
          </cell>
          <cell r="M28" t="str">
            <v>mo</v>
          </cell>
        </row>
        <row r="29">
          <cell r="A29" t="str">
            <v>03-01-210</v>
          </cell>
          <cell r="B29" t="str">
            <v>mo17200</v>
          </cell>
          <cell r="C29" t="str">
            <v>MO transporte interno de material proveniente de las excavaciones</v>
          </cell>
          <cell r="D29">
            <v>1.3</v>
          </cell>
          <cell r="E29" t="str">
            <v xml:space="preserve"> m3</v>
          </cell>
          <cell r="F29">
            <v>5100</v>
          </cell>
          <cell r="G29">
            <v>6630</v>
          </cell>
          <cell r="M29" t="str">
            <v>mo</v>
          </cell>
        </row>
        <row r="30">
          <cell r="A30" t="str">
            <v>03-01-210</v>
          </cell>
          <cell r="B30" t="str">
            <v>sc22700</v>
          </cell>
          <cell r="C30" t="str">
            <v>Subcontrato de cargue y botada de material de excavacion masiva</v>
          </cell>
          <cell r="D30">
            <v>1.3</v>
          </cell>
          <cell r="E30" t="str">
            <v>m3</v>
          </cell>
          <cell r="F30">
            <v>18500</v>
          </cell>
          <cell r="G30">
            <v>24050</v>
          </cell>
          <cell r="M30" t="str">
            <v>sc</v>
          </cell>
        </row>
        <row r="31">
          <cell r="A31" t="str">
            <v>03-01-210</v>
          </cell>
          <cell r="B31" t="str">
            <v>mt13900</v>
          </cell>
          <cell r="C31" t="str">
            <v>Elementos de consumo y protección</v>
          </cell>
          <cell r="D31">
            <v>19630</v>
          </cell>
          <cell r="E31" t="str">
            <v>%</v>
          </cell>
          <cell r="F31">
            <v>1.2455000000000001E-2</v>
          </cell>
          <cell r="G31">
            <v>245</v>
          </cell>
          <cell r="M31" t="str">
            <v>mt</v>
          </cell>
        </row>
        <row r="32">
          <cell r="A32" t="str">
            <v>03-01-210</v>
          </cell>
          <cell r="B32" t="str">
            <v>hm15100</v>
          </cell>
          <cell r="C32" t="str">
            <v>Herramienta y equipo menor</v>
          </cell>
          <cell r="D32">
            <v>19630</v>
          </cell>
          <cell r="E32" t="str">
            <v>%</v>
          </cell>
          <cell r="F32">
            <v>0.03</v>
          </cell>
          <cell r="G32">
            <v>589</v>
          </cell>
          <cell r="M32" t="str">
            <v>hm</v>
          </cell>
        </row>
        <row r="33">
          <cell r="A33">
            <v>0</v>
          </cell>
          <cell r="C33" t="str">
            <v>DIRECTO:  44,514 / M3</v>
          </cell>
          <cell r="D33">
            <v>0</v>
          </cell>
          <cell r="E33">
            <v>0</v>
          </cell>
          <cell r="F33">
            <v>0</v>
          </cell>
          <cell r="G33">
            <v>0</v>
          </cell>
          <cell r="M33">
            <v>0</v>
          </cell>
        </row>
        <row r="34">
          <cell r="A34">
            <v>0</v>
          </cell>
          <cell r="C34">
            <v>0</v>
          </cell>
          <cell r="E34">
            <v>0</v>
          </cell>
          <cell r="F34">
            <v>0</v>
          </cell>
          <cell r="G34">
            <v>0</v>
          </cell>
          <cell r="M34">
            <v>0</v>
          </cell>
        </row>
        <row r="35">
          <cell r="A35" t="str">
            <v>03-01-300</v>
          </cell>
          <cell r="B35" t="str">
            <v>03-01-300</v>
          </cell>
          <cell r="C35" t="str">
            <v>EXCAVACIÓN MANUAL DE PILOTES CON PALA HOYADORA Ø 0.30 M. INCLUYE CARGUE, TRANSPORTE Y DISPOSICION FINAL DEL MATERIAL SOBRANTE EN BOTADEROS OFICIALES.</v>
          </cell>
          <cell r="D35">
            <v>237</v>
          </cell>
          <cell r="E35" t="str">
            <v>M</v>
          </cell>
          <cell r="F35">
            <v>0</v>
          </cell>
          <cell r="G35">
            <v>6091</v>
          </cell>
          <cell r="M35" t="e">
            <v>#N/A</v>
          </cell>
        </row>
        <row r="36">
          <cell r="A36" t="str">
            <v>03-01-300</v>
          </cell>
          <cell r="B36" t="str">
            <v>mo16050</v>
          </cell>
          <cell r="C36" t="str">
            <v>MO excavacion manual de pilotes</v>
          </cell>
          <cell r="D36">
            <v>9.1891585117501451E-2</v>
          </cell>
          <cell r="E36" t="str">
            <v>m3</v>
          </cell>
          <cell r="F36">
            <v>35000</v>
          </cell>
          <cell r="G36">
            <v>3217</v>
          </cell>
          <cell r="M36" t="str">
            <v>mo</v>
          </cell>
        </row>
        <row r="37">
          <cell r="A37" t="str">
            <v>03-01-300</v>
          </cell>
          <cell r="B37" t="str">
            <v>mo17200</v>
          </cell>
          <cell r="C37" t="str">
            <v>MO transporte interno de material proveniente de las excavaciones</v>
          </cell>
          <cell r="D37">
            <v>0.11486448139687681</v>
          </cell>
          <cell r="E37" t="str">
            <v xml:space="preserve"> m3</v>
          </cell>
          <cell r="F37">
            <v>5100</v>
          </cell>
          <cell r="G37">
            <v>586</v>
          </cell>
          <cell r="M37" t="str">
            <v>mo</v>
          </cell>
        </row>
        <row r="38">
          <cell r="A38" t="str">
            <v>03-01-300</v>
          </cell>
          <cell r="B38" t="str">
            <v>sc22700</v>
          </cell>
          <cell r="C38" t="str">
            <v>Subcontrato de cargue y botada de material de excavacion masiva</v>
          </cell>
          <cell r="D38">
            <v>0.11486448139687681</v>
          </cell>
          <cell r="E38" t="str">
            <v>m3</v>
          </cell>
          <cell r="F38">
            <v>18500</v>
          </cell>
          <cell r="G38">
            <v>2125</v>
          </cell>
          <cell r="M38" t="str">
            <v>sc</v>
          </cell>
        </row>
        <row r="39">
          <cell r="A39" t="str">
            <v>03-01-300</v>
          </cell>
          <cell r="B39" t="str">
            <v>mt13900</v>
          </cell>
          <cell r="C39" t="str">
            <v>Elementos de consumo y protección</v>
          </cell>
          <cell r="D39">
            <v>3803</v>
          </cell>
          <cell r="E39" t="str">
            <v>%</v>
          </cell>
          <cell r="F39">
            <v>1.2455000000000001E-2</v>
          </cell>
          <cell r="G39">
            <v>48</v>
          </cell>
          <cell r="M39" t="str">
            <v>mt</v>
          </cell>
        </row>
        <row r="40">
          <cell r="A40" t="str">
            <v>03-01-300</v>
          </cell>
          <cell r="B40" t="str">
            <v>hm15100</v>
          </cell>
          <cell r="C40" t="str">
            <v>Herramienta y equipo menor</v>
          </cell>
          <cell r="D40">
            <v>3803</v>
          </cell>
          <cell r="E40" t="str">
            <v>%</v>
          </cell>
          <cell r="F40">
            <v>0.03</v>
          </cell>
          <cell r="G40">
            <v>115</v>
          </cell>
          <cell r="M40" t="str">
            <v>hm</v>
          </cell>
        </row>
        <row r="41">
          <cell r="A41">
            <v>0</v>
          </cell>
          <cell r="C41" t="str">
            <v>DIRECTO:  6,091 / M</v>
          </cell>
          <cell r="D41">
            <v>0</v>
          </cell>
          <cell r="E41">
            <v>0</v>
          </cell>
          <cell r="F41">
            <v>0</v>
          </cell>
          <cell r="G41">
            <v>0</v>
          </cell>
          <cell r="M41">
            <v>0</v>
          </cell>
        </row>
        <row r="42">
          <cell r="A42">
            <v>0</v>
          </cell>
          <cell r="C42">
            <v>0</v>
          </cell>
          <cell r="E42">
            <v>0</v>
          </cell>
          <cell r="F42">
            <v>0</v>
          </cell>
          <cell r="G42">
            <v>0</v>
          </cell>
          <cell r="M42">
            <v>0</v>
          </cell>
        </row>
        <row r="43">
          <cell r="A43" t="str">
            <v>03-02-010</v>
          </cell>
          <cell r="B43" t="str">
            <v>03-02-010</v>
          </cell>
          <cell r="C43" t="str">
            <v>LLENOS COMPACTADOS EN ARENILLA ALREDEDOR DE ESTRUCTURAS. INCLUYE SUMINISTRO, TRANSPORTE INTERNO Y COMPACTACION.</v>
          </cell>
          <cell r="D43">
            <v>16</v>
          </cell>
          <cell r="E43" t="str">
            <v>M3</v>
          </cell>
          <cell r="F43">
            <v>0</v>
          </cell>
          <cell r="G43">
            <v>46795</v>
          </cell>
          <cell r="M43" t="e">
            <v>#N/A</v>
          </cell>
        </row>
        <row r="44">
          <cell r="A44" t="str">
            <v>03-02-010</v>
          </cell>
          <cell r="B44" t="str">
            <v>gr12700</v>
          </cell>
          <cell r="C44" t="str">
            <v>Arenilla</v>
          </cell>
          <cell r="D44">
            <v>1.25</v>
          </cell>
          <cell r="E44" t="str">
            <v>m3</v>
          </cell>
          <cell r="F44">
            <v>16900</v>
          </cell>
          <cell r="G44">
            <v>21125</v>
          </cell>
          <cell r="M44" t="str">
            <v>gr</v>
          </cell>
        </row>
        <row r="45">
          <cell r="A45" t="str">
            <v>03-02-010</v>
          </cell>
          <cell r="B45" t="str">
            <v>eq12900</v>
          </cell>
          <cell r="C45" t="str">
            <v>Vibrocompactador tipo canguro</v>
          </cell>
          <cell r="D45">
            <v>4.1666666666666664E-2</v>
          </cell>
          <cell r="E45" t="str">
            <v>dia</v>
          </cell>
          <cell r="F45">
            <v>58545.2</v>
          </cell>
          <cell r="G45">
            <v>2440</v>
          </cell>
          <cell r="M45" t="str">
            <v>eq</v>
          </cell>
        </row>
        <row r="46">
          <cell r="A46" t="str">
            <v>03-02-010</v>
          </cell>
          <cell r="B46" t="str">
            <v>mo16100</v>
          </cell>
          <cell r="C46" t="str">
            <v>MO llenos manuales compactados</v>
          </cell>
          <cell r="D46">
            <v>1</v>
          </cell>
          <cell r="E46" t="str">
            <v>un</v>
          </cell>
          <cell r="F46">
            <v>13700</v>
          </cell>
          <cell r="G46">
            <v>13700</v>
          </cell>
          <cell r="M46" t="str">
            <v>mo</v>
          </cell>
        </row>
        <row r="47">
          <cell r="A47" t="str">
            <v>03-02-010</v>
          </cell>
          <cell r="B47" t="str">
            <v>mo17300</v>
          </cell>
          <cell r="C47" t="str">
            <v>MO transporte interno de material general</v>
          </cell>
          <cell r="D47">
            <v>1.2</v>
          </cell>
          <cell r="E47" t="str">
            <v>un</v>
          </cell>
          <cell r="F47">
            <v>6000</v>
          </cell>
          <cell r="G47">
            <v>7200</v>
          </cell>
          <cell r="M47" t="str">
            <v>mo</v>
          </cell>
        </row>
        <row r="48">
          <cell r="A48" t="str">
            <v>03-02-010</v>
          </cell>
          <cell r="B48" t="str">
            <v>tp17900</v>
          </cell>
          <cell r="C48" t="str">
            <v>Transporte de equipo menor</v>
          </cell>
          <cell r="D48">
            <v>0.01</v>
          </cell>
          <cell r="E48" t="str">
            <v>vj</v>
          </cell>
          <cell r="F48">
            <v>144200</v>
          </cell>
          <cell r="G48">
            <v>1442</v>
          </cell>
          <cell r="M48" t="str">
            <v>tp</v>
          </cell>
        </row>
        <row r="49">
          <cell r="A49" t="str">
            <v>03-02-010</v>
          </cell>
          <cell r="B49" t="str">
            <v>mt13900</v>
          </cell>
          <cell r="C49" t="str">
            <v>Elementos de consumo y protección</v>
          </cell>
          <cell r="D49">
            <v>20900</v>
          </cell>
          <cell r="E49" t="str">
            <v>%</v>
          </cell>
          <cell r="F49">
            <v>1.2455000000000001E-2</v>
          </cell>
          <cell r="G49">
            <v>261</v>
          </cell>
          <cell r="M49" t="str">
            <v>mt</v>
          </cell>
        </row>
        <row r="50">
          <cell r="A50" t="str">
            <v>03-02-010</v>
          </cell>
          <cell r="B50" t="str">
            <v>hm15100</v>
          </cell>
          <cell r="C50" t="str">
            <v>Herramienta y equipo menor</v>
          </cell>
          <cell r="D50">
            <v>20900</v>
          </cell>
          <cell r="E50" t="str">
            <v>%</v>
          </cell>
          <cell r="F50">
            <v>0.03</v>
          </cell>
          <cell r="G50">
            <v>627</v>
          </cell>
          <cell r="M50" t="str">
            <v>hm</v>
          </cell>
        </row>
        <row r="51">
          <cell r="A51">
            <v>0</v>
          </cell>
          <cell r="C51" t="str">
            <v>DIRECTO:  46,795 / M3</v>
          </cell>
          <cell r="D51">
            <v>0</v>
          </cell>
          <cell r="E51">
            <v>0</v>
          </cell>
          <cell r="F51">
            <v>0</v>
          </cell>
          <cell r="G51">
            <v>0</v>
          </cell>
          <cell r="M51">
            <v>0</v>
          </cell>
        </row>
        <row r="52">
          <cell r="A52">
            <v>0</v>
          </cell>
          <cell r="C52">
            <v>0</v>
          </cell>
          <cell r="E52">
            <v>0</v>
          </cell>
          <cell r="F52">
            <v>0</v>
          </cell>
          <cell r="G52">
            <v>0</v>
          </cell>
          <cell r="M52">
            <v>0</v>
          </cell>
        </row>
        <row r="53">
          <cell r="A53" t="str">
            <v>03-02-100</v>
          </cell>
          <cell r="B53" t="str">
            <v>03-02-100</v>
          </cell>
          <cell r="C53" t="str">
            <v>REEMPLAZO EN SUB-BASE GRANULAR COMPACTADA MANUALMENTE PARA LOSAS DE PISO</v>
          </cell>
          <cell r="D53">
            <v>72</v>
          </cell>
          <cell r="E53" t="str">
            <v>M3</v>
          </cell>
          <cell r="F53">
            <v>0</v>
          </cell>
          <cell r="G53">
            <v>62233</v>
          </cell>
          <cell r="M53" t="e">
            <v>#N/A</v>
          </cell>
        </row>
        <row r="54">
          <cell r="A54" t="str">
            <v>03-02-100</v>
          </cell>
          <cell r="B54" t="str">
            <v>gr14000</v>
          </cell>
          <cell r="C54" t="str">
            <v>Sub base granular</v>
          </cell>
          <cell r="D54">
            <v>1.25</v>
          </cell>
          <cell r="E54" t="str">
            <v>m3</v>
          </cell>
          <cell r="F54">
            <v>29000</v>
          </cell>
          <cell r="G54">
            <v>36250</v>
          </cell>
          <cell r="M54" t="str">
            <v>gr</v>
          </cell>
        </row>
        <row r="55">
          <cell r="A55" t="str">
            <v>03-02-100</v>
          </cell>
          <cell r="B55" t="str">
            <v>eq12900</v>
          </cell>
          <cell r="C55" t="str">
            <v>Vibrocompactador tipo canguro</v>
          </cell>
          <cell r="D55">
            <v>4.1666666666666664E-2</v>
          </cell>
          <cell r="E55" t="str">
            <v>dia</v>
          </cell>
          <cell r="F55">
            <v>58545.2</v>
          </cell>
          <cell r="G55">
            <v>2440</v>
          </cell>
          <cell r="M55" t="str">
            <v>eq</v>
          </cell>
        </row>
        <row r="56">
          <cell r="A56" t="str">
            <v>03-02-100</v>
          </cell>
          <cell r="B56" t="str">
            <v>mo16100</v>
          </cell>
          <cell r="C56" t="str">
            <v>MO llenos manuales compactados</v>
          </cell>
          <cell r="D56">
            <v>1</v>
          </cell>
          <cell r="E56" t="str">
            <v>un</v>
          </cell>
          <cell r="F56">
            <v>13700</v>
          </cell>
          <cell r="G56">
            <v>13700</v>
          </cell>
          <cell r="M56" t="str">
            <v>mo</v>
          </cell>
        </row>
        <row r="57">
          <cell r="A57" t="str">
            <v>03-02-100</v>
          </cell>
          <cell r="B57" t="str">
            <v>mo17300</v>
          </cell>
          <cell r="C57" t="str">
            <v>MO transporte interno de material general</v>
          </cell>
          <cell r="D57">
            <v>1.25</v>
          </cell>
          <cell r="E57" t="str">
            <v>un</v>
          </cell>
          <cell r="F57">
            <v>6000</v>
          </cell>
          <cell r="G57">
            <v>7500</v>
          </cell>
          <cell r="M57" t="str">
            <v>mo</v>
          </cell>
        </row>
        <row r="58">
          <cell r="A58" t="str">
            <v>03-02-100</v>
          </cell>
          <cell r="B58" t="str">
            <v>tp17900</v>
          </cell>
          <cell r="C58" t="str">
            <v>Transporte de equipo menor</v>
          </cell>
          <cell r="D58">
            <v>0.01</v>
          </cell>
          <cell r="E58" t="str">
            <v>vj</v>
          </cell>
          <cell r="F58">
            <v>144200</v>
          </cell>
          <cell r="G58">
            <v>1442</v>
          </cell>
          <cell r="M58" t="str">
            <v>tp</v>
          </cell>
        </row>
        <row r="59">
          <cell r="A59" t="str">
            <v>03-02-100</v>
          </cell>
          <cell r="B59" t="str">
            <v>mt13900</v>
          </cell>
          <cell r="C59" t="str">
            <v>Elementos de consumo y protección</v>
          </cell>
          <cell r="D59">
            <v>21200</v>
          </cell>
          <cell r="E59" t="str">
            <v>%</v>
          </cell>
          <cell r="F59">
            <v>1.2455000000000001E-2</v>
          </cell>
          <cell r="G59">
            <v>265</v>
          </cell>
          <cell r="M59" t="str">
            <v>mt</v>
          </cell>
        </row>
        <row r="60">
          <cell r="A60" t="str">
            <v>03-02-100</v>
          </cell>
          <cell r="B60" t="str">
            <v>hm15100</v>
          </cell>
          <cell r="C60" t="str">
            <v>Herramienta y equipo menor</v>
          </cell>
          <cell r="D60">
            <v>21200</v>
          </cell>
          <cell r="E60" t="str">
            <v>%</v>
          </cell>
          <cell r="F60">
            <v>0.03</v>
          </cell>
          <cell r="G60">
            <v>636</v>
          </cell>
          <cell r="M60" t="str">
            <v>hm</v>
          </cell>
        </row>
        <row r="61">
          <cell r="A61">
            <v>0</v>
          </cell>
          <cell r="C61" t="str">
            <v>DIRECTO:  62,233 / M3</v>
          </cell>
          <cell r="D61">
            <v>0</v>
          </cell>
          <cell r="E61">
            <v>0</v>
          </cell>
          <cell r="F61">
            <v>0</v>
          </cell>
          <cell r="G61">
            <v>0</v>
          </cell>
          <cell r="M61">
            <v>0</v>
          </cell>
        </row>
        <row r="62">
          <cell r="A62">
            <v>0</v>
          </cell>
          <cell r="C62">
            <v>0</v>
          </cell>
          <cell r="E62">
            <v>0</v>
          </cell>
          <cell r="F62">
            <v>0</v>
          </cell>
          <cell r="G62">
            <v>0</v>
          </cell>
          <cell r="M62">
            <v>0</v>
          </cell>
        </row>
        <row r="63">
          <cell r="A63" t="str">
            <v>03-03-010</v>
          </cell>
          <cell r="B63" t="str">
            <v>03-03-010</v>
          </cell>
          <cell r="C63" t="str">
            <v>IMPERMEABILIZACION DE MUROS DE CONTENCION CON IGOL DENSO DE SIKA O EQUIVALENTE</v>
          </cell>
          <cell r="D63">
            <v>85</v>
          </cell>
          <cell r="E63" t="str">
            <v>M2</v>
          </cell>
          <cell r="F63">
            <v>0</v>
          </cell>
          <cell r="G63">
            <v>28010</v>
          </cell>
          <cell r="M63" t="e">
            <v>#N/A</v>
          </cell>
        </row>
        <row r="64">
          <cell r="A64" t="str">
            <v>03-03-010</v>
          </cell>
          <cell r="B64" t="str">
            <v>mt20010</v>
          </cell>
          <cell r="C64" t="str">
            <v>Igol denso</v>
          </cell>
          <cell r="D64">
            <v>2</v>
          </cell>
          <cell r="E64" t="str">
            <v>kg</v>
          </cell>
          <cell r="F64">
            <v>10208</v>
          </cell>
          <cell r="G64">
            <v>20416</v>
          </cell>
          <cell r="M64" t="str">
            <v>mt</v>
          </cell>
        </row>
        <row r="65">
          <cell r="A65" t="str">
            <v>03-03-010</v>
          </cell>
          <cell r="B65" t="str">
            <v>mt20020</v>
          </cell>
          <cell r="C65" t="str">
            <v>Igol imprimante</v>
          </cell>
          <cell r="D65">
            <v>0.2</v>
          </cell>
          <cell r="E65" t="str">
            <v>kg</v>
          </cell>
          <cell r="F65">
            <v>11484</v>
          </cell>
          <cell r="G65">
            <v>2297</v>
          </cell>
          <cell r="M65" t="str">
            <v>mt</v>
          </cell>
        </row>
        <row r="66">
          <cell r="A66" t="str">
            <v>03-03-010</v>
          </cell>
          <cell r="B66" t="str">
            <v>au10000</v>
          </cell>
          <cell r="C66" t="str">
            <v>Aux MO ayudante</v>
          </cell>
          <cell r="D66">
            <v>1</v>
          </cell>
          <cell r="E66" t="str">
            <v>hr</v>
          </cell>
          <cell r="F66">
            <v>5080</v>
          </cell>
          <cell r="G66">
            <v>5080</v>
          </cell>
          <cell r="M66" t="str">
            <v>mo</v>
          </cell>
        </row>
        <row r="67">
          <cell r="A67" t="str">
            <v>03-03-010</v>
          </cell>
          <cell r="B67" t="str">
            <v>mt13900</v>
          </cell>
          <cell r="C67" t="str">
            <v>Elementos de consumo y protección</v>
          </cell>
          <cell r="D67">
            <v>5080</v>
          </cell>
          <cell r="E67" t="str">
            <v>%</v>
          </cell>
          <cell r="F67">
            <v>1.2455000000000001E-2</v>
          </cell>
          <cell r="G67">
            <v>64</v>
          </cell>
          <cell r="M67" t="str">
            <v>mt</v>
          </cell>
        </row>
        <row r="68">
          <cell r="A68" t="str">
            <v>03-03-010</v>
          </cell>
          <cell r="B68" t="str">
            <v>hm15100</v>
          </cell>
          <cell r="C68" t="str">
            <v>Herramienta y equipo menor</v>
          </cell>
          <cell r="D68">
            <v>5080</v>
          </cell>
          <cell r="E68" t="str">
            <v>%</v>
          </cell>
          <cell r="F68">
            <v>0.03</v>
          </cell>
          <cell r="G68">
            <v>153</v>
          </cell>
          <cell r="M68" t="str">
            <v>hm</v>
          </cell>
        </row>
        <row r="69">
          <cell r="A69">
            <v>0</v>
          </cell>
          <cell r="C69" t="str">
            <v>DIRECTO:  28,010 / M2</v>
          </cell>
          <cell r="D69">
            <v>0</v>
          </cell>
          <cell r="E69">
            <v>0</v>
          </cell>
          <cell r="F69">
            <v>0</v>
          </cell>
          <cell r="G69">
            <v>0</v>
          </cell>
          <cell r="M69">
            <v>0</v>
          </cell>
        </row>
        <row r="70">
          <cell r="A70">
            <v>0</v>
          </cell>
          <cell r="C70">
            <v>0</v>
          </cell>
          <cell r="E70">
            <v>0</v>
          </cell>
          <cell r="F70">
            <v>0</v>
          </cell>
          <cell r="G70">
            <v>0</v>
          </cell>
          <cell r="M70">
            <v>0</v>
          </cell>
        </row>
        <row r="71">
          <cell r="A71" t="str">
            <v>03-03-020</v>
          </cell>
          <cell r="B71" t="str">
            <v>03-03-020</v>
          </cell>
          <cell r="C71" t="str">
            <v>CAÑUELA EN CONCRETO F'C 21 MPA A: 0.30 M. - H: 0.05 M. PARA FILTROS MURO DE CONTENCION</v>
          </cell>
          <cell r="D71">
            <v>44</v>
          </cell>
          <cell r="E71" t="str">
            <v>M</v>
          </cell>
          <cell r="F71">
            <v>0</v>
          </cell>
          <cell r="G71">
            <v>17815</v>
          </cell>
          <cell r="M71" t="e">
            <v>#N/A</v>
          </cell>
        </row>
        <row r="72">
          <cell r="A72" t="str">
            <v>03-03-020</v>
          </cell>
          <cell r="B72" t="str">
            <v>au10700</v>
          </cell>
          <cell r="C72" t="str">
            <v>Aux concreto 3000 psi -obra- 3/4"</v>
          </cell>
          <cell r="D72">
            <v>1.6500000000000001E-2</v>
          </cell>
          <cell r="E72" t="str">
            <v>m3</v>
          </cell>
          <cell r="F72">
            <v>271081</v>
          </cell>
          <cell r="G72">
            <v>4473</v>
          </cell>
          <cell r="M72" t="str">
            <v>au</v>
          </cell>
        </row>
        <row r="73">
          <cell r="A73" t="str">
            <v>03-03-020</v>
          </cell>
          <cell r="B73" t="str">
            <v>au10100</v>
          </cell>
          <cell r="C73" t="str">
            <v>Aux MO oficial obra negra</v>
          </cell>
          <cell r="D73">
            <v>1</v>
          </cell>
          <cell r="E73" t="str">
            <v>hr</v>
          </cell>
          <cell r="F73">
            <v>7619</v>
          </cell>
          <cell r="G73">
            <v>7619</v>
          </cell>
          <cell r="M73" t="str">
            <v>mo</v>
          </cell>
        </row>
        <row r="74">
          <cell r="A74" t="str">
            <v>03-03-020</v>
          </cell>
          <cell r="B74" t="str">
            <v>au10000</v>
          </cell>
          <cell r="C74" t="str">
            <v>Aux MO ayudante</v>
          </cell>
          <cell r="D74">
            <v>1</v>
          </cell>
          <cell r="E74" t="str">
            <v>hr</v>
          </cell>
          <cell r="F74">
            <v>5080</v>
          </cell>
          <cell r="G74">
            <v>5080</v>
          </cell>
          <cell r="M74" t="str">
            <v>mo</v>
          </cell>
        </row>
        <row r="75">
          <cell r="A75" t="str">
            <v>03-03-020</v>
          </cell>
          <cell r="B75" t="str">
            <v>mo17600</v>
          </cell>
          <cell r="C75" t="str">
            <v>MO transporte interno concreto</v>
          </cell>
          <cell r="D75">
            <v>1.6500000000000001E-2</v>
          </cell>
          <cell r="E75" t="str">
            <v>m3</v>
          </cell>
          <cell r="F75">
            <v>6000</v>
          </cell>
          <cell r="G75">
            <v>99</v>
          </cell>
          <cell r="M75" t="str">
            <v>mo</v>
          </cell>
        </row>
        <row r="76">
          <cell r="A76" t="str">
            <v>03-03-020</v>
          </cell>
          <cell r="B76" t="str">
            <v>mt13900</v>
          </cell>
          <cell r="C76" t="str">
            <v>Elementos de consumo y protección</v>
          </cell>
          <cell r="D76">
            <v>12798</v>
          </cell>
          <cell r="E76" t="str">
            <v>%</v>
          </cell>
          <cell r="F76">
            <v>1.2455000000000001E-2</v>
          </cell>
          <cell r="G76">
            <v>160</v>
          </cell>
          <cell r="M76" t="str">
            <v>mt</v>
          </cell>
        </row>
        <row r="77">
          <cell r="A77" t="str">
            <v>03-03-020</v>
          </cell>
          <cell r="B77" t="str">
            <v>hm15100</v>
          </cell>
          <cell r="C77" t="str">
            <v>Herramienta y equipo menor</v>
          </cell>
          <cell r="D77">
            <v>12798</v>
          </cell>
          <cell r="E77" t="str">
            <v>%</v>
          </cell>
          <cell r="F77">
            <v>0.03</v>
          </cell>
          <cell r="G77">
            <v>384</v>
          </cell>
          <cell r="M77" t="str">
            <v>hm</v>
          </cell>
        </row>
        <row r="78">
          <cell r="A78">
            <v>0</v>
          </cell>
          <cell r="C78" t="str">
            <v>DIRECTO:  17,815 / M</v>
          </cell>
          <cell r="D78">
            <v>0</v>
          </cell>
          <cell r="E78">
            <v>0</v>
          </cell>
          <cell r="F78">
            <v>0</v>
          </cell>
          <cell r="G78">
            <v>0</v>
          </cell>
          <cell r="M78">
            <v>0</v>
          </cell>
        </row>
        <row r="79">
          <cell r="A79">
            <v>0</v>
          </cell>
          <cell r="C79">
            <v>0</v>
          </cell>
          <cell r="E79">
            <v>0</v>
          </cell>
          <cell r="F79">
            <v>0</v>
          </cell>
          <cell r="G79">
            <v>0</v>
          </cell>
          <cell r="M79">
            <v>0</v>
          </cell>
        </row>
        <row r="80">
          <cell r="A80" t="str">
            <v>03-04-010</v>
          </cell>
          <cell r="B80" t="str">
            <v>03-04-010</v>
          </cell>
          <cell r="C80" t="str">
            <v>FILTRO EN MATERIAL GRANULAR A: 0.30 M. PARA MUROS DE CONTENCION. INCLUYE MATERIAL GRANULAR 1", GEOTEXTIL NT 1600 DE PAVCO O EQUIVALENTE Y TUBERIA PERFORADA Ø 4"</v>
          </cell>
          <cell r="D80">
            <v>27</v>
          </cell>
          <cell r="E80" t="str">
            <v>M2</v>
          </cell>
          <cell r="F80">
            <v>0</v>
          </cell>
          <cell r="G80">
            <v>67814</v>
          </cell>
          <cell r="M80" t="e">
            <v>#N/A</v>
          </cell>
        </row>
        <row r="81">
          <cell r="A81" t="str">
            <v>03-04-010</v>
          </cell>
          <cell r="B81" t="str">
            <v>mo16000</v>
          </cell>
          <cell r="C81" t="str">
            <v>MO excavacion manual</v>
          </cell>
          <cell r="D81">
            <v>0.3</v>
          </cell>
          <cell r="E81" t="str">
            <v>m3</v>
          </cell>
          <cell r="F81">
            <v>13000</v>
          </cell>
          <cell r="G81">
            <v>3900</v>
          </cell>
          <cell r="M81" t="str">
            <v>mo</v>
          </cell>
        </row>
        <row r="82">
          <cell r="A82" t="str">
            <v>03-04-010</v>
          </cell>
          <cell r="B82" t="str">
            <v>mo17200</v>
          </cell>
          <cell r="C82" t="str">
            <v>MO transporte interno de material proveniente de las excavaciones</v>
          </cell>
          <cell r="D82">
            <v>0.39</v>
          </cell>
          <cell r="E82" t="str">
            <v xml:space="preserve"> m3</v>
          </cell>
          <cell r="F82">
            <v>5100</v>
          </cell>
          <cell r="G82">
            <v>1989</v>
          </cell>
          <cell r="M82" t="str">
            <v>mo</v>
          </cell>
        </row>
        <row r="83">
          <cell r="A83" t="str">
            <v>03-04-010</v>
          </cell>
          <cell r="B83" t="str">
            <v>sc22700</v>
          </cell>
          <cell r="C83" t="str">
            <v>Subcontrato de cargue y botada de material de excavacion masiva</v>
          </cell>
          <cell r="D83">
            <v>0.39</v>
          </cell>
          <cell r="E83" t="str">
            <v>m3</v>
          </cell>
          <cell r="F83">
            <v>18500</v>
          </cell>
          <cell r="G83">
            <v>7215</v>
          </cell>
          <cell r="M83" t="str">
            <v>sc</v>
          </cell>
        </row>
        <row r="84">
          <cell r="A84" t="str">
            <v>03-04-010</v>
          </cell>
          <cell r="B84" t="str">
            <v>gr21580</v>
          </cell>
          <cell r="C84" t="str">
            <v>Triturado 1"</v>
          </cell>
          <cell r="D84">
            <v>0.375</v>
          </cell>
          <cell r="E84" t="str">
            <v>m3</v>
          </cell>
          <cell r="F84">
            <v>60000</v>
          </cell>
          <cell r="G84">
            <v>22500</v>
          </cell>
          <cell r="M84" t="str">
            <v>gr</v>
          </cell>
        </row>
        <row r="85">
          <cell r="A85" t="str">
            <v>03-04-010</v>
          </cell>
          <cell r="B85" t="str">
            <v>mo17300</v>
          </cell>
          <cell r="C85" t="str">
            <v>MO transporte interno de material general</v>
          </cell>
          <cell r="D85">
            <v>0.375</v>
          </cell>
          <cell r="E85" t="str">
            <v>un</v>
          </cell>
          <cell r="F85">
            <v>6000</v>
          </cell>
          <cell r="G85">
            <v>2250</v>
          </cell>
          <cell r="M85" t="str">
            <v>mo</v>
          </cell>
        </row>
        <row r="86">
          <cell r="A86" t="str">
            <v>03-04-010</v>
          </cell>
          <cell r="B86" t="str">
            <v>tp105000</v>
          </cell>
          <cell r="C86" t="str">
            <v>Transporte de agregados en volqueta</v>
          </cell>
          <cell r="D86">
            <v>3.75</v>
          </cell>
          <cell r="E86" t="str">
            <v>m3-km</v>
          </cell>
          <cell r="F86">
            <v>436.50799999999998</v>
          </cell>
          <cell r="G86">
            <v>1637</v>
          </cell>
          <cell r="M86" t="str">
            <v>tp</v>
          </cell>
        </row>
        <row r="87">
          <cell r="A87" t="str">
            <v>03-04-010</v>
          </cell>
          <cell r="B87" t="str">
            <v>mt14200</v>
          </cell>
          <cell r="C87" t="str">
            <v>Tuberia perforada para filtros de 4"</v>
          </cell>
          <cell r="D87">
            <v>0.625</v>
          </cell>
          <cell r="E87" t="str">
            <v>m</v>
          </cell>
          <cell r="F87">
            <v>18914.878799999999</v>
          </cell>
          <cell r="G87">
            <v>11822</v>
          </cell>
          <cell r="M87" t="str">
            <v>mt</v>
          </cell>
        </row>
        <row r="88">
          <cell r="A88" t="str">
            <v>03-04-010</v>
          </cell>
          <cell r="B88" t="str">
            <v>mo16200</v>
          </cell>
          <cell r="C88" t="str">
            <v>MO transporte interno de tuberia</v>
          </cell>
          <cell r="D88">
            <v>0.625</v>
          </cell>
          <cell r="E88" t="str">
            <v>m</v>
          </cell>
          <cell r="F88">
            <v>3100</v>
          </cell>
          <cell r="G88">
            <v>1938</v>
          </cell>
          <cell r="M88" t="str">
            <v>mo</v>
          </cell>
        </row>
        <row r="89">
          <cell r="A89" t="str">
            <v>03-04-010</v>
          </cell>
          <cell r="B89" t="str">
            <v>mo16300</v>
          </cell>
          <cell r="C89" t="str">
            <v>MO instalacion de tuberia</v>
          </cell>
          <cell r="D89">
            <v>0.625</v>
          </cell>
          <cell r="E89" t="str">
            <v>m</v>
          </cell>
          <cell r="F89">
            <v>8050</v>
          </cell>
          <cell r="G89">
            <v>5032</v>
          </cell>
          <cell r="M89" t="str">
            <v>mo</v>
          </cell>
        </row>
        <row r="90">
          <cell r="A90" t="str">
            <v>03-04-010</v>
          </cell>
          <cell r="B90" t="str">
            <v>mt16500</v>
          </cell>
          <cell r="C90" t="str">
            <v>Geotextil Pavco NT1600</v>
          </cell>
          <cell r="D90">
            <v>2.5624999999999996</v>
          </cell>
          <cell r="E90" t="str">
            <v>m2</v>
          </cell>
          <cell r="F90">
            <v>3363.9999999999995</v>
          </cell>
          <cell r="G90">
            <v>8621</v>
          </cell>
          <cell r="M90" t="str">
            <v>mt</v>
          </cell>
        </row>
        <row r="91">
          <cell r="A91" t="str">
            <v>03-04-010</v>
          </cell>
          <cell r="B91" t="str">
            <v>mo18200</v>
          </cell>
          <cell r="C91" t="str">
            <v>MO transporte interno de geotextil</v>
          </cell>
          <cell r="D91">
            <v>2.5624999999999996</v>
          </cell>
          <cell r="E91" t="str">
            <v>kg</v>
          </cell>
          <cell r="F91">
            <v>100</v>
          </cell>
          <cell r="G91">
            <v>257</v>
          </cell>
          <cell r="M91" t="str">
            <v>mo</v>
          </cell>
        </row>
        <row r="92">
          <cell r="A92" t="str">
            <v>03-04-010</v>
          </cell>
          <cell r="B92" t="str">
            <v>mt13900</v>
          </cell>
          <cell r="C92" t="str">
            <v>Elementos de consumo y protección</v>
          </cell>
          <cell r="D92">
            <v>15366</v>
          </cell>
          <cell r="E92" t="str">
            <v>%</v>
          </cell>
          <cell r="F92">
            <v>1.2455000000000001E-2</v>
          </cell>
          <cell r="G92">
            <v>192</v>
          </cell>
          <cell r="M92" t="str">
            <v>mt</v>
          </cell>
        </row>
        <row r="93">
          <cell r="A93" t="str">
            <v>03-04-010</v>
          </cell>
          <cell r="B93" t="str">
            <v>hm15100</v>
          </cell>
          <cell r="C93" t="str">
            <v>Herramienta y equipo menor</v>
          </cell>
          <cell r="D93">
            <v>15366</v>
          </cell>
          <cell r="E93" t="str">
            <v>%</v>
          </cell>
          <cell r="F93">
            <v>0.03</v>
          </cell>
          <cell r="G93">
            <v>461</v>
          </cell>
          <cell r="M93" t="str">
            <v>hm</v>
          </cell>
        </row>
        <row r="94">
          <cell r="A94">
            <v>0</v>
          </cell>
          <cell r="C94" t="str">
            <v>DIRECTO:  67,814 / M2</v>
          </cell>
          <cell r="D94">
            <v>0</v>
          </cell>
          <cell r="E94">
            <v>0</v>
          </cell>
          <cell r="F94">
            <v>0</v>
          </cell>
          <cell r="G94">
            <v>0</v>
          </cell>
          <cell r="M94">
            <v>0</v>
          </cell>
        </row>
        <row r="95">
          <cell r="A95">
            <v>0</v>
          </cell>
          <cell r="B95" t="str">
            <v>04</v>
          </cell>
          <cell r="C95" t="str">
            <v>CONCRETOS</v>
          </cell>
          <cell r="E95">
            <v>0</v>
          </cell>
          <cell r="F95">
            <v>0</v>
          </cell>
          <cell r="G95">
            <v>0</v>
          </cell>
          <cell r="M95" t="e">
            <v>#N/A</v>
          </cell>
        </row>
        <row r="96">
          <cell r="A96" t="str">
            <v>04-01-010</v>
          </cell>
          <cell r="B96" t="str">
            <v>04-01-010</v>
          </cell>
          <cell r="C96" t="str">
            <v xml:space="preserve">VACIADO DE PILOTES EN CONCRETO F'C 21 MPA </v>
          </cell>
          <cell r="D96">
            <v>17</v>
          </cell>
          <cell r="E96" t="str">
            <v>M3</v>
          </cell>
          <cell r="F96">
            <v>0</v>
          </cell>
          <cell r="G96">
            <v>486356</v>
          </cell>
          <cell r="M96" t="e">
            <v>#N/A</v>
          </cell>
        </row>
        <row r="97">
          <cell r="A97" t="str">
            <v>04-01-010</v>
          </cell>
          <cell r="B97" t="str">
            <v>au10700</v>
          </cell>
          <cell r="C97" t="str">
            <v>Aux concreto 3000 psi -obra- 3/4"</v>
          </cell>
          <cell r="D97">
            <v>1.1000000000000001</v>
          </cell>
          <cell r="E97" t="str">
            <v>m3</v>
          </cell>
          <cell r="F97">
            <v>271081</v>
          </cell>
          <cell r="G97">
            <v>298190</v>
          </cell>
          <cell r="M97" t="str">
            <v>au</v>
          </cell>
        </row>
        <row r="98">
          <cell r="A98" t="str">
            <v>04-01-010</v>
          </cell>
          <cell r="B98" t="str">
            <v>eq22100</v>
          </cell>
          <cell r="C98" t="str">
            <v>Vibrador electrico</v>
          </cell>
          <cell r="D98">
            <v>1</v>
          </cell>
          <cell r="E98" t="str">
            <v>dia</v>
          </cell>
          <cell r="F98">
            <v>39894.372000000003</v>
          </cell>
          <cell r="G98">
            <v>39895</v>
          </cell>
          <cell r="M98" t="str">
            <v>eq</v>
          </cell>
        </row>
        <row r="99">
          <cell r="A99" t="str">
            <v>04-01-010</v>
          </cell>
          <cell r="B99" t="str">
            <v>au10100</v>
          </cell>
          <cell r="C99" t="str">
            <v>Aux MO oficial obra negra</v>
          </cell>
          <cell r="D99">
            <v>8</v>
          </cell>
          <cell r="E99" t="str">
            <v>hr</v>
          </cell>
          <cell r="F99">
            <v>7619</v>
          </cell>
          <cell r="G99">
            <v>60952</v>
          </cell>
          <cell r="M99" t="str">
            <v>mo</v>
          </cell>
        </row>
        <row r="100">
          <cell r="A100" t="str">
            <v>04-01-010</v>
          </cell>
          <cell r="B100" t="str">
            <v>au10000</v>
          </cell>
          <cell r="C100" t="str">
            <v>Aux MO ayudante</v>
          </cell>
          <cell r="D100">
            <v>16</v>
          </cell>
          <cell r="E100" t="str">
            <v>hr</v>
          </cell>
          <cell r="F100">
            <v>5080</v>
          </cell>
          <cell r="G100">
            <v>81280</v>
          </cell>
          <cell r="M100" t="str">
            <v>mo</v>
          </cell>
        </row>
        <row r="101">
          <cell r="A101" t="str">
            <v>04-01-010</v>
          </cell>
          <cell r="B101" t="str">
            <v>mt13900</v>
          </cell>
          <cell r="C101" t="str">
            <v>Elementos de consumo y protección</v>
          </cell>
          <cell r="D101">
            <v>142232</v>
          </cell>
          <cell r="E101" t="str">
            <v>%</v>
          </cell>
          <cell r="F101">
            <v>1.2455000000000001E-2</v>
          </cell>
          <cell r="G101">
            <v>1772</v>
          </cell>
          <cell r="M101" t="str">
            <v>mt</v>
          </cell>
        </row>
        <row r="102">
          <cell r="A102" t="str">
            <v>04-01-010</v>
          </cell>
          <cell r="B102" t="str">
            <v>hm15100</v>
          </cell>
          <cell r="C102" t="str">
            <v>Herramienta y equipo menor</v>
          </cell>
          <cell r="D102">
            <v>142232</v>
          </cell>
          <cell r="E102" t="str">
            <v>%</v>
          </cell>
          <cell r="F102">
            <v>0.03</v>
          </cell>
          <cell r="G102">
            <v>4267</v>
          </cell>
          <cell r="M102" t="str">
            <v>hm</v>
          </cell>
        </row>
        <row r="103">
          <cell r="A103">
            <v>0</v>
          </cell>
          <cell r="C103" t="str">
            <v>DIRECTO:  486,356 / M3</v>
          </cell>
          <cell r="E103">
            <v>0</v>
          </cell>
          <cell r="F103">
            <v>0</v>
          </cell>
          <cell r="G103">
            <v>0</v>
          </cell>
          <cell r="M103">
            <v>0</v>
          </cell>
        </row>
        <row r="104">
          <cell r="A104">
            <v>0</v>
          </cell>
          <cell r="C104">
            <v>0</v>
          </cell>
          <cell r="E104">
            <v>0</v>
          </cell>
          <cell r="F104">
            <v>0</v>
          </cell>
          <cell r="G104">
            <v>0</v>
          </cell>
          <cell r="M104">
            <v>0</v>
          </cell>
        </row>
        <row r="105">
          <cell r="A105" t="str">
            <v>04-02-100</v>
          </cell>
          <cell r="B105" t="str">
            <v>04-02-100</v>
          </cell>
          <cell r="C105" t="str">
            <v>ZAPATAS DE FUNDACION PARA MUROS CARGUEROS Y MUROS DE CONTENCION. CONCRETO F'C 21 MPA.</v>
          </cell>
          <cell r="D105">
            <v>21</v>
          </cell>
          <cell r="E105" t="str">
            <v>M3</v>
          </cell>
          <cell r="F105">
            <v>0</v>
          </cell>
          <cell r="G105">
            <v>400173</v>
          </cell>
          <cell r="M105" t="e">
            <v>#N/A</v>
          </cell>
        </row>
        <row r="106">
          <cell r="A106" t="str">
            <v>04-02-100</v>
          </cell>
          <cell r="B106" t="str">
            <v>au10700</v>
          </cell>
          <cell r="C106" t="str">
            <v>Aux concreto 3000 psi -obra- 3/4"</v>
          </cell>
          <cell r="D106">
            <v>1.08</v>
          </cell>
          <cell r="E106" t="str">
            <v>m3</v>
          </cell>
          <cell r="F106">
            <v>271081</v>
          </cell>
          <cell r="G106">
            <v>292768</v>
          </cell>
          <cell r="M106" t="str">
            <v>au</v>
          </cell>
        </row>
        <row r="107">
          <cell r="A107" t="str">
            <v>04-02-100</v>
          </cell>
          <cell r="B107" t="str">
            <v>mo15300</v>
          </cell>
          <cell r="C107" t="str">
            <v>MO vaciado de zapatas</v>
          </cell>
          <cell r="D107">
            <v>1</v>
          </cell>
          <cell r="E107" t="str">
            <v>m3</v>
          </cell>
          <cell r="F107">
            <v>90000</v>
          </cell>
          <cell r="G107">
            <v>90000</v>
          </cell>
          <cell r="M107" t="str">
            <v>mo</v>
          </cell>
        </row>
        <row r="108">
          <cell r="A108" t="str">
            <v>04-02-100</v>
          </cell>
          <cell r="B108" t="str">
            <v>mo17600</v>
          </cell>
          <cell r="C108" t="str">
            <v>MO transporte interno concreto</v>
          </cell>
          <cell r="D108">
            <v>1.08</v>
          </cell>
          <cell r="E108" t="str">
            <v>m3</v>
          </cell>
          <cell r="F108">
            <v>6000</v>
          </cell>
          <cell r="G108">
            <v>6480</v>
          </cell>
          <cell r="M108" t="str">
            <v>mo</v>
          </cell>
        </row>
        <row r="109">
          <cell r="A109" t="str">
            <v>04-02-100</v>
          </cell>
          <cell r="B109" t="str">
            <v>eq22100</v>
          </cell>
          <cell r="C109" t="str">
            <v>Vibrador electrico</v>
          </cell>
          <cell r="D109">
            <v>0.13500000000000001</v>
          </cell>
          <cell r="E109" t="str">
            <v>dia</v>
          </cell>
          <cell r="F109">
            <v>39894.372000000003</v>
          </cell>
          <cell r="G109">
            <v>5386</v>
          </cell>
          <cell r="M109" t="str">
            <v>eq</v>
          </cell>
        </row>
        <row r="110">
          <cell r="A110" t="str">
            <v>04-02-100</v>
          </cell>
          <cell r="B110" t="str">
            <v>tp17900</v>
          </cell>
          <cell r="C110" t="str">
            <v>Transporte de equipo menor</v>
          </cell>
          <cell r="D110">
            <v>0.01</v>
          </cell>
          <cell r="E110" t="str">
            <v>vj</v>
          </cell>
          <cell r="F110">
            <v>144200</v>
          </cell>
          <cell r="G110">
            <v>1442</v>
          </cell>
          <cell r="M110" t="str">
            <v>tp</v>
          </cell>
        </row>
        <row r="111">
          <cell r="A111" t="str">
            <v>04-02-100</v>
          </cell>
          <cell r="B111" t="str">
            <v>mt13900</v>
          </cell>
          <cell r="C111" t="str">
            <v>Elementos de consumo y protección</v>
          </cell>
          <cell r="D111">
            <v>96480</v>
          </cell>
          <cell r="E111" t="str">
            <v>%</v>
          </cell>
          <cell r="F111">
            <v>1.2455000000000001E-2</v>
          </cell>
          <cell r="G111">
            <v>1202</v>
          </cell>
          <cell r="M111" t="str">
            <v>mt</v>
          </cell>
        </row>
        <row r="112">
          <cell r="A112" t="str">
            <v>04-02-100</v>
          </cell>
          <cell r="B112" t="str">
            <v>hm15100</v>
          </cell>
          <cell r="C112" t="str">
            <v>Herramienta y equipo menor</v>
          </cell>
          <cell r="D112">
            <v>96480</v>
          </cell>
          <cell r="E112" t="str">
            <v>%</v>
          </cell>
          <cell r="F112">
            <v>0.03</v>
          </cell>
          <cell r="G112">
            <v>2895</v>
          </cell>
          <cell r="M112" t="str">
            <v>hm</v>
          </cell>
        </row>
        <row r="113">
          <cell r="A113">
            <v>0</v>
          </cell>
          <cell r="C113" t="str">
            <v>DIRECTO:  400,173 / M3</v>
          </cell>
          <cell r="E113">
            <v>0</v>
          </cell>
          <cell r="F113">
            <v>0</v>
          </cell>
          <cell r="G113">
            <v>0</v>
          </cell>
          <cell r="M113">
            <v>0</v>
          </cell>
        </row>
        <row r="114">
          <cell r="A114">
            <v>0</v>
          </cell>
          <cell r="C114">
            <v>0</v>
          </cell>
          <cell r="E114">
            <v>0</v>
          </cell>
          <cell r="F114">
            <v>0</v>
          </cell>
          <cell r="G114">
            <v>0</v>
          </cell>
          <cell r="M114">
            <v>0</v>
          </cell>
        </row>
        <row r="115">
          <cell r="A115" t="str">
            <v>04-02-200</v>
          </cell>
          <cell r="B115" t="str">
            <v>04-02-200</v>
          </cell>
          <cell r="C115" t="str">
            <v>PEDESTALES EN CONCRETO F'C 21 MPA</v>
          </cell>
          <cell r="D115">
            <v>1</v>
          </cell>
          <cell r="E115" t="str">
            <v>M3</v>
          </cell>
          <cell r="F115">
            <v>0</v>
          </cell>
          <cell r="G115">
            <v>542612</v>
          </cell>
          <cell r="M115" t="e">
            <v>#N/A</v>
          </cell>
        </row>
        <row r="116">
          <cell r="A116" t="str">
            <v>04-02-200</v>
          </cell>
          <cell r="B116" t="str">
            <v>au10810</v>
          </cell>
          <cell r="C116" t="str">
            <v>Aux concreto 4000 psi -obra- 3/4"</v>
          </cell>
          <cell r="D116">
            <v>1.05</v>
          </cell>
          <cell r="E116" t="str">
            <v>m3</v>
          </cell>
          <cell r="F116">
            <v>318187</v>
          </cell>
          <cell r="G116">
            <v>334097</v>
          </cell>
          <cell r="M116" t="str">
            <v>au</v>
          </cell>
        </row>
        <row r="117">
          <cell r="A117" t="str">
            <v>04-02-200</v>
          </cell>
          <cell r="B117" t="str">
            <v>mo15000</v>
          </cell>
          <cell r="C117" t="str">
            <v>MO vaciado de pedestales en concreto</v>
          </cell>
          <cell r="D117">
            <v>1</v>
          </cell>
          <cell r="E117" t="str">
            <v>m3</v>
          </cell>
          <cell r="F117">
            <v>130000</v>
          </cell>
          <cell r="G117">
            <v>130000</v>
          </cell>
          <cell r="M117" t="str">
            <v>mo</v>
          </cell>
        </row>
        <row r="118">
          <cell r="A118" t="str">
            <v>04-02-200</v>
          </cell>
          <cell r="B118" t="str">
            <v>mo17600</v>
          </cell>
          <cell r="C118" t="str">
            <v>MO transporte interno concreto</v>
          </cell>
          <cell r="D118">
            <v>1</v>
          </cell>
          <cell r="E118" t="str">
            <v>m3</v>
          </cell>
          <cell r="F118">
            <v>6000</v>
          </cell>
          <cell r="G118">
            <v>6000</v>
          </cell>
          <cell r="M118" t="str">
            <v>mo</v>
          </cell>
        </row>
        <row r="119">
          <cell r="A119" t="str">
            <v>04-02-200</v>
          </cell>
          <cell r="B119" t="str">
            <v>eq22100</v>
          </cell>
          <cell r="C119" t="str">
            <v>Vibrador electrico</v>
          </cell>
          <cell r="D119">
            <v>0.02</v>
          </cell>
          <cell r="E119" t="str">
            <v>dia</v>
          </cell>
          <cell r="F119">
            <v>39894.372000000003</v>
          </cell>
          <cell r="G119">
            <v>798</v>
          </cell>
          <cell r="M119" t="str">
            <v>eq</v>
          </cell>
        </row>
        <row r="120">
          <cell r="A120" t="str">
            <v>04-02-200</v>
          </cell>
          <cell r="B120" t="str">
            <v>au11000</v>
          </cell>
          <cell r="C120" t="str">
            <v>Aux curado concreto</v>
          </cell>
          <cell r="D120">
            <v>8</v>
          </cell>
          <cell r="E120" t="str">
            <v>m2</v>
          </cell>
          <cell r="F120">
            <v>1490</v>
          </cell>
          <cell r="G120">
            <v>11920</v>
          </cell>
          <cell r="M120" t="str">
            <v>au</v>
          </cell>
        </row>
        <row r="121">
          <cell r="A121" t="str">
            <v>04-02-200</v>
          </cell>
          <cell r="B121" t="str">
            <v>eq15200</v>
          </cell>
          <cell r="C121" t="str">
            <v>Formaleta columna</v>
          </cell>
          <cell r="D121">
            <v>8</v>
          </cell>
          <cell r="E121" t="str">
            <v>m2</v>
          </cell>
          <cell r="F121">
            <v>6572.5599999999995</v>
          </cell>
          <cell r="G121">
            <v>52581</v>
          </cell>
          <cell r="M121" t="str">
            <v>eq</v>
          </cell>
        </row>
        <row r="122">
          <cell r="A122" t="str">
            <v>04-02-200</v>
          </cell>
          <cell r="B122" t="str">
            <v>tp17900</v>
          </cell>
          <cell r="C122" t="str">
            <v>Transporte de equipo menor</v>
          </cell>
          <cell r="D122">
            <v>0.01</v>
          </cell>
          <cell r="E122" t="str">
            <v>vj</v>
          </cell>
          <cell r="F122">
            <v>144200</v>
          </cell>
          <cell r="G122">
            <v>1442</v>
          </cell>
          <cell r="M122" t="str">
            <v>tp</v>
          </cell>
        </row>
        <row r="123">
          <cell r="A123" t="str">
            <v>04-02-200</v>
          </cell>
          <cell r="B123" t="str">
            <v>mt13900</v>
          </cell>
          <cell r="C123" t="str">
            <v>Elementos de consumo y protección</v>
          </cell>
          <cell r="D123">
            <v>136000</v>
          </cell>
          <cell r="E123" t="str">
            <v>%</v>
          </cell>
          <cell r="F123">
            <v>1.2455000000000001E-2</v>
          </cell>
          <cell r="G123">
            <v>1694</v>
          </cell>
          <cell r="M123" t="str">
            <v>mt</v>
          </cell>
        </row>
        <row r="124">
          <cell r="A124" t="str">
            <v>04-02-200</v>
          </cell>
          <cell r="B124" t="str">
            <v>hm15100</v>
          </cell>
          <cell r="C124" t="str">
            <v>Herramienta y equipo menor</v>
          </cell>
          <cell r="D124">
            <v>136000</v>
          </cell>
          <cell r="E124" t="str">
            <v>%</v>
          </cell>
          <cell r="F124">
            <v>0.03</v>
          </cell>
          <cell r="G124">
            <v>4080</v>
          </cell>
          <cell r="M124" t="str">
            <v>hm</v>
          </cell>
        </row>
        <row r="125">
          <cell r="A125">
            <v>0</v>
          </cell>
          <cell r="C125" t="str">
            <v>DIRECTO:  542,612 / M3</v>
          </cell>
          <cell r="E125">
            <v>0</v>
          </cell>
          <cell r="F125">
            <v>0</v>
          </cell>
          <cell r="G125">
            <v>0</v>
          </cell>
          <cell r="M125">
            <v>0</v>
          </cell>
        </row>
        <row r="126">
          <cell r="A126">
            <v>0</v>
          </cell>
          <cell r="C126">
            <v>0</v>
          </cell>
          <cell r="E126">
            <v>0</v>
          </cell>
          <cell r="F126">
            <v>0</v>
          </cell>
          <cell r="G126">
            <v>0</v>
          </cell>
          <cell r="M126">
            <v>0</v>
          </cell>
        </row>
        <row r="127">
          <cell r="A127" t="str">
            <v>04-03-010</v>
          </cell>
          <cell r="B127" t="str">
            <v>04-03-010</v>
          </cell>
          <cell r="C127" t="str">
            <v>MURO DE CONTENCION EN BLOQUE DE CONCRETO 20x20x40. LOS LLENOS EN GROUT SE PAGAN EN ITEM APARTE</v>
          </cell>
          <cell r="D127">
            <v>24</v>
          </cell>
          <cell r="E127" t="str">
            <v>M2</v>
          </cell>
          <cell r="F127">
            <v>0</v>
          </cell>
          <cell r="G127">
            <v>70341</v>
          </cell>
          <cell r="M127" t="e">
            <v>#N/A</v>
          </cell>
        </row>
        <row r="128">
          <cell r="A128" t="str">
            <v>04-03-010</v>
          </cell>
          <cell r="B128" t="str">
            <v>mt22910</v>
          </cell>
          <cell r="C128" t="str">
            <v>Bloque 20 x 20 x 40 int/2per r13</v>
          </cell>
          <cell r="D128">
            <v>13.124999999999998</v>
          </cell>
          <cell r="E128" t="str">
            <v>un</v>
          </cell>
          <cell r="F128">
            <v>3452</v>
          </cell>
          <cell r="G128">
            <v>45308</v>
          </cell>
          <cell r="M128" t="str">
            <v>mt</v>
          </cell>
        </row>
        <row r="129">
          <cell r="A129" t="str">
            <v>04-03-010</v>
          </cell>
          <cell r="B129" t="str">
            <v>au11700</v>
          </cell>
          <cell r="C129" t="str">
            <v>Aux mortero de pega 1:4</v>
          </cell>
          <cell r="D129">
            <v>2.2000000000000002E-2</v>
          </cell>
          <cell r="E129" t="str">
            <v>m3</v>
          </cell>
          <cell r="F129">
            <v>246314</v>
          </cell>
          <cell r="G129">
            <v>5419</v>
          </cell>
          <cell r="M129" t="str">
            <v>au</v>
          </cell>
        </row>
        <row r="130">
          <cell r="A130" t="str">
            <v>04-03-010</v>
          </cell>
          <cell r="B130" t="str">
            <v>mo18110</v>
          </cell>
          <cell r="C130" t="str">
            <v>MO pega bloque 20x20x40</v>
          </cell>
          <cell r="D130">
            <v>1</v>
          </cell>
          <cell r="E130" t="str">
            <v>m2</v>
          </cell>
          <cell r="F130">
            <v>16843.84</v>
          </cell>
          <cell r="G130">
            <v>16844</v>
          </cell>
          <cell r="M130" t="str">
            <v>mo</v>
          </cell>
        </row>
        <row r="131">
          <cell r="A131" t="str">
            <v>04-03-010</v>
          </cell>
          <cell r="B131" t="str">
            <v>mo18000</v>
          </cell>
          <cell r="C131" t="str">
            <v>MO transporte interno bloque</v>
          </cell>
          <cell r="D131">
            <v>13.124999999999998</v>
          </cell>
          <cell r="E131" t="str">
            <v>un</v>
          </cell>
          <cell r="F131">
            <v>140</v>
          </cell>
          <cell r="G131">
            <v>1838</v>
          </cell>
          <cell r="M131" t="str">
            <v>mo</v>
          </cell>
        </row>
        <row r="132">
          <cell r="A132" t="str">
            <v>04-03-010</v>
          </cell>
          <cell r="B132" t="str">
            <v>mo17600</v>
          </cell>
          <cell r="C132" t="str">
            <v>MO transporte interno concreto</v>
          </cell>
          <cell r="D132">
            <v>2.2000000000000002E-2</v>
          </cell>
          <cell r="E132" t="str">
            <v>m3</v>
          </cell>
          <cell r="F132">
            <v>6000</v>
          </cell>
          <cell r="G132">
            <v>132</v>
          </cell>
          <cell r="M132" t="str">
            <v>mo</v>
          </cell>
        </row>
        <row r="133">
          <cell r="A133" t="str">
            <v>04-03-010</v>
          </cell>
          <cell r="B133" t="str">
            <v>mt13900</v>
          </cell>
          <cell r="C133" t="str">
            <v>Elementos de consumo y protección</v>
          </cell>
          <cell r="D133">
            <v>18814</v>
          </cell>
          <cell r="E133" t="str">
            <v>%</v>
          </cell>
          <cell r="F133">
            <v>1.2455000000000001E-2</v>
          </cell>
          <cell r="G133">
            <v>235</v>
          </cell>
          <cell r="M133" t="str">
            <v>mt</v>
          </cell>
        </row>
        <row r="134">
          <cell r="A134" t="str">
            <v>04-03-010</v>
          </cell>
          <cell r="B134" t="str">
            <v>hm15100</v>
          </cell>
          <cell r="C134" t="str">
            <v>Herramienta y equipo menor</v>
          </cell>
          <cell r="D134">
            <v>18814</v>
          </cell>
          <cell r="E134" t="str">
            <v>%</v>
          </cell>
          <cell r="F134">
            <v>0.03</v>
          </cell>
          <cell r="G134">
            <v>565</v>
          </cell>
          <cell r="M134" t="str">
            <v>hm</v>
          </cell>
        </row>
        <row r="135">
          <cell r="A135">
            <v>0</v>
          </cell>
          <cell r="C135" t="str">
            <v>DIRECTO:  70,341 / M2</v>
          </cell>
          <cell r="E135">
            <v>0</v>
          </cell>
          <cell r="F135">
            <v>0</v>
          </cell>
          <cell r="G135">
            <v>0</v>
          </cell>
          <cell r="M135">
            <v>0</v>
          </cell>
        </row>
        <row r="136">
          <cell r="A136">
            <v>0</v>
          </cell>
          <cell r="C136">
            <v>0</v>
          </cell>
          <cell r="E136">
            <v>0</v>
          </cell>
          <cell r="F136">
            <v>0</v>
          </cell>
          <cell r="G136">
            <v>0</v>
          </cell>
          <cell r="M136">
            <v>0</v>
          </cell>
        </row>
        <row r="137">
          <cell r="A137" t="str">
            <v>04-03-100</v>
          </cell>
          <cell r="B137" t="str">
            <v>04-03-100</v>
          </cell>
          <cell r="C137" t="str">
            <v>MURO DE CONTENCION EN CONCRETO VISTO F'C 21 MPA. E: 0.20 M.</v>
          </cell>
          <cell r="D137">
            <v>12</v>
          </cell>
          <cell r="E137" t="str">
            <v>M3</v>
          </cell>
          <cell r="F137">
            <v>0</v>
          </cell>
          <cell r="G137">
            <v>598050</v>
          </cell>
          <cell r="M137" t="e">
            <v>#N/A</v>
          </cell>
        </row>
        <row r="138">
          <cell r="A138" t="str">
            <v>04-03-100</v>
          </cell>
          <cell r="B138" t="str">
            <v>au10700</v>
          </cell>
          <cell r="C138" t="str">
            <v>Aux concreto 3000 psi -obra- 3/4"</v>
          </cell>
          <cell r="D138">
            <v>1.05</v>
          </cell>
          <cell r="E138" t="str">
            <v>m3</v>
          </cell>
          <cell r="F138">
            <v>271081</v>
          </cell>
          <cell r="G138">
            <v>284636</v>
          </cell>
          <cell r="M138" t="str">
            <v>au</v>
          </cell>
        </row>
        <row r="139">
          <cell r="A139" t="str">
            <v>04-03-100</v>
          </cell>
          <cell r="B139" t="str">
            <v>au11000</v>
          </cell>
          <cell r="C139" t="str">
            <v>Aux curado concreto</v>
          </cell>
          <cell r="D139">
            <v>10</v>
          </cell>
          <cell r="E139" t="str">
            <v>m2</v>
          </cell>
          <cell r="F139">
            <v>1490</v>
          </cell>
          <cell r="G139">
            <v>14900</v>
          </cell>
          <cell r="M139" t="str">
            <v>au</v>
          </cell>
        </row>
        <row r="140">
          <cell r="A140" t="str">
            <v>04-03-100</v>
          </cell>
          <cell r="B140" t="str">
            <v>au11200</v>
          </cell>
          <cell r="C140" t="str">
            <v>Aux desmoldante -separol-</v>
          </cell>
          <cell r="D140">
            <v>10</v>
          </cell>
          <cell r="E140" t="str">
            <v>m2</v>
          </cell>
          <cell r="F140">
            <v>569</v>
          </cell>
          <cell r="G140">
            <v>5690</v>
          </cell>
          <cell r="M140" t="str">
            <v>au</v>
          </cell>
        </row>
        <row r="141">
          <cell r="A141" t="str">
            <v>04-03-100</v>
          </cell>
          <cell r="B141" t="str">
            <v>au11300</v>
          </cell>
          <cell r="C141" t="str">
            <v>Aux formaleta metalica muro-m2 contac-</v>
          </cell>
          <cell r="D141">
            <v>10</v>
          </cell>
          <cell r="E141" t="str">
            <v>m2</v>
          </cell>
          <cell r="F141">
            <v>8096</v>
          </cell>
          <cell r="G141">
            <v>80960</v>
          </cell>
          <cell r="M141" t="str">
            <v>au</v>
          </cell>
        </row>
        <row r="142">
          <cell r="A142" t="str">
            <v>04-03-100</v>
          </cell>
          <cell r="B142" t="str">
            <v>mo18500</v>
          </cell>
          <cell r="C142" t="str">
            <v>MO armado y vaciado muro de contencion en concreto</v>
          </cell>
          <cell r="D142">
            <v>10</v>
          </cell>
          <cell r="E142" t="str">
            <v>m2</v>
          </cell>
          <cell r="F142">
            <v>17780</v>
          </cell>
          <cell r="G142">
            <v>177800</v>
          </cell>
          <cell r="M142" t="str">
            <v>mo</v>
          </cell>
        </row>
        <row r="143">
          <cell r="A143" t="str">
            <v>04-03-100</v>
          </cell>
          <cell r="B143" t="str">
            <v>mo17600</v>
          </cell>
          <cell r="C143" t="str">
            <v>MO transporte interno concreto</v>
          </cell>
          <cell r="D143">
            <v>1.05</v>
          </cell>
          <cell r="E143" t="str">
            <v>m3</v>
          </cell>
          <cell r="F143">
            <v>6000</v>
          </cell>
          <cell r="G143">
            <v>6300</v>
          </cell>
          <cell r="M143" t="str">
            <v>mo</v>
          </cell>
        </row>
        <row r="144">
          <cell r="A144" t="str">
            <v>04-03-100</v>
          </cell>
          <cell r="B144" t="str">
            <v>eq22100</v>
          </cell>
          <cell r="C144" t="str">
            <v>Vibrador electrico</v>
          </cell>
          <cell r="D144">
            <v>0.5</v>
          </cell>
          <cell r="E144" t="str">
            <v>dia</v>
          </cell>
          <cell r="F144">
            <v>39894.372000000003</v>
          </cell>
          <cell r="G144">
            <v>19948</v>
          </cell>
          <cell r="M144" t="str">
            <v>eq</v>
          </cell>
        </row>
        <row r="145">
          <cell r="A145" t="str">
            <v>04-03-100</v>
          </cell>
          <cell r="B145" t="str">
            <v>mt13900</v>
          </cell>
          <cell r="C145" t="str">
            <v>Elementos de consumo y protección</v>
          </cell>
          <cell r="D145">
            <v>184100</v>
          </cell>
          <cell r="E145" t="str">
            <v>%</v>
          </cell>
          <cell r="F145">
            <v>1.2455000000000001E-2</v>
          </cell>
          <cell r="G145">
            <v>2293</v>
          </cell>
          <cell r="M145" t="str">
            <v>mt</v>
          </cell>
        </row>
        <row r="146">
          <cell r="A146" t="str">
            <v>04-03-100</v>
          </cell>
          <cell r="B146" t="str">
            <v>hm15100</v>
          </cell>
          <cell r="C146" t="str">
            <v>Herramienta y equipo menor</v>
          </cell>
          <cell r="D146">
            <v>184100</v>
          </cell>
          <cell r="E146" t="str">
            <v>%</v>
          </cell>
          <cell r="F146">
            <v>0.03</v>
          </cell>
          <cell r="G146">
            <v>5523</v>
          </cell>
          <cell r="M146" t="str">
            <v>hm</v>
          </cell>
        </row>
        <row r="147">
          <cell r="A147">
            <v>0</v>
          </cell>
          <cell r="C147" t="str">
            <v>DIRECTO:  598,050 / M3</v>
          </cell>
          <cell r="E147">
            <v>0</v>
          </cell>
          <cell r="F147">
            <v>0</v>
          </cell>
          <cell r="G147">
            <v>0</v>
          </cell>
          <cell r="M147">
            <v>0</v>
          </cell>
        </row>
        <row r="148">
          <cell r="A148">
            <v>0</v>
          </cell>
          <cell r="C148">
            <v>0</v>
          </cell>
          <cell r="E148">
            <v>0</v>
          </cell>
          <cell r="F148">
            <v>0</v>
          </cell>
          <cell r="G148">
            <v>0</v>
          </cell>
          <cell r="M148">
            <v>0</v>
          </cell>
        </row>
        <row r="149">
          <cell r="A149" t="str">
            <v>04-04-010</v>
          </cell>
          <cell r="B149" t="str">
            <v>04-04-010</v>
          </cell>
          <cell r="C149" t="str">
            <v>VIGAS DE FUNDACION EN CONCRETO F'C 21 MPA.</v>
          </cell>
          <cell r="D149">
            <v>23</v>
          </cell>
          <cell r="E149" t="str">
            <v>M3</v>
          </cell>
          <cell r="F149">
            <v>0</v>
          </cell>
          <cell r="G149">
            <v>416323</v>
          </cell>
          <cell r="M149" t="e">
            <v>#N/A</v>
          </cell>
        </row>
        <row r="150">
          <cell r="A150" t="str">
            <v>04-04-010</v>
          </cell>
          <cell r="B150" t="str">
            <v>au10700</v>
          </cell>
          <cell r="C150" t="str">
            <v>Aux concreto 3000 psi -obra- 3/4"</v>
          </cell>
          <cell r="D150">
            <v>1.05</v>
          </cell>
          <cell r="E150" t="str">
            <v>m3</v>
          </cell>
          <cell r="F150">
            <v>271081</v>
          </cell>
          <cell r="G150">
            <v>284636</v>
          </cell>
          <cell r="M150" t="str">
            <v>au</v>
          </cell>
        </row>
        <row r="151">
          <cell r="A151" t="str">
            <v>04-04-010</v>
          </cell>
          <cell r="B151" t="str">
            <v>mo15310</v>
          </cell>
          <cell r="C151" t="str">
            <v>MO vaciado vigas de fundacion</v>
          </cell>
          <cell r="D151">
            <v>1</v>
          </cell>
          <cell r="E151" t="str">
            <v>m3</v>
          </cell>
          <cell r="F151">
            <v>113616</v>
          </cell>
          <cell r="G151">
            <v>113616</v>
          </cell>
          <cell r="M151" t="str">
            <v>mo</v>
          </cell>
        </row>
        <row r="152">
          <cell r="A152" t="str">
            <v>04-04-010</v>
          </cell>
          <cell r="B152" t="str">
            <v>mo17600</v>
          </cell>
          <cell r="C152" t="str">
            <v>MO transporte interno concreto</v>
          </cell>
          <cell r="D152">
            <v>1.05</v>
          </cell>
          <cell r="E152" t="str">
            <v>m3</v>
          </cell>
          <cell r="F152">
            <v>6000</v>
          </cell>
          <cell r="G152">
            <v>6300</v>
          </cell>
          <cell r="M152" t="str">
            <v>mo</v>
          </cell>
        </row>
        <row r="153">
          <cell r="A153" t="str">
            <v>04-04-010</v>
          </cell>
          <cell r="B153" t="str">
            <v>eq22100</v>
          </cell>
          <cell r="C153" t="str">
            <v>Vibrador electrico</v>
          </cell>
          <cell r="D153">
            <v>0.13125000000000001</v>
          </cell>
          <cell r="E153" t="str">
            <v>dia</v>
          </cell>
          <cell r="F153">
            <v>39894.372000000003</v>
          </cell>
          <cell r="G153">
            <v>5237</v>
          </cell>
          <cell r="M153" t="str">
            <v>eq</v>
          </cell>
        </row>
        <row r="154">
          <cell r="A154" t="str">
            <v>04-04-010</v>
          </cell>
          <cell r="B154" t="str">
            <v>tp17900</v>
          </cell>
          <cell r="C154" t="str">
            <v>Transporte de equipo menor</v>
          </cell>
          <cell r="D154">
            <v>0.01</v>
          </cell>
          <cell r="E154" t="str">
            <v>vj</v>
          </cell>
          <cell r="F154">
            <v>144200</v>
          </cell>
          <cell r="G154">
            <v>1442</v>
          </cell>
          <cell r="M154" t="str">
            <v>tp</v>
          </cell>
        </row>
        <row r="155">
          <cell r="A155" t="str">
            <v>04-04-010</v>
          </cell>
          <cell r="B155" t="str">
            <v>mt13900</v>
          </cell>
          <cell r="C155" t="str">
            <v>Elementos de consumo y protección</v>
          </cell>
          <cell r="D155">
            <v>119916</v>
          </cell>
          <cell r="E155" t="str">
            <v>%</v>
          </cell>
          <cell r="F155">
            <v>1.2455000000000001E-2</v>
          </cell>
          <cell r="G155">
            <v>1494</v>
          </cell>
          <cell r="M155" t="str">
            <v>mt</v>
          </cell>
        </row>
        <row r="156">
          <cell r="A156" t="str">
            <v>04-04-010</v>
          </cell>
          <cell r="B156" t="str">
            <v>hm15100</v>
          </cell>
          <cell r="C156" t="str">
            <v>Herramienta y equipo menor</v>
          </cell>
          <cell r="D156">
            <v>119916</v>
          </cell>
          <cell r="E156" t="str">
            <v>%</v>
          </cell>
          <cell r="F156">
            <v>0.03</v>
          </cell>
          <cell r="G156">
            <v>3598</v>
          </cell>
          <cell r="M156" t="str">
            <v>hm</v>
          </cell>
        </row>
        <row r="157">
          <cell r="A157">
            <v>0</v>
          </cell>
          <cell r="C157" t="str">
            <v>DIRECTO:  416,323 / M3</v>
          </cell>
          <cell r="E157">
            <v>0</v>
          </cell>
          <cell r="F157">
            <v>0</v>
          </cell>
          <cell r="G157">
            <v>0</v>
          </cell>
          <cell r="M157">
            <v>0</v>
          </cell>
        </row>
        <row r="158">
          <cell r="A158">
            <v>0</v>
          </cell>
          <cell r="C158">
            <v>0</v>
          </cell>
          <cell r="E158">
            <v>0</v>
          </cell>
          <cell r="F158">
            <v>0</v>
          </cell>
          <cell r="G158">
            <v>0</v>
          </cell>
          <cell r="M158">
            <v>0</v>
          </cell>
        </row>
        <row r="159">
          <cell r="A159" t="str">
            <v>04-05-010</v>
          </cell>
          <cell r="B159" t="str">
            <v>04-05-010</v>
          </cell>
          <cell r="C159" t="str">
            <v>LOSA DE CONTRAPISO E: 0.15 F'C 21 MPA.</v>
          </cell>
          <cell r="D159">
            <v>238</v>
          </cell>
          <cell r="E159" t="str">
            <v>M2</v>
          </cell>
          <cell r="F159">
            <v>0</v>
          </cell>
          <cell r="G159">
            <v>65066</v>
          </cell>
          <cell r="M159" t="e">
            <v>#N/A</v>
          </cell>
        </row>
        <row r="160">
          <cell r="A160" t="str">
            <v>04-05-010</v>
          </cell>
          <cell r="B160" t="str">
            <v>au10700</v>
          </cell>
          <cell r="C160" t="str">
            <v>Aux concreto 3000 psi -obra- 3/4"</v>
          </cell>
          <cell r="D160">
            <v>0.16500000000000001</v>
          </cell>
          <cell r="E160" t="str">
            <v>m3</v>
          </cell>
          <cell r="F160">
            <v>271081</v>
          </cell>
          <cell r="G160">
            <v>44729</v>
          </cell>
          <cell r="M160" t="str">
            <v>au</v>
          </cell>
        </row>
        <row r="161">
          <cell r="A161" t="str">
            <v>04-05-010</v>
          </cell>
          <cell r="B161" t="str">
            <v>mo15400</v>
          </cell>
          <cell r="C161" t="str">
            <v>MO vaciado de placa de contrapiso</v>
          </cell>
          <cell r="D161">
            <v>1</v>
          </cell>
          <cell r="E161" t="str">
            <v>m2</v>
          </cell>
          <cell r="F161">
            <v>15000</v>
          </cell>
          <cell r="G161">
            <v>15000</v>
          </cell>
          <cell r="M161" t="str">
            <v>mo</v>
          </cell>
        </row>
        <row r="162">
          <cell r="A162" t="str">
            <v>04-05-010</v>
          </cell>
          <cell r="B162" t="str">
            <v>eq120200</v>
          </cell>
          <cell r="C162" t="str">
            <v>Cortadora de piso</v>
          </cell>
          <cell r="D162">
            <v>6.0000000000000001E-3</v>
          </cell>
          <cell r="E162" t="str">
            <v>dia</v>
          </cell>
          <cell r="F162">
            <v>52415.759999999995</v>
          </cell>
          <cell r="G162">
            <v>315</v>
          </cell>
          <cell r="M162" t="str">
            <v>eq</v>
          </cell>
        </row>
        <row r="163">
          <cell r="A163" t="str">
            <v>04-05-010</v>
          </cell>
          <cell r="B163" t="str">
            <v>eq120300</v>
          </cell>
          <cell r="C163" t="str">
            <v>Corte junta hasta 6 cm</v>
          </cell>
          <cell r="D163">
            <v>0.32100000000000001</v>
          </cell>
          <cell r="E163" t="str">
            <v>m</v>
          </cell>
          <cell r="F163">
            <v>4474.12</v>
          </cell>
          <cell r="G163">
            <v>1437</v>
          </cell>
          <cell r="M163" t="str">
            <v>eq</v>
          </cell>
        </row>
        <row r="164">
          <cell r="A164" t="str">
            <v>04-05-010</v>
          </cell>
          <cell r="B164" t="str">
            <v>eq22100</v>
          </cell>
          <cell r="C164" t="str">
            <v>Vibrador electrico</v>
          </cell>
          <cell r="D164">
            <v>2.0625000000000001E-2</v>
          </cell>
          <cell r="E164" t="str">
            <v>dia</v>
          </cell>
          <cell r="F164">
            <v>39894.372000000003</v>
          </cell>
          <cell r="G164">
            <v>823</v>
          </cell>
          <cell r="M164" t="str">
            <v>eq</v>
          </cell>
        </row>
        <row r="165">
          <cell r="A165" t="str">
            <v>04-05-010</v>
          </cell>
          <cell r="B165" t="str">
            <v>mt15800</v>
          </cell>
          <cell r="C165" t="str">
            <v>Polietileno negro c4 -0.10 kg/m2-</v>
          </cell>
          <cell r="D165">
            <v>2.4</v>
          </cell>
          <cell r="E165" t="str">
            <v>m2</v>
          </cell>
          <cell r="F165">
            <v>454.71999999999997</v>
          </cell>
          <cell r="G165">
            <v>1092</v>
          </cell>
          <cell r="M165" t="str">
            <v>mt</v>
          </cell>
        </row>
        <row r="166">
          <cell r="A166" t="str">
            <v>04-05-010</v>
          </cell>
          <cell r="B166" t="str">
            <v>mo17600</v>
          </cell>
          <cell r="C166" t="str">
            <v>MO transporte interno concreto</v>
          </cell>
          <cell r="D166">
            <v>0.16500000000000001</v>
          </cell>
          <cell r="E166" t="str">
            <v>m3</v>
          </cell>
          <cell r="F166">
            <v>6000</v>
          </cell>
          <cell r="G166">
            <v>990</v>
          </cell>
          <cell r="M166" t="str">
            <v>mo</v>
          </cell>
        </row>
        <row r="167">
          <cell r="A167" t="str">
            <v>04-05-010</v>
          </cell>
          <cell r="B167" t="str">
            <v>mt13900</v>
          </cell>
          <cell r="C167" t="str">
            <v>Elementos de consumo y protección</v>
          </cell>
          <cell r="D167">
            <v>15990</v>
          </cell>
          <cell r="E167" t="str">
            <v>%</v>
          </cell>
          <cell r="F167">
            <v>1.2455000000000001E-2</v>
          </cell>
          <cell r="G167">
            <v>200</v>
          </cell>
          <cell r="M167" t="str">
            <v>mt</v>
          </cell>
        </row>
        <row r="168">
          <cell r="A168" t="str">
            <v>04-05-010</v>
          </cell>
          <cell r="B168" t="str">
            <v>hm15100</v>
          </cell>
          <cell r="C168" t="str">
            <v>Herramienta y equipo menor</v>
          </cell>
          <cell r="D168">
            <v>15990</v>
          </cell>
          <cell r="E168" t="str">
            <v>%</v>
          </cell>
          <cell r="F168">
            <v>0.03</v>
          </cell>
          <cell r="G168">
            <v>480</v>
          </cell>
          <cell r="M168" t="str">
            <v>hm</v>
          </cell>
        </row>
        <row r="169">
          <cell r="A169">
            <v>0</v>
          </cell>
          <cell r="C169" t="str">
            <v>DIRECTO:  65,066 / M2</v>
          </cell>
          <cell r="E169">
            <v>0</v>
          </cell>
          <cell r="F169">
            <v>0</v>
          </cell>
          <cell r="G169">
            <v>0</v>
          </cell>
          <cell r="M169">
            <v>0</v>
          </cell>
        </row>
        <row r="170">
          <cell r="A170">
            <v>0</v>
          </cell>
          <cell r="C170">
            <v>0</v>
          </cell>
          <cell r="E170">
            <v>0</v>
          </cell>
          <cell r="F170">
            <v>0</v>
          </cell>
          <cell r="G170">
            <v>0</v>
          </cell>
          <cell r="M170">
            <v>0</v>
          </cell>
        </row>
        <row r="171">
          <cell r="A171" t="str">
            <v>04-07-010</v>
          </cell>
          <cell r="B171" t="str">
            <v>04-07-010</v>
          </cell>
          <cell r="C171" t="str">
            <v>COLUMNAS EN CONCRETO VISTO F'C 21 MPA (0.25 M. x 0.25 M.) SOPORTE PALCO</v>
          </cell>
          <cell r="D171">
            <v>1</v>
          </cell>
          <cell r="E171" t="str">
            <v>M3</v>
          </cell>
          <cell r="F171">
            <v>0</v>
          </cell>
          <cell r="G171">
            <v>692685</v>
          </cell>
          <cell r="M171" t="e">
            <v>#N/A</v>
          </cell>
        </row>
        <row r="172">
          <cell r="A172" t="str">
            <v>04-07-010</v>
          </cell>
          <cell r="B172" t="str">
            <v>au10820</v>
          </cell>
          <cell r="C172" t="str">
            <v>Aux concreto 5000 psi -obra- 3/4"</v>
          </cell>
          <cell r="D172">
            <v>1.05</v>
          </cell>
          <cell r="E172" t="str">
            <v>m3</v>
          </cell>
          <cell r="F172">
            <v>360470</v>
          </cell>
          <cell r="G172">
            <v>378494</v>
          </cell>
          <cell r="M172" t="str">
            <v>au</v>
          </cell>
        </row>
        <row r="173">
          <cell r="A173" t="str">
            <v>04-07-010</v>
          </cell>
          <cell r="B173" t="str">
            <v>au11200</v>
          </cell>
          <cell r="C173" t="str">
            <v>Aux desmoldante -separol-</v>
          </cell>
          <cell r="D173">
            <v>16</v>
          </cell>
          <cell r="E173" t="str">
            <v>m2</v>
          </cell>
          <cell r="F173">
            <v>569</v>
          </cell>
          <cell r="G173">
            <v>9104</v>
          </cell>
          <cell r="M173" t="str">
            <v>au</v>
          </cell>
        </row>
        <row r="174">
          <cell r="A174" t="str">
            <v>04-07-010</v>
          </cell>
          <cell r="B174" t="str">
            <v>eq15200</v>
          </cell>
          <cell r="C174" t="str">
            <v>Formaleta columna</v>
          </cell>
          <cell r="D174">
            <v>16</v>
          </cell>
          <cell r="E174" t="str">
            <v>m2</v>
          </cell>
          <cell r="F174">
            <v>6572.5599999999995</v>
          </cell>
          <cell r="G174">
            <v>105161</v>
          </cell>
          <cell r="M174" t="str">
            <v>eq</v>
          </cell>
        </row>
        <row r="175">
          <cell r="A175" t="str">
            <v>04-07-010</v>
          </cell>
          <cell r="B175" t="str">
            <v>eq22100</v>
          </cell>
          <cell r="C175" t="str">
            <v>Vibrador electrico</v>
          </cell>
          <cell r="D175">
            <v>0.04</v>
          </cell>
          <cell r="E175" t="str">
            <v>dia</v>
          </cell>
          <cell r="F175">
            <v>39894.372000000003</v>
          </cell>
          <cell r="G175">
            <v>1596</v>
          </cell>
          <cell r="M175" t="str">
            <v>eq</v>
          </cell>
        </row>
        <row r="176">
          <cell r="A176" t="str">
            <v>04-07-010</v>
          </cell>
          <cell r="B176" t="str">
            <v>au11000</v>
          </cell>
          <cell r="C176" t="str">
            <v>Aux curado concreto</v>
          </cell>
          <cell r="D176">
            <v>16</v>
          </cell>
          <cell r="E176" t="str">
            <v>m2</v>
          </cell>
          <cell r="F176">
            <v>1490</v>
          </cell>
          <cell r="G176">
            <v>23840</v>
          </cell>
          <cell r="M176" t="str">
            <v>au</v>
          </cell>
        </row>
        <row r="177">
          <cell r="A177" t="str">
            <v>04-07-010</v>
          </cell>
          <cell r="B177" t="str">
            <v>tp17900</v>
          </cell>
          <cell r="C177" t="str">
            <v>Transporte de equipo menor</v>
          </cell>
          <cell r="D177">
            <v>0.01</v>
          </cell>
          <cell r="E177" t="str">
            <v>vj</v>
          </cell>
          <cell r="F177">
            <v>144200</v>
          </cell>
          <cell r="G177">
            <v>1442</v>
          </cell>
          <cell r="M177" t="str">
            <v>tp</v>
          </cell>
        </row>
        <row r="178">
          <cell r="A178" t="str">
            <v>04-07-010</v>
          </cell>
          <cell r="B178" t="str">
            <v>mo17600</v>
          </cell>
          <cell r="C178" t="str">
            <v>MO transporte interno concreto</v>
          </cell>
          <cell r="D178">
            <v>1</v>
          </cell>
          <cell r="E178" t="str">
            <v>m3</v>
          </cell>
          <cell r="F178">
            <v>6000</v>
          </cell>
          <cell r="G178">
            <v>6000</v>
          </cell>
          <cell r="M178" t="str">
            <v>mo</v>
          </cell>
        </row>
        <row r="179">
          <cell r="A179" t="str">
            <v>04-07-010</v>
          </cell>
          <cell r="B179" t="str">
            <v>mo18550</v>
          </cell>
          <cell r="C179" t="str">
            <v>MO armado y vaciado columna</v>
          </cell>
          <cell r="D179">
            <v>1</v>
          </cell>
          <cell r="E179" t="str">
            <v>m3</v>
          </cell>
          <cell r="F179">
            <v>160000</v>
          </cell>
          <cell r="G179">
            <v>160000</v>
          </cell>
          <cell r="M179" t="str">
            <v>mo</v>
          </cell>
        </row>
        <row r="180">
          <cell r="A180" t="str">
            <v>04-07-010</v>
          </cell>
          <cell r="B180" t="str">
            <v>mt13900</v>
          </cell>
          <cell r="C180" t="str">
            <v>Elementos de consumo y protección</v>
          </cell>
          <cell r="D180">
            <v>166000</v>
          </cell>
          <cell r="E180" t="str">
            <v>%</v>
          </cell>
          <cell r="F180">
            <v>1.2455000000000001E-2</v>
          </cell>
          <cell r="G180">
            <v>2068</v>
          </cell>
          <cell r="M180" t="str">
            <v>mt</v>
          </cell>
        </row>
        <row r="181">
          <cell r="A181" t="str">
            <v>04-07-010</v>
          </cell>
          <cell r="B181" t="str">
            <v>hm15100</v>
          </cell>
          <cell r="C181" t="str">
            <v>Herramienta y equipo menor</v>
          </cell>
          <cell r="D181">
            <v>166000</v>
          </cell>
          <cell r="E181" t="str">
            <v>%</v>
          </cell>
          <cell r="F181">
            <v>0.03</v>
          </cell>
          <cell r="G181">
            <v>4980</v>
          </cell>
          <cell r="M181" t="str">
            <v>hm</v>
          </cell>
        </row>
        <row r="182">
          <cell r="A182">
            <v>0</v>
          </cell>
          <cell r="C182" t="str">
            <v>DIRECTO:  692,685 / M3</v>
          </cell>
          <cell r="E182">
            <v>0</v>
          </cell>
          <cell r="F182">
            <v>0</v>
          </cell>
          <cell r="G182">
            <v>0</v>
          </cell>
          <cell r="M182">
            <v>0</v>
          </cell>
        </row>
        <row r="183">
          <cell r="A183">
            <v>0</v>
          </cell>
          <cell r="C183">
            <v>0</v>
          </cell>
          <cell r="E183">
            <v>0</v>
          </cell>
          <cell r="F183">
            <v>0</v>
          </cell>
          <cell r="G183">
            <v>0</v>
          </cell>
          <cell r="M183">
            <v>0</v>
          </cell>
        </row>
        <row r="184">
          <cell r="A184" t="str">
            <v>04-07-020</v>
          </cell>
          <cell r="B184" t="str">
            <v>04-07-020</v>
          </cell>
          <cell r="C184" t="str">
            <v>COLUMNA / MACHON EN CONCRETO F'C 21 MPA (0.40 M. x 0.30 M.) - LATERAL ESCENARIO</v>
          </cell>
          <cell r="D184">
            <v>3</v>
          </cell>
          <cell r="E184" t="str">
            <v>M3</v>
          </cell>
          <cell r="F184">
            <v>0</v>
          </cell>
          <cell r="G184">
            <v>655283</v>
          </cell>
          <cell r="M184" t="e">
            <v>#N/A</v>
          </cell>
        </row>
        <row r="185">
          <cell r="A185" t="str">
            <v>04-07-020</v>
          </cell>
          <cell r="B185" t="str">
            <v>au10820</v>
          </cell>
          <cell r="C185" t="str">
            <v>Aux concreto 5000 psi -obra- 3/4"</v>
          </cell>
          <cell r="D185">
            <v>1.05</v>
          </cell>
          <cell r="E185" t="str">
            <v>m3</v>
          </cell>
          <cell r="F185">
            <v>360470</v>
          </cell>
          <cell r="G185">
            <v>378494</v>
          </cell>
          <cell r="M185" t="str">
            <v>au</v>
          </cell>
        </row>
        <row r="186">
          <cell r="A186" t="str">
            <v>04-07-020</v>
          </cell>
          <cell r="B186" t="str">
            <v>au11200</v>
          </cell>
          <cell r="C186" t="str">
            <v>Aux desmoldante -separol-</v>
          </cell>
          <cell r="D186">
            <v>11.666666666666666</v>
          </cell>
          <cell r="E186" t="str">
            <v>m2</v>
          </cell>
          <cell r="F186">
            <v>569</v>
          </cell>
          <cell r="G186">
            <v>6639</v>
          </cell>
          <cell r="M186" t="str">
            <v>au</v>
          </cell>
        </row>
        <row r="187">
          <cell r="A187" t="str">
            <v>04-07-020</v>
          </cell>
          <cell r="B187" t="str">
            <v>eq15200</v>
          </cell>
          <cell r="C187" t="str">
            <v>Formaleta columna</v>
          </cell>
          <cell r="D187">
            <v>11.666666666666666</v>
          </cell>
          <cell r="E187" t="str">
            <v>m2</v>
          </cell>
          <cell r="F187">
            <v>6572.5599999999995</v>
          </cell>
          <cell r="G187">
            <v>76680</v>
          </cell>
          <cell r="M187" t="str">
            <v>eq</v>
          </cell>
        </row>
        <row r="188">
          <cell r="A188" t="str">
            <v>04-07-020</v>
          </cell>
          <cell r="B188" t="str">
            <v>eq22100</v>
          </cell>
          <cell r="C188" t="str">
            <v>Vibrador electrico</v>
          </cell>
          <cell r="D188">
            <v>0.04</v>
          </cell>
          <cell r="E188" t="str">
            <v>dia</v>
          </cell>
          <cell r="F188">
            <v>39894.372000000003</v>
          </cell>
          <cell r="G188">
            <v>1596</v>
          </cell>
          <cell r="M188" t="str">
            <v>eq</v>
          </cell>
        </row>
        <row r="189">
          <cell r="A189" t="str">
            <v>04-07-020</v>
          </cell>
          <cell r="B189" t="str">
            <v>au11000</v>
          </cell>
          <cell r="C189" t="str">
            <v>Aux curado concreto</v>
          </cell>
          <cell r="D189">
            <v>11.666666666666666</v>
          </cell>
          <cell r="E189" t="str">
            <v>m2</v>
          </cell>
          <cell r="F189">
            <v>1490</v>
          </cell>
          <cell r="G189">
            <v>17384</v>
          </cell>
          <cell r="M189" t="str">
            <v>au</v>
          </cell>
        </row>
        <row r="190">
          <cell r="A190" t="str">
            <v>04-07-020</v>
          </cell>
          <cell r="B190" t="str">
            <v>tp17900</v>
          </cell>
          <cell r="C190" t="str">
            <v>Transporte de equipo menor</v>
          </cell>
          <cell r="D190">
            <v>0.01</v>
          </cell>
          <cell r="E190" t="str">
            <v>vj</v>
          </cell>
          <cell r="F190">
            <v>144200</v>
          </cell>
          <cell r="G190">
            <v>1442</v>
          </cell>
          <cell r="M190" t="str">
            <v>tp</v>
          </cell>
        </row>
        <row r="191">
          <cell r="A191" t="str">
            <v>04-07-020</v>
          </cell>
          <cell r="B191" t="str">
            <v>mo17600</v>
          </cell>
          <cell r="C191" t="str">
            <v>MO transporte interno concreto</v>
          </cell>
          <cell r="D191">
            <v>1</v>
          </cell>
          <cell r="E191" t="str">
            <v>m3</v>
          </cell>
          <cell r="F191">
            <v>6000</v>
          </cell>
          <cell r="G191">
            <v>6000</v>
          </cell>
          <cell r="M191" t="str">
            <v>mo</v>
          </cell>
        </row>
        <row r="192">
          <cell r="A192" t="str">
            <v>04-07-020</v>
          </cell>
          <cell r="B192" t="str">
            <v>mo18550</v>
          </cell>
          <cell r="C192" t="str">
            <v>MO armado y vaciado columna</v>
          </cell>
          <cell r="D192">
            <v>1</v>
          </cell>
          <cell r="E192" t="str">
            <v>m3</v>
          </cell>
          <cell r="F192">
            <v>160000</v>
          </cell>
          <cell r="G192">
            <v>160000</v>
          </cell>
          <cell r="M192" t="str">
            <v>mo</v>
          </cell>
        </row>
        <row r="193">
          <cell r="A193" t="str">
            <v>04-07-020</v>
          </cell>
          <cell r="B193" t="str">
            <v>mt13900</v>
          </cell>
          <cell r="C193" t="str">
            <v>Elementos de consumo y protección</v>
          </cell>
          <cell r="D193">
            <v>166000</v>
          </cell>
          <cell r="E193" t="str">
            <v>%</v>
          </cell>
          <cell r="F193">
            <v>1.2455000000000001E-2</v>
          </cell>
          <cell r="G193">
            <v>2068</v>
          </cell>
          <cell r="M193" t="str">
            <v>mt</v>
          </cell>
        </row>
        <row r="194">
          <cell r="A194" t="str">
            <v>04-07-020</v>
          </cell>
          <cell r="B194" t="str">
            <v>hm15100</v>
          </cell>
          <cell r="C194" t="str">
            <v>Herramienta y equipo menor</v>
          </cell>
          <cell r="D194">
            <v>166000</v>
          </cell>
          <cell r="E194" t="str">
            <v>%</v>
          </cell>
          <cell r="F194">
            <v>0.03</v>
          </cell>
          <cell r="G194">
            <v>4980</v>
          </cell>
          <cell r="M194" t="str">
            <v>hm</v>
          </cell>
        </row>
        <row r="195">
          <cell r="A195">
            <v>0</v>
          </cell>
          <cell r="C195" t="str">
            <v>DIRECTO:  655,283 / M3</v>
          </cell>
          <cell r="E195">
            <v>0</v>
          </cell>
          <cell r="F195">
            <v>0</v>
          </cell>
          <cell r="G195">
            <v>0</v>
          </cell>
          <cell r="M195">
            <v>0</v>
          </cell>
        </row>
        <row r="196">
          <cell r="A196">
            <v>0</v>
          </cell>
          <cell r="C196">
            <v>0</v>
          </cell>
          <cell r="E196">
            <v>0</v>
          </cell>
          <cell r="F196">
            <v>0</v>
          </cell>
          <cell r="G196">
            <v>0</v>
          </cell>
          <cell r="M196">
            <v>0</v>
          </cell>
        </row>
        <row r="197">
          <cell r="A197" t="str">
            <v>04-07-030</v>
          </cell>
          <cell r="B197" t="str">
            <v>04-07-030</v>
          </cell>
          <cell r="C197" t="str">
            <v>COLUMNAS DE CONFINAMIENTO EN CONCRETO F'C 21 MPA (0.20 M. x 0.20 M.) LATERAL ESCENARIO</v>
          </cell>
          <cell r="D197">
            <v>3</v>
          </cell>
          <cell r="E197" t="str">
            <v>M3</v>
          </cell>
          <cell r="F197">
            <v>0</v>
          </cell>
          <cell r="G197">
            <v>728808</v>
          </cell>
          <cell r="M197" t="e">
            <v>#N/A</v>
          </cell>
        </row>
        <row r="198">
          <cell r="A198" t="str">
            <v>04-07-030</v>
          </cell>
          <cell r="B198" t="str">
            <v>au10820</v>
          </cell>
          <cell r="C198" t="str">
            <v>Aux concreto 5000 psi -obra- 3/4"</v>
          </cell>
          <cell r="D198">
            <v>1.05</v>
          </cell>
          <cell r="E198" t="str">
            <v>m3</v>
          </cell>
          <cell r="F198">
            <v>360470</v>
          </cell>
          <cell r="G198">
            <v>378494</v>
          </cell>
          <cell r="M198" t="str">
            <v>au</v>
          </cell>
        </row>
        <row r="199">
          <cell r="A199" t="str">
            <v>04-07-030</v>
          </cell>
          <cell r="B199" t="str">
            <v>au11200</v>
          </cell>
          <cell r="C199" t="str">
            <v>Aux desmoldante -separol-</v>
          </cell>
          <cell r="D199">
            <v>19.999999999999996</v>
          </cell>
          <cell r="E199" t="str">
            <v>m2</v>
          </cell>
          <cell r="F199">
            <v>569</v>
          </cell>
          <cell r="G199">
            <v>11380</v>
          </cell>
          <cell r="M199" t="str">
            <v>au</v>
          </cell>
        </row>
        <row r="200">
          <cell r="A200" t="str">
            <v>04-07-030</v>
          </cell>
          <cell r="B200" t="str">
            <v>eq15200</v>
          </cell>
          <cell r="C200" t="str">
            <v>Formaleta columna</v>
          </cell>
          <cell r="D200">
            <v>19.999999999999996</v>
          </cell>
          <cell r="E200" t="str">
            <v>m2</v>
          </cell>
          <cell r="F200">
            <v>6572.5599999999995</v>
          </cell>
          <cell r="G200">
            <v>131452</v>
          </cell>
          <cell r="M200" t="str">
            <v>eq</v>
          </cell>
        </row>
        <row r="201">
          <cell r="A201" t="str">
            <v>04-07-030</v>
          </cell>
          <cell r="B201" t="str">
            <v>eq22100</v>
          </cell>
          <cell r="C201" t="str">
            <v>Vibrador electrico</v>
          </cell>
          <cell r="D201">
            <v>0.08</v>
          </cell>
          <cell r="E201" t="str">
            <v>dia</v>
          </cell>
          <cell r="F201">
            <v>39894.372000000003</v>
          </cell>
          <cell r="G201">
            <v>3192</v>
          </cell>
          <cell r="M201" t="str">
            <v>eq</v>
          </cell>
        </row>
        <row r="202">
          <cell r="A202" t="str">
            <v>04-07-030</v>
          </cell>
          <cell r="B202" t="str">
            <v>au11000</v>
          </cell>
          <cell r="C202" t="str">
            <v>Aux curado concreto</v>
          </cell>
          <cell r="D202">
            <v>19.999999999999996</v>
          </cell>
          <cell r="E202" t="str">
            <v>m2</v>
          </cell>
          <cell r="F202">
            <v>1490</v>
          </cell>
          <cell r="G202">
            <v>29800</v>
          </cell>
          <cell r="M202" t="str">
            <v>au</v>
          </cell>
        </row>
        <row r="203">
          <cell r="A203" t="str">
            <v>04-07-030</v>
          </cell>
          <cell r="B203" t="str">
            <v>tp17900</v>
          </cell>
          <cell r="C203" t="str">
            <v>Transporte de equipo menor</v>
          </cell>
          <cell r="D203">
            <v>0.01</v>
          </cell>
          <cell r="E203" t="str">
            <v>vj</v>
          </cell>
          <cell r="F203">
            <v>144200</v>
          </cell>
          <cell r="G203">
            <v>1442</v>
          </cell>
          <cell r="M203" t="str">
            <v>tp</v>
          </cell>
        </row>
        <row r="204">
          <cell r="A204" t="str">
            <v>04-07-030</v>
          </cell>
          <cell r="B204" t="str">
            <v>mo17600</v>
          </cell>
          <cell r="C204" t="str">
            <v>MO transporte interno concreto</v>
          </cell>
          <cell r="D204">
            <v>1</v>
          </cell>
          <cell r="E204" t="str">
            <v>m3</v>
          </cell>
          <cell r="F204">
            <v>6000</v>
          </cell>
          <cell r="G204">
            <v>6000</v>
          </cell>
          <cell r="M204" t="str">
            <v>mo</v>
          </cell>
        </row>
        <row r="205">
          <cell r="A205" t="str">
            <v>04-07-030</v>
          </cell>
          <cell r="B205" t="str">
            <v>mo18550</v>
          </cell>
          <cell r="C205" t="str">
            <v>MO armado y vaciado columna</v>
          </cell>
          <cell r="D205">
            <v>1</v>
          </cell>
          <cell r="E205" t="str">
            <v>m3</v>
          </cell>
          <cell r="F205">
            <v>160000</v>
          </cell>
          <cell r="G205">
            <v>160000</v>
          </cell>
          <cell r="M205" t="str">
            <v>mo</v>
          </cell>
        </row>
        <row r="206">
          <cell r="A206" t="str">
            <v>04-07-030</v>
          </cell>
          <cell r="B206" t="str">
            <v>mt13900</v>
          </cell>
          <cell r="C206" t="str">
            <v>Elementos de consumo y protección</v>
          </cell>
          <cell r="D206">
            <v>166000</v>
          </cell>
          <cell r="E206" t="str">
            <v>%</v>
          </cell>
          <cell r="F206">
            <v>1.2455000000000001E-2</v>
          </cell>
          <cell r="G206">
            <v>2068</v>
          </cell>
          <cell r="M206" t="str">
            <v>mt</v>
          </cell>
        </row>
        <row r="207">
          <cell r="A207" t="str">
            <v>04-07-030</v>
          </cell>
          <cell r="B207" t="str">
            <v>hm15100</v>
          </cell>
          <cell r="C207" t="str">
            <v>Herramienta y equipo menor</v>
          </cell>
          <cell r="D207">
            <v>166000</v>
          </cell>
          <cell r="E207" t="str">
            <v>%</v>
          </cell>
          <cell r="F207">
            <v>0.03</v>
          </cell>
          <cell r="G207">
            <v>4980</v>
          </cell>
          <cell r="M207" t="str">
            <v>hm</v>
          </cell>
        </row>
        <row r="208">
          <cell r="A208">
            <v>0</v>
          </cell>
          <cell r="C208" t="str">
            <v>DIRECTO:  728,808 / M3</v>
          </cell>
          <cell r="E208">
            <v>0</v>
          </cell>
          <cell r="F208">
            <v>0</v>
          </cell>
          <cell r="G208">
            <v>0</v>
          </cell>
          <cell r="M208">
            <v>0</v>
          </cell>
        </row>
        <row r="209">
          <cell r="A209">
            <v>0</v>
          </cell>
          <cell r="C209">
            <v>0</v>
          </cell>
          <cell r="E209">
            <v>0</v>
          </cell>
          <cell r="F209">
            <v>0</v>
          </cell>
          <cell r="G209">
            <v>0</v>
          </cell>
          <cell r="M209">
            <v>0</v>
          </cell>
        </row>
        <row r="210">
          <cell r="A210" t="str">
            <v>04-08-010</v>
          </cell>
          <cell r="B210" t="str">
            <v>04-08-010</v>
          </cell>
          <cell r="C210" t="str">
            <v>LOSA MACIZA EN CONCRETO F'C 21 MPA E: 0.10 M. PARA ESCENARIO Y PALCOS</v>
          </cell>
          <cell r="D210">
            <v>246</v>
          </cell>
          <cell r="E210" t="str">
            <v>M2</v>
          </cell>
          <cell r="F210">
            <v>0</v>
          </cell>
          <cell r="G210">
            <v>77299</v>
          </cell>
          <cell r="M210" t="e">
            <v>#N/A</v>
          </cell>
        </row>
        <row r="211">
          <cell r="A211" t="str">
            <v>04-08-010</v>
          </cell>
          <cell r="B211" t="str">
            <v>au10700</v>
          </cell>
          <cell r="C211" t="str">
            <v>Aux concreto 3000 psi -obra- 3/4"</v>
          </cell>
          <cell r="D211">
            <v>0.11000000000000001</v>
          </cell>
          <cell r="E211" t="str">
            <v>m3</v>
          </cell>
          <cell r="F211">
            <v>271081</v>
          </cell>
          <cell r="G211">
            <v>29819</v>
          </cell>
          <cell r="M211" t="str">
            <v>au</v>
          </cell>
        </row>
        <row r="212">
          <cell r="A212" t="str">
            <v>04-08-010</v>
          </cell>
          <cell r="B212" t="str">
            <v>au11500</v>
          </cell>
          <cell r="C212" t="str">
            <v>Aux formaleta losa tradicional hasta h=3 m</v>
          </cell>
          <cell r="D212">
            <v>1.1000000000000001</v>
          </cell>
          <cell r="E212" t="str">
            <v>m2</v>
          </cell>
          <cell r="F212">
            <v>13817</v>
          </cell>
          <cell r="G212">
            <v>15199</v>
          </cell>
          <cell r="M212" t="str">
            <v>au</v>
          </cell>
        </row>
        <row r="213">
          <cell r="A213" t="str">
            <v>04-08-010</v>
          </cell>
          <cell r="B213" t="str">
            <v>au11110</v>
          </cell>
          <cell r="C213" t="str">
            <v>Aux formaleta lateral para bordes de losa h = 50 cm</v>
          </cell>
          <cell r="D213">
            <v>0.2</v>
          </cell>
          <cell r="E213" t="str">
            <v>m</v>
          </cell>
          <cell r="F213">
            <v>9353</v>
          </cell>
          <cell r="G213">
            <v>1871</v>
          </cell>
          <cell r="M213" t="str">
            <v>au</v>
          </cell>
        </row>
        <row r="214">
          <cell r="A214" t="str">
            <v>04-08-010</v>
          </cell>
          <cell r="B214" t="str">
            <v>au11200</v>
          </cell>
          <cell r="C214" t="str">
            <v>Aux desmoldante -separol-</v>
          </cell>
          <cell r="D214">
            <v>1.1000000000000001</v>
          </cell>
          <cell r="E214" t="str">
            <v>m2</v>
          </cell>
          <cell r="F214">
            <v>569</v>
          </cell>
          <cell r="G214">
            <v>626</v>
          </cell>
          <cell r="M214" t="str">
            <v>au</v>
          </cell>
        </row>
        <row r="215">
          <cell r="A215" t="str">
            <v>04-08-010</v>
          </cell>
          <cell r="B215" t="str">
            <v>eq22100</v>
          </cell>
          <cell r="C215" t="str">
            <v>Vibrador electrico</v>
          </cell>
          <cell r="D215">
            <v>1.3750000000000002E-2</v>
          </cell>
          <cell r="E215" t="str">
            <v>dia</v>
          </cell>
          <cell r="F215">
            <v>39894.372000000003</v>
          </cell>
          <cell r="G215">
            <v>549</v>
          </cell>
          <cell r="M215" t="str">
            <v>eq</v>
          </cell>
        </row>
        <row r="216">
          <cell r="A216" t="str">
            <v>04-08-010</v>
          </cell>
          <cell r="B216" t="str">
            <v>mo57400</v>
          </cell>
          <cell r="C216" t="str">
            <v>MO armado y vaciado losa</v>
          </cell>
          <cell r="D216">
            <v>1</v>
          </cell>
          <cell r="E216" t="str">
            <v>m2</v>
          </cell>
          <cell r="F216">
            <v>26000</v>
          </cell>
          <cell r="G216">
            <v>26000</v>
          </cell>
          <cell r="M216" t="str">
            <v>mo</v>
          </cell>
        </row>
        <row r="217">
          <cell r="A217" t="str">
            <v>04-08-010</v>
          </cell>
          <cell r="B217" t="str">
            <v>tp17900</v>
          </cell>
          <cell r="C217" t="str">
            <v>Transporte de equipo menor</v>
          </cell>
          <cell r="D217">
            <v>0.01</v>
          </cell>
          <cell r="E217" t="str">
            <v>vj</v>
          </cell>
          <cell r="F217">
            <v>144200</v>
          </cell>
          <cell r="G217">
            <v>1442</v>
          </cell>
          <cell r="M217" t="str">
            <v>tp</v>
          </cell>
        </row>
        <row r="218">
          <cell r="A218" t="str">
            <v>04-08-010</v>
          </cell>
          <cell r="B218" t="str">
            <v>mo17600</v>
          </cell>
          <cell r="C218" t="str">
            <v>MO transporte interno concreto</v>
          </cell>
          <cell r="D218">
            <v>0.11000000000000001</v>
          </cell>
          <cell r="E218" t="str">
            <v>m3</v>
          </cell>
          <cell r="F218">
            <v>6000</v>
          </cell>
          <cell r="G218">
            <v>660</v>
          </cell>
          <cell r="M218" t="str">
            <v>mo</v>
          </cell>
        </row>
        <row r="219">
          <cell r="A219" t="str">
            <v>04-08-010</v>
          </cell>
          <cell r="B219" t="str">
            <v>mt13900</v>
          </cell>
          <cell r="C219" t="str">
            <v>Elementos de consumo y protección</v>
          </cell>
          <cell r="D219">
            <v>26660</v>
          </cell>
          <cell r="E219" t="str">
            <v>%</v>
          </cell>
          <cell r="F219">
            <v>1.2455000000000001E-2</v>
          </cell>
          <cell r="G219">
            <v>333</v>
          </cell>
          <cell r="M219" t="str">
            <v>mt</v>
          </cell>
        </row>
        <row r="220">
          <cell r="A220" t="str">
            <v>04-08-010</v>
          </cell>
          <cell r="B220" t="str">
            <v>hm15100</v>
          </cell>
          <cell r="C220" t="str">
            <v>Herramienta y equipo menor</v>
          </cell>
          <cell r="D220">
            <v>26660</v>
          </cell>
          <cell r="E220" t="str">
            <v>%</v>
          </cell>
          <cell r="F220">
            <v>0.03</v>
          </cell>
          <cell r="G220">
            <v>800</v>
          </cell>
          <cell r="M220" t="str">
            <v>hm</v>
          </cell>
        </row>
        <row r="221">
          <cell r="A221">
            <v>0</v>
          </cell>
          <cell r="C221" t="str">
            <v>DIRECTO:  77,299 / M2</v>
          </cell>
          <cell r="E221">
            <v>0</v>
          </cell>
          <cell r="F221">
            <v>0</v>
          </cell>
          <cell r="G221">
            <v>0</v>
          </cell>
          <cell r="M221">
            <v>0</v>
          </cell>
        </row>
        <row r="222">
          <cell r="A222">
            <v>0</v>
          </cell>
          <cell r="C222">
            <v>0</v>
          </cell>
          <cell r="E222">
            <v>0</v>
          </cell>
          <cell r="F222">
            <v>0</v>
          </cell>
          <cell r="G222">
            <v>0</v>
          </cell>
          <cell r="M222">
            <v>0</v>
          </cell>
        </row>
        <row r="223">
          <cell r="A223" t="str">
            <v>04-08-200</v>
          </cell>
          <cell r="B223" t="str">
            <v>04-08-200</v>
          </cell>
          <cell r="C223" t="str">
            <v>VIGA DE AMARRE EN CONCRETO F'C 21 MPA SOBRE MUROS DE BLOQUE (0.20 M. x 0.20 M.)</v>
          </cell>
          <cell r="D223">
            <v>2</v>
          </cell>
          <cell r="E223" t="str">
            <v>M3</v>
          </cell>
          <cell r="F223">
            <v>0</v>
          </cell>
          <cell r="G223">
            <v>600357</v>
          </cell>
          <cell r="M223" t="e">
            <v>#N/A</v>
          </cell>
        </row>
        <row r="224">
          <cell r="A224" t="str">
            <v>04-08-200</v>
          </cell>
          <cell r="B224" t="str">
            <v>au10700</v>
          </cell>
          <cell r="C224" t="str">
            <v>Aux concreto 3000 psi -obra- 3/4"</v>
          </cell>
          <cell r="D224">
            <v>1.05</v>
          </cell>
          <cell r="E224" t="str">
            <v>m3</v>
          </cell>
          <cell r="F224">
            <v>271081</v>
          </cell>
          <cell r="G224">
            <v>284636</v>
          </cell>
          <cell r="M224" t="str">
            <v>au</v>
          </cell>
        </row>
        <row r="225">
          <cell r="A225" t="str">
            <v>04-08-200</v>
          </cell>
          <cell r="B225" t="str">
            <v>au10300</v>
          </cell>
          <cell r="C225" t="str">
            <v>Aux andamios metalicos tijera 2 cuerpos</v>
          </cell>
          <cell r="D225">
            <v>1</v>
          </cell>
          <cell r="E225" t="str">
            <v>dia</v>
          </cell>
          <cell r="F225">
            <v>2654</v>
          </cell>
          <cell r="G225">
            <v>2654</v>
          </cell>
          <cell r="M225" t="str">
            <v>au</v>
          </cell>
        </row>
        <row r="226">
          <cell r="A226" t="str">
            <v>04-08-200</v>
          </cell>
          <cell r="B226" t="str">
            <v>au11110</v>
          </cell>
          <cell r="C226" t="str">
            <v>Aux formaleta lateral para bordes de losa h = 50 cm</v>
          </cell>
          <cell r="D226">
            <v>12.499999999999998</v>
          </cell>
          <cell r="E226" t="str">
            <v>m</v>
          </cell>
          <cell r="F226">
            <v>9353</v>
          </cell>
          <cell r="G226">
            <v>116913</v>
          </cell>
          <cell r="M226" t="str">
            <v>au</v>
          </cell>
        </row>
        <row r="227">
          <cell r="A227" t="str">
            <v>04-08-200</v>
          </cell>
          <cell r="B227" t="str">
            <v>au11200</v>
          </cell>
          <cell r="C227" t="str">
            <v>Aux desmoldante -separol-</v>
          </cell>
          <cell r="D227">
            <v>9.9999999999999982</v>
          </cell>
          <cell r="E227" t="str">
            <v>m2</v>
          </cell>
          <cell r="F227">
            <v>569</v>
          </cell>
          <cell r="G227">
            <v>5690</v>
          </cell>
          <cell r="M227" t="str">
            <v>au</v>
          </cell>
        </row>
        <row r="228">
          <cell r="A228" t="str">
            <v>04-08-200</v>
          </cell>
          <cell r="B228" t="str">
            <v>eq22100</v>
          </cell>
          <cell r="C228" t="str">
            <v>Vibrador electrico</v>
          </cell>
          <cell r="D228">
            <v>0.13125000000000001</v>
          </cell>
          <cell r="E228" t="str">
            <v>dia</v>
          </cell>
          <cell r="F228">
            <v>39894.372000000003</v>
          </cell>
          <cell r="G228">
            <v>5237</v>
          </cell>
          <cell r="M228" t="str">
            <v>eq</v>
          </cell>
        </row>
        <row r="229">
          <cell r="A229" t="str">
            <v>04-08-200</v>
          </cell>
          <cell r="B229" t="str">
            <v>mo57500</v>
          </cell>
          <cell r="C229" t="str">
            <v>MO armado y vaciado vigas aéreas</v>
          </cell>
          <cell r="D229">
            <v>1</v>
          </cell>
          <cell r="E229" t="str">
            <v>m3</v>
          </cell>
          <cell r="F229">
            <v>170000</v>
          </cell>
          <cell r="G229">
            <v>170000</v>
          </cell>
          <cell r="M229" t="str">
            <v>mo</v>
          </cell>
        </row>
        <row r="230">
          <cell r="A230" t="str">
            <v>04-08-200</v>
          </cell>
          <cell r="B230" t="str">
            <v>tp17900</v>
          </cell>
          <cell r="C230" t="str">
            <v>Transporte de equipo menor</v>
          </cell>
          <cell r="D230">
            <v>0.01</v>
          </cell>
          <cell r="E230" t="str">
            <v>vj</v>
          </cell>
          <cell r="F230">
            <v>144200</v>
          </cell>
          <cell r="G230">
            <v>1442</v>
          </cell>
          <cell r="M230" t="str">
            <v>tp</v>
          </cell>
        </row>
        <row r="231">
          <cell r="A231" t="str">
            <v>04-08-200</v>
          </cell>
          <cell r="B231" t="str">
            <v>mo17600</v>
          </cell>
          <cell r="C231" t="str">
            <v>MO transporte interno concreto</v>
          </cell>
          <cell r="D231">
            <v>1.05</v>
          </cell>
          <cell r="E231" t="str">
            <v>m3</v>
          </cell>
          <cell r="F231">
            <v>6000</v>
          </cell>
          <cell r="G231">
            <v>6300</v>
          </cell>
          <cell r="M231" t="str">
            <v>mo</v>
          </cell>
        </row>
        <row r="232">
          <cell r="A232" t="str">
            <v>04-08-200</v>
          </cell>
          <cell r="B232" t="str">
            <v>mt13900</v>
          </cell>
          <cell r="C232" t="str">
            <v>Elementos de consumo y protección</v>
          </cell>
          <cell r="D232">
            <v>176300</v>
          </cell>
          <cell r="E232" t="str">
            <v>%</v>
          </cell>
          <cell r="F232">
            <v>1.2455000000000001E-2</v>
          </cell>
          <cell r="G232">
            <v>2196</v>
          </cell>
          <cell r="M232" t="str">
            <v>mt</v>
          </cell>
        </row>
        <row r="233">
          <cell r="A233" t="str">
            <v>04-08-200</v>
          </cell>
          <cell r="B233" t="str">
            <v>hm15100</v>
          </cell>
          <cell r="C233" t="str">
            <v>Herramienta y equipo menor</v>
          </cell>
          <cell r="D233">
            <v>176300</v>
          </cell>
          <cell r="E233" t="str">
            <v>%</v>
          </cell>
          <cell r="F233">
            <v>0.03</v>
          </cell>
          <cell r="G233">
            <v>5289</v>
          </cell>
          <cell r="M233" t="str">
            <v>hm</v>
          </cell>
        </row>
        <row r="234">
          <cell r="A234">
            <v>0</v>
          </cell>
          <cell r="C234" t="str">
            <v>DIRECTO:  600,357 / M3</v>
          </cell>
          <cell r="E234">
            <v>0</v>
          </cell>
          <cell r="F234">
            <v>0</v>
          </cell>
          <cell r="G234">
            <v>0</v>
          </cell>
          <cell r="M234">
            <v>0</v>
          </cell>
        </row>
        <row r="235">
          <cell r="A235">
            <v>0</v>
          </cell>
          <cell r="C235">
            <v>0</v>
          </cell>
          <cell r="E235">
            <v>0</v>
          </cell>
          <cell r="F235">
            <v>0</v>
          </cell>
          <cell r="G235">
            <v>0</v>
          </cell>
          <cell r="M235">
            <v>0</v>
          </cell>
        </row>
        <row r="236">
          <cell r="A236" t="str">
            <v>04-10-010</v>
          </cell>
          <cell r="B236" t="str">
            <v>04-10-010</v>
          </cell>
          <cell r="C236" t="str">
            <v>ESCALERAS EN CONCRETO VISTO F'C 21 MPA. INCLUYE LOSETA VIGAS DESCOLGADAS EN DESCANSOS.</v>
          </cell>
          <cell r="D236">
            <v>9</v>
          </cell>
          <cell r="E236" t="str">
            <v>M3</v>
          </cell>
          <cell r="F236">
            <v>0</v>
          </cell>
          <cell r="G236">
            <v>598324</v>
          </cell>
          <cell r="M236" t="e">
            <v>#N/A</v>
          </cell>
        </row>
        <row r="237">
          <cell r="A237" t="str">
            <v>04-10-010</v>
          </cell>
          <cell r="B237" t="str">
            <v>au10700</v>
          </cell>
          <cell r="C237" t="str">
            <v>Aux concreto 3000 psi -obra- 3/4"</v>
          </cell>
          <cell r="D237">
            <v>1.05</v>
          </cell>
          <cell r="E237" t="str">
            <v>m3</v>
          </cell>
          <cell r="F237">
            <v>271081</v>
          </cell>
          <cell r="G237">
            <v>284636</v>
          </cell>
          <cell r="M237" t="str">
            <v>au</v>
          </cell>
        </row>
        <row r="238">
          <cell r="A238" t="str">
            <v>04-10-010</v>
          </cell>
          <cell r="B238" t="str">
            <v>eq20500</v>
          </cell>
          <cell r="C238" t="str">
            <v>Tabla comun - ml</v>
          </cell>
          <cell r="D238">
            <v>7.5</v>
          </cell>
          <cell r="E238" t="str">
            <v>m</v>
          </cell>
          <cell r="F238">
            <v>3400</v>
          </cell>
          <cell r="G238">
            <v>25500</v>
          </cell>
          <cell r="M238" t="str">
            <v>eq</v>
          </cell>
        </row>
        <row r="239">
          <cell r="A239" t="str">
            <v>04-10-010</v>
          </cell>
          <cell r="B239" t="str">
            <v>eq22500</v>
          </cell>
          <cell r="C239" t="str">
            <v>Media telera 1.35*0.45</v>
          </cell>
          <cell r="D239">
            <v>5.3999999999999999E-2</v>
          </cell>
          <cell r="E239" t="str">
            <v>dia</v>
          </cell>
          <cell r="F239">
            <v>283.03999999999996</v>
          </cell>
          <cell r="G239">
            <v>16</v>
          </cell>
          <cell r="M239" t="str">
            <v>eq</v>
          </cell>
        </row>
        <row r="240">
          <cell r="A240" t="str">
            <v>04-10-010</v>
          </cell>
          <cell r="B240" t="str">
            <v>eq22100</v>
          </cell>
          <cell r="C240" t="str">
            <v>Vibrador electrico</v>
          </cell>
          <cell r="D240">
            <v>0.5</v>
          </cell>
          <cell r="E240" t="str">
            <v>dia</v>
          </cell>
          <cell r="F240">
            <v>39894.372000000003</v>
          </cell>
          <cell r="G240">
            <v>19948</v>
          </cell>
          <cell r="M240" t="str">
            <v>eq</v>
          </cell>
        </row>
        <row r="241">
          <cell r="A241" t="str">
            <v>04-10-010</v>
          </cell>
          <cell r="B241" t="str">
            <v>mo80910</v>
          </cell>
          <cell r="C241" t="str">
            <v>MO armado y vaciado de escalas en concreto</v>
          </cell>
          <cell r="D241">
            <v>1</v>
          </cell>
          <cell r="E241" t="str">
            <v>m3</v>
          </cell>
          <cell r="F241">
            <v>251000</v>
          </cell>
          <cell r="G241">
            <v>251000</v>
          </cell>
          <cell r="M241" t="str">
            <v>mo</v>
          </cell>
        </row>
        <row r="242">
          <cell r="A242" t="str">
            <v>04-10-010</v>
          </cell>
          <cell r="B242" t="str">
            <v>mo17600</v>
          </cell>
          <cell r="C242" t="str">
            <v>MO transporte interno concreto</v>
          </cell>
          <cell r="D242">
            <v>1.05</v>
          </cell>
          <cell r="E242" t="str">
            <v>m3</v>
          </cell>
          <cell r="F242">
            <v>6000</v>
          </cell>
          <cell r="G242">
            <v>6300</v>
          </cell>
          <cell r="M242" t="str">
            <v>mo</v>
          </cell>
        </row>
        <row r="243">
          <cell r="A243" t="str">
            <v>04-10-010</v>
          </cell>
          <cell r="B243" t="str">
            <v>mt13900</v>
          </cell>
          <cell r="C243" t="str">
            <v>Elementos de consumo y protección</v>
          </cell>
          <cell r="D243">
            <v>257300</v>
          </cell>
          <cell r="E243" t="str">
            <v>%</v>
          </cell>
          <cell r="F243">
            <v>1.2455000000000001E-2</v>
          </cell>
          <cell r="G243">
            <v>3205</v>
          </cell>
          <cell r="M243" t="str">
            <v>mt</v>
          </cell>
        </row>
        <row r="244">
          <cell r="A244" t="str">
            <v>04-10-010</v>
          </cell>
          <cell r="B244" t="str">
            <v>hm15100</v>
          </cell>
          <cell r="C244" t="str">
            <v>Herramienta y equipo menor</v>
          </cell>
          <cell r="D244">
            <v>257300</v>
          </cell>
          <cell r="E244" t="str">
            <v>%</v>
          </cell>
          <cell r="F244">
            <v>0.03</v>
          </cell>
          <cell r="G244">
            <v>7719</v>
          </cell>
          <cell r="M244" t="str">
            <v>hm</v>
          </cell>
        </row>
        <row r="245">
          <cell r="A245">
            <v>0</v>
          </cell>
          <cell r="C245" t="str">
            <v>DIRECTO:  598,324 / M3</v>
          </cell>
          <cell r="E245">
            <v>0</v>
          </cell>
          <cell r="F245">
            <v>0</v>
          </cell>
          <cell r="G245">
            <v>0</v>
          </cell>
          <cell r="M245">
            <v>0</v>
          </cell>
        </row>
        <row r="246">
          <cell r="A246">
            <v>0</v>
          </cell>
          <cell r="B246" t="str">
            <v>05</v>
          </cell>
          <cell r="C246" t="str">
            <v>ACEROS Y ESTRUCTURAS METÁLICAS</v>
          </cell>
          <cell r="E246">
            <v>0</v>
          </cell>
          <cell r="F246">
            <v>0</v>
          </cell>
          <cell r="G246">
            <v>0</v>
          </cell>
          <cell r="M246" t="e">
            <v>#N/A</v>
          </cell>
        </row>
        <row r="247">
          <cell r="A247" t="str">
            <v>05-01-010</v>
          </cell>
          <cell r="B247" t="str">
            <v>05-01-010</v>
          </cell>
          <cell r="C247" t="str">
            <v>ACERO DE REFUERZO FY 420 MPA</v>
          </cell>
          <cell r="D247">
            <v>7008</v>
          </cell>
          <cell r="E247" t="str">
            <v>KG</v>
          </cell>
          <cell r="F247">
            <v>0</v>
          </cell>
          <cell r="G247">
            <v>3210</v>
          </cell>
          <cell r="M247" t="e">
            <v>#N/A</v>
          </cell>
        </row>
        <row r="248">
          <cell r="A248" t="str">
            <v>05-01-010</v>
          </cell>
          <cell r="B248" t="str">
            <v>mt24570</v>
          </cell>
          <cell r="C248" t="str">
            <v>Acero de refuerzo figurado</v>
          </cell>
          <cell r="D248">
            <v>1.03</v>
          </cell>
          <cell r="E248" t="str">
            <v>kg</v>
          </cell>
          <cell r="F248">
            <v>2668</v>
          </cell>
          <cell r="G248">
            <v>2749</v>
          </cell>
          <cell r="M248" t="str">
            <v>mt</v>
          </cell>
        </row>
        <row r="249">
          <cell r="A249" t="str">
            <v>05-01-010</v>
          </cell>
          <cell r="B249" t="str">
            <v>mt44400</v>
          </cell>
          <cell r="C249" t="str">
            <v>Alambre recocido (alambre cal 18)</v>
          </cell>
          <cell r="D249">
            <v>2.5000000000000001E-2</v>
          </cell>
          <cell r="E249" t="str">
            <v>kg</v>
          </cell>
          <cell r="F249">
            <v>4146.2111999999997</v>
          </cell>
          <cell r="G249">
            <v>104</v>
          </cell>
          <cell r="M249" t="str">
            <v>mt</v>
          </cell>
        </row>
        <row r="250">
          <cell r="A250" t="str">
            <v>05-01-010</v>
          </cell>
          <cell r="B250" t="str">
            <v>mo18400</v>
          </cell>
          <cell r="C250" t="str">
            <v>MO colocacion acero refuerzo</v>
          </cell>
          <cell r="D250">
            <v>1</v>
          </cell>
          <cell r="E250" t="str">
            <v>kg</v>
          </cell>
          <cell r="F250">
            <v>270</v>
          </cell>
          <cell r="G250">
            <v>270</v>
          </cell>
          <cell r="M250" t="str">
            <v>mo</v>
          </cell>
        </row>
        <row r="251">
          <cell r="A251" t="str">
            <v>05-01-010</v>
          </cell>
          <cell r="B251" t="str">
            <v>mo63100</v>
          </cell>
          <cell r="C251" t="str">
            <v>MO transporte interno hierro horizontal o vertical</v>
          </cell>
          <cell r="D251">
            <v>1</v>
          </cell>
          <cell r="E251" t="str">
            <v xml:space="preserve"> kg</v>
          </cell>
          <cell r="F251">
            <v>70.56</v>
          </cell>
          <cell r="G251">
            <v>71</v>
          </cell>
          <cell r="M251" t="str">
            <v>mo</v>
          </cell>
        </row>
        <row r="252">
          <cell r="A252" t="str">
            <v>05-01-010</v>
          </cell>
          <cell r="B252" t="str">
            <v>mt13900</v>
          </cell>
          <cell r="C252" t="str">
            <v>Elementos de consumo y protección</v>
          </cell>
          <cell r="D252">
            <v>341</v>
          </cell>
          <cell r="E252" t="str">
            <v>%</v>
          </cell>
          <cell r="F252">
            <v>1.2455000000000001E-2</v>
          </cell>
          <cell r="G252">
            <v>5</v>
          </cell>
          <cell r="M252" t="str">
            <v>mt</v>
          </cell>
        </row>
        <row r="253">
          <cell r="A253" t="str">
            <v>05-01-010</v>
          </cell>
          <cell r="B253" t="str">
            <v>hm15100</v>
          </cell>
          <cell r="C253" t="str">
            <v>Herramienta y equipo menor</v>
          </cell>
          <cell r="D253">
            <v>341</v>
          </cell>
          <cell r="E253" t="str">
            <v>%</v>
          </cell>
          <cell r="F253">
            <v>0.03</v>
          </cell>
          <cell r="G253">
            <v>11</v>
          </cell>
          <cell r="M253" t="str">
            <v>hm</v>
          </cell>
        </row>
        <row r="254">
          <cell r="A254">
            <v>0</v>
          </cell>
          <cell r="C254" t="str">
            <v>DIRECTO:  3,210 / KG</v>
          </cell>
          <cell r="D254">
            <v>0</v>
          </cell>
          <cell r="E254">
            <v>0</v>
          </cell>
          <cell r="F254">
            <v>0</v>
          </cell>
          <cell r="G254">
            <v>0</v>
          </cell>
          <cell r="M254">
            <v>0</v>
          </cell>
        </row>
        <row r="255">
          <cell r="A255">
            <v>0</v>
          </cell>
          <cell r="C255">
            <v>0</v>
          </cell>
          <cell r="E255">
            <v>0</v>
          </cell>
          <cell r="F255">
            <v>0</v>
          </cell>
          <cell r="G255">
            <v>0</v>
          </cell>
          <cell r="M255">
            <v>0</v>
          </cell>
        </row>
        <row r="256">
          <cell r="A256" t="str">
            <v>05-02-020</v>
          </cell>
          <cell r="B256" t="str">
            <v>05-02-020</v>
          </cell>
          <cell r="C256" t="str">
            <v>MALLA ELECTROSOLDADA U-221</v>
          </cell>
          <cell r="D256">
            <v>246</v>
          </cell>
          <cell r="E256" t="str">
            <v>M2</v>
          </cell>
          <cell r="F256">
            <v>0</v>
          </cell>
          <cell r="G256">
            <v>6797</v>
          </cell>
          <cell r="M256" t="e">
            <v>#N/A</v>
          </cell>
        </row>
        <row r="257">
          <cell r="A257" t="str">
            <v>05-02-020</v>
          </cell>
          <cell r="B257" t="str">
            <v>mt42830</v>
          </cell>
          <cell r="C257" t="str">
            <v>Malla electrosoldada U221</v>
          </cell>
          <cell r="D257">
            <v>1</v>
          </cell>
          <cell r="E257" t="str">
            <v>m2</v>
          </cell>
          <cell r="F257">
            <v>5895.5971631205666</v>
          </cell>
          <cell r="G257">
            <v>5896</v>
          </cell>
          <cell r="M257" t="str">
            <v>mt</v>
          </cell>
        </row>
        <row r="258">
          <cell r="A258" t="str">
            <v>05-02-020</v>
          </cell>
          <cell r="B258" t="str">
            <v>mt24200</v>
          </cell>
          <cell r="C258" t="str">
            <v>Alambre de amarrar</v>
          </cell>
          <cell r="D258">
            <v>2.5000000000000001E-2</v>
          </cell>
          <cell r="E258" t="str">
            <v>kg</v>
          </cell>
          <cell r="F258">
            <v>2441.7999999999997</v>
          </cell>
          <cell r="G258">
            <v>62</v>
          </cell>
          <cell r="M258" t="str">
            <v>mt</v>
          </cell>
        </row>
        <row r="259">
          <cell r="A259" t="str">
            <v>05-02-020</v>
          </cell>
          <cell r="B259" t="str">
            <v>mo44700</v>
          </cell>
          <cell r="C259" t="str">
            <v>MO colocacion malla electrosoldada</v>
          </cell>
          <cell r="D259">
            <v>1</v>
          </cell>
          <cell r="E259" t="str">
            <v>m2</v>
          </cell>
          <cell r="F259">
            <v>270</v>
          </cell>
          <cell r="G259">
            <v>270</v>
          </cell>
          <cell r="M259" t="str">
            <v>mo</v>
          </cell>
        </row>
        <row r="260">
          <cell r="A260" t="str">
            <v>05-02-020</v>
          </cell>
          <cell r="B260" t="str">
            <v>mo18410</v>
          </cell>
          <cell r="C260" t="str">
            <v>MO corte y figuracion</v>
          </cell>
          <cell r="D260">
            <v>2.13</v>
          </cell>
          <cell r="E260" t="str">
            <v>kg</v>
          </cell>
          <cell r="F260">
            <v>250</v>
          </cell>
          <cell r="G260">
            <v>533</v>
          </cell>
          <cell r="M260" t="str">
            <v>mo</v>
          </cell>
        </row>
        <row r="261">
          <cell r="A261" t="str">
            <v>05-02-020</v>
          </cell>
          <cell r="B261" t="str">
            <v>mt13900</v>
          </cell>
          <cell r="C261" t="str">
            <v>Elementos de consumo y protección</v>
          </cell>
          <cell r="D261">
            <v>803</v>
          </cell>
          <cell r="E261" t="str">
            <v>%</v>
          </cell>
          <cell r="F261">
            <v>1.2455000000000001E-2</v>
          </cell>
          <cell r="G261">
            <v>11</v>
          </cell>
          <cell r="M261" t="str">
            <v>mt</v>
          </cell>
        </row>
        <row r="262">
          <cell r="A262" t="str">
            <v>05-02-020</v>
          </cell>
          <cell r="B262" t="str">
            <v>hm15100</v>
          </cell>
          <cell r="C262" t="str">
            <v>Herramienta y equipo menor</v>
          </cell>
          <cell r="D262">
            <v>803</v>
          </cell>
          <cell r="E262" t="str">
            <v>%</v>
          </cell>
          <cell r="F262">
            <v>0.03</v>
          </cell>
          <cell r="G262">
            <v>25</v>
          </cell>
          <cell r="M262" t="str">
            <v>hm</v>
          </cell>
        </row>
        <row r="263">
          <cell r="A263">
            <v>0</v>
          </cell>
          <cell r="C263" t="str">
            <v>DIRECTO:  6,797 / M2</v>
          </cell>
          <cell r="D263">
            <v>0</v>
          </cell>
          <cell r="E263">
            <v>0</v>
          </cell>
          <cell r="F263">
            <v>0</v>
          </cell>
          <cell r="G263">
            <v>0</v>
          </cell>
          <cell r="M263">
            <v>0</v>
          </cell>
        </row>
        <row r="264">
          <cell r="A264">
            <v>0</v>
          </cell>
          <cell r="C264">
            <v>0</v>
          </cell>
          <cell r="E264">
            <v>0</v>
          </cell>
          <cell r="F264">
            <v>0</v>
          </cell>
          <cell r="G264">
            <v>0</v>
          </cell>
          <cell r="M264">
            <v>0</v>
          </cell>
        </row>
        <row r="265">
          <cell r="A265" t="str">
            <v>05-02-030</v>
          </cell>
          <cell r="B265" t="str">
            <v>05-02-030</v>
          </cell>
          <cell r="C265" t="str">
            <v>MALLA ELECTROSOLDADA D-84</v>
          </cell>
          <cell r="D265">
            <v>35</v>
          </cell>
          <cell r="E265" t="str">
            <v>M2</v>
          </cell>
          <cell r="F265">
            <v>0</v>
          </cell>
          <cell r="G265">
            <v>4299</v>
          </cell>
          <cell r="M265" t="e">
            <v>#N/A</v>
          </cell>
        </row>
        <row r="266">
          <cell r="A266" t="str">
            <v>05-02-030</v>
          </cell>
          <cell r="B266" t="str">
            <v>mt42815</v>
          </cell>
          <cell r="C266" t="str">
            <v>Malla electrosoldada D84</v>
          </cell>
          <cell r="D266">
            <v>1</v>
          </cell>
          <cell r="E266" t="str">
            <v>m2</v>
          </cell>
          <cell r="F266">
            <v>3610.8085106382969</v>
          </cell>
          <cell r="G266">
            <v>3611</v>
          </cell>
          <cell r="M266" t="str">
            <v>mt</v>
          </cell>
        </row>
        <row r="267">
          <cell r="A267" t="str">
            <v>05-02-030</v>
          </cell>
          <cell r="B267" t="str">
            <v>mt24200</v>
          </cell>
          <cell r="C267" t="str">
            <v>Alambre de amarrar</v>
          </cell>
          <cell r="D267">
            <v>2.5000000000000001E-2</v>
          </cell>
          <cell r="E267" t="str">
            <v>kg</v>
          </cell>
          <cell r="F267">
            <v>2441.7999999999997</v>
          </cell>
          <cell r="G267">
            <v>62</v>
          </cell>
          <cell r="M267" t="str">
            <v>mt</v>
          </cell>
        </row>
        <row r="268">
          <cell r="A268" t="str">
            <v>05-02-030</v>
          </cell>
          <cell r="B268" t="str">
            <v>mo44700</v>
          </cell>
          <cell r="C268" t="str">
            <v>MO colocacion malla electrosoldada</v>
          </cell>
          <cell r="D268">
            <v>1</v>
          </cell>
          <cell r="E268" t="str">
            <v>m2</v>
          </cell>
          <cell r="F268">
            <v>270</v>
          </cell>
          <cell r="G268">
            <v>270</v>
          </cell>
          <cell r="M268" t="str">
            <v>mo</v>
          </cell>
        </row>
        <row r="269">
          <cell r="A269" t="str">
            <v>05-02-030</v>
          </cell>
          <cell r="B269" t="str">
            <v>mo18410</v>
          </cell>
          <cell r="C269" t="str">
            <v>MO corte y figuracion</v>
          </cell>
          <cell r="D269">
            <v>1.32</v>
          </cell>
          <cell r="E269" t="str">
            <v>kg</v>
          </cell>
          <cell r="F269">
            <v>250</v>
          </cell>
          <cell r="G269">
            <v>330</v>
          </cell>
          <cell r="M269" t="str">
            <v>mo</v>
          </cell>
        </row>
        <row r="270">
          <cell r="A270" t="str">
            <v>05-02-030</v>
          </cell>
          <cell r="B270" t="str">
            <v>mt13900</v>
          </cell>
          <cell r="C270" t="str">
            <v>Elementos de consumo y protección</v>
          </cell>
          <cell r="D270">
            <v>600</v>
          </cell>
          <cell r="E270" t="str">
            <v>%</v>
          </cell>
          <cell r="F270">
            <v>1.2455000000000001E-2</v>
          </cell>
          <cell r="G270">
            <v>8</v>
          </cell>
          <cell r="M270" t="str">
            <v>mt</v>
          </cell>
        </row>
        <row r="271">
          <cell r="A271" t="str">
            <v>05-02-030</v>
          </cell>
          <cell r="B271" t="str">
            <v>hm15100</v>
          </cell>
          <cell r="C271" t="str">
            <v>Herramienta y equipo menor</v>
          </cell>
          <cell r="D271">
            <v>600</v>
          </cell>
          <cell r="E271" t="str">
            <v>%</v>
          </cell>
          <cell r="F271">
            <v>0.03</v>
          </cell>
          <cell r="G271">
            <v>18</v>
          </cell>
          <cell r="M271" t="str">
            <v>hm</v>
          </cell>
        </row>
        <row r="272">
          <cell r="A272">
            <v>0</v>
          </cell>
          <cell r="C272" t="str">
            <v>DIRECTO:  4,299 / M2</v>
          </cell>
          <cell r="D272">
            <v>0</v>
          </cell>
          <cell r="E272">
            <v>0</v>
          </cell>
          <cell r="F272">
            <v>0</v>
          </cell>
          <cell r="G272">
            <v>0</v>
          </cell>
          <cell r="M272">
            <v>0</v>
          </cell>
        </row>
        <row r="273">
          <cell r="A273">
            <v>0</v>
          </cell>
          <cell r="C273">
            <v>0</v>
          </cell>
          <cell r="E273">
            <v>0</v>
          </cell>
          <cell r="F273">
            <v>0</v>
          </cell>
          <cell r="G273">
            <v>0</v>
          </cell>
          <cell r="M273">
            <v>0</v>
          </cell>
        </row>
        <row r="274">
          <cell r="A274" t="str">
            <v>05-02-040</v>
          </cell>
          <cell r="B274" t="str">
            <v>05-02-040</v>
          </cell>
          <cell r="C274" t="str">
            <v>MALLA ELECTROSOLDADA D-188</v>
          </cell>
          <cell r="D274">
            <v>38</v>
          </cell>
          <cell r="E274" t="str">
            <v>M2</v>
          </cell>
          <cell r="F274">
            <v>0</v>
          </cell>
          <cell r="G274">
            <v>21392</v>
          </cell>
          <cell r="M274" t="e">
            <v>#N/A</v>
          </cell>
        </row>
        <row r="275">
          <cell r="A275" t="str">
            <v>05-02-040</v>
          </cell>
          <cell r="B275" t="str">
            <v>mt42825</v>
          </cell>
          <cell r="C275" t="str">
            <v>Malla electrosoldada D188</v>
          </cell>
          <cell r="D275">
            <v>2.5040650406504064</v>
          </cell>
          <cell r="E275" t="str">
            <v>m2</v>
          </cell>
          <cell r="F275">
            <v>8097.2113475177284</v>
          </cell>
          <cell r="G275">
            <v>20276</v>
          </cell>
          <cell r="M275" t="str">
            <v>mt</v>
          </cell>
        </row>
        <row r="276">
          <cell r="A276" t="str">
            <v>05-02-040</v>
          </cell>
          <cell r="B276" t="str">
            <v>mt24200</v>
          </cell>
          <cell r="C276" t="str">
            <v>Alambre de amarrar</v>
          </cell>
          <cell r="D276">
            <v>2.5000000000000001E-2</v>
          </cell>
          <cell r="E276" t="str">
            <v>kg</v>
          </cell>
          <cell r="F276">
            <v>2441.7999999999997</v>
          </cell>
          <cell r="G276">
            <v>62</v>
          </cell>
          <cell r="M276" t="str">
            <v>mt</v>
          </cell>
        </row>
        <row r="277">
          <cell r="A277" t="str">
            <v>05-02-040</v>
          </cell>
          <cell r="B277" t="str">
            <v>mo44700</v>
          </cell>
          <cell r="C277" t="str">
            <v>MO colocacion malla electrosoldada</v>
          </cell>
          <cell r="D277">
            <v>1</v>
          </cell>
          <cell r="E277" t="str">
            <v>m2</v>
          </cell>
          <cell r="F277">
            <v>270</v>
          </cell>
          <cell r="G277">
            <v>270</v>
          </cell>
          <cell r="M277" t="str">
            <v>mo</v>
          </cell>
        </row>
        <row r="278">
          <cell r="A278" t="str">
            <v>05-02-040</v>
          </cell>
          <cell r="B278" t="str">
            <v>mo18410</v>
          </cell>
          <cell r="C278" t="str">
            <v>MO corte y figuracion</v>
          </cell>
          <cell r="D278">
            <v>2.96</v>
          </cell>
          <cell r="E278" t="str">
            <v>kg</v>
          </cell>
          <cell r="F278">
            <v>250</v>
          </cell>
          <cell r="G278">
            <v>740</v>
          </cell>
          <cell r="M278" t="str">
            <v>mo</v>
          </cell>
        </row>
        <row r="279">
          <cell r="A279" t="str">
            <v>05-02-040</v>
          </cell>
          <cell r="B279" t="str">
            <v>mt13900</v>
          </cell>
          <cell r="C279" t="str">
            <v>Elementos de consumo y protección</v>
          </cell>
          <cell r="D279">
            <v>1010</v>
          </cell>
          <cell r="E279" t="str">
            <v>%</v>
          </cell>
          <cell r="F279">
            <v>1.2455000000000001E-2</v>
          </cell>
          <cell r="G279">
            <v>13</v>
          </cell>
          <cell r="M279" t="str">
            <v>mt</v>
          </cell>
        </row>
        <row r="280">
          <cell r="A280" t="str">
            <v>05-02-040</v>
          </cell>
          <cell r="B280" t="str">
            <v>hm15100</v>
          </cell>
          <cell r="C280" t="str">
            <v>Herramienta y equipo menor</v>
          </cell>
          <cell r="D280">
            <v>1010</v>
          </cell>
          <cell r="E280" t="str">
            <v>%</v>
          </cell>
          <cell r="F280">
            <v>0.03</v>
          </cell>
          <cell r="G280">
            <v>31</v>
          </cell>
          <cell r="M280" t="str">
            <v>hm</v>
          </cell>
        </row>
        <row r="281">
          <cell r="A281">
            <v>0</v>
          </cell>
          <cell r="C281" t="str">
            <v>DIRECTO:  21,392 / M2</v>
          </cell>
          <cell r="D281">
            <v>0</v>
          </cell>
          <cell r="E281">
            <v>0</v>
          </cell>
          <cell r="F281">
            <v>0</v>
          </cell>
          <cell r="G281">
            <v>0</v>
          </cell>
          <cell r="M281">
            <v>0</v>
          </cell>
        </row>
        <row r="282">
          <cell r="A282">
            <v>0</v>
          </cell>
          <cell r="C282">
            <v>0</v>
          </cell>
          <cell r="E282">
            <v>0</v>
          </cell>
          <cell r="F282">
            <v>0</v>
          </cell>
          <cell r="G282">
            <v>0</v>
          </cell>
          <cell r="M282">
            <v>0</v>
          </cell>
        </row>
        <row r="283">
          <cell r="A283" t="str">
            <v>05-03-100</v>
          </cell>
          <cell r="B283" t="str">
            <v>05-03-100</v>
          </cell>
          <cell r="C283" t="str">
            <v>LOSA EN LAMINA COLABORANTE. STEELDECK 2" CAL. 20 O EQUIVALENTE, CONCRETO F'C 21 MPA E: 0.12 M. Y CONECTORES</v>
          </cell>
          <cell r="D283">
            <v>73</v>
          </cell>
          <cell r="E283" t="str">
            <v>M2</v>
          </cell>
          <cell r="F283">
            <v>0</v>
          </cell>
          <cell r="G283">
            <v>114275</v>
          </cell>
          <cell r="M283" t="e">
            <v>#N/A</v>
          </cell>
        </row>
        <row r="284">
          <cell r="A284" t="str">
            <v>05-03-100</v>
          </cell>
          <cell r="B284" t="str">
            <v>au10700</v>
          </cell>
          <cell r="C284" t="str">
            <v>Aux concreto 3000 psi -obra- 3/4"</v>
          </cell>
          <cell r="D284">
            <v>0.126</v>
          </cell>
          <cell r="E284" t="str">
            <v>m3</v>
          </cell>
          <cell r="F284">
            <v>271081</v>
          </cell>
          <cell r="G284">
            <v>34157</v>
          </cell>
          <cell r="M284" t="str">
            <v>au</v>
          </cell>
        </row>
        <row r="285">
          <cell r="A285" t="str">
            <v>05-03-100</v>
          </cell>
          <cell r="B285" t="str">
            <v>mt121210</v>
          </cell>
          <cell r="C285" t="str">
            <v>Corpalosa cal 20 2"</v>
          </cell>
          <cell r="D285">
            <v>1</v>
          </cell>
          <cell r="E285" t="str">
            <v>m2</v>
          </cell>
          <cell r="F285">
            <v>46905</v>
          </cell>
          <cell r="G285">
            <v>46905</v>
          </cell>
          <cell r="M285" t="str">
            <v>mt</v>
          </cell>
        </row>
        <row r="286">
          <cell r="A286" t="str">
            <v>05-03-100</v>
          </cell>
          <cell r="B286" t="str">
            <v>au11500</v>
          </cell>
          <cell r="C286" t="str">
            <v>Aux formaleta losa tradicional hasta h=3 m</v>
          </cell>
          <cell r="D286">
            <v>0.3</v>
          </cell>
          <cell r="E286" t="str">
            <v>m2</v>
          </cell>
          <cell r="F286">
            <v>13817</v>
          </cell>
          <cell r="G286">
            <v>4146</v>
          </cell>
          <cell r="M286" t="str">
            <v>au</v>
          </cell>
        </row>
        <row r="287">
          <cell r="A287" t="str">
            <v>05-03-100</v>
          </cell>
          <cell r="B287" t="str">
            <v>au11100</v>
          </cell>
          <cell r="C287" t="str">
            <v>Aux formaleta lateral</v>
          </cell>
          <cell r="D287">
            <v>0.1</v>
          </cell>
          <cell r="E287" t="str">
            <v>m</v>
          </cell>
          <cell r="F287">
            <v>4770</v>
          </cell>
          <cell r="G287">
            <v>477</v>
          </cell>
          <cell r="M287" t="str">
            <v>au</v>
          </cell>
        </row>
        <row r="288">
          <cell r="A288" t="str">
            <v>05-03-100</v>
          </cell>
          <cell r="B288" t="str">
            <v>mo17600</v>
          </cell>
          <cell r="C288" t="str">
            <v>MO transporte interno concreto</v>
          </cell>
          <cell r="D288">
            <v>0.126</v>
          </cell>
          <cell r="E288" t="str">
            <v>m3</v>
          </cell>
          <cell r="F288">
            <v>6000</v>
          </cell>
          <cell r="G288">
            <v>756</v>
          </cell>
          <cell r="M288" t="str">
            <v>mo</v>
          </cell>
        </row>
        <row r="289">
          <cell r="A289" t="str">
            <v>05-03-100</v>
          </cell>
          <cell r="B289" t="str">
            <v>au10000</v>
          </cell>
          <cell r="C289" t="str">
            <v>Aux MO ayudante</v>
          </cell>
          <cell r="D289">
            <v>3</v>
          </cell>
          <cell r="E289" t="str">
            <v>hr</v>
          </cell>
          <cell r="F289">
            <v>5080</v>
          </cell>
          <cell r="G289">
            <v>15240</v>
          </cell>
          <cell r="M289" t="str">
            <v>mo</v>
          </cell>
        </row>
        <row r="290">
          <cell r="A290" t="str">
            <v>05-03-100</v>
          </cell>
          <cell r="B290" t="str">
            <v>au10100</v>
          </cell>
          <cell r="C290" t="str">
            <v>Aux MO oficial obra negra</v>
          </cell>
          <cell r="D290">
            <v>1.5</v>
          </cell>
          <cell r="E290" t="str">
            <v>hr</v>
          </cell>
          <cell r="F290">
            <v>7619</v>
          </cell>
          <cell r="G290">
            <v>11429</v>
          </cell>
          <cell r="M290" t="str">
            <v>mo</v>
          </cell>
        </row>
        <row r="291">
          <cell r="A291" t="str">
            <v>05-03-100</v>
          </cell>
          <cell r="B291" t="str">
            <v>mt13900</v>
          </cell>
          <cell r="C291" t="str">
            <v>Elementos de consumo y protección</v>
          </cell>
          <cell r="D291">
            <v>27425</v>
          </cell>
          <cell r="E291" t="str">
            <v>%</v>
          </cell>
          <cell r="F291">
            <v>1.2455000000000001E-2</v>
          </cell>
          <cell r="G291">
            <v>342</v>
          </cell>
          <cell r="M291" t="str">
            <v>mt</v>
          </cell>
        </row>
        <row r="292">
          <cell r="A292" t="str">
            <v>05-03-100</v>
          </cell>
          <cell r="B292" t="str">
            <v>hm15100</v>
          </cell>
          <cell r="C292" t="str">
            <v>Herramienta y equipo menor</v>
          </cell>
          <cell r="D292">
            <v>27425</v>
          </cell>
          <cell r="E292" t="str">
            <v>%</v>
          </cell>
          <cell r="F292">
            <v>0.03</v>
          </cell>
          <cell r="G292">
            <v>823</v>
          </cell>
          <cell r="M292" t="str">
            <v>hm</v>
          </cell>
        </row>
        <row r="293">
          <cell r="A293">
            <v>0</v>
          </cell>
          <cell r="C293" t="str">
            <v>DIRECTO:  114,275 / M2</v>
          </cell>
          <cell r="D293">
            <v>0</v>
          </cell>
          <cell r="E293">
            <v>0</v>
          </cell>
          <cell r="F293">
            <v>0</v>
          </cell>
          <cell r="G293">
            <v>0</v>
          </cell>
          <cell r="M293">
            <v>0</v>
          </cell>
        </row>
        <row r="294">
          <cell r="A294">
            <v>0</v>
          </cell>
          <cell r="C294">
            <v>0</v>
          </cell>
          <cell r="E294">
            <v>0</v>
          </cell>
          <cell r="F294">
            <v>0</v>
          </cell>
          <cell r="G294">
            <v>0</v>
          </cell>
          <cell r="M294">
            <v>0</v>
          </cell>
        </row>
        <row r="295">
          <cell r="A295" t="str">
            <v>05-03-200</v>
          </cell>
          <cell r="B295" t="str">
            <v>05-03-200</v>
          </cell>
          <cell r="C295" t="str">
            <v>ESTRUCTURA METALICA DE ESCALAS DE ACCESO A SONIDO</v>
          </cell>
          <cell r="D295">
            <v>1000</v>
          </cell>
          <cell r="E295" t="str">
            <v>KG</v>
          </cell>
          <cell r="F295">
            <v>0</v>
          </cell>
          <cell r="G295">
            <v>10030</v>
          </cell>
          <cell r="M295" t="e">
            <v>#N/A</v>
          </cell>
        </row>
        <row r="296">
          <cell r="A296" t="str">
            <v>05-03-200</v>
          </cell>
          <cell r="B296" t="str">
            <v>pv10060</v>
          </cell>
          <cell r="C296" t="str">
            <v>Provision para estructura metalica escalas</v>
          </cell>
          <cell r="D296">
            <v>1</v>
          </cell>
          <cell r="E296" t="str">
            <v>kg</v>
          </cell>
          <cell r="F296">
            <v>10029.359999999999</v>
          </cell>
          <cell r="G296">
            <v>10030</v>
          </cell>
          <cell r="M296" t="str">
            <v>pv</v>
          </cell>
        </row>
        <row r="297">
          <cell r="A297" t="str">
            <v>05-03-200</v>
          </cell>
          <cell r="B297" t="str">
            <v>mt13900</v>
          </cell>
          <cell r="C297" t="str">
            <v>Elementos de consumo y protección</v>
          </cell>
          <cell r="D297">
            <v>0</v>
          </cell>
          <cell r="E297" t="str">
            <v>%</v>
          </cell>
          <cell r="F297">
            <v>1.2455000000000001E-2</v>
          </cell>
          <cell r="G297">
            <v>0</v>
          </cell>
          <cell r="M297" t="str">
            <v>mt</v>
          </cell>
        </row>
        <row r="298">
          <cell r="A298" t="str">
            <v>05-03-200</v>
          </cell>
          <cell r="B298" t="str">
            <v>hm15100</v>
          </cell>
          <cell r="C298" t="str">
            <v>Herramienta y equipo menor</v>
          </cell>
          <cell r="D298">
            <v>0</v>
          </cell>
          <cell r="E298" t="str">
            <v>%</v>
          </cell>
          <cell r="F298">
            <v>0.03</v>
          </cell>
          <cell r="G298">
            <v>0</v>
          </cell>
          <cell r="M298" t="str">
            <v>hm</v>
          </cell>
        </row>
        <row r="299">
          <cell r="A299">
            <v>0</v>
          </cell>
          <cell r="C299" t="str">
            <v>DIRECTO:  10,030 / KG</v>
          </cell>
          <cell r="D299">
            <v>0</v>
          </cell>
          <cell r="E299">
            <v>0</v>
          </cell>
          <cell r="F299">
            <v>0</v>
          </cell>
          <cell r="G299">
            <v>0</v>
          </cell>
          <cell r="M299">
            <v>0</v>
          </cell>
        </row>
        <row r="300">
          <cell r="A300">
            <v>0</v>
          </cell>
          <cell r="C300">
            <v>0</v>
          </cell>
          <cell r="E300">
            <v>0</v>
          </cell>
          <cell r="F300">
            <v>0</v>
          </cell>
          <cell r="G300">
            <v>0</v>
          </cell>
          <cell r="M300">
            <v>0</v>
          </cell>
        </row>
        <row r="301">
          <cell r="A301" t="str">
            <v>05-03-210</v>
          </cell>
          <cell r="B301" t="str">
            <v>05-03-210</v>
          </cell>
          <cell r="C301" t="str">
            <v>CERCHAS METALICAS PARA GRADERIAS EN SEGUNDO PISO</v>
          </cell>
          <cell r="D301">
            <v>2230</v>
          </cell>
          <cell r="E301" t="str">
            <v>KG</v>
          </cell>
          <cell r="F301">
            <v>0</v>
          </cell>
          <cell r="G301">
            <v>10030</v>
          </cell>
          <cell r="M301" t="e">
            <v>#N/A</v>
          </cell>
        </row>
        <row r="302">
          <cell r="A302" t="str">
            <v>05-03-210</v>
          </cell>
          <cell r="B302" t="str">
            <v>pv10070</v>
          </cell>
          <cell r="C302" t="str">
            <v>Provision para cerchas metalicas</v>
          </cell>
          <cell r="D302">
            <v>1</v>
          </cell>
          <cell r="E302" t="str">
            <v>kg</v>
          </cell>
          <cell r="F302">
            <v>10029.359999999999</v>
          </cell>
          <cell r="G302">
            <v>10030</v>
          </cell>
          <cell r="M302" t="str">
            <v>pv</v>
          </cell>
        </row>
        <row r="303">
          <cell r="A303" t="str">
            <v>05-03-210</v>
          </cell>
          <cell r="B303" t="str">
            <v>mt13900</v>
          </cell>
          <cell r="C303" t="str">
            <v>Elementos de consumo y protección</v>
          </cell>
          <cell r="D303">
            <v>0</v>
          </cell>
          <cell r="E303" t="str">
            <v>%</v>
          </cell>
          <cell r="F303">
            <v>1.2455000000000001E-2</v>
          </cell>
          <cell r="G303">
            <v>0</v>
          </cell>
          <cell r="M303" t="str">
            <v>mt</v>
          </cell>
        </row>
        <row r="304">
          <cell r="A304" t="str">
            <v>05-03-210</v>
          </cell>
          <cell r="B304" t="str">
            <v>hm15100</v>
          </cell>
          <cell r="C304" t="str">
            <v>Herramienta y equipo menor</v>
          </cell>
          <cell r="D304">
            <v>0</v>
          </cell>
          <cell r="E304" t="str">
            <v>%</v>
          </cell>
          <cell r="F304">
            <v>0.03</v>
          </cell>
          <cell r="G304">
            <v>0</v>
          </cell>
          <cell r="M304" t="str">
            <v>hm</v>
          </cell>
        </row>
        <row r="305">
          <cell r="A305">
            <v>0</v>
          </cell>
          <cell r="C305" t="str">
            <v>DIRECTO:  10,030 / KG</v>
          </cell>
          <cell r="D305">
            <v>0</v>
          </cell>
          <cell r="E305">
            <v>0</v>
          </cell>
          <cell r="F305">
            <v>0</v>
          </cell>
          <cell r="G305">
            <v>0</v>
          </cell>
          <cell r="M305">
            <v>0</v>
          </cell>
        </row>
        <row r="306">
          <cell r="A306">
            <v>0</v>
          </cell>
          <cell r="C306">
            <v>0</v>
          </cell>
          <cell r="E306">
            <v>0</v>
          </cell>
          <cell r="F306">
            <v>0</v>
          </cell>
          <cell r="G306">
            <v>0</v>
          </cell>
          <cell r="M306">
            <v>0</v>
          </cell>
        </row>
        <row r="307">
          <cell r="A307" t="str">
            <v>05-03-220</v>
          </cell>
          <cell r="B307" t="str">
            <v>05-03-220</v>
          </cell>
          <cell r="C307" t="str">
            <v>VIGAS METALICAS IPE200 PARA SOPORTE LOSA CUARTO DE PROYECCION</v>
          </cell>
          <cell r="D307">
            <v>730</v>
          </cell>
          <cell r="E307" t="str">
            <v>KG</v>
          </cell>
          <cell r="F307">
            <v>0</v>
          </cell>
          <cell r="G307">
            <v>10030</v>
          </cell>
          <cell r="M307" t="e">
            <v>#N/A</v>
          </cell>
        </row>
        <row r="308">
          <cell r="A308" t="str">
            <v>05-03-220</v>
          </cell>
          <cell r="B308" t="str">
            <v>pv10080</v>
          </cell>
          <cell r="C308" t="str">
            <v>Provision para vigas metalicas cuarto proyeccion</v>
          </cell>
          <cell r="D308">
            <v>1</v>
          </cell>
          <cell r="E308" t="str">
            <v>kg</v>
          </cell>
          <cell r="F308">
            <v>10029.359999999999</v>
          </cell>
          <cell r="G308">
            <v>10030</v>
          </cell>
          <cell r="M308" t="str">
            <v>pv</v>
          </cell>
        </row>
        <row r="309">
          <cell r="A309" t="str">
            <v>05-03-220</v>
          </cell>
          <cell r="B309" t="str">
            <v>mt13900</v>
          </cell>
          <cell r="C309" t="str">
            <v>Elementos de consumo y protección</v>
          </cell>
          <cell r="D309">
            <v>0</v>
          </cell>
          <cell r="E309" t="str">
            <v>%</v>
          </cell>
          <cell r="F309">
            <v>1.2455000000000001E-2</v>
          </cell>
          <cell r="G309">
            <v>0</v>
          </cell>
          <cell r="M309" t="str">
            <v>mt</v>
          </cell>
        </row>
        <row r="310">
          <cell r="A310" t="str">
            <v>05-03-220</v>
          </cell>
          <cell r="B310" t="str">
            <v>hm15100</v>
          </cell>
          <cell r="C310" t="str">
            <v>Herramienta y equipo menor</v>
          </cell>
          <cell r="D310">
            <v>0</v>
          </cell>
          <cell r="E310" t="str">
            <v>%</v>
          </cell>
          <cell r="F310">
            <v>0.03</v>
          </cell>
          <cell r="G310">
            <v>0</v>
          </cell>
          <cell r="M310" t="str">
            <v>hm</v>
          </cell>
        </row>
        <row r="311">
          <cell r="A311">
            <v>0</v>
          </cell>
          <cell r="C311" t="str">
            <v>DIRECTO:  10,030 / KG</v>
          </cell>
          <cell r="D311">
            <v>0</v>
          </cell>
          <cell r="E311">
            <v>0</v>
          </cell>
          <cell r="F311">
            <v>0</v>
          </cell>
          <cell r="G311">
            <v>0</v>
          </cell>
          <cell r="M311">
            <v>0</v>
          </cell>
        </row>
        <row r="312">
          <cell r="A312">
            <v>0</v>
          </cell>
          <cell r="C312">
            <v>0</v>
          </cell>
          <cell r="E312">
            <v>0</v>
          </cell>
          <cell r="F312">
            <v>0</v>
          </cell>
          <cell r="G312">
            <v>0</v>
          </cell>
          <cell r="M312">
            <v>0</v>
          </cell>
        </row>
        <row r="313">
          <cell r="A313" t="str">
            <v>05-03-230</v>
          </cell>
          <cell r="B313" t="str">
            <v>05-03-230</v>
          </cell>
          <cell r="C313" t="str">
            <v>VIGAS METALICAS IPE200, IPE240 Y TUBULARES PTEC 5" x 5" x 4.5 MM. PARA SOPORTE PISO MADERA CUARTO DE SONIDO</v>
          </cell>
          <cell r="D313">
            <v>348</v>
          </cell>
          <cell r="E313" t="str">
            <v>KG</v>
          </cell>
          <cell r="F313">
            <v>0</v>
          </cell>
          <cell r="G313">
            <v>10030</v>
          </cell>
          <cell r="M313" t="e">
            <v>#N/A</v>
          </cell>
        </row>
        <row r="314">
          <cell r="A314" t="str">
            <v>05-03-230</v>
          </cell>
          <cell r="B314" t="str">
            <v>pv10090</v>
          </cell>
          <cell r="C314" t="str">
            <v>Provision para vigas metalicas cuarto sonido</v>
          </cell>
          <cell r="D314">
            <v>1</v>
          </cell>
          <cell r="E314" t="str">
            <v>kg</v>
          </cell>
          <cell r="F314">
            <v>10029.359999999999</v>
          </cell>
          <cell r="G314">
            <v>10030</v>
          </cell>
          <cell r="M314" t="str">
            <v>pv</v>
          </cell>
        </row>
        <row r="315">
          <cell r="A315" t="str">
            <v>05-03-230</v>
          </cell>
          <cell r="B315" t="str">
            <v>mt13900</v>
          </cell>
          <cell r="C315" t="str">
            <v>Elementos de consumo y protección</v>
          </cell>
          <cell r="D315">
            <v>0</v>
          </cell>
          <cell r="E315" t="str">
            <v>%</v>
          </cell>
          <cell r="F315">
            <v>1.2455000000000001E-2</v>
          </cell>
          <cell r="G315">
            <v>0</v>
          </cell>
          <cell r="M315" t="str">
            <v>mt</v>
          </cell>
        </row>
        <row r="316">
          <cell r="A316" t="str">
            <v>05-03-230</v>
          </cell>
          <cell r="B316" t="str">
            <v>hm15100</v>
          </cell>
          <cell r="C316" t="str">
            <v>Herramienta y equipo menor</v>
          </cell>
          <cell r="D316">
            <v>0</v>
          </cell>
          <cell r="E316" t="str">
            <v>%</v>
          </cell>
          <cell r="F316">
            <v>0.03</v>
          </cell>
          <cell r="G316">
            <v>0</v>
          </cell>
          <cell r="M316" t="str">
            <v>hm</v>
          </cell>
        </row>
        <row r="317">
          <cell r="A317">
            <v>0</v>
          </cell>
          <cell r="C317" t="str">
            <v>DIRECTO:  10,030 / KG</v>
          </cell>
          <cell r="D317">
            <v>0</v>
          </cell>
          <cell r="E317">
            <v>0</v>
          </cell>
          <cell r="F317">
            <v>0</v>
          </cell>
          <cell r="G317">
            <v>0</v>
          </cell>
          <cell r="M317">
            <v>0</v>
          </cell>
        </row>
        <row r="318">
          <cell r="A318">
            <v>0</v>
          </cell>
          <cell r="C318">
            <v>0</v>
          </cell>
          <cell r="E318">
            <v>0</v>
          </cell>
          <cell r="F318">
            <v>0</v>
          </cell>
          <cell r="G318">
            <v>0</v>
          </cell>
          <cell r="M318">
            <v>0</v>
          </cell>
        </row>
        <row r="319">
          <cell r="A319" t="str">
            <v>05-03-240</v>
          </cell>
          <cell r="B319" t="str">
            <v>05-03-240</v>
          </cell>
          <cell r="C319" t="str">
            <v>VIGAS METALICAS IPE300, IPE240 PARA SOPORTE PISO MADERA Y STEELDECK OFICINAS SEGUNDO PISO</v>
          </cell>
          <cell r="D319">
            <v>4289</v>
          </cell>
          <cell r="E319" t="str">
            <v>KG</v>
          </cell>
          <cell r="F319">
            <v>0</v>
          </cell>
          <cell r="G319">
            <v>10030</v>
          </cell>
          <cell r="M319" t="e">
            <v>#N/A</v>
          </cell>
        </row>
        <row r="320">
          <cell r="A320" t="str">
            <v>05-03-240</v>
          </cell>
          <cell r="B320" t="str">
            <v>pv10100</v>
          </cell>
          <cell r="C320" t="str">
            <v>Provision para vigas metalicas oficinas segundo piso</v>
          </cell>
          <cell r="D320">
            <v>1</v>
          </cell>
          <cell r="E320" t="str">
            <v>kg</v>
          </cell>
          <cell r="F320">
            <v>10029.359999999999</v>
          </cell>
          <cell r="G320">
            <v>10030</v>
          </cell>
          <cell r="M320" t="str">
            <v>pv</v>
          </cell>
        </row>
        <row r="321">
          <cell r="A321" t="str">
            <v>05-03-240</v>
          </cell>
          <cell r="B321" t="str">
            <v>mt13900</v>
          </cell>
          <cell r="C321" t="str">
            <v>Elementos de consumo y protección</v>
          </cell>
          <cell r="D321">
            <v>0</v>
          </cell>
          <cell r="E321" t="str">
            <v>%</v>
          </cell>
          <cell r="F321">
            <v>1.2455000000000001E-2</v>
          </cell>
          <cell r="G321">
            <v>0</v>
          </cell>
          <cell r="M321" t="str">
            <v>mt</v>
          </cell>
        </row>
        <row r="322">
          <cell r="A322" t="str">
            <v>05-03-240</v>
          </cell>
          <cell r="B322" t="str">
            <v>hm15100</v>
          </cell>
          <cell r="C322" t="str">
            <v>Herramienta y equipo menor</v>
          </cell>
          <cell r="D322">
            <v>0</v>
          </cell>
          <cell r="E322" t="str">
            <v>%</v>
          </cell>
          <cell r="F322">
            <v>0.03</v>
          </cell>
          <cell r="G322">
            <v>0</v>
          </cell>
          <cell r="M322" t="str">
            <v>hm</v>
          </cell>
        </row>
        <row r="323">
          <cell r="A323">
            <v>0</v>
          </cell>
          <cell r="C323" t="str">
            <v>DIRECTO:  10,030 / KG</v>
          </cell>
          <cell r="D323">
            <v>0</v>
          </cell>
          <cell r="E323">
            <v>0</v>
          </cell>
          <cell r="F323">
            <v>0</v>
          </cell>
          <cell r="G323">
            <v>0</v>
          </cell>
          <cell r="M323">
            <v>0</v>
          </cell>
        </row>
        <row r="324">
          <cell r="A324">
            <v>0</v>
          </cell>
          <cell r="C324">
            <v>0</v>
          </cell>
          <cell r="E324">
            <v>0</v>
          </cell>
          <cell r="F324">
            <v>0</v>
          </cell>
          <cell r="G324">
            <v>0</v>
          </cell>
          <cell r="M324">
            <v>0</v>
          </cell>
        </row>
        <row r="325">
          <cell r="A325" t="str">
            <v>05-03-250</v>
          </cell>
          <cell r="B325" t="str">
            <v>05-03-250</v>
          </cell>
          <cell r="C325" t="str">
            <v>ESTRUCTURA METALICA Y CUELGAS DE LA PARRILLA DE ILUMINACION</v>
          </cell>
          <cell r="D325">
            <v>1197</v>
          </cell>
          <cell r="E325" t="str">
            <v>KG</v>
          </cell>
          <cell r="F325">
            <v>0</v>
          </cell>
          <cell r="G325">
            <v>10030</v>
          </cell>
          <cell r="M325" t="e">
            <v>#N/A</v>
          </cell>
        </row>
        <row r="326">
          <cell r="A326" t="str">
            <v>05-03-250</v>
          </cell>
          <cell r="B326" t="str">
            <v>pv10110</v>
          </cell>
          <cell r="C326" t="str">
            <v>Provision para estructura metalica cuelgas iluminacion</v>
          </cell>
          <cell r="D326">
            <v>1</v>
          </cell>
          <cell r="E326" t="str">
            <v>kg</v>
          </cell>
          <cell r="F326">
            <v>10029.359999999999</v>
          </cell>
          <cell r="G326">
            <v>10030</v>
          </cell>
          <cell r="M326" t="str">
            <v>pv</v>
          </cell>
        </row>
        <row r="327">
          <cell r="A327" t="str">
            <v>05-03-250</v>
          </cell>
          <cell r="B327" t="str">
            <v>mt13900</v>
          </cell>
          <cell r="C327" t="str">
            <v>Elementos de consumo y protección</v>
          </cell>
          <cell r="D327">
            <v>0</v>
          </cell>
          <cell r="E327" t="str">
            <v>%</v>
          </cell>
          <cell r="F327">
            <v>1.2455000000000001E-2</v>
          </cell>
          <cell r="G327">
            <v>0</v>
          </cell>
          <cell r="M327" t="str">
            <v>mt</v>
          </cell>
        </row>
        <row r="328">
          <cell r="A328" t="str">
            <v>05-03-250</v>
          </cell>
          <cell r="B328" t="str">
            <v>hm15100</v>
          </cell>
          <cell r="C328" t="str">
            <v>Herramienta y equipo menor</v>
          </cell>
          <cell r="D328">
            <v>0</v>
          </cell>
          <cell r="E328" t="str">
            <v>%</v>
          </cell>
          <cell r="F328">
            <v>0.03</v>
          </cell>
          <cell r="G328">
            <v>0</v>
          </cell>
          <cell r="M328" t="str">
            <v>hm</v>
          </cell>
        </row>
        <row r="329">
          <cell r="A329">
            <v>0</v>
          </cell>
          <cell r="C329" t="str">
            <v>DIRECTO:  10,030 / KG</v>
          </cell>
          <cell r="D329">
            <v>0</v>
          </cell>
          <cell r="E329">
            <v>0</v>
          </cell>
          <cell r="F329">
            <v>0</v>
          </cell>
          <cell r="G329">
            <v>0</v>
          </cell>
          <cell r="M329">
            <v>0</v>
          </cell>
        </row>
        <row r="330">
          <cell r="A330">
            <v>0</v>
          </cell>
          <cell r="C330">
            <v>0</v>
          </cell>
          <cell r="E330">
            <v>0</v>
          </cell>
          <cell r="F330">
            <v>0</v>
          </cell>
          <cell r="G330">
            <v>0</v>
          </cell>
          <cell r="M330">
            <v>0</v>
          </cell>
        </row>
        <row r="331">
          <cell r="A331" t="str">
            <v>05-03-260</v>
          </cell>
          <cell r="B331" t="str">
            <v>05-03-260</v>
          </cell>
          <cell r="C331" t="str">
            <v>ESTRUCTURA METALICA Y PASAMANOS DE LOS CORREDORES TECNICOS INTERIORES Y EXTERIORES</v>
          </cell>
          <cell r="D331">
            <v>691</v>
          </cell>
          <cell r="E331" t="str">
            <v>KG</v>
          </cell>
          <cell r="F331">
            <v>0</v>
          </cell>
          <cell r="G331">
            <v>10030</v>
          </cell>
          <cell r="M331" t="e">
            <v>#N/A</v>
          </cell>
        </row>
        <row r="332">
          <cell r="A332" t="str">
            <v>05-03-260</v>
          </cell>
          <cell r="B332" t="str">
            <v>pv10120</v>
          </cell>
          <cell r="C332" t="str">
            <v>Provision para estructura metalica corredores tecnicos</v>
          </cell>
          <cell r="D332">
            <v>1</v>
          </cell>
          <cell r="E332" t="str">
            <v>kg</v>
          </cell>
          <cell r="F332">
            <v>10029.359999999999</v>
          </cell>
          <cell r="G332">
            <v>10030</v>
          </cell>
          <cell r="M332" t="str">
            <v>pv</v>
          </cell>
        </row>
        <row r="333">
          <cell r="A333" t="str">
            <v>05-03-260</v>
          </cell>
          <cell r="B333" t="str">
            <v>mt13900</v>
          </cell>
          <cell r="C333" t="str">
            <v>Elementos de consumo y protección</v>
          </cell>
          <cell r="D333">
            <v>0</v>
          </cell>
          <cell r="E333" t="str">
            <v>%</v>
          </cell>
          <cell r="F333">
            <v>1.2455000000000001E-2</v>
          </cell>
          <cell r="G333">
            <v>0</v>
          </cell>
          <cell r="M333" t="str">
            <v>mt</v>
          </cell>
        </row>
        <row r="334">
          <cell r="A334" t="str">
            <v>05-03-260</v>
          </cell>
          <cell r="B334" t="str">
            <v>hm15100</v>
          </cell>
          <cell r="C334" t="str">
            <v>Herramienta y equipo menor</v>
          </cell>
          <cell r="D334">
            <v>0</v>
          </cell>
          <cell r="E334" t="str">
            <v>%</v>
          </cell>
          <cell r="F334">
            <v>0.03</v>
          </cell>
          <cell r="G334">
            <v>0</v>
          </cell>
          <cell r="M334" t="str">
            <v>hm</v>
          </cell>
        </row>
        <row r="335">
          <cell r="A335">
            <v>0</v>
          </cell>
          <cell r="C335" t="str">
            <v>DIRECTO:  10,030 / KG</v>
          </cell>
          <cell r="D335">
            <v>0</v>
          </cell>
          <cell r="E335">
            <v>0</v>
          </cell>
          <cell r="F335">
            <v>0</v>
          </cell>
          <cell r="G335">
            <v>0</v>
          </cell>
          <cell r="M335">
            <v>0</v>
          </cell>
        </row>
        <row r="336">
          <cell r="A336">
            <v>0</v>
          </cell>
          <cell r="C336">
            <v>0</v>
          </cell>
          <cell r="E336">
            <v>0</v>
          </cell>
          <cell r="F336">
            <v>0</v>
          </cell>
          <cell r="G336">
            <v>0</v>
          </cell>
          <cell r="M336">
            <v>0</v>
          </cell>
        </row>
        <row r="337">
          <cell r="A337" t="str">
            <v>05-03-270</v>
          </cell>
          <cell r="B337" t="str">
            <v>05-03-270</v>
          </cell>
          <cell r="C337" t="str">
            <v>PERFILES GALVANIZADOS TIPO ACESCO O EQUIVALENTE PARA SOPORTE DE TEJAS DE CUBIERTA</v>
          </cell>
          <cell r="D337">
            <v>3919</v>
          </cell>
          <cell r="E337" t="str">
            <v>KG</v>
          </cell>
          <cell r="F337">
            <v>0</v>
          </cell>
          <cell r="G337">
            <v>10030</v>
          </cell>
          <cell r="M337" t="e">
            <v>#N/A</v>
          </cell>
        </row>
        <row r="338">
          <cell r="A338" t="str">
            <v>05-03-270</v>
          </cell>
          <cell r="B338" t="str">
            <v>pv10130</v>
          </cell>
          <cell r="C338" t="str">
            <v>Provision para perfiles galvanizados cubierta</v>
          </cell>
          <cell r="D338">
            <v>1</v>
          </cell>
          <cell r="E338" t="str">
            <v>kg</v>
          </cell>
          <cell r="F338">
            <v>10029.359999999999</v>
          </cell>
          <cell r="G338">
            <v>10030</v>
          </cell>
          <cell r="M338" t="str">
            <v>pv</v>
          </cell>
        </row>
        <row r="339">
          <cell r="A339" t="str">
            <v>05-03-270</v>
          </cell>
          <cell r="B339" t="str">
            <v>mt13900</v>
          </cell>
          <cell r="C339" t="str">
            <v>Elementos de consumo y protección</v>
          </cell>
          <cell r="D339">
            <v>0</v>
          </cell>
          <cell r="E339" t="str">
            <v>%</v>
          </cell>
          <cell r="F339">
            <v>1.2455000000000001E-2</v>
          </cell>
          <cell r="G339">
            <v>0</v>
          </cell>
          <cell r="M339" t="str">
            <v>mt</v>
          </cell>
        </row>
        <row r="340">
          <cell r="A340" t="str">
            <v>05-03-270</v>
          </cell>
          <cell r="B340" t="str">
            <v>hm15100</v>
          </cell>
          <cell r="C340" t="str">
            <v>Herramienta y equipo menor</v>
          </cell>
          <cell r="D340">
            <v>0</v>
          </cell>
          <cell r="E340" t="str">
            <v>%</v>
          </cell>
          <cell r="F340">
            <v>0.03</v>
          </cell>
          <cell r="G340">
            <v>0</v>
          </cell>
          <cell r="M340" t="str">
            <v>hm</v>
          </cell>
        </row>
        <row r="341">
          <cell r="A341">
            <v>0</v>
          </cell>
          <cell r="C341" t="str">
            <v>DIRECTO:  10,030 / KG</v>
          </cell>
          <cell r="D341">
            <v>0</v>
          </cell>
          <cell r="E341">
            <v>0</v>
          </cell>
          <cell r="F341">
            <v>0</v>
          </cell>
          <cell r="G341">
            <v>0</v>
          </cell>
          <cell r="M341">
            <v>0</v>
          </cell>
        </row>
        <row r="342">
          <cell r="A342">
            <v>0</v>
          </cell>
          <cell r="B342" t="str">
            <v>06</v>
          </cell>
          <cell r="C342" t="str">
            <v>MAMPOSTERIA</v>
          </cell>
          <cell r="E342">
            <v>0</v>
          </cell>
          <cell r="F342">
            <v>0</v>
          </cell>
          <cell r="G342">
            <v>0</v>
          </cell>
          <cell r="M342" t="e">
            <v>#N/A</v>
          </cell>
        </row>
        <row r="343">
          <cell r="A343" t="str">
            <v>06-01-100</v>
          </cell>
          <cell r="B343" t="str">
            <v>06-01-100</v>
          </cell>
          <cell r="C343" t="str">
            <v>MUROS EN SUPERBOARD DOS CARAS</v>
          </cell>
          <cell r="D343">
            <v>398</v>
          </cell>
          <cell r="E343" t="str">
            <v>M2</v>
          </cell>
          <cell r="F343">
            <v>0</v>
          </cell>
          <cell r="G343">
            <v>103331</v>
          </cell>
          <cell r="M343" t="e">
            <v>#N/A</v>
          </cell>
        </row>
        <row r="344">
          <cell r="A344" t="str">
            <v>06-01-100</v>
          </cell>
          <cell r="B344" t="str">
            <v>au57300</v>
          </cell>
          <cell r="C344" t="str">
            <v>Aux materiales para muro en superboard 2c</v>
          </cell>
          <cell r="D344">
            <v>1</v>
          </cell>
          <cell r="E344" t="str">
            <v>m2</v>
          </cell>
          <cell r="F344">
            <v>57765</v>
          </cell>
          <cell r="G344">
            <v>57765</v>
          </cell>
          <cell r="M344" t="str">
            <v>au</v>
          </cell>
        </row>
        <row r="345">
          <cell r="A345" t="str">
            <v>06-01-100</v>
          </cell>
          <cell r="B345" t="str">
            <v>au10200</v>
          </cell>
          <cell r="C345" t="str">
            <v>Aux MO oficial obra blanca</v>
          </cell>
          <cell r="D345">
            <v>2.2000000000000002</v>
          </cell>
          <cell r="E345" t="str">
            <v>hr</v>
          </cell>
          <cell r="F345">
            <v>10159</v>
          </cell>
          <cell r="G345">
            <v>22350</v>
          </cell>
          <cell r="M345" t="str">
            <v>mo</v>
          </cell>
        </row>
        <row r="346">
          <cell r="A346" t="str">
            <v>06-01-100</v>
          </cell>
          <cell r="B346" t="str">
            <v>au10000</v>
          </cell>
          <cell r="C346" t="str">
            <v>Aux MO ayudante</v>
          </cell>
          <cell r="D346">
            <v>2.2000000000000002</v>
          </cell>
          <cell r="E346" t="str">
            <v>hr</v>
          </cell>
          <cell r="F346">
            <v>5080</v>
          </cell>
          <cell r="G346">
            <v>11176</v>
          </cell>
          <cell r="M346" t="str">
            <v>mo</v>
          </cell>
        </row>
        <row r="347">
          <cell r="A347" t="str">
            <v>06-01-100</v>
          </cell>
          <cell r="B347" t="str">
            <v>au10300</v>
          </cell>
          <cell r="C347" t="str">
            <v>Aux andamios metalicos tijera 2 cuerpos</v>
          </cell>
          <cell r="D347">
            <v>4</v>
          </cell>
          <cell r="E347" t="str">
            <v>dia</v>
          </cell>
          <cell r="F347">
            <v>2654</v>
          </cell>
          <cell r="G347">
            <v>10616</v>
          </cell>
          <cell r="M347" t="str">
            <v>au</v>
          </cell>
        </row>
        <row r="348">
          <cell r="A348" t="str">
            <v>06-01-100</v>
          </cell>
          <cell r="B348" t="str">
            <v>mt13900</v>
          </cell>
          <cell r="C348" t="str">
            <v>Elementos de consumo y protección</v>
          </cell>
          <cell r="D348">
            <v>33526</v>
          </cell>
          <cell r="E348" t="str">
            <v>%</v>
          </cell>
          <cell r="F348">
            <v>1.2455000000000001E-2</v>
          </cell>
          <cell r="G348">
            <v>418</v>
          </cell>
          <cell r="M348" t="str">
            <v>mt</v>
          </cell>
        </row>
        <row r="349">
          <cell r="A349" t="str">
            <v>06-01-100</v>
          </cell>
          <cell r="B349" t="str">
            <v>hm15100</v>
          </cell>
          <cell r="C349" t="str">
            <v>Herramienta y equipo menor</v>
          </cell>
          <cell r="D349">
            <v>33526</v>
          </cell>
          <cell r="E349" t="str">
            <v>%</v>
          </cell>
          <cell r="F349">
            <v>0.03</v>
          </cell>
          <cell r="G349">
            <v>1006</v>
          </cell>
          <cell r="M349" t="str">
            <v>hm</v>
          </cell>
        </row>
        <row r="350">
          <cell r="A350">
            <v>0</v>
          </cell>
          <cell r="C350" t="str">
            <v>DIRECTO:  103,331 / M2</v>
          </cell>
          <cell r="E350">
            <v>0</v>
          </cell>
          <cell r="F350">
            <v>0</v>
          </cell>
          <cell r="G350">
            <v>0</v>
          </cell>
          <cell r="M350">
            <v>0</v>
          </cell>
        </row>
        <row r="351">
          <cell r="A351">
            <v>0</v>
          </cell>
          <cell r="C351">
            <v>0</v>
          </cell>
          <cell r="E351">
            <v>0</v>
          </cell>
          <cell r="F351">
            <v>0</v>
          </cell>
          <cell r="G351">
            <v>0</v>
          </cell>
          <cell r="M351">
            <v>0</v>
          </cell>
        </row>
        <row r="352">
          <cell r="A352" t="str">
            <v>06-01-110</v>
          </cell>
          <cell r="B352" t="str">
            <v>06-01-110</v>
          </cell>
          <cell r="C352" t="str">
            <v>MUROS EN SUPERBOARD UNA CARA</v>
          </cell>
          <cell r="D352">
            <v>380</v>
          </cell>
          <cell r="E352" t="str">
            <v>M2</v>
          </cell>
          <cell r="F352">
            <v>0</v>
          </cell>
          <cell r="G352">
            <v>80189</v>
          </cell>
          <cell r="M352" t="e">
            <v>#N/A</v>
          </cell>
        </row>
        <row r="353">
          <cell r="A353" t="str">
            <v>06-01-110</v>
          </cell>
          <cell r="B353" t="str">
            <v>au57305</v>
          </cell>
          <cell r="C353" t="str">
            <v>Aux materiales para muro en superboard 1c</v>
          </cell>
          <cell r="D353">
            <v>1</v>
          </cell>
          <cell r="E353" t="str">
            <v>m2</v>
          </cell>
          <cell r="F353">
            <v>40977</v>
          </cell>
          <cell r="G353">
            <v>40977</v>
          </cell>
          <cell r="M353" t="str">
            <v>au</v>
          </cell>
        </row>
        <row r="354">
          <cell r="A354" t="str">
            <v>06-01-110</v>
          </cell>
          <cell r="B354" t="str">
            <v>au10200</v>
          </cell>
          <cell r="C354" t="str">
            <v>Aux MO oficial obra blanca</v>
          </cell>
          <cell r="D354">
            <v>1.8</v>
          </cell>
          <cell r="E354" t="str">
            <v>hr</v>
          </cell>
          <cell r="F354">
            <v>10159</v>
          </cell>
          <cell r="G354">
            <v>18287</v>
          </cell>
          <cell r="M354" t="str">
            <v>mo</v>
          </cell>
        </row>
        <row r="355">
          <cell r="A355" t="str">
            <v>06-01-110</v>
          </cell>
          <cell r="B355" t="str">
            <v>au10000</v>
          </cell>
          <cell r="C355" t="str">
            <v>Aux MO ayudante</v>
          </cell>
          <cell r="D355">
            <v>1.8</v>
          </cell>
          <cell r="E355" t="str">
            <v>hr</v>
          </cell>
          <cell r="F355">
            <v>5080</v>
          </cell>
          <cell r="G355">
            <v>9144</v>
          </cell>
          <cell r="M355" t="str">
            <v>mo</v>
          </cell>
        </row>
        <row r="356">
          <cell r="A356" t="str">
            <v>06-01-110</v>
          </cell>
          <cell r="B356" t="str">
            <v>au10300</v>
          </cell>
          <cell r="C356" t="str">
            <v>Aux andamios metalicos tijera 2 cuerpos</v>
          </cell>
          <cell r="D356">
            <v>4</v>
          </cell>
          <cell r="E356" t="str">
            <v>dia</v>
          </cell>
          <cell r="F356">
            <v>2654</v>
          </cell>
          <cell r="G356">
            <v>10616</v>
          </cell>
          <cell r="M356" t="str">
            <v>au</v>
          </cell>
        </row>
        <row r="357">
          <cell r="A357" t="str">
            <v>06-01-110</v>
          </cell>
          <cell r="B357" t="str">
            <v>mt13900</v>
          </cell>
          <cell r="C357" t="str">
            <v>Elementos de consumo y protección</v>
          </cell>
          <cell r="D357">
            <v>27431</v>
          </cell>
          <cell r="E357" t="str">
            <v>%</v>
          </cell>
          <cell r="F357">
            <v>1.2455000000000001E-2</v>
          </cell>
          <cell r="G357">
            <v>342</v>
          </cell>
          <cell r="M357" t="str">
            <v>mt</v>
          </cell>
        </row>
        <row r="358">
          <cell r="A358" t="str">
            <v>06-01-110</v>
          </cell>
          <cell r="B358" t="str">
            <v>hm15100</v>
          </cell>
          <cell r="C358" t="str">
            <v>Herramienta y equipo menor</v>
          </cell>
          <cell r="D358">
            <v>27431</v>
          </cell>
          <cell r="E358" t="str">
            <v>%</v>
          </cell>
          <cell r="F358">
            <v>0.03</v>
          </cell>
          <cell r="G358">
            <v>823</v>
          </cell>
          <cell r="M358" t="str">
            <v>hm</v>
          </cell>
        </row>
        <row r="359">
          <cell r="A359">
            <v>0</v>
          </cell>
          <cell r="C359" t="str">
            <v>DIRECTO:  80,189 / M2</v>
          </cell>
          <cell r="E359">
            <v>0</v>
          </cell>
          <cell r="F359">
            <v>0</v>
          </cell>
          <cell r="G359">
            <v>0</v>
          </cell>
          <cell r="M359">
            <v>0</v>
          </cell>
        </row>
        <row r="360">
          <cell r="A360">
            <v>0</v>
          </cell>
          <cell r="C360">
            <v>0</v>
          </cell>
          <cell r="E360">
            <v>0</v>
          </cell>
          <cell r="F360">
            <v>0</v>
          </cell>
          <cell r="G360">
            <v>0</v>
          </cell>
          <cell r="M360">
            <v>0</v>
          </cell>
        </row>
        <row r="361">
          <cell r="A361" t="str">
            <v>06-02-010</v>
          </cell>
          <cell r="B361" t="str">
            <v>06-02-010</v>
          </cell>
          <cell r="C361" t="str">
            <v>MAMPOSTERIA INTERIOR EN LADRILLO TOLETE 15x20x40 REVITADO DOS CARAS</v>
          </cell>
          <cell r="D361">
            <v>425</v>
          </cell>
          <cell r="E361" t="str">
            <v>M2</v>
          </cell>
          <cell r="F361">
            <v>0</v>
          </cell>
          <cell r="G361">
            <v>42986</v>
          </cell>
          <cell r="M361" t="e">
            <v>#N/A</v>
          </cell>
        </row>
        <row r="362">
          <cell r="A362" t="str">
            <v>06-02-010</v>
          </cell>
          <cell r="B362" t="str">
            <v>mt15500</v>
          </cell>
          <cell r="C362" t="str">
            <v>Ladrillo tolete 15x20x40 perforacion horizontal</v>
          </cell>
          <cell r="D362">
            <v>8.7937499999999993</v>
          </cell>
          <cell r="E362" t="str">
            <v>un</v>
          </cell>
          <cell r="F362">
            <v>945</v>
          </cell>
          <cell r="G362">
            <v>8311</v>
          </cell>
          <cell r="M362" t="str">
            <v>mt</v>
          </cell>
        </row>
        <row r="363">
          <cell r="A363" t="str">
            <v>06-02-010</v>
          </cell>
          <cell r="B363" t="str">
            <v>mt15501</v>
          </cell>
          <cell r="C363" t="str">
            <v>Ladrillo tolete 15x20x40 perforacion vertical</v>
          </cell>
          <cell r="D363">
            <v>4.3312499999999998</v>
          </cell>
          <cell r="E363" t="str">
            <v>un</v>
          </cell>
          <cell r="F363">
            <v>1645</v>
          </cell>
          <cell r="G363">
            <v>7125</v>
          </cell>
          <cell r="M363" t="str">
            <v>mt</v>
          </cell>
        </row>
        <row r="364">
          <cell r="A364" t="str">
            <v>06-02-010</v>
          </cell>
          <cell r="B364" t="str">
            <v>au11700</v>
          </cell>
          <cell r="C364" t="str">
            <v>Aux mortero de pega 1:4</v>
          </cell>
          <cell r="D364">
            <v>1.485E-2</v>
          </cell>
          <cell r="E364" t="str">
            <v>m3</v>
          </cell>
          <cell r="F364">
            <v>246314</v>
          </cell>
          <cell r="G364">
            <v>3658</v>
          </cell>
          <cell r="M364" t="str">
            <v>au</v>
          </cell>
        </row>
        <row r="365">
          <cell r="A365" t="str">
            <v>06-02-010</v>
          </cell>
          <cell r="B365" t="str">
            <v>au10300</v>
          </cell>
          <cell r="C365" t="str">
            <v>Aux andamios metalicos tijera 2 cuerpos</v>
          </cell>
          <cell r="D365">
            <v>0.02</v>
          </cell>
          <cell r="E365" t="str">
            <v>dia</v>
          </cell>
          <cell r="F365">
            <v>2654</v>
          </cell>
          <cell r="G365">
            <v>54</v>
          </cell>
          <cell r="M365" t="str">
            <v>au</v>
          </cell>
        </row>
        <row r="366">
          <cell r="A366" t="str">
            <v>06-02-010</v>
          </cell>
          <cell r="B366" t="str">
            <v>eq96300</v>
          </cell>
          <cell r="C366" t="str">
            <v>Cortadora de adobe/bloque</v>
          </cell>
          <cell r="D366">
            <v>0.08</v>
          </cell>
          <cell r="E366" t="str">
            <v>dia</v>
          </cell>
          <cell r="F366">
            <v>23267.535199999998</v>
          </cell>
          <cell r="G366">
            <v>1862</v>
          </cell>
          <cell r="M366" t="str">
            <v>eq</v>
          </cell>
        </row>
        <row r="367">
          <cell r="A367" t="str">
            <v>06-02-010</v>
          </cell>
          <cell r="B367" t="str">
            <v>eq96400</v>
          </cell>
          <cell r="C367" t="str">
            <v>Disco diamante para cortadora adobe/bloque</v>
          </cell>
          <cell r="D367">
            <v>8.8888888888888893E-4</v>
          </cell>
          <cell r="E367" t="str">
            <v>un</v>
          </cell>
          <cell r="F367">
            <v>1144000</v>
          </cell>
          <cell r="G367">
            <v>1017</v>
          </cell>
          <cell r="M367" t="str">
            <v>eq</v>
          </cell>
        </row>
        <row r="368">
          <cell r="A368" t="str">
            <v>06-02-010</v>
          </cell>
          <cell r="B368" t="str">
            <v>mo16900</v>
          </cell>
          <cell r="C368" t="str">
            <v>MO ladrillo tolete</v>
          </cell>
          <cell r="D368">
            <v>12.5</v>
          </cell>
          <cell r="E368" t="str">
            <v>un</v>
          </cell>
          <cell r="F368">
            <v>1400</v>
          </cell>
          <cell r="G368">
            <v>17500</v>
          </cell>
          <cell r="M368" t="str">
            <v>mo</v>
          </cell>
        </row>
        <row r="369">
          <cell r="A369" t="str">
            <v>06-02-010</v>
          </cell>
          <cell r="B369" t="str">
            <v>mo17800</v>
          </cell>
          <cell r="C369" t="str">
            <v>MO transporte ladrillo</v>
          </cell>
          <cell r="D369">
            <v>13.125</v>
          </cell>
          <cell r="E369" t="str">
            <v>un</v>
          </cell>
          <cell r="F369">
            <v>108</v>
          </cell>
          <cell r="G369">
            <v>1418</v>
          </cell>
          <cell r="M369" t="str">
            <v>mo</v>
          </cell>
        </row>
        <row r="370">
          <cell r="A370" t="str">
            <v>06-02-010</v>
          </cell>
          <cell r="B370" t="str">
            <v>mo17700</v>
          </cell>
          <cell r="C370" t="str">
            <v>MO transporte interno mortero</v>
          </cell>
          <cell r="D370">
            <v>1.485E-2</v>
          </cell>
          <cell r="E370" t="str">
            <v>m3</v>
          </cell>
          <cell r="F370">
            <v>6000</v>
          </cell>
          <cell r="G370">
            <v>90</v>
          </cell>
          <cell r="M370" t="str">
            <v>mo</v>
          </cell>
        </row>
        <row r="371">
          <cell r="A371" t="str">
            <v>06-02-010</v>
          </cell>
          <cell r="B371" t="str">
            <v>mt24580</v>
          </cell>
          <cell r="C371" t="str">
            <v>Alambrón 4 mm</v>
          </cell>
          <cell r="D371">
            <v>3.3333333333333335</v>
          </cell>
          <cell r="E371" t="str">
            <v>m</v>
          </cell>
          <cell r="F371">
            <v>342.61759999999998</v>
          </cell>
          <cell r="G371">
            <v>1143</v>
          </cell>
          <cell r="M371" t="str">
            <v>mt</v>
          </cell>
        </row>
        <row r="372">
          <cell r="A372" t="str">
            <v>06-02-010</v>
          </cell>
          <cell r="B372" t="str">
            <v>mt13900</v>
          </cell>
          <cell r="C372" t="str">
            <v>Elementos de consumo y protección</v>
          </cell>
          <cell r="D372">
            <v>19008</v>
          </cell>
          <cell r="E372" t="str">
            <v>%</v>
          </cell>
          <cell r="F372">
            <v>1.2455000000000001E-2</v>
          </cell>
          <cell r="G372">
            <v>237</v>
          </cell>
          <cell r="M372" t="str">
            <v>mt</v>
          </cell>
        </row>
        <row r="373">
          <cell r="A373" t="str">
            <v>06-02-010</v>
          </cell>
          <cell r="B373" t="str">
            <v>hm15100</v>
          </cell>
          <cell r="C373" t="str">
            <v>Herramienta y equipo menor</v>
          </cell>
          <cell r="D373">
            <v>19008</v>
          </cell>
          <cell r="E373" t="str">
            <v>%</v>
          </cell>
          <cell r="F373">
            <v>0.03</v>
          </cell>
          <cell r="G373">
            <v>571</v>
          </cell>
          <cell r="M373" t="str">
            <v>hm</v>
          </cell>
        </row>
        <row r="374">
          <cell r="A374">
            <v>0</v>
          </cell>
          <cell r="C374" t="str">
            <v>DIRECTO:  42,986 / M2</v>
          </cell>
          <cell r="E374">
            <v>0</v>
          </cell>
          <cell r="F374">
            <v>0</v>
          </cell>
          <cell r="G374">
            <v>0</v>
          </cell>
          <cell r="M374">
            <v>0</v>
          </cell>
        </row>
        <row r="375">
          <cell r="A375">
            <v>0</v>
          </cell>
          <cell r="C375">
            <v>0</v>
          </cell>
          <cell r="E375">
            <v>0</v>
          </cell>
          <cell r="F375">
            <v>0</v>
          </cell>
          <cell r="G375">
            <v>0</v>
          </cell>
          <cell r="M375">
            <v>0</v>
          </cell>
        </row>
        <row r="376">
          <cell r="A376" t="str">
            <v>06-02-020</v>
          </cell>
          <cell r="B376" t="str">
            <v>06-02-020</v>
          </cell>
          <cell r="C376" t="str">
            <v>MAMPOSTERIA INTERIOR EN LADRILLO 10x20x40 REVITADO DOS CARAS</v>
          </cell>
          <cell r="D376">
            <v>238</v>
          </cell>
          <cell r="E376" t="str">
            <v>M2</v>
          </cell>
          <cell r="F376">
            <v>0</v>
          </cell>
          <cell r="G376">
            <v>31018</v>
          </cell>
          <cell r="M376" t="e">
            <v>#N/A</v>
          </cell>
        </row>
        <row r="377">
          <cell r="A377" t="str">
            <v>06-02-020</v>
          </cell>
          <cell r="B377" t="str">
            <v>mt15502</v>
          </cell>
          <cell r="C377" t="str">
            <v>Ladrillo rayado 10x20x40 perforacion horizontal</v>
          </cell>
          <cell r="D377">
            <v>11.363636363636365</v>
          </cell>
          <cell r="E377" t="str">
            <v>un</v>
          </cell>
          <cell r="F377">
            <v>670</v>
          </cell>
          <cell r="G377">
            <v>7614</v>
          </cell>
          <cell r="M377" t="str">
            <v>mt</v>
          </cell>
        </row>
        <row r="378">
          <cell r="A378" t="str">
            <v>06-02-020</v>
          </cell>
          <cell r="B378" t="str">
            <v>au11700</v>
          </cell>
          <cell r="C378" t="str">
            <v>Aux mortero de pega 1:4</v>
          </cell>
          <cell r="D378">
            <v>1.4695999999999982E-2</v>
          </cell>
          <cell r="E378" t="str">
            <v>m3</v>
          </cell>
          <cell r="F378">
            <v>246314</v>
          </cell>
          <cell r="G378">
            <v>3620</v>
          </cell>
          <cell r="M378" t="str">
            <v>au</v>
          </cell>
        </row>
        <row r="379">
          <cell r="A379" t="str">
            <v>06-02-020</v>
          </cell>
          <cell r="B379" t="str">
            <v>au10300</v>
          </cell>
          <cell r="C379" t="str">
            <v>Aux andamios metalicos tijera 2 cuerpos</v>
          </cell>
          <cell r="D379">
            <v>0.02</v>
          </cell>
          <cell r="E379" t="str">
            <v>dia</v>
          </cell>
          <cell r="F379">
            <v>2654</v>
          </cell>
          <cell r="G379">
            <v>54</v>
          </cell>
          <cell r="M379" t="str">
            <v>au</v>
          </cell>
        </row>
        <row r="380">
          <cell r="A380" t="str">
            <v>06-02-020</v>
          </cell>
          <cell r="B380" t="str">
            <v>eq96300</v>
          </cell>
          <cell r="C380" t="str">
            <v>Cortadora de adobe/bloque</v>
          </cell>
          <cell r="D380">
            <v>0.08</v>
          </cell>
          <cell r="E380" t="str">
            <v>dia</v>
          </cell>
          <cell r="F380">
            <v>23267.535199999998</v>
          </cell>
          <cell r="G380">
            <v>1862</v>
          </cell>
          <cell r="M380" t="str">
            <v>eq</v>
          </cell>
        </row>
        <row r="381">
          <cell r="A381" t="str">
            <v>06-02-020</v>
          </cell>
          <cell r="B381" t="str">
            <v>eq96400</v>
          </cell>
          <cell r="C381" t="str">
            <v>Disco diamante para cortadora adobe/bloque</v>
          </cell>
          <cell r="D381">
            <v>8.8888888888888893E-4</v>
          </cell>
          <cell r="E381" t="str">
            <v>un</v>
          </cell>
          <cell r="F381">
            <v>1144000</v>
          </cell>
          <cell r="G381">
            <v>1017</v>
          </cell>
          <cell r="M381" t="str">
            <v>eq</v>
          </cell>
        </row>
        <row r="382">
          <cell r="A382" t="str">
            <v>06-02-020</v>
          </cell>
          <cell r="B382" t="str">
            <v>mo16910</v>
          </cell>
          <cell r="C382" t="str">
            <v>MO ladrillo 10x20x40 revitado 2c</v>
          </cell>
          <cell r="D382">
            <v>12.5</v>
          </cell>
          <cell r="E382" t="str">
            <v>un</v>
          </cell>
          <cell r="F382">
            <v>1100</v>
          </cell>
          <cell r="G382">
            <v>13750</v>
          </cell>
          <cell r="M382" t="str">
            <v>mo</v>
          </cell>
        </row>
        <row r="383">
          <cell r="A383" t="str">
            <v>06-02-020</v>
          </cell>
          <cell r="B383" t="str">
            <v>mo17800</v>
          </cell>
          <cell r="C383" t="str">
            <v>MO transporte ladrillo</v>
          </cell>
          <cell r="D383">
            <v>11.363636363636365</v>
          </cell>
          <cell r="E383" t="str">
            <v>un</v>
          </cell>
          <cell r="F383">
            <v>108</v>
          </cell>
          <cell r="G383">
            <v>1228</v>
          </cell>
          <cell r="M383" t="str">
            <v>mo</v>
          </cell>
        </row>
        <row r="384">
          <cell r="A384" t="str">
            <v>06-02-020</v>
          </cell>
          <cell r="B384" t="str">
            <v>mo17700</v>
          </cell>
          <cell r="C384" t="str">
            <v>MO transporte interno mortero</v>
          </cell>
          <cell r="D384">
            <v>1.4695999999999982E-2</v>
          </cell>
          <cell r="E384" t="str">
            <v>m3</v>
          </cell>
          <cell r="F384">
            <v>6000</v>
          </cell>
          <cell r="G384">
            <v>89</v>
          </cell>
          <cell r="M384" t="str">
            <v>mo</v>
          </cell>
        </row>
        <row r="385">
          <cell r="A385" t="str">
            <v>06-02-020</v>
          </cell>
          <cell r="B385" t="str">
            <v>mt24580</v>
          </cell>
          <cell r="C385" t="str">
            <v>Alambrón 4 mm</v>
          </cell>
          <cell r="D385">
            <v>3.3333333333333335</v>
          </cell>
          <cell r="E385" t="str">
            <v>m</v>
          </cell>
          <cell r="F385">
            <v>342.61759999999998</v>
          </cell>
          <cell r="G385">
            <v>1143</v>
          </cell>
          <cell r="M385" t="str">
            <v>mt</v>
          </cell>
        </row>
        <row r="386">
          <cell r="A386" t="str">
            <v>06-02-020</v>
          </cell>
          <cell r="B386" t="str">
            <v>mt13900</v>
          </cell>
          <cell r="C386" t="str">
            <v>Elementos de consumo y protección</v>
          </cell>
          <cell r="D386">
            <v>15067</v>
          </cell>
          <cell r="E386" t="str">
            <v>%</v>
          </cell>
          <cell r="F386">
            <v>1.2455000000000001E-2</v>
          </cell>
          <cell r="G386">
            <v>188</v>
          </cell>
          <cell r="M386" t="str">
            <v>mt</v>
          </cell>
        </row>
        <row r="387">
          <cell r="A387" t="str">
            <v>06-02-020</v>
          </cell>
          <cell r="B387" t="str">
            <v>hm15100</v>
          </cell>
          <cell r="C387" t="str">
            <v>Herramienta y equipo menor</v>
          </cell>
          <cell r="D387">
            <v>15067</v>
          </cell>
          <cell r="E387" t="str">
            <v>%</v>
          </cell>
          <cell r="F387">
            <v>0.03</v>
          </cell>
          <cell r="G387">
            <v>453</v>
          </cell>
          <cell r="M387" t="str">
            <v>hm</v>
          </cell>
        </row>
        <row r="388">
          <cell r="A388">
            <v>0</v>
          </cell>
          <cell r="C388" t="str">
            <v>DIRECTO:  31,018 / M2</v>
          </cell>
          <cell r="E388">
            <v>0</v>
          </cell>
          <cell r="F388">
            <v>0</v>
          </cell>
          <cell r="G388">
            <v>0</v>
          </cell>
          <cell r="M388">
            <v>0</v>
          </cell>
        </row>
        <row r="389">
          <cell r="A389">
            <v>0</v>
          </cell>
          <cell r="C389">
            <v>0</v>
          </cell>
          <cell r="E389">
            <v>0</v>
          </cell>
          <cell r="F389">
            <v>0</v>
          </cell>
          <cell r="G389">
            <v>0</v>
          </cell>
          <cell r="M389">
            <v>0</v>
          </cell>
        </row>
        <row r="390">
          <cell r="A390" t="str">
            <v>06-02-030</v>
          </cell>
          <cell r="B390" t="str">
            <v>06-02-030</v>
          </cell>
          <cell r="C390" t="str">
            <v>MAMPOSTERIA INTERIOR EN BLOQUE 20x20x40 REVITADO DOS CARAS</v>
          </cell>
          <cell r="D390">
            <v>407</v>
          </cell>
          <cell r="E390" t="str">
            <v>M2</v>
          </cell>
          <cell r="F390">
            <v>0</v>
          </cell>
          <cell r="G390">
            <v>67068</v>
          </cell>
          <cell r="M390" t="e">
            <v>#N/A</v>
          </cell>
        </row>
        <row r="391">
          <cell r="A391" t="str">
            <v>06-02-030</v>
          </cell>
          <cell r="B391" t="str">
            <v>mt22910</v>
          </cell>
          <cell r="C391" t="str">
            <v>Bloque 20 x 20 x 40 int/2per r13</v>
          </cell>
          <cell r="D391">
            <v>11.363636363636365</v>
          </cell>
          <cell r="E391" t="str">
            <v>un</v>
          </cell>
          <cell r="F391">
            <v>3452</v>
          </cell>
          <cell r="G391">
            <v>39228</v>
          </cell>
          <cell r="M391" t="str">
            <v>mt</v>
          </cell>
        </row>
        <row r="392">
          <cell r="A392" t="str">
            <v>06-02-030</v>
          </cell>
          <cell r="B392" t="str">
            <v>au11700</v>
          </cell>
          <cell r="C392" t="str">
            <v>Aux mortero de pega 1:4</v>
          </cell>
          <cell r="D392">
            <v>2.9391999999999963E-2</v>
          </cell>
          <cell r="E392" t="str">
            <v>m3</v>
          </cell>
          <cell r="F392">
            <v>246314</v>
          </cell>
          <cell r="G392">
            <v>7240</v>
          </cell>
          <cell r="M392" t="str">
            <v>au</v>
          </cell>
        </row>
        <row r="393">
          <cell r="A393" t="str">
            <v>06-02-030</v>
          </cell>
          <cell r="B393" t="str">
            <v>au10300</v>
          </cell>
          <cell r="C393" t="str">
            <v>Aux andamios metalicos tijera 2 cuerpos</v>
          </cell>
          <cell r="D393">
            <v>0.02</v>
          </cell>
          <cell r="E393" t="str">
            <v>dia</v>
          </cell>
          <cell r="F393">
            <v>2654</v>
          </cell>
          <cell r="G393">
            <v>54</v>
          </cell>
          <cell r="M393" t="str">
            <v>au</v>
          </cell>
        </row>
        <row r="394">
          <cell r="A394" t="str">
            <v>06-02-030</v>
          </cell>
          <cell r="B394" t="str">
            <v>mo18110</v>
          </cell>
          <cell r="C394" t="str">
            <v>MO pega bloque 20x20x40</v>
          </cell>
          <cell r="D394">
            <v>1</v>
          </cell>
          <cell r="E394" t="str">
            <v>m2</v>
          </cell>
          <cell r="F394">
            <v>16843.84</v>
          </cell>
          <cell r="G394">
            <v>16844</v>
          </cell>
          <cell r="M394" t="str">
            <v>mo</v>
          </cell>
        </row>
        <row r="395">
          <cell r="A395" t="str">
            <v>06-02-030</v>
          </cell>
          <cell r="B395" t="str">
            <v>mo18000</v>
          </cell>
          <cell r="C395" t="str">
            <v>MO transporte interno bloque</v>
          </cell>
          <cell r="D395">
            <v>11.363636363636365</v>
          </cell>
          <cell r="E395" t="str">
            <v>un</v>
          </cell>
          <cell r="F395">
            <v>140</v>
          </cell>
          <cell r="G395">
            <v>1591</v>
          </cell>
          <cell r="M395" t="str">
            <v>mo</v>
          </cell>
        </row>
        <row r="396">
          <cell r="A396" t="str">
            <v>06-02-030</v>
          </cell>
          <cell r="B396" t="str">
            <v>mo17700</v>
          </cell>
          <cell r="C396" t="str">
            <v>MO transporte interno mortero</v>
          </cell>
          <cell r="D396">
            <v>2.9391999999999963E-2</v>
          </cell>
          <cell r="E396" t="str">
            <v>m3</v>
          </cell>
          <cell r="F396">
            <v>6000</v>
          </cell>
          <cell r="G396">
            <v>177</v>
          </cell>
          <cell r="M396" t="str">
            <v>mo</v>
          </cell>
        </row>
        <row r="397">
          <cell r="A397" t="str">
            <v>06-02-030</v>
          </cell>
          <cell r="B397" t="str">
            <v>mt24580</v>
          </cell>
          <cell r="C397" t="str">
            <v>Alambrón 4 mm</v>
          </cell>
          <cell r="D397">
            <v>3.3333333333333335</v>
          </cell>
          <cell r="E397" t="str">
            <v>m</v>
          </cell>
          <cell r="F397">
            <v>342.61759999999998</v>
          </cell>
          <cell r="G397">
            <v>1143</v>
          </cell>
          <cell r="M397" t="str">
            <v>mt</v>
          </cell>
        </row>
        <row r="398">
          <cell r="A398" t="str">
            <v>06-02-030</v>
          </cell>
          <cell r="B398" t="str">
            <v>mt13900</v>
          </cell>
          <cell r="C398" t="str">
            <v>Elementos de consumo y protección</v>
          </cell>
          <cell r="D398">
            <v>18612</v>
          </cell>
          <cell r="E398" t="str">
            <v>%</v>
          </cell>
          <cell r="F398">
            <v>1.2455000000000001E-2</v>
          </cell>
          <cell r="G398">
            <v>232</v>
          </cell>
          <cell r="M398" t="str">
            <v>mt</v>
          </cell>
        </row>
        <row r="399">
          <cell r="A399" t="str">
            <v>06-02-030</v>
          </cell>
          <cell r="B399" t="str">
            <v>hm15100</v>
          </cell>
          <cell r="C399" t="str">
            <v>Herramienta y equipo menor</v>
          </cell>
          <cell r="D399">
            <v>18612</v>
          </cell>
          <cell r="E399" t="str">
            <v>%</v>
          </cell>
          <cell r="F399">
            <v>0.03</v>
          </cell>
          <cell r="G399">
            <v>559</v>
          </cell>
          <cell r="M399" t="str">
            <v>hm</v>
          </cell>
        </row>
        <row r="400">
          <cell r="A400">
            <v>0</v>
          </cell>
          <cell r="C400" t="str">
            <v>DIRECTO:  67,068 / M2</v>
          </cell>
          <cell r="E400">
            <v>0</v>
          </cell>
          <cell r="F400">
            <v>0</v>
          </cell>
          <cell r="G400">
            <v>0</v>
          </cell>
          <cell r="M400">
            <v>0</v>
          </cell>
        </row>
        <row r="401">
          <cell r="A401">
            <v>0</v>
          </cell>
          <cell r="C401">
            <v>0</v>
          </cell>
          <cell r="E401">
            <v>0</v>
          </cell>
          <cell r="F401">
            <v>0</v>
          </cell>
          <cell r="G401">
            <v>0</v>
          </cell>
          <cell r="M401">
            <v>0</v>
          </cell>
        </row>
        <row r="402">
          <cell r="A402" t="str">
            <v>06-03-010</v>
          </cell>
          <cell r="B402" t="str">
            <v>06-03-010</v>
          </cell>
          <cell r="C402" t="str">
            <v>GROUTING PARA MUROS DE E: 0.20 F'C 14.5 MPA</v>
          </cell>
          <cell r="D402">
            <v>568</v>
          </cell>
          <cell r="E402" t="str">
            <v>M</v>
          </cell>
          <cell r="F402">
            <v>0</v>
          </cell>
          <cell r="G402">
            <v>16705</v>
          </cell>
          <cell r="M402" t="e">
            <v>#N/A</v>
          </cell>
        </row>
        <row r="403">
          <cell r="A403" t="str">
            <v>06-03-010</v>
          </cell>
          <cell r="B403" t="str">
            <v>au12400</v>
          </cell>
          <cell r="C403" t="str">
            <v>Aux grouting concreto 3/8 - 120kg/cm2</v>
          </cell>
          <cell r="D403">
            <v>3.4965000000000003E-2</v>
          </cell>
          <cell r="E403" t="str">
            <v>m3</v>
          </cell>
          <cell r="F403">
            <v>249758</v>
          </cell>
          <cell r="G403">
            <v>8733</v>
          </cell>
          <cell r="M403" t="str">
            <v>au</v>
          </cell>
        </row>
        <row r="404">
          <cell r="A404" t="str">
            <v>06-03-010</v>
          </cell>
          <cell r="B404" t="str">
            <v>mo17600</v>
          </cell>
          <cell r="C404" t="str">
            <v>MO transporte interno concreto</v>
          </cell>
          <cell r="D404">
            <v>3.4965000000000003E-2</v>
          </cell>
          <cell r="E404" t="str">
            <v>m3</v>
          </cell>
          <cell r="F404">
            <v>6000</v>
          </cell>
          <cell r="G404">
            <v>210</v>
          </cell>
          <cell r="M404" t="str">
            <v>mo</v>
          </cell>
        </row>
        <row r="405">
          <cell r="A405" t="str">
            <v>06-03-010</v>
          </cell>
          <cell r="B405" t="str">
            <v>mo62010</v>
          </cell>
          <cell r="C405" t="str">
            <v>MO dovelas mamposteria bloque 20x20x40</v>
          </cell>
          <cell r="D405">
            <v>1</v>
          </cell>
          <cell r="E405" t="str">
            <v>m</v>
          </cell>
          <cell r="F405">
            <v>7436</v>
          </cell>
          <cell r="G405">
            <v>7436</v>
          </cell>
          <cell r="M405" t="str">
            <v>mo</v>
          </cell>
        </row>
        <row r="406">
          <cell r="A406" t="str">
            <v>06-03-010</v>
          </cell>
          <cell r="B406" t="str">
            <v>mt13900</v>
          </cell>
          <cell r="C406" t="str">
            <v>Elementos de consumo y protección</v>
          </cell>
          <cell r="D406">
            <v>7646</v>
          </cell>
          <cell r="E406" t="str">
            <v>%</v>
          </cell>
          <cell r="F406">
            <v>1.2455000000000001E-2</v>
          </cell>
          <cell r="G406">
            <v>96</v>
          </cell>
          <cell r="M406" t="str">
            <v>mt</v>
          </cell>
        </row>
        <row r="407">
          <cell r="A407" t="str">
            <v>06-03-010</v>
          </cell>
          <cell r="B407" t="str">
            <v>hm15100</v>
          </cell>
          <cell r="C407" t="str">
            <v>Herramienta y equipo menor</v>
          </cell>
          <cell r="D407">
            <v>7646</v>
          </cell>
          <cell r="E407" t="str">
            <v>%</v>
          </cell>
          <cell r="F407">
            <v>0.03</v>
          </cell>
          <cell r="G407">
            <v>230</v>
          </cell>
          <cell r="M407" t="str">
            <v>hm</v>
          </cell>
        </row>
        <row r="408">
          <cell r="A408">
            <v>0</v>
          </cell>
          <cell r="C408" t="str">
            <v>DIRECTO:  16,705 / M</v>
          </cell>
          <cell r="E408">
            <v>0</v>
          </cell>
          <cell r="F408">
            <v>0</v>
          </cell>
          <cell r="G408">
            <v>0</v>
          </cell>
          <cell r="M408">
            <v>0</v>
          </cell>
        </row>
        <row r="409">
          <cell r="A409">
            <v>0</v>
          </cell>
          <cell r="C409">
            <v>0</v>
          </cell>
          <cell r="E409">
            <v>0</v>
          </cell>
          <cell r="F409">
            <v>0</v>
          </cell>
          <cell r="G409">
            <v>0</v>
          </cell>
          <cell r="M409">
            <v>0</v>
          </cell>
        </row>
        <row r="410">
          <cell r="A410" t="str">
            <v>06-03-020</v>
          </cell>
          <cell r="B410" t="str">
            <v>06-03-020</v>
          </cell>
          <cell r="C410" t="str">
            <v>GROUTING PARA MUROS DE E: 0.15 F'C 14.5 MPA</v>
          </cell>
          <cell r="D410">
            <v>803</v>
          </cell>
          <cell r="E410" t="str">
            <v>M</v>
          </cell>
          <cell r="F410">
            <v>0</v>
          </cell>
          <cell r="G410">
            <v>12471</v>
          </cell>
          <cell r="M410" t="e">
            <v>#N/A</v>
          </cell>
        </row>
        <row r="411">
          <cell r="A411" t="str">
            <v>06-03-020</v>
          </cell>
          <cell r="B411" t="str">
            <v>au12400</v>
          </cell>
          <cell r="C411" t="str">
            <v>Aux grouting concreto 3/8 - 120kg/cm2</v>
          </cell>
          <cell r="D411">
            <v>1.8427500000000003E-2</v>
          </cell>
          <cell r="E411" t="str">
            <v>m3</v>
          </cell>
          <cell r="F411">
            <v>249758</v>
          </cell>
          <cell r="G411">
            <v>4603</v>
          </cell>
          <cell r="M411" t="str">
            <v>au</v>
          </cell>
        </row>
        <row r="412">
          <cell r="A412" t="str">
            <v>06-03-020</v>
          </cell>
          <cell r="B412" t="str">
            <v>mo17600</v>
          </cell>
          <cell r="C412" t="str">
            <v>MO transporte interno concreto</v>
          </cell>
          <cell r="D412">
            <v>1.8427500000000003E-2</v>
          </cell>
          <cell r="E412" t="str">
            <v>m3</v>
          </cell>
          <cell r="F412">
            <v>6000</v>
          </cell>
          <cell r="G412">
            <v>111</v>
          </cell>
          <cell r="M412" t="str">
            <v>mo</v>
          </cell>
        </row>
        <row r="413">
          <cell r="A413" t="str">
            <v>06-03-020</v>
          </cell>
          <cell r="B413" t="str">
            <v>mo62010</v>
          </cell>
          <cell r="C413" t="str">
            <v>MO dovelas mamposteria bloque 20x20x40</v>
          </cell>
          <cell r="D413">
            <v>1</v>
          </cell>
          <cell r="E413" t="str">
            <v>m</v>
          </cell>
          <cell r="F413">
            <v>7436</v>
          </cell>
          <cell r="G413">
            <v>7436</v>
          </cell>
          <cell r="M413" t="str">
            <v>mo</v>
          </cell>
        </row>
        <row r="414">
          <cell r="A414" t="str">
            <v>06-03-020</v>
          </cell>
          <cell r="B414" t="str">
            <v>mt13900</v>
          </cell>
          <cell r="C414" t="str">
            <v>Elementos de consumo y protección</v>
          </cell>
          <cell r="D414">
            <v>7547</v>
          </cell>
          <cell r="E414" t="str">
            <v>%</v>
          </cell>
          <cell r="F414">
            <v>1.2455000000000001E-2</v>
          </cell>
          <cell r="G414">
            <v>94</v>
          </cell>
          <cell r="M414" t="str">
            <v>mt</v>
          </cell>
        </row>
        <row r="415">
          <cell r="A415" t="str">
            <v>06-03-020</v>
          </cell>
          <cell r="B415" t="str">
            <v>hm15100</v>
          </cell>
          <cell r="C415" t="str">
            <v>Herramienta y equipo menor</v>
          </cell>
          <cell r="D415">
            <v>7547</v>
          </cell>
          <cell r="E415" t="str">
            <v>%</v>
          </cell>
          <cell r="F415">
            <v>0.03</v>
          </cell>
          <cell r="G415">
            <v>227</v>
          </cell>
          <cell r="M415" t="str">
            <v>hm</v>
          </cell>
        </row>
        <row r="416">
          <cell r="A416">
            <v>0</v>
          </cell>
          <cell r="C416" t="str">
            <v>DIRECTO:  12,471 / M</v>
          </cell>
          <cell r="E416">
            <v>0</v>
          </cell>
          <cell r="F416">
            <v>0</v>
          </cell>
          <cell r="G416">
            <v>0</v>
          </cell>
          <cell r="M416">
            <v>0</v>
          </cell>
        </row>
        <row r="417">
          <cell r="A417">
            <v>0</v>
          </cell>
          <cell r="C417">
            <v>0</v>
          </cell>
          <cell r="E417">
            <v>0</v>
          </cell>
          <cell r="F417">
            <v>0</v>
          </cell>
          <cell r="G417">
            <v>0</v>
          </cell>
          <cell r="M417">
            <v>0</v>
          </cell>
        </row>
        <row r="418">
          <cell r="A418" t="str">
            <v>06-03-025</v>
          </cell>
          <cell r="B418" t="str">
            <v>06-03-025</v>
          </cell>
          <cell r="C418" t="str">
            <v>GROUTING PARA MUROS DE E: 0.10 F'C 14.5 MPA</v>
          </cell>
          <cell r="D418">
            <v>413</v>
          </cell>
          <cell r="E418" t="str">
            <v>M</v>
          </cell>
          <cell r="F418">
            <v>0</v>
          </cell>
          <cell r="G418">
            <v>9582</v>
          </cell>
          <cell r="M418" t="e">
            <v>#N/A</v>
          </cell>
        </row>
        <row r="419">
          <cell r="A419" t="str">
            <v>06-03-025</v>
          </cell>
          <cell r="B419" t="str">
            <v>au12400</v>
          </cell>
          <cell r="C419" t="str">
            <v>Aux grouting concreto 3/8 - 120kg/cm2</v>
          </cell>
          <cell r="D419">
            <v>7.1400000000000005E-3</v>
          </cell>
          <cell r="E419" t="str">
            <v>m3</v>
          </cell>
          <cell r="F419">
            <v>249758</v>
          </cell>
          <cell r="G419">
            <v>1784</v>
          </cell>
          <cell r="M419" t="str">
            <v>au</v>
          </cell>
        </row>
        <row r="420">
          <cell r="A420" t="str">
            <v>06-03-025</v>
          </cell>
          <cell r="B420" t="str">
            <v>mo17600</v>
          </cell>
          <cell r="C420" t="str">
            <v>MO transporte interno concreto</v>
          </cell>
          <cell r="D420">
            <v>7.1400000000000005E-3</v>
          </cell>
          <cell r="E420" t="str">
            <v>m3</v>
          </cell>
          <cell r="F420">
            <v>6000</v>
          </cell>
          <cell r="G420">
            <v>43</v>
          </cell>
          <cell r="M420" t="str">
            <v>mo</v>
          </cell>
        </row>
        <row r="421">
          <cell r="A421" t="str">
            <v>06-03-025</v>
          </cell>
          <cell r="B421" t="str">
            <v>mo62010</v>
          </cell>
          <cell r="C421" t="str">
            <v>MO dovelas mamposteria bloque 20x20x40</v>
          </cell>
          <cell r="D421">
            <v>1</v>
          </cell>
          <cell r="E421" t="str">
            <v>m</v>
          </cell>
          <cell r="F421">
            <v>7436</v>
          </cell>
          <cell r="G421">
            <v>7436</v>
          </cell>
          <cell r="M421" t="str">
            <v>mo</v>
          </cell>
        </row>
        <row r="422">
          <cell r="A422" t="str">
            <v>06-03-025</v>
          </cell>
          <cell r="B422" t="str">
            <v>mt13900</v>
          </cell>
          <cell r="C422" t="str">
            <v>Elementos de consumo y protección</v>
          </cell>
          <cell r="D422">
            <v>7479</v>
          </cell>
          <cell r="E422" t="str">
            <v>%</v>
          </cell>
          <cell r="F422">
            <v>1.2455000000000001E-2</v>
          </cell>
          <cell r="G422">
            <v>94</v>
          </cell>
          <cell r="M422" t="str">
            <v>mt</v>
          </cell>
        </row>
        <row r="423">
          <cell r="A423" t="str">
            <v>06-03-025</v>
          </cell>
          <cell r="B423" t="str">
            <v>hm15100</v>
          </cell>
          <cell r="C423" t="str">
            <v>Herramienta y equipo menor</v>
          </cell>
          <cell r="D423">
            <v>7479</v>
          </cell>
          <cell r="E423" t="str">
            <v>%</v>
          </cell>
          <cell r="F423">
            <v>0.03</v>
          </cell>
          <cell r="G423">
            <v>225</v>
          </cell>
          <cell r="M423" t="str">
            <v>hm</v>
          </cell>
        </row>
        <row r="424">
          <cell r="A424">
            <v>0</v>
          </cell>
          <cell r="C424" t="str">
            <v>DIRECTO:  9,582 / M</v>
          </cell>
          <cell r="E424">
            <v>0</v>
          </cell>
          <cell r="F424">
            <v>0</v>
          </cell>
          <cell r="G424">
            <v>0</v>
          </cell>
          <cell r="M424">
            <v>0</v>
          </cell>
        </row>
        <row r="425">
          <cell r="A425">
            <v>0</v>
          </cell>
          <cell r="C425">
            <v>0</v>
          </cell>
          <cell r="E425">
            <v>0</v>
          </cell>
          <cell r="F425">
            <v>0</v>
          </cell>
          <cell r="G425">
            <v>0</v>
          </cell>
          <cell r="M425">
            <v>0</v>
          </cell>
        </row>
        <row r="426">
          <cell r="A426" t="str">
            <v>06-03-030</v>
          </cell>
          <cell r="B426" t="str">
            <v>06-03-030</v>
          </cell>
          <cell r="C426" t="str">
            <v>ANCLAJES PARA REFUERZO DOVELAS. PERFORACION LOSA, EPOXICO Y ACERO DE REFUERZO</v>
          </cell>
          <cell r="D426">
            <v>844</v>
          </cell>
          <cell r="E426" t="str">
            <v>UN</v>
          </cell>
          <cell r="F426">
            <v>0</v>
          </cell>
          <cell r="G426">
            <v>9479</v>
          </cell>
          <cell r="M426" t="e">
            <v>#N/A</v>
          </cell>
        </row>
        <row r="427">
          <cell r="A427" t="str">
            <v>06-03-030</v>
          </cell>
          <cell r="B427" t="str">
            <v>sc100100</v>
          </cell>
          <cell r="C427" t="str">
            <v>Anclajes epoxicos - incluye instalacion</v>
          </cell>
          <cell r="D427">
            <v>1</v>
          </cell>
          <cell r="E427" t="str">
            <v>un</v>
          </cell>
          <cell r="F427">
            <v>6500</v>
          </cell>
          <cell r="G427">
            <v>6500</v>
          </cell>
          <cell r="M427" t="str">
            <v>sc</v>
          </cell>
        </row>
        <row r="428">
          <cell r="A428" t="str">
            <v>06-03-030</v>
          </cell>
          <cell r="B428" t="str">
            <v>au12800</v>
          </cell>
          <cell r="C428" t="str">
            <v>Aux acero de refuerzo</v>
          </cell>
          <cell r="D428">
            <v>0.84489999999999998</v>
          </cell>
          <cell r="E428" t="str">
            <v>kg</v>
          </cell>
          <cell r="F428">
            <v>3210</v>
          </cell>
          <cell r="G428">
            <v>2713</v>
          </cell>
          <cell r="M428" t="str">
            <v>au</v>
          </cell>
        </row>
        <row r="429">
          <cell r="A429" t="str">
            <v>06-03-030</v>
          </cell>
          <cell r="B429" t="str">
            <v>au10300</v>
          </cell>
          <cell r="C429" t="str">
            <v>Aux andamios metalicos tijera 2 cuerpos</v>
          </cell>
          <cell r="D429">
            <v>0.1</v>
          </cell>
          <cell r="E429" t="str">
            <v>dia</v>
          </cell>
          <cell r="F429">
            <v>2654</v>
          </cell>
          <cell r="G429">
            <v>266</v>
          </cell>
          <cell r="M429" t="str">
            <v>au</v>
          </cell>
        </row>
        <row r="430">
          <cell r="A430" t="str">
            <v>06-03-030</v>
          </cell>
          <cell r="B430" t="str">
            <v>mt13900</v>
          </cell>
          <cell r="C430" t="str">
            <v>Elementos de consumo y protección</v>
          </cell>
          <cell r="D430">
            <v>0</v>
          </cell>
          <cell r="E430" t="str">
            <v>%</v>
          </cell>
          <cell r="F430">
            <v>1.2455000000000001E-2</v>
          </cell>
          <cell r="G430">
            <v>0</v>
          </cell>
          <cell r="M430" t="str">
            <v>mt</v>
          </cell>
        </row>
        <row r="431">
          <cell r="A431" t="str">
            <v>06-03-030</v>
          </cell>
          <cell r="B431" t="str">
            <v>hm15100</v>
          </cell>
          <cell r="C431" t="str">
            <v>Herramienta y equipo menor</v>
          </cell>
          <cell r="D431">
            <v>0</v>
          </cell>
          <cell r="E431" t="str">
            <v>%</v>
          </cell>
          <cell r="F431">
            <v>0.03</v>
          </cell>
          <cell r="G431">
            <v>0</v>
          </cell>
          <cell r="M431" t="str">
            <v>hm</v>
          </cell>
        </row>
        <row r="432">
          <cell r="A432">
            <v>0</v>
          </cell>
          <cell r="C432" t="str">
            <v>DIRECTO:  9,479 / UN</v>
          </cell>
          <cell r="E432">
            <v>0</v>
          </cell>
          <cell r="F432">
            <v>0</v>
          </cell>
          <cell r="G432">
            <v>0</v>
          </cell>
          <cell r="M432">
            <v>0</v>
          </cell>
        </row>
        <row r="433">
          <cell r="A433">
            <v>0</v>
          </cell>
          <cell r="C433">
            <v>0</v>
          </cell>
          <cell r="E433">
            <v>0</v>
          </cell>
          <cell r="F433">
            <v>0</v>
          </cell>
          <cell r="G433">
            <v>0</v>
          </cell>
          <cell r="M433">
            <v>0</v>
          </cell>
        </row>
        <row r="434">
          <cell r="A434" t="str">
            <v>06-04-010</v>
          </cell>
          <cell r="B434" t="str">
            <v>06-04-010</v>
          </cell>
          <cell r="C434" t="str">
            <v>ACERO DE REFUERZO FY 420 MPA PARA MAMPOSTERIAS</v>
          </cell>
          <cell r="D434">
            <v>999</v>
          </cell>
          <cell r="E434" t="str">
            <v>KG</v>
          </cell>
          <cell r="F434">
            <v>0</v>
          </cell>
          <cell r="G434">
            <v>3210</v>
          </cell>
          <cell r="M434" t="e">
            <v>#N/A</v>
          </cell>
        </row>
        <row r="435">
          <cell r="A435" t="str">
            <v>06-04-010</v>
          </cell>
          <cell r="B435" t="str">
            <v>mt24570</v>
          </cell>
          <cell r="C435" t="str">
            <v>Acero de refuerzo figurado</v>
          </cell>
          <cell r="D435">
            <v>1.03</v>
          </cell>
          <cell r="E435" t="str">
            <v>kg</v>
          </cell>
          <cell r="F435">
            <v>2668</v>
          </cell>
          <cell r="G435">
            <v>2749</v>
          </cell>
          <cell r="M435" t="str">
            <v>mt</v>
          </cell>
        </row>
        <row r="436">
          <cell r="A436" t="str">
            <v>06-04-010</v>
          </cell>
          <cell r="B436" t="str">
            <v>mt44400</v>
          </cell>
          <cell r="C436" t="str">
            <v>Alambre recocido (alambre cal 18)</v>
          </cell>
          <cell r="D436">
            <v>2.5000000000000001E-2</v>
          </cell>
          <cell r="E436" t="str">
            <v>kg</v>
          </cell>
          <cell r="F436">
            <v>4146.2111999999997</v>
          </cell>
          <cell r="G436">
            <v>104</v>
          </cell>
          <cell r="M436" t="str">
            <v>mt</v>
          </cell>
        </row>
        <row r="437">
          <cell r="A437" t="str">
            <v>06-04-010</v>
          </cell>
          <cell r="B437" t="str">
            <v>mo18400</v>
          </cell>
          <cell r="C437" t="str">
            <v>MO colocacion acero refuerzo</v>
          </cell>
          <cell r="D437">
            <v>1</v>
          </cell>
          <cell r="E437" t="str">
            <v>kg</v>
          </cell>
          <cell r="F437">
            <v>270</v>
          </cell>
          <cell r="G437">
            <v>270</v>
          </cell>
          <cell r="M437" t="str">
            <v>mo</v>
          </cell>
        </row>
        <row r="438">
          <cell r="A438" t="str">
            <v>06-04-010</v>
          </cell>
          <cell r="B438" t="str">
            <v>mo63100</v>
          </cell>
          <cell r="C438" t="str">
            <v>MO transporte interno hierro horizontal o vertical</v>
          </cell>
          <cell r="D438">
            <v>1</v>
          </cell>
          <cell r="E438" t="str">
            <v xml:space="preserve"> kg</v>
          </cell>
          <cell r="F438">
            <v>70.56</v>
          </cell>
          <cell r="G438">
            <v>71</v>
          </cell>
          <cell r="M438" t="str">
            <v>mo</v>
          </cell>
        </row>
        <row r="439">
          <cell r="A439" t="str">
            <v>06-04-010</v>
          </cell>
          <cell r="B439" t="str">
            <v>mt13900</v>
          </cell>
          <cell r="C439" t="str">
            <v>Elementos de consumo y protección</v>
          </cell>
          <cell r="D439">
            <v>341</v>
          </cell>
          <cell r="E439" t="str">
            <v>%</v>
          </cell>
          <cell r="F439">
            <v>1.2455000000000001E-2</v>
          </cell>
          <cell r="G439">
            <v>5</v>
          </cell>
          <cell r="M439" t="str">
            <v>mt</v>
          </cell>
        </row>
        <row r="440">
          <cell r="A440" t="str">
            <v>06-04-010</v>
          </cell>
          <cell r="B440" t="str">
            <v>hm15100</v>
          </cell>
          <cell r="C440" t="str">
            <v>Herramienta y equipo menor</v>
          </cell>
          <cell r="D440">
            <v>341</v>
          </cell>
          <cell r="E440" t="str">
            <v>%</v>
          </cell>
          <cell r="F440">
            <v>0.03</v>
          </cell>
          <cell r="G440">
            <v>11</v>
          </cell>
          <cell r="M440" t="str">
            <v>hm</v>
          </cell>
        </row>
        <row r="441">
          <cell r="A441">
            <v>0</v>
          </cell>
          <cell r="C441" t="str">
            <v>DIRECTO:  3,210 / KG</v>
          </cell>
          <cell r="D441">
            <v>0</v>
          </cell>
          <cell r="E441">
            <v>0</v>
          </cell>
          <cell r="F441">
            <v>0</v>
          </cell>
          <cell r="G441">
            <v>0</v>
          </cell>
          <cell r="M441">
            <v>0</v>
          </cell>
        </row>
        <row r="442">
          <cell r="A442">
            <v>0</v>
          </cell>
          <cell r="B442" t="str">
            <v>08</v>
          </cell>
          <cell r="C442" t="str">
            <v>CUBIERTAS Y CIELOS</v>
          </cell>
          <cell r="E442">
            <v>0</v>
          </cell>
          <cell r="F442">
            <v>0</v>
          </cell>
          <cell r="G442">
            <v>0</v>
          </cell>
          <cell r="M442" t="e">
            <v>#N/A</v>
          </cell>
        </row>
        <row r="443">
          <cell r="A443" t="str">
            <v>08-01-010</v>
          </cell>
          <cell r="B443" t="str">
            <v>08-01-010</v>
          </cell>
          <cell r="C443" t="str">
            <v>CUBIERTA EN TEJA METALICA TIPO SANDUCHE 333 C E: 50 MM. DE HUNTER DOUGLAS O EQUIVALENTE. LAMINAS INTERIOR Y EXTERIOR EN ALUZINC CAL 24 + RELLENO EN FIBRA DE VIDRIO. INCLUYE REMATES LATERALES Y CABALLETES</v>
          </cell>
          <cell r="D443">
            <v>609</v>
          </cell>
          <cell r="E443" t="str">
            <v>M2</v>
          </cell>
          <cell r="F443">
            <v>0</v>
          </cell>
          <cell r="G443">
            <v>148602</v>
          </cell>
          <cell r="M443" t="e">
            <v>#N/A</v>
          </cell>
        </row>
        <row r="444">
          <cell r="A444" t="str">
            <v>08-01-010</v>
          </cell>
          <cell r="B444" t="str">
            <v>sc539100</v>
          </cell>
          <cell r="C444" t="str">
            <v>Cubierta plana teja grafada tipo sandwich hunter douglas ref 333C, lámina aluzinc c24 cara superior y c26 cara inferior, pintura poliester horneada ambas caras, aislamiento en fibra de vidrio, tornillo autoperforante y clip fijación.</v>
          </cell>
          <cell r="D444">
            <v>1</v>
          </cell>
          <cell r="E444" t="str">
            <v>m2</v>
          </cell>
          <cell r="F444">
            <v>146160</v>
          </cell>
          <cell r="G444">
            <v>146160</v>
          </cell>
          <cell r="M444" t="str">
            <v>sc</v>
          </cell>
        </row>
        <row r="445">
          <cell r="A445" t="str">
            <v>08-01-010</v>
          </cell>
          <cell r="B445" t="str">
            <v>au10300</v>
          </cell>
          <cell r="C445" t="str">
            <v>Aux andamios metalicos tijera 2 cuerpos</v>
          </cell>
          <cell r="D445">
            <v>0.92</v>
          </cell>
          <cell r="E445" t="str">
            <v>dia</v>
          </cell>
          <cell r="F445">
            <v>2654</v>
          </cell>
          <cell r="G445">
            <v>2442</v>
          </cell>
          <cell r="M445" t="str">
            <v>au</v>
          </cell>
        </row>
        <row r="446">
          <cell r="A446" t="str">
            <v>08-01-010</v>
          </cell>
          <cell r="B446" t="str">
            <v>mt13900</v>
          </cell>
          <cell r="C446" t="str">
            <v>Elementos de consumo y protección</v>
          </cell>
          <cell r="D446">
            <v>0</v>
          </cell>
          <cell r="E446" t="str">
            <v>%</v>
          </cell>
          <cell r="F446">
            <v>1.2455000000000001E-2</v>
          </cell>
          <cell r="G446">
            <v>0</v>
          </cell>
          <cell r="M446" t="str">
            <v>mt</v>
          </cell>
        </row>
        <row r="447">
          <cell r="A447" t="str">
            <v>08-01-010</v>
          </cell>
          <cell r="B447" t="str">
            <v>hm15100</v>
          </cell>
          <cell r="C447" t="str">
            <v>Herramienta y equipo menor</v>
          </cell>
          <cell r="D447">
            <v>0</v>
          </cell>
          <cell r="E447" t="str">
            <v>%</v>
          </cell>
          <cell r="F447">
            <v>0.03</v>
          </cell>
          <cell r="G447">
            <v>0</v>
          </cell>
          <cell r="M447" t="str">
            <v>hm</v>
          </cell>
        </row>
        <row r="448">
          <cell r="A448">
            <v>0</v>
          </cell>
          <cell r="C448" t="str">
            <v>DIRECTO:  148,602 / M2</v>
          </cell>
          <cell r="E448">
            <v>0</v>
          </cell>
          <cell r="F448">
            <v>0</v>
          </cell>
          <cell r="G448">
            <v>0</v>
          </cell>
          <cell r="M448">
            <v>0</v>
          </cell>
        </row>
        <row r="449">
          <cell r="A449">
            <v>0</v>
          </cell>
          <cell r="C449">
            <v>0</v>
          </cell>
          <cell r="E449">
            <v>0</v>
          </cell>
          <cell r="F449">
            <v>0</v>
          </cell>
          <cell r="G449">
            <v>0</v>
          </cell>
          <cell r="M449">
            <v>0</v>
          </cell>
        </row>
        <row r="450">
          <cell r="A450" t="str">
            <v>08-01-020</v>
          </cell>
          <cell r="B450" t="str">
            <v>08-01-020</v>
          </cell>
          <cell r="C450" t="str">
            <v>TRAGALUCES EN TEJA DE POLICARBONATO</v>
          </cell>
          <cell r="D450">
            <v>14</v>
          </cell>
          <cell r="E450" t="str">
            <v>M2</v>
          </cell>
          <cell r="F450">
            <v>0</v>
          </cell>
          <cell r="G450">
            <v>80949</v>
          </cell>
          <cell r="M450" t="e">
            <v>#N/A</v>
          </cell>
        </row>
        <row r="451">
          <cell r="A451" t="str">
            <v>08-01-020</v>
          </cell>
          <cell r="B451" t="str">
            <v>mt80000</v>
          </cell>
          <cell r="C451" t="str">
            <v>Teja policarbonato 0.92x1.22</v>
          </cell>
          <cell r="D451">
            <v>1.4400921658986174</v>
          </cell>
          <cell r="E451" t="str">
            <v>un</v>
          </cell>
          <cell r="F451">
            <v>41644</v>
          </cell>
          <cell r="G451">
            <v>59972</v>
          </cell>
          <cell r="M451" t="str">
            <v>mt</v>
          </cell>
        </row>
        <row r="452">
          <cell r="A452" t="str">
            <v>08-01-020</v>
          </cell>
          <cell r="B452" t="str">
            <v>au10300</v>
          </cell>
          <cell r="C452" t="str">
            <v>Aux andamios metalicos tijera 2 cuerpos</v>
          </cell>
          <cell r="D452">
            <v>0.92</v>
          </cell>
          <cell r="E452" t="str">
            <v>dia</v>
          </cell>
          <cell r="F452">
            <v>2654</v>
          </cell>
          <cell r="G452">
            <v>2442</v>
          </cell>
          <cell r="M452" t="str">
            <v>au</v>
          </cell>
        </row>
        <row r="453">
          <cell r="A453" t="str">
            <v>08-01-020</v>
          </cell>
          <cell r="B453" t="str">
            <v>au10100</v>
          </cell>
          <cell r="C453" t="str">
            <v>Aux MO oficial obra negra</v>
          </cell>
          <cell r="D453">
            <v>1</v>
          </cell>
          <cell r="E453" t="str">
            <v>hr</v>
          </cell>
          <cell r="F453">
            <v>7619</v>
          </cell>
          <cell r="G453">
            <v>7619</v>
          </cell>
          <cell r="M453" t="str">
            <v>mo</v>
          </cell>
        </row>
        <row r="454">
          <cell r="A454" t="str">
            <v>08-01-020</v>
          </cell>
          <cell r="B454" t="str">
            <v>au10000</v>
          </cell>
          <cell r="C454" t="str">
            <v>Aux MO ayudante</v>
          </cell>
          <cell r="D454">
            <v>2</v>
          </cell>
          <cell r="E454" t="str">
            <v>hr</v>
          </cell>
          <cell r="F454">
            <v>5080</v>
          </cell>
          <cell r="G454">
            <v>10160</v>
          </cell>
          <cell r="M454" t="str">
            <v>mo</v>
          </cell>
        </row>
        <row r="455">
          <cell r="A455" t="str">
            <v>08-01-020</v>
          </cell>
          <cell r="B455" t="str">
            <v>mt13900</v>
          </cell>
          <cell r="C455" t="str">
            <v>Elementos de consumo y protección</v>
          </cell>
          <cell r="D455">
            <v>17779</v>
          </cell>
          <cell r="E455" t="str">
            <v>%</v>
          </cell>
          <cell r="F455">
            <v>1.2455000000000001E-2</v>
          </cell>
          <cell r="G455">
            <v>222</v>
          </cell>
          <cell r="M455" t="str">
            <v>mt</v>
          </cell>
        </row>
        <row r="456">
          <cell r="A456" t="str">
            <v>08-01-020</v>
          </cell>
          <cell r="B456" t="str">
            <v>hm15100</v>
          </cell>
          <cell r="C456" t="str">
            <v>Herramienta y equipo menor</v>
          </cell>
          <cell r="D456">
            <v>17779</v>
          </cell>
          <cell r="E456" t="str">
            <v>%</v>
          </cell>
          <cell r="F456">
            <v>0.03</v>
          </cell>
          <cell r="G456">
            <v>534</v>
          </cell>
          <cell r="M456" t="str">
            <v>hm</v>
          </cell>
        </row>
        <row r="457">
          <cell r="A457">
            <v>0</v>
          </cell>
          <cell r="C457" t="str">
            <v>DIRECTO:  80,949 / M2</v>
          </cell>
          <cell r="E457">
            <v>0</v>
          </cell>
          <cell r="F457">
            <v>0</v>
          </cell>
          <cell r="G457">
            <v>0</v>
          </cell>
          <cell r="M457">
            <v>0</v>
          </cell>
        </row>
        <row r="458">
          <cell r="A458">
            <v>0</v>
          </cell>
          <cell r="C458">
            <v>0</v>
          </cell>
          <cell r="E458">
            <v>0</v>
          </cell>
          <cell r="F458">
            <v>0</v>
          </cell>
          <cell r="G458">
            <v>0</v>
          </cell>
          <cell r="M458">
            <v>0</v>
          </cell>
        </row>
        <row r="459">
          <cell r="A459" t="str">
            <v>08-02-010</v>
          </cell>
          <cell r="B459" t="str">
            <v>08-02-010</v>
          </cell>
          <cell r="C459" t="str">
            <v>CIELO FALSO EN TABLAYESO A JUNTA PERDIDA. INCLUYE CUELGAS</v>
          </cell>
          <cell r="D459">
            <v>978</v>
          </cell>
          <cell r="E459" t="str">
            <v>M2</v>
          </cell>
          <cell r="F459">
            <v>0</v>
          </cell>
          <cell r="G459">
            <v>49974</v>
          </cell>
          <cell r="M459" t="e">
            <v>#N/A</v>
          </cell>
        </row>
        <row r="460">
          <cell r="A460" t="str">
            <v>08-02-010</v>
          </cell>
          <cell r="B460" t="str">
            <v>au57310</v>
          </cell>
          <cell r="C460" t="str">
            <v>Aux materiales para cielo en tablayeso</v>
          </cell>
          <cell r="D460">
            <v>1</v>
          </cell>
          <cell r="E460" t="str">
            <v>m2</v>
          </cell>
          <cell r="F460">
            <v>24741</v>
          </cell>
          <cell r="G460">
            <v>24741</v>
          </cell>
          <cell r="M460" t="str">
            <v>au</v>
          </cell>
        </row>
        <row r="461">
          <cell r="A461" t="str">
            <v>08-02-010</v>
          </cell>
          <cell r="B461" t="str">
            <v>au10200</v>
          </cell>
          <cell r="C461" t="str">
            <v>Aux MO oficial obra blanca</v>
          </cell>
          <cell r="D461">
            <v>0.92</v>
          </cell>
          <cell r="E461" t="str">
            <v>hr</v>
          </cell>
          <cell r="F461">
            <v>10159</v>
          </cell>
          <cell r="G461">
            <v>9347</v>
          </cell>
          <cell r="M461" t="str">
            <v>mo</v>
          </cell>
        </row>
        <row r="462">
          <cell r="A462" t="str">
            <v>08-02-010</v>
          </cell>
          <cell r="B462" t="str">
            <v>au10000</v>
          </cell>
          <cell r="C462" t="str">
            <v>Aux MO ayudante</v>
          </cell>
          <cell r="D462">
            <v>0.92</v>
          </cell>
          <cell r="E462" t="str">
            <v>hr</v>
          </cell>
          <cell r="F462">
            <v>5080</v>
          </cell>
          <cell r="G462">
            <v>4674</v>
          </cell>
          <cell r="M462" t="str">
            <v>mo</v>
          </cell>
        </row>
        <row r="463">
          <cell r="A463" t="str">
            <v>08-02-010</v>
          </cell>
          <cell r="B463" t="str">
            <v>au10300</v>
          </cell>
          <cell r="C463" t="str">
            <v>Aux andamios metalicos tijera 2 cuerpos</v>
          </cell>
          <cell r="D463">
            <v>4</v>
          </cell>
          <cell r="E463" t="str">
            <v>dia</v>
          </cell>
          <cell r="F463">
            <v>2654</v>
          </cell>
          <cell r="G463">
            <v>10616</v>
          </cell>
          <cell r="M463" t="str">
            <v>au</v>
          </cell>
        </row>
        <row r="464">
          <cell r="A464" t="str">
            <v>08-02-010</v>
          </cell>
          <cell r="B464" t="str">
            <v>mt13900</v>
          </cell>
          <cell r="C464" t="str">
            <v>Elementos de consumo y protección</v>
          </cell>
          <cell r="D464">
            <v>14021</v>
          </cell>
          <cell r="E464" t="str">
            <v>%</v>
          </cell>
          <cell r="F464">
            <v>1.2455000000000001E-2</v>
          </cell>
          <cell r="G464">
            <v>175</v>
          </cell>
          <cell r="M464" t="str">
            <v>mt</v>
          </cell>
        </row>
        <row r="465">
          <cell r="A465" t="str">
            <v>08-02-010</v>
          </cell>
          <cell r="B465" t="str">
            <v>hm15100</v>
          </cell>
          <cell r="C465" t="str">
            <v>Herramienta y equipo menor</v>
          </cell>
          <cell r="D465">
            <v>14021</v>
          </cell>
          <cell r="E465" t="str">
            <v>%</v>
          </cell>
          <cell r="F465">
            <v>0.03</v>
          </cell>
          <cell r="G465">
            <v>421</v>
          </cell>
          <cell r="M465" t="str">
            <v>hm</v>
          </cell>
        </row>
        <row r="466">
          <cell r="A466">
            <v>0</v>
          </cell>
          <cell r="C466" t="str">
            <v>DIRECTO:  49,974 / M2</v>
          </cell>
          <cell r="E466">
            <v>0</v>
          </cell>
          <cell r="F466">
            <v>0</v>
          </cell>
          <cell r="G466">
            <v>0</v>
          </cell>
          <cell r="M466">
            <v>0</v>
          </cell>
        </row>
        <row r="467">
          <cell r="A467">
            <v>0</v>
          </cell>
          <cell r="C467">
            <v>0</v>
          </cell>
          <cell r="E467">
            <v>0</v>
          </cell>
          <cell r="F467">
            <v>0</v>
          </cell>
          <cell r="G467">
            <v>0</v>
          </cell>
          <cell r="M467">
            <v>0</v>
          </cell>
        </row>
        <row r="468">
          <cell r="A468" t="str">
            <v>08-03-010</v>
          </cell>
          <cell r="B468" t="str">
            <v>08-03-010</v>
          </cell>
          <cell r="C468" t="str">
            <v>CANOA METALICA EN LAMINA GALVANIZADA CAL 22. DESARROLLO 2.20 M. INCLUYE ANTICORROSIVO + PINTURA DE ACABADO</v>
          </cell>
          <cell r="D468">
            <v>75</v>
          </cell>
          <cell r="E468" t="str">
            <v>M</v>
          </cell>
          <cell r="F468">
            <v>0</v>
          </cell>
          <cell r="G468">
            <v>153119</v>
          </cell>
          <cell r="M468" t="e">
            <v>#N/A</v>
          </cell>
        </row>
        <row r="469">
          <cell r="A469" t="str">
            <v>08-03-010</v>
          </cell>
          <cell r="B469" t="str">
            <v>mt124100</v>
          </cell>
          <cell r="C469" t="str">
            <v>Lamina coldrolled cal 22 (1.00x2.20m)</v>
          </cell>
          <cell r="D469">
            <v>2.4200000000000004</v>
          </cell>
          <cell r="E469" t="str">
            <v>un</v>
          </cell>
          <cell r="F469">
            <v>28290</v>
          </cell>
          <cell r="G469">
            <v>68462</v>
          </cell>
          <cell r="M469" t="str">
            <v>mt</v>
          </cell>
        </row>
        <row r="470">
          <cell r="A470" t="str">
            <v>08-03-010</v>
          </cell>
          <cell r="B470" t="str">
            <v>sc124200</v>
          </cell>
          <cell r="C470" t="str">
            <v>Suministro y aplicación pintura epoixipol</v>
          </cell>
          <cell r="D470">
            <v>2.2000000000000002</v>
          </cell>
          <cell r="E470" t="str">
            <v>m2</v>
          </cell>
          <cell r="F470">
            <v>20000</v>
          </cell>
          <cell r="G470">
            <v>44000</v>
          </cell>
          <cell r="M470" t="str">
            <v>mo</v>
          </cell>
        </row>
        <row r="471">
          <cell r="A471" t="str">
            <v>08-03-010</v>
          </cell>
          <cell r="B471" t="str">
            <v>mt124300</v>
          </cell>
          <cell r="C471" t="str">
            <v>Soportes para canal/flanche</v>
          </cell>
          <cell r="D471">
            <v>2</v>
          </cell>
          <cell r="E471" t="str">
            <v>un</v>
          </cell>
          <cell r="F471">
            <v>5700</v>
          </cell>
          <cell r="G471">
            <v>11400</v>
          </cell>
          <cell r="M471" t="str">
            <v>mt</v>
          </cell>
        </row>
        <row r="472">
          <cell r="A472" t="str">
            <v>08-03-010</v>
          </cell>
          <cell r="B472" t="str">
            <v>mo124400</v>
          </cell>
          <cell r="C472" t="str">
            <v>MO instalacion flanche/canoa</v>
          </cell>
          <cell r="D472">
            <v>1</v>
          </cell>
          <cell r="E472" t="str">
            <v>m</v>
          </cell>
          <cell r="F472">
            <v>15000</v>
          </cell>
          <cell r="G472">
            <v>15000</v>
          </cell>
          <cell r="M472" t="str">
            <v>mo</v>
          </cell>
        </row>
        <row r="473">
          <cell r="A473" t="str">
            <v>08-03-010</v>
          </cell>
          <cell r="B473" t="str">
            <v>mo124500</v>
          </cell>
          <cell r="C473" t="str">
            <v>MO doblado lamina</v>
          </cell>
          <cell r="D473">
            <v>1</v>
          </cell>
          <cell r="E473" t="str">
            <v>m</v>
          </cell>
          <cell r="F473">
            <v>10000</v>
          </cell>
          <cell r="G473">
            <v>10000</v>
          </cell>
          <cell r="M473" t="str">
            <v>mo</v>
          </cell>
        </row>
        <row r="474">
          <cell r="A474" t="str">
            <v>08-03-010</v>
          </cell>
          <cell r="B474" t="str">
            <v>au10300</v>
          </cell>
          <cell r="C474" t="str">
            <v>Aux andamios metalicos tijera 2 cuerpos</v>
          </cell>
          <cell r="D474">
            <v>0.5</v>
          </cell>
          <cell r="E474" t="str">
            <v>dia</v>
          </cell>
          <cell r="F474">
            <v>2654</v>
          </cell>
          <cell r="G474">
            <v>1327</v>
          </cell>
          <cell r="M474" t="str">
            <v>au</v>
          </cell>
        </row>
        <row r="475">
          <cell r="A475" t="str">
            <v>08-03-010</v>
          </cell>
          <cell r="B475" t="str">
            <v>mt13900</v>
          </cell>
          <cell r="C475" t="str">
            <v>Elementos de consumo y protección</v>
          </cell>
          <cell r="D475">
            <v>69000</v>
          </cell>
          <cell r="E475" t="str">
            <v>%</v>
          </cell>
          <cell r="F475">
            <v>1.2455000000000001E-2</v>
          </cell>
          <cell r="G475">
            <v>860</v>
          </cell>
          <cell r="M475" t="str">
            <v>mt</v>
          </cell>
        </row>
        <row r="476">
          <cell r="A476" t="str">
            <v>08-03-010</v>
          </cell>
          <cell r="B476" t="str">
            <v>hm15100</v>
          </cell>
          <cell r="C476" t="str">
            <v>Herramienta y equipo menor</v>
          </cell>
          <cell r="D476">
            <v>69000</v>
          </cell>
          <cell r="E476" t="str">
            <v>%</v>
          </cell>
          <cell r="F476">
            <v>0.03</v>
          </cell>
          <cell r="G476">
            <v>2070</v>
          </cell>
          <cell r="M476" t="str">
            <v>hm</v>
          </cell>
        </row>
        <row r="477">
          <cell r="A477">
            <v>0</v>
          </cell>
          <cell r="C477" t="str">
            <v>DIRECTO:  153,119 / M</v>
          </cell>
          <cell r="E477">
            <v>0</v>
          </cell>
          <cell r="F477">
            <v>0</v>
          </cell>
          <cell r="G477">
            <v>0</v>
          </cell>
          <cell r="M477">
            <v>0</v>
          </cell>
        </row>
        <row r="478">
          <cell r="A478">
            <v>0</v>
          </cell>
          <cell r="C478">
            <v>0</v>
          </cell>
          <cell r="E478">
            <v>0</v>
          </cell>
          <cell r="F478">
            <v>0</v>
          </cell>
          <cell r="G478">
            <v>0</v>
          </cell>
          <cell r="M478">
            <v>0</v>
          </cell>
        </row>
        <row r="479">
          <cell r="A479" t="str">
            <v>08-03-020</v>
          </cell>
          <cell r="B479" t="str">
            <v>08-03-020</v>
          </cell>
          <cell r="C479" t="str">
            <v>CANOA / RUANA METALICA EN LAMINA GALVANIZADA CAL 22. DESARROLLO 1.20 M. INCLUYE ANTICORROSIVO + PINTURA DE ACABADO</v>
          </cell>
          <cell r="D479">
            <v>44</v>
          </cell>
          <cell r="E479" t="str">
            <v>M</v>
          </cell>
          <cell r="F479">
            <v>0</v>
          </cell>
          <cell r="G479">
            <v>101151</v>
          </cell>
          <cell r="M479" t="e">
            <v>#N/A</v>
          </cell>
        </row>
        <row r="480">
          <cell r="A480" t="str">
            <v>08-03-020</v>
          </cell>
          <cell r="B480" t="str">
            <v>mt124100</v>
          </cell>
          <cell r="C480" t="str">
            <v>Lamina coldrolled cal 22 (1.00x2.20m)</v>
          </cell>
          <cell r="D480">
            <v>1.32</v>
          </cell>
          <cell r="E480" t="str">
            <v>un</v>
          </cell>
          <cell r="F480">
            <v>28290</v>
          </cell>
          <cell r="G480">
            <v>37343</v>
          </cell>
          <cell r="M480" t="str">
            <v>mt</v>
          </cell>
        </row>
        <row r="481">
          <cell r="A481" t="str">
            <v>08-03-020</v>
          </cell>
          <cell r="B481" t="str">
            <v>sc124200</v>
          </cell>
          <cell r="C481" t="str">
            <v>Suministro y aplicación pintura epoixipol</v>
          </cell>
          <cell r="D481">
            <v>1.2</v>
          </cell>
          <cell r="E481" t="str">
            <v>m2</v>
          </cell>
          <cell r="F481">
            <v>20000</v>
          </cell>
          <cell r="G481">
            <v>24000</v>
          </cell>
          <cell r="M481" t="str">
            <v>mo</v>
          </cell>
        </row>
        <row r="482">
          <cell r="A482" t="str">
            <v>08-03-020</v>
          </cell>
          <cell r="B482" t="str">
            <v>mt124300</v>
          </cell>
          <cell r="C482" t="str">
            <v>Soportes para canal/flanche</v>
          </cell>
          <cell r="D482">
            <v>2</v>
          </cell>
          <cell r="E482" t="str">
            <v>un</v>
          </cell>
          <cell r="F482">
            <v>5700</v>
          </cell>
          <cell r="G482">
            <v>11400</v>
          </cell>
          <cell r="M482" t="str">
            <v>mt</v>
          </cell>
        </row>
        <row r="483">
          <cell r="A483" t="str">
            <v>08-03-020</v>
          </cell>
          <cell r="B483" t="str">
            <v>mo124400</v>
          </cell>
          <cell r="C483" t="str">
            <v>MO instalacion flanche/canoa</v>
          </cell>
          <cell r="D483">
            <v>1</v>
          </cell>
          <cell r="E483" t="str">
            <v>m</v>
          </cell>
          <cell r="F483">
            <v>15000</v>
          </cell>
          <cell r="G483">
            <v>15000</v>
          </cell>
          <cell r="M483" t="str">
            <v>mo</v>
          </cell>
        </row>
        <row r="484">
          <cell r="A484" t="str">
            <v>08-03-020</v>
          </cell>
          <cell r="B484" t="str">
            <v>mo124500</v>
          </cell>
          <cell r="C484" t="str">
            <v>MO doblado lamina</v>
          </cell>
          <cell r="D484">
            <v>1</v>
          </cell>
          <cell r="E484" t="str">
            <v>m</v>
          </cell>
          <cell r="F484">
            <v>10000</v>
          </cell>
          <cell r="G484">
            <v>10000</v>
          </cell>
          <cell r="M484" t="str">
            <v>mo</v>
          </cell>
        </row>
        <row r="485">
          <cell r="A485" t="str">
            <v>08-03-020</v>
          </cell>
          <cell r="B485" t="str">
            <v>au10300</v>
          </cell>
          <cell r="C485" t="str">
            <v>Aux andamios metalicos tijera 2 cuerpos</v>
          </cell>
          <cell r="D485">
            <v>0.5</v>
          </cell>
          <cell r="E485" t="str">
            <v>dia</v>
          </cell>
          <cell r="F485">
            <v>2654</v>
          </cell>
          <cell r="G485">
            <v>1327</v>
          </cell>
          <cell r="M485" t="str">
            <v>au</v>
          </cell>
        </row>
        <row r="486">
          <cell r="A486" t="str">
            <v>08-03-020</v>
          </cell>
          <cell r="B486" t="str">
            <v>mt13900</v>
          </cell>
          <cell r="C486" t="str">
            <v>Elementos de consumo y protección</v>
          </cell>
          <cell r="D486">
            <v>49000</v>
          </cell>
          <cell r="E486" t="str">
            <v>%</v>
          </cell>
          <cell r="F486">
            <v>1.2455000000000001E-2</v>
          </cell>
          <cell r="G486">
            <v>611</v>
          </cell>
          <cell r="M486" t="str">
            <v>mt</v>
          </cell>
        </row>
        <row r="487">
          <cell r="A487" t="str">
            <v>08-03-020</v>
          </cell>
          <cell r="B487" t="str">
            <v>hm15100</v>
          </cell>
          <cell r="C487" t="str">
            <v>Herramienta y equipo menor</v>
          </cell>
          <cell r="D487">
            <v>49000</v>
          </cell>
          <cell r="E487" t="str">
            <v>%</v>
          </cell>
          <cell r="F487">
            <v>0.03</v>
          </cell>
          <cell r="G487">
            <v>1470</v>
          </cell>
          <cell r="M487" t="str">
            <v>hm</v>
          </cell>
        </row>
        <row r="488">
          <cell r="A488">
            <v>0</v>
          </cell>
          <cell r="C488" t="str">
            <v>DIRECTO:  101,151 / M</v>
          </cell>
          <cell r="E488">
            <v>0</v>
          </cell>
          <cell r="F488">
            <v>0</v>
          </cell>
          <cell r="G488">
            <v>0</v>
          </cell>
          <cell r="M488">
            <v>0</v>
          </cell>
        </row>
        <row r="489">
          <cell r="A489">
            <v>0</v>
          </cell>
          <cell r="C489">
            <v>0</v>
          </cell>
          <cell r="E489">
            <v>0</v>
          </cell>
          <cell r="F489">
            <v>0</v>
          </cell>
          <cell r="G489">
            <v>0</v>
          </cell>
          <cell r="M489">
            <v>0</v>
          </cell>
        </row>
        <row r="490">
          <cell r="A490" t="str">
            <v>08-03-030</v>
          </cell>
          <cell r="B490" t="str">
            <v>08-03-030</v>
          </cell>
          <cell r="C490" t="str">
            <v>DOBLE TRAGANTE Ø 4" EN LAMINA GALVANIZADA CAL 22.</v>
          </cell>
          <cell r="D490">
            <v>13</v>
          </cell>
          <cell r="E490" t="str">
            <v>UN</v>
          </cell>
          <cell r="F490">
            <v>0</v>
          </cell>
          <cell r="G490">
            <v>95467</v>
          </cell>
          <cell r="M490" t="e">
            <v>#N/A</v>
          </cell>
        </row>
        <row r="491">
          <cell r="A491" t="str">
            <v>08-03-030</v>
          </cell>
          <cell r="B491" t="str">
            <v>mt124100</v>
          </cell>
          <cell r="C491" t="str">
            <v>Lamina coldrolled cal 22 (1.00x2.20m)</v>
          </cell>
          <cell r="D491">
            <v>1.54</v>
          </cell>
          <cell r="E491" t="str">
            <v>un</v>
          </cell>
          <cell r="F491">
            <v>28290</v>
          </cell>
          <cell r="G491">
            <v>43567</v>
          </cell>
          <cell r="M491" t="str">
            <v>mt</v>
          </cell>
        </row>
        <row r="492">
          <cell r="A492" t="str">
            <v>08-03-030</v>
          </cell>
          <cell r="B492" t="str">
            <v>sc124200</v>
          </cell>
          <cell r="C492" t="str">
            <v>Suministro y aplicación pintura epoixipol</v>
          </cell>
          <cell r="D492">
            <v>0.8</v>
          </cell>
          <cell r="E492" t="str">
            <v>m2</v>
          </cell>
          <cell r="F492">
            <v>20000</v>
          </cell>
          <cell r="G492">
            <v>16000</v>
          </cell>
          <cell r="M492" t="str">
            <v>mo</v>
          </cell>
        </row>
        <row r="493">
          <cell r="A493" t="str">
            <v>08-03-030</v>
          </cell>
          <cell r="B493" t="str">
            <v>au10100</v>
          </cell>
          <cell r="C493" t="str">
            <v>Aux MO oficial obra negra</v>
          </cell>
          <cell r="D493">
            <v>2.5</v>
          </cell>
          <cell r="E493" t="str">
            <v>hr</v>
          </cell>
          <cell r="F493">
            <v>7619</v>
          </cell>
          <cell r="G493">
            <v>19048</v>
          </cell>
          <cell r="M493" t="str">
            <v>mo</v>
          </cell>
        </row>
        <row r="494">
          <cell r="A494" t="str">
            <v>08-03-030</v>
          </cell>
          <cell r="B494" t="str">
            <v>au10000</v>
          </cell>
          <cell r="C494" t="str">
            <v>Aux MO ayudante</v>
          </cell>
          <cell r="D494">
            <v>2.5</v>
          </cell>
          <cell r="E494" t="str">
            <v>hr</v>
          </cell>
          <cell r="F494">
            <v>5080</v>
          </cell>
          <cell r="G494">
            <v>12700</v>
          </cell>
          <cell r="M494" t="str">
            <v>mo</v>
          </cell>
        </row>
        <row r="495">
          <cell r="A495" t="str">
            <v>08-03-030</v>
          </cell>
          <cell r="B495" t="str">
            <v>au10300</v>
          </cell>
          <cell r="C495" t="str">
            <v>Aux andamios metalicos tijera 2 cuerpos</v>
          </cell>
          <cell r="D495">
            <v>0.8</v>
          </cell>
          <cell r="E495" t="str">
            <v>dia</v>
          </cell>
          <cell r="F495">
            <v>2654</v>
          </cell>
          <cell r="G495">
            <v>2124</v>
          </cell>
          <cell r="M495" t="str">
            <v>au</v>
          </cell>
        </row>
        <row r="496">
          <cell r="A496" t="str">
            <v>08-03-030</v>
          </cell>
          <cell r="B496" t="str">
            <v>mt13900</v>
          </cell>
          <cell r="C496" t="str">
            <v>Elementos de consumo y protección</v>
          </cell>
          <cell r="D496">
            <v>47748</v>
          </cell>
          <cell r="E496" t="str">
            <v>%</v>
          </cell>
          <cell r="F496">
            <v>1.2455000000000001E-2</v>
          </cell>
          <cell r="G496">
            <v>595</v>
          </cell>
          <cell r="M496" t="str">
            <v>mt</v>
          </cell>
        </row>
        <row r="497">
          <cell r="A497" t="str">
            <v>08-03-030</v>
          </cell>
          <cell r="B497" t="str">
            <v>hm15100</v>
          </cell>
          <cell r="C497" t="str">
            <v>Herramienta y equipo menor</v>
          </cell>
          <cell r="D497">
            <v>47748</v>
          </cell>
          <cell r="E497" t="str">
            <v>%</v>
          </cell>
          <cell r="F497">
            <v>0.03</v>
          </cell>
          <cell r="G497">
            <v>1433</v>
          </cell>
          <cell r="M497" t="str">
            <v>hm</v>
          </cell>
        </row>
        <row r="498">
          <cell r="A498">
            <v>0</v>
          </cell>
          <cell r="C498" t="str">
            <v>DIRECTO:  95,467 / UN</v>
          </cell>
          <cell r="E498">
            <v>0</v>
          </cell>
          <cell r="F498">
            <v>0</v>
          </cell>
          <cell r="G498">
            <v>0</v>
          </cell>
          <cell r="M498">
            <v>0</v>
          </cell>
        </row>
        <row r="499">
          <cell r="A499">
            <v>0</v>
          </cell>
          <cell r="C499">
            <v>0</v>
          </cell>
          <cell r="E499">
            <v>0</v>
          </cell>
          <cell r="F499">
            <v>0</v>
          </cell>
          <cell r="G499">
            <v>0</v>
          </cell>
          <cell r="M499">
            <v>0</v>
          </cell>
        </row>
        <row r="500">
          <cell r="A500" t="str">
            <v>08-03-040</v>
          </cell>
          <cell r="B500" t="str">
            <v>08-03-040</v>
          </cell>
          <cell r="C500" t="str">
            <v>PLETINA EN ACERO 1/8" x 1" - L: 0.60 M. ANCLADA A MUROS PARA SOPORTE DE TUBERIAS DE AGUAS LLUVIAS</v>
          </cell>
          <cell r="D500">
            <v>39</v>
          </cell>
          <cell r="E500" t="str">
            <v>UN</v>
          </cell>
          <cell r="F500">
            <v>0</v>
          </cell>
          <cell r="G500">
            <v>15267</v>
          </cell>
          <cell r="M500" t="e">
            <v>#N/A</v>
          </cell>
        </row>
        <row r="501">
          <cell r="A501" t="str">
            <v>08-03-040</v>
          </cell>
          <cell r="B501" t="str">
            <v>mt42840</v>
          </cell>
          <cell r="C501" t="str">
            <v>Pletina de 1"x1/8"</v>
          </cell>
          <cell r="D501">
            <v>0.6</v>
          </cell>
          <cell r="E501" t="str">
            <v>m</v>
          </cell>
          <cell r="F501">
            <v>1566</v>
          </cell>
          <cell r="G501">
            <v>940</v>
          </cell>
          <cell r="M501" t="str">
            <v>mt</v>
          </cell>
        </row>
        <row r="502">
          <cell r="A502" t="str">
            <v>08-03-040</v>
          </cell>
          <cell r="B502" t="str">
            <v>sc100100</v>
          </cell>
          <cell r="C502" t="str">
            <v>Anclajes epoxicos - incluye instalacion</v>
          </cell>
          <cell r="D502">
            <v>2</v>
          </cell>
          <cell r="E502" t="str">
            <v>un</v>
          </cell>
          <cell r="F502">
            <v>6500</v>
          </cell>
          <cell r="G502">
            <v>13000</v>
          </cell>
          <cell r="M502" t="str">
            <v>sc</v>
          </cell>
        </row>
        <row r="503">
          <cell r="A503" t="str">
            <v>08-03-040</v>
          </cell>
          <cell r="B503" t="str">
            <v>au10300</v>
          </cell>
          <cell r="C503" t="str">
            <v>Aux andamios metalicos tijera 2 cuerpos</v>
          </cell>
          <cell r="D503">
            <v>0.5</v>
          </cell>
          <cell r="E503" t="str">
            <v>dia</v>
          </cell>
          <cell r="F503">
            <v>2654</v>
          </cell>
          <cell r="G503">
            <v>1327</v>
          </cell>
          <cell r="M503" t="str">
            <v>au</v>
          </cell>
        </row>
        <row r="504">
          <cell r="A504" t="str">
            <v>08-03-040</v>
          </cell>
          <cell r="B504" t="str">
            <v>mt13900</v>
          </cell>
          <cell r="C504" t="str">
            <v>Elementos de consumo y protección</v>
          </cell>
          <cell r="D504">
            <v>0</v>
          </cell>
          <cell r="E504" t="str">
            <v>%</v>
          </cell>
          <cell r="F504">
            <v>1.2455000000000001E-2</v>
          </cell>
          <cell r="G504">
            <v>0</v>
          </cell>
          <cell r="M504" t="str">
            <v>mt</v>
          </cell>
        </row>
        <row r="505">
          <cell r="A505" t="str">
            <v>08-03-040</v>
          </cell>
          <cell r="B505" t="str">
            <v>hm15100</v>
          </cell>
          <cell r="C505" t="str">
            <v>Herramienta y equipo menor</v>
          </cell>
          <cell r="D505">
            <v>0</v>
          </cell>
          <cell r="E505" t="str">
            <v>%</v>
          </cell>
          <cell r="F505">
            <v>0.03</v>
          </cell>
          <cell r="G505">
            <v>0</v>
          </cell>
          <cell r="M505" t="str">
            <v>hm</v>
          </cell>
        </row>
        <row r="506">
          <cell r="A506">
            <v>0</v>
          </cell>
          <cell r="C506" t="str">
            <v>DIRECTO:  15,267 / UN</v>
          </cell>
          <cell r="E506">
            <v>0</v>
          </cell>
          <cell r="F506">
            <v>0</v>
          </cell>
          <cell r="G506">
            <v>0</v>
          </cell>
          <cell r="M506">
            <v>0</v>
          </cell>
        </row>
        <row r="507">
          <cell r="A507">
            <v>0</v>
          </cell>
          <cell r="B507" t="str">
            <v>09</v>
          </cell>
          <cell r="C507" t="str">
            <v>RECUBRIMIENTOS</v>
          </cell>
          <cell r="E507">
            <v>0</v>
          </cell>
          <cell r="F507">
            <v>0</v>
          </cell>
          <cell r="G507">
            <v>0</v>
          </cell>
          <cell r="M507" t="e">
            <v>#N/A</v>
          </cell>
        </row>
        <row r="508">
          <cell r="A508" t="str">
            <v>09-01-010</v>
          </cell>
          <cell r="B508" t="str">
            <v>09-01-010</v>
          </cell>
          <cell r="C508" t="str">
            <v>REVOQUE MUROS. INCLUYE FAJAS, FILETES Y RANURAS</v>
          </cell>
          <cell r="D508">
            <v>2082</v>
          </cell>
          <cell r="E508" t="str">
            <v>M2</v>
          </cell>
          <cell r="F508">
            <v>0</v>
          </cell>
          <cell r="G508">
            <v>16359</v>
          </cell>
          <cell r="M508" t="e">
            <v>#N/A</v>
          </cell>
        </row>
        <row r="509">
          <cell r="A509" t="str">
            <v>09-01-010</v>
          </cell>
          <cell r="B509" t="str">
            <v>au11800</v>
          </cell>
          <cell r="C509" t="str">
            <v>Aux mortero de revoque 1:4:1/4</v>
          </cell>
          <cell r="D509">
            <v>2.6250000000000002E-2</v>
          </cell>
          <cell r="E509" t="str">
            <v>m3</v>
          </cell>
          <cell r="F509">
            <v>266502</v>
          </cell>
          <cell r="G509">
            <v>6996</v>
          </cell>
          <cell r="M509" t="str">
            <v>au</v>
          </cell>
        </row>
        <row r="510">
          <cell r="A510" t="str">
            <v>09-01-010</v>
          </cell>
          <cell r="B510" t="str">
            <v>mo60600</v>
          </cell>
          <cell r="C510" t="str">
            <v>MO revoque/pañete muros</v>
          </cell>
          <cell r="D510">
            <v>1</v>
          </cell>
          <cell r="E510" t="str">
            <v>m2</v>
          </cell>
          <cell r="F510">
            <v>5986.8</v>
          </cell>
          <cell r="G510">
            <v>5987</v>
          </cell>
          <cell r="M510" t="str">
            <v>mo</v>
          </cell>
        </row>
        <row r="511">
          <cell r="A511" t="str">
            <v>09-01-010</v>
          </cell>
          <cell r="B511" t="str">
            <v>mo60700</v>
          </cell>
          <cell r="C511" t="str">
            <v>MO revoque lineales</v>
          </cell>
          <cell r="D511">
            <v>1</v>
          </cell>
          <cell r="E511" t="str">
            <v>m</v>
          </cell>
          <cell r="F511">
            <v>2993.4</v>
          </cell>
          <cell r="G511">
            <v>2994</v>
          </cell>
          <cell r="M511" t="str">
            <v>mo</v>
          </cell>
        </row>
        <row r="512">
          <cell r="A512" t="str">
            <v>09-01-010</v>
          </cell>
          <cell r="B512" t="str">
            <v>mt13900</v>
          </cell>
          <cell r="C512" t="str">
            <v>Elementos de consumo y protección</v>
          </cell>
          <cell r="D512">
            <v>8981</v>
          </cell>
          <cell r="E512" t="str">
            <v>%</v>
          </cell>
          <cell r="F512">
            <v>1.2455000000000001E-2</v>
          </cell>
          <cell r="G512">
            <v>112</v>
          </cell>
          <cell r="M512" t="str">
            <v>mt</v>
          </cell>
        </row>
        <row r="513">
          <cell r="A513" t="str">
            <v>09-01-010</v>
          </cell>
          <cell r="B513" t="str">
            <v>hm15100</v>
          </cell>
          <cell r="C513" t="str">
            <v>Herramienta y equipo menor</v>
          </cell>
          <cell r="D513">
            <v>8981</v>
          </cell>
          <cell r="E513" t="str">
            <v>%</v>
          </cell>
          <cell r="F513">
            <v>0.03</v>
          </cell>
          <cell r="G513">
            <v>270</v>
          </cell>
          <cell r="M513" t="str">
            <v>hm</v>
          </cell>
        </row>
        <row r="514">
          <cell r="A514">
            <v>0</v>
          </cell>
          <cell r="C514" t="str">
            <v>DIRECTO:  16,359 / M2</v>
          </cell>
          <cell r="D514">
            <v>0</v>
          </cell>
          <cell r="E514">
            <v>0</v>
          </cell>
          <cell r="F514">
            <v>0</v>
          </cell>
          <cell r="G514">
            <v>0</v>
          </cell>
          <cell r="M514">
            <v>0</v>
          </cell>
        </row>
        <row r="515">
          <cell r="A515">
            <v>0</v>
          </cell>
          <cell r="C515">
            <v>0</v>
          </cell>
          <cell r="E515">
            <v>0</v>
          </cell>
          <cell r="F515">
            <v>0</v>
          </cell>
          <cell r="G515">
            <v>0</v>
          </cell>
          <cell r="M515">
            <v>0</v>
          </cell>
        </row>
        <row r="516">
          <cell r="A516" t="str">
            <v>09-02-010</v>
          </cell>
          <cell r="B516" t="str">
            <v>09-02-010</v>
          </cell>
          <cell r="C516" t="str">
            <v>ENCHAPE DE MURO EN BAÑOS REF. AUSTRALIA 30x45 DE CORONA O EQUIVALENTE COLOR BLANCO.</v>
          </cell>
          <cell r="D516">
            <v>275</v>
          </cell>
          <cell r="E516" t="str">
            <v>M2</v>
          </cell>
          <cell r="F516">
            <v>0</v>
          </cell>
          <cell r="G516">
            <v>67233</v>
          </cell>
          <cell r="M516" t="e">
            <v>#N/A</v>
          </cell>
        </row>
        <row r="517">
          <cell r="A517" t="str">
            <v>09-02-010</v>
          </cell>
          <cell r="B517" t="str">
            <v>mt11320</v>
          </cell>
          <cell r="C517" t="str">
            <v>Enchape australia blanco 30x45</v>
          </cell>
          <cell r="D517">
            <v>1.03</v>
          </cell>
          <cell r="E517" t="str">
            <v>m2</v>
          </cell>
          <cell r="F517">
            <v>43866.559999999998</v>
          </cell>
          <cell r="G517">
            <v>45183</v>
          </cell>
          <cell r="M517" t="str">
            <v>mt</v>
          </cell>
        </row>
        <row r="518">
          <cell r="A518" t="str">
            <v>09-02-010</v>
          </cell>
          <cell r="B518" t="str">
            <v>au11800</v>
          </cell>
          <cell r="C518" t="str">
            <v>Aux mortero de revoque 1:4:1/4</v>
          </cell>
          <cell r="D518">
            <v>2.6669999999999999E-2</v>
          </cell>
          <cell r="E518" t="str">
            <v>m3</v>
          </cell>
          <cell r="F518">
            <v>266502</v>
          </cell>
          <cell r="G518">
            <v>7108</v>
          </cell>
          <cell r="M518" t="str">
            <v>au</v>
          </cell>
        </row>
        <row r="519">
          <cell r="A519" t="str">
            <v>09-02-010</v>
          </cell>
          <cell r="B519" t="str">
            <v>mt12600</v>
          </cell>
          <cell r="C519" t="str">
            <v>Cemento gris 50 kg tipo I</v>
          </cell>
          <cell r="D519">
            <v>0.02</v>
          </cell>
          <cell r="E519" t="str">
            <v>bt</v>
          </cell>
          <cell r="F519">
            <v>21000</v>
          </cell>
          <cell r="G519">
            <v>420</v>
          </cell>
          <cell r="M519" t="str">
            <v>mt</v>
          </cell>
        </row>
        <row r="520">
          <cell r="A520" t="str">
            <v>09-02-010</v>
          </cell>
          <cell r="B520" t="str">
            <v>mt18310</v>
          </cell>
          <cell r="C520" t="str">
            <v>Concolor blanco x 5 kg</v>
          </cell>
          <cell r="D520">
            <v>0.2</v>
          </cell>
          <cell r="E520" t="str">
            <v>kg</v>
          </cell>
          <cell r="F520">
            <v>3072.6080000000002</v>
          </cell>
          <cell r="G520">
            <v>615</v>
          </cell>
          <cell r="M520" t="str">
            <v>mt</v>
          </cell>
        </row>
        <row r="521">
          <cell r="A521" t="str">
            <v>09-02-010</v>
          </cell>
          <cell r="B521" t="str">
            <v>eq96310</v>
          </cell>
          <cell r="C521" t="str">
            <v>Cortadora de baldosin</v>
          </cell>
          <cell r="D521">
            <v>0.1</v>
          </cell>
          <cell r="E521" t="str">
            <v>dia</v>
          </cell>
          <cell r="F521">
            <v>6669.9999999999991</v>
          </cell>
          <cell r="G521">
            <v>667</v>
          </cell>
          <cell r="M521" t="str">
            <v>eq</v>
          </cell>
        </row>
        <row r="522">
          <cell r="A522" t="str">
            <v>09-02-010</v>
          </cell>
          <cell r="B522" t="str">
            <v>mo46100</v>
          </cell>
          <cell r="C522" t="str">
            <v>MO enchape baldosin estampillado</v>
          </cell>
          <cell r="D522">
            <v>1</v>
          </cell>
          <cell r="E522" t="str">
            <v>m2</v>
          </cell>
          <cell r="F522">
            <v>12700</v>
          </cell>
          <cell r="G522">
            <v>12700</v>
          </cell>
          <cell r="M522" t="str">
            <v>mo</v>
          </cell>
        </row>
        <row r="523">
          <cell r="A523" t="str">
            <v>09-02-010</v>
          </cell>
          <cell r="B523" t="str">
            <v>mt13900</v>
          </cell>
          <cell r="C523" t="str">
            <v>Elementos de consumo y protección</v>
          </cell>
          <cell r="D523">
            <v>12700</v>
          </cell>
          <cell r="E523" t="str">
            <v>%</v>
          </cell>
          <cell r="F523">
            <v>1.2455000000000001E-2</v>
          </cell>
          <cell r="G523">
            <v>159</v>
          </cell>
          <cell r="M523" t="str">
            <v>mt</v>
          </cell>
        </row>
        <row r="524">
          <cell r="A524" t="str">
            <v>09-02-010</v>
          </cell>
          <cell r="B524" t="str">
            <v>hm15100</v>
          </cell>
          <cell r="C524" t="str">
            <v>Herramienta y equipo menor</v>
          </cell>
          <cell r="D524">
            <v>12700</v>
          </cell>
          <cell r="E524" t="str">
            <v>%</v>
          </cell>
          <cell r="F524">
            <v>0.03</v>
          </cell>
          <cell r="G524">
            <v>381</v>
          </cell>
          <cell r="M524" t="str">
            <v>hm</v>
          </cell>
        </row>
        <row r="525">
          <cell r="A525">
            <v>0</v>
          </cell>
          <cell r="C525" t="str">
            <v>DIRECTO:  67,233 / M2</v>
          </cell>
          <cell r="D525">
            <v>0</v>
          </cell>
          <cell r="E525">
            <v>0</v>
          </cell>
          <cell r="F525">
            <v>0</v>
          </cell>
          <cell r="G525">
            <v>0</v>
          </cell>
          <cell r="M525">
            <v>0</v>
          </cell>
        </row>
        <row r="526">
          <cell r="A526">
            <v>0</v>
          </cell>
          <cell r="C526">
            <v>0</v>
          </cell>
          <cell r="E526">
            <v>0</v>
          </cell>
          <cell r="F526">
            <v>0</v>
          </cell>
          <cell r="G526">
            <v>0</v>
          </cell>
          <cell r="M526">
            <v>0</v>
          </cell>
        </row>
        <row r="527">
          <cell r="A527" t="str">
            <v>09-03-010</v>
          </cell>
          <cell r="B527" t="str">
            <v>09-03-010</v>
          </cell>
          <cell r="C527" t="str">
            <v>PINTURA DE MUROS REF. ACRILTEX DE PINTUCO O EQUIVALENTE - 3 MANOS</v>
          </cell>
          <cell r="D527">
            <v>2082</v>
          </cell>
          <cell r="E527" t="str">
            <v>M2</v>
          </cell>
          <cell r="F527">
            <v>0</v>
          </cell>
          <cell r="G527">
            <v>11258</v>
          </cell>
          <cell r="M527" t="e">
            <v>#N/A</v>
          </cell>
        </row>
        <row r="528">
          <cell r="A528" t="str">
            <v>09-03-010</v>
          </cell>
          <cell r="B528" t="str">
            <v>mt18610</v>
          </cell>
          <cell r="C528" t="str">
            <v>Pintura Acriltex</v>
          </cell>
          <cell r="D528">
            <v>5.2500000000000005E-2</v>
          </cell>
          <cell r="E528" t="str">
            <v>gl</v>
          </cell>
          <cell r="F528">
            <v>91988</v>
          </cell>
          <cell r="G528">
            <v>4830</v>
          </cell>
          <cell r="M528" t="str">
            <v>mt</v>
          </cell>
        </row>
        <row r="529">
          <cell r="A529" t="str">
            <v>09-03-010</v>
          </cell>
          <cell r="B529" t="str">
            <v>mo48800</v>
          </cell>
          <cell r="C529" t="str">
            <v>MO pintura acrilica sobre estuco 3 manos</v>
          </cell>
          <cell r="D529">
            <v>1</v>
          </cell>
          <cell r="E529" t="str">
            <v>m2</v>
          </cell>
          <cell r="F529">
            <v>6112.08</v>
          </cell>
          <cell r="G529">
            <v>6113</v>
          </cell>
          <cell r="M529" t="str">
            <v>mo</v>
          </cell>
        </row>
        <row r="530">
          <cell r="A530" t="str">
            <v>09-03-010</v>
          </cell>
          <cell r="B530" t="str">
            <v>au10300</v>
          </cell>
          <cell r="C530" t="str">
            <v>Aux andamios metalicos tijera 2 cuerpos</v>
          </cell>
          <cell r="D530">
            <v>0.02</v>
          </cell>
          <cell r="E530" t="str">
            <v>dia</v>
          </cell>
          <cell r="F530">
            <v>2654</v>
          </cell>
          <cell r="G530">
            <v>54</v>
          </cell>
          <cell r="M530" t="str">
            <v>au</v>
          </cell>
        </row>
        <row r="531">
          <cell r="A531" t="str">
            <v>09-03-010</v>
          </cell>
          <cell r="B531" t="str">
            <v>mt13900</v>
          </cell>
          <cell r="C531" t="str">
            <v>Elementos de consumo y protección</v>
          </cell>
          <cell r="D531">
            <v>6113</v>
          </cell>
          <cell r="E531" t="str">
            <v>%</v>
          </cell>
          <cell r="F531">
            <v>1.2455000000000001E-2</v>
          </cell>
          <cell r="G531">
            <v>77</v>
          </cell>
          <cell r="M531" t="str">
            <v>mt</v>
          </cell>
        </row>
        <row r="532">
          <cell r="A532" t="str">
            <v>09-03-010</v>
          </cell>
          <cell r="B532" t="str">
            <v>hm15100</v>
          </cell>
          <cell r="C532" t="str">
            <v>Herramienta y equipo menor</v>
          </cell>
          <cell r="D532">
            <v>6113</v>
          </cell>
          <cell r="E532" t="str">
            <v>%</v>
          </cell>
          <cell r="F532">
            <v>0.03</v>
          </cell>
          <cell r="G532">
            <v>184</v>
          </cell>
          <cell r="M532" t="str">
            <v>hm</v>
          </cell>
        </row>
        <row r="533">
          <cell r="A533">
            <v>0</v>
          </cell>
          <cell r="C533" t="str">
            <v>DIRECTO:  11,258 / M2</v>
          </cell>
          <cell r="D533">
            <v>0</v>
          </cell>
          <cell r="E533">
            <v>0</v>
          </cell>
          <cell r="F533">
            <v>0</v>
          </cell>
          <cell r="G533">
            <v>0</v>
          </cell>
          <cell r="M533">
            <v>0</v>
          </cell>
        </row>
        <row r="534">
          <cell r="A534">
            <v>0</v>
          </cell>
          <cell r="C534">
            <v>0</v>
          </cell>
          <cell r="E534">
            <v>0</v>
          </cell>
          <cell r="F534">
            <v>0</v>
          </cell>
          <cell r="G534">
            <v>0</v>
          </cell>
          <cell r="M534">
            <v>0</v>
          </cell>
        </row>
        <row r="535">
          <cell r="A535" t="str">
            <v>09-03-030</v>
          </cell>
          <cell r="B535" t="str">
            <v>09-03-030</v>
          </cell>
          <cell r="C535" t="str">
            <v>PINTURA DE CIELOS REF. ACRILTEX DE PINTUCO O EQUIVALENTE - 2 MANOS</v>
          </cell>
          <cell r="D535">
            <v>978</v>
          </cell>
          <cell r="E535" t="str">
            <v>M2</v>
          </cell>
          <cell r="F535">
            <v>0</v>
          </cell>
          <cell r="G535">
            <v>8372</v>
          </cell>
          <cell r="M535" t="e">
            <v>#N/A</v>
          </cell>
        </row>
        <row r="536">
          <cell r="A536" t="str">
            <v>09-03-030</v>
          </cell>
          <cell r="B536" t="str">
            <v>mt18610</v>
          </cell>
          <cell r="C536" t="str">
            <v>Pintura Acriltex</v>
          </cell>
          <cell r="D536">
            <v>3.5000000000000003E-2</v>
          </cell>
          <cell r="E536" t="str">
            <v>gl</v>
          </cell>
          <cell r="F536">
            <v>91988</v>
          </cell>
          <cell r="G536">
            <v>3220</v>
          </cell>
          <cell r="M536" t="str">
            <v>mt</v>
          </cell>
        </row>
        <row r="537">
          <cell r="A537" t="str">
            <v>09-03-030</v>
          </cell>
          <cell r="B537" t="str">
            <v>mo48810</v>
          </cell>
          <cell r="C537" t="str">
            <v>MO pintura vinilica cielo 2 manos</v>
          </cell>
          <cell r="D537">
            <v>1</v>
          </cell>
          <cell r="E537" t="str">
            <v>m2</v>
          </cell>
          <cell r="F537">
            <v>4889.6639999999998</v>
          </cell>
          <cell r="G537">
            <v>4890</v>
          </cell>
          <cell r="M537" t="str">
            <v>mo</v>
          </cell>
        </row>
        <row r="538">
          <cell r="A538" t="str">
            <v>09-03-030</v>
          </cell>
          <cell r="B538" t="str">
            <v>au10300</v>
          </cell>
          <cell r="C538" t="str">
            <v>Aux andamios metalicos tijera 2 cuerpos</v>
          </cell>
          <cell r="D538">
            <v>0.02</v>
          </cell>
          <cell r="E538" t="str">
            <v>dia</v>
          </cell>
          <cell r="F538">
            <v>2654</v>
          </cell>
          <cell r="G538">
            <v>54</v>
          </cell>
          <cell r="M538" t="str">
            <v>au</v>
          </cell>
        </row>
        <row r="539">
          <cell r="A539" t="str">
            <v>09-03-030</v>
          </cell>
          <cell r="B539" t="str">
            <v>mt13900</v>
          </cell>
          <cell r="C539" t="str">
            <v>Elementos de consumo y protección</v>
          </cell>
          <cell r="D539">
            <v>4890</v>
          </cell>
          <cell r="E539" t="str">
            <v>%</v>
          </cell>
          <cell r="F539">
            <v>1.2455000000000001E-2</v>
          </cell>
          <cell r="G539">
            <v>61</v>
          </cell>
          <cell r="M539" t="str">
            <v>mt</v>
          </cell>
        </row>
        <row r="540">
          <cell r="A540" t="str">
            <v>09-03-030</v>
          </cell>
          <cell r="B540" t="str">
            <v>hm15100</v>
          </cell>
          <cell r="C540" t="str">
            <v>Herramienta y equipo menor</v>
          </cell>
          <cell r="D540">
            <v>4890</v>
          </cell>
          <cell r="E540" t="str">
            <v>%</v>
          </cell>
          <cell r="F540">
            <v>0.03</v>
          </cell>
          <cell r="G540">
            <v>147</v>
          </cell>
          <cell r="M540" t="str">
            <v>hm</v>
          </cell>
        </row>
        <row r="541">
          <cell r="A541">
            <v>0</v>
          </cell>
          <cell r="C541" t="str">
            <v>DIRECTO:  8,372 / M2</v>
          </cell>
          <cell r="D541">
            <v>0</v>
          </cell>
          <cell r="E541">
            <v>0</v>
          </cell>
          <cell r="F541">
            <v>0</v>
          </cell>
          <cell r="G541">
            <v>0</v>
          </cell>
          <cell r="M541">
            <v>0</v>
          </cell>
        </row>
        <row r="542">
          <cell r="A542">
            <v>0</v>
          </cell>
          <cell r="C542">
            <v>0</v>
          </cell>
          <cell r="E542">
            <v>0</v>
          </cell>
          <cell r="F542">
            <v>0</v>
          </cell>
          <cell r="G542">
            <v>0</v>
          </cell>
          <cell r="M542">
            <v>0</v>
          </cell>
        </row>
        <row r="543">
          <cell r="A543" t="str">
            <v>09-03-100</v>
          </cell>
          <cell r="B543" t="str">
            <v>09-03-100</v>
          </cell>
          <cell r="C543" t="str">
            <v>ESTUCO PLASTICO TIPO ESTUCOR DE CORONA O EQUIVALENTE</v>
          </cell>
          <cell r="D543">
            <v>2082</v>
          </cell>
          <cell r="E543" t="str">
            <v>M2</v>
          </cell>
          <cell r="F543">
            <v>0</v>
          </cell>
          <cell r="G543">
            <v>9383</v>
          </cell>
          <cell r="M543" t="e">
            <v>#N/A</v>
          </cell>
        </row>
        <row r="544">
          <cell r="A544" t="str">
            <v>09-03-100</v>
          </cell>
          <cell r="B544" t="str">
            <v>mt12530</v>
          </cell>
          <cell r="C544" t="str">
            <v>Estucor estuco plastico x 30 kg</v>
          </cell>
          <cell r="D544">
            <v>7.0000000000000007E-2</v>
          </cell>
          <cell r="E544" t="str">
            <v>bt</v>
          </cell>
          <cell r="F544">
            <v>60628.56</v>
          </cell>
          <cell r="G544">
            <v>4244</v>
          </cell>
          <cell r="M544" t="str">
            <v>mt</v>
          </cell>
        </row>
        <row r="545">
          <cell r="A545" t="str">
            <v>09-03-100</v>
          </cell>
          <cell r="B545" t="str">
            <v>au10200</v>
          </cell>
          <cell r="C545" t="str">
            <v>Aux MO oficial obra blanca</v>
          </cell>
          <cell r="D545">
            <v>0.48</v>
          </cell>
          <cell r="E545" t="str">
            <v>hr</v>
          </cell>
          <cell r="F545">
            <v>10159</v>
          </cell>
          <cell r="G545">
            <v>4877</v>
          </cell>
          <cell r="M545" t="str">
            <v>mo</v>
          </cell>
        </row>
        <row r="546">
          <cell r="A546" t="str">
            <v>09-03-100</v>
          </cell>
          <cell r="B546" t="str">
            <v>au10300</v>
          </cell>
          <cell r="C546" t="str">
            <v>Aux andamios metalicos tijera 2 cuerpos</v>
          </cell>
          <cell r="D546">
            <v>0.02</v>
          </cell>
          <cell r="E546" t="str">
            <v>dia</v>
          </cell>
          <cell r="F546">
            <v>2654</v>
          </cell>
          <cell r="G546">
            <v>54</v>
          </cell>
          <cell r="M546" t="str">
            <v>au</v>
          </cell>
        </row>
        <row r="547">
          <cell r="A547" t="str">
            <v>09-03-100</v>
          </cell>
          <cell r="B547" t="str">
            <v>mt13900</v>
          </cell>
          <cell r="C547" t="str">
            <v>Elementos de consumo y protección</v>
          </cell>
          <cell r="D547">
            <v>4877</v>
          </cell>
          <cell r="E547" t="str">
            <v>%</v>
          </cell>
          <cell r="F547">
            <v>1.2455000000000001E-2</v>
          </cell>
          <cell r="G547">
            <v>61</v>
          </cell>
          <cell r="M547" t="str">
            <v>mt</v>
          </cell>
        </row>
        <row r="548">
          <cell r="A548" t="str">
            <v>09-03-100</v>
          </cell>
          <cell r="B548" t="str">
            <v>hm15100</v>
          </cell>
          <cell r="C548" t="str">
            <v>Herramienta y equipo menor</v>
          </cell>
          <cell r="D548">
            <v>4877</v>
          </cell>
          <cell r="E548" t="str">
            <v>%</v>
          </cell>
          <cell r="F548">
            <v>0.03</v>
          </cell>
          <cell r="G548">
            <v>147</v>
          </cell>
          <cell r="M548" t="str">
            <v>hm</v>
          </cell>
        </row>
        <row r="549">
          <cell r="A549">
            <v>0</v>
          </cell>
          <cell r="C549" t="str">
            <v>DIRECTO:  9,383 / M2</v>
          </cell>
          <cell r="D549">
            <v>0</v>
          </cell>
          <cell r="E549">
            <v>0</v>
          </cell>
          <cell r="F549">
            <v>0</v>
          </cell>
          <cell r="G549">
            <v>0</v>
          </cell>
          <cell r="M549">
            <v>0</v>
          </cell>
        </row>
        <row r="550">
          <cell r="A550">
            <v>0</v>
          </cell>
          <cell r="C550">
            <v>0</v>
          </cell>
          <cell r="E550">
            <v>0</v>
          </cell>
          <cell r="F550">
            <v>0</v>
          </cell>
          <cell r="G550">
            <v>0</v>
          </cell>
          <cell r="M550">
            <v>0</v>
          </cell>
        </row>
        <row r="551">
          <cell r="A551" t="str">
            <v>09-03-110</v>
          </cell>
          <cell r="B551" t="str">
            <v>09-03-110</v>
          </cell>
          <cell r="C551" t="str">
            <v>MOLDURAS Y CENEFAS</v>
          </cell>
          <cell r="D551">
            <v>264</v>
          </cell>
          <cell r="E551" t="str">
            <v>M</v>
          </cell>
          <cell r="F551">
            <v>0</v>
          </cell>
          <cell r="G551">
            <v>30000</v>
          </cell>
          <cell r="M551" t="e">
            <v>#N/A</v>
          </cell>
        </row>
        <row r="552">
          <cell r="A552" t="str">
            <v>09-03-110</v>
          </cell>
          <cell r="B552" t="str">
            <v>pv10010</v>
          </cell>
          <cell r="C552" t="str">
            <v>Provision para cenefas y molduras</v>
          </cell>
          <cell r="D552">
            <v>1</v>
          </cell>
          <cell r="E552" t="str">
            <v>gb</v>
          </cell>
          <cell r="F552">
            <v>30000</v>
          </cell>
          <cell r="G552">
            <v>30000</v>
          </cell>
          <cell r="M552" t="str">
            <v>pv</v>
          </cell>
        </row>
        <row r="553">
          <cell r="A553">
            <v>0</v>
          </cell>
          <cell r="C553" t="str">
            <v>DIRECTO:  30,000 / M</v>
          </cell>
          <cell r="D553">
            <v>0</v>
          </cell>
          <cell r="E553">
            <v>0</v>
          </cell>
          <cell r="F553">
            <v>0</v>
          </cell>
          <cell r="G553">
            <v>0</v>
          </cell>
          <cell r="M553">
            <v>0</v>
          </cell>
        </row>
        <row r="554">
          <cell r="A554">
            <v>0</v>
          </cell>
          <cell r="B554" t="str">
            <v>10</v>
          </cell>
          <cell r="C554" t="str">
            <v>PISOS Y ZOCALOS</v>
          </cell>
          <cell r="E554">
            <v>0</v>
          </cell>
          <cell r="F554">
            <v>0</v>
          </cell>
          <cell r="G554">
            <v>0</v>
          </cell>
          <cell r="M554" t="e">
            <v>#N/A</v>
          </cell>
        </row>
        <row r="555">
          <cell r="A555" t="str">
            <v>10-01-010</v>
          </cell>
          <cell r="B555" t="str">
            <v>10-01-010</v>
          </cell>
          <cell r="C555" t="str">
            <v>BALDOSA DE CEMENTO 20x20 DECORADA TIPO 1. INCLUYE MORTERO DE PEGA, PULIDA Y BRILLADA</v>
          </cell>
          <cell r="D555">
            <v>60</v>
          </cell>
          <cell r="E555" t="str">
            <v>M2</v>
          </cell>
          <cell r="F555">
            <v>0</v>
          </cell>
          <cell r="G555">
            <v>69273</v>
          </cell>
          <cell r="M555" t="e">
            <v>#N/A</v>
          </cell>
        </row>
        <row r="556">
          <cell r="A556" t="str">
            <v>10-01-010</v>
          </cell>
          <cell r="B556" t="str">
            <v>mt15560</v>
          </cell>
          <cell r="C556" t="str">
            <v>Baldosa 20 mosaico 2 colores</v>
          </cell>
          <cell r="D556">
            <v>1.05</v>
          </cell>
          <cell r="E556" t="str">
            <v>m2</v>
          </cell>
          <cell r="F556">
            <v>43017</v>
          </cell>
          <cell r="G556">
            <v>45168</v>
          </cell>
          <cell r="M556" t="str">
            <v>mt</v>
          </cell>
        </row>
        <row r="557">
          <cell r="A557" t="str">
            <v>10-01-010</v>
          </cell>
          <cell r="B557" t="str">
            <v>sc104720</v>
          </cell>
          <cell r="C557" t="str">
            <v>Lechada para baldosa color acorde al piso</v>
          </cell>
          <cell r="D557">
            <v>1</v>
          </cell>
          <cell r="E557" t="str">
            <v>m2</v>
          </cell>
          <cell r="F557">
            <v>2292.16</v>
          </cell>
          <cell r="G557">
            <v>2293</v>
          </cell>
          <cell r="M557" t="str">
            <v>sc</v>
          </cell>
        </row>
        <row r="558">
          <cell r="A558" t="str">
            <v>10-01-010</v>
          </cell>
          <cell r="B558" t="str">
            <v>sc104730</v>
          </cell>
          <cell r="C558" t="str">
            <v>Transporte baldosa</v>
          </cell>
          <cell r="D558">
            <v>1</v>
          </cell>
          <cell r="E558" t="str">
            <v>m2</v>
          </cell>
          <cell r="F558">
            <v>2720.848</v>
          </cell>
          <cell r="G558">
            <v>2721</v>
          </cell>
          <cell r="M558" t="str">
            <v>sc</v>
          </cell>
        </row>
        <row r="559">
          <cell r="A559" t="str">
            <v>10-01-010</v>
          </cell>
          <cell r="B559" t="str">
            <v>sc104740</v>
          </cell>
          <cell r="C559" t="str">
            <v>MO instalacion baldosa</v>
          </cell>
          <cell r="D559">
            <v>1</v>
          </cell>
          <cell r="E559" t="str">
            <v>m2</v>
          </cell>
          <cell r="F559">
            <v>10316.464</v>
          </cell>
          <cell r="G559">
            <v>10317</v>
          </cell>
          <cell r="M559" t="str">
            <v>mo</v>
          </cell>
        </row>
        <row r="560">
          <cell r="A560" t="str">
            <v>10-01-010</v>
          </cell>
          <cell r="B560" t="str">
            <v>au11700</v>
          </cell>
          <cell r="C560" t="str">
            <v>Aux mortero de pega 1:4</v>
          </cell>
          <cell r="D560">
            <v>3.3000000000000002E-2</v>
          </cell>
          <cell r="E560" t="str">
            <v>m3</v>
          </cell>
          <cell r="F560">
            <v>246314</v>
          </cell>
          <cell r="G560">
            <v>8129</v>
          </cell>
          <cell r="M560" t="str">
            <v>au</v>
          </cell>
        </row>
        <row r="561">
          <cell r="A561" t="str">
            <v>10-01-010</v>
          </cell>
          <cell r="B561" t="str">
            <v>mo17600</v>
          </cell>
          <cell r="C561" t="str">
            <v>MO transporte interno concreto</v>
          </cell>
          <cell r="D561">
            <v>3.3000000000000002E-2</v>
          </cell>
          <cell r="E561" t="str">
            <v>m3</v>
          </cell>
          <cell r="F561">
            <v>6000</v>
          </cell>
          <cell r="G561">
            <v>198</v>
          </cell>
          <cell r="M561" t="str">
            <v>mo</v>
          </cell>
        </row>
        <row r="562">
          <cell r="A562" t="str">
            <v>10-01-010</v>
          </cell>
          <cell r="B562" t="str">
            <v>mt13900</v>
          </cell>
          <cell r="C562" t="str">
            <v>Elementos de consumo y protección</v>
          </cell>
          <cell r="D562">
            <v>10515</v>
          </cell>
          <cell r="E562" t="str">
            <v>%</v>
          </cell>
          <cell r="F562">
            <v>1.2455000000000001E-2</v>
          </cell>
          <cell r="G562">
            <v>131</v>
          </cell>
          <cell r="M562" t="str">
            <v>mt</v>
          </cell>
        </row>
        <row r="563">
          <cell r="A563" t="str">
            <v>10-01-010</v>
          </cell>
          <cell r="B563" t="str">
            <v>hm15100</v>
          </cell>
          <cell r="C563" t="str">
            <v>Herramienta y equipo menor</v>
          </cell>
          <cell r="D563">
            <v>10515</v>
          </cell>
          <cell r="E563" t="str">
            <v>%</v>
          </cell>
          <cell r="F563">
            <v>0.03</v>
          </cell>
          <cell r="G563">
            <v>316</v>
          </cell>
          <cell r="M563" t="str">
            <v>hm</v>
          </cell>
        </row>
        <row r="564">
          <cell r="A564">
            <v>0</v>
          </cell>
          <cell r="C564" t="str">
            <v>DIRECTO:  69,273 / M2</v>
          </cell>
          <cell r="E564">
            <v>0</v>
          </cell>
          <cell r="F564">
            <v>0</v>
          </cell>
          <cell r="G564">
            <v>0</v>
          </cell>
          <cell r="M564">
            <v>0</v>
          </cell>
        </row>
        <row r="565">
          <cell r="A565">
            <v>0</v>
          </cell>
          <cell r="C565">
            <v>0</v>
          </cell>
          <cell r="E565">
            <v>0</v>
          </cell>
          <cell r="F565">
            <v>0</v>
          </cell>
          <cell r="G565">
            <v>0</v>
          </cell>
          <cell r="M565">
            <v>0</v>
          </cell>
        </row>
        <row r="566">
          <cell r="A566" t="str">
            <v>10-01-020</v>
          </cell>
          <cell r="B566" t="str">
            <v>10-01-020</v>
          </cell>
          <cell r="C566" t="str">
            <v>BALDOSA DE CEMENTO 20x20 DECORADA TIPO 2. INCLUYE MORTERO DE PEGA, PULIDA Y BRILLADA</v>
          </cell>
          <cell r="D566">
            <v>19</v>
          </cell>
          <cell r="E566" t="str">
            <v>M2</v>
          </cell>
          <cell r="F566">
            <v>0</v>
          </cell>
          <cell r="G566">
            <v>72261</v>
          </cell>
          <cell r="M566" t="e">
            <v>#N/A</v>
          </cell>
        </row>
        <row r="567">
          <cell r="A567" t="str">
            <v>10-01-020</v>
          </cell>
          <cell r="B567" t="str">
            <v>mt15550</v>
          </cell>
          <cell r="C567" t="str">
            <v>Baldosa 20 mosaico 4 colores</v>
          </cell>
          <cell r="D567">
            <v>1.05</v>
          </cell>
          <cell r="E567" t="str">
            <v>m2</v>
          </cell>
          <cell r="F567">
            <v>45862</v>
          </cell>
          <cell r="G567">
            <v>48156</v>
          </cell>
          <cell r="M567" t="str">
            <v>mt</v>
          </cell>
        </row>
        <row r="568">
          <cell r="A568" t="str">
            <v>10-01-020</v>
          </cell>
          <cell r="B568" t="str">
            <v>sc104720</v>
          </cell>
          <cell r="C568" t="str">
            <v>Lechada para baldosa color acorde al piso</v>
          </cell>
          <cell r="D568">
            <v>1</v>
          </cell>
          <cell r="E568" t="str">
            <v>m2</v>
          </cell>
          <cell r="F568">
            <v>2292.16</v>
          </cell>
          <cell r="G568">
            <v>2293</v>
          </cell>
          <cell r="M568" t="str">
            <v>sc</v>
          </cell>
        </row>
        <row r="569">
          <cell r="A569" t="str">
            <v>10-01-020</v>
          </cell>
          <cell r="B569" t="str">
            <v>sc104730</v>
          </cell>
          <cell r="C569" t="str">
            <v>Transporte baldosa</v>
          </cell>
          <cell r="D569">
            <v>1</v>
          </cell>
          <cell r="E569" t="str">
            <v>m2</v>
          </cell>
          <cell r="F569">
            <v>2720.848</v>
          </cell>
          <cell r="G569">
            <v>2721</v>
          </cell>
          <cell r="M569" t="str">
            <v>sc</v>
          </cell>
        </row>
        <row r="570">
          <cell r="A570" t="str">
            <v>10-01-020</v>
          </cell>
          <cell r="B570" t="str">
            <v>sc104740</v>
          </cell>
          <cell r="C570" t="str">
            <v>MO instalacion baldosa</v>
          </cell>
          <cell r="D570">
            <v>1</v>
          </cell>
          <cell r="E570" t="str">
            <v>m2</v>
          </cell>
          <cell r="F570">
            <v>10316.464</v>
          </cell>
          <cell r="G570">
            <v>10317</v>
          </cell>
          <cell r="M570" t="str">
            <v>mo</v>
          </cell>
        </row>
        <row r="571">
          <cell r="A571" t="str">
            <v>10-01-020</v>
          </cell>
          <cell r="B571" t="str">
            <v>au11700</v>
          </cell>
          <cell r="C571" t="str">
            <v>Aux mortero de pega 1:4</v>
          </cell>
          <cell r="D571">
            <v>3.3000000000000002E-2</v>
          </cell>
          <cell r="E571" t="str">
            <v>m3</v>
          </cell>
          <cell r="F571">
            <v>246314</v>
          </cell>
          <cell r="G571">
            <v>8129</v>
          </cell>
          <cell r="M571" t="str">
            <v>au</v>
          </cell>
        </row>
        <row r="572">
          <cell r="A572" t="str">
            <v>10-01-020</v>
          </cell>
          <cell r="B572" t="str">
            <v>mo17600</v>
          </cell>
          <cell r="C572" t="str">
            <v>MO transporte interno concreto</v>
          </cell>
          <cell r="D572">
            <v>3.3000000000000002E-2</v>
          </cell>
          <cell r="E572" t="str">
            <v>m3</v>
          </cell>
          <cell r="F572">
            <v>6000</v>
          </cell>
          <cell r="G572">
            <v>198</v>
          </cell>
          <cell r="M572" t="str">
            <v>mo</v>
          </cell>
        </row>
        <row r="573">
          <cell r="A573" t="str">
            <v>10-01-020</v>
          </cell>
          <cell r="B573" t="str">
            <v>mt13900</v>
          </cell>
          <cell r="C573" t="str">
            <v>Elementos de consumo y protección</v>
          </cell>
          <cell r="D573">
            <v>10515</v>
          </cell>
          <cell r="E573" t="str">
            <v>%</v>
          </cell>
          <cell r="F573">
            <v>1.2455000000000001E-2</v>
          </cell>
          <cell r="G573">
            <v>131</v>
          </cell>
          <cell r="M573" t="str">
            <v>mt</v>
          </cell>
        </row>
        <row r="574">
          <cell r="A574" t="str">
            <v>10-01-020</v>
          </cell>
          <cell r="B574" t="str">
            <v>hm15100</v>
          </cell>
          <cell r="C574" t="str">
            <v>Herramienta y equipo menor</v>
          </cell>
          <cell r="D574">
            <v>10515</v>
          </cell>
          <cell r="E574" t="str">
            <v>%</v>
          </cell>
          <cell r="F574">
            <v>0.03</v>
          </cell>
          <cell r="G574">
            <v>316</v>
          </cell>
          <cell r="M574" t="str">
            <v>hm</v>
          </cell>
        </row>
        <row r="575">
          <cell r="A575">
            <v>0</v>
          </cell>
          <cell r="C575" t="str">
            <v>DIRECTO:  72,261 / M2</v>
          </cell>
          <cell r="E575">
            <v>0</v>
          </cell>
          <cell r="F575">
            <v>0</v>
          </cell>
          <cell r="G575">
            <v>0</v>
          </cell>
          <cell r="M575">
            <v>0</v>
          </cell>
        </row>
        <row r="576">
          <cell r="A576">
            <v>0</v>
          </cell>
          <cell r="C576">
            <v>0</v>
          </cell>
          <cell r="E576">
            <v>0</v>
          </cell>
          <cell r="F576">
            <v>0</v>
          </cell>
          <cell r="G576">
            <v>0</v>
          </cell>
          <cell r="M576">
            <v>0</v>
          </cell>
        </row>
        <row r="577">
          <cell r="A577" t="str">
            <v>10-01-030</v>
          </cell>
          <cell r="B577" t="str">
            <v>10-01-030</v>
          </cell>
          <cell r="C577" t="str">
            <v>BALDOSA DE CEMENTO 20x20 DECORADA TIPO 3. INCLUYE MORTERO DE PEGA, PULIDA Y BRILLADA</v>
          </cell>
          <cell r="D577">
            <v>19</v>
          </cell>
          <cell r="E577" t="str">
            <v>M2</v>
          </cell>
          <cell r="F577">
            <v>0</v>
          </cell>
          <cell r="G577">
            <v>69273</v>
          </cell>
          <cell r="M577" t="e">
            <v>#N/A</v>
          </cell>
        </row>
        <row r="578">
          <cell r="A578" t="str">
            <v>10-01-030</v>
          </cell>
          <cell r="B578" t="str">
            <v>mt15560</v>
          </cell>
          <cell r="C578" t="str">
            <v>Baldosa 20 mosaico 2 colores</v>
          </cell>
          <cell r="D578">
            <v>1.05</v>
          </cell>
          <cell r="E578" t="str">
            <v>m2</v>
          </cell>
          <cell r="F578">
            <v>43017</v>
          </cell>
          <cell r="G578">
            <v>45168</v>
          </cell>
          <cell r="M578" t="str">
            <v>mt</v>
          </cell>
        </row>
        <row r="579">
          <cell r="A579" t="str">
            <v>10-01-030</v>
          </cell>
          <cell r="B579" t="str">
            <v>sc104720</v>
          </cell>
          <cell r="C579" t="str">
            <v>Lechada para baldosa color acorde al piso</v>
          </cell>
          <cell r="D579">
            <v>1</v>
          </cell>
          <cell r="E579" t="str">
            <v>m2</v>
          </cell>
          <cell r="F579">
            <v>2292.16</v>
          </cell>
          <cell r="G579">
            <v>2293</v>
          </cell>
          <cell r="M579" t="str">
            <v>sc</v>
          </cell>
        </row>
        <row r="580">
          <cell r="A580" t="str">
            <v>10-01-030</v>
          </cell>
          <cell r="B580" t="str">
            <v>sc104730</v>
          </cell>
          <cell r="C580" t="str">
            <v>Transporte baldosa</v>
          </cell>
          <cell r="D580">
            <v>1</v>
          </cell>
          <cell r="E580" t="str">
            <v>m2</v>
          </cell>
          <cell r="F580">
            <v>2720.848</v>
          </cell>
          <cell r="G580">
            <v>2721</v>
          </cell>
          <cell r="M580" t="str">
            <v>sc</v>
          </cell>
        </row>
        <row r="581">
          <cell r="A581" t="str">
            <v>10-01-030</v>
          </cell>
          <cell r="B581" t="str">
            <v>sc104740</v>
          </cell>
          <cell r="C581" t="str">
            <v>MO instalacion baldosa</v>
          </cell>
          <cell r="D581">
            <v>1</v>
          </cell>
          <cell r="E581" t="str">
            <v>m2</v>
          </cell>
          <cell r="F581">
            <v>10316.464</v>
          </cell>
          <cell r="G581">
            <v>10317</v>
          </cell>
          <cell r="M581" t="str">
            <v>mo</v>
          </cell>
        </row>
        <row r="582">
          <cell r="A582" t="str">
            <v>10-01-030</v>
          </cell>
          <cell r="B582" t="str">
            <v>au11700</v>
          </cell>
          <cell r="C582" t="str">
            <v>Aux mortero de pega 1:4</v>
          </cell>
          <cell r="D582">
            <v>3.3000000000000002E-2</v>
          </cell>
          <cell r="E582" t="str">
            <v>m3</v>
          </cell>
          <cell r="F582">
            <v>246314</v>
          </cell>
          <cell r="G582">
            <v>8129</v>
          </cell>
          <cell r="M582" t="str">
            <v>au</v>
          </cell>
        </row>
        <row r="583">
          <cell r="A583" t="str">
            <v>10-01-030</v>
          </cell>
          <cell r="B583" t="str">
            <v>mo17600</v>
          </cell>
          <cell r="C583" t="str">
            <v>MO transporte interno concreto</v>
          </cell>
          <cell r="D583">
            <v>3.3000000000000002E-2</v>
          </cell>
          <cell r="E583" t="str">
            <v>m3</v>
          </cell>
          <cell r="F583">
            <v>6000</v>
          </cell>
          <cell r="G583">
            <v>198</v>
          </cell>
          <cell r="M583" t="str">
            <v>mo</v>
          </cell>
        </row>
        <row r="584">
          <cell r="A584" t="str">
            <v>10-01-030</v>
          </cell>
          <cell r="B584" t="str">
            <v>mt13900</v>
          </cell>
          <cell r="C584" t="str">
            <v>Elementos de consumo y protección</v>
          </cell>
          <cell r="D584">
            <v>10515</v>
          </cell>
          <cell r="E584" t="str">
            <v>%</v>
          </cell>
          <cell r="F584">
            <v>1.2455000000000001E-2</v>
          </cell>
          <cell r="G584">
            <v>131</v>
          </cell>
          <cell r="M584" t="str">
            <v>mt</v>
          </cell>
        </row>
        <row r="585">
          <cell r="A585" t="str">
            <v>10-01-030</v>
          </cell>
          <cell r="B585" t="str">
            <v>hm15100</v>
          </cell>
          <cell r="C585" t="str">
            <v>Herramienta y equipo menor</v>
          </cell>
          <cell r="D585">
            <v>10515</v>
          </cell>
          <cell r="E585" t="str">
            <v>%</v>
          </cell>
          <cell r="F585">
            <v>0.03</v>
          </cell>
          <cell r="G585">
            <v>316</v>
          </cell>
          <cell r="M585" t="str">
            <v>hm</v>
          </cell>
        </row>
        <row r="586">
          <cell r="A586">
            <v>0</v>
          </cell>
          <cell r="C586" t="str">
            <v>DIRECTO:  69,273 / M2</v>
          </cell>
          <cell r="E586">
            <v>0</v>
          </cell>
          <cell r="F586">
            <v>0</v>
          </cell>
          <cell r="G586">
            <v>0</v>
          </cell>
          <cell r="M586">
            <v>0</v>
          </cell>
        </row>
        <row r="587">
          <cell r="A587">
            <v>0</v>
          </cell>
          <cell r="C587">
            <v>0</v>
          </cell>
          <cell r="E587">
            <v>0</v>
          </cell>
          <cell r="F587">
            <v>0</v>
          </cell>
          <cell r="G587">
            <v>0</v>
          </cell>
          <cell r="M587">
            <v>0</v>
          </cell>
        </row>
        <row r="588">
          <cell r="A588" t="str">
            <v>10-01-040</v>
          </cell>
          <cell r="B588" t="str">
            <v>10-01-040</v>
          </cell>
          <cell r="C588" t="str">
            <v>BALDOSA DE CEMENTO 20x20 DECORADA TIPO 4. INCLUYE MORTERO DE PEGA, PULIDA Y BRILLADA</v>
          </cell>
          <cell r="D588">
            <v>288</v>
          </cell>
          <cell r="E588" t="str">
            <v>M2</v>
          </cell>
          <cell r="F588">
            <v>0</v>
          </cell>
          <cell r="G588">
            <v>69273</v>
          </cell>
          <cell r="M588" t="e">
            <v>#N/A</v>
          </cell>
        </row>
        <row r="589">
          <cell r="A589" t="str">
            <v>10-01-040</v>
          </cell>
          <cell r="B589" t="str">
            <v>mt15560</v>
          </cell>
          <cell r="C589" t="str">
            <v>Baldosa 20 mosaico 2 colores</v>
          </cell>
          <cell r="D589">
            <v>1.05</v>
          </cell>
          <cell r="E589" t="str">
            <v>m2</v>
          </cell>
          <cell r="F589">
            <v>43017</v>
          </cell>
          <cell r="G589">
            <v>45168</v>
          </cell>
          <cell r="M589" t="str">
            <v>mt</v>
          </cell>
        </row>
        <row r="590">
          <cell r="A590" t="str">
            <v>10-01-040</v>
          </cell>
          <cell r="B590" t="str">
            <v>sc104720</v>
          </cell>
          <cell r="C590" t="str">
            <v>Lechada para baldosa color acorde al piso</v>
          </cell>
          <cell r="D590">
            <v>1</v>
          </cell>
          <cell r="E590" t="str">
            <v>m2</v>
          </cell>
          <cell r="F590">
            <v>2292.16</v>
          </cell>
          <cell r="G590">
            <v>2293</v>
          </cell>
          <cell r="M590" t="str">
            <v>sc</v>
          </cell>
        </row>
        <row r="591">
          <cell r="A591" t="str">
            <v>10-01-040</v>
          </cell>
          <cell r="B591" t="str">
            <v>sc104730</v>
          </cell>
          <cell r="C591" t="str">
            <v>Transporte baldosa</v>
          </cell>
          <cell r="D591">
            <v>1</v>
          </cell>
          <cell r="E591" t="str">
            <v>m2</v>
          </cell>
          <cell r="F591">
            <v>2720.848</v>
          </cell>
          <cell r="G591">
            <v>2721</v>
          </cell>
          <cell r="M591" t="str">
            <v>sc</v>
          </cell>
        </row>
        <row r="592">
          <cell r="A592" t="str">
            <v>10-01-040</v>
          </cell>
          <cell r="B592" t="str">
            <v>sc104740</v>
          </cell>
          <cell r="C592" t="str">
            <v>MO instalacion baldosa</v>
          </cell>
          <cell r="D592">
            <v>1</v>
          </cell>
          <cell r="E592" t="str">
            <v>m2</v>
          </cell>
          <cell r="F592">
            <v>10316.464</v>
          </cell>
          <cell r="G592">
            <v>10317</v>
          </cell>
          <cell r="M592" t="str">
            <v>mo</v>
          </cell>
        </row>
        <row r="593">
          <cell r="A593" t="str">
            <v>10-01-040</v>
          </cell>
          <cell r="B593" t="str">
            <v>au11700</v>
          </cell>
          <cell r="C593" t="str">
            <v>Aux mortero de pega 1:4</v>
          </cell>
          <cell r="D593">
            <v>3.3000000000000002E-2</v>
          </cell>
          <cell r="E593" t="str">
            <v>m3</v>
          </cell>
          <cell r="F593">
            <v>246314</v>
          </cell>
          <cell r="G593">
            <v>8129</v>
          </cell>
          <cell r="M593" t="str">
            <v>au</v>
          </cell>
        </row>
        <row r="594">
          <cell r="A594" t="str">
            <v>10-01-040</v>
          </cell>
          <cell r="B594" t="str">
            <v>mo17600</v>
          </cell>
          <cell r="C594" t="str">
            <v>MO transporte interno concreto</v>
          </cell>
          <cell r="D594">
            <v>3.3000000000000002E-2</v>
          </cell>
          <cell r="E594" t="str">
            <v>m3</v>
          </cell>
          <cell r="F594">
            <v>6000</v>
          </cell>
          <cell r="G594">
            <v>198</v>
          </cell>
          <cell r="M594" t="str">
            <v>mo</v>
          </cell>
        </row>
        <row r="595">
          <cell r="A595" t="str">
            <v>10-01-040</v>
          </cell>
          <cell r="B595" t="str">
            <v>mt13900</v>
          </cell>
          <cell r="C595" t="str">
            <v>Elementos de consumo y protección</v>
          </cell>
          <cell r="D595">
            <v>10515</v>
          </cell>
          <cell r="E595" t="str">
            <v>%</v>
          </cell>
          <cell r="F595">
            <v>1.2455000000000001E-2</v>
          </cell>
          <cell r="G595">
            <v>131</v>
          </cell>
          <cell r="M595" t="str">
            <v>mt</v>
          </cell>
        </row>
        <row r="596">
          <cell r="A596" t="str">
            <v>10-01-040</v>
          </cell>
          <cell r="B596" t="str">
            <v>hm15100</v>
          </cell>
          <cell r="C596" t="str">
            <v>Herramienta y equipo menor</v>
          </cell>
          <cell r="D596">
            <v>10515</v>
          </cell>
          <cell r="E596" t="str">
            <v>%</v>
          </cell>
          <cell r="F596">
            <v>0.03</v>
          </cell>
          <cell r="G596">
            <v>316</v>
          </cell>
          <cell r="M596" t="str">
            <v>hm</v>
          </cell>
        </row>
        <row r="597">
          <cell r="A597">
            <v>0</v>
          </cell>
          <cell r="C597" t="str">
            <v>DIRECTO:  69,273 / M2</v>
          </cell>
          <cell r="E597">
            <v>0</v>
          </cell>
          <cell r="F597">
            <v>0</v>
          </cell>
          <cell r="G597">
            <v>0</v>
          </cell>
          <cell r="M597">
            <v>0</v>
          </cell>
        </row>
        <row r="598">
          <cell r="A598">
            <v>0</v>
          </cell>
          <cell r="C598">
            <v>0</v>
          </cell>
          <cell r="E598">
            <v>0</v>
          </cell>
          <cell r="F598">
            <v>0</v>
          </cell>
          <cell r="G598">
            <v>0</v>
          </cell>
          <cell r="M598">
            <v>0</v>
          </cell>
        </row>
        <row r="599">
          <cell r="A599" t="str">
            <v>10-01-050</v>
          </cell>
          <cell r="B599" t="str">
            <v>10-01-050</v>
          </cell>
          <cell r="C599" t="str">
            <v>BALDOSA DE CEMENTO 20x20 DECORADA TIPO 5. INCLUYE MORTERO DE PEGA, PULIDA Y BRILLADA</v>
          </cell>
          <cell r="D599">
            <v>68</v>
          </cell>
          <cell r="E599" t="str">
            <v>M2</v>
          </cell>
          <cell r="F599">
            <v>0</v>
          </cell>
          <cell r="G599">
            <v>69273</v>
          </cell>
          <cell r="M599" t="e">
            <v>#N/A</v>
          </cell>
        </row>
        <row r="600">
          <cell r="A600" t="str">
            <v>10-01-050</v>
          </cell>
          <cell r="B600" t="str">
            <v>mt15560</v>
          </cell>
          <cell r="C600" t="str">
            <v>Baldosa 20 mosaico 2 colores</v>
          </cell>
          <cell r="D600">
            <v>1.05</v>
          </cell>
          <cell r="E600" t="str">
            <v>m2</v>
          </cell>
          <cell r="F600">
            <v>43017</v>
          </cell>
          <cell r="G600">
            <v>45168</v>
          </cell>
          <cell r="M600" t="str">
            <v>mt</v>
          </cell>
        </row>
        <row r="601">
          <cell r="A601" t="str">
            <v>10-01-050</v>
          </cell>
          <cell r="B601" t="str">
            <v>sc104720</v>
          </cell>
          <cell r="C601" t="str">
            <v>Lechada para baldosa color acorde al piso</v>
          </cell>
          <cell r="D601">
            <v>1</v>
          </cell>
          <cell r="E601" t="str">
            <v>m2</v>
          </cell>
          <cell r="F601">
            <v>2292.16</v>
          </cell>
          <cell r="G601">
            <v>2293</v>
          </cell>
          <cell r="M601" t="str">
            <v>sc</v>
          </cell>
        </row>
        <row r="602">
          <cell r="A602" t="str">
            <v>10-01-050</v>
          </cell>
          <cell r="B602" t="str">
            <v>sc104730</v>
          </cell>
          <cell r="C602" t="str">
            <v>Transporte baldosa</v>
          </cell>
          <cell r="D602">
            <v>1</v>
          </cell>
          <cell r="E602" t="str">
            <v>m2</v>
          </cell>
          <cell r="F602">
            <v>2720.848</v>
          </cell>
          <cell r="G602">
            <v>2721</v>
          </cell>
          <cell r="M602" t="str">
            <v>sc</v>
          </cell>
        </row>
        <row r="603">
          <cell r="A603" t="str">
            <v>10-01-050</v>
          </cell>
          <cell r="B603" t="str">
            <v>sc104740</v>
          </cell>
          <cell r="C603" t="str">
            <v>MO instalacion baldosa</v>
          </cell>
          <cell r="D603">
            <v>1</v>
          </cell>
          <cell r="E603" t="str">
            <v>m2</v>
          </cell>
          <cell r="F603">
            <v>10316.464</v>
          </cell>
          <cell r="G603">
            <v>10317</v>
          </cell>
          <cell r="M603" t="str">
            <v>mo</v>
          </cell>
        </row>
        <row r="604">
          <cell r="A604" t="str">
            <v>10-01-050</v>
          </cell>
          <cell r="B604" t="str">
            <v>au11700</v>
          </cell>
          <cell r="C604" t="str">
            <v>Aux mortero de pega 1:4</v>
          </cell>
          <cell r="D604">
            <v>3.3000000000000002E-2</v>
          </cell>
          <cell r="E604" t="str">
            <v>m3</v>
          </cell>
          <cell r="F604">
            <v>246314</v>
          </cell>
          <cell r="G604">
            <v>8129</v>
          </cell>
          <cell r="M604" t="str">
            <v>au</v>
          </cell>
        </row>
        <row r="605">
          <cell r="A605" t="str">
            <v>10-01-050</v>
          </cell>
          <cell r="B605" t="str">
            <v>mo17600</v>
          </cell>
          <cell r="C605" t="str">
            <v>MO transporte interno concreto</v>
          </cell>
          <cell r="D605">
            <v>3.3000000000000002E-2</v>
          </cell>
          <cell r="E605" t="str">
            <v>m3</v>
          </cell>
          <cell r="F605">
            <v>6000</v>
          </cell>
          <cell r="G605">
            <v>198</v>
          </cell>
          <cell r="M605" t="str">
            <v>mo</v>
          </cell>
        </row>
        <row r="606">
          <cell r="A606" t="str">
            <v>10-01-050</v>
          </cell>
          <cell r="B606" t="str">
            <v>mt13900</v>
          </cell>
          <cell r="C606" t="str">
            <v>Elementos de consumo y protección</v>
          </cell>
          <cell r="D606">
            <v>10515</v>
          </cell>
          <cell r="E606" t="str">
            <v>%</v>
          </cell>
          <cell r="F606">
            <v>1.2455000000000001E-2</v>
          </cell>
          <cell r="G606">
            <v>131</v>
          </cell>
          <cell r="M606" t="str">
            <v>mt</v>
          </cell>
        </row>
        <row r="607">
          <cell r="A607" t="str">
            <v>10-01-050</v>
          </cell>
          <cell r="B607" t="str">
            <v>hm15100</v>
          </cell>
          <cell r="C607" t="str">
            <v>Herramienta y equipo menor</v>
          </cell>
          <cell r="D607">
            <v>10515</v>
          </cell>
          <cell r="E607" t="str">
            <v>%</v>
          </cell>
          <cell r="F607">
            <v>0.03</v>
          </cell>
          <cell r="G607">
            <v>316</v>
          </cell>
          <cell r="M607" t="str">
            <v>hm</v>
          </cell>
        </row>
        <row r="608">
          <cell r="A608">
            <v>0</v>
          </cell>
          <cell r="C608" t="str">
            <v>DIRECTO:  69,273 / M2</v>
          </cell>
          <cell r="E608">
            <v>0</v>
          </cell>
          <cell r="F608">
            <v>0</v>
          </cell>
          <cell r="G608">
            <v>0</v>
          </cell>
          <cell r="M608">
            <v>0</v>
          </cell>
        </row>
        <row r="609">
          <cell r="A609">
            <v>0</v>
          </cell>
          <cell r="C609">
            <v>0</v>
          </cell>
          <cell r="E609">
            <v>0</v>
          </cell>
          <cell r="F609">
            <v>0</v>
          </cell>
          <cell r="G609">
            <v>0</v>
          </cell>
          <cell r="M609">
            <v>0</v>
          </cell>
        </row>
        <row r="610">
          <cell r="A610" t="str">
            <v>10-01-060</v>
          </cell>
          <cell r="B610" t="str">
            <v>10-01-060</v>
          </cell>
          <cell r="C610" t="str">
            <v>BALDOSA DE CEMENTO 20x20 DECORADA TIPO 6. INCLUYE MORTERO DE PEGA, PULIDA Y BRILLADA</v>
          </cell>
          <cell r="D610">
            <v>44</v>
          </cell>
          <cell r="E610" t="str">
            <v>M2</v>
          </cell>
          <cell r="F610">
            <v>0</v>
          </cell>
          <cell r="G610">
            <v>72261</v>
          </cell>
          <cell r="M610" t="e">
            <v>#N/A</v>
          </cell>
        </row>
        <row r="611">
          <cell r="A611" t="str">
            <v>10-01-060</v>
          </cell>
          <cell r="B611" t="str">
            <v>mt15550</v>
          </cell>
          <cell r="C611" t="str">
            <v>Baldosa 20 mosaico 4 colores</v>
          </cell>
          <cell r="D611">
            <v>1.05</v>
          </cell>
          <cell r="E611" t="str">
            <v>m2</v>
          </cell>
          <cell r="F611">
            <v>45862</v>
          </cell>
          <cell r="G611">
            <v>48156</v>
          </cell>
          <cell r="M611" t="str">
            <v>mt</v>
          </cell>
        </row>
        <row r="612">
          <cell r="A612" t="str">
            <v>10-01-060</v>
          </cell>
          <cell r="B612" t="str">
            <v>sc104720</v>
          </cell>
          <cell r="C612" t="str">
            <v>Lechada para baldosa color acorde al piso</v>
          </cell>
          <cell r="D612">
            <v>1</v>
          </cell>
          <cell r="E612" t="str">
            <v>m2</v>
          </cell>
          <cell r="F612">
            <v>2292.16</v>
          </cell>
          <cell r="G612">
            <v>2293</v>
          </cell>
          <cell r="M612" t="str">
            <v>sc</v>
          </cell>
        </row>
        <row r="613">
          <cell r="A613" t="str">
            <v>10-01-060</v>
          </cell>
          <cell r="B613" t="str">
            <v>sc104730</v>
          </cell>
          <cell r="C613" t="str">
            <v>Transporte baldosa</v>
          </cell>
          <cell r="D613">
            <v>1</v>
          </cell>
          <cell r="E613" t="str">
            <v>m2</v>
          </cell>
          <cell r="F613">
            <v>2720.848</v>
          </cell>
          <cell r="G613">
            <v>2721</v>
          </cell>
          <cell r="M613" t="str">
            <v>sc</v>
          </cell>
        </row>
        <row r="614">
          <cell r="A614" t="str">
            <v>10-01-060</v>
          </cell>
          <cell r="B614" t="str">
            <v>sc104740</v>
          </cell>
          <cell r="C614" t="str">
            <v>MO instalacion baldosa</v>
          </cell>
          <cell r="D614">
            <v>1</v>
          </cell>
          <cell r="E614" t="str">
            <v>m2</v>
          </cell>
          <cell r="F614">
            <v>10316.464</v>
          </cell>
          <cell r="G614">
            <v>10317</v>
          </cell>
          <cell r="M614" t="str">
            <v>mo</v>
          </cell>
        </row>
        <row r="615">
          <cell r="A615" t="str">
            <v>10-01-060</v>
          </cell>
          <cell r="B615" t="str">
            <v>au11700</v>
          </cell>
          <cell r="C615" t="str">
            <v>Aux mortero de pega 1:4</v>
          </cell>
          <cell r="D615">
            <v>3.3000000000000002E-2</v>
          </cell>
          <cell r="E615" t="str">
            <v>m3</v>
          </cell>
          <cell r="F615">
            <v>246314</v>
          </cell>
          <cell r="G615">
            <v>8129</v>
          </cell>
          <cell r="M615" t="str">
            <v>au</v>
          </cell>
        </row>
        <row r="616">
          <cell r="A616" t="str">
            <v>10-01-060</v>
          </cell>
          <cell r="B616" t="str">
            <v>mo17600</v>
          </cell>
          <cell r="C616" t="str">
            <v>MO transporte interno concreto</v>
          </cell>
          <cell r="D616">
            <v>3.3000000000000002E-2</v>
          </cell>
          <cell r="E616" t="str">
            <v>m3</v>
          </cell>
          <cell r="F616">
            <v>6000</v>
          </cell>
          <cell r="G616">
            <v>198</v>
          </cell>
          <cell r="M616" t="str">
            <v>mo</v>
          </cell>
        </row>
        <row r="617">
          <cell r="A617" t="str">
            <v>10-01-060</v>
          </cell>
          <cell r="B617" t="str">
            <v>mt13900</v>
          </cell>
          <cell r="C617" t="str">
            <v>Elementos de consumo y protección</v>
          </cell>
          <cell r="D617">
            <v>10515</v>
          </cell>
          <cell r="E617" t="str">
            <v>%</v>
          </cell>
          <cell r="F617">
            <v>1.2455000000000001E-2</v>
          </cell>
          <cell r="G617">
            <v>131</v>
          </cell>
          <cell r="M617" t="str">
            <v>mt</v>
          </cell>
        </row>
        <row r="618">
          <cell r="A618" t="str">
            <v>10-01-060</v>
          </cell>
          <cell r="B618" t="str">
            <v>hm15100</v>
          </cell>
          <cell r="C618" t="str">
            <v>Herramienta y equipo menor</v>
          </cell>
          <cell r="D618">
            <v>10515</v>
          </cell>
          <cell r="E618" t="str">
            <v>%</v>
          </cell>
          <cell r="F618">
            <v>0.03</v>
          </cell>
          <cell r="G618">
            <v>316</v>
          </cell>
          <cell r="M618" t="str">
            <v>hm</v>
          </cell>
        </row>
        <row r="619">
          <cell r="A619">
            <v>0</v>
          </cell>
          <cell r="C619" t="str">
            <v>DIRECTO:  72,261 / M2</v>
          </cell>
          <cell r="E619">
            <v>0</v>
          </cell>
          <cell r="F619">
            <v>0</v>
          </cell>
          <cell r="G619">
            <v>0</v>
          </cell>
          <cell r="M619">
            <v>0</v>
          </cell>
        </row>
        <row r="620">
          <cell r="A620">
            <v>0</v>
          </cell>
          <cell r="C620">
            <v>0</v>
          </cell>
          <cell r="E620">
            <v>0</v>
          </cell>
          <cell r="F620">
            <v>0</v>
          </cell>
          <cell r="G620">
            <v>0</v>
          </cell>
          <cell r="M620">
            <v>0</v>
          </cell>
        </row>
        <row r="621">
          <cell r="A621" t="str">
            <v>10-01-070</v>
          </cell>
          <cell r="B621" t="str">
            <v>10-01-070</v>
          </cell>
          <cell r="C621" t="str">
            <v>CERAMICA TIPO DUROPISO DE CORONA O EQUIVALENTE COLOR NEGRO</v>
          </cell>
          <cell r="D621">
            <v>100</v>
          </cell>
          <cell r="E621" t="str">
            <v>M2</v>
          </cell>
          <cell r="F621">
            <v>0</v>
          </cell>
          <cell r="G621">
            <v>62035</v>
          </cell>
          <cell r="M621" t="e">
            <v>#N/A</v>
          </cell>
        </row>
        <row r="622">
          <cell r="A622" t="str">
            <v>10-01-070</v>
          </cell>
          <cell r="B622" t="str">
            <v>au11700</v>
          </cell>
          <cell r="C622" t="str">
            <v>Aux mortero de pega 1:4</v>
          </cell>
          <cell r="D622">
            <v>3.15E-2</v>
          </cell>
          <cell r="E622" t="str">
            <v>m3</v>
          </cell>
          <cell r="F622">
            <v>246314</v>
          </cell>
          <cell r="G622">
            <v>7759</v>
          </cell>
          <cell r="M622" t="str">
            <v>au</v>
          </cell>
        </row>
        <row r="623">
          <cell r="A623" t="str">
            <v>10-01-070</v>
          </cell>
          <cell r="B623" t="str">
            <v>mt15570</v>
          </cell>
          <cell r="C623" t="str">
            <v>Duropiso negro Corona</v>
          </cell>
          <cell r="D623">
            <v>1.02</v>
          </cell>
          <cell r="E623" t="str">
            <v>m2</v>
          </cell>
          <cell r="F623">
            <v>39150</v>
          </cell>
          <cell r="G623">
            <v>39933</v>
          </cell>
          <cell r="M623" t="str">
            <v>mt</v>
          </cell>
        </row>
        <row r="624">
          <cell r="A624" t="str">
            <v>10-01-070</v>
          </cell>
          <cell r="B624" t="str">
            <v>mt15910</v>
          </cell>
          <cell r="C624" t="str">
            <v>Concolor porcelanato negro profundo x 5kg</v>
          </cell>
          <cell r="D624">
            <v>0.06</v>
          </cell>
          <cell r="E624" t="str">
            <v>cj</v>
          </cell>
          <cell r="F624">
            <v>14484</v>
          </cell>
          <cell r="G624">
            <v>870</v>
          </cell>
          <cell r="M624" t="str">
            <v>mt</v>
          </cell>
        </row>
        <row r="625">
          <cell r="A625" t="str">
            <v>10-01-070</v>
          </cell>
          <cell r="B625" t="str">
            <v>mo17600</v>
          </cell>
          <cell r="C625" t="str">
            <v>MO transporte interno concreto</v>
          </cell>
          <cell r="D625">
            <v>3.15E-2</v>
          </cell>
          <cell r="E625" t="str">
            <v>m3</v>
          </cell>
          <cell r="F625">
            <v>6000</v>
          </cell>
          <cell r="G625">
            <v>189</v>
          </cell>
          <cell r="M625" t="str">
            <v>mo</v>
          </cell>
        </row>
        <row r="626">
          <cell r="A626" t="str">
            <v>10-01-070</v>
          </cell>
          <cell r="B626" t="str">
            <v>mo104690</v>
          </cell>
          <cell r="C626" t="str">
            <v>MO instalacion piso en duropiso</v>
          </cell>
          <cell r="D626">
            <v>1</v>
          </cell>
          <cell r="E626" t="str">
            <v>m2</v>
          </cell>
          <cell r="F626">
            <v>12735</v>
          </cell>
          <cell r="G626">
            <v>12735</v>
          </cell>
          <cell r="M626" t="str">
            <v>mo</v>
          </cell>
        </row>
        <row r="627">
          <cell r="A627" t="str">
            <v>10-01-070</v>
          </cell>
          <cell r="B627" t="str">
            <v>mt13900</v>
          </cell>
          <cell r="C627" t="str">
            <v>Elementos de consumo y protección</v>
          </cell>
          <cell r="D627">
            <v>12924</v>
          </cell>
          <cell r="E627" t="str">
            <v>%</v>
          </cell>
          <cell r="F627">
            <v>1.2455000000000001E-2</v>
          </cell>
          <cell r="G627">
            <v>161</v>
          </cell>
          <cell r="M627" t="str">
            <v>mt</v>
          </cell>
        </row>
        <row r="628">
          <cell r="A628" t="str">
            <v>10-01-070</v>
          </cell>
          <cell r="B628" t="str">
            <v>hm15100</v>
          </cell>
          <cell r="C628" t="str">
            <v>Herramienta y equipo menor</v>
          </cell>
          <cell r="D628">
            <v>12924</v>
          </cell>
          <cell r="E628" t="str">
            <v>%</v>
          </cell>
          <cell r="F628">
            <v>0.03</v>
          </cell>
          <cell r="G628">
            <v>388</v>
          </cell>
          <cell r="M628" t="str">
            <v>hm</v>
          </cell>
        </row>
        <row r="629">
          <cell r="A629">
            <v>0</v>
          </cell>
          <cell r="C629" t="str">
            <v>DIRECTO:  62,035 / M2</v>
          </cell>
          <cell r="E629">
            <v>0</v>
          </cell>
          <cell r="F629">
            <v>0</v>
          </cell>
          <cell r="G629">
            <v>0</v>
          </cell>
          <cell r="M629">
            <v>0</v>
          </cell>
        </row>
        <row r="630">
          <cell r="A630">
            <v>0</v>
          </cell>
          <cell r="C630">
            <v>0</v>
          </cell>
          <cell r="E630">
            <v>0</v>
          </cell>
          <cell r="F630">
            <v>0</v>
          </cell>
          <cell r="G630">
            <v>0</v>
          </cell>
          <cell r="M630">
            <v>0</v>
          </cell>
        </row>
        <row r="631">
          <cell r="A631" t="str">
            <v>10-01-080</v>
          </cell>
          <cell r="B631" t="str">
            <v>10-01-080</v>
          </cell>
          <cell r="C631" t="str">
            <v>PISO EN MADERA PARA OFICINAS. ESTRUCTURA DE ALFARDAS Y TABLILLA DE PISO. INCLUYE ACABADO</v>
          </cell>
          <cell r="D631">
            <v>297</v>
          </cell>
          <cell r="E631" t="str">
            <v>M2</v>
          </cell>
          <cell r="F631">
            <v>0</v>
          </cell>
          <cell r="G631">
            <v>153654</v>
          </cell>
          <cell r="M631" t="e">
            <v>#N/A</v>
          </cell>
        </row>
        <row r="632">
          <cell r="A632" t="str">
            <v>10-01-080</v>
          </cell>
          <cell r="B632" t="str">
            <v>mt574000</v>
          </cell>
          <cell r="C632" t="str">
            <v>Tablilla en choiba para piso 1.8x8cm</v>
          </cell>
          <cell r="D632">
            <v>1.02</v>
          </cell>
          <cell r="E632" t="str">
            <v>un</v>
          </cell>
          <cell r="F632">
            <v>30000</v>
          </cell>
          <cell r="G632">
            <v>30600</v>
          </cell>
          <cell r="M632" t="str">
            <v>mt</v>
          </cell>
        </row>
        <row r="633">
          <cell r="A633" t="str">
            <v>10-01-080</v>
          </cell>
          <cell r="B633" t="str">
            <v>mt573100</v>
          </cell>
          <cell r="C633" t="str">
            <v>Viga en choiba de 8cmx11cmx6m</v>
          </cell>
          <cell r="D633">
            <v>2.2222222222222223</v>
          </cell>
          <cell r="E633" t="str">
            <v>un</v>
          </cell>
          <cell r="F633">
            <v>45000</v>
          </cell>
          <cell r="G633">
            <v>100000</v>
          </cell>
          <cell r="M633" t="str">
            <v>mt</v>
          </cell>
        </row>
        <row r="634">
          <cell r="A634" t="str">
            <v>10-01-080</v>
          </cell>
          <cell r="B634" t="str">
            <v>eq96200</v>
          </cell>
          <cell r="C634" t="str">
            <v>Pulidora electrica manual</v>
          </cell>
          <cell r="D634">
            <v>0.1</v>
          </cell>
          <cell r="E634" t="str">
            <v>dia</v>
          </cell>
          <cell r="F634">
            <v>22040</v>
          </cell>
          <cell r="G634">
            <v>2204</v>
          </cell>
          <cell r="M634" t="str">
            <v>eq</v>
          </cell>
        </row>
        <row r="635">
          <cell r="A635" t="str">
            <v>10-01-080</v>
          </cell>
          <cell r="B635" t="str">
            <v>mo104670</v>
          </cell>
          <cell r="C635" t="str">
            <v>MO instalacion piso en madera</v>
          </cell>
          <cell r="D635">
            <v>1</v>
          </cell>
          <cell r="E635" t="str">
            <v>m2</v>
          </cell>
          <cell r="F635">
            <v>20000</v>
          </cell>
          <cell r="G635">
            <v>20000</v>
          </cell>
          <cell r="M635" t="str">
            <v>mo</v>
          </cell>
        </row>
        <row r="636">
          <cell r="A636" t="str">
            <v>10-01-080</v>
          </cell>
          <cell r="B636" t="str">
            <v>mt13900</v>
          </cell>
          <cell r="C636" t="str">
            <v>Elementos de consumo y protección</v>
          </cell>
          <cell r="D636">
            <v>20000</v>
          </cell>
          <cell r="E636" t="str">
            <v>%</v>
          </cell>
          <cell r="F636">
            <v>1.2455000000000001E-2</v>
          </cell>
          <cell r="G636">
            <v>250</v>
          </cell>
          <cell r="M636" t="str">
            <v>mt</v>
          </cell>
        </row>
        <row r="637">
          <cell r="A637" t="str">
            <v>10-01-080</v>
          </cell>
          <cell r="B637" t="str">
            <v>hm15100</v>
          </cell>
          <cell r="C637" t="str">
            <v>Herramienta y equipo menor</v>
          </cell>
          <cell r="D637">
            <v>20000</v>
          </cell>
          <cell r="E637" t="str">
            <v>%</v>
          </cell>
          <cell r="F637">
            <v>0.03</v>
          </cell>
          <cell r="G637">
            <v>600</v>
          </cell>
          <cell r="M637" t="str">
            <v>hm</v>
          </cell>
        </row>
        <row r="638">
          <cell r="A638">
            <v>0</v>
          </cell>
          <cell r="C638" t="str">
            <v>DIRECTO:  153,654 / M2</v>
          </cell>
          <cell r="E638">
            <v>0</v>
          </cell>
          <cell r="F638">
            <v>0</v>
          </cell>
          <cell r="G638">
            <v>0</v>
          </cell>
          <cell r="M638">
            <v>0</v>
          </cell>
        </row>
        <row r="639">
          <cell r="A639">
            <v>0</v>
          </cell>
          <cell r="C639">
            <v>0</v>
          </cell>
          <cell r="E639">
            <v>0</v>
          </cell>
          <cell r="F639">
            <v>0</v>
          </cell>
          <cell r="G639">
            <v>0</v>
          </cell>
          <cell r="M639">
            <v>0</v>
          </cell>
        </row>
        <row r="640">
          <cell r="A640" t="str">
            <v>10-01-090</v>
          </cell>
          <cell r="B640" t="str">
            <v>10-01-090</v>
          </cell>
          <cell r="C640" t="str">
            <v>PISO EN CONCRETO F'C 21 MPA E: 0.05 M. PULIDO ENDURECIDO CON SIKAFLOOR 3 QUARTZTOP DE SIKA O EQUIVALENTE</v>
          </cell>
          <cell r="D640">
            <v>403</v>
          </cell>
          <cell r="E640" t="str">
            <v>M2</v>
          </cell>
          <cell r="F640">
            <v>0</v>
          </cell>
          <cell r="G640">
            <v>43014</v>
          </cell>
          <cell r="M640" t="e">
            <v>#N/A</v>
          </cell>
        </row>
        <row r="641">
          <cell r="A641" t="str">
            <v>10-01-090</v>
          </cell>
          <cell r="B641" t="str">
            <v>au10700</v>
          </cell>
          <cell r="C641" t="str">
            <v>Aux concreto 3000 psi -obra- 3/4"</v>
          </cell>
          <cell r="D641">
            <v>5.2500000000000005E-2</v>
          </cell>
          <cell r="E641" t="str">
            <v>m3</v>
          </cell>
          <cell r="F641">
            <v>271081</v>
          </cell>
          <cell r="G641">
            <v>14232</v>
          </cell>
          <cell r="M641" t="str">
            <v>au</v>
          </cell>
        </row>
        <row r="642">
          <cell r="A642" t="str">
            <v>10-01-090</v>
          </cell>
          <cell r="B642" t="str">
            <v>mt20030</v>
          </cell>
          <cell r="C642" t="str">
            <v>Sikafloor-3 Quartz Top x 30k</v>
          </cell>
          <cell r="D642">
            <v>5.25</v>
          </cell>
          <cell r="E642" t="str">
            <v>kg</v>
          </cell>
          <cell r="F642">
            <v>916.4</v>
          </cell>
          <cell r="G642">
            <v>4812</v>
          </cell>
          <cell r="M642" t="str">
            <v>mt</v>
          </cell>
        </row>
        <row r="643">
          <cell r="A643" t="str">
            <v>10-01-090</v>
          </cell>
          <cell r="B643" t="str">
            <v>eq96500</v>
          </cell>
          <cell r="C643" t="str">
            <v>Allanadora de 36"</v>
          </cell>
          <cell r="D643">
            <v>0.1</v>
          </cell>
          <cell r="E643" t="str">
            <v>dia</v>
          </cell>
          <cell r="F643">
            <v>80040</v>
          </cell>
          <cell r="G643">
            <v>8004</v>
          </cell>
          <cell r="M643" t="str">
            <v>eq</v>
          </cell>
        </row>
        <row r="644">
          <cell r="A644" t="str">
            <v>10-01-090</v>
          </cell>
          <cell r="B644" t="str">
            <v>mo17600</v>
          </cell>
          <cell r="C644" t="str">
            <v>MO transporte interno concreto</v>
          </cell>
          <cell r="D644">
            <v>5.2500000000000005E-2</v>
          </cell>
          <cell r="E644" t="str">
            <v>m3</v>
          </cell>
          <cell r="F644">
            <v>6000</v>
          </cell>
          <cell r="G644">
            <v>315</v>
          </cell>
          <cell r="M644" t="str">
            <v>mo</v>
          </cell>
        </row>
        <row r="645">
          <cell r="A645" t="str">
            <v>10-01-090</v>
          </cell>
          <cell r="B645" t="str">
            <v>mo120660</v>
          </cell>
          <cell r="C645" t="str">
            <v>MO vaciado piso en concreto e=5cm</v>
          </cell>
          <cell r="D645">
            <v>1</v>
          </cell>
          <cell r="E645" t="str">
            <v>m2</v>
          </cell>
          <cell r="F645">
            <v>15000</v>
          </cell>
          <cell r="G645">
            <v>15000</v>
          </cell>
          <cell r="M645" t="str">
            <v>mo</v>
          </cell>
        </row>
        <row r="646">
          <cell r="A646" t="str">
            <v>10-01-090</v>
          </cell>
          <cell r="B646" t="str">
            <v>mt13900</v>
          </cell>
          <cell r="C646" t="str">
            <v>Elementos de consumo y protección</v>
          </cell>
          <cell r="D646">
            <v>15315</v>
          </cell>
          <cell r="E646" t="str">
            <v>%</v>
          </cell>
          <cell r="F646">
            <v>1.2455000000000001E-2</v>
          </cell>
          <cell r="G646">
            <v>191</v>
          </cell>
          <cell r="M646" t="str">
            <v>mt</v>
          </cell>
        </row>
        <row r="647">
          <cell r="A647" t="str">
            <v>10-01-090</v>
          </cell>
          <cell r="B647" t="str">
            <v>hm15100</v>
          </cell>
          <cell r="C647" t="str">
            <v>Herramienta y equipo menor</v>
          </cell>
          <cell r="D647">
            <v>15315</v>
          </cell>
          <cell r="E647" t="str">
            <v>%</v>
          </cell>
          <cell r="F647">
            <v>0.03</v>
          </cell>
          <cell r="G647">
            <v>460</v>
          </cell>
          <cell r="M647" t="str">
            <v>hm</v>
          </cell>
        </row>
        <row r="648">
          <cell r="A648">
            <v>0</v>
          </cell>
          <cell r="C648" t="str">
            <v>DIRECTO:  43,014 / M2</v>
          </cell>
          <cell r="E648">
            <v>0</v>
          </cell>
          <cell r="F648">
            <v>0</v>
          </cell>
          <cell r="G648">
            <v>0</v>
          </cell>
          <cell r="M648">
            <v>0</v>
          </cell>
        </row>
        <row r="649">
          <cell r="A649">
            <v>0</v>
          </cell>
          <cell r="C649">
            <v>0</v>
          </cell>
          <cell r="E649">
            <v>0</v>
          </cell>
          <cell r="F649">
            <v>0</v>
          </cell>
          <cell r="G649">
            <v>0</v>
          </cell>
          <cell r="M649">
            <v>0</v>
          </cell>
        </row>
        <row r="650">
          <cell r="A650" t="str">
            <v>10-01-100</v>
          </cell>
          <cell r="B650" t="str">
            <v>10-01-100</v>
          </cell>
          <cell r="C650" t="str">
            <v>PISO EN MADERA LAMINADA PARA ESCALAS</v>
          </cell>
          <cell r="D650">
            <v>48</v>
          </cell>
          <cell r="E650" t="str">
            <v>M2</v>
          </cell>
          <cell r="F650">
            <v>0</v>
          </cell>
          <cell r="G650">
            <v>70000</v>
          </cell>
          <cell r="M650" t="e">
            <v>#N/A</v>
          </cell>
        </row>
        <row r="651">
          <cell r="A651" t="str">
            <v>10-01-100</v>
          </cell>
          <cell r="B651" t="str">
            <v>pv10020</v>
          </cell>
          <cell r="C651" t="str">
            <v>Provision para piso en madera escalas</v>
          </cell>
          <cell r="D651">
            <v>1</v>
          </cell>
          <cell r="E651" t="str">
            <v>gb</v>
          </cell>
          <cell r="F651">
            <v>70000</v>
          </cell>
          <cell r="G651">
            <v>70000</v>
          </cell>
          <cell r="M651" t="str">
            <v>pv</v>
          </cell>
        </row>
        <row r="652">
          <cell r="A652">
            <v>0</v>
          </cell>
          <cell r="C652" t="str">
            <v>DIRECTO:  70,000 / M2</v>
          </cell>
          <cell r="E652">
            <v>0</v>
          </cell>
          <cell r="F652">
            <v>0</v>
          </cell>
          <cell r="G652">
            <v>0</v>
          </cell>
          <cell r="M652">
            <v>0</v>
          </cell>
        </row>
        <row r="653">
          <cell r="A653">
            <v>0</v>
          </cell>
          <cell r="C653">
            <v>0</v>
          </cell>
          <cell r="E653">
            <v>0</v>
          </cell>
          <cell r="F653">
            <v>0</v>
          </cell>
          <cell r="G653">
            <v>0</v>
          </cell>
          <cell r="M653">
            <v>0</v>
          </cell>
        </row>
        <row r="654">
          <cell r="A654" t="str">
            <v>10-01-200</v>
          </cell>
          <cell r="B654" t="str">
            <v>10-01-200</v>
          </cell>
          <cell r="C654" t="str">
            <v>PISO INDUSTRIAL TIPO COLREJILLAS O EQUIVALENTE EN CORREDORES TECNICOS</v>
          </cell>
          <cell r="D654">
            <v>39</v>
          </cell>
          <cell r="E654" t="str">
            <v>M2</v>
          </cell>
          <cell r="F654">
            <v>0</v>
          </cell>
          <cell r="G654">
            <v>400000</v>
          </cell>
          <cell r="M654" t="e">
            <v>#N/A</v>
          </cell>
        </row>
        <row r="655">
          <cell r="A655" t="str">
            <v>10-01-200</v>
          </cell>
          <cell r="B655" t="str">
            <v>pv10140</v>
          </cell>
          <cell r="C655" t="str">
            <v>Provision para piso metalico industrial</v>
          </cell>
          <cell r="D655">
            <v>1</v>
          </cell>
          <cell r="E655" t="str">
            <v>m2</v>
          </cell>
          <cell r="F655">
            <v>400000</v>
          </cell>
          <cell r="G655">
            <v>400000</v>
          </cell>
          <cell r="M655" t="str">
            <v>pv</v>
          </cell>
        </row>
        <row r="656">
          <cell r="A656">
            <v>0</v>
          </cell>
          <cell r="C656" t="str">
            <v>DIRECTO:  400,000 / M2</v>
          </cell>
          <cell r="E656">
            <v>0</v>
          </cell>
          <cell r="F656">
            <v>0</v>
          </cell>
          <cell r="G656">
            <v>0</v>
          </cell>
          <cell r="M656">
            <v>0</v>
          </cell>
        </row>
        <row r="657">
          <cell r="A657">
            <v>0</v>
          </cell>
          <cell r="C657">
            <v>0</v>
          </cell>
          <cell r="E657">
            <v>0</v>
          </cell>
          <cell r="F657">
            <v>0</v>
          </cell>
          <cell r="G657">
            <v>0</v>
          </cell>
          <cell r="M657">
            <v>0</v>
          </cell>
        </row>
        <row r="658">
          <cell r="A658" t="str">
            <v>10-02-020</v>
          </cell>
          <cell r="B658" t="str">
            <v>10-02-020</v>
          </cell>
          <cell r="C658" t="str">
            <v>ZOCALO EN MEDIA CAÑA DE GRANO. INCLUYE MORTERO DE PEGA, VARILLAS DE DILATACION, PULIDA Y BRILLADA</v>
          </cell>
          <cell r="D658">
            <v>157</v>
          </cell>
          <cell r="E658" t="str">
            <v>M</v>
          </cell>
          <cell r="F658">
            <v>0</v>
          </cell>
          <cell r="G658">
            <v>34842</v>
          </cell>
          <cell r="M658" t="e">
            <v>#N/A</v>
          </cell>
        </row>
        <row r="659">
          <cell r="A659" t="str">
            <v>10-02-020</v>
          </cell>
          <cell r="B659" t="str">
            <v>au11700</v>
          </cell>
          <cell r="C659" t="str">
            <v>Aux mortero de pega 1:4</v>
          </cell>
          <cell r="D659">
            <v>4.2000000000000006E-3</v>
          </cell>
          <cell r="E659" t="str">
            <v>m3</v>
          </cell>
          <cell r="F659">
            <v>246314</v>
          </cell>
          <cell r="G659">
            <v>1035</v>
          </cell>
          <cell r="M659" t="str">
            <v>au</v>
          </cell>
        </row>
        <row r="660">
          <cell r="A660" t="str">
            <v>10-02-020</v>
          </cell>
          <cell r="B660" t="str">
            <v>mt80010</v>
          </cell>
          <cell r="C660" t="str">
            <v>Forma media caña aluminio 15cmx15cmx3mm</v>
          </cell>
          <cell r="D660">
            <v>1.05</v>
          </cell>
          <cell r="E660" t="str">
            <v>un</v>
          </cell>
          <cell r="F660">
            <v>2300.2799999999997</v>
          </cell>
          <cell r="G660">
            <v>2416</v>
          </cell>
          <cell r="M660" t="str">
            <v>mt</v>
          </cell>
        </row>
        <row r="661">
          <cell r="A661" t="str">
            <v>10-02-020</v>
          </cell>
          <cell r="B661" t="str">
            <v>mt80020</v>
          </cell>
          <cell r="C661" t="str">
            <v>Lechada y granito zocalo media caña 15cm</v>
          </cell>
          <cell r="D661">
            <v>1.05</v>
          </cell>
          <cell r="E661" t="str">
            <v>m</v>
          </cell>
          <cell r="F661">
            <v>7913.8240574506272</v>
          </cell>
          <cell r="G661">
            <v>8310</v>
          </cell>
          <cell r="M661" t="str">
            <v>mt</v>
          </cell>
        </row>
        <row r="662">
          <cell r="A662" t="str">
            <v>10-02-020</v>
          </cell>
          <cell r="B662" t="str">
            <v>mo78680</v>
          </cell>
          <cell r="C662" t="str">
            <v>MO vaciado zocalo media caña en grano pulido</v>
          </cell>
          <cell r="D662">
            <v>1</v>
          </cell>
          <cell r="E662" t="str">
            <v>m</v>
          </cell>
          <cell r="F662">
            <v>20000</v>
          </cell>
          <cell r="G662">
            <v>20000</v>
          </cell>
          <cell r="M662" t="str">
            <v>mo</v>
          </cell>
        </row>
        <row r="663">
          <cell r="A663" t="str">
            <v>10-02-020</v>
          </cell>
          <cell r="B663" t="str">
            <v>mo17600</v>
          </cell>
          <cell r="C663" t="str">
            <v>MO transporte interno concreto</v>
          </cell>
          <cell r="D663">
            <v>4.2000000000000006E-3</v>
          </cell>
          <cell r="E663" t="str">
            <v>m3</v>
          </cell>
          <cell r="F663">
            <v>6000</v>
          </cell>
          <cell r="G663">
            <v>26</v>
          </cell>
          <cell r="M663" t="str">
            <v>mo</v>
          </cell>
        </row>
        <row r="664">
          <cell r="A664" t="str">
            <v>10-02-020</v>
          </cell>
          <cell r="B664" t="str">
            <v>eq96200</v>
          </cell>
          <cell r="C664" t="str">
            <v>Pulidora electrica manual</v>
          </cell>
          <cell r="D664">
            <v>0.1</v>
          </cell>
          <cell r="E664" t="str">
            <v>dia</v>
          </cell>
          <cell r="F664">
            <v>22040</v>
          </cell>
          <cell r="G664">
            <v>2204</v>
          </cell>
          <cell r="M664" t="str">
            <v>eq</v>
          </cell>
        </row>
        <row r="665">
          <cell r="A665" t="str">
            <v>10-02-020</v>
          </cell>
          <cell r="B665" t="str">
            <v>mt13900</v>
          </cell>
          <cell r="C665" t="str">
            <v>Elementos de consumo y protección</v>
          </cell>
          <cell r="D665">
            <v>20026</v>
          </cell>
          <cell r="E665" t="str">
            <v>%</v>
          </cell>
          <cell r="F665">
            <v>1.2455000000000001E-2</v>
          </cell>
          <cell r="G665">
            <v>250</v>
          </cell>
          <cell r="M665" t="str">
            <v>mt</v>
          </cell>
        </row>
        <row r="666">
          <cell r="A666" t="str">
            <v>10-02-020</v>
          </cell>
          <cell r="B666" t="str">
            <v>hm15100</v>
          </cell>
          <cell r="C666" t="str">
            <v>Herramienta y equipo menor</v>
          </cell>
          <cell r="D666">
            <v>20026</v>
          </cell>
          <cell r="E666" t="str">
            <v>%</v>
          </cell>
          <cell r="F666">
            <v>0.03</v>
          </cell>
          <cell r="G666">
            <v>601</v>
          </cell>
          <cell r="M666" t="str">
            <v>hm</v>
          </cell>
        </row>
        <row r="667">
          <cell r="A667">
            <v>0</v>
          </cell>
          <cell r="C667" t="str">
            <v>DIRECTO:  34,842 / M</v>
          </cell>
          <cell r="E667">
            <v>0</v>
          </cell>
          <cell r="F667">
            <v>0</v>
          </cell>
          <cell r="G667">
            <v>0</v>
          </cell>
          <cell r="M667">
            <v>0</v>
          </cell>
        </row>
        <row r="668">
          <cell r="A668">
            <v>0</v>
          </cell>
          <cell r="C668">
            <v>0</v>
          </cell>
          <cell r="E668">
            <v>0</v>
          </cell>
          <cell r="F668">
            <v>0</v>
          </cell>
          <cell r="G668">
            <v>0</v>
          </cell>
          <cell r="M668">
            <v>0</v>
          </cell>
        </row>
        <row r="669">
          <cell r="A669" t="str">
            <v>10-02-030</v>
          </cell>
          <cell r="B669" t="str">
            <v>10-02-030</v>
          </cell>
          <cell r="C669" t="str">
            <v>ENCHARQUE DE DUCHAS EN CONCRETO F'C 21 MPA - A: 0.05 M. - H: 0.07 M. FORRADO EN GRANO GRIS #1 - FONDO GRIS</v>
          </cell>
          <cell r="D669">
            <v>3</v>
          </cell>
          <cell r="E669" t="str">
            <v>M</v>
          </cell>
          <cell r="F669">
            <v>0</v>
          </cell>
          <cell r="G669">
            <v>35820</v>
          </cell>
          <cell r="M669" t="e">
            <v>#N/A</v>
          </cell>
        </row>
        <row r="670">
          <cell r="A670" t="str">
            <v>10-02-030</v>
          </cell>
          <cell r="B670" t="str">
            <v>au10700</v>
          </cell>
          <cell r="C670" t="str">
            <v>Aux concreto 3000 psi -obra- 3/4"</v>
          </cell>
          <cell r="D670">
            <v>3.7800000000000008E-3</v>
          </cell>
          <cell r="E670" t="str">
            <v>m3</v>
          </cell>
          <cell r="F670">
            <v>271081</v>
          </cell>
          <cell r="G670">
            <v>1025</v>
          </cell>
          <cell r="M670" t="str">
            <v>au</v>
          </cell>
        </row>
        <row r="671">
          <cell r="A671" t="str">
            <v>10-02-030</v>
          </cell>
          <cell r="B671" t="str">
            <v>mt80030</v>
          </cell>
          <cell r="C671" t="str">
            <v>Lechada y granito encharque ducha</v>
          </cell>
          <cell r="D671">
            <v>1</v>
          </cell>
          <cell r="E671" t="str">
            <v>m</v>
          </cell>
          <cell r="F671">
            <v>3135.3677419354835</v>
          </cell>
          <cell r="G671">
            <v>3136</v>
          </cell>
          <cell r="M671" t="str">
            <v>mt</v>
          </cell>
        </row>
        <row r="672">
          <cell r="A672" t="str">
            <v>10-02-030</v>
          </cell>
          <cell r="B672" t="str">
            <v>mo17600</v>
          </cell>
          <cell r="C672" t="str">
            <v>MO transporte interno concreto</v>
          </cell>
          <cell r="D672">
            <v>3.7800000000000008E-3</v>
          </cell>
          <cell r="E672" t="str">
            <v>m3</v>
          </cell>
          <cell r="F672">
            <v>6000</v>
          </cell>
          <cell r="G672">
            <v>23</v>
          </cell>
          <cell r="M672" t="str">
            <v>mo</v>
          </cell>
        </row>
        <row r="673">
          <cell r="A673" t="str">
            <v>10-02-030</v>
          </cell>
          <cell r="B673" t="str">
            <v>mo78670</v>
          </cell>
          <cell r="C673" t="str">
            <v>MO vaciado talon de concreto</v>
          </cell>
          <cell r="D673">
            <v>1</v>
          </cell>
          <cell r="E673" t="str">
            <v>m</v>
          </cell>
          <cell r="F673">
            <v>9360</v>
          </cell>
          <cell r="G673">
            <v>9360</v>
          </cell>
          <cell r="M673" t="str">
            <v>mo</v>
          </cell>
        </row>
        <row r="674">
          <cell r="A674" t="str">
            <v>10-02-030</v>
          </cell>
          <cell r="B674" t="str">
            <v>mo78690</v>
          </cell>
          <cell r="C674" t="str">
            <v>MO vaciado encharque ducha en grano pulido</v>
          </cell>
          <cell r="D674">
            <v>1</v>
          </cell>
          <cell r="E674" t="str">
            <v>gb</v>
          </cell>
          <cell r="F674">
            <v>18000</v>
          </cell>
          <cell r="G674">
            <v>18000</v>
          </cell>
          <cell r="M674" t="str">
            <v>mo</v>
          </cell>
        </row>
        <row r="675">
          <cell r="A675" t="str">
            <v>10-02-030</v>
          </cell>
          <cell r="B675" t="str">
            <v>eq96200</v>
          </cell>
          <cell r="C675" t="str">
            <v>Pulidora electrica manual</v>
          </cell>
          <cell r="D675">
            <v>0.1</v>
          </cell>
          <cell r="E675" t="str">
            <v>dia</v>
          </cell>
          <cell r="F675">
            <v>22040</v>
          </cell>
          <cell r="G675">
            <v>2204</v>
          </cell>
          <cell r="M675" t="str">
            <v>eq</v>
          </cell>
        </row>
        <row r="676">
          <cell r="A676" t="str">
            <v>10-02-030</v>
          </cell>
          <cell r="B676" t="str">
            <v>eq14900</v>
          </cell>
          <cell r="C676" t="str">
            <v>Formaleta lateral</v>
          </cell>
          <cell r="D676">
            <v>0.17</v>
          </cell>
          <cell r="E676" t="str">
            <v>m</v>
          </cell>
          <cell r="F676">
            <v>4770</v>
          </cell>
          <cell r="G676">
            <v>811</v>
          </cell>
          <cell r="M676" t="str">
            <v>eq</v>
          </cell>
        </row>
        <row r="677">
          <cell r="A677" t="str">
            <v>10-02-030</v>
          </cell>
          <cell r="B677" t="str">
            <v>au11200</v>
          </cell>
          <cell r="C677" t="str">
            <v>Aux desmoldante -separol-</v>
          </cell>
          <cell r="D677">
            <v>0.17</v>
          </cell>
          <cell r="E677" t="str">
            <v>m2</v>
          </cell>
          <cell r="F677">
            <v>569</v>
          </cell>
          <cell r="G677">
            <v>97</v>
          </cell>
          <cell r="M677" t="str">
            <v>au</v>
          </cell>
        </row>
        <row r="678">
          <cell r="A678" t="str">
            <v>10-02-030</v>
          </cell>
          <cell r="B678" t="str">
            <v>mt13900</v>
          </cell>
          <cell r="C678" t="str">
            <v>Elementos de consumo y protección</v>
          </cell>
          <cell r="D678">
            <v>27383</v>
          </cell>
          <cell r="E678" t="str">
            <v>%</v>
          </cell>
          <cell r="F678">
            <v>1.2455000000000001E-2</v>
          </cell>
          <cell r="G678">
            <v>342</v>
          </cell>
          <cell r="M678" t="str">
            <v>mt</v>
          </cell>
        </row>
        <row r="679">
          <cell r="A679" t="str">
            <v>10-02-030</v>
          </cell>
          <cell r="B679" t="str">
            <v>hm15100</v>
          </cell>
          <cell r="C679" t="str">
            <v>Herramienta y equipo menor</v>
          </cell>
          <cell r="D679">
            <v>27383</v>
          </cell>
          <cell r="E679" t="str">
            <v>%</v>
          </cell>
          <cell r="F679">
            <v>0.03</v>
          </cell>
          <cell r="G679">
            <v>822</v>
          </cell>
          <cell r="M679" t="str">
            <v>hm</v>
          </cell>
        </row>
        <row r="680">
          <cell r="A680">
            <v>0</v>
          </cell>
          <cell r="C680" t="str">
            <v>DIRECTO:  35,820 / M</v>
          </cell>
          <cell r="E680">
            <v>0</v>
          </cell>
          <cell r="F680">
            <v>0</v>
          </cell>
          <cell r="G680">
            <v>0</v>
          </cell>
          <cell r="M680">
            <v>0</v>
          </cell>
        </row>
        <row r="681">
          <cell r="A681">
            <v>0</v>
          </cell>
          <cell r="C681">
            <v>0</v>
          </cell>
          <cell r="E681">
            <v>0</v>
          </cell>
          <cell r="F681">
            <v>0</v>
          </cell>
          <cell r="G681">
            <v>0</v>
          </cell>
          <cell r="M681">
            <v>0</v>
          </cell>
        </row>
        <row r="682">
          <cell r="A682" t="str">
            <v>10-02-100</v>
          </cell>
          <cell r="B682" t="str">
            <v>10-02-100</v>
          </cell>
          <cell r="C682" t="str">
            <v>FRANJA DE PISO EN MADERA DE PINO A: 0.30 M. PARA BORDE ESCENARIO. INCLUYE TRATAMIENTO DE ACABADO.</v>
          </cell>
          <cell r="D682">
            <v>12</v>
          </cell>
          <cell r="E682" t="str">
            <v>M</v>
          </cell>
          <cell r="F682">
            <v>0</v>
          </cell>
          <cell r="G682">
            <v>33209</v>
          </cell>
          <cell r="M682" t="e">
            <v>#N/A</v>
          </cell>
        </row>
        <row r="683">
          <cell r="A683" t="str">
            <v>10-02-100</v>
          </cell>
          <cell r="B683" t="str">
            <v>mt574100</v>
          </cell>
          <cell r="C683" t="str">
            <v>Tablilla en pino para piso 1.8x8cm</v>
          </cell>
          <cell r="D683">
            <v>0.99</v>
          </cell>
          <cell r="E683" t="str">
            <v>un</v>
          </cell>
          <cell r="F683">
            <v>25000</v>
          </cell>
          <cell r="G683">
            <v>24750</v>
          </cell>
          <cell r="M683" t="str">
            <v>mt</v>
          </cell>
        </row>
        <row r="684">
          <cell r="A684" t="str">
            <v>10-02-100</v>
          </cell>
          <cell r="B684" t="str">
            <v>eq96200</v>
          </cell>
          <cell r="C684" t="str">
            <v>Pulidora electrica manual</v>
          </cell>
          <cell r="D684">
            <v>0.1</v>
          </cell>
          <cell r="E684" t="str">
            <v>dia</v>
          </cell>
          <cell r="F684">
            <v>22040</v>
          </cell>
          <cell r="G684">
            <v>2204</v>
          </cell>
          <cell r="M684" t="str">
            <v>eq</v>
          </cell>
        </row>
        <row r="685">
          <cell r="A685" t="str">
            <v>10-02-100</v>
          </cell>
          <cell r="B685" t="str">
            <v>mo104670</v>
          </cell>
          <cell r="C685" t="str">
            <v>MO instalacion piso en madera</v>
          </cell>
          <cell r="D685">
            <v>0.3</v>
          </cell>
          <cell r="E685" t="str">
            <v>m2</v>
          </cell>
          <cell r="F685">
            <v>20000</v>
          </cell>
          <cell r="G685">
            <v>6000</v>
          </cell>
          <cell r="M685" t="str">
            <v>mo</v>
          </cell>
        </row>
        <row r="686">
          <cell r="A686" t="str">
            <v>10-02-100</v>
          </cell>
          <cell r="B686" t="str">
            <v>mt13900</v>
          </cell>
          <cell r="C686" t="str">
            <v>Elementos de consumo y protección</v>
          </cell>
          <cell r="D686">
            <v>6000</v>
          </cell>
          <cell r="E686" t="str">
            <v>%</v>
          </cell>
          <cell r="F686">
            <v>1.2455000000000001E-2</v>
          </cell>
          <cell r="G686">
            <v>75</v>
          </cell>
          <cell r="M686" t="str">
            <v>mt</v>
          </cell>
        </row>
        <row r="687">
          <cell r="A687" t="str">
            <v>10-02-100</v>
          </cell>
          <cell r="B687" t="str">
            <v>hm15100</v>
          </cell>
          <cell r="C687" t="str">
            <v>Herramienta y equipo menor</v>
          </cell>
          <cell r="D687">
            <v>6000</v>
          </cell>
          <cell r="E687" t="str">
            <v>%</v>
          </cell>
          <cell r="F687">
            <v>0.03</v>
          </cell>
          <cell r="G687">
            <v>180</v>
          </cell>
          <cell r="M687" t="str">
            <v>hm</v>
          </cell>
        </row>
        <row r="688">
          <cell r="A688">
            <v>0</v>
          </cell>
          <cell r="C688" t="str">
            <v>DIRECTO:  33,209 / M</v>
          </cell>
          <cell r="E688">
            <v>0</v>
          </cell>
          <cell r="F688">
            <v>0</v>
          </cell>
          <cell r="G688">
            <v>0</v>
          </cell>
          <cell r="M688">
            <v>0</v>
          </cell>
        </row>
        <row r="689">
          <cell r="A689">
            <v>0</v>
          </cell>
          <cell r="B689" t="str">
            <v>11</v>
          </cell>
          <cell r="C689" t="str">
            <v>CARPINTERIA METALICA (Todas las puertas y vidrieras incluyen cerraduras y haladeras según los detalles arquitectonicos)</v>
          </cell>
          <cell r="E689">
            <v>0</v>
          </cell>
          <cell r="F689">
            <v>0</v>
          </cell>
          <cell r="G689">
            <v>0</v>
          </cell>
          <cell r="M689" t="e">
            <v>#N/A</v>
          </cell>
        </row>
        <row r="690">
          <cell r="A690" t="str">
            <v>11-01-010</v>
          </cell>
          <cell r="B690" t="str">
            <v>11-01-010</v>
          </cell>
          <cell r="C690" t="str">
            <v>VENTANA V25 (0.72x0.48 Y 0.64x0.41). CONJUNTO DE VENTANAS PARA CUARTO DE PROYECCION DE TIPO REGISTRABLE, AISLAMIENTO ACUSTICO, CRISTAL OPTICO RECTIFICADO TIPO PYREX O EQUIVALENTE Y TORNILLOS DE FIJACION PARA REGISTRO</v>
          </cell>
          <cell r="D690">
            <v>1</v>
          </cell>
          <cell r="E690" t="str">
            <v>UN</v>
          </cell>
          <cell r="F690">
            <v>0</v>
          </cell>
          <cell r="G690">
            <v>1222867</v>
          </cell>
          <cell r="M690" t="e">
            <v>#N/A</v>
          </cell>
        </row>
        <row r="691">
          <cell r="A691" t="str">
            <v>11-01-010</v>
          </cell>
          <cell r="B691" t="str">
            <v>mt522600</v>
          </cell>
          <cell r="C691" t="str">
            <v>Ventanas v25 (0.72x0.48 + 0.64x0.41) para cuarto de proyeccion</v>
          </cell>
          <cell r="D691">
            <v>0.60799999999999987</v>
          </cell>
          <cell r="E691" t="str">
            <v>m2</v>
          </cell>
          <cell r="F691">
            <v>1345600</v>
          </cell>
          <cell r="G691">
            <v>818125</v>
          </cell>
          <cell r="M691" t="str">
            <v>mt</v>
          </cell>
        </row>
        <row r="692">
          <cell r="A692" t="str">
            <v>11-01-010</v>
          </cell>
          <cell r="B692" t="str">
            <v>mt51160</v>
          </cell>
          <cell r="C692" t="str">
            <v>Cerradura para ventana</v>
          </cell>
          <cell r="D692">
            <v>2</v>
          </cell>
          <cell r="E692" t="str">
            <v>un</v>
          </cell>
          <cell r="F692">
            <v>174000</v>
          </cell>
          <cell r="G692">
            <v>348000</v>
          </cell>
          <cell r="M692" t="str">
            <v>mt</v>
          </cell>
        </row>
        <row r="693">
          <cell r="A693" t="str">
            <v>11-01-010</v>
          </cell>
          <cell r="B693" t="str">
            <v>au10700</v>
          </cell>
          <cell r="C693" t="str">
            <v>Aux concreto 3000 psi -obra- 3/4"</v>
          </cell>
          <cell r="D693">
            <v>2.6999999999999996E-2</v>
          </cell>
          <cell r="E693" t="str">
            <v>m3</v>
          </cell>
          <cell r="F693">
            <v>271081</v>
          </cell>
          <cell r="G693">
            <v>7320</v>
          </cell>
          <cell r="M693" t="str">
            <v>au</v>
          </cell>
        </row>
        <row r="694">
          <cell r="A694" t="str">
            <v>11-01-010</v>
          </cell>
          <cell r="B694" t="str">
            <v>au10100</v>
          </cell>
          <cell r="C694" t="str">
            <v>Aux MO oficial obra negra</v>
          </cell>
          <cell r="D694">
            <v>1</v>
          </cell>
          <cell r="E694" t="str">
            <v>hr</v>
          </cell>
          <cell r="F694">
            <v>7619</v>
          </cell>
          <cell r="G694">
            <v>7619</v>
          </cell>
          <cell r="M694" t="str">
            <v>mo</v>
          </cell>
        </row>
        <row r="695">
          <cell r="A695" t="str">
            <v>11-01-010</v>
          </cell>
          <cell r="B695" t="str">
            <v>au10000</v>
          </cell>
          <cell r="C695" t="str">
            <v>Aux MO ayudante</v>
          </cell>
          <cell r="D695">
            <v>2</v>
          </cell>
          <cell r="E695" t="str">
            <v>hr</v>
          </cell>
          <cell r="F695">
            <v>5080</v>
          </cell>
          <cell r="G695">
            <v>10160</v>
          </cell>
          <cell r="M695" t="str">
            <v>mo</v>
          </cell>
        </row>
        <row r="696">
          <cell r="A696" t="str">
            <v>11-01-010</v>
          </cell>
          <cell r="B696" t="str">
            <v>tp500020</v>
          </cell>
          <cell r="C696" t="str">
            <v>Transporte puertas y ventanas</v>
          </cell>
          <cell r="D696">
            <v>0.60799999999999987</v>
          </cell>
          <cell r="E696" t="str">
            <v>m2</v>
          </cell>
          <cell r="F696">
            <v>50800</v>
          </cell>
          <cell r="G696">
            <v>30887</v>
          </cell>
          <cell r="M696" t="str">
            <v>tp</v>
          </cell>
        </row>
        <row r="697">
          <cell r="A697" t="str">
            <v>11-01-010</v>
          </cell>
          <cell r="B697" t="str">
            <v>mt13900</v>
          </cell>
          <cell r="C697" t="str">
            <v>Elementos de consumo y protección</v>
          </cell>
          <cell r="D697">
            <v>17779</v>
          </cell>
          <cell r="E697" t="str">
            <v>%</v>
          </cell>
          <cell r="F697">
            <v>1.2455000000000001E-2</v>
          </cell>
          <cell r="G697">
            <v>222</v>
          </cell>
          <cell r="M697" t="str">
            <v>mt</v>
          </cell>
        </row>
        <row r="698">
          <cell r="A698" t="str">
            <v>11-01-010</v>
          </cell>
          <cell r="B698" t="str">
            <v>hm15100</v>
          </cell>
          <cell r="C698" t="str">
            <v>Herramienta y equipo menor</v>
          </cell>
          <cell r="D698">
            <v>17779</v>
          </cell>
          <cell r="E698" t="str">
            <v>%</v>
          </cell>
          <cell r="F698">
            <v>0.03</v>
          </cell>
          <cell r="G698">
            <v>534</v>
          </cell>
          <cell r="M698" t="str">
            <v>hm</v>
          </cell>
        </row>
        <row r="699">
          <cell r="A699">
            <v>0</v>
          </cell>
          <cell r="C699" t="str">
            <v>DIRECTO:  1,222,867 / UN</v>
          </cell>
          <cell r="D699">
            <v>0</v>
          </cell>
          <cell r="E699">
            <v>0</v>
          </cell>
          <cell r="F699">
            <v>0</v>
          </cell>
          <cell r="G699">
            <v>0</v>
          </cell>
          <cell r="M699">
            <v>0</v>
          </cell>
        </row>
        <row r="700">
          <cell r="A700">
            <v>0</v>
          </cell>
          <cell r="C700">
            <v>0</v>
          </cell>
          <cell r="E700">
            <v>0</v>
          </cell>
          <cell r="F700">
            <v>0</v>
          </cell>
          <cell r="G700">
            <v>0</v>
          </cell>
          <cell r="M700">
            <v>0</v>
          </cell>
        </row>
        <row r="701">
          <cell r="A701" t="str">
            <v>11-01-100</v>
          </cell>
          <cell r="B701" t="str">
            <v>11-01-100</v>
          </cell>
          <cell r="C701" t="str">
            <v>REJA PARA TAQUILLA (0.70 M. x 0.90 M.) EN HIERRO FORJADO SEGÚN DETALLE.</v>
          </cell>
          <cell r="D701">
            <v>1</v>
          </cell>
          <cell r="E701" t="str">
            <v>UN</v>
          </cell>
          <cell r="F701">
            <v>0</v>
          </cell>
          <cell r="G701">
            <v>3763039</v>
          </cell>
          <cell r="M701" t="e">
            <v>#N/A</v>
          </cell>
        </row>
        <row r="702">
          <cell r="A702" t="str">
            <v>11-01-100</v>
          </cell>
          <cell r="B702" t="str">
            <v>mt522700</v>
          </cell>
          <cell r="C702" t="str">
            <v>Reja en hierro forjado para taquilla 0.7x0.9m (aprox)</v>
          </cell>
          <cell r="D702">
            <v>0.63</v>
          </cell>
          <cell r="E702" t="str">
            <v>m2</v>
          </cell>
          <cell r="F702">
            <v>5800000</v>
          </cell>
          <cell r="G702">
            <v>3654000</v>
          </cell>
          <cell r="M702" t="str">
            <v>mt</v>
          </cell>
        </row>
        <row r="703">
          <cell r="A703" t="str">
            <v>11-01-100</v>
          </cell>
          <cell r="B703" t="str">
            <v>sc100100</v>
          </cell>
          <cell r="C703" t="str">
            <v>Anclajes epoxicos - incluye instalacion</v>
          </cell>
          <cell r="D703">
            <v>9</v>
          </cell>
          <cell r="E703" t="str">
            <v>un</v>
          </cell>
          <cell r="F703">
            <v>6500</v>
          </cell>
          <cell r="G703">
            <v>58500</v>
          </cell>
          <cell r="M703" t="str">
            <v>sc</v>
          </cell>
        </row>
        <row r="704">
          <cell r="A704" t="str">
            <v>11-01-100</v>
          </cell>
          <cell r="B704" t="str">
            <v>au10100</v>
          </cell>
          <cell r="C704" t="str">
            <v>Aux MO oficial obra negra</v>
          </cell>
          <cell r="D704">
            <v>1</v>
          </cell>
          <cell r="E704" t="str">
            <v>hr</v>
          </cell>
          <cell r="F704">
            <v>7619</v>
          </cell>
          <cell r="G704">
            <v>7619</v>
          </cell>
          <cell r="M704" t="str">
            <v>mo</v>
          </cell>
        </row>
        <row r="705">
          <cell r="A705" t="str">
            <v>11-01-100</v>
          </cell>
          <cell r="B705" t="str">
            <v>au10000</v>
          </cell>
          <cell r="C705" t="str">
            <v>Aux MO ayudante</v>
          </cell>
          <cell r="D705">
            <v>2</v>
          </cell>
          <cell r="E705" t="str">
            <v>hr</v>
          </cell>
          <cell r="F705">
            <v>5080</v>
          </cell>
          <cell r="G705">
            <v>10160</v>
          </cell>
          <cell r="M705" t="str">
            <v>mo</v>
          </cell>
        </row>
        <row r="706">
          <cell r="A706" t="str">
            <v>11-01-100</v>
          </cell>
          <cell r="B706" t="str">
            <v>tp500020</v>
          </cell>
          <cell r="C706" t="str">
            <v>Transporte puertas y ventanas</v>
          </cell>
          <cell r="D706">
            <v>0.63</v>
          </cell>
          <cell r="E706" t="str">
            <v>m2</v>
          </cell>
          <cell r="F706">
            <v>50800</v>
          </cell>
          <cell r="G706">
            <v>32004</v>
          </cell>
          <cell r="M706" t="str">
            <v>tp</v>
          </cell>
        </row>
        <row r="707">
          <cell r="A707" t="str">
            <v>11-01-100</v>
          </cell>
          <cell r="B707" t="str">
            <v>mt13900</v>
          </cell>
          <cell r="C707" t="str">
            <v>Elementos de consumo y protección</v>
          </cell>
          <cell r="D707">
            <v>17779</v>
          </cell>
          <cell r="E707" t="str">
            <v>%</v>
          </cell>
          <cell r="F707">
            <v>1.2455000000000001E-2</v>
          </cell>
          <cell r="G707">
            <v>222</v>
          </cell>
          <cell r="M707" t="str">
            <v>mt</v>
          </cell>
        </row>
        <row r="708">
          <cell r="A708" t="str">
            <v>11-01-100</v>
          </cell>
          <cell r="B708" t="str">
            <v>hm15100</v>
          </cell>
          <cell r="C708" t="str">
            <v>Herramienta y equipo menor</v>
          </cell>
          <cell r="D708">
            <v>17779</v>
          </cell>
          <cell r="E708" t="str">
            <v>%</v>
          </cell>
          <cell r="F708">
            <v>0.03</v>
          </cell>
          <cell r="G708">
            <v>534</v>
          </cell>
          <cell r="M708" t="str">
            <v>hm</v>
          </cell>
        </row>
        <row r="709">
          <cell r="A709">
            <v>0</v>
          </cell>
          <cell r="C709" t="str">
            <v>DIRECTO:  3,763,039 / UN</v>
          </cell>
          <cell r="D709">
            <v>0</v>
          </cell>
          <cell r="E709">
            <v>0</v>
          </cell>
          <cell r="F709">
            <v>0</v>
          </cell>
          <cell r="G709">
            <v>0</v>
          </cell>
          <cell r="M709">
            <v>0</v>
          </cell>
        </row>
        <row r="710">
          <cell r="A710">
            <v>0</v>
          </cell>
          <cell r="C710">
            <v>0</v>
          </cell>
          <cell r="E710">
            <v>0</v>
          </cell>
          <cell r="F710">
            <v>0</v>
          </cell>
          <cell r="G710">
            <v>0</v>
          </cell>
          <cell r="M710">
            <v>0</v>
          </cell>
        </row>
        <row r="711">
          <cell r="A711" t="str">
            <v>11-03-150</v>
          </cell>
          <cell r="B711" t="str">
            <v>11-03-150</v>
          </cell>
          <cell r="C711" t="str">
            <v>PUERTA P15 (2.00x2.10). MARCO + ALAS METALICAS C16. INCLUYE PINTURA GRIS ELECTROSTATICA, DOS BARRAS ANTIPANICO Y DOS BRAZOS HIDRAULICOS TRABAJO SUPERPESADO</v>
          </cell>
          <cell r="D711">
            <v>1</v>
          </cell>
          <cell r="E711" t="str">
            <v>UN</v>
          </cell>
          <cell r="F711">
            <v>0</v>
          </cell>
          <cell r="G711">
            <v>3426881</v>
          </cell>
          <cell r="M711" t="e">
            <v>#N/A</v>
          </cell>
        </row>
        <row r="712">
          <cell r="A712" t="str">
            <v>11-03-150</v>
          </cell>
          <cell r="B712" t="str">
            <v>mt522400</v>
          </cell>
          <cell r="C712" t="str">
            <v>Puerta P15 con marco en lamina C16 de 2x2.1m 2 alas</v>
          </cell>
          <cell r="D712">
            <v>1</v>
          </cell>
          <cell r="E712" t="str">
            <v>un</v>
          </cell>
          <cell r="F712">
            <v>1682000</v>
          </cell>
          <cell r="G712">
            <v>1682000</v>
          </cell>
          <cell r="M712" t="str">
            <v>mt</v>
          </cell>
        </row>
        <row r="713">
          <cell r="A713" t="str">
            <v>11-03-150</v>
          </cell>
          <cell r="B713" t="str">
            <v>mt51140</v>
          </cell>
          <cell r="C713" t="str">
            <v>Chapa antipanico Yale 170-1/4</v>
          </cell>
          <cell r="D713">
            <v>1</v>
          </cell>
          <cell r="E713" t="str">
            <v>un</v>
          </cell>
          <cell r="F713">
            <v>1392000</v>
          </cell>
          <cell r="G713">
            <v>1392000</v>
          </cell>
          <cell r="M713" t="str">
            <v>mt</v>
          </cell>
        </row>
        <row r="714">
          <cell r="A714" t="str">
            <v>11-03-150</v>
          </cell>
          <cell r="B714" t="str">
            <v>au10700</v>
          </cell>
          <cell r="C714" t="str">
            <v>Aux concreto 3000 psi -obra- 3/4"</v>
          </cell>
          <cell r="D714">
            <v>0.12400000000000003</v>
          </cell>
          <cell r="E714" t="str">
            <v>m3</v>
          </cell>
          <cell r="F714">
            <v>271081</v>
          </cell>
          <cell r="G714">
            <v>33615</v>
          </cell>
          <cell r="M714" t="str">
            <v>au</v>
          </cell>
        </row>
        <row r="715">
          <cell r="A715" t="str">
            <v>11-03-150</v>
          </cell>
          <cell r="B715" t="str">
            <v>au10100</v>
          </cell>
          <cell r="C715" t="str">
            <v>Aux MO oficial obra negra</v>
          </cell>
          <cell r="D715">
            <v>8</v>
          </cell>
          <cell r="E715" t="str">
            <v>hr</v>
          </cell>
          <cell r="F715">
            <v>7619</v>
          </cell>
          <cell r="G715">
            <v>60952</v>
          </cell>
          <cell r="M715" t="str">
            <v>mo</v>
          </cell>
        </row>
        <row r="716">
          <cell r="A716" t="str">
            <v>11-03-150</v>
          </cell>
          <cell r="B716" t="str">
            <v>au10000</v>
          </cell>
          <cell r="C716" t="str">
            <v>Aux MO ayudante</v>
          </cell>
          <cell r="D716">
            <v>8</v>
          </cell>
          <cell r="E716" t="str">
            <v>hr</v>
          </cell>
          <cell r="F716">
            <v>5080</v>
          </cell>
          <cell r="G716">
            <v>40640</v>
          </cell>
          <cell r="M716" t="str">
            <v>mo</v>
          </cell>
        </row>
        <row r="717">
          <cell r="A717" t="str">
            <v>11-03-150</v>
          </cell>
          <cell r="B717" t="str">
            <v>tp500020</v>
          </cell>
          <cell r="C717" t="str">
            <v>Transporte puertas y ventanas</v>
          </cell>
          <cell r="D717">
            <v>4.2</v>
          </cell>
          <cell r="E717" t="str">
            <v>m2</v>
          </cell>
          <cell r="F717">
            <v>50800</v>
          </cell>
          <cell r="G717">
            <v>213360</v>
          </cell>
          <cell r="M717" t="str">
            <v>tp</v>
          </cell>
        </row>
        <row r="718">
          <cell r="A718" t="str">
            <v>11-03-150</v>
          </cell>
          <cell r="B718" t="str">
            <v>mt13900</v>
          </cell>
          <cell r="C718" t="str">
            <v>Elementos de consumo y protección</v>
          </cell>
          <cell r="D718">
            <v>101592</v>
          </cell>
          <cell r="E718" t="str">
            <v>%</v>
          </cell>
          <cell r="F718">
            <v>1.2455000000000001E-2</v>
          </cell>
          <cell r="G718">
            <v>1266</v>
          </cell>
          <cell r="M718" t="str">
            <v>mt</v>
          </cell>
        </row>
        <row r="719">
          <cell r="A719" t="str">
            <v>11-03-150</v>
          </cell>
          <cell r="B719" t="str">
            <v>hm15100</v>
          </cell>
          <cell r="C719" t="str">
            <v>Herramienta y equipo menor</v>
          </cell>
          <cell r="D719">
            <v>101592</v>
          </cell>
          <cell r="E719" t="str">
            <v>%</v>
          </cell>
          <cell r="F719">
            <v>0.03</v>
          </cell>
          <cell r="G719">
            <v>3048</v>
          </cell>
          <cell r="M719" t="str">
            <v>hm</v>
          </cell>
        </row>
        <row r="720">
          <cell r="A720">
            <v>0</v>
          </cell>
          <cell r="C720" t="str">
            <v>DIRECTO:  3,426,881 / UN</v>
          </cell>
          <cell r="D720">
            <v>0</v>
          </cell>
          <cell r="E720">
            <v>0</v>
          </cell>
          <cell r="F720">
            <v>0</v>
          </cell>
          <cell r="G720">
            <v>0</v>
          </cell>
          <cell r="M720">
            <v>0</v>
          </cell>
        </row>
        <row r="721">
          <cell r="A721">
            <v>0</v>
          </cell>
          <cell r="C721">
            <v>0</v>
          </cell>
          <cell r="E721">
            <v>0</v>
          </cell>
          <cell r="F721">
            <v>0</v>
          </cell>
          <cell r="G721">
            <v>0</v>
          </cell>
          <cell r="M721">
            <v>0</v>
          </cell>
        </row>
        <row r="722">
          <cell r="A722" t="str">
            <v>11-03-160</v>
          </cell>
          <cell r="B722" t="str">
            <v>11-03-160</v>
          </cell>
          <cell r="C722" t="str">
            <v>PUERTA P16 (1.20x2.10). MARCO + ALA METALICA C16. INCLUYE PINTURA GRIS ELECTROSTATICA, UNA BARRA ANTIPANICO Y UN BRAZO HIDRAULICO TRABAJO SUPERPESADO.</v>
          </cell>
          <cell r="D722">
            <v>2</v>
          </cell>
          <cell r="E722" t="str">
            <v>UN</v>
          </cell>
          <cell r="F722">
            <v>0</v>
          </cell>
          <cell r="G722">
            <v>1701599</v>
          </cell>
          <cell r="M722" t="e">
            <v>#N/A</v>
          </cell>
        </row>
        <row r="723">
          <cell r="A723" t="str">
            <v>11-03-160</v>
          </cell>
          <cell r="B723" t="str">
            <v>mt522500</v>
          </cell>
          <cell r="C723" t="str">
            <v>Puerta P16 con marco en lamina C16 de 1.2x2.1m 1 ala</v>
          </cell>
          <cell r="D723">
            <v>1</v>
          </cell>
          <cell r="E723" t="str">
            <v>un</v>
          </cell>
          <cell r="F723">
            <v>869999.99999999988</v>
          </cell>
          <cell r="G723">
            <v>870000</v>
          </cell>
          <cell r="M723" t="str">
            <v>mt</v>
          </cell>
        </row>
        <row r="724">
          <cell r="A724" t="str">
            <v>11-03-160</v>
          </cell>
          <cell r="B724" t="str">
            <v>mt51150</v>
          </cell>
          <cell r="C724" t="str">
            <v>Chapa antipanico Yale 1 ala</v>
          </cell>
          <cell r="D724">
            <v>1</v>
          </cell>
          <cell r="E724" t="str">
            <v>un</v>
          </cell>
          <cell r="F724">
            <v>568400</v>
          </cell>
          <cell r="G724">
            <v>568400</v>
          </cell>
          <cell r="M724" t="str">
            <v>mt</v>
          </cell>
        </row>
        <row r="725">
          <cell r="A725" t="str">
            <v>11-03-160</v>
          </cell>
          <cell r="B725" t="str">
            <v>au10700</v>
          </cell>
          <cell r="C725" t="str">
            <v>Aux concreto 3000 psi -obra- 3/4"</v>
          </cell>
          <cell r="D725">
            <v>0.10800000000000001</v>
          </cell>
          <cell r="E725" t="str">
            <v>m3</v>
          </cell>
          <cell r="F725">
            <v>271081</v>
          </cell>
          <cell r="G725">
            <v>29277</v>
          </cell>
          <cell r="M725" t="str">
            <v>au</v>
          </cell>
        </row>
        <row r="726">
          <cell r="A726" t="str">
            <v>11-03-160</v>
          </cell>
          <cell r="B726" t="str">
            <v>au10100</v>
          </cell>
          <cell r="C726" t="str">
            <v>Aux MO oficial obra negra</v>
          </cell>
          <cell r="D726">
            <v>8</v>
          </cell>
          <cell r="E726" t="str">
            <v>hr</v>
          </cell>
          <cell r="F726">
            <v>7619</v>
          </cell>
          <cell r="G726">
            <v>60952</v>
          </cell>
          <cell r="M726" t="str">
            <v>mo</v>
          </cell>
        </row>
        <row r="727">
          <cell r="A727" t="str">
            <v>11-03-160</v>
          </cell>
          <cell r="B727" t="str">
            <v>au10000</v>
          </cell>
          <cell r="C727" t="str">
            <v>Aux MO ayudante</v>
          </cell>
          <cell r="D727">
            <v>8</v>
          </cell>
          <cell r="E727" t="str">
            <v>hr</v>
          </cell>
          <cell r="F727">
            <v>5080</v>
          </cell>
          <cell r="G727">
            <v>40640</v>
          </cell>
          <cell r="M727" t="str">
            <v>mo</v>
          </cell>
        </row>
        <row r="728">
          <cell r="A728" t="str">
            <v>11-03-160</v>
          </cell>
          <cell r="B728" t="str">
            <v>tp500020</v>
          </cell>
          <cell r="C728" t="str">
            <v>Transporte puertas y ventanas</v>
          </cell>
          <cell r="D728">
            <v>2.52</v>
          </cell>
          <cell r="E728" t="str">
            <v>m2</v>
          </cell>
          <cell r="F728">
            <v>50800</v>
          </cell>
          <cell r="G728">
            <v>128016</v>
          </cell>
          <cell r="M728" t="str">
            <v>tp</v>
          </cell>
        </row>
        <row r="729">
          <cell r="A729" t="str">
            <v>11-03-160</v>
          </cell>
          <cell r="B729" t="str">
            <v>mt13900</v>
          </cell>
          <cell r="C729" t="str">
            <v>Elementos de consumo y protección</v>
          </cell>
          <cell r="D729">
            <v>101592</v>
          </cell>
          <cell r="E729" t="str">
            <v>%</v>
          </cell>
          <cell r="F729">
            <v>1.2455000000000001E-2</v>
          </cell>
          <cell r="G729">
            <v>1266</v>
          </cell>
          <cell r="M729" t="str">
            <v>mt</v>
          </cell>
        </row>
        <row r="730">
          <cell r="A730" t="str">
            <v>11-03-160</v>
          </cell>
          <cell r="B730" t="str">
            <v>hm15100</v>
          </cell>
          <cell r="C730" t="str">
            <v>Herramienta y equipo menor</v>
          </cell>
          <cell r="D730">
            <v>101592</v>
          </cell>
          <cell r="E730" t="str">
            <v>%</v>
          </cell>
          <cell r="F730">
            <v>0.03</v>
          </cell>
          <cell r="G730">
            <v>3048</v>
          </cell>
          <cell r="M730" t="str">
            <v>hm</v>
          </cell>
        </row>
        <row r="731">
          <cell r="A731">
            <v>0</v>
          </cell>
          <cell r="C731" t="str">
            <v>DIRECTO:  1,701,599 / UN</v>
          </cell>
          <cell r="D731">
            <v>0</v>
          </cell>
          <cell r="E731">
            <v>0</v>
          </cell>
          <cell r="F731">
            <v>0</v>
          </cell>
          <cell r="G731">
            <v>0</v>
          </cell>
          <cell r="M731">
            <v>0</v>
          </cell>
        </row>
        <row r="732">
          <cell r="A732">
            <v>0</v>
          </cell>
          <cell r="C732">
            <v>0</v>
          </cell>
          <cell r="E732">
            <v>0</v>
          </cell>
          <cell r="F732">
            <v>0</v>
          </cell>
          <cell r="G732">
            <v>0</v>
          </cell>
          <cell r="M732">
            <v>0</v>
          </cell>
        </row>
        <row r="733">
          <cell r="A733" t="str">
            <v>11-05-030</v>
          </cell>
          <cell r="B733" t="str">
            <v>11-05-030</v>
          </cell>
          <cell r="C733" t="str">
            <v>PASAMANOS EN SOPORTES Y TUBULAR Ø 2" DE ACERO INOXIDABLE Y VIDRIO LAMINADO 8 MM. INCLUYE ANCLAJES A LOSA.</v>
          </cell>
          <cell r="D733">
            <v>83</v>
          </cell>
          <cell r="E733" t="str">
            <v>M</v>
          </cell>
          <cell r="F733">
            <v>0</v>
          </cell>
          <cell r="G733">
            <v>696000</v>
          </cell>
          <cell r="M733" t="e">
            <v>#N/A</v>
          </cell>
        </row>
        <row r="734">
          <cell r="A734" t="str">
            <v>11-05-030</v>
          </cell>
          <cell r="B734" t="str">
            <v>sc550200</v>
          </cell>
          <cell r="C734" t="str">
            <v>Pasamanos tubular acero inox + vidrio laminado</v>
          </cell>
          <cell r="D734">
            <v>1</v>
          </cell>
          <cell r="E734" t="str">
            <v>m</v>
          </cell>
          <cell r="F734">
            <v>696000</v>
          </cell>
          <cell r="G734">
            <v>696000</v>
          </cell>
          <cell r="M734" t="str">
            <v>sc</v>
          </cell>
        </row>
        <row r="735">
          <cell r="A735" t="str">
            <v>11-05-030</v>
          </cell>
          <cell r="B735" t="str">
            <v>mt13900</v>
          </cell>
          <cell r="C735" t="str">
            <v>Elementos de consumo y protección</v>
          </cell>
          <cell r="D735">
            <v>0</v>
          </cell>
          <cell r="E735" t="str">
            <v>%</v>
          </cell>
          <cell r="F735">
            <v>1.2455000000000001E-2</v>
          </cell>
          <cell r="G735">
            <v>0</v>
          </cell>
          <cell r="M735" t="str">
            <v>mt</v>
          </cell>
        </row>
        <row r="736">
          <cell r="A736" t="str">
            <v>11-05-030</v>
          </cell>
          <cell r="B736" t="str">
            <v>hm15100</v>
          </cell>
          <cell r="C736" t="str">
            <v>Herramienta y equipo menor</v>
          </cell>
          <cell r="D736">
            <v>0</v>
          </cell>
          <cell r="E736" t="str">
            <v>%</v>
          </cell>
          <cell r="F736">
            <v>0.03</v>
          </cell>
          <cell r="G736">
            <v>0</v>
          </cell>
          <cell r="M736" t="str">
            <v>hm</v>
          </cell>
        </row>
        <row r="737">
          <cell r="A737">
            <v>0</v>
          </cell>
          <cell r="C737" t="str">
            <v>DIRECTO:  696,000 / M</v>
          </cell>
          <cell r="D737">
            <v>0</v>
          </cell>
          <cell r="E737">
            <v>0</v>
          </cell>
          <cell r="F737">
            <v>0</v>
          </cell>
          <cell r="G737">
            <v>0</v>
          </cell>
          <cell r="M737">
            <v>0</v>
          </cell>
        </row>
        <row r="738">
          <cell r="A738">
            <v>0</v>
          </cell>
          <cell r="C738">
            <v>0</v>
          </cell>
          <cell r="E738">
            <v>0</v>
          </cell>
          <cell r="F738">
            <v>0</v>
          </cell>
          <cell r="G738">
            <v>0</v>
          </cell>
          <cell r="M738">
            <v>0</v>
          </cell>
        </row>
        <row r="739">
          <cell r="A739" t="str">
            <v>11-05-040</v>
          </cell>
          <cell r="B739" t="str">
            <v>11-05-040</v>
          </cell>
          <cell r="C739" t="str">
            <v>PASAMANOS EN SOPORTES Y TUBULAR SUPERIOR Ø 2" DE ACERO INOXIDABLE. INCLUYE ANCLAJES A ESTRUCTURA</v>
          </cell>
          <cell r="D739">
            <v>13</v>
          </cell>
          <cell r="E739" t="str">
            <v>M</v>
          </cell>
          <cell r="F739">
            <v>0</v>
          </cell>
          <cell r="G739">
            <v>535000</v>
          </cell>
          <cell r="M739" t="e">
            <v>#N/A</v>
          </cell>
        </row>
        <row r="740">
          <cell r="A740" t="str">
            <v>11-05-040</v>
          </cell>
          <cell r="B740" t="str">
            <v>sc550300</v>
          </cell>
          <cell r="C740" t="str">
            <v>Pasamanos tubular acero inoxidable</v>
          </cell>
          <cell r="D740">
            <v>1</v>
          </cell>
          <cell r="E740" t="str">
            <v>m</v>
          </cell>
          <cell r="F740">
            <v>521999.99999999994</v>
          </cell>
          <cell r="G740">
            <v>522000</v>
          </cell>
          <cell r="M740" t="str">
            <v>sc</v>
          </cell>
        </row>
        <row r="741">
          <cell r="A741" t="str">
            <v>11-05-040</v>
          </cell>
          <cell r="B741" t="str">
            <v>sc100100</v>
          </cell>
          <cell r="C741" t="str">
            <v>Anclajes epoxicos - incluye instalacion</v>
          </cell>
          <cell r="D741">
            <v>2</v>
          </cell>
          <cell r="E741" t="str">
            <v>un</v>
          </cell>
          <cell r="F741">
            <v>6500</v>
          </cell>
          <cell r="G741">
            <v>13000</v>
          </cell>
          <cell r="M741" t="str">
            <v>sc</v>
          </cell>
        </row>
        <row r="742">
          <cell r="A742" t="str">
            <v>11-05-040</v>
          </cell>
          <cell r="B742" t="str">
            <v>mt13900</v>
          </cell>
          <cell r="C742" t="str">
            <v>Elementos de consumo y protección</v>
          </cell>
          <cell r="D742">
            <v>0</v>
          </cell>
          <cell r="E742" t="str">
            <v>%</v>
          </cell>
          <cell r="F742">
            <v>1.2455000000000001E-2</v>
          </cell>
          <cell r="G742">
            <v>0</v>
          </cell>
          <cell r="M742" t="str">
            <v>mt</v>
          </cell>
        </row>
        <row r="743">
          <cell r="A743" t="str">
            <v>11-05-040</v>
          </cell>
          <cell r="B743" t="str">
            <v>hm15100</v>
          </cell>
          <cell r="C743" t="str">
            <v>Herramienta y equipo menor</v>
          </cell>
          <cell r="D743">
            <v>0</v>
          </cell>
          <cell r="E743" t="str">
            <v>%</v>
          </cell>
          <cell r="F743">
            <v>0.03</v>
          </cell>
          <cell r="G743">
            <v>0</v>
          </cell>
          <cell r="M743" t="str">
            <v>hm</v>
          </cell>
        </row>
        <row r="744">
          <cell r="A744">
            <v>0</v>
          </cell>
          <cell r="C744" t="str">
            <v>DIRECTO:  535,000 / M</v>
          </cell>
          <cell r="D744">
            <v>0</v>
          </cell>
          <cell r="E744">
            <v>0</v>
          </cell>
          <cell r="F744">
            <v>0</v>
          </cell>
          <cell r="G744">
            <v>0</v>
          </cell>
          <cell r="M744">
            <v>0</v>
          </cell>
        </row>
        <row r="745">
          <cell r="A745">
            <v>0</v>
          </cell>
          <cell r="C745">
            <v>0</v>
          </cell>
          <cell r="E745">
            <v>0</v>
          </cell>
          <cell r="F745">
            <v>0</v>
          </cell>
          <cell r="G745">
            <v>0</v>
          </cell>
          <cell r="M745">
            <v>0</v>
          </cell>
        </row>
        <row r="746">
          <cell r="A746" t="str">
            <v>11-05-050</v>
          </cell>
          <cell r="B746" t="str">
            <v>11-05-050</v>
          </cell>
          <cell r="C746" t="str">
            <v>PASAMANOS PARA DISCAPACITADOS. DOBLE TUBULAR Ø 2" EN ACERO INOXIDABLE ANCLADO A MUROS</v>
          </cell>
          <cell r="D746">
            <v>5</v>
          </cell>
          <cell r="E746" t="str">
            <v>M</v>
          </cell>
          <cell r="F746">
            <v>0</v>
          </cell>
          <cell r="G746">
            <v>535000</v>
          </cell>
          <cell r="M746" t="e">
            <v>#N/A</v>
          </cell>
        </row>
        <row r="747">
          <cell r="A747" t="str">
            <v>11-05-050</v>
          </cell>
          <cell r="B747" t="str">
            <v>sc550300</v>
          </cell>
          <cell r="C747" t="str">
            <v>Pasamanos tubular acero inoxidable</v>
          </cell>
          <cell r="D747">
            <v>1</v>
          </cell>
          <cell r="E747" t="str">
            <v>m</v>
          </cell>
          <cell r="F747">
            <v>521999.99999999994</v>
          </cell>
          <cell r="G747">
            <v>522000</v>
          </cell>
          <cell r="M747" t="str">
            <v>sc</v>
          </cell>
        </row>
        <row r="748">
          <cell r="A748" t="str">
            <v>11-05-050</v>
          </cell>
          <cell r="B748" t="str">
            <v>sc100100</v>
          </cell>
          <cell r="C748" t="str">
            <v>Anclajes epoxicos - incluye instalacion</v>
          </cell>
          <cell r="D748">
            <v>2</v>
          </cell>
          <cell r="E748" t="str">
            <v>un</v>
          </cell>
          <cell r="F748">
            <v>6500</v>
          </cell>
          <cell r="G748">
            <v>13000</v>
          </cell>
          <cell r="M748" t="str">
            <v>sc</v>
          </cell>
        </row>
        <row r="749">
          <cell r="A749" t="str">
            <v>11-05-050</v>
          </cell>
          <cell r="B749" t="str">
            <v>mt13900</v>
          </cell>
          <cell r="C749" t="str">
            <v>Elementos de consumo y protección</v>
          </cell>
          <cell r="D749">
            <v>0</v>
          </cell>
          <cell r="E749" t="str">
            <v>%</v>
          </cell>
          <cell r="F749">
            <v>1.2455000000000001E-2</v>
          </cell>
          <cell r="G749">
            <v>0</v>
          </cell>
          <cell r="M749" t="str">
            <v>mt</v>
          </cell>
        </row>
        <row r="750">
          <cell r="A750" t="str">
            <v>11-05-050</v>
          </cell>
          <cell r="B750" t="str">
            <v>hm15100</v>
          </cell>
          <cell r="C750" t="str">
            <v>Herramienta y equipo menor</v>
          </cell>
          <cell r="D750">
            <v>0</v>
          </cell>
          <cell r="E750" t="str">
            <v>%</v>
          </cell>
          <cell r="F750">
            <v>0.03</v>
          </cell>
          <cell r="G750">
            <v>0</v>
          </cell>
          <cell r="M750" t="str">
            <v>hm</v>
          </cell>
        </row>
        <row r="751">
          <cell r="A751">
            <v>0</v>
          </cell>
          <cell r="C751" t="str">
            <v>DIRECTO:  535,000 / M</v>
          </cell>
          <cell r="D751">
            <v>0</v>
          </cell>
          <cell r="E751">
            <v>0</v>
          </cell>
          <cell r="F751">
            <v>0</v>
          </cell>
          <cell r="G751">
            <v>0</v>
          </cell>
          <cell r="M751">
            <v>0</v>
          </cell>
        </row>
        <row r="752">
          <cell r="A752">
            <v>0</v>
          </cell>
          <cell r="C752">
            <v>0</v>
          </cell>
          <cell r="E752">
            <v>0</v>
          </cell>
          <cell r="F752">
            <v>0</v>
          </cell>
          <cell r="G752">
            <v>0</v>
          </cell>
          <cell r="M752">
            <v>0</v>
          </cell>
        </row>
        <row r="753">
          <cell r="A753" t="str">
            <v>11-06-010</v>
          </cell>
          <cell r="B753" t="str">
            <v>11-06-010</v>
          </cell>
          <cell r="C753" t="str">
            <v>ESCALERA ESCAMOTEABLE</v>
          </cell>
          <cell r="D753">
            <v>1</v>
          </cell>
          <cell r="E753" t="str">
            <v>UN</v>
          </cell>
          <cell r="F753">
            <v>0</v>
          </cell>
          <cell r="G753">
            <v>4000000</v>
          </cell>
          <cell r="M753" t="e">
            <v>#N/A</v>
          </cell>
        </row>
        <row r="754">
          <cell r="A754" t="str">
            <v>11-06-010</v>
          </cell>
          <cell r="B754" t="str">
            <v>pv10030</v>
          </cell>
          <cell r="C754" t="str">
            <v>Provision para escalera escamoteable</v>
          </cell>
          <cell r="D754">
            <v>1</v>
          </cell>
          <cell r="E754" t="str">
            <v>gb</v>
          </cell>
          <cell r="F754">
            <v>4000000</v>
          </cell>
          <cell r="G754">
            <v>4000000</v>
          </cell>
          <cell r="M754" t="str">
            <v>pv</v>
          </cell>
        </row>
        <row r="755">
          <cell r="A755">
            <v>0</v>
          </cell>
          <cell r="C755" t="str">
            <v>DIRECTO:  4,000,000 / UN</v>
          </cell>
          <cell r="D755">
            <v>0</v>
          </cell>
          <cell r="E755">
            <v>0</v>
          </cell>
          <cell r="F755">
            <v>0</v>
          </cell>
          <cell r="G755">
            <v>0</v>
          </cell>
          <cell r="M755">
            <v>0</v>
          </cell>
        </row>
        <row r="756">
          <cell r="A756">
            <v>0</v>
          </cell>
          <cell r="C756">
            <v>0</v>
          </cell>
          <cell r="E756">
            <v>0</v>
          </cell>
          <cell r="F756">
            <v>0</v>
          </cell>
          <cell r="G756">
            <v>0</v>
          </cell>
          <cell r="M756">
            <v>0</v>
          </cell>
        </row>
        <row r="757">
          <cell r="A757" t="str">
            <v>11-06-020</v>
          </cell>
          <cell r="B757" t="str">
            <v>11-06-020</v>
          </cell>
          <cell r="C757" t="str">
            <v>GRADERIAS Y TARIMAS EN ESTRUCTURA METALICA + ACABADO EN MADERA PINO</v>
          </cell>
          <cell r="D757">
            <v>1</v>
          </cell>
          <cell r="E757" t="str">
            <v>M2</v>
          </cell>
          <cell r="F757">
            <v>0</v>
          </cell>
          <cell r="G757">
            <v>33550000</v>
          </cell>
          <cell r="M757" t="e">
            <v>#N/A</v>
          </cell>
        </row>
        <row r="758">
          <cell r="A758" t="str">
            <v>11-06-020</v>
          </cell>
          <cell r="B758" t="str">
            <v>pv10040</v>
          </cell>
          <cell r="C758" t="str">
            <v>Provision para graderias metalicas con acabado en madera</v>
          </cell>
          <cell r="D758">
            <v>1</v>
          </cell>
          <cell r="E758" t="str">
            <v>gb</v>
          </cell>
          <cell r="F758">
            <v>33550000</v>
          </cell>
          <cell r="G758">
            <v>33550000</v>
          </cell>
          <cell r="M758" t="str">
            <v>pv</v>
          </cell>
        </row>
        <row r="759">
          <cell r="A759">
            <v>0</v>
          </cell>
          <cell r="C759" t="str">
            <v>DIRECTO:  33,550,000 / M2</v>
          </cell>
          <cell r="D759">
            <v>0</v>
          </cell>
          <cell r="E759">
            <v>0</v>
          </cell>
          <cell r="F759">
            <v>0</v>
          </cell>
          <cell r="G759">
            <v>0</v>
          </cell>
          <cell r="M759">
            <v>0</v>
          </cell>
        </row>
        <row r="760">
          <cell r="A760">
            <v>0</v>
          </cell>
          <cell r="B760" t="str">
            <v>12</v>
          </cell>
          <cell r="C760" t="str">
            <v>CARPINTERIA DE MADERA (Todas las puertas y vidrieras incluyen cerraduras y haladeras según los detalles arquitectonicos)</v>
          </cell>
          <cell r="E760">
            <v>0</v>
          </cell>
          <cell r="F760">
            <v>0</v>
          </cell>
          <cell r="G760">
            <v>0</v>
          </cell>
          <cell r="M760" t="e">
            <v>#N/A</v>
          </cell>
        </row>
        <row r="761">
          <cell r="A761" t="str">
            <v>12-01-010</v>
          </cell>
          <cell r="B761" t="str">
            <v>12-01-010</v>
          </cell>
          <cell r="C761" t="str">
            <v>VENTANA V1 (1.36x2.78). MARCO + ALAS EN MADERA. DOS ALAS BATIENTES. INCLUYE PASAMANOS EN MADERA Y ACABADO FINAL</v>
          </cell>
          <cell r="D761">
            <v>1</v>
          </cell>
          <cell r="E761" t="str">
            <v>UN</v>
          </cell>
          <cell r="F761">
            <v>0</v>
          </cell>
          <cell r="G761">
            <v>6106693</v>
          </cell>
          <cell r="M761" t="e">
            <v>#N/A</v>
          </cell>
        </row>
        <row r="762">
          <cell r="A762" t="str">
            <v>12-01-010</v>
          </cell>
          <cell r="B762" t="str">
            <v>mt571000</v>
          </cell>
          <cell r="C762" t="str">
            <v>Madera cedro</v>
          </cell>
          <cell r="D762">
            <v>0.75616000000000005</v>
          </cell>
          <cell r="E762" t="str">
            <v>m3</v>
          </cell>
          <cell r="F762">
            <v>2641600</v>
          </cell>
          <cell r="G762">
            <v>1997473</v>
          </cell>
          <cell r="M762" t="str">
            <v>mt</v>
          </cell>
        </row>
        <row r="763">
          <cell r="A763" t="str">
            <v>12-01-010</v>
          </cell>
          <cell r="B763" t="str">
            <v>mt572000</v>
          </cell>
          <cell r="C763" t="str">
            <v>Madera macana 1m x 1"</v>
          </cell>
          <cell r="D763">
            <v>12</v>
          </cell>
          <cell r="E763" t="str">
            <v>un</v>
          </cell>
          <cell r="F763">
            <v>1219.2</v>
          </cell>
          <cell r="G763">
            <v>14631</v>
          </cell>
          <cell r="M763" t="str">
            <v>mt</v>
          </cell>
        </row>
        <row r="764">
          <cell r="A764" t="str">
            <v>12-01-010</v>
          </cell>
          <cell r="B764" t="str">
            <v>mt18620</v>
          </cell>
          <cell r="C764" t="str">
            <v>Barniz para puertas y ventanas en madera</v>
          </cell>
          <cell r="D764">
            <v>2</v>
          </cell>
          <cell r="E764" t="str">
            <v>gl</v>
          </cell>
          <cell r="F764">
            <v>40538.400000000001</v>
          </cell>
          <cell r="G764">
            <v>81077</v>
          </cell>
          <cell r="M764" t="str">
            <v>mt</v>
          </cell>
        </row>
        <row r="765">
          <cell r="A765" t="str">
            <v>12-01-010</v>
          </cell>
          <cell r="B765" t="str">
            <v>mt51120</v>
          </cell>
          <cell r="C765" t="str">
            <v>Cerradura para ventana en madera</v>
          </cell>
          <cell r="D765">
            <v>1</v>
          </cell>
          <cell r="E765" t="str">
            <v>un</v>
          </cell>
          <cell r="F765">
            <v>152400</v>
          </cell>
          <cell r="G765">
            <v>152400</v>
          </cell>
          <cell r="M765" t="str">
            <v>mt</v>
          </cell>
        </row>
        <row r="766">
          <cell r="A766" t="str">
            <v>12-01-010</v>
          </cell>
          <cell r="B766" t="str">
            <v>au10260</v>
          </cell>
          <cell r="C766" t="str">
            <v>Aux MO oficial carpintero</v>
          </cell>
          <cell r="D766">
            <v>86</v>
          </cell>
          <cell r="E766" t="str">
            <v>hr</v>
          </cell>
          <cell r="F766">
            <v>12901.168</v>
          </cell>
          <cell r="G766">
            <v>1109501</v>
          </cell>
          <cell r="M766" t="str">
            <v>mo</v>
          </cell>
        </row>
        <row r="767">
          <cell r="A767" t="str">
            <v>12-01-010</v>
          </cell>
          <cell r="B767" t="str">
            <v>au10000</v>
          </cell>
          <cell r="C767" t="str">
            <v>Aux MO ayudante</v>
          </cell>
          <cell r="D767">
            <v>86</v>
          </cell>
          <cell r="E767" t="str">
            <v>hr</v>
          </cell>
          <cell r="F767">
            <v>5080</v>
          </cell>
          <cell r="G767">
            <v>436880</v>
          </cell>
          <cell r="M767" t="str">
            <v>mo</v>
          </cell>
        </row>
        <row r="768">
          <cell r="A768" t="str">
            <v>12-01-010</v>
          </cell>
          <cell r="B768" t="str">
            <v>TP500020</v>
          </cell>
          <cell r="C768" t="str">
            <v>Transporte puertas y ventanas</v>
          </cell>
          <cell r="D768">
            <v>3.7808000000000002</v>
          </cell>
          <cell r="E768" t="str">
            <v>m2</v>
          </cell>
          <cell r="F768">
            <v>50800</v>
          </cell>
          <cell r="G768">
            <v>192065</v>
          </cell>
          <cell r="M768" t="str">
            <v>TP</v>
          </cell>
        </row>
        <row r="769">
          <cell r="A769" t="str">
            <v>12-01-010</v>
          </cell>
          <cell r="B769" t="str">
            <v>sc97420</v>
          </cell>
          <cell r="C769" t="str">
            <v>Subcontrato instalacion puertas y ventanas + AIU</v>
          </cell>
          <cell r="D769">
            <v>3.7808000000000002</v>
          </cell>
          <cell r="E769" t="str">
            <v>m2</v>
          </cell>
          <cell r="F769">
            <v>544068</v>
          </cell>
          <cell r="G769">
            <v>2057013</v>
          </cell>
          <cell r="M769" t="str">
            <v>sc</v>
          </cell>
        </row>
        <row r="770">
          <cell r="A770" t="str">
            <v>12-01-010</v>
          </cell>
          <cell r="B770" t="str">
            <v>mt13900</v>
          </cell>
          <cell r="C770" t="str">
            <v>Elementos de consumo y protección</v>
          </cell>
          <cell r="D770">
            <v>1546381</v>
          </cell>
          <cell r="E770" t="str">
            <v>%</v>
          </cell>
          <cell r="F770">
            <v>1.2455000000000001E-2</v>
          </cell>
          <cell r="G770">
            <v>19261</v>
          </cell>
          <cell r="M770" t="str">
            <v>mt</v>
          </cell>
        </row>
        <row r="771">
          <cell r="A771" t="str">
            <v>12-01-010</v>
          </cell>
          <cell r="B771" t="str">
            <v>hm15100</v>
          </cell>
          <cell r="C771" t="str">
            <v>Herramienta y equipo menor</v>
          </cell>
          <cell r="D771">
            <v>1546381</v>
          </cell>
          <cell r="E771" t="str">
            <v>%</v>
          </cell>
          <cell r="F771">
            <v>0.03</v>
          </cell>
          <cell r="G771">
            <v>46392</v>
          </cell>
          <cell r="M771" t="str">
            <v>hm</v>
          </cell>
        </row>
        <row r="772">
          <cell r="A772">
            <v>0</v>
          </cell>
          <cell r="C772" t="str">
            <v>DIRECTO:  6,106,693 / UN</v>
          </cell>
          <cell r="D772">
            <v>0</v>
          </cell>
          <cell r="E772">
            <v>0</v>
          </cell>
          <cell r="F772">
            <v>0</v>
          </cell>
          <cell r="G772">
            <v>0</v>
          </cell>
          <cell r="M772">
            <v>0</v>
          </cell>
        </row>
        <row r="773">
          <cell r="A773">
            <v>0</v>
          </cell>
          <cell r="C773">
            <v>0</v>
          </cell>
          <cell r="E773">
            <v>0</v>
          </cell>
          <cell r="F773">
            <v>0</v>
          </cell>
          <cell r="G773">
            <v>0</v>
          </cell>
          <cell r="M773">
            <v>0</v>
          </cell>
        </row>
        <row r="774">
          <cell r="A774" t="str">
            <v>12-01-020</v>
          </cell>
          <cell r="B774" t="str">
            <v>12-01-020</v>
          </cell>
          <cell r="C774" t="str">
            <v>VENTANA V2 (1.31x2.78). MARCO + ALAS EN MADERA. DOS ALAS BATIENTES. INCLUYE PASAMANOS EN MADERA Y ACABADO FINAL</v>
          </cell>
          <cell r="D774">
            <v>1</v>
          </cell>
          <cell r="E774" t="str">
            <v>UN</v>
          </cell>
          <cell r="F774">
            <v>0</v>
          </cell>
          <cell r="G774">
            <v>5969313</v>
          </cell>
          <cell r="M774" t="e">
            <v>#N/A</v>
          </cell>
        </row>
        <row r="775">
          <cell r="A775" t="str">
            <v>12-01-020</v>
          </cell>
          <cell r="B775" t="str">
            <v>mt571000</v>
          </cell>
          <cell r="C775" t="str">
            <v>Madera cedro</v>
          </cell>
          <cell r="D775">
            <v>0.72836000000000001</v>
          </cell>
          <cell r="E775" t="str">
            <v>m3</v>
          </cell>
          <cell r="F775">
            <v>2641600</v>
          </cell>
          <cell r="G775">
            <v>1924036</v>
          </cell>
          <cell r="M775" t="str">
            <v>mt</v>
          </cell>
        </row>
        <row r="776">
          <cell r="A776" t="str">
            <v>12-01-020</v>
          </cell>
          <cell r="B776" t="str">
            <v>mt572000</v>
          </cell>
          <cell r="C776" t="str">
            <v>Madera macana 1m x 1"</v>
          </cell>
          <cell r="D776">
            <v>12</v>
          </cell>
          <cell r="E776" t="str">
            <v>un</v>
          </cell>
          <cell r="F776">
            <v>1219.2</v>
          </cell>
          <cell r="G776">
            <v>14631</v>
          </cell>
          <cell r="M776" t="str">
            <v>mt</v>
          </cell>
        </row>
        <row r="777">
          <cell r="A777" t="str">
            <v>12-01-020</v>
          </cell>
          <cell r="B777" t="str">
            <v>mt18620</v>
          </cell>
          <cell r="C777" t="str">
            <v>Barniz para puertas y ventanas en madera</v>
          </cell>
          <cell r="D777">
            <v>2</v>
          </cell>
          <cell r="E777" t="str">
            <v>gl</v>
          </cell>
          <cell r="F777">
            <v>40538.400000000001</v>
          </cell>
          <cell r="G777">
            <v>81077</v>
          </cell>
          <cell r="M777" t="str">
            <v>mt</v>
          </cell>
        </row>
        <row r="778">
          <cell r="A778" t="str">
            <v>12-01-020</v>
          </cell>
          <cell r="B778" t="str">
            <v>mt51120</v>
          </cell>
          <cell r="C778" t="str">
            <v>Cerradura para ventana en madera</v>
          </cell>
          <cell r="D778">
            <v>1</v>
          </cell>
          <cell r="E778" t="str">
            <v>un</v>
          </cell>
          <cell r="F778">
            <v>152400</v>
          </cell>
          <cell r="G778">
            <v>152400</v>
          </cell>
          <cell r="M778" t="str">
            <v>mt</v>
          </cell>
        </row>
        <row r="779">
          <cell r="A779" t="str">
            <v>12-01-020</v>
          </cell>
          <cell r="B779" t="str">
            <v>au10260</v>
          </cell>
          <cell r="C779" t="str">
            <v>Aux MO oficial carpintero</v>
          </cell>
          <cell r="D779">
            <v>87</v>
          </cell>
          <cell r="E779" t="str">
            <v>hr</v>
          </cell>
          <cell r="F779">
            <v>12901.168</v>
          </cell>
          <cell r="G779">
            <v>1122402</v>
          </cell>
          <cell r="M779" t="str">
            <v>mo</v>
          </cell>
        </row>
        <row r="780">
          <cell r="A780" t="str">
            <v>12-01-020</v>
          </cell>
          <cell r="B780" t="str">
            <v>au10000</v>
          </cell>
          <cell r="C780" t="str">
            <v>Aux MO ayudante</v>
          </cell>
          <cell r="D780">
            <v>87</v>
          </cell>
          <cell r="E780" t="str">
            <v>hr</v>
          </cell>
          <cell r="F780">
            <v>5080</v>
          </cell>
          <cell r="G780">
            <v>441960</v>
          </cell>
          <cell r="M780" t="str">
            <v>mo</v>
          </cell>
        </row>
        <row r="781">
          <cell r="A781" t="str">
            <v>12-01-020</v>
          </cell>
          <cell r="B781" t="str">
            <v>TP500020</v>
          </cell>
          <cell r="C781" t="str">
            <v>Transporte puertas y ventanas</v>
          </cell>
          <cell r="D781">
            <v>3.6417999999999999</v>
          </cell>
          <cell r="E781" t="str">
            <v>m2</v>
          </cell>
          <cell r="F781">
            <v>50800</v>
          </cell>
          <cell r="G781">
            <v>185004</v>
          </cell>
          <cell r="M781" t="str">
            <v>TP</v>
          </cell>
        </row>
        <row r="782">
          <cell r="A782" t="str">
            <v>12-01-020</v>
          </cell>
          <cell r="B782" t="str">
            <v>sc97420</v>
          </cell>
          <cell r="C782" t="str">
            <v>Subcontrato instalacion puertas y ventanas + AIU</v>
          </cell>
          <cell r="D782">
            <v>3.6417999999999999</v>
          </cell>
          <cell r="E782" t="str">
            <v>m2</v>
          </cell>
          <cell r="F782">
            <v>544068</v>
          </cell>
          <cell r="G782">
            <v>1981387</v>
          </cell>
          <cell r="M782" t="str">
            <v>sc</v>
          </cell>
        </row>
        <row r="783">
          <cell r="A783" t="str">
            <v>12-01-020</v>
          </cell>
          <cell r="B783" t="str">
            <v>mt13900</v>
          </cell>
          <cell r="C783" t="str">
            <v>Elementos de consumo y protección</v>
          </cell>
          <cell r="D783">
            <v>1564362</v>
          </cell>
          <cell r="E783" t="str">
            <v>%</v>
          </cell>
          <cell r="F783">
            <v>1.2455000000000001E-2</v>
          </cell>
          <cell r="G783">
            <v>19485</v>
          </cell>
          <cell r="M783" t="str">
            <v>mt</v>
          </cell>
        </row>
        <row r="784">
          <cell r="A784" t="str">
            <v>12-01-020</v>
          </cell>
          <cell r="B784" t="str">
            <v>hm15100</v>
          </cell>
          <cell r="C784" t="str">
            <v>Herramienta y equipo menor</v>
          </cell>
          <cell r="D784">
            <v>1564362</v>
          </cell>
          <cell r="E784" t="str">
            <v>%</v>
          </cell>
          <cell r="F784">
            <v>0.03</v>
          </cell>
          <cell r="G784">
            <v>46931</v>
          </cell>
          <cell r="M784" t="str">
            <v>hm</v>
          </cell>
        </row>
        <row r="785">
          <cell r="A785">
            <v>0</v>
          </cell>
          <cell r="C785" t="str">
            <v>DIRECTO:  5,969,313 / UN</v>
          </cell>
          <cell r="D785">
            <v>0</v>
          </cell>
          <cell r="E785">
            <v>0</v>
          </cell>
          <cell r="F785">
            <v>0</v>
          </cell>
          <cell r="G785">
            <v>0</v>
          </cell>
          <cell r="M785">
            <v>0</v>
          </cell>
        </row>
        <row r="786">
          <cell r="A786">
            <v>0</v>
          </cell>
          <cell r="C786">
            <v>0</v>
          </cell>
          <cell r="E786">
            <v>0</v>
          </cell>
          <cell r="F786">
            <v>0</v>
          </cell>
          <cell r="G786">
            <v>0</v>
          </cell>
          <cell r="M786">
            <v>0</v>
          </cell>
        </row>
        <row r="787">
          <cell r="A787" t="str">
            <v>12-01-030</v>
          </cell>
          <cell r="B787" t="str">
            <v>12-01-030</v>
          </cell>
          <cell r="C787" t="str">
            <v>VENTANA V3 (1.36x2.78). MARCO + ALAS EN MADERA. DOS ALAS BATIENTES. INCLUYE PASAMANOS EN MADERA Y ACABADO FINAL</v>
          </cell>
          <cell r="D787">
            <v>1</v>
          </cell>
          <cell r="E787" t="str">
            <v>UN</v>
          </cell>
          <cell r="F787">
            <v>0</v>
          </cell>
          <cell r="G787">
            <v>6162926</v>
          </cell>
          <cell r="M787" t="e">
            <v>#N/A</v>
          </cell>
        </row>
        <row r="788">
          <cell r="A788" t="str">
            <v>12-01-030</v>
          </cell>
          <cell r="B788" t="str">
            <v>mt571000</v>
          </cell>
          <cell r="C788" t="str">
            <v>Madera cedro</v>
          </cell>
          <cell r="D788">
            <v>0.75616000000000005</v>
          </cell>
          <cell r="E788" t="str">
            <v>m3</v>
          </cell>
          <cell r="F788">
            <v>2641600</v>
          </cell>
          <cell r="G788">
            <v>1997473</v>
          </cell>
          <cell r="M788" t="str">
            <v>mt</v>
          </cell>
        </row>
        <row r="789">
          <cell r="A789" t="str">
            <v>12-01-030</v>
          </cell>
          <cell r="B789" t="str">
            <v>mt572000</v>
          </cell>
          <cell r="C789" t="str">
            <v>Madera macana 1m x 1"</v>
          </cell>
          <cell r="D789">
            <v>12</v>
          </cell>
          <cell r="E789" t="str">
            <v>un</v>
          </cell>
          <cell r="F789">
            <v>1219.2</v>
          </cell>
          <cell r="G789">
            <v>14631</v>
          </cell>
          <cell r="M789" t="str">
            <v>mt</v>
          </cell>
        </row>
        <row r="790">
          <cell r="A790" t="str">
            <v>12-01-030</v>
          </cell>
          <cell r="B790" t="str">
            <v>mt18620</v>
          </cell>
          <cell r="C790" t="str">
            <v>Barniz para puertas y ventanas en madera</v>
          </cell>
          <cell r="D790">
            <v>2</v>
          </cell>
          <cell r="E790" t="str">
            <v>gl</v>
          </cell>
          <cell r="F790">
            <v>40538.400000000001</v>
          </cell>
          <cell r="G790">
            <v>81077</v>
          </cell>
          <cell r="M790" t="str">
            <v>mt</v>
          </cell>
        </row>
        <row r="791">
          <cell r="A791" t="str">
            <v>12-01-030</v>
          </cell>
          <cell r="B791" t="str">
            <v>mt51120</v>
          </cell>
          <cell r="C791" t="str">
            <v>Cerradura para ventana en madera</v>
          </cell>
          <cell r="D791">
            <v>1</v>
          </cell>
          <cell r="E791" t="str">
            <v>un</v>
          </cell>
          <cell r="F791">
            <v>152400</v>
          </cell>
          <cell r="G791">
            <v>152400</v>
          </cell>
          <cell r="M791" t="str">
            <v>mt</v>
          </cell>
        </row>
        <row r="792">
          <cell r="A792" t="str">
            <v>12-01-030</v>
          </cell>
          <cell r="B792" t="str">
            <v>au10260</v>
          </cell>
          <cell r="C792" t="str">
            <v>Aux MO oficial carpintero</v>
          </cell>
          <cell r="D792">
            <v>89</v>
          </cell>
          <cell r="E792" t="str">
            <v>hr</v>
          </cell>
          <cell r="F792">
            <v>12901.168</v>
          </cell>
          <cell r="G792">
            <v>1148204</v>
          </cell>
          <cell r="M792" t="str">
            <v>mo</v>
          </cell>
        </row>
        <row r="793">
          <cell r="A793" t="str">
            <v>12-01-030</v>
          </cell>
          <cell r="B793" t="str">
            <v>au10000</v>
          </cell>
          <cell r="C793" t="str">
            <v>Aux MO ayudante</v>
          </cell>
          <cell r="D793">
            <v>89</v>
          </cell>
          <cell r="E793" t="str">
            <v>hr</v>
          </cell>
          <cell r="F793">
            <v>5080</v>
          </cell>
          <cell r="G793">
            <v>452120</v>
          </cell>
          <cell r="M793" t="str">
            <v>mo</v>
          </cell>
        </row>
        <row r="794">
          <cell r="A794" t="str">
            <v>12-01-030</v>
          </cell>
          <cell r="B794" t="str">
            <v>TP500020</v>
          </cell>
          <cell r="C794" t="str">
            <v>Transporte puertas y ventanas</v>
          </cell>
          <cell r="D794">
            <v>3.7808000000000002</v>
          </cell>
          <cell r="E794" t="str">
            <v>m2</v>
          </cell>
          <cell r="F794">
            <v>50800</v>
          </cell>
          <cell r="G794">
            <v>192065</v>
          </cell>
          <cell r="M794" t="str">
            <v>TP</v>
          </cell>
        </row>
        <row r="795">
          <cell r="A795" t="str">
            <v>12-01-030</v>
          </cell>
          <cell r="B795" t="str">
            <v>sc97420</v>
          </cell>
          <cell r="C795" t="str">
            <v>Subcontrato instalacion puertas y ventanas + AIU</v>
          </cell>
          <cell r="D795">
            <v>3.7808000000000002</v>
          </cell>
          <cell r="E795" t="str">
            <v>m2</v>
          </cell>
          <cell r="F795">
            <v>544068</v>
          </cell>
          <cell r="G795">
            <v>2057013</v>
          </cell>
          <cell r="M795" t="str">
            <v>sc</v>
          </cell>
        </row>
        <row r="796">
          <cell r="A796" t="str">
            <v>12-01-030</v>
          </cell>
          <cell r="B796" t="str">
            <v>mt13900</v>
          </cell>
          <cell r="C796" t="str">
            <v>Elementos de consumo y protección</v>
          </cell>
          <cell r="D796">
            <v>1600324</v>
          </cell>
          <cell r="E796" t="str">
            <v>%</v>
          </cell>
          <cell r="F796">
            <v>1.2455000000000001E-2</v>
          </cell>
          <cell r="G796">
            <v>19933</v>
          </cell>
          <cell r="M796" t="str">
            <v>mt</v>
          </cell>
        </row>
        <row r="797">
          <cell r="A797" t="str">
            <v>12-01-030</v>
          </cell>
          <cell r="B797" t="str">
            <v>hm15100</v>
          </cell>
          <cell r="C797" t="str">
            <v>Herramienta y equipo menor</v>
          </cell>
          <cell r="D797">
            <v>1600324</v>
          </cell>
          <cell r="E797" t="str">
            <v>%</v>
          </cell>
          <cell r="F797">
            <v>0.03</v>
          </cell>
          <cell r="G797">
            <v>48010</v>
          </cell>
          <cell r="M797" t="str">
            <v>hm</v>
          </cell>
        </row>
        <row r="798">
          <cell r="A798">
            <v>0</v>
          </cell>
          <cell r="C798" t="str">
            <v>DIRECTO:  6,162,926 / UN</v>
          </cell>
          <cell r="D798">
            <v>0</v>
          </cell>
          <cell r="E798">
            <v>0</v>
          </cell>
          <cell r="F798">
            <v>0</v>
          </cell>
          <cell r="G798">
            <v>0</v>
          </cell>
          <cell r="M798">
            <v>0</v>
          </cell>
        </row>
        <row r="799">
          <cell r="A799">
            <v>0</v>
          </cell>
          <cell r="C799">
            <v>0</v>
          </cell>
          <cell r="E799">
            <v>0</v>
          </cell>
          <cell r="F799">
            <v>0</v>
          </cell>
          <cell r="G799">
            <v>0</v>
          </cell>
          <cell r="M799">
            <v>0</v>
          </cell>
        </row>
        <row r="800">
          <cell r="A800" t="str">
            <v>12-01-040</v>
          </cell>
          <cell r="B800" t="str">
            <v>12-01-040</v>
          </cell>
          <cell r="C800" t="str">
            <v>VENTANA V4 (1.36x2.78). MARCO + ALAS EN MADERA. DOS ALAS BATIENTES. INCLUYE PASAMANOS EN MADERA Y ACABADO FINAL</v>
          </cell>
          <cell r="D800">
            <v>1</v>
          </cell>
          <cell r="E800" t="str">
            <v>UN</v>
          </cell>
          <cell r="F800">
            <v>0</v>
          </cell>
          <cell r="G800">
            <v>6162926</v>
          </cell>
          <cell r="M800" t="e">
            <v>#N/A</v>
          </cell>
        </row>
        <row r="801">
          <cell r="A801" t="str">
            <v>12-01-040</v>
          </cell>
          <cell r="B801" t="str">
            <v>mt571000</v>
          </cell>
          <cell r="C801" t="str">
            <v>Madera cedro</v>
          </cell>
          <cell r="D801">
            <v>0.75616000000000005</v>
          </cell>
          <cell r="E801" t="str">
            <v>m3</v>
          </cell>
          <cell r="F801">
            <v>2641600</v>
          </cell>
          <cell r="G801">
            <v>1997473</v>
          </cell>
          <cell r="M801" t="str">
            <v>mt</v>
          </cell>
        </row>
        <row r="802">
          <cell r="A802" t="str">
            <v>12-01-040</v>
          </cell>
          <cell r="B802" t="str">
            <v>mt572000</v>
          </cell>
          <cell r="C802" t="str">
            <v>Madera macana 1m x 1"</v>
          </cell>
          <cell r="D802">
            <v>12</v>
          </cell>
          <cell r="E802" t="str">
            <v>un</v>
          </cell>
          <cell r="F802">
            <v>1219.2</v>
          </cell>
          <cell r="G802">
            <v>14631</v>
          </cell>
          <cell r="M802" t="str">
            <v>mt</v>
          </cell>
        </row>
        <row r="803">
          <cell r="A803" t="str">
            <v>12-01-040</v>
          </cell>
          <cell r="B803" t="str">
            <v>mt18620</v>
          </cell>
          <cell r="C803" t="str">
            <v>Barniz para puertas y ventanas en madera</v>
          </cell>
          <cell r="D803">
            <v>2</v>
          </cell>
          <cell r="E803" t="str">
            <v>gl</v>
          </cell>
          <cell r="F803">
            <v>40538.400000000001</v>
          </cell>
          <cell r="G803">
            <v>81077</v>
          </cell>
          <cell r="M803" t="str">
            <v>mt</v>
          </cell>
        </row>
        <row r="804">
          <cell r="A804" t="str">
            <v>12-01-040</v>
          </cell>
          <cell r="B804" t="str">
            <v>mt51120</v>
          </cell>
          <cell r="C804" t="str">
            <v>Cerradura para ventana en madera</v>
          </cell>
          <cell r="D804">
            <v>1</v>
          </cell>
          <cell r="E804" t="str">
            <v>un</v>
          </cell>
          <cell r="F804">
            <v>152400</v>
          </cell>
          <cell r="G804">
            <v>152400</v>
          </cell>
          <cell r="M804" t="str">
            <v>mt</v>
          </cell>
        </row>
        <row r="805">
          <cell r="A805" t="str">
            <v>12-01-040</v>
          </cell>
          <cell r="B805" t="str">
            <v>au10260</v>
          </cell>
          <cell r="C805" t="str">
            <v>Aux MO oficial carpintero</v>
          </cell>
          <cell r="D805">
            <v>89</v>
          </cell>
          <cell r="E805" t="str">
            <v>hr</v>
          </cell>
          <cell r="F805">
            <v>12901.168</v>
          </cell>
          <cell r="G805">
            <v>1148204</v>
          </cell>
          <cell r="M805" t="str">
            <v>mo</v>
          </cell>
        </row>
        <row r="806">
          <cell r="A806" t="str">
            <v>12-01-040</v>
          </cell>
          <cell r="B806" t="str">
            <v>au10000</v>
          </cell>
          <cell r="C806" t="str">
            <v>Aux MO ayudante</v>
          </cell>
          <cell r="D806">
            <v>89</v>
          </cell>
          <cell r="E806" t="str">
            <v>hr</v>
          </cell>
          <cell r="F806">
            <v>5080</v>
          </cell>
          <cell r="G806">
            <v>452120</v>
          </cell>
          <cell r="M806" t="str">
            <v>mo</v>
          </cell>
        </row>
        <row r="807">
          <cell r="A807" t="str">
            <v>12-01-040</v>
          </cell>
          <cell r="B807" t="str">
            <v>TP500020</v>
          </cell>
          <cell r="C807" t="str">
            <v>Transporte puertas y ventanas</v>
          </cell>
          <cell r="D807">
            <v>3.7808000000000002</v>
          </cell>
          <cell r="E807" t="str">
            <v>m2</v>
          </cell>
          <cell r="F807">
            <v>50800</v>
          </cell>
          <cell r="G807">
            <v>192065</v>
          </cell>
          <cell r="M807" t="str">
            <v>TP</v>
          </cell>
        </row>
        <row r="808">
          <cell r="A808" t="str">
            <v>12-01-040</v>
          </cell>
          <cell r="B808" t="str">
            <v>sc97420</v>
          </cell>
          <cell r="C808" t="str">
            <v>Subcontrato instalacion puertas y ventanas + AIU</v>
          </cell>
          <cell r="D808">
            <v>3.7808000000000002</v>
          </cell>
          <cell r="E808" t="str">
            <v>m2</v>
          </cell>
          <cell r="F808">
            <v>544068</v>
          </cell>
          <cell r="G808">
            <v>2057013</v>
          </cell>
          <cell r="M808" t="str">
            <v>sc</v>
          </cell>
        </row>
        <row r="809">
          <cell r="A809" t="str">
            <v>12-01-040</v>
          </cell>
          <cell r="B809" t="str">
            <v>mt13900</v>
          </cell>
          <cell r="C809" t="str">
            <v>Elementos de consumo y protección</v>
          </cell>
          <cell r="D809">
            <v>1600324</v>
          </cell>
          <cell r="E809" t="str">
            <v>%</v>
          </cell>
          <cell r="F809">
            <v>1.2455000000000001E-2</v>
          </cell>
          <cell r="G809">
            <v>19933</v>
          </cell>
          <cell r="M809" t="str">
            <v>mt</v>
          </cell>
        </row>
        <row r="810">
          <cell r="A810" t="str">
            <v>12-01-040</v>
          </cell>
          <cell r="B810" t="str">
            <v>hm15100</v>
          </cell>
          <cell r="C810" t="str">
            <v>Herramienta y equipo menor</v>
          </cell>
          <cell r="D810">
            <v>1600324</v>
          </cell>
          <cell r="E810" t="str">
            <v>%</v>
          </cell>
          <cell r="F810">
            <v>0.03</v>
          </cell>
          <cell r="G810">
            <v>48010</v>
          </cell>
          <cell r="M810" t="str">
            <v>hm</v>
          </cell>
        </row>
        <row r="811">
          <cell r="A811">
            <v>0</v>
          </cell>
          <cell r="C811" t="str">
            <v>DIRECTO:  6,162,926 / UN</v>
          </cell>
          <cell r="D811">
            <v>0</v>
          </cell>
          <cell r="E811">
            <v>0</v>
          </cell>
          <cell r="F811">
            <v>0</v>
          </cell>
          <cell r="G811">
            <v>0</v>
          </cell>
          <cell r="M811">
            <v>0</v>
          </cell>
        </row>
        <row r="812">
          <cell r="A812">
            <v>0</v>
          </cell>
          <cell r="C812">
            <v>0</v>
          </cell>
          <cell r="E812">
            <v>0</v>
          </cell>
          <cell r="F812">
            <v>0</v>
          </cell>
          <cell r="G812">
            <v>0</v>
          </cell>
          <cell r="M812">
            <v>0</v>
          </cell>
        </row>
        <row r="813">
          <cell r="A813" t="str">
            <v>12-01-050</v>
          </cell>
          <cell r="B813" t="str">
            <v>12-01-050</v>
          </cell>
          <cell r="C813" t="str">
            <v>VENTANA V5 (1.42x2.78). MARCO + ALAS EN MADERA. DOS ALAS BATIENTES. INCLUYE PASAMANOS EN MADERA Y ACABADO FINAL</v>
          </cell>
          <cell r="D813">
            <v>1</v>
          </cell>
          <cell r="E813" t="str">
            <v>UN</v>
          </cell>
          <cell r="F813">
            <v>0</v>
          </cell>
          <cell r="G813">
            <v>6425252</v>
          </cell>
          <cell r="M813" t="e">
            <v>#N/A</v>
          </cell>
        </row>
        <row r="814">
          <cell r="A814" t="str">
            <v>12-01-050</v>
          </cell>
          <cell r="B814" t="str">
            <v>mt571000</v>
          </cell>
          <cell r="C814" t="str">
            <v>Madera cedro</v>
          </cell>
          <cell r="D814">
            <v>0.78952</v>
          </cell>
          <cell r="E814" t="str">
            <v>m3</v>
          </cell>
          <cell r="F814">
            <v>2641600</v>
          </cell>
          <cell r="G814">
            <v>2085597</v>
          </cell>
          <cell r="M814" t="str">
            <v>mt</v>
          </cell>
        </row>
        <row r="815">
          <cell r="A815" t="str">
            <v>12-01-050</v>
          </cell>
          <cell r="B815" t="str">
            <v>mt572000</v>
          </cell>
          <cell r="C815" t="str">
            <v>Madera macana 1m x 1"</v>
          </cell>
          <cell r="D815">
            <v>12</v>
          </cell>
          <cell r="E815" t="str">
            <v>un</v>
          </cell>
          <cell r="F815">
            <v>1219.2</v>
          </cell>
          <cell r="G815">
            <v>14631</v>
          </cell>
          <cell r="M815" t="str">
            <v>mt</v>
          </cell>
        </row>
        <row r="816">
          <cell r="A816" t="str">
            <v>12-01-050</v>
          </cell>
          <cell r="B816" t="str">
            <v>mt18620</v>
          </cell>
          <cell r="C816" t="str">
            <v>Barniz para puertas y ventanas en madera</v>
          </cell>
          <cell r="D816">
            <v>2</v>
          </cell>
          <cell r="E816" t="str">
            <v>gl</v>
          </cell>
          <cell r="F816">
            <v>40538.400000000001</v>
          </cell>
          <cell r="G816">
            <v>81077</v>
          </cell>
          <cell r="M816" t="str">
            <v>mt</v>
          </cell>
        </row>
        <row r="817">
          <cell r="A817" t="str">
            <v>12-01-050</v>
          </cell>
          <cell r="B817" t="str">
            <v>mt51120</v>
          </cell>
          <cell r="C817" t="str">
            <v>Cerradura para ventana en madera</v>
          </cell>
          <cell r="D817">
            <v>1</v>
          </cell>
          <cell r="E817" t="str">
            <v>un</v>
          </cell>
          <cell r="F817">
            <v>152400</v>
          </cell>
          <cell r="G817">
            <v>152400</v>
          </cell>
          <cell r="M817" t="str">
            <v>mt</v>
          </cell>
        </row>
        <row r="818">
          <cell r="A818" t="str">
            <v>12-01-050</v>
          </cell>
          <cell r="B818" t="str">
            <v>au10260</v>
          </cell>
          <cell r="C818" t="str">
            <v>Aux MO oficial carpintero</v>
          </cell>
          <cell r="D818">
            <v>93</v>
          </cell>
          <cell r="E818" t="str">
            <v>hr</v>
          </cell>
          <cell r="F818">
            <v>12901.168</v>
          </cell>
          <cell r="G818">
            <v>1199809</v>
          </cell>
          <cell r="M818" t="str">
            <v>mo</v>
          </cell>
        </row>
        <row r="819">
          <cell r="A819" t="str">
            <v>12-01-050</v>
          </cell>
          <cell r="B819" t="str">
            <v>au10000</v>
          </cell>
          <cell r="C819" t="str">
            <v>Aux MO ayudante</v>
          </cell>
          <cell r="D819">
            <v>93</v>
          </cell>
          <cell r="E819" t="str">
            <v>hr</v>
          </cell>
          <cell r="F819">
            <v>5080</v>
          </cell>
          <cell r="G819">
            <v>472440</v>
          </cell>
          <cell r="M819" t="str">
            <v>mo</v>
          </cell>
        </row>
        <row r="820">
          <cell r="A820" t="str">
            <v>12-01-050</v>
          </cell>
          <cell r="B820" t="str">
            <v>TP500020</v>
          </cell>
          <cell r="C820" t="str">
            <v>Transporte puertas y ventanas</v>
          </cell>
          <cell r="D820">
            <v>3.9475999999999996</v>
          </cell>
          <cell r="E820" t="str">
            <v>m2</v>
          </cell>
          <cell r="F820">
            <v>50800</v>
          </cell>
          <cell r="G820">
            <v>200539</v>
          </cell>
          <cell r="M820" t="str">
            <v>TP</v>
          </cell>
        </row>
        <row r="821">
          <cell r="A821" t="str">
            <v>12-01-050</v>
          </cell>
          <cell r="B821" t="str">
            <v>sc97420</v>
          </cell>
          <cell r="C821" t="str">
            <v>Subcontrato instalacion puertas y ventanas + AIU</v>
          </cell>
          <cell r="D821">
            <v>3.9475999999999996</v>
          </cell>
          <cell r="E821" t="str">
            <v>m2</v>
          </cell>
          <cell r="F821">
            <v>544068</v>
          </cell>
          <cell r="G821">
            <v>2147763</v>
          </cell>
          <cell r="M821" t="str">
            <v>sc</v>
          </cell>
        </row>
        <row r="822">
          <cell r="A822" t="str">
            <v>12-01-050</v>
          </cell>
          <cell r="B822" t="str">
            <v>mt13900</v>
          </cell>
          <cell r="C822" t="str">
            <v>Elementos de consumo y protección</v>
          </cell>
          <cell r="D822">
            <v>1672249</v>
          </cell>
          <cell r="E822" t="str">
            <v>%</v>
          </cell>
          <cell r="F822">
            <v>1.2455000000000001E-2</v>
          </cell>
          <cell r="G822">
            <v>20828</v>
          </cell>
          <cell r="M822" t="str">
            <v>mt</v>
          </cell>
        </row>
        <row r="823">
          <cell r="A823" t="str">
            <v>12-01-050</v>
          </cell>
          <cell r="B823" t="str">
            <v>hm15100</v>
          </cell>
          <cell r="C823" t="str">
            <v>Herramienta y equipo menor</v>
          </cell>
          <cell r="D823">
            <v>1672249</v>
          </cell>
          <cell r="E823" t="str">
            <v>%</v>
          </cell>
          <cell r="F823">
            <v>0.03</v>
          </cell>
          <cell r="G823">
            <v>50168</v>
          </cell>
          <cell r="M823" t="str">
            <v>hm</v>
          </cell>
        </row>
        <row r="824">
          <cell r="A824">
            <v>0</v>
          </cell>
          <cell r="C824" t="str">
            <v>DIRECTO:  6,425,252 / UN</v>
          </cell>
          <cell r="D824">
            <v>0</v>
          </cell>
          <cell r="E824">
            <v>0</v>
          </cell>
          <cell r="F824">
            <v>0</v>
          </cell>
          <cell r="G824">
            <v>0</v>
          </cell>
          <cell r="M824">
            <v>0</v>
          </cell>
        </row>
        <row r="825">
          <cell r="A825">
            <v>0</v>
          </cell>
          <cell r="C825">
            <v>0</v>
          </cell>
          <cell r="E825">
            <v>0</v>
          </cell>
          <cell r="F825">
            <v>0</v>
          </cell>
          <cell r="G825">
            <v>0</v>
          </cell>
          <cell r="M825">
            <v>0</v>
          </cell>
        </row>
        <row r="826">
          <cell r="A826" t="str">
            <v>12-01-060</v>
          </cell>
          <cell r="B826" t="str">
            <v>12-01-060</v>
          </cell>
          <cell r="C826" t="str">
            <v>VENTANA V6 (1.43x2.78). MARCO + ALAS EN MADERA. DOS ALAS BATIENTES. INCLUYE PASAMANOS EN MADERA Y ACABADO FINAL</v>
          </cell>
          <cell r="D826">
            <v>1</v>
          </cell>
          <cell r="E826" t="str">
            <v>UN</v>
          </cell>
          <cell r="F826">
            <v>0</v>
          </cell>
          <cell r="G826">
            <v>6437732</v>
          </cell>
          <cell r="M826" t="e">
            <v>#N/A</v>
          </cell>
        </row>
        <row r="827">
          <cell r="A827" t="str">
            <v>12-01-060</v>
          </cell>
          <cell r="B827" t="str">
            <v>mt571000</v>
          </cell>
          <cell r="C827" t="str">
            <v>Madera cedro</v>
          </cell>
          <cell r="D827">
            <v>0.79508000000000001</v>
          </cell>
          <cell r="E827" t="str">
            <v>m3</v>
          </cell>
          <cell r="F827">
            <v>2641600</v>
          </cell>
          <cell r="G827">
            <v>2100284</v>
          </cell>
          <cell r="M827" t="str">
            <v>mt</v>
          </cell>
        </row>
        <row r="828">
          <cell r="A828" t="str">
            <v>12-01-060</v>
          </cell>
          <cell r="B828" t="str">
            <v>mt572000</v>
          </cell>
          <cell r="C828" t="str">
            <v>Madera macana 1m x 1"</v>
          </cell>
          <cell r="D828">
            <v>12</v>
          </cell>
          <cell r="E828" t="str">
            <v>un</v>
          </cell>
          <cell r="F828">
            <v>1219.2</v>
          </cell>
          <cell r="G828">
            <v>14631</v>
          </cell>
          <cell r="M828" t="str">
            <v>mt</v>
          </cell>
        </row>
        <row r="829">
          <cell r="A829" t="str">
            <v>12-01-060</v>
          </cell>
          <cell r="B829" t="str">
            <v>mt18620</v>
          </cell>
          <cell r="C829" t="str">
            <v>Barniz para puertas y ventanas en madera</v>
          </cell>
          <cell r="D829">
            <v>2</v>
          </cell>
          <cell r="E829" t="str">
            <v>gl</v>
          </cell>
          <cell r="F829">
            <v>40538.400000000001</v>
          </cell>
          <cell r="G829">
            <v>81077</v>
          </cell>
          <cell r="M829" t="str">
            <v>mt</v>
          </cell>
        </row>
        <row r="830">
          <cell r="A830" t="str">
            <v>12-01-060</v>
          </cell>
          <cell r="B830" t="str">
            <v>mt51120</v>
          </cell>
          <cell r="C830" t="str">
            <v>Cerradura para ventana en madera</v>
          </cell>
          <cell r="D830">
            <v>1</v>
          </cell>
          <cell r="E830" t="str">
            <v>un</v>
          </cell>
          <cell r="F830">
            <v>152400</v>
          </cell>
          <cell r="G830">
            <v>152400</v>
          </cell>
          <cell r="M830" t="str">
            <v>mt</v>
          </cell>
        </row>
        <row r="831">
          <cell r="A831" t="str">
            <v>12-01-060</v>
          </cell>
          <cell r="B831" t="str">
            <v>au10260</v>
          </cell>
          <cell r="C831" t="str">
            <v>Aux MO oficial carpintero</v>
          </cell>
          <cell r="D831">
            <v>92</v>
          </cell>
          <cell r="E831" t="str">
            <v>hr</v>
          </cell>
          <cell r="F831">
            <v>12901.168</v>
          </cell>
          <cell r="G831">
            <v>1186908</v>
          </cell>
          <cell r="M831" t="str">
            <v>mo</v>
          </cell>
        </row>
        <row r="832">
          <cell r="A832" t="str">
            <v>12-01-060</v>
          </cell>
          <cell r="B832" t="str">
            <v>au10000</v>
          </cell>
          <cell r="C832" t="str">
            <v>Aux MO ayudante</v>
          </cell>
          <cell r="D832">
            <v>92</v>
          </cell>
          <cell r="E832" t="str">
            <v>hr</v>
          </cell>
          <cell r="F832">
            <v>5080</v>
          </cell>
          <cell r="G832">
            <v>467360</v>
          </cell>
          <cell r="M832" t="str">
            <v>mo</v>
          </cell>
        </row>
        <row r="833">
          <cell r="A833" t="str">
            <v>12-01-060</v>
          </cell>
          <cell r="B833" t="str">
            <v>TP500020</v>
          </cell>
          <cell r="C833" t="str">
            <v>Transporte puertas y ventanas</v>
          </cell>
          <cell r="D833">
            <v>3.9753999999999996</v>
          </cell>
          <cell r="E833" t="str">
            <v>m2</v>
          </cell>
          <cell r="F833">
            <v>50800</v>
          </cell>
          <cell r="G833">
            <v>201951</v>
          </cell>
          <cell r="M833" t="str">
            <v>TP</v>
          </cell>
        </row>
        <row r="834">
          <cell r="A834" t="str">
            <v>12-01-060</v>
          </cell>
          <cell r="B834" t="str">
            <v>sc97420</v>
          </cell>
          <cell r="C834" t="str">
            <v>Subcontrato instalacion puertas y ventanas + AIU</v>
          </cell>
          <cell r="D834">
            <v>3.9753999999999996</v>
          </cell>
          <cell r="E834" t="str">
            <v>m2</v>
          </cell>
          <cell r="F834">
            <v>544068</v>
          </cell>
          <cell r="G834">
            <v>2162888</v>
          </cell>
          <cell r="M834" t="str">
            <v>sc</v>
          </cell>
        </row>
        <row r="835">
          <cell r="A835" t="str">
            <v>12-01-060</v>
          </cell>
          <cell r="B835" t="str">
            <v>mt13900</v>
          </cell>
          <cell r="C835" t="str">
            <v>Elementos de consumo y protección</v>
          </cell>
          <cell r="D835">
            <v>1654268</v>
          </cell>
          <cell r="E835" t="str">
            <v>%</v>
          </cell>
          <cell r="F835">
            <v>1.2455000000000001E-2</v>
          </cell>
          <cell r="G835">
            <v>20604</v>
          </cell>
          <cell r="M835" t="str">
            <v>mt</v>
          </cell>
        </row>
        <row r="836">
          <cell r="A836" t="str">
            <v>12-01-060</v>
          </cell>
          <cell r="B836" t="str">
            <v>hm15100</v>
          </cell>
          <cell r="C836" t="str">
            <v>Herramienta y equipo menor</v>
          </cell>
          <cell r="D836">
            <v>1654268</v>
          </cell>
          <cell r="E836" t="str">
            <v>%</v>
          </cell>
          <cell r="F836">
            <v>0.03</v>
          </cell>
          <cell r="G836">
            <v>49629</v>
          </cell>
          <cell r="M836" t="str">
            <v>hm</v>
          </cell>
        </row>
        <row r="837">
          <cell r="A837">
            <v>0</v>
          </cell>
          <cell r="C837" t="str">
            <v>DIRECTO:  6,437,732 / UN</v>
          </cell>
          <cell r="D837">
            <v>0</v>
          </cell>
          <cell r="E837">
            <v>0</v>
          </cell>
          <cell r="F837">
            <v>0</v>
          </cell>
          <cell r="G837">
            <v>0</v>
          </cell>
          <cell r="M837">
            <v>0</v>
          </cell>
        </row>
        <row r="838">
          <cell r="A838">
            <v>0</v>
          </cell>
          <cell r="C838">
            <v>0</v>
          </cell>
          <cell r="E838">
            <v>0</v>
          </cell>
          <cell r="F838">
            <v>0</v>
          </cell>
          <cell r="G838">
            <v>0</v>
          </cell>
          <cell r="M838">
            <v>0</v>
          </cell>
        </row>
        <row r="839">
          <cell r="A839" t="str">
            <v>12-01-070</v>
          </cell>
          <cell r="B839" t="str">
            <v>12-01-070</v>
          </cell>
          <cell r="C839" t="str">
            <v>VENTANA V7 (1.43x2.78). MARCO + ALAS EN MADERA. DOS ALAS BATIENTES. INCLUYE PASAMANOS EN MADERA Y ACABADO FINAL</v>
          </cell>
          <cell r="D839">
            <v>1</v>
          </cell>
          <cell r="E839" t="str">
            <v>UN</v>
          </cell>
          <cell r="F839">
            <v>0</v>
          </cell>
          <cell r="G839">
            <v>6437732</v>
          </cell>
          <cell r="M839" t="e">
            <v>#N/A</v>
          </cell>
        </row>
        <row r="840">
          <cell r="A840" t="str">
            <v>12-01-070</v>
          </cell>
          <cell r="B840" t="str">
            <v>mt571000</v>
          </cell>
          <cell r="C840" t="str">
            <v>Madera cedro</v>
          </cell>
          <cell r="D840">
            <v>0.79508000000000001</v>
          </cell>
          <cell r="E840" t="str">
            <v>m3</v>
          </cell>
          <cell r="F840">
            <v>2641600</v>
          </cell>
          <cell r="G840">
            <v>2100284</v>
          </cell>
          <cell r="M840" t="str">
            <v>mt</v>
          </cell>
        </row>
        <row r="841">
          <cell r="A841" t="str">
            <v>12-01-070</v>
          </cell>
          <cell r="B841" t="str">
            <v>mt572000</v>
          </cell>
          <cell r="C841" t="str">
            <v>Madera macana 1m x 1"</v>
          </cell>
          <cell r="D841">
            <v>12</v>
          </cell>
          <cell r="E841" t="str">
            <v>un</v>
          </cell>
          <cell r="F841">
            <v>1219.2</v>
          </cell>
          <cell r="G841">
            <v>14631</v>
          </cell>
          <cell r="M841" t="str">
            <v>mt</v>
          </cell>
        </row>
        <row r="842">
          <cell r="A842" t="str">
            <v>12-01-070</v>
          </cell>
          <cell r="B842" t="str">
            <v>mt18620</v>
          </cell>
          <cell r="C842" t="str">
            <v>Barniz para puertas y ventanas en madera</v>
          </cell>
          <cell r="D842">
            <v>2</v>
          </cell>
          <cell r="E842" t="str">
            <v>gl</v>
          </cell>
          <cell r="F842">
            <v>40538.400000000001</v>
          </cell>
          <cell r="G842">
            <v>81077</v>
          </cell>
          <cell r="M842" t="str">
            <v>mt</v>
          </cell>
        </row>
        <row r="843">
          <cell r="A843" t="str">
            <v>12-01-070</v>
          </cell>
          <cell r="B843" t="str">
            <v>mt51120</v>
          </cell>
          <cell r="C843" t="str">
            <v>Cerradura para ventana en madera</v>
          </cell>
          <cell r="D843">
            <v>1</v>
          </cell>
          <cell r="E843" t="str">
            <v>un</v>
          </cell>
          <cell r="F843">
            <v>152400</v>
          </cell>
          <cell r="G843">
            <v>152400</v>
          </cell>
          <cell r="M843" t="str">
            <v>mt</v>
          </cell>
        </row>
        <row r="844">
          <cell r="A844" t="str">
            <v>12-01-070</v>
          </cell>
          <cell r="B844" t="str">
            <v>au10260</v>
          </cell>
          <cell r="C844" t="str">
            <v>Aux MO oficial carpintero</v>
          </cell>
          <cell r="D844">
            <v>92</v>
          </cell>
          <cell r="E844" t="str">
            <v>hr</v>
          </cell>
          <cell r="F844">
            <v>12901.168</v>
          </cell>
          <cell r="G844">
            <v>1186908</v>
          </cell>
          <cell r="M844" t="str">
            <v>mo</v>
          </cell>
        </row>
        <row r="845">
          <cell r="A845" t="str">
            <v>12-01-070</v>
          </cell>
          <cell r="B845" t="str">
            <v>au10000</v>
          </cell>
          <cell r="C845" t="str">
            <v>Aux MO ayudante</v>
          </cell>
          <cell r="D845">
            <v>92</v>
          </cell>
          <cell r="E845" t="str">
            <v>hr</v>
          </cell>
          <cell r="F845">
            <v>5080</v>
          </cell>
          <cell r="G845">
            <v>467360</v>
          </cell>
          <cell r="M845" t="str">
            <v>mo</v>
          </cell>
        </row>
        <row r="846">
          <cell r="A846" t="str">
            <v>12-01-070</v>
          </cell>
          <cell r="B846" t="str">
            <v>TP500020</v>
          </cell>
          <cell r="C846" t="str">
            <v>Transporte puertas y ventanas</v>
          </cell>
          <cell r="D846">
            <v>3.9753999999999996</v>
          </cell>
          <cell r="E846" t="str">
            <v>m2</v>
          </cell>
          <cell r="F846">
            <v>50800</v>
          </cell>
          <cell r="G846">
            <v>201951</v>
          </cell>
          <cell r="M846" t="str">
            <v>TP</v>
          </cell>
        </row>
        <row r="847">
          <cell r="A847" t="str">
            <v>12-01-070</v>
          </cell>
          <cell r="B847" t="str">
            <v>sc97420</v>
          </cell>
          <cell r="C847" t="str">
            <v>Subcontrato instalacion puertas y ventanas + AIU</v>
          </cell>
          <cell r="D847">
            <v>3.9753999999999996</v>
          </cell>
          <cell r="E847" t="str">
            <v>m2</v>
          </cell>
          <cell r="F847">
            <v>544068</v>
          </cell>
          <cell r="G847">
            <v>2162888</v>
          </cell>
          <cell r="M847" t="str">
            <v>sc</v>
          </cell>
        </row>
        <row r="848">
          <cell r="A848" t="str">
            <v>12-01-070</v>
          </cell>
          <cell r="B848" t="str">
            <v>mt13900</v>
          </cell>
          <cell r="C848" t="str">
            <v>Elementos de consumo y protección</v>
          </cell>
          <cell r="D848">
            <v>1654268</v>
          </cell>
          <cell r="E848" t="str">
            <v>%</v>
          </cell>
          <cell r="F848">
            <v>1.2455000000000001E-2</v>
          </cell>
          <cell r="G848">
            <v>20604</v>
          </cell>
          <cell r="M848" t="str">
            <v>mt</v>
          </cell>
        </row>
        <row r="849">
          <cell r="A849" t="str">
            <v>12-01-070</v>
          </cell>
          <cell r="B849" t="str">
            <v>hm15100</v>
          </cell>
          <cell r="C849" t="str">
            <v>Herramienta y equipo menor</v>
          </cell>
          <cell r="D849">
            <v>1654268</v>
          </cell>
          <cell r="E849" t="str">
            <v>%</v>
          </cell>
          <cell r="F849">
            <v>0.03</v>
          </cell>
          <cell r="G849">
            <v>49629</v>
          </cell>
          <cell r="M849" t="str">
            <v>hm</v>
          </cell>
        </row>
        <row r="850">
          <cell r="A850">
            <v>0</v>
          </cell>
          <cell r="C850" t="str">
            <v>DIRECTO:  6,437,732 / UN</v>
          </cell>
          <cell r="D850">
            <v>0</v>
          </cell>
          <cell r="E850">
            <v>0</v>
          </cell>
          <cell r="F850">
            <v>0</v>
          </cell>
          <cell r="G850">
            <v>0</v>
          </cell>
          <cell r="M850">
            <v>0</v>
          </cell>
        </row>
        <row r="851">
          <cell r="A851">
            <v>0</v>
          </cell>
          <cell r="C851">
            <v>0</v>
          </cell>
          <cell r="E851">
            <v>0</v>
          </cell>
          <cell r="F851">
            <v>0</v>
          </cell>
          <cell r="G851">
            <v>0</v>
          </cell>
          <cell r="M851">
            <v>0</v>
          </cell>
        </row>
        <row r="852">
          <cell r="A852" t="str">
            <v>12-01-080</v>
          </cell>
          <cell r="B852" t="str">
            <v>12-01-080</v>
          </cell>
          <cell r="C852" t="str">
            <v>VENTANA V8 (1.43x2.78). MARCO + ALAS EN MADERA. DOS ALAS BATIENTES. INCLUYE PASAMANOS EN MADERA Y ACABADO FINAL</v>
          </cell>
          <cell r="D852">
            <v>1</v>
          </cell>
          <cell r="E852" t="str">
            <v>UN</v>
          </cell>
          <cell r="F852">
            <v>0</v>
          </cell>
          <cell r="G852">
            <v>6437732</v>
          </cell>
          <cell r="M852" t="e">
            <v>#N/A</v>
          </cell>
        </row>
        <row r="853">
          <cell r="A853" t="str">
            <v>12-01-080</v>
          </cell>
          <cell r="B853" t="str">
            <v>mt571000</v>
          </cell>
          <cell r="C853" t="str">
            <v>Madera cedro</v>
          </cell>
          <cell r="D853">
            <v>0.79508000000000001</v>
          </cell>
          <cell r="E853" t="str">
            <v>m3</v>
          </cell>
          <cell r="F853">
            <v>2641600</v>
          </cell>
          <cell r="G853">
            <v>2100284</v>
          </cell>
          <cell r="M853" t="str">
            <v>mt</v>
          </cell>
        </row>
        <row r="854">
          <cell r="A854" t="str">
            <v>12-01-080</v>
          </cell>
          <cell r="B854" t="str">
            <v>mt572000</v>
          </cell>
          <cell r="C854" t="str">
            <v>Madera macana 1m x 1"</v>
          </cell>
          <cell r="D854">
            <v>12</v>
          </cell>
          <cell r="E854" t="str">
            <v>un</v>
          </cell>
          <cell r="F854">
            <v>1219.2</v>
          </cell>
          <cell r="G854">
            <v>14631</v>
          </cell>
          <cell r="M854" t="str">
            <v>mt</v>
          </cell>
        </row>
        <row r="855">
          <cell r="A855" t="str">
            <v>12-01-080</v>
          </cell>
          <cell r="B855" t="str">
            <v>mt18620</v>
          </cell>
          <cell r="C855" t="str">
            <v>Barniz para puertas y ventanas en madera</v>
          </cell>
          <cell r="D855">
            <v>2</v>
          </cell>
          <cell r="E855" t="str">
            <v>gl</v>
          </cell>
          <cell r="F855">
            <v>40538.400000000001</v>
          </cell>
          <cell r="G855">
            <v>81077</v>
          </cell>
          <cell r="M855" t="str">
            <v>mt</v>
          </cell>
        </row>
        <row r="856">
          <cell r="A856" t="str">
            <v>12-01-080</v>
          </cell>
          <cell r="B856" t="str">
            <v>mt51120</v>
          </cell>
          <cell r="C856" t="str">
            <v>Cerradura para ventana en madera</v>
          </cell>
          <cell r="D856">
            <v>1</v>
          </cell>
          <cell r="E856" t="str">
            <v>un</v>
          </cell>
          <cell r="F856">
            <v>152400</v>
          </cell>
          <cell r="G856">
            <v>152400</v>
          </cell>
          <cell r="M856" t="str">
            <v>mt</v>
          </cell>
        </row>
        <row r="857">
          <cell r="A857" t="str">
            <v>12-01-080</v>
          </cell>
          <cell r="B857" t="str">
            <v>au10260</v>
          </cell>
          <cell r="C857" t="str">
            <v>Aux MO oficial carpintero</v>
          </cell>
          <cell r="D857">
            <v>92</v>
          </cell>
          <cell r="E857" t="str">
            <v>hr</v>
          </cell>
          <cell r="F857">
            <v>12901.168</v>
          </cell>
          <cell r="G857">
            <v>1186908</v>
          </cell>
          <cell r="M857" t="str">
            <v>mo</v>
          </cell>
        </row>
        <row r="858">
          <cell r="A858" t="str">
            <v>12-01-080</v>
          </cell>
          <cell r="B858" t="str">
            <v>au10000</v>
          </cell>
          <cell r="C858" t="str">
            <v>Aux MO ayudante</v>
          </cell>
          <cell r="D858">
            <v>92</v>
          </cell>
          <cell r="E858" t="str">
            <v>hr</v>
          </cell>
          <cell r="F858">
            <v>5080</v>
          </cell>
          <cell r="G858">
            <v>467360</v>
          </cell>
          <cell r="M858" t="str">
            <v>mo</v>
          </cell>
        </row>
        <row r="859">
          <cell r="A859" t="str">
            <v>12-01-080</v>
          </cell>
          <cell r="B859" t="str">
            <v>TP500020</v>
          </cell>
          <cell r="C859" t="str">
            <v>Transporte puertas y ventanas</v>
          </cell>
          <cell r="D859">
            <v>3.9753999999999996</v>
          </cell>
          <cell r="E859" t="str">
            <v>m2</v>
          </cell>
          <cell r="F859">
            <v>50800</v>
          </cell>
          <cell r="G859">
            <v>201951</v>
          </cell>
          <cell r="M859" t="str">
            <v>TP</v>
          </cell>
        </row>
        <row r="860">
          <cell r="A860" t="str">
            <v>12-01-080</v>
          </cell>
          <cell r="B860" t="str">
            <v>sc97420</v>
          </cell>
          <cell r="C860" t="str">
            <v>Subcontrato instalacion puertas y ventanas + AIU</v>
          </cell>
          <cell r="D860">
            <v>3.9753999999999996</v>
          </cell>
          <cell r="E860" t="str">
            <v>m2</v>
          </cell>
          <cell r="F860">
            <v>544068</v>
          </cell>
          <cell r="G860">
            <v>2162888</v>
          </cell>
          <cell r="M860" t="str">
            <v>sc</v>
          </cell>
        </row>
        <row r="861">
          <cell r="A861" t="str">
            <v>12-01-080</v>
          </cell>
          <cell r="B861" t="str">
            <v>mt13900</v>
          </cell>
          <cell r="C861" t="str">
            <v>Elementos de consumo y protección</v>
          </cell>
          <cell r="D861">
            <v>1654268</v>
          </cell>
          <cell r="E861" t="str">
            <v>%</v>
          </cell>
          <cell r="F861">
            <v>1.2455000000000001E-2</v>
          </cell>
          <cell r="G861">
            <v>20604</v>
          </cell>
          <cell r="M861" t="str">
            <v>mt</v>
          </cell>
        </row>
        <row r="862">
          <cell r="A862" t="str">
            <v>12-01-080</v>
          </cell>
          <cell r="B862" t="str">
            <v>hm15100</v>
          </cell>
          <cell r="C862" t="str">
            <v>Herramienta y equipo menor</v>
          </cell>
          <cell r="D862">
            <v>1654268</v>
          </cell>
          <cell r="E862" t="str">
            <v>%</v>
          </cell>
          <cell r="F862">
            <v>0.03</v>
          </cell>
          <cell r="G862">
            <v>49629</v>
          </cell>
          <cell r="M862" t="str">
            <v>hm</v>
          </cell>
        </row>
        <row r="863">
          <cell r="A863">
            <v>0</v>
          </cell>
          <cell r="C863" t="str">
            <v>DIRECTO:  6,437,732 / UN</v>
          </cell>
          <cell r="D863">
            <v>0</v>
          </cell>
          <cell r="E863">
            <v>0</v>
          </cell>
          <cell r="F863">
            <v>0</v>
          </cell>
          <cell r="G863">
            <v>0</v>
          </cell>
          <cell r="M863">
            <v>0</v>
          </cell>
        </row>
        <row r="864">
          <cell r="A864">
            <v>0</v>
          </cell>
          <cell r="C864">
            <v>0</v>
          </cell>
          <cell r="E864">
            <v>0</v>
          </cell>
          <cell r="F864">
            <v>0</v>
          </cell>
          <cell r="G864">
            <v>0</v>
          </cell>
          <cell r="M864">
            <v>0</v>
          </cell>
        </row>
        <row r="865">
          <cell r="A865" t="str">
            <v>12-01-090</v>
          </cell>
          <cell r="B865" t="str">
            <v>12-01-090</v>
          </cell>
          <cell r="C865" t="str">
            <v>VENTANA V9 (1.43x2.78). MARCO + ALAS EN MADERA. DOS ALAS BATIENTES. INCLUYE PASAMANOS EN MADERA Y ACABADO FINAL</v>
          </cell>
          <cell r="D865">
            <v>1</v>
          </cell>
          <cell r="E865" t="str">
            <v>UN</v>
          </cell>
          <cell r="F865">
            <v>0</v>
          </cell>
          <cell r="G865">
            <v>6437732</v>
          </cell>
          <cell r="M865" t="e">
            <v>#N/A</v>
          </cell>
        </row>
        <row r="866">
          <cell r="A866" t="str">
            <v>12-01-090</v>
          </cell>
          <cell r="B866" t="str">
            <v>mt571000</v>
          </cell>
          <cell r="C866" t="str">
            <v>Madera cedro</v>
          </cell>
          <cell r="D866">
            <v>0.79508000000000001</v>
          </cell>
          <cell r="E866" t="str">
            <v>m3</v>
          </cell>
          <cell r="F866">
            <v>2641600</v>
          </cell>
          <cell r="G866">
            <v>2100284</v>
          </cell>
          <cell r="M866" t="str">
            <v>mt</v>
          </cell>
        </row>
        <row r="867">
          <cell r="A867" t="str">
            <v>12-01-090</v>
          </cell>
          <cell r="B867" t="str">
            <v>mt572000</v>
          </cell>
          <cell r="C867" t="str">
            <v>Madera macana 1m x 1"</v>
          </cell>
          <cell r="D867">
            <v>12</v>
          </cell>
          <cell r="E867" t="str">
            <v>un</v>
          </cell>
          <cell r="F867">
            <v>1219.2</v>
          </cell>
          <cell r="G867">
            <v>14631</v>
          </cell>
          <cell r="M867" t="str">
            <v>mt</v>
          </cell>
        </row>
        <row r="868">
          <cell r="A868" t="str">
            <v>12-01-090</v>
          </cell>
          <cell r="B868" t="str">
            <v>mt18620</v>
          </cell>
          <cell r="C868" t="str">
            <v>Barniz para puertas y ventanas en madera</v>
          </cell>
          <cell r="D868">
            <v>2</v>
          </cell>
          <cell r="E868" t="str">
            <v>gl</v>
          </cell>
          <cell r="F868">
            <v>40538.400000000001</v>
          </cell>
          <cell r="G868">
            <v>81077</v>
          </cell>
          <cell r="M868" t="str">
            <v>mt</v>
          </cell>
        </row>
        <row r="869">
          <cell r="A869" t="str">
            <v>12-01-090</v>
          </cell>
          <cell r="B869" t="str">
            <v>mt51120</v>
          </cell>
          <cell r="C869" t="str">
            <v>Cerradura para ventana en madera</v>
          </cell>
          <cell r="D869">
            <v>1</v>
          </cell>
          <cell r="E869" t="str">
            <v>un</v>
          </cell>
          <cell r="F869">
            <v>152400</v>
          </cell>
          <cell r="G869">
            <v>152400</v>
          </cell>
          <cell r="M869" t="str">
            <v>mt</v>
          </cell>
        </row>
        <row r="870">
          <cell r="A870" t="str">
            <v>12-01-090</v>
          </cell>
          <cell r="B870" t="str">
            <v>au10260</v>
          </cell>
          <cell r="C870" t="str">
            <v>Aux MO oficial carpintero</v>
          </cell>
          <cell r="D870">
            <v>92</v>
          </cell>
          <cell r="E870" t="str">
            <v>hr</v>
          </cell>
          <cell r="F870">
            <v>12901.168</v>
          </cell>
          <cell r="G870">
            <v>1186908</v>
          </cell>
          <cell r="M870" t="str">
            <v>mo</v>
          </cell>
        </row>
        <row r="871">
          <cell r="A871" t="str">
            <v>12-01-090</v>
          </cell>
          <cell r="B871" t="str">
            <v>au10000</v>
          </cell>
          <cell r="C871" t="str">
            <v>Aux MO ayudante</v>
          </cell>
          <cell r="D871">
            <v>92</v>
          </cell>
          <cell r="E871" t="str">
            <v>hr</v>
          </cell>
          <cell r="F871">
            <v>5080</v>
          </cell>
          <cell r="G871">
            <v>467360</v>
          </cell>
          <cell r="M871" t="str">
            <v>mo</v>
          </cell>
        </row>
        <row r="872">
          <cell r="A872" t="str">
            <v>12-01-090</v>
          </cell>
          <cell r="B872" t="str">
            <v>TP500020</v>
          </cell>
          <cell r="C872" t="str">
            <v>Transporte puertas y ventanas</v>
          </cell>
          <cell r="D872">
            <v>3.9753999999999996</v>
          </cell>
          <cell r="E872" t="str">
            <v>m2</v>
          </cell>
          <cell r="F872">
            <v>50800</v>
          </cell>
          <cell r="G872">
            <v>201951</v>
          </cell>
          <cell r="M872" t="str">
            <v>TP</v>
          </cell>
        </row>
        <row r="873">
          <cell r="A873" t="str">
            <v>12-01-090</v>
          </cell>
          <cell r="B873" t="str">
            <v>sc97420</v>
          </cell>
          <cell r="C873" t="str">
            <v>Subcontrato instalacion puertas y ventanas + AIU</v>
          </cell>
          <cell r="D873">
            <v>3.9753999999999996</v>
          </cell>
          <cell r="E873" t="str">
            <v>m2</v>
          </cell>
          <cell r="F873">
            <v>544068</v>
          </cell>
          <cell r="G873">
            <v>2162888</v>
          </cell>
          <cell r="M873" t="str">
            <v>sc</v>
          </cell>
        </row>
        <row r="874">
          <cell r="A874" t="str">
            <v>12-01-090</v>
          </cell>
          <cell r="B874" t="str">
            <v>mt13900</v>
          </cell>
          <cell r="C874" t="str">
            <v>Elementos de consumo y protección</v>
          </cell>
          <cell r="D874">
            <v>1654268</v>
          </cell>
          <cell r="E874" t="str">
            <v>%</v>
          </cell>
          <cell r="F874">
            <v>1.2455000000000001E-2</v>
          </cell>
          <cell r="G874">
            <v>20604</v>
          </cell>
          <cell r="M874" t="str">
            <v>mt</v>
          </cell>
        </row>
        <row r="875">
          <cell r="A875" t="str">
            <v>12-01-090</v>
          </cell>
          <cell r="B875" t="str">
            <v>hm15100</v>
          </cell>
          <cell r="C875" t="str">
            <v>Herramienta y equipo menor</v>
          </cell>
          <cell r="D875">
            <v>1654268</v>
          </cell>
          <cell r="E875" t="str">
            <v>%</v>
          </cell>
          <cell r="F875">
            <v>0.03</v>
          </cell>
          <cell r="G875">
            <v>49629</v>
          </cell>
          <cell r="M875" t="str">
            <v>hm</v>
          </cell>
        </row>
        <row r="876">
          <cell r="A876">
            <v>0</v>
          </cell>
          <cell r="C876" t="str">
            <v>DIRECTO:  6,437,732 / UN</v>
          </cell>
          <cell r="D876">
            <v>0</v>
          </cell>
          <cell r="E876">
            <v>0</v>
          </cell>
          <cell r="F876">
            <v>0</v>
          </cell>
          <cell r="G876">
            <v>0</v>
          </cell>
          <cell r="M876">
            <v>0</v>
          </cell>
        </row>
        <row r="877">
          <cell r="A877">
            <v>0</v>
          </cell>
          <cell r="C877">
            <v>0</v>
          </cell>
          <cell r="E877">
            <v>0</v>
          </cell>
          <cell r="F877">
            <v>0</v>
          </cell>
          <cell r="G877">
            <v>0</v>
          </cell>
          <cell r="M877">
            <v>0</v>
          </cell>
        </row>
        <row r="878">
          <cell r="A878" t="str">
            <v>12-01-100</v>
          </cell>
          <cell r="B878" t="str">
            <v>12-01-100</v>
          </cell>
          <cell r="C878" t="str">
            <v>VENTANA V10 (1.39x2.78). MARCO + ALAS EN MADERA. DOS ALAS BATIENTES. INCLUYE PASAMANOS EN MADERA Y ACABADO FINAL</v>
          </cell>
          <cell r="D878">
            <v>1</v>
          </cell>
          <cell r="E878" t="str">
            <v>UN</v>
          </cell>
          <cell r="F878">
            <v>0</v>
          </cell>
          <cell r="G878">
            <v>6294089</v>
          </cell>
          <cell r="M878" t="e">
            <v>#N/A</v>
          </cell>
        </row>
        <row r="879">
          <cell r="A879" t="str">
            <v>12-01-100</v>
          </cell>
          <cell r="B879" t="str">
            <v>mt571000</v>
          </cell>
          <cell r="C879" t="str">
            <v>Madera cedro</v>
          </cell>
          <cell r="D879">
            <v>0.77283999999999997</v>
          </cell>
          <cell r="E879" t="str">
            <v>m3</v>
          </cell>
          <cell r="F879">
            <v>2641600</v>
          </cell>
          <cell r="G879">
            <v>2041535</v>
          </cell>
          <cell r="M879" t="str">
            <v>mt</v>
          </cell>
        </row>
        <row r="880">
          <cell r="A880" t="str">
            <v>12-01-100</v>
          </cell>
          <cell r="B880" t="str">
            <v>mt572000</v>
          </cell>
          <cell r="C880" t="str">
            <v>Madera macana 1m x 1"</v>
          </cell>
          <cell r="D880">
            <v>12</v>
          </cell>
          <cell r="E880" t="str">
            <v>un</v>
          </cell>
          <cell r="F880">
            <v>1219.2</v>
          </cell>
          <cell r="G880">
            <v>14631</v>
          </cell>
          <cell r="M880" t="str">
            <v>mt</v>
          </cell>
        </row>
        <row r="881">
          <cell r="A881" t="str">
            <v>12-01-100</v>
          </cell>
          <cell r="B881" t="str">
            <v>mt18620</v>
          </cell>
          <cell r="C881" t="str">
            <v>Barniz para puertas y ventanas en madera</v>
          </cell>
          <cell r="D881">
            <v>2</v>
          </cell>
          <cell r="E881" t="str">
            <v>gl</v>
          </cell>
          <cell r="F881">
            <v>40538.400000000001</v>
          </cell>
          <cell r="G881">
            <v>81077</v>
          </cell>
          <cell r="M881" t="str">
            <v>mt</v>
          </cell>
        </row>
        <row r="882">
          <cell r="A882" t="str">
            <v>12-01-100</v>
          </cell>
          <cell r="B882" t="str">
            <v>mt51120</v>
          </cell>
          <cell r="C882" t="str">
            <v>Cerradura para ventana en madera</v>
          </cell>
          <cell r="D882">
            <v>1</v>
          </cell>
          <cell r="E882" t="str">
            <v>un</v>
          </cell>
          <cell r="F882">
            <v>152400</v>
          </cell>
          <cell r="G882">
            <v>152400</v>
          </cell>
          <cell r="M882" t="str">
            <v>mt</v>
          </cell>
        </row>
        <row r="883">
          <cell r="A883" t="str">
            <v>12-01-100</v>
          </cell>
          <cell r="B883" t="str">
            <v>au10260</v>
          </cell>
          <cell r="C883" t="str">
            <v>Aux MO oficial carpintero</v>
          </cell>
          <cell r="D883">
            <v>91</v>
          </cell>
          <cell r="E883" t="str">
            <v>hr</v>
          </cell>
          <cell r="F883">
            <v>12901.168</v>
          </cell>
          <cell r="G883">
            <v>1174007</v>
          </cell>
          <cell r="M883" t="str">
            <v>mo</v>
          </cell>
        </row>
        <row r="884">
          <cell r="A884" t="str">
            <v>12-01-100</v>
          </cell>
          <cell r="B884" t="str">
            <v>au10000</v>
          </cell>
          <cell r="C884" t="str">
            <v>Aux MO ayudante</v>
          </cell>
          <cell r="D884">
            <v>91</v>
          </cell>
          <cell r="E884" t="str">
            <v>hr</v>
          </cell>
          <cell r="F884">
            <v>5080</v>
          </cell>
          <cell r="G884">
            <v>462280</v>
          </cell>
          <cell r="M884" t="str">
            <v>mo</v>
          </cell>
        </row>
        <row r="885">
          <cell r="A885" t="str">
            <v>12-01-100</v>
          </cell>
          <cell r="B885" t="str">
            <v>TP500020</v>
          </cell>
          <cell r="C885" t="str">
            <v>Transporte puertas y ventanas</v>
          </cell>
          <cell r="D885">
            <v>3.8641999999999994</v>
          </cell>
          <cell r="E885" t="str">
            <v>m2</v>
          </cell>
          <cell r="F885">
            <v>50800</v>
          </cell>
          <cell r="G885">
            <v>196302</v>
          </cell>
          <cell r="M885" t="str">
            <v>TP</v>
          </cell>
        </row>
        <row r="886">
          <cell r="A886" t="str">
            <v>12-01-100</v>
          </cell>
          <cell r="B886" t="str">
            <v>sc97420</v>
          </cell>
          <cell r="C886" t="str">
            <v>Subcontrato instalacion puertas y ventanas + AIU</v>
          </cell>
          <cell r="D886">
            <v>3.8641999999999994</v>
          </cell>
          <cell r="E886" t="str">
            <v>m2</v>
          </cell>
          <cell r="F886">
            <v>544068</v>
          </cell>
          <cell r="G886">
            <v>2102388</v>
          </cell>
          <cell r="M886" t="str">
            <v>sc</v>
          </cell>
        </row>
        <row r="887">
          <cell r="A887" t="str">
            <v>12-01-100</v>
          </cell>
          <cell r="B887" t="str">
            <v>mt13900</v>
          </cell>
          <cell r="C887" t="str">
            <v>Elementos de consumo y protección</v>
          </cell>
          <cell r="D887">
            <v>1636287</v>
          </cell>
          <cell r="E887" t="str">
            <v>%</v>
          </cell>
          <cell r="F887">
            <v>1.2455000000000001E-2</v>
          </cell>
          <cell r="G887">
            <v>20380</v>
          </cell>
          <cell r="M887" t="str">
            <v>mt</v>
          </cell>
        </row>
        <row r="888">
          <cell r="A888" t="str">
            <v>12-01-100</v>
          </cell>
          <cell r="B888" t="str">
            <v>hm15100</v>
          </cell>
          <cell r="C888" t="str">
            <v>Herramienta y equipo menor</v>
          </cell>
          <cell r="D888">
            <v>1636287</v>
          </cell>
          <cell r="E888" t="str">
            <v>%</v>
          </cell>
          <cell r="F888">
            <v>0.03</v>
          </cell>
          <cell r="G888">
            <v>49089</v>
          </cell>
          <cell r="M888" t="str">
            <v>hm</v>
          </cell>
        </row>
        <row r="889">
          <cell r="A889">
            <v>0</v>
          </cell>
          <cell r="C889" t="str">
            <v>DIRECTO:  6,294,089 / UN</v>
          </cell>
          <cell r="D889">
            <v>0</v>
          </cell>
          <cell r="E889">
            <v>0</v>
          </cell>
          <cell r="F889">
            <v>0</v>
          </cell>
          <cell r="G889">
            <v>0</v>
          </cell>
          <cell r="M889">
            <v>0</v>
          </cell>
        </row>
        <row r="890">
          <cell r="A890">
            <v>0</v>
          </cell>
          <cell r="C890">
            <v>0</v>
          </cell>
          <cell r="E890">
            <v>0</v>
          </cell>
          <cell r="F890">
            <v>0</v>
          </cell>
          <cell r="G890">
            <v>0</v>
          </cell>
          <cell r="M890">
            <v>0</v>
          </cell>
        </row>
        <row r="891">
          <cell r="A891" t="str">
            <v>12-01-110</v>
          </cell>
          <cell r="B891" t="str">
            <v>12-01-110</v>
          </cell>
          <cell r="C891" t="str">
            <v>VENTANA V11 (1.44x2.78). MARCO + ALAS EN MADERA. DOS ALAS BATIENTES. INCLUYE PASAMANOS EN MADERA Y ACABADO FINAL</v>
          </cell>
          <cell r="D891">
            <v>1</v>
          </cell>
          <cell r="E891" t="str">
            <v>UN</v>
          </cell>
          <cell r="F891">
            <v>0</v>
          </cell>
          <cell r="G891">
            <v>6506445</v>
          </cell>
          <cell r="M891" t="e">
            <v>#N/A</v>
          </cell>
        </row>
        <row r="892">
          <cell r="A892" t="str">
            <v>12-01-110</v>
          </cell>
          <cell r="B892" t="str">
            <v>mt571000</v>
          </cell>
          <cell r="C892" t="str">
            <v>Madera cedro</v>
          </cell>
          <cell r="D892">
            <v>0.80064000000000002</v>
          </cell>
          <cell r="E892" t="str">
            <v>m3</v>
          </cell>
          <cell r="F892">
            <v>2641600</v>
          </cell>
          <cell r="G892">
            <v>2114971</v>
          </cell>
          <cell r="M892" t="str">
            <v>mt</v>
          </cell>
        </row>
        <row r="893">
          <cell r="A893" t="str">
            <v>12-01-110</v>
          </cell>
          <cell r="B893" t="str">
            <v>mt572000</v>
          </cell>
          <cell r="C893" t="str">
            <v>Madera macana 1m x 1"</v>
          </cell>
          <cell r="D893">
            <v>12</v>
          </cell>
          <cell r="E893" t="str">
            <v>un</v>
          </cell>
          <cell r="F893">
            <v>1219.2</v>
          </cell>
          <cell r="G893">
            <v>14631</v>
          </cell>
          <cell r="M893" t="str">
            <v>mt</v>
          </cell>
        </row>
        <row r="894">
          <cell r="A894" t="str">
            <v>12-01-110</v>
          </cell>
          <cell r="B894" t="str">
            <v>mt18620</v>
          </cell>
          <cell r="C894" t="str">
            <v>Barniz para puertas y ventanas en madera</v>
          </cell>
          <cell r="D894">
            <v>2</v>
          </cell>
          <cell r="E894" t="str">
            <v>gl</v>
          </cell>
          <cell r="F894">
            <v>40538.400000000001</v>
          </cell>
          <cell r="G894">
            <v>81077</v>
          </cell>
          <cell r="M894" t="str">
            <v>mt</v>
          </cell>
        </row>
        <row r="895">
          <cell r="A895" t="str">
            <v>12-01-110</v>
          </cell>
          <cell r="B895" t="str">
            <v>mt51120</v>
          </cell>
          <cell r="C895" t="str">
            <v>Cerradura para ventana en madera</v>
          </cell>
          <cell r="D895">
            <v>1</v>
          </cell>
          <cell r="E895" t="str">
            <v>un</v>
          </cell>
          <cell r="F895">
            <v>152400</v>
          </cell>
          <cell r="G895">
            <v>152400</v>
          </cell>
          <cell r="M895" t="str">
            <v>mt</v>
          </cell>
        </row>
        <row r="896">
          <cell r="A896" t="str">
            <v>12-01-110</v>
          </cell>
          <cell r="B896" t="str">
            <v>au10260</v>
          </cell>
          <cell r="C896" t="str">
            <v>Aux MO oficial carpintero</v>
          </cell>
          <cell r="D896">
            <v>94</v>
          </cell>
          <cell r="E896" t="str">
            <v>hr</v>
          </cell>
          <cell r="F896">
            <v>12901.168</v>
          </cell>
          <cell r="G896">
            <v>1212710</v>
          </cell>
          <cell r="M896" t="str">
            <v>mo</v>
          </cell>
        </row>
        <row r="897">
          <cell r="A897" t="str">
            <v>12-01-110</v>
          </cell>
          <cell r="B897" t="str">
            <v>au10000</v>
          </cell>
          <cell r="C897" t="str">
            <v>Aux MO ayudante</v>
          </cell>
          <cell r="D897">
            <v>94</v>
          </cell>
          <cell r="E897" t="str">
            <v>hr</v>
          </cell>
          <cell r="F897">
            <v>5080</v>
          </cell>
          <cell r="G897">
            <v>477520</v>
          </cell>
          <cell r="M897" t="str">
            <v>mo</v>
          </cell>
        </row>
        <row r="898">
          <cell r="A898" t="str">
            <v>12-01-110</v>
          </cell>
          <cell r="B898" t="str">
            <v>TP500020</v>
          </cell>
          <cell r="C898" t="str">
            <v>Transporte puertas y ventanas</v>
          </cell>
          <cell r="D898">
            <v>4.0031999999999996</v>
          </cell>
          <cell r="E898" t="str">
            <v>m2</v>
          </cell>
          <cell r="F898">
            <v>50800</v>
          </cell>
          <cell r="G898">
            <v>203363</v>
          </cell>
          <cell r="M898" t="str">
            <v>TP</v>
          </cell>
        </row>
        <row r="899">
          <cell r="A899" t="str">
            <v>12-01-110</v>
          </cell>
          <cell r="B899" t="str">
            <v>sc97420</v>
          </cell>
          <cell r="C899" t="str">
            <v>Subcontrato instalacion puertas y ventanas + AIU</v>
          </cell>
          <cell r="D899">
            <v>4.0031999999999996</v>
          </cell>
          <cell r="E899" t="str">
            <v>m2</v>
          </cell>
          <cell r="F899">
            <v>544068</v>
          </cell>
          <cell r="G899">
            <v>2178014</v>
          </cell>
          <cell r="M899" t="str">
            <v>sc</v>
          </cell>
        </row>
        <row r="900">
          <cell r="A900" t="str">
            <v>12-01-110</v>
          </cell>
          <cell r="B900" t="str">
            <v>mt13900</v>
          </cell>
          <cell r="C900" t="str">
            <v>Elementos de consumo y protección</v>
          </cell>
          <cell r="D900">
            <v>1690230</v>
          </cell>
          <cell r="E900" t="str">
            <v>%</v>
          </cell>
          <cell r="F900">
            <v>1.2455000000000001E-2</v>
          </cell>
          <cell r="G900">
            <v>21052</v>
          </cell>
          <cell r="M900" t="str">
            <v>mt</v>
          </cell>
        </row>
        <row r="901">
          <cell r="A901" t="str">
            <v>12-01-110</v>
          </cell>
          <cell r="B901" t="str">
            <v>hm15100</v>
          </cell>
          <cell r="C901" t="str">
            <v>Herramienta y equipo menor</v>
          </cell>
          <cell r="D901">
            <v>1690230</v>
          </cell>
          <cell r="E901" t="str">
            <v>%</v>
          </cell>
          <cell r="F901">
            <v>0.03</v>
          </cell>
          <cell r="G901">
            <v>50707</v>
          </cell>
          <cell r="M901" t="str">
            <v>hm</v>
          </cell>
        </row>
        <row r="902">
          <cell r="A902">
            <v>0</v>
          </cell>
          <cell r="C902" t="str">
            <v>DIRECTO:  6,506,445 / UN</v>
          </cell>
          <cell r="D902">
            <v>0</v>
          </cell>
          <cell r="E902">
            <v>0</v>
          </cell>
          <cell r="F902">
            <v>0</v>
          </cell>
          <cell r="G902">
            <v>0</v>
          </cell>
          <cell r="M902">
            <v>0</v>
          </cell>
        </row>
        <row r="903">
          <cell r="A903">
            <v>0</v>
          </cell>
          <cell r="C903">
            <v>0</v>
          </cell>
          <cell r="E903">
            <v>0</v>
          </cell>
          <cell r="F903">
            <v>0</v>
          </cell>
          <cell r="G903">
            <v>0</v>
          </cell>
          <cell r="M903">
            <v>0</v>
          </cell>
        </row>
        <row r="904">
          <cell r="A904" t="str">
            <v>12-01-115</v>
          </cell>
          <cell r="B904" t="str">
            <v>12-01-115</v>
          </cell>
          <cell r="C904" t="str">
            <v>VENTANA V11A (1.44x2.78). MARCO + ALAS EN MADERA. DOS ALAS BATIENTES. INCLUYE PASAMANOS EN MADERA Y ACABADO FINAL</v>
          </cell>
          <cell r="D904">
            <v>1</v>
          </cell>
          <cell r="E904" t="str">
            <v>UN</v>
          </cell>
          <cell r="F904">
            <v>0</v>
          </cell>
          <cell r="G904">
            <v>6506445</v>
          </cell>
          <cell r="M904" t="e">
            <v>#N/A</v>
          </cell>
        </row>
        <row r="905">
          <cell r="A905" t="str">
            <v>12-01-115</v>
          </cell>
          <cell r="B905" t="str">
            <v>mt571000</v>
          </cell>
          <cell r="C905" t="str">
            <v>Madera cedro</v>
          </cell>
          <cell r="D905">
            <v>0.80064000000000002</v>
          </cell>
          <cell r="E905" t="str">
            <v>m3</v>
          </cell>
          <cell r="F905">
            <v>2641600</v>
          </cell>
          <cell r="G905">
            <v>2114971</v>
          </cell>
          <cell r="M905" t="str">
            <v>mt</v>
          </cell>
        </row>
        <row r="906">
          <cell r="A906" t="str">
            <v>12-01-115</v>
          </cell>
          <cell r="B906" t="str">
            <v>mt572000</v>
          </cell>
          <cell r="C906" t="str">
            <v>Madera macana 1m x 1"</v>
          </cell>
          <cell r="D906">
            <v>12</v>
          </cell>
          <cell r="E906" t="str">
            <v>un</v>
          </cell>
          <cell r="F906">
            <v>1219.2</v>
          </cell>
          <cell r="G906">
            <v>14631</v>
          </cell>
          <cell r="M906" t="str">
            <v>mt</v>
          </cell>
        </row>
        <row r="907">
          <cell r="A907" t="str">
            <v>12-01-115</v>
          </cell>
          <cell r="B907" t="str">
            <v>mt18620</v>
          </cell>
          <cell r="C907" t="str">
            <v>Barniz para puertas y ventanas en madera</v>
          </cell>
          <cell r="D907">
            <v>2</v>
          </cell>
          <cell r="E907" t="str">
            <v>gl</v>
          </cell>
          <cell r="F907">
            <v>40538.400000000001</v>
          </cell>
          <cell r="G907">
            <v>81077</v>
          </cell>
          <cell r="M907" t="str">
            <v>mt</v>
          </cell>
        </row>
        <row r="908">
          <cell r="A908" t="str">
            <v>12-01-115</v>
          </cell>
          <cell r="B908" t="str">
            <v>mt51120</v>
          </cell>
          <cell r="C908" t="str">
            <v>Cerradura para ventana en madera</v>
          </cell>
          <cell r="D908">
            <v>1</v>
          </cell>
          <cell r="E908" t="str">
            <v>un</v>
          </cell>
          <cell r="F908">
            <v>152400</v>
          </cell>
          <cell r="G908">
            <v>152400</v>
          </cell>
          <cell r="M908" t="str">
            <v>mt</v>
          </cell>
        </row>
        <row r="909">
          <cell r="A909" t="str">
            <v>12-01-115</v>
          </cell>
          <cell r="B909" t="str">
            <v>au10260</v>
          </cell>
          <cell r="C909" t="str">
            <v>Aux MO oficial carpintero</v>
          </cell>
          <cell r="D909">
            <v>94</v>
          </cell>
          <cell r="E909" t="str">
            <v>hr</v>
          </cell>
          <cell r="F909">
            <v>12901.168</v>
          </cell>
          <cell r="G909">
            <v>1212710</v>
          </cell>
          <cell r="M909" t="str">
            <v>mo</v>
          </cell>
        </row>
        <row r="910">
          <cell r="A910" t="str">
            <v>12-01-115</v>
          </cell>
          <cell r="B910" t="str">
            <v>au10000</v>
          </cell>
          <cell r="C910" t="str">
            <v>Aux MO ayudante</v>
          </cell>
          <cell r="D910">
            <v>94</v>
          </cell>
          <cell r="E910" t="str">
            <v>hr</v>
          </cell>
          <cell r="F910">
            <v>5080</v>
          </cell>
          <cell r="G910">
            <v>477520</v>
          </cell>
          <cell r="M910" t="str">
            <v>mo</v>
          </cell>
        </row>
        <row r="911">
          <cell r="A911" t="str">
            <v>12-01-115</v>
          </cell>
          <cell r="B911" t="str">
            <v>TP500020</v>
          </cell>
          <cell r="C911" t="str">
            <v>Transporte puertas y ventanas</v>
          </cell>
          <cell r="D911">
            <v>4.0031999999999996</v>
          </cell>
          <cell r="E911" t="str">
            <v>m2</v>
          </cell>
          <cell r="F911">
            <v>50800</v>
          </cell>
          <cell r="G911">
            <v>203363</v>
          </cell>
          <cell r="M911" t="str">
            <v>TP</v>
          </cell>
        </row>
        <row r="912">
          <cell r="A912" t="str">
            <v>12-01-115</v>
          </cell>
          <cell r="B912" t="str">
            <v>sc97420</v>
          </cell>
          <cell r="C912" t="str">
            <v>Subcontrato instalacion puertas y ventanas + AIU</v>
          </cell>
          <cell r="D912">
            <v>4.0031999999999996</v>
          </cell>
          <cell r="E912" t="str">
            <v>m2</v>
          </cell>
          <cell r="F912">
            <v>544068</v>
          </cell>
          <cell r="G912">
            <v>2178014</v>
          </cell>
          <cell r="M912" t="str">
            <v>sc</v>
          </cell>
        </row>
        <row r="913">
          <cell r="A913" t="str">
            <v>12-01-115</v>
          </cell>
          <cell r="B913" t="str">
            <v>mt13900</v>
          </cell>
          <cell r="C913" t="str">
            <v>Elementos de consumo y protección</v>
          </cell>
          <cell r="D913">
            <v>1690230</v>
          </cell>
          <cell r="E913" t="str">
            <v>%</v>
          </cell>
          <cell r="F913">
            <v>1.2455000000000001E-2</v>
          </cell>
          <cell r="G913">
            <v>21052</v>
          </cell>
          <cell r="M913" t="str">
            <v>mt</v>
          </cell>
        </row>
        <row r="914">
          <cell r="A914" t="str">
            <v>12-01-115</v>
          </cell>
          <cell r="B914" t="str">
            <v>hm15100</v>
          </cell>
          <cell r="C914" t="str">
            <v>Herramienta y equipo menor</v>
          </cell>
          <cell r="D914">
            <v>1690230</v>
          </cell>
          <cell r="E914" t="str">
            <v>%</v>
          </cell>
          <cell r="F914">
            <v>0.03</v>
          </cell>
          <cell r="G914">
            <v>50707</v>
          </cell>
          <cell r="M914" t="str">
            <v>hm</v>
          </cell>
        </row>
        <row r="915">
          <cell r="A915">
            <v>0</v>
          </cell>
          <cell r="C915" t="str">
            <v>DIRECTO:  6,506,445 / UN</v>
          </cell>
          <cell r="D915">
            <v>0</v>
          </cell>
          <cell r="E915">
            <v>0</v>
          </cell>
          <cell r="F915">
            <v>0</v>
          </cell>
          <cell r="G915">
            <v>0</v>
          </cell>
          <cell r="M915">
            <v>0</v>
          </cell>
        </row>
        <row r="916">
          <cell r="A916">
            <v>0</v>
          </cell>
          <cell r="C916">
            <v>0</v>
          </cell>
          <cell r="E916">
            <v>0</v>
          </cell>
          <cell r="F916">
            <v>0</v>
          </cell>
          <cell r="G916">
            <v>0</v>
          </cell>
          <cell r="M916">
            <v>0</v>
          </cell>
        </row>
        <row r="917">
          <cell r="A917" t="str">
            <v>12-01-120</v>
          </cell>
          <cell r="B917" t="str">
            <v>12-01-120</v>
          </cell>
          <cell r="C917" t="str">
            <v>VENTANA V12 (1.43x2.78). MARCO + ALAS EN MADERA. DOS ALAS BATIENTES. INCLUYE PASAMANOS EN MADERA Y ACABADO FINAL</v>
          </cell>
          <cell r="D917">
            <v>1</v>
          </cell>
          <cell r="E917" t="str">
            <v>UN</v>
          </cell>
          <cell r="F917">
            <v>0</v>
          </cell>
          <cell r="G917">
            <v>6437732</v>
          </cell>
          <cell r="M917" t="e">
            <v>#N/A</v>
          </cell>
        </row>
        <row r="918">
          <cell r="A918" t="str">
            <v>12-01-120</v>
          </cell>
          <cell r="B918" t="str">
            <v>mt571000</v>
          </cell>
          <cell r="C918" t="str">
            <v>Madera cedro</v>
          </cell>
          <cell r="D918">
            <v>0.79508000000000001</v>
          </cell>
          <cell r="E918" t="str">
            <v>m3</v>
          </cell>
          <cell r="F918">
            <v>2641600</v>
          </cell>
          <cell r="G918">
            <v>2100284</v>
          </cell>
          <cell r="M918" t="str">
            <v>mt</v>
          </cell>
        </row>
        <row r="919">
          <cell r="A919" t="str">
            <v>12-01-120</v>
          </cell>
          <cell r="B919" t="str">
            <v>mt572000</v>
          </cell>
          <cell r="C919" t="str">
            <v>Madera macana 1m x 1"</v>
          </cell>
          <cell r="D919">
            <v>12</v>
          </cell>
          <cell r="E919" t="str">
            <v>un</v>
          </cell>
          <cell r="F919">
            <v>1219.2</v>
          </cell>
          <cell r="G919">
            <v>14631</v>
          </cell>
          <cell r="M919" t="str">
            <v>mt</v>
          </cell>
        </row>
        <row r="920">
          <cell r="A920" t="str">
            <v>12-01-120</v>
          </cell>
          <cell r="B920" t="str">
            <v>mt18620</v>
          </cell>
          <cell r="C920" t="str">
            <v>Barniz para puertas y ventanas en madera</v>
          </cell>
          <cell r="D920">
            <v>2</v>
          </cell>
          <cell r="E920" t="str">
            <v>gl</v>
          </cell>
          <cell r="F920">
            <v>40538.400000000001</v>
          </cell>
          <cell r="G920">
            <v>81077</v>
          </cell>
          <cell r="M920" t="str">
            <v>mt</v>
          </cell>
        </row>
        <row r="921">
          <cell r="A921" t="str">
            <v>12-01-120</v>
          </cell>
          <cell r="B921" t="str">
            <v>mt51120</v>
          </cell>
          <cell r="C921" t="str">
            <v>Cerradura para ventana en madera</v>
          </cell>
          <cell r="D921">
            <v>1</v>
          </cell>
          <cell r="E921" t="str">
            <v>un</v>
          </cell>
          <cell r="F921">
            <v>152400</v>
          </cell>
          <cell r="G921">
            <v>152400</v>
          </cell>
          <cell r="M921" t="str">
            <v>mt</v>
          </cell>
        </row>
        <row r="922">
          <cell r="A922" t="str">
            <v>12-01-120</v>
          </cell>
          <cell r="B922" t="str">
            <v>au10260</v>
          </cell>
          <cell r="C922" t="str">
            <v>Aux MO oficial carpintero</v>
          </cell>
          <cell r="D922">
            <v>92</v>
          </cell>
          <cell r="E922" t="str">
            <v>hr</v>
          </cell>
          <cell r="F922">
            <v>12901.168</v>
          </cell>
          <cell r="G922">
            <v>1186908</v>
          </cell>
          <cell r="M922" t="str">
            <v>mo</v>
          </cell>
        </row>
        <row r="923">
          <cell r="A923" t="str">
            <v>12-01-120</v>
          </cell>
          <cell r="B923" t="str">
            <v>au10000</v>
          </cell>
          <cell r="C923" t="str">
            <v>Aux MO ayudante</v>
          </cell>
          <cell r="D923">
            <v>92</v>
          </cell>
          <cell r="E923" t="str">
            <v>hr</v>
          </cell>
          <cell r="F923">
            <v>5080</v>
          </cell>
          <cell r="G923">
            <v>467360</v>
          </cell>
          <cell r="M923" t="str">
            <v>mo</v>
          </cell>
        </row>
        <row r="924">
          <cell r="A924" t="str">
            <v>12-01-120</v>
          </cell>
          <cell r="B924" t="str">
            <v>TP500020</v>
          </cell>
          <cell r="C924" t="str">
            <v>Transporte puertas y ventanas</v>
          </cell>
          <cell r="D924">
            <v>3.9753999999999996</v>
          </cell>
          <cell r="E924" t="str">
            <v>m2</v>
          </cell>
          <cell r="F924">
            <v>50800</v>
          </cell>
          <cell r="G924">
            <v>201951</v>
          </cell>
          <cell r="M924" t="str">
            <v>TP</v>
          </cell>
        </row>
        <row r="925">
          <cell r="A925" t="str">
            <v>12-01-120</v>
          </cell>
          <cell r="B925" t="str">
            <v>sc97420</v>
          </cell>
          <cell r="C925" t="str">
            <v>Subcontrato instalacion puertas y ventanas + AIU</v>
          </cell>
          <cell r="D925">
            <v>3.9753999999999996</v>
          </cell>
          <cell r="E925" t="str">
            <v>m2</v>
          </cell>
          <cell r="F925">
            <v>544068</v>
          </cell>
          <cell r="G925">
            <v>2162888</v>
          </cell>
          <cell r="M925" t="str">
            <v>sc</v>
          </cell>
        </row>
        <row r="926">
          <cell r="A926" t="str">
            <v>12-01-120</v>
          </cell>
          <cell r="B926" t="str">
            <v>mt13900</v>
          </cell>
          <cell r="C926" t="str">
            <v>Elementos de consumo y protección</v>
          </cell>
          <cell r="D926">
            <v>1654268</v>
          </cell>
          <cell r="E926" t="str">
            <v>%</v>
          </cell>
          <cell r="F926">
            <v>1.2455000000000001E-2</v>
          </cell>
          <cell r="G926">
            <v>20604</v>
          </cell>
          <cell r="M926" t="str">
            <v>mt</v>
          </cell>
        </row>
        <row r="927">
          <cell r="A927" t="str">
            <v>12-01-120</v>
          </cell>
          <cell r="B927" t="str">
            <v>hm15100</v>
          </cell>
          <cell r="C927" t="str">
            <v>Herramienta y equipo menor</v>
          </cell>
          <cell r="D927">
            <v>1654268</v>
          </cell>
          <cell r="E927" t="str">
            <v>%</v>
          </cell>
          <cell r="F927">
            <v>0.03</v>
          </cell>
          <cell r="G927">
            <v>49629</v>
          </cell>
          <cell r="M927" t="str">
            <v>hm</v>
          </cell>
        </row>
        <row r="928">
          <cell r="A928">
            <v>0</v>
          </cell>
          <cell r="C928" t="str">
            <v>DIRECTO:  6,437,732 / UN</v>
          </cell>
          <cell r="D928">
            <v>0</v>
          </cell>
          <cell r="E928">
            <v>0</v>
          </cell>
          <cell r="F928">
            <v>0</v>
          </cell>
          <cell r="G928">
            <v>0</v>
          </cell>
          <cell r="M928">
            <v>0</v>
          </cell>
        </row>
        <row r="929">
          <cell r="A929">
            <v>0</v>
          </cell>
          <cell r="C929">
            <v>0</v>
          </cell>
          <cell r="E929">
            <v>0</v>
          </cell>
          <cell r="F929">
            <v>0</v>
          </cell>
          <cell r="G929">
            <v>0</v>
          </cell>
          <cell r="M929">
            <v>0</v>
          </cell>
        </row>
        <row r="930">
          <cell r="A930" t="str">
            <v>12-01-130</v>
          </cell>
          <cell r="B930" t="str">
            <v>12-01-130</v>
          </cell>
          <cell r="C930" t="str">
            <v>VENTANA V13 (1.43x2.78). MARCO + ALAS EN MADERA. DOS ALAS BATIENTES. INCLUYE PASAMANOS EN MADERA Y ACABADO FINAL</v>
          </cell>
          <cell r="D930">
            <v>1</v>
          </cell>
          <cell r="E930" t="str">
            <v>UN</v>
          </cell>
          <cell r="F930">
            <v>0</v>
          </cell>
          <cell r="G930">
            <v>6437732</v>
          </cell>
          <cell r="M930" t="e">
            <v>#N/A</v>
          </cell>
        </row>
        <row r="931">
          <cell r="A931" t="str">
            <v>12-01-130</v>
          </cell>
          <cell r="B931" t="str">
            <v>mt571000</v>
          </cell>
          <cell r="C931" t="str">
            <v>Madera cedro</v>
          </cell>
          <cell r="D931">
            <v>0.79508000000000001</v>
          </cell>
          <cell r="E931" t="str">
            <v>m3</v>
          </cell>
          <cell r="F931">
            <v>2641600</v>
          </cell>
          <cell r="G931">
            <v>2100284</v>
          </cell>
          <cell r="M931" t="str">
            <v>mt</v>
          </cell>
        </row>
        <row r="932">
          <cell r="A932" t="str">
            <v>12-01-130</v>
          </cell>
          <cell r="B932" t="str">
            <v>mt572000</v>
          </cell>
          <cell r="C932" t="str">
            <v>Madera macana 1m x 1"</v>
          </cell>
          <cell r="D932">
            <v>12</v>
          </cell>
          <cell r="E932" t="str">
            <v>un</v>
          </cell>
          <cell r="F932">
            <v>1219.2</v>
          </cell>
          <cell r="G932">
            <v>14631</v>
          </cell>
          <cell r="M932" t="str">
            <v>mt</v>
          </cell>
        </row>
        <row r="933">
          <cell r="A933" t="str">
            <v>12-01-130</v>
          </cell>
          <cell r="B933" t="str">
            <v>mt18620</v>
          </cell>
          <cell r="C933" t="str">
            <v>Barniz para puertas y ventanas en madera</v>
          </cell>
          <cell r="D933">
            <v>2</v>
          </cell>
          <cell r="E933" t="str">
            <v>gl</v>
          </cell>
          <cell r="F933">
            <v>40538.400000000001</v>
          </cell>
          <cell r="G933">
            <v>81077</v>
          </cell>
          <cell r="M933" t="str">
            <v>mt</v>
          </cell>
        </row>
        <row r="934">
          <cell r="A934" t="str">
            <v>12-01-130</v>
          </cell>
          <cell r="B934" t="str">
            <v>mt51120</v>
          </cell>
          <cell r="C934" t="str">
            <v>Cerradura para ventana en madera</v>
          </cell>
          <cell r="D934">
            <v>1</v>
          </cell>
          <cell r="E934" t="str">
            <v>un</v>
          </cell>
          <cell r="F934">
            <v>152400</v>
          </cell>
          <cell r="G934">
            <v>152400</v>
          </cell>
          <cell r="M934" t="str">
            <v>mt</v>
          </cell>
        </row>
        <row r="935">
          <cell r="A935" t="str">
            <v>12-01-130</v>
          </cell>
          <cell r="B935" t="str">
            <v>au10260</v>
          </cell>
          <cell r="C935" t="str">
            <v>Aux MO oficial carpintero</v>
          </cell>
          <cell r="D935">
            <v>92</v>
          </cell>
          <cell r="E935" t="str">
            <v>hr</v>
          </cell>
          <cell r="F935">
            <v>12901.168</v>
          </cell>
          <cell r="G935">
            <v>1186908</v>
          </cell>
          <cell r="M935" t="str">
            <v>mo</v>
          </cell>
        </row>
        <row r="936">
          <cell r="A936" t="str">
            <v>12-01-130</v>
          </cell>
          <cell r="B936" t="str">
            <v>au10000</v>
          </cell>
          <cell r="C936" t="str">
            <v>Aux MO ayudante</v>
          </cell>
          <cell r="D936">
            <v>92</v>
          </cell>
          <cell r="E936" t="str">
            <v>hr</v>
          </cell>
          <cell r="F936">
            <v>5080</v>
          </cell>
          <cell r="G936">
            <v>467360</v>
          </cell>
          <cell r="M936" t="str">
            <v>mo</v>
          </cell>
        </row>
        <row r="937">
          <cell r="A937" t="str">
            <v>12-01-130</v>
          </cell>
          <cell r="B937" t="str">
            <v>TP500020</v>
          </cell>
          <cell r="C937" t="str">
            <v>Transporte puertas y ventanas</v>
          </cell>
          <cell r="D937">
            <v>3.9753999999999996</v>
          </cell>
          <cell r="E937" t="str">
            <v>m2</v>
          </cell>
          <cell r="F937">
            <v>50800</v>
          </cell>
          <cell r="G937">
            <v>201951</v>
          </cell>
          <cell r="M937" t="str">
            <v>TP</v>
          </cell>
        </row>
        <row r="938">
          <cell r="A938" t="str">
            <v>12-01-130</v>
          </cell>
          <cell r="B938" t="str">
            <v>sc97420</v>
          </cell>
          <cell r="C938" t="str">
            <v>Subcontrato instalacion puertas y ventanas + AIU</v>
          </cell>
          <cell r="D938">
            <v>3.9753999999999996</v>
          </cell>
          <cell r="E938" t="str">
            <v>m2</v>
          </cell>
          <cell r="F938">
            <v>544068</v>
          </cell>
          <cell r="G938">
            <v>2162888</v>
          </cell>
          <cell r="M938" t="str">
            <v>sc</v>
          </cell>
        </row>
        <row r="939">
          <cell r="A939" t="str">
            <v>12-01-130</v>
          </cell>
          <cell r="B939" t="str">
            <v>mt13900</v>
          </cell>
          <cell r="C939" t="str">
            <v>Elementos de consumo y protección</v>
          </cell>
          <cell r="D939">
            <v>1654268</v>
          </cell>
          <cell r="E939" t="str">
            <v>%</v>
          </cell>
          <cell r="F939">
            <v>1.2455000000000001E-2</v>
          </cell>
          <cell r="G939">
            <v>20604</v>
          </cell>
          <cell r="M939" t="str">
            <v>mt</v>
          </cell>
        </row>
        <row r="940">
          <cell r="A940" t="str">
            <v>12-01-130</v>
          </cell>
          <cell r="B940" t="str">
            <v>hm15100</v>
          </cell>
          <cell r="C940" t="str">
            <v>Herramienta y equipo menor</v>
          </cell>
          <cell r="D940">
            <v>1654268</v>
          </cell>
          <cell r="E940" t="str">
            <v>%</v>
          </cell>
          <cell r="F940">
            <v>0.03</v>
          </cell>
          <cell r="G940">
            <v>49629</v>
          </cell>
          <cell r="M940" t="str">
            <v>hm</v>
          </cell>
        </row>
        <row r="941">
          <cell r="A941">
            <v>0</v>
          </cell>
          <cell r="C941" t="str">
            <v>DIRECTO:  6,437,732 / UN</v>
          </cell>
          <cell r="D941">
            <v>0</v>
          </cell>
          <cell r="E941">
            <v>0</v>
          </cell>
          <cell r="F941">
            <v>0</v>
          </cell>
          <cell r="G941">
            <v>0</v>
          </cell>
          <cell r="M941">
            <v>0</v>
          </cell>
        </row>
        <row r="942">
          <cell r="A942">
            <v>0</v>
          </cell>
          <cell r="C942">
            <v>0</v>
          </cell>
          <cell r="E942">
            <v>0</v>
          </cell>
          <cell r="F942">
            <v>0</v>
          </cell>
          <cell r="G942">
            <v>0</v>
          </cell>
          <cell r="M942">
            <v>0</v>
          </cell>
        </row>
        <row r="943">
          <cell r="A943" t="str">
            <v>12-01-140</v>
          </cell>
          <cell r="B943" t="str">
            <v>12-01-140</v>
          </cell>
          <cell r="C943" t="str">
            <v>VENTANA V14 (1.42x2.78). MARCO + ALAS EN MADERA. DOS ALAS BATIENTES. INCLUYE PASAMANOS EN MADERA Y ACABADO FINAL</v>
          </cell>
          <cell r="D943">
            <v>1</v>
          </cell>
          <cell r="E943" t="str">
            <v>UN</v>
          </cell>
          <cell r="F943">
            <v>0</v>
          </cell>
          <cell r="G943">
            <v>6406508</v>
          </cell>
          <cell r="M943" t="e">
            <v>#N/A</v>
          </cell>
        </row>
        <row r="944">
          <cell r="A944" t="str">
            <v>12-01-140</v>
          </cell>
          <cell r="B944" t="str">
            <v>mt571000</v>
          </cell>
          <cell r="C944" t="str">
            <v>Madera cedro</v>
          </cell>
          <cell r="D944">
            <v>0.78952</v>
          </cell>
          <cell r="E944" t="str">
            <v>m3</v>
          </cell>
          <cell r="F944">
            <v>2641600</v>
          </cell>
          <cell r="G944">
            <v>2085597</v>
          </cell>
          <cell r="M944" t="str">
            <v>mt</v>
          </cell>
        </row>
        <row r="945">
          <cell r="A945" t="str">
            <v>12-01-140</v>
          </cell>
          <cell r="B945" t="str">
            <v>mt572000</v>
          </cell>
          <cell r="C945" t="str">
            <v>Madera macana 1m x 1"</v>
          </cell>
          <cell r="D945">
            <v>12</v>
          </cell>
          <cell r="E945" t="str">
            <v>un</v>
          </cell>
          <cell r="F945">
            <v>1219.2</v>
          </cell>
          <cell r="G945">
            <v>14631</v>
          </cell>
          <cell r="M945" t="str">
            <v>mt</v>
          </cell>
        </row>
        <row r="946">
          <cell r="A946" t="str">
            <v>12-01-140</v>
          </cell>
          <cell r="B946" t="str">
            <v>mt18620</v>
          </cell>
          <cell r="C946" t="str">
            <v>Barniz para puertas y ventanas en madera</v>
          </cell>
          <cell r="D946">
            <v>2</v>
          </cell>
          <cell r="E946" t="str">
            <v>gl</v>
          </cell>
          <cell r="F946">
            <v>40538.400000000001</v>
          </cell>
          <cell r="G946">
            <v>81077</v>
          </cell>
          <cell r="M946" t="str">
            <v>mt</v>
          </cell>
        </row>
        <row r="947">
          <cell r="A947" t="str">
            <v>12-01-140</v>
          </cell>
          <cell r="B947" t="str">
            <v>mt51120</v>
          </cell>
          <cell r="C947" t="str">
            <v>Cerradura para ventana en madera</v>
          </cell>
          <cell r="D947">
            <v>1</v>
          </cell>
          <cell r="E947" t="str">
            <v>un</v>
          </cell>
          <cell r="F947">
            <v>152400</v>
          </cell>
          <cell r="G947">
            <v>152400</v>
          </cell>
          <cell r="M947" t="str">
            <v>mt</v>
          </cell>
        </row>
        <row r="948">
          <cell r="A948" t="str">
            <v>12-01-140</v>
          </cell>
          <cell r="B948" t="str">
            <v>au10260</v>
          </cell>
          <cell r="C948" t="str">
            <v>Aux MO oficial carpintero</v>
          </cell>
          <cell r="D948">
            <v>92</v>
          </cell>
          <cell r="E948" t="str">
            <v>hr</v>
          </cell>
          <cell r="F948">
            <v>12901.168</v>
          </cell>
          <cell r="G948">
            <v>1186908</v>
          </cell>
          <cell r="M948" t="str">
            <v>mo</v>
          </cell>
        </row>
        <row r="949">
          <cell r="A949" t="str">
            <v>12-01-140</v>
          </cell>
          <cell r="B949" t="str">
            <v>au10000</v>
          </cell>
          <cell r="C949" t="str">
            <v>Aux MO ayudante</v>
          </cell>
          <cell r="D949">
            <v>92</v>
          </cell>
          <cell r="E949" t="str">
            <v>hr</v>
          </cell>
          <cell r="F949">
            <v>5080</v>
          </cell>
          <cell r="G949">
            <v>467360</v>
          </cell>
          <cell r="M949" t="str">
            <v>mo</v>
          </cell>
        </row>
        <row r="950">
          <cell r="A950" t="str">
            <v>12-01-140</v>
          </cell>
          <cell r="B950" t="str">
            <v>TP500020</v>
          </cell>
          <cell r="C950" t="str">
            <v>Transporte puertas y ventanas</v>
          </cell>
          <cell r="D950">
            <v>3.9475999999999996</v>
          </cell>
          <cell r="E950" t="str">
            <v>m2</v>
          </cell>
          <cell r="F950">
            <v>50800</v>
          </cell>
          <cell r="G950">
            <v>200539</v>
          </cell>
          <cell r="M950" t="str">
            <v>TP</v>
          </cell>
        </row>
        <row r="951">
          <cell r="A951" t="str">
            <v>12-01-140</v>
          </cell>
          <cell r="B951" t="str">
            <v>sc97420</v>
          </cell>
          <cell r="C951" t="str">
            <v>Subcontrato instalacion puertas y ventanas + AIU</v>
          </cell>
          <cell r="D951">
            <v>3.9475999999999996</v>
          </cell>
          <cell r="E951" t="str">
            <v>m2</v>
          </cell>
          <cell r="F951">
            <v>544068</v>
          </cell>
          <cell r="G951">
            <v>2147763</v>
          </cell>
          <cell r="M951" t="str">
            <v>sc</v>
          </cell>
        </row>
        <row r="952">
          <cell r="A952" t="str">
            <v>12-01-140</v>
          </cell>
          <cell r="B952" t="str">
            <v>mt13900</v>
          </cell>
          <cell r="C952" t="str">
            <v>Elementos de consumo y protección</v>
          </cell>
          <cell r="D952">
            <v>1654268</v>
          </cell>
          <cell r="E952" t="str">
            <v>%</v>
          </cell>
          <cell r="F952">
            <v>1.2455000000000001E-2</v>
          </cell>
          <cell r="G952">
            <v>20604</v>
          </cell>
          <cell r="M952" t="str">
            <v>mt</v>
          </cell>
        </row>
        <row r="953">
          <cell r="A953" t="str">
            <v>12-01-140</v>
          </cell>
          <cell r="B953" t="str">
            <v>hm15100</v>
          </cell>
          <cell r="C953" t="str">
            <v>Herramienta y equipo menor</v>
          </cell>
          <cell r="D953">
            <v>1654268</v>
          </cell>
          <cell r="E953" t="str">
            <v>%</v>
          </cell>
          <cell r="F953">
            <v>0.03</v>
          </cell>
          <cell r="G953">
            <v>49629</v>
          </cell>
          <cell r="M953" t="str">
            <v>hm</v>
          </cell>
        </row>
        <row r="954">
          <cell r="A954">
            <v>0</v>
          </cell>
          <cell r="C954" t="str">
            <v>DIRECTO:  6,406,508 / UN</v>
          </cell>
          <cell r="D954">
            <v>0</v>
          </cell>
          <cell r="E954">
            <v>0</v>
          </cell>
          <cell r="F954">
            <v>0</v>
          </cell>
          <cell r="G954">
            <v>0</v>
          </cell>
          <cell r="M954">
            <v>0</v>
          </cell>
        </row>
        <row r="955">
          <cell r="A955">
            <v>0</v>
          </cell>
          <cell r="C955">
            <v>0</v>
          </cell>
          <cell r="E955">
            <v>0</v>
          </cell>
          <cell r="F955">
            <v>0</v>
          </cell>
          <cell r="G955">
            <v>0</v>
          </cell>
          <cell r="M955">
            <v>0</v>
          </cell>
        </row>
        <row r="956">
          <cell r="A956" t="str">
            <v>12-01-150</v>
          </cell>
          <cell r="B956" t="str">
            <v>12-01-150</v>
          </cell>
          <cell r="C956" t="str">
            <v>VENTANA V15 (1.30x1.35). MARCO + REJA + PANELES EN MADERA. INCLUYE ACABADO FINAL</v>
          </cell>
          <cell r="D956">
            <v>1</v>
          </cell>
          <cell r="E956" t="str">
            <v>UN</v>
          </cell>
          <cell r="F956">
            <v>0</v>
          </cell>
          <cell r="G956">
            <v>3038733</v>
          </cell>
          <cell r="M956" t="e">
            <v>#N/A</v>
          </cell>
        </row>
        <row r="957">
          <cell r="A957" t="str">
            <v>12-01-150</v>
          </cell>
          <cell r="B957" t="str">
            <v>mt571000</v>
          </cell>
          <cell r="C957" t="str">
            <v>Madera cedro</v>
          </cell>
          <cell r="D957">
            <v>0.35100000000000003</v>
          </cell>
          <cell r="E957" t="str">
            <v>m3</v>
          </cell>
          <cell r="F957">
            <v>2641600</v>
          </cell>
          <cell r="G957">
            <v>927202</v>
          </cell>
          <cell r="M957" t="str">
            <v>mt</v>
          </cell>
        </row>
        <row r="958">
          <cell r="A958" t="str">
            <v>12-01-150</v>
          </cell>
          <cell r="B958" t="str">
            <v>mt18620</v>
          </cell>
          <cell r="C958" t="str">
            <v>Barniz para puertas y ventanas en madera</v>
          </cell>
          <cell r="D958">
            <v>2</v>
          </cell>
          <cell r="E958" t="str">
            <v>gl</v>
          </cell>
          <cell r="F958">
            <v>40538.400000000001</v>
          </cell>
          <cell r="G958">
            <v>81077</v>
          </cell>
          <cell r="M958" t="str">
            <v>mt</v>
          </cell>
        </row>
        <row r="959">
          <cell r="A959" t="str">
            <v>12-01-150</v>
          </cell>
          <cell r="B959" t="str">
            <v>mt572000</v>
          </cell>
          <cell r="C959" t="str">
            <v>Madera macana 1m x 1"</v>
          </cell>
          <cell r="D959">
            <v>23</v>
          </cell>
          <cell r="E959" t="str">
            <v>un</v>
          </cell>
          <cell r="F959">
            <v>1219.2</v>
          </cell>
          <cell r="G959">
            <v>28042</v>
          </cell>
          <cell r="M959" t="str">
            <v>mt</v>
          </cell>
        </row>
        <row r="960">
          <cell r="A960" t="str">
            <v>12-01-150</v>
          </cell>
          <cell r="B960" t="str">
            <v>mt51120</v>
          </cell>
          <cell r="C960" t="str">
            <v>Cerradura para ventana en madera</v>
          </cell>
          <cell r="D960">
            <v>1</v>
          </cell>
          <cell r="E960" t="str">
            <v>un</v>
          </cell>
          <cell r="F960">
            <v>152400</v>
          </cell>
          <cell r="G960">
            <v>152400</v>
          </cell>
          <cell r="M960" t="str">
            <v>mt</v>
          </cell>
        </row>
        <row r="961">
          <cell r="A961" t="str">
            <v>12-01-150</v>
          </cell>
          <cell r="B961" t="str">
            <v>au10260</v>
          </cell>
          <cell r="C961" t="str">
            <v>Aux MO oficial carpintero</v>
          </cell>
          <cell r="D961">
            <v>43</v>
          </cell>
          <cell r="E961" t="str">
            <v>hr</v>
          </cell>
          <cell r="F961">
            <v>12901.168</v>
          </cell>
          <cell r="G961">
            <v>554751</v>
          </cell>
          <cell r="M961" t="str">
            <v>mo</v>
          </cell>
        </row>
        <row r="962">
          <cell r="A962" t="str">
            <v>12-01-150</v>
          </cell>
          <cell r="B962" t="str">
            <v>au10000</v>
          </cell>
          <cell r="C962" t="str">
            <v>Aux MO ayudante</v>
          </cell>
          <cell r="D962">
            <v>43</v>
          </cell>
          <cell r="E962" t="str">
            <v>hr</v>
          </cell>
          <cell r="F962">
            <v>5080</v>
          </cell>
          <cell r="G962">
            <v>218440</v>
          </cell>
          <cell r="M962" t="str">
            <v>mo</v>
          </cell>
        </row>
        <row r="963">
          <cell r="A963" t="str">
            <v>12-01-150</v>
          </cell>
          <cell r="B963" t="str">
            <v>TP500020</v>
          </cell>
          <cell r="C963" t="str">
            <v>Transporte puertas y ventanas</v>
          </cell>
          <cell r="D963">
            <v>1.7550000000000001</v>
          </cell>
          <cell r="E963" t="str">
            <v>m2</v>
          </cell>
          <cell r="F963">
            <v>50800</v>
          </cell>
          <cell r="G963">
            <v>89154</v>
          </cell>
          <cell r="M963" t="str">
            <v>TP</v>
          </cell>
        </row>
        <row r="964">
          <cell r="A964" t="str">
            <v>12-01-150</v>
          </cell>
          <cell r="B964" t="str">
            <v>sc97420</v>
          </cell>
          <cell r="C964" t="str">
            <v>Subcontrato instalacion puertas y ventanas + AIU</v>
          </cell>
          <cell r="D964">
            <v>1.7550000000000001</v>
          </cell>
          <cell r="E964" t="str">
            <v>m2</v>
          </cell>
          <cell r="F964">
            <v>544068</v>
          </cell>
          <cell r="G964">
            <v>954840</v>
          </cell>
          <cell r="M964" t="str">
            <v>sc</v>
          </cell>
        </row>
        <row r="965">
          <cell r="A965" t="str">
            <v>12-01-150</v>
          </cell>
          <cell r="B965" t="str">
            <v>mt13900</v>
          </cell>
          <cell r="C965" t="str">
            <v>Elementos de consumo y protección</v>
          </cell>
          <cell r="D965">
            <v>773191</v>
          </cell>
          <cell r="E965" t="str">
            <v>%</v>
          </cell>
          <cell r="F965">
            <v>1.2455000000000001E-2</v>
          </cell>
          <cell r="G965">
            <v>9631</v>
          </cell>
          <cell r="M965" t="str">
            <v>mt</v>
          </cell>
        </row>
        <row r="966">
          <cell r="A966" t="str">
            <v>12-01-150</v>
          </cell>
          <cell r="B966" t="str">
            <v>hm15100</v>
          </cell>
          <cell r="C966" t="str">
            <v>Herramienta y equipo menor</v>
          </cell>
          <cell r="D966">
            <v>773191</v>
          </cell>
          <cell r="E966" t="str">
            <v>%</v>
          </cell>
          <cell r="F966">
            <v>0.03</v>
          </cell>
          <cell r="G966">
            <v>23196</v>
          </cell>
          <cell r="M966" t="str">
            <v>hm</v>
          </cell>
        </row>
        <row r="967">
          <cell r="A967">
            <v>0</v>
          </cell>
          <cell r="C967" t="str">
            <v>DIRECTO:  3,038,733 / UN</v>
          </cell>
          <cell r="D967">
            <v>0</v>
          </cell>
          <cell r="E967">
            <v>0</v>
          </cell>
          <cell r="F967">
            <v>0</v>
          </cell>
          <cell r="G967">
            <v>0</v>
          </cell>
          <cell r="M967">
            <v>0</v>
          </cell>
        </row>
        <row r="968">
          <cell r="A968">
            <v>0</v>
          </cell>
          <cell r="C968">
            <v>0</v>
          </cell>
          <cell r="E968">
            <v>0</v>
          </cell>
          <cell r="F968">
            <v>0</v>
          </cell>
          <cell r="G968">
            <v>0</v>
          </cell>
          <cell r="M968">
            <v>0</v>
          </cell>
        </row>
        <row r="969">
          <cell r="A969" t="str">
            <v>12-01-160</v>
          </cell>
          <cell r="B969" t="str">
            <v>12-01-160</v>
          </cell>
          <cell r="C969" t="str">
            <v>VENTANA V16 (1.66x1.83). MARCO + PANELES BATIENTES EN MADERA. INCLUYE ACABADO FINAL</v>
          </cell>
          <cell r="D969">
            <v>1</v>
          </cell>
          <cell r="E969" t="str">
            <v>UN</v>
          </cell>
          <cell r="F969">
            <v>0</v>
          </cell>
          <cell r="G969">
            <v>2093587</v>
          </cell>
          <cell r="M969" t="e">
            <v>#N/A</v>
          </cell>
        </row>
        <row r="970">
          <cell r="A970" t="str">
            <v>12-01-160</v>
          </cell>
          <cell r="B970" t="str">
            <v>mt571000</v>
          </cell>
          <cell r="C970" t="str">
            <v>Madera cedro</v>
          </cell>
          <cell r="D970">
            <v>0.30377999999999999</v>
          </cell>
          <cell r="E970" t="str">
            <v>m3</v>
          </cell>
          <cell r="F970">
            <v>2641600</v>
          </cell>
          <cell r="G970">
            <v>802466</v>
          </cell>
          <cell r="M970" t="str">
            <v>mt</v>
          </cell>
        </row>
        <row r="971">
          <cell r="A971" t="str">
            <v>12-01-160</v>
          </cell>
          <cell r="B971" t="str">
            <v>mt18620</v>
          </cell>
          <cell r="C971" t="str">
            <v>Barniz para puertas y ventanas en madera</v>
          </cell>
          <cell r="D971">
            <v>1</v>
          </cell>
          <cell r="E971" t="str">
            <v>gl</v>
          </cell>
          <cell r="F971">
            <v>40538.400000000001</v>
          </cell>
          <cell r="G971">
            <v>40539</v>
          </cell>
          <cell r="M971" t="str">
            <v>mt</v>
          </cell>
        </row>
        <row r="972">
          <cell r="A972" t="str">
            <v>12-01-160</v>
          </cell>
          <cell r="B972" t="str">
            <v>mt51120</v>
          </cell>
          <cell r="C972" t="str">
            <v>Cerradura para ventana en madera</v>
          </cell>
          <cell r="D972">
            <v>1</v>
          </cell>
          <cell r="E972" t="str">
            <v>un</v>
          </cell>
          <cell r="F972">
            <v>152400</v>
          </cell>
          <cell r="G972">
            <v>152400</v>
          </cell>
          <cell r="M972" t="str">
            <v>mt</v>
          </cell>
        </row>
        <row r="973">
          <cell r="A973" t="str">
            <v>12-01-160</v>
          </cell>
          <cell r="B973" t="str">
            <v>au10260</v>
          </cell>
          <cell r="C973" t="str">
            <v>Aux MO oficial carpintero</v>
          </cell>
          <cell r="D973">
            <v>22</v>
          </cell>
          <cell r="E973" t="str">
            <v>hr</v>
          </cell>
          <cell r="F973">
            <v>12901.168</v>
          </cell>
          <cell r="G973">
            <v>283826</v>
          </cell>
          <cell r="M973" t="str">
            <v>mo</v>
          </cell>
        </row>
        <row r="974">
          <cell r="A974" t="str">
            <v>12-01-160</v>
          </cell>
          <cell r="B974" t="str">
            <v>au10000</v>
          </cell>
          <cell r="C974" t="str">
            <v>Aux MO ayudante</v>
          </cell>
          <cell r="D974">
            <v>22</v>
          </cell>
          <cell r="E974" t="str">
            <v>hr</v>
          </cell>
          <cell r="F974">
            <v>5080</v>
          </cell>
          <cell r="G974">
            <v>111760</v>
          </cell>
          <cell r="M974" t="str">
            <v>mo</v>
          </cell>
        </row>
        <row r="975">
          <cell r="A975" t="str">
            <v>12-01-160</v>
          </cell>
          <cell r="B975" t="str">
            <v>TP500020</v>
          </cell>
          <cell r="C975" t="str">
            <v>Transporte puertas y ventanas</v>
          </cell>
          <cell r="D975">
            <v>0.48604800000000004</v>
          </cell>
          <cell r="E975" t="str">
            <v>m2</v>
          </cell>
          <cell r="F975">
            <v>50800</v>
          </cell>
          <cell r="G975">
            <v>24692</v>
          </cell>
          <cell r="M975" t="str">
            <v>TP</v>
          </cell>
        </row>
        <row r="976">
          <cell r="A976" t="str">
            <v>12-01-160</v>
          </cell>
          <cell r="B976" t="str">
            <v>sc97420</v>
          </cell>
          <cell r="C976" t="str">
            <v>Subcontrato instalacion puertas y ventanas + AIU</v>
          </cell>
          <cell r="D976">
            <v>1.21512</v>
          </cell>
          <cell r="E976" t="str">
            <v>m2</v>
          </cell>
          <cell r="F976">
            <v>544068</v>
          </cell>
          <cell r="G976">
            <v>661108</v>
          </cell>
          <cell r="M976" t="str">
            <v>sc</v>
          </cell>
        </row>
        <row r="977">
          <cell r="A977" t="str">
            <v>12-01-160</v>
          </cell>
          <cell r="B977" t="str">
            <v>mt13900</v>
          </cell>
          <cell r="C977" t="str">
            <v>Elementos de consumo y protección</v>
          </cell>
          <cell r="D977">
            <v>395586</v>
          </cell>
          <cell r="E977" t="str">
            <v>%</v>
          </cell>
          <cell r="F977">
            <v>1.2455000000000001E-2</v>
          </cell>
          <cell r="G977">
            <v>4928</v>
          </cell>
          <cell r="M977" t="str">
            <v>mt</v>
          </cell>
        </row>
        <row r="978">
          <cell r="A978" t="str">
            <v>12-01-160</v>
          </cell>
          <cell r="B978" t="str">
            <v>hm15100</v>
          </cell>
          <cell r="C978" t="str">
            <v>Herramienta y equipo menor</v>
          </cell>
          <cell r="D978">
            <v>395586</v>
          </cell>
          <cell r="E978" t="str">
            <v>%</v>
          </cell>
          <cell r="F978">
            <v>0.03</v>
          </cell>
          <cell r="G978">
            <v>11868</v>
          </cell>
          <cell r="M978" t="str">
            <v>hm</v>
          </cell>
        </row>
        <row r="979">
          <cell r="A979">
            <v>0</v>
          </cell>
          <cell r="C979" t="str">
            <v>DIRECTO:  2,093,587 / UN</v>
          </cell>
          <cell r="D979">
            <v>0</v>
          </cell>
          <cell r="E979">
            <v>0</v>
          </cell>
          <cell r="F979">
            <v>0</v>
          </cell>
          <cell r="G979">
            <v>0</v>
          </cell>
          <cell r="M979">
            <v>0</v>
          </cell>
        </row>
        <row r="980">
          <cell r="A980">
            <v>0</v>
          </cell>
          <cell r="C980">
            <v>0</v>
          </cell>
          <cell r="E980">
            <v>0</v>
          </cell>
          <cell r="F980">
            <v>0</v>
          </cell>
          <cell r="G980">
            <v>0</v>
          </cell>
          <cell r="M980">
            <v>0</v>
          </cell>
        </row>
        <row r="981">
          <cell r="A981" t="str">
            <v>12-01-170</v>
          </cell>
          <cell r="B981" t="str">
            <v>12-01-170</v>
          </cell>
          <cell r="C981" t="str">
            <v>VENTANA V17 (0.60x0.50). MARCO + PERSIANA EN MADERA. INCLUYE ACABADO FINAL</v>
          </cell>
          <cell r="D981">
            <v>4</v>
          </cell>
          <cell r="E981" t="str">
            <v>UN</v>
          </cell>
          <cell r="F981">
            <v>0</v>
          </cell>
          <cell r="G981">
            <v>268138</v>
          </cell>
          <cell r="M981" t="e">
            <v>#N/A</v>
          </cell>
        </row>
        <row r="982">
          <cell r="A982" t="str">
            <v>12-01-170</v>
          </cell>
          <cell r="B982" t="str">
            <v>mt571000</v>
          </cell>
          <cell r="C982" t="str">
            <v>Madera cedro</v>
          </cell>
          <cell r="D982">
            <v>0.03</v>
          </cell>
          <cell r="E982" t="str">
            <v>m3</v>
          </cell>
          <cell r="F982">
            <v>2641600</v>
          </cell>
          <cell r="G982">
            <v>79248</v>
          </cell>
          <cell r="M982" t="str">
            <v>mt</v>
          </cell>
        </row>
        <row r="983">
          <cell r="A983" t="str">
            <v>12-01-170</v>
          </cell>
          <cell r="B983" t="str">
            <v>mt18620</v>
          </cell>
          <cell r="C983" t="str">
            <v>Barniz para puertas y ventanas en madera</v>
          </cell>
          <cell r="D983">
            <v>0.3</v>
          </cell>
          <cell r="E983" t="str">
            <v>gl</v>
          </cell>
          <cell r="F983">
            <v>40538.400000000001</v>
          </cell>
          <cell r="G983">
            <v>12162</v>
          </cell>
          <cell r="M983" t="str">
            <v>mt</v>
          </cell>
        </row>
        <row r="984">
          <cell r="A984" t="str">
            <v>12-01-170</v>
          </cell>
          <cell r="B984" t="str">
            <v>au10260</v>
          </cell>
          <cell r="C984" t="str">
            <v>Aux MO oficial carpintero</v>
          </cell>
          <cell r="D984">
            <v>8</v>
          </cell>
          <cell r="E984" t="str">
            <v>hr</v>
          </cell>
          <cell r="F984">
            <v>12901.168</v>
          </cell>
          <cell r="G984">
            <v>103210</v>
          </cell>
          <cell r="M984" t="str">
            <v>mo</v>
          </cell>
        </row>
        <row r="985">
          <cell r="A985" t="str">
            <v>12-01-170</v>
          </cell>
          <cell r="B985" t="str">
            <v>au10000</v>
          </cell>
          <cell r="C985" t="str">
            <v>Aux MO ayudante</v>
          </cell>
          <cell r="D985">
            <v>8</v>
          </cell>
          <cell r="E985" t="str">
            <v>hr</v>
          </cell>
          <cell r="F985">
            <v>5080</v>
          </cell>
          <cell r="G985">
            <v>40640</v>
          </cell>
          <cell r="M985" t="str">
            <v>mo</v>
          </cell>
        </row>
        <row r="986">
          <cell r="A986" t="str">
            <v>12-01-170</v>
          </cell>
          <cell r="B986" t="str">
            <v>TP500020</v>
          </cell>
          <cell r="C986" t="str">
            <v>Transporte puertas y ventanas</v>
          </cell>
          <cell r="D986">
            <v>4.4999999999999998E-2</v>
          </cell>
          <cell r="E986" t="str">
            <v>m2</v>
          </cell>
          <cell r="F986">
            <v>50800</v>
          </cell>
          <cell r="G986">
            <v>2286</v>
          </cell>
          <cell r="M986" t="str">
            <v>TP</v>
          </cell>
        </row>
        <row r="987">
          <cell r="A987" t="str">
            <v>12-01-170</v>
          </cell>
          <cell r="B987" t="str">
            <v>sc97420</v>
          </cell>
          <cell r="C987" t="str">
            <v>Subcontrato instalacion puertas y ventanas + AIU</v>
          </cell>
          <cell r="D987">
            <v>4.4999999999999998E-2</v>
          </cell>
          <cell r="E987" t="str">
            <v>m2</v>
          </cell>
          <cell r="F987">
            <v>544068</v>
          </cell>
          <cell r="G987">
            <v>24484</v>
          </cell>
          <cell r="M987" t="str">
            <v>sc</v>
          </cell>
        </row>
        <row r="988">
          <cell r="A988" t="str">
            <v>12-01-170</v>
          </cell>
          <cell r="B988" t="str">
            <v>mt13900</v>
          </cell>
          <cell r="C988" t="str">
            <v>Elementos de consumo y protección</v>
          </cell>
          <cell r="D988">
            <v>143850</v>
          </cell>
          <cell r="E988" t="str">
            <v>%</v>
          </cell>
          <cell r="F988">
            <v>1.2455000000000001E-2</v>
          </cell>
          <cell r="G988">
            <v>1792</v>
          </cell>
          <cell r="M988" t="str">
            <v>mt</v>
          </cell>
        </row>
        <row r="989">
          <cell r="A989" t="str">
            <v>12-01-170</v>
          </cell>
          <cell r="B989" t="str">
            <v>hm15100</v>
          </cell>
          <cell r="C989" t="str">
            <v>Herramienta y equipo menor</v>
          </cell>
          <cell r="D989">
            <v>143850</v>
          </cell>
          <cell r="E989" t="str">
            <v>%</v>
          </cell>
          <cell r="F989">
            <v>0.03</v>
          </cell>
          <cell r="G989">
            <v>4316</v>
          </cell>
          <cell r="M989" t="str">
            <v>hm</v>
          </cell>
        </row>
        <row r="990">
          <cell r="A990">
            <v>0</v>
          </cell>
          <cell r="C990" t="str">
            <v>DIRECTO:  268,138 / UN</v>
          </cell>
          <cell r="D990">
            <v>0</v>
          </cell>
          <cell r="E990">
            <v>0</v>
          </cell>
          <cell r="F990">
            <v>0</v>
          </cell>
          <cell r="G990">
            <v>0</v>
          </cell>
          <cell r="M990">
            <v>0</v>
          </cell>
        </row>
        <row r="991">
          <cell r="A991">
            <v>0</v>
          </cell>
          <cell r="C991">
            <v>0</v>
          </cell>
          <cell r="E991">
            <v>0</v>
          </cell>
          <cell r="F991">
            <v>0</v>
          </cell>
          <cell r="G991">
            <v>0</v>
          </cell>
          <cell r="M991">
            <v>0</v>
          </cell>
        </row>
        <row r="992">
          <cell r="A992" t="str">
            <v>12-01-180</v>
          </cell>
          <cell r="B992" t="str">
            <v>12-01-180</v>
          </cell>
          <cell r="C992" t="str">
            <v>VENTANA V18 (1.57x2.13). MARCO EN MADERA + VIDRIO TEMPLADO TRANSLUCIDO. INCLUYE ACABADO FINAL</v>
          </cell>
          <cell r="D992">
            <v>1</v>
          </cell>
          <cell r="E992" t="str">
            <v>UN</v>
          </cell>
          <cell r="F992">
            <v>0</v>
          </cell>
          <cell r="G992">
            <v>1383039</v>
          </cell>
          <cell r="M992" t="e">
            <v>#N/A</v>
          </cell>
        </row>
        <row r="993">
          <cell r="A993" t="str">
            <v>12-01-180</v>
          </cell>
          <cell r="B993" t="str">
            <v>mt571000</v>
          </cell>
          <cell r="C993" t="str">
            <v>Madera cedro</v>
          </cell>
          <cell r="D993">
            <v>0.11914000000000004</v>
          </cell>
          <cell r="E993" t="str">
            <v>m3</v>
          </cell>
          <cell r="F993">
            <v>2641600</v>
          </cell>
          <cell r="G993">
            <v>314721</v>
          </cell>
          <cell r="M993" t="str">
            <v>mt</v>
          </cell>
        </row>
        <row r="994">
          <cell r="A994" t="str">
            <v>12-01-180</v>
          </cell>
          <cell r="B994" t="str">
            <v>mt18620</v>
          </cell>
          <cell r="C994" t="str">
            <v>Barniz para puertas y ventanas en madera</v>
          </cell>
          <cell r="D994">
            <v>0.5</v>
          </cell>
          <cell r="E994" t="str">
            <v>gl</v>
          </cell>
          <cell r="F994">
            <v>40538.400000000001</v>
          </cell>
          <cell r="G994">
            <v>20270</v>
          </cell>
          <cell r="M994" t="str">
            <v>mt</v>
          </cell>
        </row>
        <row r="995">
          <cell r="A995" t="str">
            <v>12-01-180</v>
          </cell>
          <cell r="B995" t="str">
            <v>mt539100</v>
          </cell>
          <cell r="C995" t="str">
            <v>Vidrio templado translucido 5mm</v>
          </cell>
          <cell r="D995">
            <v>3.3441000000000001</v>
          </cell>
          <cell r="E995" t="str">
            <v>m2</v>
          </cell>
          <cell r="F995">
            <v>92846.399999999994</v>
          </cell>
          <cell r="G995">
            <v>310488</v>
          </cell>
          <cell r="M995" t="str">
            <v>mt</v>
          </cell>
        </row>
        <row r="996">
          <cell r="A996" t="str">
            <v>12-01-180</v>
          </cell>
          <cell r="B996" t="str">
            <v>au10260</v>
          </cell>
          <cell r="C996" t="str">
            <v>Aux MO oficial carpintero</v>
          </cell>
          <cell r="D996">
            <v>16</v>
          </cell>
          <cell r="E996" t="str">
            <v>hr</v>
          </cell>
          <cell r="F996">
            <v>12901.168</v>
          </cell>
          <cell r="G996">
            <v>206419</v>
          </cell>
          <cell r="M996" t="str">
            <v>mo</v>
          </cell>
        </row>
        <row r="997">
          <cell r="A997" t="str">
            <v>12-01-180</v>
          </cell>
          <cell r="B997" t="str">
            <v>au10000</v>
          </cell>
          <cell r="C997" t="str">
            <v>Aux MO ayudante</v>
          </cell>
          <cell r="D997">
            <v>16</v>
          </cell>
          <cell r="E997" t="str">
            <v>hr</v>
          </cell>
          <cell r="F997">
            <v>5080</v>
          </cell>
          <cell r="G997">
            <v>81280</v>
          </cell>
          <cell r="M997" t="str">
            <v>mo</v>
          </cell>
        </row>
        <row r="998">
          <cell r="A998" t="str">
            <v>12-01-180</v>
          </cell>
          <cell r="B998" t="str">
            <v>TP500020</v>
          </cell>
          <cell r="C998" t="str">
            <v>Transporte puertas y ventanas</v>
          </cell>
          <cell r="D998">
            <v>0.73570199999999997</v>
          </cell>
          <cell r="E998" t="str">
            <v>m2</v>
          </cell>
          <cell r="F998">
            <v>50800</v>
          </cell>
          <cell r="G998">
            <v>37374</v>
          </cell>
          <cell r="M998" t="str">
            <v>TP</v>
          </cell>
        </row>
        <row r="999">
          <cell r="A999" t="str">
            <v>12-01-180</v>
          </cell>
          <cell r="B999" t="str">
            <v>sc97420</v>
          </cell>
          <cell r="C999" t="str">
            <v>Subcontrato instalacion puertas y ventanas + AIU</v>
          </cell>
          <cell r="D999">
            <v>0.73570199999999997</v>
          </cell>
          <cell r="E999" t="str">
            <v>m2</v>
          </cell>
          <cell r="F999">
            <v>544068</v>
          </cell>
          <cell r="G999">
            <v>400272</v>
          </cell>
          <cell r="M999" t="str">
            <v>sc</v>
          </cell>
        </row>
        <row r="1000">
          <cell r="A1000" t="str">
            <v>12-01-180</v>
          </cell>
          <cell r="B1000" t="str">
            <v>mt13900</v>
          </cell>
          <cell r="C1000" t="str">
            <v>Elementos de consumo y protección</v>
          </cell>
          <cell r="D1000">
            <v>287699</v>
          </cell>
          <cell r="E1000" t="str">
            <v>%</v>
          </cell>
          <cell r="F1000">
            <v>1.2455000000000001E-2</v>
          </cell>
          <cell r="G1000">
            <v>3584</v>
          </cell>
          <cell r="M1000" t="str">
            <v>mt</v>
          </cell>
        </row>
        <row r="1001">
          <cell r="A1001" t="str">
            <v>12-01-180</v>
          </cell>
          <cell r="B1001" t="str">
            <v>hm15100</v>
          </cell>
          <cell r="C1001" t="str">
            <v>Herramienta y equipo menor</v>
          </cell>
          <cell r="D1001">
            <v>287699</v>
          </cell>
          <cell r="E1001" t="str">
            <v>%</v>
          </cell>
          <cell r="F1001">
            <v>0.03</v>
          </cell>
          <cell r="G1001">
            <v>8631</v>
          </cell>
          <cell r="M1001" t="str">
            <v>hm</v>
          </cell>
        </row>
        <row r="1002">
          <cell r="A1002">
            <v>0</v>
          </cell>
          <cell r="C1002" t="str">
            <v>DIRECTO:  1,383,039 / UN</v>
          </cell>
          <cell r="D1002">
            <v>0</v>
          </cell>
          <cell r="E1002">
            <v>0</v>
          </cell>
          <cell r="F1002">
            <v>0</v>
          </cell>
          <cell r="G1002">
            <v>0</v>
          </cell>
          <cell r="M1002">
            <v>0</v>
          </cell>
        </row>
        <row r="1003">
          <cell r="A1003">
            <v>0</v>
          </cell>
          <cell r="C1003">
            <v>0</v>
          </cell>
          <cell r="E1003">
            <v>0</v>
          </cell>
          <cell r="F1003">
            <v>0</v>
          </cell>
          <cell r="G1003">
            <v>0</v>
          </cell>
          <cell r="M1003">
            <v>0</v>
          </cell>
        </row>
        <row r="1004">
          <cell r="A1004" t="str">
            <v>12-01-190</v>
          </cell>
          <cell r="B1004" t="str">
            <v>12-01-190</v>
          </cell>
          <cell r="C1004" t="str">
            <v>VENTANA V19 (1.45x2.73). MARCO EN MADERA + VIDRIO TEMPLADO TRANSLUCIDO. INCLUYE ACABADO FINAL</v>
          </cell>
          <cell r="D1004">
            <v>1</v>
          </cell>
          <cell r="E1004" t="str">
            <v>UN</v>
          </cell>
          <cell r="F1004">
            <v>0</v>
          </cell>
          <cell r="G1004">
            <v>1702607</v>
          </cell>
          <cell r="M1004" t="e">
            <v>#N/A</v>
          </cell>
        </row>
        <row r="1005">
          <cell r="A1005" t="str">
            <v>12-01-190</v>
          </cell>
          <cell r="B1005" t="str">
            <v>mt571000</v>
          </cell>
          <cell r="C1005" t="str">
            <v>Madera cedro</v>
          </cell>
          <cell r="D1005">
            <v>0.13459600000000002</v>
          </cell>
          <cell r="E1005" t="str">
            <v>m3</v>
          </cell>
          <cell r="F1005">
            <v>2641600</v>
          </cell>
          <cell r="G1005">
            <v>355549</v>
          </cell>
          <cell r="M1005" t="str">
            <v>mt</v>
          </cell>
        </row>
        <row r="1006">
          <cell r="A1006" t="str">
            <v>12-01-190</v>
          </cell>
          <cell r="B1006" t="str">
            <v>mt18620</v>
          </cell>
          <cell r="C1006" t="str">
            <v>Barniz para puertas y ventanas en madera</v>
          </cell>
          <cell r="D1006">
            <v>0.5</v>
          </cell>
          <cell r="E1006" t="str">
            <v>gl</v>
          </cell>
          <cell r="F1006">
            <v>40538.400000000001</v>
          </cell>
          <cell r="G1006">
            <v>20270</v>
          </cell>
          <cell r="M1006" t="str">
            <v>mt</v>
          </cell>
        </row>
        <row r="1007">
          <cell r="A1007" t="str">
            <v>12-01-190</v>
          </cell>
          <cell r="B1007" t="str">
            <v>mt539100</v>
          </cell>
          <cell r="C1007" t="str">
            <v>Vidrio templado translucido 5mm</v>
          </cell>
          <cell r="D1007">
            <v>3.9584999999999999</v>
          </cell>
          <cell r="E1007" t="str">
            <v>m2</v>
          </cell>
          <cell r="F1007">
            <v>92846.399999999994</v>
          </cell>
          <cell r="G1007">
            <v>367533</v>
          </cell>
          <cell r="M1007" t="str">
            <v>mt</v>
          </cell>
        </row>
        <row r="1008">
          <cell r="A1008" t="str">
            <v>12-01-190</v>
          </cell>
          <cell r="B1008" t="str">
            <v>au10260</v>
          </cell>
          <cell r="C1008" t="str">
            <v>Aux MO oficial carpintero</v>
          </cell>
          <cell r="D1008">
            <v>16</v>
          </cell>
          <cell r="E1008" t="str">
            <v>hr</v>
          </cell>
          <cell r="F1008">
            <v>12901.168</v>
          </cell>
          <cell r="G1008">
            <v>206419</v>
          </cell>
          <cell r="M1008" t="str">
            <v>mo</v>
          </cell>
        </row>
        <row r="1009">
          <cell r="A1009" t="str">
            <v>12-01-190</v>
          </cell>
          <cell r="B1009" t="str">
            <v>au10000</v>
          </cell>
          <cell r="C1009" t="str">
            <v>Aux MO ayudante</v>
          </cell>
          <cell r="D1009">
            <v>16</v>
          </cell>
          <cell r="E1009" t="str">
            <v>hr</v>
          </cell>
          <cell r="F1009">
            <v>5080</v>
          </cell>
          <cell r="G1009">
            <v>81280</v>
          </cell>
          <cell r="M1009" t="str">
            <v>mo</v>
          </cell>
        </row>
        <row r="1010">
          <cell r="A1010" t="str">
            <v>12-01-190</v>
          </cell>
          <cell r="B1010" t="str">
            <v>TP500020</v>
          </cell>
          <cell r="C1010" t="str">
            <v>Transporte puertas y ventanas</v>
          </cell>
          <cell r="D1010">
            <v>1.1083800000000001</v>
          </cell>
          <cell r="E1010" t="str">
            <v>m2</v>
          </cell>
          <cell r="F1010">
            <v>50800</v>
          </cell>
          <cell r="G1010">
            <v>56306</v>
          </cell>
          <cell r="M1010" t="str">
            <v>TP</v>
          </cell>
        </row>
        <row r="1011">
          <cell r="A1011" t="str">
            <v>12-01-190</v>
          </cell>
          <cell r="B1011" t="str">
            <v>sc97420</v>
          </cell>
          <cell r="C1011" t="str">
            <v>Subcontrato instalacion puertas y ventanas + AIU</v>
          </cell>
          <cell r="D1011">
            <v>1.1083800000000001</v>
          </cell>
          <cell r="E1011" t="str">
            <v>m2</v>
          </cell>
          <cell r="F1011">
            <v>544068</v>
          </cell>
          <cell r="G1011">
            <v>603035</v>
          </cell>
          <cell r="M1011" t="str">
            <v>sc</v>
          </cell>
        </row>
        <row r="1012">
          <cell r="A1012" t="str">
            <v>12-01-190</v>
          </cell>
          <cell r="B1012" t="str">
            <v>mt13900</v>
          </cell>
          <cell r="C1012" t="str">
            <v>Elementos de consumo y protección</v>
          </cell>
          <cell r="D1012">
            <v>287699</v>
          </cell>
          <cell r="E1012" t="str">
            <v>%</v>
          </cell>
          <cell r="F1012">
            <v>1.2455000000000001E-2</v>
          </cell>
          <cell r="G1012">
            <v>3584</v>
          </cell>
          <cell r="M1012" t="str">
            <v>mt</v>
          </cell>
        </row>
        <row r="1013">
          <cell r="A1013" t="str">
            <v>12-01-190</v>
          </cell>
          <cell r="B1013" t="str">
            <v>hm15100</v>
          </cell>
          <cell r="C1013" t="str">
            <v>Herramienta y equipo menor</v>
          </cell>
          <cell r="D1013">
            <v>287699</v>
          </cell>
          <cell r="E1013" t="str">
            <v>%</v>
          </cell>
          <cell r="F1013">
            <v>0.03</v>
          </cell>
          <cell r="G1013">
            <v>8631</v>
          </cell>
          <cell r="M1013" t="str">
            <v>hm</v>
          </cell>
        </row>
        <row r="1014">
          <cell r="A1014">
            <v>0</v>
          </cell>
          <cell r="C1014" t="str">
            <v>DIRECTO:  1,702,607 / UN</v>
          </cell>
          <cell r="D1014">
            <v>0</v>
          </cell>
          <cell r="E1014">
            <v>0</v>
          </cell>
          <cell r="F1014">
            <v>0</v>
          </cell>
          <cell r="G1014">
            <v>0</v>
          </cell>
          <cell r="M1014">
            <v>0</v>
          </cell>
        </row>
        <row r="1015">
          <cell r="A1015">
            <v>0</v>
          </cell>
          <cell r="C1015">
            <v>0</v>
          </cell>
          <cell r="E1015">
            <v>0</v>
          </cell>
          <cell r="F1015">
            <v>0</v>
          </cell>
          <cell r="G1015">
            <v>0</v>
          </cell>
          <cell r="M1015">
            <v>0</v>
          </cell>
        </row>
        <row r="1016">
          <cell r="A1016" t="str">
            <v>12-01-200</v>
          </cell>
          <cell r="B1016" t="str">
            <v>12-01-200</v>
          </cell>
          <cell r="C1016" t="str">
            <v>VENTANA V20 (2.96x2.73). MARCO EN MADERA + VIDRIO TEMPLADO TRANSLUCIDO. INCLUYE ACABADO FINAL</v>
          </cell>
          <cell r="D1016">
            <v>1</v>
          </cell>
          <cell r="E1016" t="str">
            <v>UN</v>
          </cell>
          <cell r="F1016">
            <v>0</v>
          </cell>
          <cell r="G1016">
            <v>2812404</v>
          </cell>
          <cell r="M1016" t="e">
            <v>#N/A</v>
          </cell>
        </row>
        <row r="1017">
          <cell r="A1017" t="str">
            <v>12-01-200</v>
          </cell>
          <cell r="B1017" t="str">
            <v>mt571000</v>
          </cell>
          <cell r="C1017" t="str">
            <v>Madera cedro</v>
          </cell>
          <cell r="D1017">
            <v>0.27112400000000003</v>
          </cell>
          <cell r="E1017" t="str">
            <v>m3</v>
          </cell>
          <cell r="F1017">
            <v>2641600</v>
          </cell>
          <cell r="G1017">
            <v>716202</v>
          </cell>
          <cell r="M1017" t="str">
            <v>mt</v>
          </cell>
        </row>
        <row r="1018">
          <cell r="A1018" t="str">
            <v>12-01-200</v>
          </cell>
          <cell r="B1018" t="str">
            <v>mt18620</v>
          </cell>
          <cell r="C1018" t="str">
            <v>Barniz para puertas y ventanas en madera</v>
          </cell>
          <cell r="D1018">
            <v>0.7</v>
          </cell>
          <cell r="E1018" t="str">
            <v>gl</v>
          </cell>
          <cell r="F1018">
            <v>40538.400000000001</v>
          </cell>
          <cell r="G1018">
            <v>28377</v>
          </cell>
          <cell r="M1018" t="str">
            <v>mt</v>
          </cell>
        </row>
        <row r="1019">
          <cell r="A1019" t="str">
            <v>12-01-200</v>
          </cell>
          <cell r="B1019" t="str">
            <v>mt539100</v>
          </cell>
          <cell r="C1019" t="str">
            <v>Vidrio templado translucido 5mm</v>
          </cell>
          <cell r="D1019">
            <v>8.0808</v>
          </cell>
          <cell r="E1019" t="str">
            <v>m2</v>
          </cell>
          <cell r="F1019">
            <v>92846.399999999994</v>
          </cell>
          <cell r="G1019">
            <v>750274</v>
          </cell>
          <cell r="M1019" t="str">
            <v>mt</v>
          </cell>
        </row>
        <row r="1020">
          <cell r="A1020" t="str">
            <v>12-01-200</v>
          </cell>
          <cell r="B1020" t="str">
            <v>au10260</v>
          </cell>
          <cell r="C1020" t="str">
            <v>Aux MO oficial carpintero</v>
          </cell>
          <cell r="D1020">
            <v>19</v>
          </cell>
          <cell r="E1020" t="str">
            <v>hr</v>
          </cell>
          <cell r="F1020">
            <v>12901.168</v>
          </cell>
          <cell r="G1020">
            <v>245123</v>
          </cell>
          <cell r="M1020" t="str">
            <v>mo</v>
          </cell>
        </row>
        <row r="1021">
          <cell r="A1021" t="str">
            <v>12-01-200</v>
          </cell>
          <cell r="B1021" t="str">
            <v>au10000</v>
          </cell>
          <cell r="C1021" t="str">
            <v>Aux MO ayudante</v>
          </cell>
          <cell r="D1021">
            <v>19</v>
          </cell>
          <cell r="E1021" t="str">
            <v>hr</v>
          </cell>
          <cell r="F1021">
            <v>5080</v>
          </cell>
          <cell r="G1021">
            <v>96520</v>
          </cell>
          <cell r="M1021" t="str">
            <v>mo</v>
          </cell>
        </row>
        <row r="1022">
          <cell r="A1022" t="str">
            <v>12-01-200</v>
          </cell>
          <cell r="B1022" t="str">
            <v>TP500020</v>
          </cell>
          <cell r="C1022" t="str">
            <v>Transporte puertas y ventanas</v>
          </cell>
          <cell r="D1022">
            <v>1.61616</v>
          </cell>
          <cell r="E1022" t="str">
            <v>m2</v>
          </cell>
          <cell r="F1022">
            <v>50800</v>
          </cell>
          <cell r="G1022">
            <v>82101</v>
          </cell>
          <cell r="M1022" t="str">
            <v>TP</v>
          </cell>
        </row>
        <row r="1023">
          <cell r="A1023" t="str">
            <v>12-01-200</v>
          </cell>
          <cell r="B1023" t="str">
            <v>sc97420</v>
          </cell>
          <cell r="C1023" t="str">
            <v>Subcontrato instalacion puertas y ventanas + AIU</v>
          </cell>
          <cell r="D1023">
            <v>1.61616</v>
          </cell>
          <cell r="E1023" t="str">
            <v>m2</v>
          </cell>
          <cell r="F1023">
            <v>544068</v>
          </cell>
          <cell r="G1023">
            <v>879301</v>
          </cell>
          <cell r="M1023" t="str">
            <v>sc</v>
          </cell>
        </row>
        <row r="1024">
          <cell r="A1024" t="str">
            <v>12-01-200</v>
          </cell>
          <cell r="B1024" t="str">
            <v>mt13900</v>
          </cell>
          <cell r="C1024" t="str">
            <v>Elementos de consumo y protección</v>
          </cell>
          <cell r="D1024">
            <v>341643</v>
          </cell>
          <cell r="E1024" t="str">
            <v>%</v>
          </cell>
          <cell r="F1024">
            <v>1.2455000000000001E-2</v>
          </cell>
          <cell r="G1024">
            <v>4256</v>
          </cell>
          <cell r="M1024" t="str">
            <v>mt</v>
          </cell>
        </row>
        <row r="1025">
          <cell r="A1025" t="str">
            <v>12-01-200</v>
          </cell>
          <cell r="B1025" t="str">
            <v>hm15100</v>
          </cell>
          <cell r="C1025" t="str">
            <v>Herramienta y equipo menor</v>
          </cell>
          <cell r="D1025">
            <v>341643</v>
          </cell>
          <cell r="E1025" t="str">
            <v>%</v>
          </cell>
          <cell r="F1025">
            <v>0.03</v>
          </cell>
          <cell r="G1025">
            <v>10250</v>
          </cell>
          <cell r="M1025" t="str">
            <v>hm</v>
          </cell>
        </row>
        <row r="1026">
          <cell r="A1026">
            <v>0</v>
          </cell>
          <cell r="C1026" t="str">
            <v>DIRECTO:  2,812,404 / UN</v>
          </cell>
          <cell r="D1026">
            <v>0</v>
          </cell>
          <cell r="E1026">
            <v>0</v>
          </cell>
          <cell r="F1026">
            <v>0</v>
          </cell>
          <cell r="G1026">
            <v>0</v>
          </cell>
          <cell r="M1026">
            <v>0</v>
          </cell>
        </row>
        <row r="1027">
          <cell r="A1027">
            <v>0</v>
          </cell>
          <cell r="C1027">
            <v>0</v>
          </cell>
          <cell r="E1027">
            <v>0</v>
          </cell>
          <cell r="F1027">
            <v>0</v>
          </cell>
          <cell r="G1027">
            <v>0</v>
          </cell>
          <cell r="M1027">
            <v>0</v>
          </cell>
        </row>
        <row r="1028">
          <cell r="A1028" t="str">
            <v>12-01-210</v>
          </cell>
          <cell r="B1028" t="str">
            <v>12-01-210</v>
          </cell>
          <cell r="C1028" t="str">
            <v>VENTANA V21 (4.68x2.73). MARCO EN MADERA + VIDRIO TEMPLADO TRANSLUCIDO. INCLUYE ACABADO FINAL</v>
          </cell>
          <cell r="D1028">
            <v>1</v>
          </cell>
          <cell r="E1028" t="str">
            <v>UN</v>
          </cell>
          <cell r="F1028">
            <v>0</v>
          </cell>
          <cell r="G1028">
            <v>4439226</v>
          </cell>
          <cell r="M1028" t="e">
            <v>#N/A</v>
          </cell>
        </row>
        <row r="1029">
          <cell r="A1029" t="str">
            <v>12-01-210</v>
          </cell>
          <cell r="B1029" t="str">
            <v>mt571000</v>
          </cell>
          <cell r="C1029" t="str">
            <v>Madera cedro</v>
          </cell>
          <cell r="D1029">
            <v>0.32650800000000008</v>
          </cell>
          <cell r="E1029" t="str">
            <v>m3</v>
          </cell>
          <cell r="F1029">
            <v>2641600</v>
          </cell>
          <cell r="G1029">
            <v>862504</v>
          </cell>
          <cell r="M1029" t="str">
            <v>mt</v>
          </cell>
        </row>
        <row r="1030">
          <cell r="A1030" t="str">
            <v>12-01-210</v>
          </cell>
          <cell r="B1030" t="str">
            <v>mt18620</v>
          </cell>
          <cell r="C1030" t="str">
            <v>Barniz para puertas y ventanas en madera</v>
          </cell>
          <cell r="D1030">
            <v>1</v>
          </cell>
          <cell r="E1030" t="str">
            <v>gl</v>
          </cell>
          <cell r="F1030">
            <v>40538.400000000001</v>
          </cell>
          <cell r="G1030">
            <v>40539</v>
          </cell>
          <cell r="M1030" t="str">
            <v>mt</v>
          </cell>
        </row>
        <row r="1031">
          <cell r="A1031" t="str">
            <v>12-01-210</v>
          </cell>
          <cell r="B1031" t="str">
            <v>mt539100</v>
          </cell>
          <cell r="C1031" t="str">
            <v>Vidrio templado translucido 5mm</v>
          </cell>
          <cell r="D1031">
            <v>12.776399999999999</v>
          </cell>
          <cell r="E1031" t="str">
            <v>m2</v>
          </cell>
          <cell r="F1031">
            <v>92846.399999999994</v>
          </cell>
          <cell r="G1031">
            <v>1186243</v>
          </cell>
          <cell r="M1031" t="str">
            <v>mt</v>
          </cell>
        </row>
        <row r="1032">
          <cell r="A1032" t="str">
            <v>12-01-210</v>
          </cell>
          <cell r="B1032" t="str">
            <v>au10260</v>
          </cell>
          <cell r="C1032" t="str">
            <v>Aux MO oficial carpintero</v>
          </cell>
          <cell r="D1032">
            <v>24</v>
          </cell>
          <cell r="E1032" t="str">
            <v>hr</v>
          </cell>
          <cell r="F1032">
            <v>12901.168</v>
          </cell>
          <cell r="G1032">
            <v>309629</v>
          </cell>
          <cell r="M1032" t="str">
            <v>mo</v>
          </cell>
        </row>
        <row r="1033">
          <cell r="A1033" t="str">
            <v>12-01-210</v>
          </cell>
          <cell r="B1033" t="str">
            <v>au10000</v>
          </cell>
          <cell r="C1033" t="str">
            <v>Aux MO ayudante</v>
          </cell>
          <cell r="D1033">
            <v>24</v>
          </cell>
          <cell r="E1033" t="str">
            <v>hr</v>
          </cell>
          <cell r="F1033">
            <v>5080</v>
          </cell>
          <cell r="G1033">
            <v>121920</v>
          </cell>
          <cell r="M1033" t="str">
            <v>mo</v>
          </cell>
        </row>
        <row r="1034">
          <cell r="A1034" t="str">
            <v>12-01-210</v>
          </cell>
          <cell r="B1034" t="str">
            <v>TP500020</v>
          </cell>
          <cell r="C1034" t="str">
            <v>Transporte puertas y ventanas</v>
          </cell>
          <cell r="D1034">
            <v>3.1940999999999997</v>
          </cell>
          <cell r="E1034" t="str">
            <v>m2</v>
          </cell>
          <cell r="F1034">
            <v>50800</v>
          </cell>
          <cell r="G1034">
            <v>162261</v>
          </cell>
          <cell r="M1034" t="str">
            <v>TP</v>
          </cell>
        </row>
        <row r="1035">
          <cell r="A1035" t="str">
            <v>12-01-210</v>
          </cell>
          <cell r="B1035" t="str">
            <v>sc97420</v>
          </cell>
          <cell r="C1035" t="str">
            <v>Subcontrato instalacion puertas y ventanas + AIU</v>
          </cell>
          <cell r="D1035">
            <v>3.1940999999999997</v>
          </cell>
          <cell r="E1035" t="str">
            <v>m2</v>
          </cell>
          <cell r="F1035">
            <v>544068</v>
          </cell>
          <cell r="G1035">
            <v>1737808</v>
          </cell>
          <cell r="M1035" t="str">
            <v>sc</v>
          </cell>
        </row>
        <row r="1036">
          <cell r="A1036" t="str">
            <v>12-01-210</v>
          </cell>
          <cell r="B1036" t="str">
            <v>mt13900</v>
          </cell>
          <cell r="C1036" t="str">
            <v>Elementos de consumo y protección</v>
          </cell>
          <cell r="D1036">
            <v>431549</v>
          </cell>
          <cell r="E1036" t="str">
            <v>%</v>
          </cell>
          <cell r="F1036">
            <v>1.2455000000000001E-2</v>
          </cell>
          <cell r="G1036">
            <v>5375</v>
          </cell>
          <cell r="M1036" t="str">
            <v>mt</v>
          </cell>
        </row>
        <row r="1037">
          <cell r="A1037" t="str">
            <v>12-01-210</v>
          </cell>
          <cell r="B1037" t="str">
            <v>hm15100</v>
          </cell>
          <cell r="C1037" t="str">
            <v>Herramienta y equipo menor</v>
          </cell>
          <cell r="D1037">
            <v>431549</v>
          </cell>
          <cell r="E1037" t="str">
            <v>%</v>
          </cell>
          <cell r="F1037">
            <v>0.03</v>
          </cell>
          <cell r="G1037">
            <v>12947</v>
          </cell>
          <cell r="M1037" t="str">
            <v>hm</v>
          </cell>
        </row>
        <row r="1038">
          <cell r="A1038">
            <v>0</v>
          </cell>
          <cell r="C1038" t="str">
            <v>DIRECTO:  4,439,226 / UN</v>
          </cell>
          <cell r="D1038">
            <v>0</v>
          </cell>
          <cell r="E1038">
            <v>0</v>
          </cell>
          <cell r="F1038">
            <v>0</v>
          </cell>
          <cell r="G1038">
            <v>0</v>
          </cell>
          <cell r="M1038">
            <v>0</v>
          </cell>
        </row>
        <row r="1039">
          <cell r="A1039">
            <v>0</v>
          </cell>
          <cell r="C1039">
            <v>0</v>
          </cell>
          <cell r="E1039">
            <v>0</v>
          </cell>
          <cell r="F1039">
            <v>0</v>
          </cell>
          <cell r="G1039">
            <v>0</v>
          </cell>
          <cell r="M1039">
            <v>0</v>
          </cell>
        </row>
        <row r="1040">
          <cell r="A1040" t="str">
            <v>12-01-220</v>
          </cell>
          <cell r="B1040" t="str">
            <v>12-01-220</v>
          </cell>
          <cell r="C1040" t="str">
            <v>VENTANA V22 (0.60x2.73). MARCO EN MADERA + VIDRIO TEMPLADO TRANSLUCIDO. INCLUYE ACABADO FINAL</v>
          </cell>
          <cell r="D1040">
            <v>2</v>
          </cell>
          <cell r="E1040" t="str">
            <v>UN</v>
          </cell>
          <cell r="F1040">
            <v>0</v>
          </cell>
          <cell r="G1040">
            <v>703001</v>
          </cell>
          <cell r="M1040" t="e">
            <v>#N/A</v>
          </cell>
        </row>
        <row r="1041">
          <cell r="A1041" t="str">
            <v>12-01-220</v>
          </cell>
          <cell r="B1041" t="str">
            <v>mt571000</v>
          </cell>
          <cell r="C1041" t="str">
            <v>Madera cedro</v>
          </cell>
          <cell r="D1041">
            <v>0.10722600000000002</v>
          </cell>
          <cell r="E1041" t="str">
            <v>m3</v>
          </cell>
          <cell r="F1041">
            <v>2641600</v>
          </cell>
          <cell r="G1041">
            <v>283249</v>
          </cell>
          <cell r="M1041" t="str">
            <v>mt</v>
          </cell>
        </row>
        <row r="1042">
          <cell r="A1042" t="str">
            <v>12-01-220</v>
          </cell>
          <cell r="B1042" t="str">
            <v>mt18620</v>
          </cell>
          <cell r="C1042" t="str">
            <v>Barniz para puertas y ventanas en madera</v>
          </cell>
          <cell r="D1042">
            <v>0.5</v>
          </cell>
          <cell r="E1042" t="str">
            <v>gl</v>
          </cell>
          <cell r="F1042">
            <v>40538.400000000001</v>
          </cell>
          <cell r="G1042">
            <v>20270</v>
          </cell>
          <cell r="M1042" t="str">
            <v>mt</v>
          </cell>
        </row>
        <row r="1043">
          <cell r="A1043" t="str">
            <v>12-01-220</v>
          </cell>
          <cell r="B1043" t="str">
            <v>mt539100</v>
          </cell>
          <cell r="C1043" t="str">
            <v>Vidrio templado translucido 5mm</v>
          </cell>
          <cell r="D1043">
            <v>1.6379999999999999</v>
          </cell>
          <cell r="E1043" t="str">
            <v>m2</v>
          </cell>
          <cell r="F1043">
            <v>92846.399999999994</v>
          </cell>
          <cell r="G1043">
            <v>152083</v>
          </cell>
          <cell r="M1043" t="str">
            <v>mt</v>
          </cell>
        </row>
        <row r="1044">
          <cell r="A1044" t="str">
            <v>12-01-220</v>
          </cell>
          <cell r="B1044" t="str">
            <v>au10260</v>
          </cell>
          <cell r="C1044" t="str">
            <v>Aux MO oficial carpintero</v>
          </cell>
          <cell r="D1044">
            <v>8</v>
          </cell>
          <cell r="E1044" t="str">
            <v>hr</v>
          </cell>
          <cell r="F1044">
            <v>12901.168</v>
          </cell>
          <cell r="G1044">
            <v>103210</v>
          </cell>
          <cell r="M1044" t="str">
            <v>mo</v>
          </cell>
        </row>
        <row r="1045">
          <cell r="A1045" t="str">
            <v>12-01-220</v>
          </cell>
          <cell r="B1045" t="str">
            <v>au10000</v>
          </cell>
          <cell r="C1045" t="str">
            <v>Aux MO ayudante</v>
          </cell>
          <cell r="D1045">
            <v>8</v>
          </cell>
          <cell r="E1045" t="str">
            <v>hr</v>
          </cell>
          <cell r="F1045">
            <v>5080</v>
          </cell>
          <cell r="G1045">
            <v>40640</v>
          </cell>
          <cell r="M1045" t="str">
            <v>mo</v>
          </cell>
        </row>
        <row r="1046">
          <cell r="A1046" t="str">
            <v>12-01-220</v>
          </cell>
          <cell r="B1046" t="str">
            <v>TP500020</v>
          </cell>
          <cell r="C1046" t="str">
            <v>Transporte puertas y ventanas</v>
          </cell>
          <cell r="D1046">
            <v>0.1638</v>
          </cell>
          <cell r="E1046" t="str">
            <v>m2</v>
          </cell>
          <cell r="F1046">
            <v>50800</v>
          </cell>
          <cell r="G1046">
            <v>8322</v>
          </cell>
          <cell r="M1046" t="str">
            <v>TP</v>
          </cell>
        </row>
        <row r="1047">
          <cell r="A1047" t="str">
            <v>12-01-220</v>
          </cell>
          <cell r="B1047" t="str">
            <v>sc97420</v>
          </cell>
          <cell r="C1047" t="str">
            <v>Subcontrato instalacion puertas y ventanas + AIU</v>
          </cell>
          <cell r="D1047">
            <v>0.1638</v>
          </cell>
          <cell r="E1047" t="str">
            <v>m2</v>
          </cell>
          <cell r="F1047">
            <v>544068</v>
          </cell>
          <cell r="G1047">
            <v>89119</v>
          </cell>
          <cell r="M1047" t="str">
            <v>sc</v>
          </cell>
        </row>
        <row r="1048">
          <cell r="A1048" t="str">
            <v>12-01-220</v>
          </cell>
          <cell r="B1048" t="str">
            <v>mt13900</v>
          </cell>
          <cell r="C1048" t="str">
            <v>Elementos de consumo y protección</v>
          </cell>
          <cell r="D1048">
            <v>143850</v>
          </cell>
          <cell r="E1048" t="str">
            <v>%</v>
          </cell>
          <cell r="F1048">
            <v>1.2455000000000001E-2</v>
          </cell>
          <cell r="G1048">
            <v>1792</v>
          </cell>
          <cell r="M1048" t="str">
            <v>mt</v>
          </cell>
        </row>
        <row r="1049">
          <cell r="A1049" t="str">
            <v>12-01-220</v>
          </cell>
          <cell r="B1049" t="str">
            <v>hm15100</v>
          </cell>
          <cell r="C1049" t="str">
            <v>Herramienta y equipo menor</v>
          </cell>
          <cell r="D1049">
            <v>143850</v>
          </cell>
          <cell r="E1049" t="str">
            <v>%</v>
          </cell>
          <cell r="F1049">
            <v>0.03</v>
          </cell>
          <cell r="G1049">
            <v>4316</v>
          </cell>
          <cell r="M1049" t="str">
            <v>hm</v>
          </cell>
        </row>
        <row r="1050">
          <cell r="A1050">
            <v>0</v>
          </cell>
          <cell r="C1050" t="str">
            <v>DIRECTO:  703,001 / UN</v>
          </cell>
          <cell r="D1050">
            <v>0</v>
          </cell>
          <cell r="E1050">
            <v>0</v>
          </cell>
          <cell r="F1050">
            <v>0</v>
          </cell>
          <cell r="G1050">
            <v>0</v>
          </cell>
          <cell r="M1050">
            <v>0</v>
          </cell>
        </row>
        <row r="1051">
          <cell r="A1051">
            <v>0</v>
          </cell>
          <cell r="C1051">
            <v>0</v>
          </cell>
          <cell r="E1051">
            <v>0</v>
          </cell>
          <cell r="F1051">
            <v>0</v>
          </cell>
          <cell r="G1051">
            <v>0</v>
          </cell>
          <cell r="M1051">
            <v>0</v>
          </cell>
        </row>
        <row r="1052">
          <cell r="A1052" t="str">
            <v>12-01-230</v>
          </cell>
          <cell r="B1052" t="str">
            <v>12-01-230</v>
          </cell>
          <cell r="C1052" t="str">
            <v>VENTANA V23 (3.17x2.73). MARCO EN MADERA + VIDRIO TEMPLADO TRANSLUCIDO. INCLUYE ACABADO FINAL</v>
          </cell>
          <cell r="D1052">
            <v>1</v>
          </cell>
          <cell r="E1052" t="str">
            <v>UN</v>
          </cell>
          <cell r="F1052">
            <v>0</v>
          </cell>
          <cell r="G1052">
            <v>3024860</v>
          </cell>
          <cell r="M1052" t="e">
            <v>#N/A</v>
          </cell>
        </row>
        <row r="1053">
          <cell r="A1053" t="str">
            <v>12-01-230</v>
          </cell>
          <cell r="B1053" t="str">
            <v>mt571000</v>
          </cell>
          <cell r="C1053" t="str">
            <v>Madera cedro</v>
          </cell>
          <cell r="D1053">
            <v>0.232323</v>
          </cell>
          <cell r="E1053" t="str">
            <v>m3</v>
          </cell>
          <cell r="F1053">
            <v>2641600</v>
          </cell>
          <cell r="G1053">
            <v>613705</v>
          </cell>
          <cell r="M1053" t="str">
            <v>mt</v>
          </cell>
        </row>
        <row r="1054">
          <cell r="A1054" t="str">
            <v>12-01-230</v>
          </cell>
          <cell r="B1054" t="str">
            <v>mt18620</v>
          </cell>
          <cell r="C1054" t="str">
            <v>Barniz para puertas y ventanas en madera</v>
          </cell>
          <cell r="D1054">
            <v>0.7</v>
          </cell>
          <cell r="E1054" t="str">
            <v>gl</v>
          </cell>
          <cell r="F1054">
            <v>40538.400000000001</v>
          </cell>
          <cell r="G1054">
            <v>28377</v>
          </cell>
          <cell r="M1054" t="str">
            <v>mt</v>
          </cell>
        </row>
        <row r="1055">
          <cell r="A1055" t="str">
            <v>12-01-230</v>
          </cell>
          <cell r="B1055" t="str">
            <v>mt539100</v>
          </cell>
          <cell r="C1055" t="str">
            <v>Vidrio templado translucido 5mm</v>
          </cell>
          <cell r="D1055">
            <v>8.5175999999999998</v>
          </cell>
          <cell r="E1055" t="str">
            <v>m2</v>
          </cell>
          <cell r="F1055">
            <v>92846.399999999994</v>
          </cell>
          <cell r="G1055">
            <v>790829</v>
          </cell>
          <cell r="M1055" t="str">
            <v>mt</v>
          </cell>
        </row>
        <row r="1056">
          <cell r="A1056" t="str">
            <v>12-01-230</v>
          </cell>
          <cell r="B1056" t="str">
            <v>au10260</v>
          </cell>
          <cell r="C1056" t="str">
            <v>Aux MO oficial carpintero</v>
          </cell>
          <cell r="D1056">
            <v>30</v>
          </cell>
          <cell r="E1056" t="str">
            <v>hr</v>
          </cell>
          <cell r="F1056">
            <v>12901.168</v>
          </cell>
          <cell r="G1056">
            <v>387036</v>
          </cell>
          <cell r="M1056" t="str">
            <v>mo</v>
          </cell>
        </row>
        <row r="1057">
          <cell r="A1057" t="str">
            <v>12-01-230</v>
          </cell>
          <cell r="B1057" t="str">
            <v>au10000</v>
          </cell>
          <cell r="C1057" t="str">
            <v>Aux MO ayudante</v>
          </cell>
          <cell r="D1057">
            <v>30</v>
          </cell>
          <cell r="E1057" t="str">
            <v>hr</v>
          </cell>
          <cell r="F1057">
            <v>5080</v>
          </cell>
          <cell r="G1057">
            <v>152400</v>
          </cell>
          <cell r="M1057" t="str">
            <v>mo</v>
          </cell>
        </row>
        <row r="1058">
          <cell r="A1058" t="str">
            <v>12-01-230</v>
          </cell>
          <cell r="B1058" t="str">
            <v>TP500020</v>
          </cell>
          <cell r="C1058" t="str">
            <v>Transporte puertas y ventanas</v>
          </cell>
          <cell r="D1058">
            <v>1.73082</v>
          </cell>
          <cell r="E1058" t="str">
            <v>m2</v>
          </cell>
          <cell r="F1058">
            <v>50800</v>
          </cell>
          <cell r="G1058">
            <v>87926</v>
          </cell>
          <cell r="M1058" t="str">
            <v>TP</v>
          </cell>
        </row>
        <row r="1059">
          <cell r="A1059" t="str">
            <v>12-01-230</v>
          </cell>
          <cell r="B1059" t="str">
            <v>sc97420</v>
          </cell>
          <cell r="C1059" t="str">
            <v>Subcontrato instalacion puertas y ventanas + AIU</v>
          </cell>
          <cell r="D1059">
            <v>1.73082</v>
          </cell>
          <cell r="E1059" t="str">
            <v>m2</v>
          </cell>
          <cell r="F1059">
            <v>544068</v>
          </cell>
          <cell r="G1059">
            <v>941684</v>
          </cell>
          <cell r="M1059" t="str">
            <v>sc</v>
          </cell>
        </row>
        <row r="1060">
          <cell r="A1060" t="str">
            <v>12-01-230</v>
          </cell>
          <cell r="B1060" t="str">
            <v>mt13900</v>
          </cell>
          <cell r="C1060" t="str">
            <v>Elementos de consumo y protección</v>
          </cell>
          <cell r="D1060">
            <v>539436</v>
          </cell>
          <cell r="E1060" t="str">
            <v>%</v>
          </cell>
          <cell r="F1060">
            <v>1.2455000000000001E-2</v>
          </cell>
          <cell r="G1060">
            <v>6719</v>
          </cell>
          <cell r="M1060" t="str">
            <v>mt</v>
          </cell>
        </row>
        <row r="1061">
          <cell r="A1061" t="str">
            <v>12-01-230</v>
          </cell>
          <cell r="B1061" t="str">
            <v>hm15100</v>
          </cell>
          <cell r="C1061" t="str">
            <v>Herramienta y equipo menor</v>
          </cell>
          <cell r="D1061">
            <v>539436</v>
          </cell>
          <cell r="E1061" t="str">
            <v>%</v>
          </cell>
          <cell r="F1061">
            <v>0.03</v>
          </cell>
          <cell r="G1061">
            <v>16184</v>
          </cell>
          <cell r="M1061" t="str">
            <v>hm</v>
          </cell>
        </row>
        <row r="1062">
          <cell r="A1062">
            <v>0</v>
          </cell>
          <cell r="C1062" t="str">
            <v>DIRECTO:  3,024,860 / UN</v>
          </cell>
          <cell r="D1062">
            <v>0</v>
          </cell>
          <cell r="E1062">
            <v>0</v>
          </cell>
          <cell r="F1062">
            <v>0</v>
          </cell>
          <cell r="G1062">
            <v>0</v>
          </cell>
          <cell r="M1062">
            <v>0</v>
          </cell>
        </row>
        <row r="1063">
          <cell r="A1063">
            <v>0</v>
          </cell>
          <cell r="C1063">
            <v>0</v>
          </cell>
          <cell r="E1063">
            <v>0</v>
          </cell>
          <cell r="F1063">
            <v>0</v>
          </cell>
          <cell r="G1063">
            <v>0</v>
          </cell>
          <cell r="M1063">
            <v>0</v>
          </cell>
        </row>
        <row r="1064">
          <cell r="A1064" t="str">
            <v>12-01-240</v>
          </cell>
          <cell r="B1064" t="str">
            <v>12-01-240</v>
          </cell>
          <cell r="C1064" t="str">
            <v>VENTANA V24 (1.34x2.73). MARCO EN MADERA + VIDRIO TEMPLADO TRANSLUCIDO. INCLUYE ACABADO FINAL</v>
          </cell>
          <cell r="D1064">
            <v>1</v>
          </cell>
          <cell r="E1064" t="str">
            <v>UN</v>
          </cell>
          <cell r="F1064">
            <v>0</v>
          </cell>
          <cell r="G1064">
            <v>1317367</v>
          </cell>
          <cell r="M1064" t="e">
            <v>#N/A</v>
          </cell>
        </row>
        <row r="1065">
          <cell r="A1065" t="str">
            <v>12-01-240</v>
          </cell>
          <cell r="B1065" t="str">
            <v>mt571000</v>
          </cell>
          <cell r="C1065" t="str">
            <v>Madera cedro</v>
          </cell>
          <cell r="D1065">
            <v>0.13105400000000003</v>
          </cell>
          <cell r="E1065" t="str">
            <v>m3</v>
          </cell>
          <cell r="F1065">
            <v>2641600</v>
          </cell>
          <cell r="G1065">
            <v>346193</v>
          </cell>
          <cell r="M1065" t="str">
            <v>mt</v>
          </cell>
        </row>
        <row r="1066">
          <cell r="A1066" t="str">
            <v>12-01-240</v>
          </cell>
          <cell r="B1066" t="str">
            <v>mt18620</v>
          </cell>
          <cell r="C1066" t="str">
            <v>Barniz para puertas y ventanas en madera</v>
          </cell>
          <cell r="D1066">
            <v>0.5</v>
          </cell>
          <cell r="E1066" t="str">
            <v>gl</v>
          </cell>
          <cell r="F1066">
            <v>40538.400000000001</v>
          </cell>
          <cell r="G1066">
            <v>20270</v>
          </cell>
          <cell r="M1066" t="str">
            <v>mt</v>
          </cell>
        </row>
        <row r="1067">
          <cell r="A1067" t="str">
            <v>12-01-240</v>
          </cell>
          <cell r="B1067" t="str">
            <v>mt539100</v>
          </cell>
          <cell r="C1067" t="str">
            <v>Vidrio templado translucido 5mm</v>
          </cell>
          <cell r="D1067">
            <v>3.6582000000000003</v>
          </cell>
          <cell r="E1067" t="str">
            <v>m2</v>
          </cell>
          <cell r="F1067">
            <v>92846.399999999994</v>
          </cell>
          <cell r="G1067">
            <v>339651</v>
          </cell>
          <cell r="M1067" t="str">
            <v>mt</v>
          </cell>
        </row>
        <row r="1068">
          <cell r="A1068" t="str">
            <v>12-01-240</v>
          </cell>
          <cell r="B1068" t="str">
            <v>au10260</v>
          </cell>
          <cell r="C1068" t="str">
            <v>Aux MO oficial carpintero</v>
          </cell>
          <cell r="D1068">
            <v>21</v>
          </cell>
          <cell r="E1068" t="str">
            <v>hr</v>
          </cell>
          <cell r="F1068">
            <v>12901.168</v>
          </cell>
          <cell r="G1068">
            <v>270925</v>
          </cell>
          <cell r="M1068" t="str">
            <v>mo</v>
          </cell>
        </row>
        <row r="1069">
          <cell r="A1069" t="str">
            <v>12-01-240</v>
          </cell>
          <cell r="B1069" t="str">
            <v>au10000</v>
          </cell>
          <cell r="C1069" t="str">
            <v>Aux MO ayudante</v>
          </cell>
          <cell r="D1069">
            <v>21</v>
          </cell>
          <cell r="E1069" t="str">
            <v>hr</v>
          </cell>
          <cell r="F1069">
            <v>5080</v>
          </cell>
          <cell r="G1069">
            <v>106680</v>
          </cell>
          <cell r="M1069" t="str">
            <v>mo</v>
          </cell>
        </row>
        <row r="1070">
          <cell r="A1070" t="str">
            <v>12-01-240</v>
          </cell>
          <cell r="B1070" t="str">
            <v>TP500020</v>
          </cell>
          <cell r="C1070" t="str">
            <v>Transporte puertas y ventanas</v>
          </cell>
          <cell r="D1070">
            <v>0.36582000000000003</v>
          </cell>
          <cell r="E1070" t="str">
            <v>m2</v>
          </cell>
          <cell r="F1070">
            <v>50800</v>
          </cell>
          <cell r="G1070">
            <v>18584</v>
          </cell>
          <cell r="M1070" t="str">
            <v>TP</v>
          </cell>
        </row>
        <row r="1071">
          <cell r="A1071" t="str">
            <v>12-01-240</v>
          </cell>
          <cell r="B1071" t="str">
            <v>sc97420</v>
          </cell>
          <cell r="C1071" t="str">
            <v>Subcontrato instalacion puertas y ventanas + AIU</v>
          </cell>
          <cell r="D1071">
            <v>0.36582000000000003</v>
          </cell>
          <cell r="E1071" t="str">
            <v>m2</v>
          </cell>
          <cell r="F1071">
            <v>544068</v>
          </cell>
          <cell r="G1071">
            <v>199031</v>
          </cell>
          <cell r="M1071" t="str">
            <v>sc</v>
          </cell>
        </row>
        <row r="1072">
          <cell r="A1072" t="str">
            <v>12-01-240</v>
          </cell>
          <cell r="B1072" t="str">
            <v>mt13900</v>
          </cell>
          <cell r="C1072" t="str">
            <v>Elementos de consumo y protección</v>
          </cell>
          <cell r="D1072">
            <v>377605</v>
          </cell>
          <cell r="E1072" t="str">
            <v>%</v>
          </cell>
          <cell r="F1072">
            <v>1.2455000000000001E-2</v>
          </cell>
          <cell r="G1072">
            <v>4704</v>
          </cell>
          <cell r="M1072" t="str">
            <v>mt</v>
          </cell>
        </row>
        <row r="1073">
          <cell r="A1073" t="str">
            <v>12-01-240</v>
          </cell>
          <cell r="B1073" t="str">
            <v>hm15100</v>
          </cell>
          <cell r="C1073" t="str">
            <v>Herramienta y equipo menor</v>
          </cell>
          <cell r="D1073">
            <v>377605</v>
          </cell>
          <cell r="E1073" t="str">
            <v>%</v>
          </cell>
          <cell r="F1073">
            <v>0.03</v>
          </cell>
          <cell r="G1073">
            <v>11329</v>
          </cell>
          <cell r="M1073" t="str">
            <v>hm</v>
          </cell>
        </row>
        <row r="1074">
          <cell r="A1074">
            <v>0</v>
          </cell>
          <cell r="C1074" t="str">
            <v>DIRECTO:  1,317,367 / UN</v>
          </cell>
          <cell r="D1074">
            <v>0</v>
          </cell>
          <cell r="E1074">
            <v>0</v>
          </cell>
          <cell r="F1074">
            <v>0</v>
          </cell>
          <cell r="G1074">
            <v>0</v>
          </cell>
          <cell r="M1074">
            <v>0</v>
          </cell>
        </row>
        <row r="1075">
          <cell r="A1075">
            <v>0</v>
          </cell>
          <cell r="C1075">
            <v>0</v>
          </cell>
          <cell r="E1075">
            <v>0</v>
          </cell>
          <cell r="F1075">
            <v>0</v>
          </cell>
          <cell r="G1075">
            <v>0</v>
          </cell>
          <cell r="M1075">
            <v>0</v>
          </cell>
        </row>
        <row r="1076">
          <cell r="A1076" t="str">
            <v>12-01-250</v>
          </cell>
          <cell r="B1076" t="str">
            <v>12-01-250</v>
          </cell>
          <cell r="C1076" t="str">
            <v>VENTANA V26 (2.50x1.10). MARCO EN MADERA + VIDRIO TEMPLADO TRANSLUCIDO. INCLUYE ACABADO FINAL</v>
          </cell>
          <cell r="D1076">
            <v>1</v>
          </cell>
          <cell r="E1076" t="str">
            <v>UN</v>
          </cell>
          <cell r="F1076">
            <v>0</v>
          </cell>
          <cell r="G1076">
            <v>1368207</v>
          </cell>
          <cell r="M1076" t="e">
            <v>#N/A</v>
          </cell>
        </row>
        <row r="1077">
          <cell r="A1077" t="str">
            <v>12-01-250</v>
          </cell>
          <cell r="B1077" t="str">
            <v>mt571000</v>
          </cell>
          <cell r="C1077" t="str">
            <v>Madera cedro</v>
          </cell>
          <cell r="D1077">
            <v>0.11592000000000004</v>
          </cell>
          <cell r="E1077" t="str">
            <v>m3</v>
          </cell>
          <cell r="F1077">
            <v>2641600</v>
          </cell>
          <cell r="G1077">
            <v>306215</v>
          </cell>
          <cell r="M1077" t="str">
            <v>mt</v>
          </cell>
        </row>
        <row r="1078">
          <cell r="A1078" t="str">
            <v>12-01-250</v>
          </cell>
          <cell r="B1078" t="str">
            <v>mt18620</v>
          </cell>
          <cell r="C1078" t="str">
            <v>Barniz para puertas y ventanas en madera</v>
          </cell>
          <cell r="D1078">
            <v>0.5</v>
          </cell>
          <cell r="E1078" t="str">
            <v>gl</v>
          </cell>
          <cell r="F1078">
            <v>40538.400000000001</v>
          </cell>
          <cell r="G1078">
            <v>20270</v>
          </cell>
          <cell r="M1078" t="str">
            <v>mt</v>
          </cell>
        </row>
        <row r="1079">
          <cell r="A1079" t="str">
            <v>12-01-250</v>
          </cell>
          <cell r="B1079" t="str">
            <v>mt539100</v>
          </cell>
          <cell r="C1079" t="str">
            <v>Vidrio templado translucido 5mm</v>
          </cell>
          <cell r="D1079">
            <v>3.6582000000000003</v>
          </cell>
          <cell r="E1079" t="str">
            <v>m2</v>
          </cell>
          <cell r="F1079">
            <v>92846.399999999994</v>
          </cell>
          <cell r="G1079">
            <v>339651</v>
          </cell>
          <cell r="M1079" t="str">
            <v>mt</v>
          </cell>
        </row>
        <row r="1080">
          <cell r="A1080" t="str">
            <v>12-01-250</v>
          </cell>
          <cell r="B1080" t="str">
            <v>au10260</v>
          </cell>
          <cell r="C1080" t="str">
            <v>Aux MO oficial carpintero</v>
          </cell>
          <cell r="D1080">
            <v>20</v>
          </cell>
          <cell r="E1080" t="str">
            <v>hr</v>
          </cell>
          <cell r="F1080">
            <v>12901.168</v>
          </cell>
          <cell r="G1080">
            <v>258024</v>
          </cell>
          <cell r="M1080" t="str">
            <v>mo</v>
          </cell>
        </row>
        <row r="1081">
          <cell r="A1081" t="str">
            <v>12-01-250</v>
          </cell>
          <cell r="B1081" t="str">
            <v>au10000</v>
          </cell>
          <cell r="C1081" t="str">
            <v>Aux MO ayudante</v>
          </cell>
          <cell r="D1081">
            <v>20</v>
          </cell>
          <cell r="E1081" t="str">
            <v>hr</v>
          </cell>
          <cell r="F1081">
            <v>5080</v>
          </cell>
          <cell r="G1081">
            <v>101600</v>
          </cell>
          <cell r="M1081" t="str">
            <v>mo</v>
          </cell>
        </row>
        <row r="1082">
          <cell r="A1082" t="str">
            <v>12-01-250</v>
          </cell>
          <cell r="B1082" t="str">
            <v>TP500020</v>
          </cell>
          <cell r="C1082" t="str">
            <v>Transporte puertas y ventanas</v>
          </cell>
          <cell r="D1082">
            <v>0.55000000000000004</v>
          </cell>
          <cell r="E1082" t="str">
            <v>m2</v>
          </cell>
          <cell r="F1082">
            <v>50800</v>
          </cell>
          <cell r="G1082">
            <v>27940</v>
          </cell>
          <cell r="M1082" t="str">
            <v>TP</v>
          </cell>
        </row>
        <row r="1083">
          <cell r="A1083" t="str">
            <v>12-01-250</v>
          </cell>
          <cell r="B1083" t="str">
            <v>sc97420</v>
          </cell>
          <cell r="C1083" t="str">
            <v>Subcontrato instalacion puertas y ventanas + AIU</v>
          </cell>
          <cell r="D1083">
            <v>0.55000000000000004</v>
          </cell>
          <cell r="E1083" t="str">
            <v>m2</v>
          </cell>
          <cell r="F1083">
            <v>544068</v>
          </cell>
          <cell r="G1083">
            <v>299238</v>
          </cell>
          <cell r="M1083" t="str">
            <v>sc</v>
          </cell>
        </row>
        <row r="1084">
          <cell r="A1084" t="str">
            <v>12-01-250</v>
          </cell>
          <cell r="B1084" t="str">
            <v>mt13900</v>
          </cell>
          <cell r="C1084" t="str">
            <v>Elementos de consumo y protección</v>
          </cell>
          <cell r="D1084">
            <v>359624</v>
          </cell>
          <cell r="E1084" t="str">
            <v>%</v>
          </cell>
          <cell r="F1084">
            <v>1.2455000000000001E-2</v>
          </cell>
          <cell r="G1084">
            <v>4480</v>
          </cell>
          <cell r="M1084" t="str">
            <v>mt</v>
          </cell>
        </row>
        <row r="1085">
          <cell r="A1085" t="str">
            <v>12-01-250</v>
          </cell>
          <cell r="B1085" t="str">
            <v>hm15100</v>
          </cell>
          <cell r="C1085" t="str">
            <v>Herramienta y equipo menor</v>
          </cell>
          <cell r="D1085">
            <v>359624</v>
          </cell>
          <cell r="E1085" t="str">
            <v>%</v>
          </cell>
          <cell r="F1085">
            <v>0.03</v>
          </cell>
          <cell r="G1085">
            <v>10789</v>
          </cell>
          <cell r="M1085" t="str">
            <v>hm</v>
          </cell>
        </row>
        <row r="1086">
          <cell r="A1086">
            <v>0</v>
          </cell>
          <cell r="C1086" t="str">
            <v>DIRECTO:  1,368,207 / UN</v>
          </cell>
          <cell r="D1086">
            <v>0</v>
          </cell>
          <cell r="E1086">
            <v>0</v>
          </cell>
          <cell r="F1086">
            <v>0</v>
          </cell>
          <cell r="G1086">
            <v>0</v>
          </cell>
          <cell r="M1086">
            <v>0</v>
          </cell>
        </row>
        <row r="1087">
          <cell r="A1087">
            <v>0</v>
          </cell>
          <cell r="C1087">
            <v>0</v>
          </cell>
          <cell r="E1087">
            <v>0</v>
          </cell>
          <cell r="F1087">
            <v>0</v>
          </cell>
          <cell r="G1087">
            <v>0</v>
          </cell>
          <cell r="M1087">
            <v>0</v>
          </cell>
        </row>
        <row r="1088">
          <cell r="A1088" t="str">
            <v>12-01-260</v>
          </cell>
          <cell r="B1088" t="str">
            <v>12-01-260</v>
          </cell>
          <cell r="C1088" t="str">
            <v>VENTANA V27 (0.60x0.40). MARCO EN MADERA + VIDRIO TEMPLADO TRANSLUCIDO. INCLUYE ACABADO FINAL</v>
          </cell>
          <cell r="D1088">
            <v>1</v>
          </cell>
          <cell r="E1088" t="str">
            <v>UN</v>
          </cell>
          <cell r="F1088">
            <v>0</v>
          </cell>
          <cell r="G1088">
            <v>408179</v>
          </cell>
          <cell r="M1088" t="e">
            <v>#N/A</v>
          </cell>
        </row>
        <row r="1089">
          <cell r="A1089" t="str">
            <v>12-01-260</v>
          </cell>
          <cell r="B1089" t="str">
            <v>mt571000</v>
          </cell>
          <cell r="C1089" t="str">
            <v>Madera cedro</v>
          </cell>
          <cell r="D1089">
            <v>3.2200000000000006E-2</v>
          </cell>
          <cell r="E1089" t="str">
            <v>m3</v>
          </cell>
          <cell r="F1089">
            <v>2641600</v>
          </cell>
          <cell r="G1089">
            <v>85060</v>
          </cell>
          <cell r="M1089" t="str">
            <v>mt</v>
          </cell>
        </row>
        <row r="1090">
          <cell r="A1090" t="str">
            <v>12-01-260</v>
          </cell>
          <cell r="B1090" t="str">
            <v>mt18620</v>
          </cell>
          <cell r="C1090" t="str">
            <v>Barniz para puertas y ventanas en madera</v>
          </cell>
          <cell r="D1090">
            <v>0.2</v>
          </cell>
          <cell r="E1090" t="str">
            <v>gl</v>
          </cell>
          <cell r="F1090">
            <v>40538.400000000001</v>
          </cell>
          <cell r="G1090">
            <v>8108</v>
          </cell>
          <cell r="M1090" t="str">
            <v>mt</v>
          </cell>
        </row>
        <row r="1091">
          <cell r="A1091" t="str">
            <v>12-01-260</v>
          </cell>
          <cell r="B1091" t="str">
            <v>mt539100</v>
          </cell>
          <cell r="C1091" t="str">
            <v>Vidrio templado translucido 5mm</v>
          </cell>
          <cell r="D1091">
            <v>0.24</v>
          </cell>
          <cell r="E1091" t="str">
            <v>m2</v>
          </cell>
          <cell r="F1091">
            <v>92846.399999999994</v>
          </cell>
          <cell r="G1091">
            <v>22284</v>
          </cell>
          <cell r="M1091" t="str">
            <v>mt</v>
          </cell>
        </row>
        <row r="1092">
          <cell r="A1092" t="str">
            <v>12-01-260</v>
          </cell>
          <cell r="B1092" t="str">
            <v>au10260</v>
          </cell>
          <cell r="C1092" t="str">
            <v>Aux MO oficial carpintero</v>
          </cell>
          <cell r="D1092">
            <v>8</v>
          </cell>
          <cell r="E1092" t="str">
            <v>hr</v>
          </cell>
          <cell r="F1092">
            <v>12901.168</v>
          </cell>
          <cell r="G1092">
            <v>103210</v>
          </cell>
          <cell r="M1092" t="str">
            <v>mo</v>
          </cell>
        </row>
        <row r="1093">
          <cell r="A1093" t="str">
            <v>12-01-260</v>
          </cell>
          <cell r="B1093" t="str">
            <v>au10000</v>
          </cell>
          <cell r="C1093" t="str">
            <v>Aux MO ayudante</v>
          </cell>
          <cell r="D1093">
            <v>8</v>
          </cell>
          <cell r="E1093" t="str">
            <v>hr</v>
          </cell>
          <cell r="F1093">
            <v>5080</v>
          </cell>
          <cell r="G1093">
            <v>40640</v>
          </cell>
          <cell r="M1093" t="str">
            <v>mo</v>
          </cell>
        </row>
        <row r="1094">
          <cell r="A1094" t="str">
            <v>12-01-260</v>
          </cell>
          <cell r="B1094" t="str">
            <v>TP500020</v>
          </cell>
          <cell r="C1094" t="str">
            <v>Transporte puertas y ventanas</v>
          </cell>
          <cell r="D1094">
            <v>0.24</v>
          </cell>
          <cell r="E1094" t="str">
            <v>m2</v>
          </cell>
          <cell r="F1094">
            <v>50800</v>
          </cell>
          <cell r="G1094">
            <v>12192</v>
          </cell>
          <cell r="M1094" t="str">
            <v>TP</v>
          </cell>
        </row>
        <row r="1095">
          <cell r="A1095" t="str">
            <v>12-01-260</v>
          </cell>
          <cell r="B1095" t="str">
            <v>sc97420</v>
          </cell>
          <cell r="C1095" t="str">
            <v>Subcontrato instalacion puertas y ventanas + AIU</v>
          </cell>
          <cell r="D1095">
            <v>0.24</v>
          </cell>
          <cell r="E1095" t="str">
            <v>m2</v>
          </cell>
          <cell r="F1095">
            <v>544068</v>
          </cell>
          <cell r="G1095">
            <v>130577</v>
          </cell>
          <cell r="M1095" t="str">
            <v>sc</v>
          </cell>
        </row>
        <row r="1096">
          <cell r="A1096" t="str">
            <v>12-01-260</v>
          </cell>
          <cell r="B1096" t="str">
            <v>mt13900</v>
          </cell>
          <cell r="C1096" t="str">
            <v>Elementos de consumo y protección</v>
          </cell>
          <cell r="D1096">
            <v>143850</v>
          </cell>
          <cell r="E1096" t="str">
            <v>%</v>
          </cell>
          <cell r="F1096">
            <v>1.2455000000000001E-2</v>
          </cell>
          <cell r="G1096">
            <v>1792</v>
          </cell>
          <cell r="M1096" t="str">
            <v>mt</v>
          </cell>
        </row>
        <row r="1097">
          <cell r="A1097" t="str">
            <v>12-01-260</v>
          </cell>
          <cell r="B1097" t="str">
            <v>hm15100</v>
          </cell>
          <cell r="C1097" t="str">
            <v>Herramienta y equipo menor</v>
          </cell>
          <cell r="D1097">
            <v>143850</v>
          </cell>
          <cell r="E1097" t="str">
            <v>%</v>
          </cell>
          <cell r="F1097">
            <v>0.03</v>
          </cell>
          <cell r="G1097">
            <v>4316</v>
          </cell>
          <cell r="M1097" t="str">
            <v>hm</v>
          </cell>
        </row>
        <row r="1098">
          <cell r="A1098">
            <v>0</v>
          </cell>
          <cell r="C1098" t="str">
            <v>DIRECTO:  408,179 / UN</v>
          </cell>
          <cell r="D1098">
            <v>0</v>
          </cell>
          <cell r="E1098">
            <v>0</v>
          </cell>
          <cell r="F1098">
            <v>0</v>
          </cell>
          <cell r="G1098">
            <v>0</v>
          </cell>
          <cell r="M1098">
            <v>0</v>
          </cell>
        </row>
        <row r="1099">
          <cell r="A1099">
            <v>0</v>
          </cell>
          <cell r="C1099">
            <v>0</v>
          </cell>
          <cell r="E1099">
            <v>0</v>
          </cell>
          <cell r="F1099">
            <v>0</v>
          </cell>
          <cell r="G1099">
            <v>0</v>
          </cell>
          <cell r="M1099">
            <v>0</v>
          </cell>
        </row>
        <row r="1100">
          <cell r="A1100" t="str">
            <v>12-02-010</v>
          </cell>
          <cell r="B1100" t="str">
            <v>12-02-010</v>
          </cell>
          <cell r="C1100" t="str">
            <v>PUERTA P01 (1.80x2.88). MARCO + ALA(S) EN MADERA. INCLUYE ACABADO FINAL</v>
          </cell>
          <cell r="D1100">
            <v>1</v>
          </cell>
          <cell r="E1100" t="str">
            <v>UN</v>
          </cell>
          <cell r="F1100">
            <v>0</v>
          </cell>
          <cell r="G1100">
            <v>7561133</v>
          </cell>
          <cell r="M1100" t="e">
            <v>#N/A</v>
          </cell>
        </row>
        <row r="1101">
          <cell r="A1101" t="str">
            <v>12-02-010</v>
          </cell>
          <cell r="B1101" t="str">
            <v>mt571000</v>
          </cell>
          <cell r="C1101" t="str">
            <v>Madera cedro</v>
          </cell>
          <cell r="D1101">
            <v>1.2960000000000003</v>
          </cell>
          <cell r="E1101" t="str">
            <v>m3</v>
          </cell>
          <cell r="F1101">
            <v>2641600</v>
          </cell>
          <cell r="G1101">
            <v>3423514</v>
          </cell>
          <cell r="M1101" t="str">
            <v>mt</v>
          </cell>
        </row>
        <row r="1102">
          <cell r="A1102" t="str">
            <v>12-02-010</v>
          </cell>
          <cell r="B1102" t="str">
            <v>mt18620</v>
          </cell>
          <cell r="C1102" t="str">
            <v>Barniz para puertas y ventanas en madera</v>
          </cell>
          <cell r="D1102">
            <v>2</v>
          </cell>
          <cell r="E1102" t="str">
            <v>gl</v>
          </cell>
          <cell r="F1102">
            <v>40538.400000000001</v>
          </cell>
          <cell r="G1102">
            <v>81077</v>
          </cell>
          <cell r="M1102" t="str">
            <v>mt</v>
          </cell>
        </row>
        <row r="1103">
          <cell r="A1103" t="str">
            <v>12-02-010</v>
          </cell>
          <cell r="B1103" t="str">
            <v>mt51130</v>
          </cell>
          <cell r="C1103" t="str">
            <v>Cerradura para puerta en madera</v>
          </cell>
          <cell r="D1103">
            <v>1.25</v>
          </cell>
          <cell r="E1103" t="str">
            <v>un</v>
          </cell>
          <cell r="F1103">
            <v>96520</v>
          </cell>
          <cell r="G1103">
            <v>120650</v>
          </cell>
          <cell r="M1103" t="str">
            <v>mt</v>
          </cell>
        </row>
        <row r="1104">
          <cell r="A1104" t="str">
            <v>12-02-010</v>
          </cell>
          <cell r="B1104" t="str">
            <v>au10260</v>
          </cell>
          <cell r="C1104" t="str">
            <v>Aux MO oficial carpintero</v>
          </cell>
          <cell r="D1104">
            <v>45</v>
          </cell>
          <cell r="E1104" t="str">
            <v>hr</v>
          </cell>
          <cell r="F1104">
            <v>12901.168</v>
          </cell>
          <cell r="G1104">
            <v>580553</v>
          </cell>
          <cell r="M1104" t="str">
            <v>mo</v>
          </cell>
        </row>
        <row r="1105">
          <cell r="A1105" t="str">
            <v>12-02-010</v>
          </cell>
          <cell r="B1105" t="str">
            <v>au10000</v>
          </cell>
          <cell r="C1105" t="str">
            <v>Aux MO ayudante</v>
          </cell>
          <cell r="D1105">
            <v>45</v>
          </cell>
          <cell r="E1105" t="str">
            <v>hr</v>
          </cell>
          <cell r="F1105">
            <v>5080</v>
          </cell>
          <cell r="G1105">
            <v>228600</v>
          </cell>
          <cell r="M1105" t="str">
            <v>mo</v>
          </cell>
        </row>
        <row r="1106">
          <cell r="A1106" t="str">
            <v>12-02-010</v>
          </cell>
          <cell r="B1106" t="str">
            <v>TP500020</v>
          </cell>
          <cell r="C1106" t="str">
            <v>Transporte puertas y ventanas</v>
          </cell>
          <cell r="D1106">
            <v>5.1840000000000002</v>
          </cell>
          <cell r="E1106" t="str">
            <v>m2</v>
          </cell>
          <cell r="F1106">
            <v>50800</v>
          </cell>
          <cell r="G1106">
            <v>263348</v>
          </cell>
          <cell r="M1106" t="str">
            <v>TP</v>
          </cell>
        </row>
        <row r="1107">
          <cell r="A1107" t="str">
            <v>12-02-010</v>
          </cell>
          <cell r="B1107" t="str">
            <v>sc97420</v>
          </cell>
          <cell r="C1107" t="str">
            <v>Subcontrato instalacion puertas y ventanas + AIU</v>
          </cell>
          <cell r="D1107">
            <v>5.1840000000000002</v>
          </cell>
          <cell r="E1107" t="str">
            <v>m2</v>
          </cell>
          <cell r="F1107">
            <v>544068</v>
          </cell>
          <cell r="G1107">
            <v>2820449</v>
          </cell>
          <cell r="M1107" t="str">
            <v>sc</v>
          </cell>
        </row>
        <row r="1108">
          <cell r="A1108" t="str">
            <v>12-02-010</v>
          </cell>
          <cell r="B1108" t="str">
            <v>mt13900</v>
          </cell>
          <cell r="C1108" t="str">
            <v>Elementos de consumo y protección</v>
          </cell>
          <cell r="D1108">
            <v>1011441.25</v>
          </cell>
          <cell r="E1108" t="str">
            <v>%</v>
          </cell>
          <cell r="F1108">
            <v>1.2455000000000001E-2</v>
          </cell>
          <cell r="G1108">
            <v>12598</v>
          </cell>
          <cell r="M1108" t="str">
            <v>mt</v>
          </cell>
        </row>
        <row r="1109">
          <cell r="A1109" t="str">
            <v>12-02-010</v>
          </cell>
          <cell r="B1109" t="str">
            <v>hm15100</v>
          </cell>
          <cell r="C1109" t="str">
            <v>Herramienta y equipo menor</v>
          </cell>
          <cell r="D1109">
            <v>1011441.25</v>
          </cell>
          <cell r="E1109" t="str">
            <v>%</v>
          </cell>
          <cell r="F1109">
            <v>0.03</v>
          </cell>
          <cell r="G1109">
            <v>30344</v>
          </cell>
          <cell r="M1109" t="str">
            <v>hm</v>
          </cell>
        </row>
        <row r="1110">
          <cell r="A1110">
            <v>0</v>
          </cell>
          <cell r="C1110" t="str">
            <v>DIRECTO:  7,561,133 / UN</v>
          </cell>
          <cell r="D1110">
            <v>0</v>
          </cell>
          <cell r="E1110">
            <v>0</v>
          </cell>
          <cell r="F1110">
            <v>0</v>
          </cell>
          <cell r="G1110">
            <v>0</v>
          </cell>
          <cell r="M1110">
            <v>0</v>
          </cell>
        </row>
        <row r="1111">
          <cell r="A1111">
            <v>0</v>
          </cell>
          <cell r="C1111">
            <v>0</v>
          </cell>
          <cell r="E1111">
            <v>0</v>
          </cell>
          <cell r="F1111">
            <v>0</v>
          </cell>
          <cell r="G1111">
            <v>0</v>
          </cell>
          <cell r="M1111">
            <v>0</v>
          </cell>
        </row>
        <row r="1112">
          <cell r="A1112" t="str">
            <v>12-02-020</v>
          </cell>
          <cell r="B1112" t="str">
            <v>12-02-020</v>
          </cell>
          <cell r="C1112" t="str">
            <v>PUERTA P02 (1.77x3.12). MARCO + ALA(S) EN MADERA. INCLUYE ACABADO FINAL</v>
          </cell>
          <cell r="D1112">
            <v>1</v>
          </cell>
          <cell r="E1112" t="str">
            <v>UN</v>
          </cell>
          <cell r="F1112">
            <v>0</v>
          </cell>
          <cell r="G1112">
            <v>8086048</v>
          </cell>
          <cell r="M1112" t="e">
            <v>#N/A</v>
          </cell>
        </row>
        <row r="1113">
          <cell r="A1113" t="str">
            <v>12-02-020</v>
          </cell>
          <cell r="B1113" t="str">
            <v>mt571000</v>
          </cell>
          <cell r="C1113" t="str">
            <v>Madera cedro</v>
          </cell>
          <cell r="D1113">
            <v>1.1044800000000001</v>
          </cell>
          <cell r="E1113" t="str">
            <v>m3</v>
          </cell>
          <cell r="F1113">
            <v>2641600</v>
          </cell>
          <cell r="G1113">
            <v>2917595</v>
          </cell>
          <cell r="M1113" t="str">
            <v>mt</v>
          </cell>
        </row>
        <row r="1114">
          <cell r="A1114" t="str">
            <v>12-02-020</v>
          </cell>
          <cell r="B1114" t="str">
            <v>mt18620</v>
          </cell>
          <cell r="C1114" t="str">
            <v>Barniz para puertas y ventanas en madera</v>
          </cell>
          <cell r="D1114">
            <v>2</v>
          </cell>
          <cell r="E1114" t="str">
            <v>gl</v>
          </cell>
          <cell r="F1114">
            <v>40538.400000000001</v>
          </cell>
          <cell r="G1114">
            <v>81077</v>
          </cell>
          <cell r="M1114" t="str">
            <v>mt</v>
          </cell>
        </row>
        <row r="1115">
          <cell r="A1115" t="str">
            <v>12-02-020</v>
          </cell>
          <cell r="B1115" t="str">
            <v>mt51130</v>
          </cell>
          <cell r="C1115" t="str">
            <v>Cerradura para puerta en madera</v>
          </cell>
          <cell r="D1115">
            <v>1</v>
          </cell>
          <cell r="E1115" t="str">
            <v>un</v>
          </cell>
          <cell r="F1115">
            <v>96520</v>
          </cell>
          <cell r="G1115">
            <v>96520</v>
          </cell>
          <cell r="M1115" t="str">
            <v>mt</v>
          </cell>
        </row>
        <row r="1116">
          <cell r="A1116" t="str">
            <v>12-02-020</v>
          </cell>
          <cell r="B1116" t="str">
            <v>au10260</v>
          </cell>
          <cell r="C1116" t="str">
            <v>Aux MO oficial carpintero</v>
          </cell>
          <cell r="D1116">
            <v>91</v>
          </cell>
          <cell r="E1116" t="str">
            <v>hr</v>
          </cell>
          <cell r="F1116">
            <v>12901.168</v>
          </cell>
          <cell r="G1116">
            <v>1174007</v>
          </cell>
          <cell r="M1116" t="str">
            <v>mo</v>
          </cell>
        </row>
        <row r="1117">
          <cell r="A1117" t="str">
            <v>12-02-020</v>
          </cell>
          <cell r="B1117" t="str">
            <v>au10000</v>
          </cell>
          <cell r="C1117" t="str">
            <v>Aux MO ayudante</v>
          </cell>
          <cell r="D1117">
            <v>91</v>
          </cell>
          <cell r="E1117" t="str">
            <v>hr</v>
          </cell>
          <cell r="F1117">
            <v>5080</v>
          </cell>
          <cell r="G1117">
            <v>462280</v>
          </cell>
          <cell r="M1117" t="str">
            <v>mo</v>
          </cell>
        </row>
        <row r="1118">
          <cell r="A1118" t="str">
            <v>12-02-020</v>
          </cell>
          <cell r="B1118" t="str">
            <v>TP500020</v>
          </cell>
          <cell r="C1118" t="str">
            <v>Transporte puertas y ventanas</v>
          </cell>
          <cell r="D1118">
            <v>5.5224000000000002</v>
          </cell>
          <cell r="E1118" t="str">
            <v>m2</v>
          </cell>
          <cell r="F1118">
            <v>50800</v>
          </cell>
          <cell r="G1118">
            <v>280538</v>
          </cell>
          <cell r="M1118" t="str">
            <v>TP</v>
          </cell>
        </row>
        <row r="1119">
          <cell r="A1119" t="str">
            <v>12-02-020</v>
          </cell>
          <cell r="B1119" t="str">
            <v>sc97420</v>
          </cell>
          <cell r="C1119" t="str">
            <v>Subcontrato instalacion puertas y ventanas + AIU</v>
          </cell>
          <cell r="D1119">
            <v>5.5224000000000002</v>
          </cell>
          <cell r="E1119" t="str">
            <v>m2</v>
          </cell>
          <cell r="F1119">
            <v>544068</v>
          </cell>
          <cell r="G1119">
            <v>3004562</v>
          </cell>
          <cell r="M1119" t="str">
            <v>sc</v>
          </cell>
        </row>
        <row r="1120">
          <cell r="A1120" t="str">
            <v>12-02-020</v>
          </cell>
          <cell r="B1120" t="str">
            <v>mt13900</v>
          </cell>
          <cell r="C1120" t="str">
            <v>Elementos de consumo y protección</v>
          </cell>
          <cell r="D1120">
            <v>1636287</v>
          </cell>
          <cell r="E1120" t="str">
            <v>%</v>
          </cell>
          <cell r="F1120">
            <v>1.2455000000000001E-2</v>
          </cell>
          <cell r="G1120">
            <v>20380</v>
          </cell>
          <cell r="M1120" t="str">
            <v>mt</v>
          </cell>
        </row>
        <row r="1121">
          <cell r="A1121" t="str">
            <v>12-02-020</v>
          </cell>
          <cell r="B1121" t="str">
            <v>hm15100</v>
          </cell>
          <cell r="C1121" t="str">
            <v>Herramienta y equipo menor</v>
          </cell>
          <cell r="D1121">
            <v>1636287</v>
          </cell>
          <cell r="E1121" t="str">
            <v>%</v>
          </cell>
          <cell r="F1121">
            <v>0.03</v>
          </cell>
          <cell r="G1121">
            <v>49089</v>
          </cell>
          <cell r="M1121" t="str">
            <v>hm</v>
          </cell>
        </row>
        <row r="1122">
          <cell r="A1122">
            <v>0</v>
          </cell>
          <cell r="C1122" t="str">
            <v>DIRECTO:  8,086,048 / UN</v>
          </cell>
          <cell r="D1122">
            <v>0</v>
          </cell>
          <cell r="E1122">
            <v>0</v>
          </cell>
          <cell r="F1122">
            <v>0</v>
          </cell>
          <cell r="G1122">
            <v>0</v>
          </cell>
          <cell r="M1122">
            <v>0</v>
          </cell>
        </row>
        <row r="1123">
          <cell r="A1123">
            <v>0</v>
          </cell>
          <cell r="C1123">
            <v>0</v>
          </cell>
          <cell r="E1123">
            <v>0</v>
          </cell>
          <cell r="F1123">
            <v>0</v>
          </cell>
          <cell r="G1123">
            <v>0</v>
          </cell>
          <cell r="M1123">
            <v>0</v>
          </cell>
        </row>
        <row r="1124">
          <cell r="A1124" t="str">
            <v>12-02-030</v>
          </cell>
          <cell r="B1124" t="str">
            <v>12-02-030</v>
          </cell>
          <cell r="C1124" t="str">
            <v>PUERTA P03 (1.77x3.35). MARCO + ALA(S) EN MADERA. INCLUYE ACABADO FINAL</v>
          </cell>
          <cell r="D1124">
            <v>1</v>
          </cell>
          <cell r="E1124" t="str">
            <v>UN</v>
          </cell>
          <cell r="F1124">
            <v>0</v>
          </cell>
          <cell r="G1124">
            <v>9271929</v>
          </cell>
          <cell r="M1124" t="e">
            <v>#N/A</v>
          </cell>
        </row>
        <row r="1125">
          <cell r="A1125" t="str">
            <v>12-02-030</v>
          </cell>
          <cell r="B1125" t="str">
            <v>mt571000</v>
          </cell>
          <cell r="C1125" t="str">
            <v>Madera cedro</v>
          </cell>
          <cell r="D1125">
            <v>1.1859</v>
          </cell>
          <cell r="E1125" t="str">
            <v>m3</v>
          </cell>
          <cell r="F1125">
            <v>2641600</v>
          </cell>
          <cell r="G1125">
            <v>3132674</v>
          </cell>
          <cell r="M1125" t="str">
            <v>mt</v>
          </cell>
        </row>
        <row r="1126">
          <cell r="A1126" t="str">
            <v>12-02-030</v>
          </cell>
          <cell r="B1126" t="str">
            <v>mt18620</v>
          </cell>
          <cell r="C1126" t="str">
            <v>Barniz para puertas y ventanas en madera</v>
          </cell>
          <cell r="D1126">
            <v>2</v>
          </cell>
          <cell r="E1126" t="str">
            <v>gl</v>
          </cell>
          <cell r="F1126">
            <v>40538.400000000001</v>
          </cell>
          <cell r="G1126">
            <v>81077</v>
          </cell>
          <cell r="M1126" t="str">
            <v>mt</v>
          </cell>
        </row>
        <row r="1127">
          <cell r="A1127" t="str">
            <v>12-02-030</v>
          </cell>
          <cell r="B1127" t="str">
            <v>mt51130</v>
          </cell>
          <cell r="C1127" t="str">
            <v>Cerradura para puerta en madera</v>
          </cell>
          <cell r="D1127">
            <v>1</v>
          </cell>
          <cell r="E1127" t="str">
            <v>un</v>
          </cell>
          <cell r="F1127">
            <v>96520</v>
          </cell>
          <cell r="G1127">
            <v>96520</v>
          </cell>
          <cell r="M1127" t="str">
            <v>mt</v>
          </cell>
        </row>
        <row r="1128">
          <cell r="A1128" t="str">
            <v>12-02-030</v>
          </cell>
          <cell r="B1128" t="str">
            <v>au10260</v>
          </cell>
          <cell r="C1128" t="str">
            <v>Aux MO oficial carpintero</v>
          </cell>
          <cell r="D1128">
            <v>96</v>
          </cell>
          <cell r="E1128" t="str">
            <v>hr</v>
          </cell>
          <cell r="F1128">
            <v>12901.168</v>
          </cell>
          <cell r="G1128">
            <v>1238513</v>
          </cell>
          <cell r="M1128" t="str">
            <v>mo</v>
          </cell>
        </row>
        <row r="1129">
          <cell r="A1129" t="str">
            <v>12-02-030</v>
          </cell>
          <cell r="B1129" t="str">
            <v>au10000</v>
          </cell>
          <cell r="C1129" t="str">
            <v>Aux MO ayudante</v>
          </cell>
          <cell r="D1129">
            <v>96</v>
          </cell>
          <cell r="E1129" t="str">
            <v>hr</v>
          </cell>
          <cell r="F1129">
            <v>5080</v>
          </cell>
          <cell r="G1129">
            <v>487680</v>
          </cell>
          <cell r="M1129" t="str">
            <v>mo</v>
          </cell>
        </row>
        <row r="1130">
          <cell r="A1130" t="str">
            <v>12-02-030</v>
          </cell>
          <cell r="B1130" t="str">
            <v>TP500020</v>
          </cell>
          <cell r="C1130" t="str">
            <v>Transporte puertas y ventanas</v>
          </cell>
          <cell r="D1130">
            <v>6.99681</v>
          </cell>
          <cell r="E1130" t="str">
            <v>m2</v>
          </cell>
          <cell r="F1130">
            <v>50800</v>
          </cell>
          <cell r="G1130">
            <v>355438</v>
          </cell>
          <cell r="M1130" t="str">
            <v>TP</v>
          </cell>
        </row>
        <row r="1131">
          <cell r="A1131" t="str">
            <v>12-02-030</v>
          </cell>
          <cell r="B1131" t="str">
            <v>sc97420</v>
          </cell>
          <cell r="C1131" t="str">
            <v>Subcontrato instalacion puertas y ventanas + AIU</v>
          </cell>
          <cell r="D1131">
            <v>6.99681</v>
          </cell>
          <cell r="E1131" t="str">
            <v>m2</v>
          </cell>
          <cell r="F1131">
            <v>544068</v>
          </cell>
          <cell r="G1131">
            <v>3806741</v>
          </cell>
          <cell r="M1131" t="str">
            <v>sc</v>
          </cell>
        </row>
        <row r="1132">
          <cell r="A1132" t="str">
            <v>12-02-030</v>
          </cell>
          <cell r="B1132" t="str">
            <v>mt13900</v>
          </cell>
          <cell r="C1132" t="str">
            <v>Elementos de consumo y protección</v>
          </cell>
          <cell r="D1132">
            <v>1726193</v>
          </cell>
          <cell r="E1132" t="str">
            <v>%</v>
          </cell>
          <cell r="F1132">
            <v>1.2455000000000001E-2</v>
          </cell>
          <cell r="G1132">
            <v>21500</v>
          </cell>
          <cell r="M1132" t="str">
            <v>mt</v>
          </cell>
        </row>
        <row r="1133">
          <cell r="A1133" t="str">
            <v>12-02-030</v>
          </cell>
          <cell r="B1133" t="str">
            <v>hm15100</v>
          </cell>
          <cell r="C1133" t="str">
            <v>Herramienta y equipo menor</v>
          </cell>
          <cell r="D1133">
            <v>1726193</v>
          </cell>
          <cell r="E1133" t="str">
            <v>%</v>
          </cell>
          <cell r="F1133">
            <v>0.03</v>
          </cell>
          <cell r="G1133">
            <v>51786</v>
          </cell>
          <cell r="M1133" t="str">
            <v>hm</v>
          </cell>
        </row>
        <row r="1134">
          <cell r="A1134">
            <v>0</v>
          </cell>
          <cell r="C1134" t="str">
            <v>DIRECTO:  9,271,929 / UN</v>
          </cell>
          <cell r="D1134">
            <v>0</v>
          </cell>
          <cell r="E1134">
            <v>0</v>
          </cell>
          <cell r="F1134">
            <v>0</v>
          </cell>
          <cell r="G1134">
            <v>0</v>
          </cell>
          <cell r="M1134">
            <v>0</v>
          </cell>
        </row>
        <row r="1135">
          <cell r="A1135">
            <v>0</v>
          </cell>
          <cell r="C1135">
            <v>0</v>
          </cell>
          <cell r="E1135">
            <v>0</v>
          </cell>
          <cell r="F1135">
            <v>0</v>
          </cell>
          <cell r="G1135">
            <v>0</v>
          </cell>
          <cell r="M1135">
            <v>0</v>
          </cell>
        </row>
        <row r="1136">
          <cell r="A1136" t="str">
            <v>12-02-040</v>
          </cell>
          <cell r="B1136" t="str">
            <v>12-02-040</v>
          </cell>
          <cell r="C1136" t="str">
            <v>PUERTA P04 (1.55x2.71). MARCO + ALA(S) EN MADERA. INCLUYE ACABADO FINAL</v>
          </cell>
          <cell r="D1136">
            <v>1</v>
          </cell>
          <cell r="E1136" t="str">
            <v>UN</v>
          </cell>
          <cell r="F1136">
            <v>0</v>
          </cell>
          <cell r="G1136">
            <v>6207670</v>
          </cell>
          <cell r="M1136" t="e">
            <v>#N/A</v>
          </cell>
        </row>
        <row r="1137">
          <cell r="A1137" t="str">
            <v>12-02-040</v>
          </cell>
          <cell r="B1137" t="str">
            <v>mt571000</v>
          </cell>
          <cell r="C1137" t="str">
            <v>Madera cedro</v>
          </cell>
          <cell r="D1137">
            <v>0.84010000000000007</v>
          </cell>
          <cell r="E1137" t="str">
            <v>m3</v>
          </cell>
          <cell r="F1137">
            <v>2641600</v>
          </cell>
          <cell r="G1137">
            <v>2219209</v>
          </cell>
          <cell r="M1137" t="str">
            <v>mt</v>
          </cell>
        </row>
        <row r="1138">
          <cell r="A1138" t="str">
            <v>12-02-040</v>
          </cell>
          <cell r="B1138" t="str">
            <v>mt18620</v>
          </cell>
          <cell r="C1138" t="str">
            <v>Barniz para puertas y ventanas en madera</v>
          </cell>
          <cell r="D1138">
            <v>2</v>
          </cell>
          <cell r="E1138" t="str">
            <v>gl</v>
          </cell>
          <cell r="F1138">
            <v>40538.400000000001</v>
          </cell>
          <cell r="G1138">
            <v>81077</v>
          </cell>
          <cell r="M1138" t="str">
            <v>mt</v>
          </cell>
        </row>
        <row r="1139">
          <cell r="A1139" t="str">
            <v>12-02-040</v>
          </cell>
          <cell r="B1139" t="str">
            <v>mt51130</v>
          </cell>
          <cell r="C1139" t="str">
            <v>Cerradura para puerta en madera</v>
          </cell>
          <cell r="D1139">
            <v>1</v>
          </cell>
          <cell r="E1139" t="str">
            <v>un</v>
          </cell>
          <cell r="F1139">
            <v>96520</v>
          </cell>
          <cell r="G1139">
            <v>96520</v>
          </cell>
          <cell r="M1139" t="str">
            <v>mt</v>
          </cell>
        </row>
        <row r="1140">
          <cell r="A1140" t="str">
            <v>12-02-040</v>
          </cell>
          <cell r="B1140" t="str">
            <v>au10260</v>
          </cell>
          <cell r="C1140" t="str">
            <v>Aux MO oficial carpintero</v>
          </cell>
          <cell r="D1140">
            <v>70</v>
          </cell>
          <cell r="E1140" t="str">
            <v>hr</v>
          </cell>
          <cell r="F1140">
            <v>12901.168</v>
          </cell>
          <cell r="G1140">
            <v>903082</v>
          </cell>
          <cell r="M1140" t="str">
            <v>mo</v>
          </cell>
        </row>
        <row r="1141">
          <cell r="A1141" t="str">
            <v>12-02-040</v>
          </cell>
          <cell r="B1141" t="str">
            <v>au10000</v>
          </cell>
          <cell r="C1141" t="str">
            <v>Aux MO ayudante</v>
          </cell>
          <cell r="D1141">
            <v>70</v>
          </cell>
          <cell r="E1141" t="str">
            <v>hr</v>
          </cell>
          <cell r="F1141">
            <v>5080</v>
          </cell>
          <cell r="G1141">
            <v>355600</v>
          </cell>
          <cell r="M1141" t="str">
            <v>mo</v>
          </cell>
        </row>
        <row r="1142">
          <cell r="A1142" t="str">
            <v>12-02-040</v>
          </cell>
          <cell r="B1142" t="str">
            <v>TP500020</v>
          </cell>
          <cell r="C1142" t="str">
            <v>Transporte puertas y ventanas</v>
          </cell>
          <cell r="D1142">
            <v>4.2004999999999999</v>
          </cell>
          <cell r="E1142" t="str">
            <v>m2</v>
          </cell>
          <cell r="F1142">
            <v>50800</v>
          </cell>
          <cell r="G1142">
            <v>213386</v>
          </cell>
          <cell r="M1142" t="str">
            <v>TP</v>
          </cell>
        </row>
        <row r="1143">
          <cell r="A1143" t="str">
            <v>12-02-040</v>
          </cell>
          <cell r="B1143" t="str">
            <v>sc97420</v>
          </cell>
          <cell r="C1143" t="str">
            <v>Subcontrato instalacion puertas y ventanas + AIU</v>
          </cell>
          <cell r="D1143">
            <v>4.2004999999999999</v>
          </cell>
          <cell r="E1143" t="str">
            <v>m2</v>
          </cell>
          <cell r="F1143">
            <v>544068</v>
          </cell>
          <cell r="G1143">
            <v>2285358</v>
          </cell>
          <cell r="M1143" t="str">
            <v>sc</v>
          </cell>
        </row>
        <row r="1144">
          <cell r="A1144" t="str">
            <v>12-02-040</v>
          </cell>
          <cell r="B1144" t="str">
            <v>mt13900</v>
          </cell>
          <cell r="C1144" t="str">
            <v>Elementos de consumo y protección</v>
          </cell>
          <cell r="D1144">
            <v>1258682</v>
          </cell>
          <cell r="E1144" t="str">
            <v>%</v>
          </cell>
          <cell r="F1144">
            <v>1.2455000000000001E-2</v>
          </cell>
          <cell r="G1144">
            <v>15677</v>
          </cell>
          <cell r="M1144" t="str">
            <v>mt</v>
          </cell>
        </row>
        <row r="1145">
          <cell r="A1145" t="str">
            <v>12-02-040</v>
          </cell>
          <cell r="B1145" t="str">
            <v>hm15100</v>
          </cell>
          <cell r="C1145" t="str">
            <v>Herramienta y equipo menor</v>
          </cell>
          <cell r="D1145">
            <v>1258682</v>
          </cell>
          <cell r="E1145" t="str">
            <v>%</v>
          </cell>
          <cell r="F1145">
            <v>0.03</v>
          </cell>
          <cell r="G1145">
            <v>37761</v>
          </cell>
          <cell r="M1145" t="str">
            <v>hm</v>
          </cell>
        </row>
        <row r="1146">
          <cell r="A1146">
            <v>0</v>
          </cell>
          <cell r="C1146" t="str">
            <v>DIRECTO:  6,207,670 / UN</v>
          </cell>
          <cell r="D1146">
            <v>0</v>
          </cell>
          <cell r="E1146">
            <v>0</v>
          </cell>
          <cell r="F1146">
            <v>0</v>
          </cell>
          <cell r="G1146">
            <v>0</v>
          </cell>
          <cell r="M1146">
            <v>0</v>
          </cell>
        </row>
        <row r="1147">
          <cell r="A1147">
            <v>0</v>
          </cell>
          <cell r="C1147">
            <v>0</v>
          </cell>
          <cell r="E1147">
            <v>0</v>
          </cell>
          <cell r="F1147">
            <v>0</v>
          </cell>
          <cell r="G1147">
            <v>0</v>
          </cell>
          <cell r="M1147">
            <v>0</v>
          </cell>
        </row>
        <row r="1148">
          <cell r="A1148" t="str">
            <v>12-02-050</v>
          </cell>
          <cell r="B1148" t="str">
            <v>12-02-050</v>
          </cell>
          <cell r="C1148" t="str">
            <v>PUERTA P05 (1.56x2.98). MARCO + ALA(S) EN MADERA. INCLUYE ACABADO FINAL</v>
          </cell>
          <cell r="D1148">
            <v>1</v>
          </cell>
          <cell r="E1148" t="str">
            <v>UN</v>
          </cell>
          <cell r="F1148">
            <v>0</v>
          </cell>
          <cell r="G1148">
            <v>6849466</v>
          </cell>
          <cell r="M1148" t="e">
            <v>#N/A</v>
          </cell>
        </row>
        <row r="1149">
          <cell r="A1149" t="str">
            <v>12-02-050</v>
          </cell>
          <cell r="B1149" t="str">
            <v>mt571000</v>
          </cell>
          <cell r="C1149" t="str">
            <v>Madera cedro</v>
          </cell>
          <cell r="D1149">
            <v>0.92976000000000014</v>
          </cell>
          <cell r="E1149" t="str">
            <v>m3</v>
          </cell>
          <cell r="F1149">
            <v>2641600</v>
          </cell>
          <cell r="G1149">
            <v>2456055</v>
          </cell>
          <cell r="M1149" t="str">
            <v>mt</v>
          </cell>
        </row>
        <row r="1150">
          <cell r="A1150" t="str">
            <v>12-02-050</v>
          </cell>
          <cell r="B1150" t="str">
            <v>mt18620</v>
          </cell>
          <cell r="C1150" t="str">
            <v>Barniz para puertas y ventanas en madera</v>
          </cell>
          <cell r="D1150">
            <v>2</v>
          </cell>
          <cell r="E1150" t="str">
            <v>gl</v>
          </cell>
          <cell r="F1150">
            <v>40538.400000000001</v>
          </cell>
          <cell r="G1150">
            <v>81077</v>
          </cell>
          <cell r="M1150" t="str">
            <v>mt</v>
          </cell>
        </row>
        <row r="1151">
          <cell r="A1151" t="str">
            <v>12-02-050</v>
          </cell>
          <cell r="B1151" t="str">
            <v>mt51130</v>
          </cell>
          <cell r="C1151" t="str">
            <v>Cerradura para puerta en madera</v>
          </cell>
          <cell r="D1151">
            <v>1</v>
          </cell>
          <cell r="E1151" t="str">
            <v>un</v>
          </cell>
          <cell r="F1151">
            <v>96520</v>
          </cell>
          <cell r="G1151">
            <v>96520</v>
          </cell>
          <cell r="M1151" t="str">
            <v>mt</v>
          </cell>
        </row>
        <row r="1152">
          <cell r="A1152" t="str">
            <v>12-02-050</v>
          </cell>
          <cell r="B1152" t="str">
            <v>au10260</v>
          </cell>
          <cell r="C1152" t="str">
            <v>Aux MO oficial carpintero</v>
          </cell>
          <cell r="D1152">
            <v>70</v>
          </cell>
          <cell r="E1152" t="str">
            <v>hr</v>
          </cell>
          <cell r="F1152">
            <v>12901.168</v>
          </cell>
          <cell r="G1152">
            <v>903082</v>
          </cell>
          <cell r="M1152" t="str">
            <v>mo</v>
          </cell>
        </row>
        <row r="1153">
          <cell r="A1153" t="str">
            <v>12-02-050</v>
          </cell>
          <cell r="B1153" t="str">
            <v>au10000</v>
          </cell>
          <cell r="C1153" t="str">
            <v>Aux MO ayudante</v>
          </cell>
          <cell r="D1153">
            <v>70</v>
          </cell>
          <cell r="E1153" t="str">
            <v>hr</v>
          </cell>
          <cell r="F1153">
            <v>5080</v>
          </cell>
          <cell r="G1153">
            <v>355600</v>
          </cell>
          <cell r="M1153" t="str">
            <v>mo</v>
          </cell>
        </row>
        <row r="1154">
          <cell r="A1154" t="str">
            <v>12-02-050</v>
          </cell>
          <cell r="B1154" t="str">
            <v>TP500020</v>
          </cell>
          <cell r="C1154" t="str">
            <v>Transporte puertas y ventanas</v>
          </cell>
          <cell r="D1154">
            <v>4.8812400000000009</v>
          </cell>
          <cell r="E1154" t="str">
            <v>m2</v>
          </cell>
          <cell r="F1154">
            <v>50800</v>
          </cell>
          <cell r="G1154">
            <v>247967</v>
          </cell>
          <cell r="M1154" t="str">
            <v>TP</v>
          </cell>
        </row>
        <row r="1155">
          <cell r="A1155" t="str">
            <v>12-02-050</v>
          </cell>
          <cell r="B1155" t="str">
            <v>sc97420</v>
          </cell>
          <cell r="C1155" t="str">
            <v>Subcontrato instalacion puertas y ventanas + AIU</v>
          </cell>
          <cell r="D1155">
            <v>4.8812400000000009</v>
          </cell>
          <cell r="E1155" t="str">
            <v>m2</v>
          </cell>
          <cell r="F1155">
            <v>544068</v>
          </cell>
          <cell r="G1155">
            <v>2655727</v>
          </cell>
          <cell r="M1155" t="str">
            <v>sc</v>
          </cell>
        </row>
        <row r="1156">
          <cell r="A1156" t="str">
            <v>12-02-050</v>
          </cell>
          <cell r="B1156" t="str">
            <v>mt13900</v>
          </cell>
          <cell r="C1156" t="str">
            <v>Elementos de consumo y protección</v>
          </cell>
          <cell r="D1156">
            <v>1258682</v>
          </cell>
          <cell r="E1156" t="str">
            <v>%</v>
          </cell>
          <cell r="F1156">
            <v>1.2455000000000001E-2</v>
          </cell>
          <cell r="G1156">
            <v>15677</v>
          </cell>
          <cell r="M1156" t="str">
            <v>mt</v>
          </cell>
        </row>
        <row r="1157">
          <cell r="A1157" t="str">
            <v>12-02-050</v>
          </cell>
          <cell r="B1157" t="str">
            <v>hm15100</v>
          </cell>
          <cell r="C1157" t="str">
            <v>Herramienta y equipo menor</v>
          </cell>
          <cell r="D1157">
            <v>1258682</v>
          </cell>
          <cell r="E1157" t="str">
            <v>%</v>
          </cell>
          <cell r="F1157">
            <v>0.03</v>
          </cell>
          <cell r="G1157">
            <v>37761</v>
          </cell>
          <cell r="M1157" t="str">
            <v>hm</v>
          </cell>
        </row>
        <row r="1158">
          <cell r="A1158">
            <v>0</v>
          </cell>
          <cell r="C1158" t="str">
            <v>DIRECTO:  6,849,466 / UN</v>
          </cell>
          <cell r="D1158">
            <v>0</v>
          </cell>
          <cell r="E1158">
            <v>0</v>
          </cell>
          <cell r="F1158">
            <v>0</v>
          </cell>
          <cell r="G1158">
            <v>0</v>
          </cell>
          <cell r="M1158">
            <v>0</v>
          </cell>
        </row>
        <row r="1159">
          <cell r="A1159">
            <v>0</v>
          </cell>
          <cell r="C1159">
            <v>0</v>
          </cell>
          <cell r="E1159">
            <v>0</v>
          </cell>
          <cell r="F1159">
            <v>0</v>
          </cell>
          <cell r="G1159">
            <v>0</v>
          </cell>
          <cell r="M1159">
            <v>0</v>
          </cell>
        </row>
        <row r="1160">
          <cell r="A1160" t="str">
            <v>12-02-060</v>
          </cell>
          <cell r="B1160" t="str">
            <v>12-02-060</v>
          </cell>
          <cell r="C1160" t="str">
            <v>PUERTA P06 (1.55x3.13). MARCO + ALA(S) EN MADERA. INCLUYE ACABADO FINAL</v>
          </cell>
          <cell r="D1160">
            <v>1</v>
          </cell>
          <cell r="E1160" t="str">
            <v>UN</v>
          </cell>
          <cell r="F1160">
            <v>0</v>
          </cell>
          <cell r="G1160">
            <v>7145056</v>
          </cell>
          <cell r="M1160" t="e">
            <v>#N/A</v>
          </cell>
        </row>
        <row r="1161">
          <cell r="A1161" t="str">
            <v>12-02-060</v>
          </cell>
          <cell r="B1161" t="str">
            <v>mt571000</v>
          </cell>
          <cell r="C1161" t="str">
            <v>Madera cedro</v>
          </cell>
          <cell r="D1161">
            <v>0.97029999999999994</v>
          </cell>
          <cell r="E1161" t="str">
            <v>m3</v>
          </cell>
          <cell r="F1161">
            <v>2641600</v>
          </cell>
          <cell r="G1161">
            <v>2563145</v>
          </cell>
          <cell r="M1161" t="str">
            <v>mt</v>
          </cell>
        </row>
        <row r="1162">
          <cell r="A1162" t="str">
            <v>12-02-060</v>
          </cell>
          <cell r="B1162" t="str">
            <v>mt18620</v>
          </cell>
          <cell r="C1162" t="str">
            <v>Barniz para puertas y ventanas en madera</v>
          </cell>
          <cell r="D1162">
            <v>2</v>
          </cell>
          <cell r="E1162" t="str">
            <v>gl</v>
          </cell>
          <cell r="F1162">
            <v>40538.400000000001</v>
          </cell>
          <cell r="G1162">
            <v>81077</v>
          </cell>
          <cell r="M1162" t="str">
            <v>mt</v>
          </cell>
        </row>
        <row r="1163">
          <cell r="A1163" t="str">
            <v>12-02-060</v>
          </cell>
          <cell r="B1163" t="str">
            <v>mt51130</v>
          </cell>
          <cell r="C1163" t="str">
            <v>Cerradura para puerta en madera</v>
          </cell>
          <cell r="D1163">
            <v>1</v>
          </cell>
          <cell r="E1163" t="str">
            <v>un</v>
          </cell>
          <cell r="F1163">
            <v>96520</v>
          </cell>
          <cell r="G1163">
            <v>96520</v>
          </cell>
          <cell r="M1163" t="str">
            <v>mt</v>
          </cell>
        </row>
        <row r="1164">
          <cell r="A1164" t="str">
            <v>12-02-060</v>
          </cell>
          <cell r="B1164" t="str">
            <v>au10260</v>
          </cell>
          <cell r="C1164" t="str">
            <v>Aux MO oficial carpintero</v>
          </cell>
          <cell r="D1164">
            <v>81</v>
          </cell>
          <cell r="E1164" t="str">
            <v>hr</v>
          </cell>
          <cell r="F1164">
            <v>12901.168</v>
          </cell>
          <cell r="G1164">
            <v>1044995</v>
          </cell>
          <cell r="M1164" t="str">
            <v>mo</v>
          </cell>
        </row>
        <row r="1165">
          <cell r="A1165" t="str">
            <v>12-02-060</v>
          </cell>
          <cell r="B1165" t="str">
            <v>au10000</v>
          </cell>
          <cell r="C1165" t="str">
            <v>Aux MO ayudante</v>
          </cell>
          <cell r="D1165">
            <v>81</v>
          </cell>
          <cell r="E1165" t="str">
            <v>hr</v>
          </cell>
          <cell r="F1165">
            <v>5080</v>
          </cell>
          <cell r="G1165">
            <v>411480</v>
          </cell>
          <cell r="M1165" t="str">
            <v>mo</v>
          </cell>
        </row>
        <row r="1166">
          <cell r="A1166" t="str">
            <v>12-02-060</v>
          </cell>
          <cell r="B1166" t="str">
            <v>TP500020</v>
          </cell>
          <cell r="C1166" t="str">
            <v>Transporte puertas y ventanas</v>
          </cell>
          <cell r="D1166">
            <v>4.8514999999999997</v>
          </cell>
          <cell r="E1166" t="str">
            <v>m2</v>
          </cell>
          <cell r="F1166">
            <v>50800</v>
          </cell>
          <cell r="G1166">
            <v>246457</v>
          </cell>
          <cell r="M1166" t="str">
            <v>TP</v>
          </cell>
        </row>
        <row r="1167">
          <cell r="A1167" t="str">
            <v>12-02-060</v>
          </cell>
          <cell r="B1167" t="str">
            <v>sc97420</v>
          </cell>
          <cell r="C1167" t="str">
            <v>Subcontrato instalacion puertas y ventanas + AIU</v>
          </cell>
          <cell r="D1167">
            <v>4.8514999999999997</v>
          </cell>
          <cell r="E1167" t="str">
            <v>m2</v>
          </cell>
          <cell r="F1167">
            <v>544068</v>
          </cell>
          <cell r="G1167">
            <v>2639546</v>
          </cell>
          <cell r="M1167" t="str">
            <v>sc</v>
          </cell>
        </row>
        <row r="1168">
          <cell r="A1168" t="str">
            <v>12-02-060</v>
          </cell>
          <cell r="B1168" t="str">
            <v>mt13900</v>
          </cell>
          <cell r="C1168" t="str">
            <v>Elementos de consumo y protección</v>
          </cell>
          <cell r="D1168">
            <v>1456475</v>
          </cell>
          <cell r="E1168" t="str">
            <v>%</v>
          </cell>
          <cell r="F1168">
            <v>1.2455000000000001E-2</v>
          </cell>
          <cell r="G1168">
            <v>18141</v>
          </cell>
          <cell r="M1168" t="str">
            <v>mt</v>
          </cell>
        </row>
        <row r="1169">
          <cell r="A1169" t="str">
            <v>12-02-060</v>
          </cell>
          <cell r="B1169" t="str">
            <v>hm15100</v>
          </cell>
          <cell r="C1169" t="str">
            <v>Herramienta y equipo menor</v>
          </cell>
          <cell r="D1169">
            <v>1456475</v>
          </cell>
          <cell r="E1169" t="str">
            <v>%</v>
          </cell>
          <cell r="F1169">
            <v>0.03</v>
          </cell>
          <cell r="G1169">
            <v>43695</v>
          </cell>
          <cell r="M1169" t="str">
            <v>hm</v>
          </cell>
        </row>
        <row r="1170">
          <cell r="A1170">
            <v>0</v>
          </cell>
          <cell r="C1170" t="str">
            <v>DIRECTO:  7,145,056 / UN</v>
          </cell>
          <cell r="D1170">
            <v>0</v>
          </cell>
          <cell r="E1170">
            <v>0</v>
          </cell>
          <cell r="F1170">
            <v>0</v>
          </cell>
          <cell r="G1170">
            <v>0</v>
          </cell>
          <cell r="M1170">
            <v>0</v>
          </cell>
        </row>
        <row r="1171">
          <cell r="A1171">
            <v>0</v>
          </cell>
          <cell r="C1171">
            <v>0</v>
          </cell>
          <cell r="E1171">
            <v>0</v>
          </cell>
          <cell r="F1171">
            <v>0</v>
          </cell>
          <cell r="G1171">
            <v>0</v>
          </cell>
          <cell r="M1171">
            <v>0</v>
          </cell>
        </row>
        <row r="1172">
          <cell r="A1172" t="str">
            <v>12-02-070</v>
          </cell>
          <cell r="B1172" t="str">
            <v>12-02-070</v>
          </cell>
          <cell r="C1172" t="str">
            <v>PUERTA P07 (1.52x2.94). MARCO + ALA(S) EN MADERA. INCLUYE ACABADO FINAL</v>
          </cell>
          <cell r="D1172">
            <v>1</v>
          </cell>
          <cell r="E1172" t="str">
            <v>UN</v>
          </cell>
          <cell r="F1172">
            <v>0</v>
          </cell>
          <cell r="G1172">
            <v>6602745</v>
          </cell>
          <cell r="M1172" t="e">
            <v>#N/A</v>
          </cell>
        </row>
        <row r="1173">
          <cell r="A1173" t="str">
            <v>12-02-070</v>
          </cell>
          <cell r="B1173" t="str">
            <v>mt571000</v>
          </cell>
          <cell r="C1173" t="str">
            <v>Madera cedro</v>
          </cell>
          <cell r="D1173">
            <v>0.89376</v>
          </cell>
          <cell r="E1173" t="str">
            <v>m3</v>
          </cell>
          <cell r="F1173">
            <v>2641600</v>
          </cell>
          <cell r="G1173">
            <v>2360957</v>
          </cell>
          <cell r="M1173" t="str">
            <v>mt</v>
          </cell>
        </row>
        <row r="1174">
          <cell r="A1174" t="str">
            <v>12-02-070</v>
          </cell>
          <cell r="B1174" t="str">
            <v>mt18620</v>
          </cell>
          <cell r="C1174" t="str">
            <v>Barniz para puertas y ventanas en madera</v>
          </cell>
          <cell r="D1174">
            <v>2</v>
          </cell>
          <cell r="E1174" t="str">
            <v>gl</v>
          </cell>
          <cell r="F1174">
            <v>40538.400000000001</v>
          </cell>
          <cell r="G1174">
            <v>81077</v>
          </cell>
          <cell r="M1174" t="str">
            <v>mt</v>
          </cell>
        </row>
        <row r="1175">
          <cell r="A1175" t="str">
            <v>12-02-070</v>
          </cell>
          <cell r="B1175" t="str">
            <v>mt51130</v>
          </cell>
          <cell r="C1175" t="str">
            <v>Cerradura para puerta en madera</v>
          </cell>
          <cell r="D1175">
            <v>1</v>
          </cell>
          <cell r="E1175" t="str">
            <v>un</v>
          </cell>
          <cell r="F1175">
            <v>96520</v>
          </cell>
          <cell r="G1175">
            <v>96520</v>
          </cell>
          <cell r="M1175" t="str">
            <v>mt</v>
          </cell>
        </row>
        <row r="1176">
          <cell r="A1176" t="str">
            <v>12-02-070</v>
          </cell>
          <cell r="B1176" t="str">
            <v>au10260</v>
          </cell>
          <cell r="C1176" t="str">
            <v>Aux MO oficial carpintero</v>
          </cell>
          <cell r="D1176">
            <v>75</v>
          </cell>
          <cell r="E1176" t="str">
            <v>hr</v>
          </cell>
          <cell r="F1176">
            <v>12901.168</v>
          </cell>
          <cell r="G1176">
            <v>967588</v>
          </cell>
          <cell r="M1176" t="str">
            <v>mo</v>
          </cell>
        </row>
        <row r="1177">
          <cell r="A1177" t="str">
            <v>12-02-070</v>
          </cell>
          <cell r="B1177" t="str">
            <v>au10000</v>
          </cell>
          <cell r="C1177" t="str">
            <v>Aux MO ayudante</v>
          </cell>
          <cell r="D1177">
            <v>75</v>
          </cell>
          <cell r="E1177" t="str">
            <v>hr</v>
          </cell>
          <cell r="F1177">
            <v>5080</v>
          </cell>
          <cell r="G1177">
            <v>381000</v>
          </cell>
          <cell r="M1177" t="str">
            <v>mo</v>
          </cell>
        </row>
        <row r="1178">
          <cell r="A1178" t="str">
            <v>12-02-070</v>
          </cell>
          <cell r="B1178" t="str">
            <v>TP500020</v>
          </cell>
          <cell r="C1178" t="str">
            <v>Transporte puertas y ventanas</v>
          </cell>
          <cell r="D1178">
            <v>4.4687999999999999</v>
          </cell>
          <cell r="E1178" t="str">
            <v>m2</v>
          </cell>
          <cell r="F1178">
            <v>50800</v>
          </cell>
          <cell r="G1178">
            <v>227016</v>
          </cell>
          <cell r="M1178" t="str">
            <v>TP</v>
          </cell>
        </row>
        <row r="1179">
          <cell r="A1179" t="str">
            <v>12-02-070</v>
          </cell>
          <cell r="B1179" t="str">
            <v>sc97420</v>
          </cell>
          <cell r="C1179" t="str">
            <v>Subcontrato instalacion puertas y ventanas + AIU</v>
          </cell>
          <cell r="D1179">
            <v>4.4687999999999999</v>
          </cell>
          <cell r="E1179" t="str">
            <v>m2</v>
          </cell>
          <cell r="F1179">
            <v>544068</v>
          </cell>
          <cell r="G1179">
            <v>2431332</v>
          </cell>
          <cell r="M1179" t="str">
            <v>sc</v>
          </cell>
        </row>
        <row r="1180">
          <cell r="A1180" t="str">
            <v>12-02-070</v>
          </cell>
          <cell r="B1180" t="str">
            <v>mt13900</v>
          </cell>
          <cell r="C1180" t="str">
            <v>Elementos de consumo y protección</v>
          </cell>
          <cell r="D1180">
            <v>1348588</v>
          </cell>
          <cell r="E1180" t="str">
            <v>%</v>
          </cell>
          <cell r="F1180">
            <v>1.2455000000000001E-2</v>
          </cell>
          <cell r="G1180">
            <v>16797</v>
          </cell>
          <cell r="M1180" t="str">
            <v>mt</v>
          </cell>
        </row>
        <row r="1181">
          <cell r="A1181" t="str">
            <v>12-02-070</v>
          </cell>
          <cell r="B1181" t="str">
            <v>hm15100</v>
          </cell>
          <cell r="C1181" t="str">
            <v>Herramienta y equipo menor</v>
          </cell>
          <cell r="D1181">
            <v>1348588</v>
          </cell>
          <cell r="E1181" t="str">
            <v>%</v>
          </cell>
          <cell r="F1181">
            <v>0.03</v>
          </cell>
          <cell r="G1181">
            <v>40458</v>
          </cell>
          <cell r="M1181" t="str">
            <v>hm</v>
          </cell>
        </row>
        <row r="1182">
          <cell r="A1182">
            <v>0</v>
          </cell>
          <cell r="C1182" t="str">
            <v>DIRECTO:  6,602,745 / UN</v>
          </cell>
          <cell r="D1182">
            <v>0</v>
          </cell>
          <cell r="E1182">
            <v>0</v>
          </cell>
          <cell r="F1182">
            <v>0</v>
          </cell>
          <cell r="G1182">
            <v>0</v>
          </cell>
          <cell r="M1182">
            <v>0</v>
          </cell>
        </row>
        <row r="1183">
          <cell r="A1183">
            <v>0</v>
          </cell>
          <cell r="C1183">
            <v>0</v>
          </cell>
          <cell r="E1183">
            <v>0</v>
          </cell>
          <cell r="F1183">
            <v>0</v>
          </cell>
          <cell r="G1183">
            <v>0</v>
          </cell>
          <cell r="M1183">
            <v>0</v>
          </cell>
        </row>
        <row r="1184">
          <cell r="A1184" t="str">
            <v>12-02-090</v>
          </cell>
          <cell r="B1184" t="str">
            <v>12-02-090</v>
          </cell>
          <cell r="C1184" t="str">
            <v>PUERTA P09 (1.58x2.94). MARCO + ALA(S) EN MADERA. INCLUYE ACABADO FINAL</v>
          </cell>
          <cell r="D1184">
            <v>1</v>
          </cell>
          <cell r="E1184" t="str">
            <v>UN</v>
          </cell>
          <cell r="F1184">
            <v>0</v>
          </cell>
          <cell r="G1184">
            <v>5685882</v>
          </cell>
          <cell r="M1184" t="e">
            <v>#N/A</v>
          </cell>
        </row>
        <row r="1185">
          <cell r="A1185" t="str">
            <v>12-02-090</v>
          </cell>
          <cell r="B1185" t="str">
            <v>mt571000</v>
          </cell>
          <cell r="C1185" t="str">
            <v>Madera cedro</v>
          </cell>
          <cell r="D1185">
            <v>0.92904000000000009</v>
          </cell>
          <cell r="E1185" t="str">
            <v>m3</v>
          </cell>
          <cell r="F1185">
            <v>2641600</v>
          </cell>
          <cell r="G1185">
            <v>2454153</v>
          </cell>
          <cell r="M1185" t="str">
            <v>mt</v>
          </cell>
        </row>
        <row r="1186">
          <cell r="A1186" t="str">
            <v>12-02-090</v>
          </cell>
          <cell r="B1186" t="str">
            <v>mt18620</v>
          </cell>
          <cell r="C1186" t="str">
            <v>Barniz para puertas y ventanas en madera</v>
          </cell>
          <cell r="D1186">
            <v>2</v>
          </cell>
          <cell r="E1186" t="str">
            <v>gl</v>
          </cell>
          <cell r="F1186">
            <v>40538.400000000001</v>
          </cell>
          <cell r="G1186">
            <v>81077</v>
          </cell>
          <cell r="M1186" t="str">
            <v>mt</v>
          </cell>
        </row>
        <row r="1187">
          <cell r="A1187" t="str">
            <v>12-02-090</v>
          </cell>
          <cell r="B1187" t="str">
            <v>mt51130</v>
          </cell>
          <cell r="C1187" t="str">
            <v>Cerradura para puerta en madera</v>
          </cell>
          <cell r="D1187">
            <v>1</v>
          </cell>
          <cell r="E1187" t="str">
            <v>un</v>
          </cell>
          <cell r="F1187">
            <v>96520</v>
          </cell>
          <cell r="G1187">
            <v>96520</v>
          </cell>
          <cell r="M1187" t="str">
            <v>mt</v>
          </cell>
        </row>
        <row r="1188">
          <cell r="A1188" t="str">
            <v>12-02-090</v>
          </cell>
          <cell r="B1188" t="str">
            <v>au10260</v>
          </cell>
          <cell r="C1188" t="str">
            <v>Aux MO oficial carpintero</v>
          </cell>
          <cell r="D1188">
            <v>45</v>
          </cell>
          <cell r="E1188" t="str">
            <v>hr</v>
          </cell>
          <cell r="F1188">
            <v>12901.168</v>
          </cell>
          <cell r="G1188">
            <v>580553</v>
          </cell>
          <cell r="M1188" t="str">
            <v>mo</v>
          </cell>
        </row>
        <row r="1189">
          <cell r="A1189" t="str">
            <v>12-02-090</v>
          </cell>
          <cell r="B1189" t="str">
            <v>au10000</v>
          </cell>
          <cell r="C1189" t="str">
            <v>Aux MO ayudante</v>
          </cell>
          <cell r="D1189">
            <v>45</v>
          </cell>
          <cell r="E1189" t="str">
            <v>hr</v>
          </cell>
          <cell r="F1189">
            <v>5080</v>
          </cell>
          <cell r="G1189">
            <v>228600</v>
          </cell>
          <cell r="M1189" t="str">
            <v>mo</v>
          </cell>
        </row>
        <row r="1190">
          <cell r="A1190" t="str">
            <v>12-02-090</v>
          </cell>
          <cell r="B1190" t="str">
            <v>TP500020</v>
          </cell>
          <cell r="C1190" t="str">
            <v>Transporte puertas y ventanas</v>
          </cell>
          <cell r="D1190">
            <v>3.7161600000000004</v>
          </cell>
          <cell r="E1190" t="str">
            <v>m2</v>
          </cell>
          <cell r="F1190">
            <v>50800</v>
          </cell>
          <cell r="G1190">
            <v>188781</v>
          </cell>
          <cell r="M1190" t="str">
            <v>TP</v>
          </cell>
        </row>
        <row r="1191">
          <cell r="A1191" t="str">
            <v>12-02-090</v>
          </cell>
          <cell r="B1191" t="str">
            <v>sc97420</v>
          </cell>
          <cell r="C1191" t="str">
            <v>Subcontrato instalacion puertas y ventanas + AIU</v>
          </cell>
          <cell r="D1191">
            <v>3.7161600000000004</v>
          </cell>
          <cell r="E1191" t="str">
            <v>m2</v>
          </cell>
          <cell r="F1191">
            <v>544068</v>
          </cell>
          <cell r="G1191">
            <v>2021844</v>
          </cell>
          <cell r="M1191" t="str">
            <v>sc</v>
          </cell>
        </row>
        <row r="1192">
          <cell r="A1192" t="str">
            <v>12-02-090</v>
          </cell>
          <cell r="B1192" t="str">
            <v>mt13900</v>
          </cell>
          <cell r="C1192" t="str">
            <v>Elementos de consumo y protección</v>
          </cell>
          <cell r="D1192">
            <v>809153</v>
          </cell>
          <cell r="E1192" t="str">
            <v>%</v>
          </cell>
          <cell r="F1192">
            <v>1.2455000000000001E-2</v>
          </cell>
          <cell r="G1192">
            <v>10079</v>
          </cell>
          <cell r="M1192" t="str">
            <v>mt</v>
          </cell>
        </row>
        <row r="1193">
          <cell r="A1193" t="str">
            <v>12-02-090</v>
          </cell>
          <cell r="B1193" t="str">
            <v>hm15100</v>
          </cell>
          <cell r="C1193" t="str">
            <v>Herramienta y equipo menor</v>
          </cell>
          <cell r="D1193">
            <v>809153</v>
          </cell>
          <cell r="E1193" t="str">
            <v>%</v>
          </cell>
          <cell r="F1193">
            <v>0.03</v>
          </cell>
          <cell r="G1193">
            <v>24275</v>
          </cell>
          <cell r="M1193" t="str">
            <v>hm</v>
          </cell>
        </row>
        <row r="1194">
          <cell r="A1194">
            <v>0</v>
          </cell>
          <cell r="C1194" t="str">
            <v>DIRECTO:  5,685,882 / UN</v>
          </cell>
          <cell r="D1194">
            <v>0</v>
          </cell>
          <cell r="E1194">
            <v>0</v>
          </cell>
          <cell r="F1194">
            <v>0</v>
          </cell>
          <cell r="G1194">
            <v>0</v>
          </cell>
          <cell r="M1194">
            <v>0</v>
          </cell>
        </row>
        <row r="1195">
          <cell r="A1195">
            <v>0</v>
          </cell>
          <cell r="C1195">
            <v>0</v>
          </cell>
          <cell r="E1195">
            <v>0</v>
          </cell>
          <cell r="F1195">
            <v>0</v>
          </cell>
          <cell r="G1195">
            <v>0</v>
          </cell>
          <cell r="M1195">
            <v>0</v>
          </cell>
        </row>
        <row r="1196">
          <cell r="A1196" t="str">
            <v>12-02-100</v>
          </cell>
          <cell r="B1196" t="str">
            <v>12-02-100</v>
          </cell>
          <cell r="C1196" t="str">
            <v>PUERTA P10 (1.42x2.76). MARCO + ALA(S) EN MADERA. INCLUYE ACABADO FINAL</v>
          </cell>
          <cell r="D1196">
            <v>1</v>
          </cell>
          <cell r="E1196" t="str">
            <v>UN</v>
          </cell>
          <cell r="F1196">
            <v>0</v>
          </cell>
          <cell r="G1196">
            <v>5769879</v>
          </cell>
          <cell r="M1196" t="e">
            <v>#N/A</v>
          </cell>
        </row>
        <row r="1197">
          <cell r="A1197" t="str">
            <v>12-02-100</v>
          </cell>
          <cell r="B1197" t="str">
            <v>mt571000</v>
          </cell>
          <cell r="C1197" t="str">
            <v>Madera cedro</v>
          </cell>
          <cell r="D1197">
            <v>0.78383999999999998</v>
          </cell>
          <cell r="E1197" t="str">
            <v>m3</v>
          </cell>
          <cell r="F1197">
            <v>2641600</v>
          </cell>
          <cell r="G1197">
            <v>2070592</v>
          </cell>
          <cell r="M1197" t="str">
            <v>mt</v>
          </cell>
        </row>
        <row r="1198">
          <cell r="A1198" t="str">
            <v>12-02-100</v>
          </cell>
          <cell r="B1198" t="str">
            <v>mt18620</v>
          </cell>
          <cell r="C1198" t="str">
            <v>Barniz para puertas y ventanas en madera</v>
          </cell>
          <cell r="D1198">
            <v>2</v>
          </cell>
          <cell r="E1198" t="str">
            <v>gl</v>
          </cell>
          <cell r="F1198">
            <v>40538.400000000001</v>
          </cell>
          <cell r="G1198">
            <v>81077</v>
          </cell>
          <cell r="M1198" t="str">
            <v>mt</v>
          </cell>
        </row>
        <row r="1199">
          <cell r="A1199" t="str">
            <v>12-02-100</v>
          </cell>
          <cell r="B1199" t="str">
            <v>mt51130</v>
          </cell>
          <cell r="C1199" t="str">
            <v>Cerradura para puerta en madera</v>
          </cell>
          <cell r="D1199">
            <v>1</v>
          </cell>
          <cell r="E1199" t="str">
            <v>un</v>
          </cell>
          <cell r="F1199">
            <v>96520</v>
          </cell>
          <cell r="G1199">
            <v>96520</v>
          </cell>
          <cell r="M1199" t="str">
            <v>mt</v>
          </cell>
        </row>
        <row r="1200">
          <cell r="A1200" t="str">
            <v>12-02-100</v>
          </cell>
          <cell r="B1200" t="str">
            <v>au10260</v>
          </cell>
          <cell r="C1200" t="str">
            <v>Aux MO oficial carpintero</v>
          </cell>
          <cell r="D1200">
            <v>63.5</v>
          </cell>
          <cell r="E1200" t="str">
            <v>hr</v>
          </cell>
          <cell r="F1200">
            <v>12901.168</v>
          </cell>
          <cell r="G1200">
            <v>819225</v>
          </cell>
          <cell r="M1200" t="str">
            <v>mo</v>
          </cell>
        </row>
        <row r="1201">
          <cell r="A1201" t="str">
            <v>12-02-100</v>
          </cell>
          <cell r="B1201" t="str">
            <v>au10000</v>
          </cell>
          <cell r="C1201" t="str">
            <v>Aux MO ayudante</v>
          </cell>
          <cell r="D1201">
            <v>63.5</v>
          </cell>
          <cell r="E1201" t="str">
            <v>hr</v>
          </cell>
          <cell r="F1201">
            <v>5080</v>
          </cell>
          <cell r="G1201">
            <v>322580</v>
          </cell>
          <cell r="M1201" t="str">
            <v>mo</v>
          </cell>
        </row>
        <row r="1202">
          <cell r="A1202" t="str">
            <v>12-02-100</v>
          </cell>
          <cell r="B1202" t="str">
            <v>TP500020</v>
          </cell>
          <cell r="C1202" t="str">
            <v>Transporte puertas y ventanas</v>
          </cell>
          <cell r="D1202">
            <v>3.9191999999999996</v>
          </cell>
          <cell r="E1202" t="str">
            <v>m2</v>
          </cell>
          <cell r="F1202">
            <v>50800</v>
          </cell>
          <cell r="G1202">
            <v>199096</v>
          </cell>
          <cell r="M1202" t="str">
            <v>TP</v>
          </cell>
        </row>
        <row r="1203">
          <cell r="A1203" t="str">
            <v>12-02-100</v>
          </cell>
          <cell r="B1203" t="str">
            <v>sc97420</v>
          </cell>
          <cell r="C1203" t="str">
            <v>Subcontrato instalacion puertas y ventanas + AIU</v>
          </cell>
          <cell r="D1203">
            <v>3.9191999999999996</v>
          </cell>
          <cell r="E1203" t="str">
            <v>m2</v>
          </cell>
          <cell r="F1203">
            <v>544068</v>
          </cell>
          <cell r="G1203">
            <v>2132312</v>
          </cell>
          <cell r="M1203" t="str">
            <v>sc</v>
          </cell>
        </row>
        <row r="1204">
          <cell r="A1204" t="str">
            <v>12-02-100</v>
          </cell>
          <cell r="B1204" t="str">
            <v>mt13900</v>
          </cell>
          <cell r="C1204" t="str">
            <v>Elementos de consumo y protección</v>
          </cell>
          <cell r="D1204">
            <v>1141805</v>
          </cell>
          <cell r="E1204" t="str">
            <v>%</v>
          </cell>
          <cell r="F1204">
            <v>1.2455000000000001E-2</v>
          </cell>
          <cell r="G1204">
            <v>14222</v>
          </cell>
          <cell r="M1204" t="str">
            <v>mt</v>
          </cell>
        </row>
        <row r="1205">
          <cell r="A1205" t="str">
            <v>12-02-100</v>
          </cell>
          <cell r="B1205" t="str">
            <v>hm15100</v>
          </cell>
          <cell r="C1205" t="str">
            <v>Herramienta y equipo menor</v>
          </cell>
          <cell r="D1205">
            <v>1141805</v>
          </cell>
          <cell r="E1205" t="str">
            <v>%</v>
          </cell>
          <cell r="F1205">
            <v>0.03</v>
          </cell>
          <cell r="G1205">
            <v>34255</v>
          </cell>
          <cell r="M1205" t="str">
            <v>hm</v>
          </cell>
        </row>
        <row r="1206">
          <cell r="A1206">
            <v>0</v>
          </cell>
          <cell r="C1206" t="str">
            <v>DIRECTO:  5,769,879 / UN</v>
          </cell>
          <cell r="D1206">
            <v>0</v>
          </cell>
          <cell r="E1206">
            <v>0</v>
          </cell>
          <cell r="F1206">
            <v>0</v>
          </cell>
          <cell r="G1206">
            <v>0</v>
          </cell>
          <cell r="M1206">
            <v>0</v>
          </cell>
        </row>
        <row r="1207">
          <cell r="A1207">
            <v>0</v>
          </cell>
          <cell r="C1207">
            <v>0</v>
          </cell>
          <cell r="E1207">
            <v>0</v>
          </cell>
          <cell r="F1207">
            <v>0</v>
          </cell>
          <cell r="G1207">
            <v>0</v>
          </cell>
          <cell r="M1207">
            <v>0</v>
          </cell>
        </row>
        <row r="1208">
          <cell r="A1208" t="str">
            <v>12-02-110</v>
          </cell>
          <cell r="B1208" t="str">
            <v>12-02-110</v>
          </cell>
          <cell r="C1208" t="str">
            <v>PUERTA P11 (1.42x2.60). MARCO + ALA(S) EN MADERA. INCLUYE ACABADO FINAL</v>
          </cell>
          <cell r="D1208">
            <v>1</v>
          </cell>
          <cell r="E1208" t="str">
            <v>UN</v>
          </cell>
          <cell r="F1208">
            <v>0</v>
          </cell>
          <cell r="G1208">
            <v>5458456</v>
          </cell>
          <cell r="M1208" t="e">
            <v>#N/A</v>
          </cell>
        </row>
        <row r="1209">
          <cell r="A1209" t="str">
            <v>12-02-110</v>
          </cell>
          <cell r="B1209" t="str">
            <v>mt571000</v>
          </cell>
          <cell r="C1209" t="str">
            <v>Madera cedro</v>
          </cell>
          <cell r="D1209">
            <v>0.73839999999999995</v>
          </cell>
          <cell r="E1209" t="str">
            <v>m3</v>
          </cell>
          <cell r="F1209">
            <v>2641600</v>
          </cell>
          <cell r="G1209">
            <v>1950558</v>
          </cell>
          <cell r="M1209" t="str">
            <v>mt</v>
          </cell>
        </row>
        <row r="1210">
          <cell r="A1210" t="str">
            <v>12-02-110</v>
          </cell>
          <cell r="B1210" t="str">
            <v>mt18620</v>
          </cell>
          <cell r="C1210" t="str">
            <v>Barniz para puertas y ventanas en madera</v>
          </cell>
          <cell r="D1210">
            <v>2</v>
          </cell>
          <cell r="E1210" t="str">
            <v>gl</v>
          </cell>
          <cell r="F1210">
            <v>40538.400000000001</v>
          </cell>
          <cell r="G1210">
            <v>81077</v>
          </cell>
          <cell r="M1210" t="str">
            <v>mt</v>
          </cell>
        </row>
        <row r="1211">
          <cell r="A1211" t="str">
            <v>12-02-110</v>
          </cell>
          <cell r="B1211" t="str">
            <v>mt51130</v>
          </cell>
          <cell r="C1211" t="str">
            <v>Cerradura para puerta en madera</v>
          </cell>
          <cell r="D1211">
            <v>1</v>
          </cell>
          <cell r="E1211" t="str">
            <v>un</v>
          </cell>
          <cell r="F1211">
            <v>96520</v>
          </cell>
          <cell r="G1211">
            <v>96520</v>
          </cell>
          <cell r="M1211" t="str">
            <v>mt</v>
          </cell>
        </row>
        <row r="1212">
          <cell r="A1212" t="str">
            <v>12-02-110</v>
          </cell>
          <cell r="B1212" t="str">
            <v>au10260</v>
          </cell>
          <cell r="C1212" t="str">
            <v>Aux MO oficial carpintero</v>
          </cell>
          <cell r="D1212">
            <v>60.5</v>
          </cell>
          <cell r="E1212" t="str">
            <v>hr</v>
          </cell>
          <cell r="F1212">
            <v>12901.168</v>
          </cell>
          <cell r="G1212">
            <v>780521</v>
          </cell>
          <cell r="M1212" t="str">
            <v>mo</v>
          </cell>
        </row>
        <row r="1213">
          <cell r="A1213" t="str">
            <v>12-02-110</v>
          </cell>
          <cell r="B1213" t="str">
            <v>au10000</v>
          </cell>
          <cell r="C1213" t="str">
            <v>Aux MO ayudante</v>
          </cell>
          <cell r="D1213">
            <v>60.5</v>
          </cell>
          <cell r="E1213" t="str">
            <v>hr</v>
          </cell>
          <cell r="F1213">
            <v>5080</v>
          </cell>
          <cell r="G1213">
            <v>307340</v>
          </cell>
          <cell r="M1213" t="str">
            <v>mo</v>
          </cell>
        </row>
        <row r="1214">
          <cell r="A1214" t="str">
            <v>12-02-110</v>
          </cell>
          <cell r="B1214" t="str">
            <v>TP500020</v>
          </cell>
          <cell r="C1214" t="str">
            <v>Transporte puertas y ventanas</v>
          </cell>
          <cell r="D1214">
            <v>3.6919999999999997</v>
          </cell>
          <cell r="E1214" t="str">
            <v>m2</v>
          </cell>
          <cell r="F1214">
            <v>50800</v>
          </cell>
          <cell r="G1214">
            <v>187554</v>
          </cell>
          <cell r="M1214" t="str">
            <v>TP</v>
          </cell>
        </row>
        <row r="1215">
          <cell r="A1215" t="str">
            <v>12-02-110</v>
          </cell>
          <cell r="B1215" t="str">
            <v>sc97420</v>
          </cell>
          <cell r="C1215" t="str">
            <v>Subcontrato instalacion puertas y ventanas + AIU</v>
          </cell>
          <cell r="D1215">
            <v>3.6919999999999997</v>
          </cell>
          <cell r="E1215" t="str">
            <v>m2</v>
          </cell>
          <cell r="F1215">
            <v>544068</v>
          </cell>
          <cell r="G1215">
            <v>2008700</v>
          </cell>
          <cell r="M1215" t="str">
            <v>sc</v>
          </cell>
        </row>
        <row r="1216">
          <cell r="A1216" t="str">
            <v>12-02-110</v>
          </cell>
          <cell r="B1216" t="str">
            <v>mt13900</v>
          </cell>
          <cell r="C1216" t="str">
            <v>Elementos de consumo y protección</v>
          </cell>
          <cell r="D1216">
            <v>1087861</v>
          </cell>
          <cell r="E1216" t="str">
            <v>%</v>
          </cell>
          <cell r="F1216">
            <v>1.2455000000000001E-2</v>
          </cell>
          <cell r="G1216">
            <v>13550</v>
          </cell>
          <cell r="M1216" t="str">
            <v>mt</v>
          </cell>
        </row>
        <row r="1217">
          <cell r="A1217" t="str">
            <v>12-02-110</v>
          </cell>
          <cell r="B1217" t="str">
            <v>hm15100</v>
          </cell>
          <cell r="C1217" t="str">
            <v>Herramienta y equipo menor</v>
          </cell>
          <cell r="D1217">
            <v>1087861</v>
          </cell>
          <cell r="E1217" t="str">
            <v>%</v>
          </cell>
          <cell r="F1217">
            <v>0.03</v>
          </cell>
          <cell r="G1217">
            <v>32636</v>
          </cell>
          <cell r="M1217" t="str">
            <v>hm</v>
          </cell>
        </row>
        <row r="1218">
          <cell r="A1218">
            <v>0</v>
          </cell>
          <cell r="C1218" t="str">
            <v>DIRECTO:  5,458,456 / UN</v>
          </cell>
          <cell r="D1218">
            <v>0</v>
          </cell>
          <cell r="E1218">
            <v>0</v>
          </cell>
          <cell r="F1218">
            <v>0</v>
          </cell>
          <cell r="G1218">
            <v>0</v>
          </cell>
          <cell r="M1218">
            <v>0</v>
          </cell>
        </row>
        <row r="1219">
          <cell r="A1219">
            <v>0</v>
          </cell>
          <cell r="C1219">
            <v>0</v>
          </cell>
          <cell r="E1219">
            <v>0</v>
          </cell>
          <cell r="F1219">
            <v>0</v>
          </cell>
          <cell r="G1219">
            <v>0</v>
          </cell>
          <cell r="M1219">
            <v>0</v>
          </cell>
        </row>
        <row r="1220">
          <cell r="A1220" t="str">
            <v>12-02-120</v>
          </cell>
          <cell r="B1220" t="str">
            <v>12-02-120</v>
          </cell>
          <cell r="C1220" t="str">
            <v>PUERTA P12 (1.49x2.74). MARCO + ALA(S) EN MADERA. INCLUYE ACABADO FINAL</v>
          </cell>
          <cell r="D1220">
            <v>1</v>
          </cell>
          <cell r="E1220" t="str">
            <v>UN</v>
          </cell>
          <cell r="F1220">
            <v>0</v>
          </cell>
          <cell r="G1220">
            <v>6477845</v>
          </cell>
          <cell r="M1220" t="e">
            <v>#N/A</v>
          </cell>
        </row>
        <row r="1221">
          <cell r="A1221" t="str">
            <v>12-02-120</v>
          </cell>
          <cell r="B1221" t="str">
            <v>mt571000</v>
          </cell>
          <cell r="C1221" t="str">
            <v>Madera cedro</v>
          </cell>
          <cell r="D1221">
            <v>0.81652000000000013</v>
          </cell>
          <cell r="E1221" t="str">
            <v>m3</v>
          </cell>
          <cell r="F1221">
            <v>2641600</v>
          </cell>
          <cell r="G1221">
            <v>2156920</v>
          </cell>
          <cell r="M1221" t="str">
            <v>mt</v>
          </cell>
        </row>
        <row r="1222">
          <cell r="A1222" t="str">
            <v>12-02-120</v>
          </cell>
          <cell r="B1222" t="str">
            <v>mt18620</v>
          </cell>
          <cell r="C1222" t="str">
            <v>Barniz para puertas y ventanas en madera</v>
          </cell>
          <cell r="D1222">
            <v>2</v>
          </cell>
          <cell r="E1222" t="str">
            <v>gl</v>
          </cell>
          <cell r="F1222">
            <v>40538.400000000001</v>
          </cell>
          <cell r="G1222">
            <v>81077</v>
          </cell>
          <cell r="M1222" t="str">
            <v>mt</v>
          </cell>
        </row>
        <row r="1223">
          <cell r="A1223" t="str">
            <v>12-02-120</v>
          </cell>
          <cell r="B1223" t="str">
            <v>mt51130</v>
          </cell>
          <cell r="C1223" t="str">
            <v>Cerradura para puerta en madera</v>
          </cell>
          <cell r="D1223">
            <v>1</v>
          </cell>
          <cell r="E1223" t="str">
            <v>un</v>
          </cell>
          <cell r="F1223">
            <v>96520</v>
          </cell>
          <cell r="G1223">
            <v>96520</v>
          </cell>
          <cell r="M1223" t="str">
            <v>mt</v>
          </cell>
        </row>
        <row r="1224">
          <cell r="A1224" t="str">
            <v>12-02-120</v>
          </cell>
          <cell r="B1224" t="str">
            <v>au10260</v>
          </cell>
          <cell r="C1224" t="str">
            <v>Aux MO oficial carpintero</v>
          </cell>
          <cell r="D1224">
            <v>85</v>
          </cell>
          <cell r="E1224" t="str">
            <v>hr</v>
          </cell>
          <cell r="F1224">
            <v>12901.168</v>
          </cell>
          <cell r="G1224">
            <v>1096600</v>
          </cell>
          <cell r="M1224" t="str">
            <v>mo</v>
          </cell>
        </row>
        <row r="1225">
          <cell r="A1225" t="str">
            <v>12-02-120</v>
          </cell>
          <cell r="B1225" t="str">
            <v>au10000</v>
          </cell>
          <cell r="C1225" t="str">
            <v>Aux MO ayudante</v>
          </cell>
          <cell r="D1225">
            <v>85</v>
          </cell>
          <cell r="E1225" t="str">
            <v>hr</v>
          </cell>
          <cell r="F1225">
            <v>5080</v>
          </cell>
          <cell r="G1225">
            <v>431800</v>
          </cell>
          <cell r="M1225" t="str">
            <v>mo</v>
          </cell>
        </row>
        <row r="1226">
          <cell r="A1226" t="str">
            <v>12-02-120</v>
          </cell>
          <cell r="B1226" t="str">
            <v>TP500020</v>
          </cell>
          <cell r="C1226" t="str">
            <v>Transporte puertas y ventanas</v>
          </cell>
          <cell r="D1226">
            <v>4.2867300000000004</v>
          </cell>
          <cell r="E1226" t="str">
            <v>m2</v>
          </cell>
          <cell r="F1226">
            <v>50800</v>
          </cell>
          <cell r="G1226">
            <v>217766</v>
          </cell>
          <cell r="M1226" t="str">
            <v>TP</v>
          </cell>
        </row>
        <row r="1227">
          <cell r="A1227" t="str">
            <v>12-02-120</v>
          </cell>
          <cell r="B1227" t="str">
            <v>sc97420</v>
          </cell>
          <cell r="C1227" t="str">
            <v>Subcontrato instalacion puertas y ventanas + AIU</v>
          </cell>
          <cell r="D1227">
            <v>4.2867300000000004</v>
          </cell>
          <cell r="E1227" t="str">
            <v>m2</v>
          </cell>
          <cell r="F1227">
            <v>544068</v>
          </cell>
          <cell r="G1227">
            <v>2332273</v>
          </cell>
          <cell r="M1227" t="str">
            <v>sc</v>
          </cell>
        </row>
        <row r="1228">
          <cell r="A1228" t="str">
            <v>12-02-120</v>
          </cell>
          <cell r="B1228" t="str">
            <v>mt13900</v>
          </cell>
          <cell r="C1228" t="str">
            <v>Elementos de consumo y protección</v>
          </cell>
          <cell r="D1228">
            <v>1528400</v>
          </cell>
          <cell r="E1228" t="str">
            <v>%</v>
          </cell>
          <cell r="F1228">
            <v>1.2455000000000001E-2</v>
          </cell>
          <cell r="G1228">
            <v>19037</v>
          </cell>
          <cell r="M1228" t="str">
            <v>mt</v>
          </cell>
        </row>
        <row r="1229">
          <cell r="A1229" t="str">
            <v>12-02-120</v>
          </cell>
          <cell r="B1229" t="str">
            <v>hm15100</v>
          </cell>
          <cell r="C1229" t="str">
            <v>Herramienta y equipo menor</v>
          </cell>
          <cell r="D1229">
            <v>1528400</v>
          </cell>
          <cell r="E1229" t="str">
            <v>%</v>
          </cell>
          <cell r="F1229">
            <v>0.03</v>
          </cell>
          <cell r="G1229">
            <v>45852</v>
          </cell>
          <cell r="M1229" t="str">
            <v>hm</v>
          </cell>
        </row>
        <row r="1230">
          <cell r="A1230">
            <v>0</v>
          </cell>
          <cell r="C1230" t="str">
            <v>DIRECTO:  6,477,845 / UN</v>
          </cell>
          <cell r="D1230">
            <v>0</v>
          </cell>
          <cell r="E1230">
            <v>0</v>
          </cell>
          <cell r="F1230">
            <v>0</v>
          </cell>
          <cell r="G1230">
            <v>0</v>
          </cell>
          <cell r="M1230">
            <v>0</v>
          </cell>
        </row>
        <row r="1231">
          <cell r="A1231">
            <v>0</v>
          </cell>
          <cell r="C1231">
            <v>0</v>
          </cell>
          <cell r="E1231">
            <v>0</v>
          </cell>
          <cell r="F1231">
            <v>0</v>
          </cell>
          <cell r="G1231">
            <v>0</v>
          </cell>
          <cell r="M1231">
            <v>0</v>
          </cell>
        </row>
        <row r="1232">
          <cell r="A1232" t="str">
            <v>12-02-130</v>
          </cell>
          <cell r="B1232" t="str">
            <v>12-02-130</v>
          </cell>
          <cell r="C1232" t="str">
            <v>PUERTA P13 (1.42x2.60). MARCO + ALA(S) EN MADERA. INCLUYE ACABADO FINAL</v>
          </cell>
          <cell r="D1232">
            <v>1</v>
          </cell>
          <cell r="E1232" t="str">
            <v>UN</v>
          </cell>
          <cell r="F1232">
            <v>0</v>
          </cell>
          <cell r="G1232">
            <v>5772654</v>
          </cell>
          <cell r="M1232" t="e">
            <v>#N/A</v>
          </cell>
        </row>
        <row r="1233">
          <cell r="A1233" t="str">
            <v>12-02-130</v>
          </cell>
          <cell r="B1233" t="str">
            <v>mt571000</v>
          </cell>
          <cell r="C1233" t="str">
            <v>Madera cedro</v>
          </cell>
          <cell r="D1233">
            <v>0.78383999999999998</v>
          </cell>
          <cell r="E1233" t="str">
            <v>m3</v>
          </cell>
          <cell r="F1233">
            <v>2641600</v>
          </cell>
          <cell r="G1233">
            <v>2070592</v>
          </cell>
          <cell r="M1233" t="str">
            <v>mt</v>
          </cell>
        </row>
        <row r="1234">
          <cell r="A1234" t="str">
            <v>12-02-130</v>
          </cell>
          <cell r="B1234" t="str">
            <v>mt18620</v>
          </cell>
          <cell r="C1234" t="str">
            <v>Barniz para puertas y ventanas en madera</v>
          </cell>
          <cell r="D1234">
            <v>2</v>
          </cell>
          <cell r="E1234" t="str">
            <v>gl</v>
          </cell>
          <cell r="F1234">
            <v>40538.400000000001</v>
          </cell>
          <cell r="G1234">
            <v>81077</v>
          </cell>
          <cell r="M1234" t="str">
            <v>mt</v>
          </cell>
        </row>
        <row r="1235">
          <cell r="A1235" t="str">
            <v>12-02-130</v>
          </cell>
          <cell r="B1235" t="str">
            <v>mt51130</v>
          </cell>
          <cell r="C1235" t="str">
            <v>Cerradura para puerta en madera</v>
          </cell>
          <cell r="D1235">
            <v>1</v>
          </cell>
          <cell r="E1235" t="str">
            <v>un</v>
          </cell>
          <cell r="F1235">
            <v>96520</v>
          </cell>
          <cell r="G1235">
            <v>96520</v>
          </cell>
          <cell r="M1235" t="str">
            <v>mt</v>
          </cell>
        </row>
        <row r="1236">
          <cell r="A1236" t="str">
            <v>12-02-130</v>
          </cell>
          <cell r="B1236" t="str">
            <v>au10260</v>
          </cell>
          <cell r="C1236" t="str">
            <v>Aux MO oficial carpintero</v>
          </cell>
          <cell r="D1236">
            <v>65</v>
          </cell>
          <cell r="E1236" t="str">
            <v>hr</v>
          </cell>
          <cell r="F1236">
            <v>12901.168</v>
          </cell>
          <cell r="G1236">
            <v>838576</v>
          </cell>
          <cell r="M1236" t="str">
            <v>mo</v>
          </cell>
        </row>
        <row r="1237">
          <cell r="A1237" t="str">
            <v>12-02-130</v>
          </cell>
          <cell r="B1237" t="str">
            <v>au10000</v>
          </cell>
          <cell r="C1237" t="str">
            <v>Aux MO ayudante</v>
          </cell>
          <cell r="D1237">
            <v>65</v>
          </cell>
          <cell r="E1237" t="str">
            <v>hr</v>
          </cell>
          <cell r="F1237">
            <v>5080</v>
          </cell>
          <cell r="G1237">
            <v>330200</v>
          </cell>
          <cell r="M1237" t="str">
            <v>mo</v>
          </cell>
        </row>
        <row r="1238">
          <cell r="A1238" t="str">
            <v>12-02-130</v>
          </cell>
          <cell r="B1238" t="str">
            <v>TP500020</v>
          </cell>
          <cell r="C1238" t="str">
            <v>Transporte puertas y ventanas</v>
          </cell>
          <cell r="D1238">
            <v>3.8765999999999998</v>
          </cell>
          <cell r="E1238" t="str">
            <v>m2</v>
          </cell>
          <cell r="F1238">
            <v>50800</v>
          </cell>
          <cell r="G1238">
            <v>196932</v>
          </cell>
          <cell r="M1238" t="str">
            <v>TP</v>
          </cell>
        </row>
        <row r="1239">
          <cell r="A1239" t="str">
            <v>12-02-130</v>
          </cell>
          <cell r="B1239" t="str">
            <v>sc97420</v>
          </cell>
          <cell r="C1239" t="str">
            <v>Subcontrato instalacion puertas y ventanas + AIU</v>
          </cell>
          <cell r="D1239">
            <v>3.8765999999999998</v>
          </cell>
          <cell r="E1239" t="str">
            <v>m2</v>
          </cell>
          <cell r="F1239">
            <v>544068</v>
          </cell>
          <cell r="G1239">
            <v>2109135</v>
          </cell>
          <cell r="M1239" t="str">
            <v>sc</v>
          </cell>
        </row>
        <row r="1240">
          <cell r="A1240" t="str">
            <v>12-02-130</v>
          </cell>
          <cell r="B1240" t="str">
            <v>mt13900</v>
          </cell>
          <cell r="C1240" t="str">
            <v>Elementos de consumo y protección</v>
          </cell>
          <cell r="D1240">
            <v>1168776</v>
          </cell>
          <cell r="E1240" t="str">
            <v>%</v>
          </cell>
          <cell r="F1240">
            <v>1.2455000000000001E-2</v>
          </cell>
          <cell r="G1240">
            <v>14558</v>
          </cell>
          <cell r="M1240" t="str">
            <v>mt</v>
          </cell>
        </row>
        <row r="1241">
          <cell r="A1241" t="str">
            <v>12-02-130</v>
          </cell>
          <cell r="B1241" t="str">
            <v>hm15100</v>
          </cell>
          <cell r="C1241" t="str">
            <v>Herramienta y equipo menor</v>
          </cell>
          <cell r="D1241">
            <v>1168776</v>
          </cell>
          <cell r="E1241" t="str">
            <v>%</v>
          </cell>
          <cell r="F1241">
            <v>0.03</v>
          </cell>
          <cell r="G1241">
            <v>35064</v>
          </cell>
          <cell r="M1241" t="str">
            <v>hm</v>
          </cell>
        </row>
        <row r="1242">
          <cell r="A1242">
            <v>0</v>
          </cell>
          <cell r="C1242" t="str">
            <v>DIRECTO:  5,772,654 / UN</v>
          </cell>
          <cell r="D1242">
            <v>0</v>
          </cell>
          <cell r="E1242">
            <v>0</v>
          </cell>
          <cell r="F1242">
            <v>0</v>
          </cell>
          <cell r="G1242">
            <v>0</v>
          </cell>
          <cell r="M1242">
            <v>0</v>
          </cell>
        </row>
        <row r="1243">
          <cell r="A1243">
            <v>0</v>
          </cell>
          <cell r="C1243">
            <v>0</v>
          </cell>
          <cell r="E1243">
            <v>0</v>
          </cell>
          <cell r="F1243">
            <v>0</v>
          </cell>
          <cell r="G1243">
            <v>0</v>
          </cell>
          <cell r="M1243">
            <v>0</v>
          </cell>
        </row>
        <row r="1244">
          <cell r="A1244" t="str">
            <v>12-02-140</v>
          </cell>
          <cell r="B1244" t="str">
            <v>12-02-140</v>
          </cell>
          <cell r="C1244" t="str">
            <v>PUERTA P14 (1.49x2.34). MARCO + ALA(S) EN MADERA. INCLUYE ACABADO FINAL</v>
          </cell>
          <cell r="D1244">
            <v>1</v>
          </cell>
          <cell r="E1244" t="str">
            <v>UN</v>
          </cell>
          <cell r="F1244">
            <v>0</v>
          </cell>
          <cell r="G1244">
            <v>5143403</v>
          </cell>
          <cell r="M1244" t="e">
            <v>#N/A</v>
          </cell>
        </row>
        <row r="1245">
          <cell r="A1245" t="str">
            <v>12-02-140</v>
          </cell>
          <cell r="B1245" t="str">
            <v>mt571000</v>
          </cell>
          <cell r="C1245" t="str">
            <v>Madera cedro</v>
          </cell>
          <cell r="D1245">
            <v>0.69731999999999994</v>
          </cell>
          <cell r="E1245" t="str">
            <v>m3</v>
          </cell>
          <cell r="F1245">
            <v>2641600</v>
          </cell>
          <cell r="G1245">
            <v>1842041</v>
          </cell>
          <cell r="M1245" t="str">
            <v>mt</v>
          </cell>
        </row>
        <row r="1246">
          <cell r="A1246" t="str">
            <v>12-02-140</v>
          </cell>
          <cell r="B1246" t="str">
            <v>mt18620</v>
          </cell>
          <cell r="C1246" t="str">
            <v>Barniz para puertas y ventanas en madera</v>
          </cell>
          <cell r="D1246">
            <v>2</v>
          </cell>
          <cell r="E1246" t="str">
            <v>gl</v>
          </cell>
          <cell r="F1246">
            <v>40538.400000000001</v>
          </cell>
          <cell r="G1246">
            <v>81077</v>
          </cell>
          <cell r="M1246" t="str">
            <v>mt</v>
          </cell>
        </row>
        <row r="1247">
          <cell r="A1247" t="str">
            <v>12-02-140</v>
          </cell>
          <cell r="B1247" t="str">
            <v>mt51130</v>
          </cell>
          <cell r="C1247" t="str">
            <v>Cerradura para puerta en madera</v>
          </cell>
          <cell r="D1247">
            <v>1</v>
          </cell>
          <cell r="E1247" t="str">
            <v>un</v>
          </cell>
          <cell r="F1247">
            <v>96520</v>
          </cell>
          <cell r="G1247">
            <v>96520</v>
          </cell>
          <cell r="M1247" t="str">
            <v>mt</v>
          </cell>
        </row>
        <row r="1248">
          <cell r="A1248" t="str">
            <v>12-02-140</v>
          </cell>
          <cell r="B1248" t="str">
            <v>au10260</v>
          </cell>
          <cell r="C1248" t="str">
            <v>Aux MO oficial carpintero</v>
          </cell>
          <cell r="D1248">
            <v>56</v>
          </cell>
          <cell r="E1248" t="str">
            <v>hr</v>
          </cell>
          <cell r="F1248">
            <v>12901.168</v>
          </cell>
          <cell r="G1248">
            <v>722466</v>
          </cell>
          <cell r="M1248" t="str">
            <v>mo</v>
          </cell>
        </row>
        <row r="1249">
          <cell r="A1249" t="str">
            <v>12-02-140</v>
          </cell>
          <cell r="B1249" t="str">
            <v>au10000</v>
          </cell>
          <cell r="C1249" t="str">
            <v>Aux MO ayudante</v>
          </cell>
          <cell r="D1249">
            <v>56</v>
          </cell>
          <cell r="E1249" t="str">
            <v>hr</v>
          </cell>
          <cell r="F1249">
            <v>5080</v>
          </cell>
          <cell r="G1249">
            <v>284480</v>
          </cell>
          <cell r="M1249" t="str">
            <v>mo</v>
          </cell>
        </row>
        <row r="1250">
          <cell r="A1250" t="str">
            <v>12-02-140</v>
          </cell>
          <cell r="B1250" t="str">
            <v>TP500020</v>
          </cell>
          <cell r="C1250" t="str">
            <v>Transporte puertas y ventanas</v>
          </cell>
          <cell r="D1250">
            <v>3.4865999999999997</v>
          </cell>
          <cell r="E1250" t="str">
            <v>m2</v>
          </cell>
          <cell r="F1250">
            <v>50800</v>
          </cell>
          <cell r="G1250">
            <v>177120</v>
          </cell>
          <cell r="M1250" t="str">
            <v>TP</v>
          </cell>
        </row>
        <row r="1251">
          <cell r="A1251" t="str">
            <v>12-02-140</v>
          </cell>
          <cell r="B1251" t="str">
            <v>sc97420</v>
          </cell>
          <cell r="C1251" t="str">
            <v>Subcontrato instalacion puertas y ventanas + AIU</v>
          </cell>
          <cell r="D1251">
            <v>3.4865999999999997</v>
          </cell>
          <cell r="E1251" t="str">
            <v>m2</v>
          </cell>
          <cell r="F1251">
            <v>544068</v>
          </cell>
          <cell r="G1251">
            <v>1896948</v>
          </cell>
          <cell r="M1251" t="str">
            <v>sc</v>
          </cell>
        </row>
        <row r="1252">
          <cell r="A1252" t="str">
            <v>12-02-140</v>
          </cell>
          <cell r="B1252" t="str">
            <v>mt13900</v>
          </cell>
          <cell r="C1252" t="str">
            <v>Elementos de consumo y protección</v>
          </cell>
          <cell r="D1252">
            <v>1006946</v>
          </cell>
          <cell r="E1252" t="str">
            <v>%</v>
          </cell>
          <cell r="F1252">
            <v>1.2455000000000001E-2</v>
          </cell>
          <cell r="G1252">
            <v>12542</v>
          </cell>
          <cell r="M1252" t="str">
            <v>mt</v>
          </cell>
        </row>
        <row r="1253">
          <cell r="A1253" t="str">
            <v>12-02-140</v>
          </cell>
          <cell r="B1253" t="str">
            <v>hm15100</v>
          </cell>
          <cell r="C1253" t="str">
            <v>Herramienta y equipo menor</v>
          </cell>
          <cell r="D1253">
            <v>1006946</v>
          </cell>
          <cell r="E1253" t="str">
            <v>%</v>
          </cell>
          <cell r="F1253">
            <v>0.03</v>
          </cell>
          <cell r="G1253">
            <v>30209</v>
          </cell>
          <cell r="M1253" t="str">
            <v>hm</v>
          </cell>
        </row>
        <row r="1254">
          <cell r="A1254">
            <v>0</v>
          </cell>
          <cell r="C1254" t="str">
            <v>DIRECTO:  5,143,403 / UN</v>
          </cell>
          <cell r="D1254">
            <v>0</v>
          </cell>
          <cell r="E1254">
            <v>0</v>
          </cell>
          <cell r="F1254">
            <v>0</v>
          </cell>
          <cell r="G1254">
            <v>0</v>
          </cell>
          <cell r="M1254">
            <v>0</v>
          </cell>
        </row>
        <row r="1255">
          <cell r="A1255">
            <v>0</v>
          </cell>
          <cell r="C1255">
            <v>0</v>
          </cell>
          <cell r="E1255">
            <v>0</v>
          </cell>
          <cell r="F1255">
            <v>0</v>
          </cell>
          <cell r="G1255">
            <v>0</v>
          </cell>
          <cell r="M1255">
            <v>0</v>
          </cell>
        </row>
        <row r="1256">
          <cell r="A1256" t="str">
            <v>12-02-170</v>
          </cell>
          <cell r="B1256" t="str">
            <v>12-02-170</v>
          </cell>
          <cell r="C1256" t="str">
            <v>PUERTA P17 (0.90x2.10). MARCO + ALA(S) EN MADERA. INCLUYE ACABADO FINAL</v>
          </cell>
          <cell r="D1256">
            <v>4</v>
          </cell>
          <cell r="E1256" t="str">
            <v>UN</v>
          </cell>
          <cell r="F1256">
            <v>0</v>
          </cell>
          <cell r="G1256">
            <v>811171</v>
          </cell>
          <cell r="M1256" t="e">
            <v>#N/A</v>
          </cell>
        </row>
        <row r="1257">
          <cell r="A1257" t="str">
            <v>12-02-170</v>
          </cell>
          <cell r="B1257" t="str">
            <v>mt571000</v>
          </cell>
          <cell r="C1257" t="str">
            <v>Madera cedro</v>
          </cell>
          <cell r="D1257">
            <v>8.211000000000003E-2</v>
          </cell>
          <cell r="E1257" t="str">
            <v>m3</v>
          </cell>
          <cell r="F1257">
            <v>2641600</v>
          </cell>
          <cell r="G1257">
            <v>216902</v>
          </cell>
          <cell r="M1257" t="str">
            <v>mt</v>
          </cell>
        </row>
        <row r="1258">
          <cell r="A1258" t="str">
            <v>12-02-170</v>
          </cell>
          <cell r="B1258" t="str">
            <v>mt571100</v>
          </cell>
          <cell r="C1258" t="str">
            <v>Ala entamborada</v>
          </cell>
          <cell r="D1258">
            <v>1</v>
          </cell>
          <cell r="E1258" t="str">
            <v>un</v>
          </cell>
          <cell r="F1258">
            <v>102660</v>
          </cell>
          <cell r="G1258">
            <v>102660</v>
          </cell>
          <cell r="M1258" t="str">
            <v>mt</v>
          </cell>
        </row>
        <row r="1259">
          <cell r="A1259" t="str">
            <v>12-02-170</v>
          </cell>
          <cell r="B1259" t="str">
            <v>mt18620</v>
          </cell>
          <cell r="C1259" t="str">
            <v>Barniz para puertas y ventanas en madera</v>
          </cell>
          <cell r="D1259">
            <v>0.5</v>
          </cell>
          <cell r="E1259" t="str">
            <v>gl</v>
          </cell>
          <cell r="F1259">
            <v>40538.400000000001</v>
          </cell>
          <cell r="G1259">
            <v>20270</v>
          </cell>
          <cell r="M1259" t="str">
            <v>mt</v>
          </cell>
        </row>
        <row r="1260">
          <cell r="A1260" t="str">
            <v>12-02-170</v>
          </cell>
          <cell r="B1260" t="str">
            <v>mt51130</v>
          </cell>
          <cell r="C1260" t="str">
            <v>Cerradura para puerta en madera</v>
          </cell>
          <cell r="D1260">
            <v>1</v>
          </cell>
          <cell r="E1260" t="str">
            <v>un</v>
          </cell>
          <cell r="F1260">
            <v>96520</v>
          </cell>
          <cell r="G1260">
            <v>96520</v>
          </cell>
          <cell r="M1260" t="str">
            <v>mt</v>
          </cell>
        </row>
        <row r="1261">
          <cell r="A1261" t="str">
            <v>12-02-170</v>
          </cell>
          <cell r="B1261" t="str">
            <v>au10260</v>
          </cell>
          <cell r="C1261" t="str">
            <v>Aux MO oficial carpintero</v>
          </cell>
          <cell r="D1261">
            <v>8</v>
          </cell>
          <cell r="E1261" t="str">
            <v>hr</v>
          </cell>
          <cell r="F1261">
            <v>12901.168</v>
          </cell>
          <cell r="G1261">
            <v>103210</v>
          </cell>
          <cell r="M1261" t="str">
            <v>mo</v>
          </cell>
        </row>
        <row r="1262">
          <cell r="A1262" t="str">
            <v>12-02-170</v>
          </cell>
          <cell r="B1262" t="str">
            <v>au10000</v>
          </cell>
          <cell r="C1262" t="str">
            <v>Aux MO ayudante</v>
          </cell>
          <cell r="D1262">
            <v>8</v>
          </cell>
          <cell r="E1262" t="str">
            <v>hr</v>
          </cell>
          <cell r="F1262">
            <v>5080</v>
          </cell>
          <cell r="G1262">
            <v>40640</v>
          </cell>
          <cell r="M1262" t="str">
            <v>mo</v>
          </cell>
        </row>
        <row r="1263">
          <cell r="A1263" t="str">
            <v>12-02-170</v>
          </cell>
          <cell r="B1263" t="str">
            <v>TP500020</v>
          </cell>
          <cell r="C1263" t="str">
            <v>Transporte puertas y ventanas</v>
          </cell>
          <cell r="D1263">
            <v>0.37800000000000006</v>
          </cell>
          <cell r="E1263" t="str">
            <v>m2</v>
          </cell>
          <cell r="F1263">
            <v>50800</v>
          </cell>
          <cell r="G1263">
            <v>19203</v>
          </cell>
          <cell r="M1263" t="str">
            <v>TP</v>
          </cell>
        </row>
        <row r="1264">
          <cell r="A1264" t="str">
            <v>12-02-170</v>
          </cell>
          <cell r="B1264" t="str">
            <v>sc97420</v>
          </cell>
          <cell r="C1264" t="str">
            <v>Subcontrato instalacion puertas y ventanas + AIU</v>
          </cell>
          <cell r="D1264">
            <v>0.37800000000000006</v>
          </cell>
          <cell r="E1264" t="str">
            <v>m2</v>
          </cell>
          <cell r="F1264">
            <v>544068</v>
          </cell>
          <cell r="G1264">
            <v>205658</v>
          </cell>
          <cell r="M1264" t="str">
            <v>sc</v>
          </cell>
        </row>
        <row r="1265">
          <cell r="A1265" t="str">
            <v>12-02-170</v>
          </cell>
          <cell r="B1265" t="str">
            <v>mt13900</v>
          </cell>
          <cell r="C1265" t="str">
            <v>Elementos de consumo y protección</v>
          </cell>
          <cell r="D1265">
            <v>143850</v>
          </cell>
          <cell r="E1265" t="str">
            <v>%</v>
          </cell>
          <cell r="F1265">
            <v>1.2455000000000001E-2</v>
          </cell>
          <cell r="G1265">
            <v>1792</v>
          </cell>
          <cell r="M1265" t="str">
            <v>mt</v>
          </cell>
        </row>
        <row r="1266">
          <cell r="A1266" t="str">
            <v>12-02-170</v>
          </cell>
          <cell r="B1266" t="str">
            <v>hm15100</v>
          </cell>
          <cell r="C1266" t="str">
            <v>Herramienta y equipo menor</v>
          </cell>
          <cell r="D1266">
            <v>143850</v>
          </cell>
          <cell r="E1266" t="str">
            <v>%</v>
          </cell>
          <cell r="F1266">
            <v>0.03</v>
          </cell>
          <cell r="G1266">
            <v>4316</v>
          </cell>
          <cell r="M1266" t="str">
            <v>hm</v>
          </cell>
        </row>
        <row r="1267">
          <cell r="A1267">
            <v>0</v>
          </cell>
          <cell r="C1267" t="str">
            <v>DIRECTO:  811,171 / UN</v>
          </cell>
          <cell r="D1267">
            <v>0</v>
          </cell>
          <cell r="E1267">
            <v>0</v>
          </cell>
          <cell r="F1267">
            <v>0</v>
          </cell>
          <cell r="G1267">
            <v>0</v>
          </cell>
          <cell r="M1267">
            <v>0</v>
          </cell>
        </row>
        <row r="1268">
          <cell r="A1268">
            <v>0</v>
          </cell>
          <cell r="C1268">
            <v>0</v>
          </cell>
          <cell r="E1268">
            <v>0</v>
          </cell>
          <cell r="F1268">
            <v>0</v>
          </cell>
          <cell r="G1268">
            <v>0</v>
          </cell>
          <cell r="M1268">
            <v>0</v>
          </cell>
        </row>
        <row r="1269">
          <cell r="A1269" t="str">
            <v>12-02-180</v>
          </cell>
          <cell r="B1269" t="str">
            <v>12-02-180</v>
          </cell>
          <cell r="C1269" t="str">
            <v>PUERTA P18 (0.80x2.10). MARCO + ALA(S) EN MADERA. INCLUYE ACABADO FINAL</v>
          </cell>
          <cell r="D1269">
            <v>11</v>
          </cell>
          <cell r="E1269" t="str">
            <v>UN</v>
          </cell>
          <cell r="F1269">
            <v>0</v>
          </cell>
          <cell r="G1269">
            <v>731965</v>
          </cell>
          <cell r="M1269" t="e">
            <v>#N/A</v>
          </cell>
        </row>
        <row r="1270">
          <cell r="A1270" t="str">
            <v>12-02-180</v>
          </cell>
          <cell r="B1270" t="str">
            <v>mt571000</v>
          </cell>
          <cell r="C1270" t="str">
            <v>Madera cedro</v>
          </cell>
          <cell r="D1270">
            <v>8.0500000000000016E-2</v>
          </cell>
          <cell r="E1270" t="str">
            <v>m3</v>
          </cell>
          <cell r="F1270">
            <v>2641600</v>
          </cell>
          <cell r="G1270">
            <v>212649</v>
          </cell>
          <cell r="M1270" t="str">
            <v>mt</v>
          </cell>
        </row>
        <row r="1271">
          <cell r="A1271" t="str">
            <v>12-02-180</v>
          </cell>
          <cell r="B1271" t="str">
            <v>mt571100</v>
          </cell>
          <cell r="C1271" t="str">
            <v>Ala entamborada</v>
          </cell>
          <cell r="D1271">
            <v>1</v>
          </cell>
          <cell r="E1271" t="str">
            <v>un</v>
          </cell>
          <cell r="F1271">
            <v>102660</v>
          </cell>
          <cell r="G1271">
            <v>102660</v>
          </cell>
          <cell r="M1271" t="str">
            <v>mt</v>
          </cell>
        </row>
        <row r="1272">
          <cell r="A1272" t="str">
            <v>12-02-180</v>
          </cell>
          <cell r="B1272" t="str">
            <v>mt18620</v>
          </cell>
          <cell r="C1272" t="str">
            <v>Barniz para puertas y ventanas en madera</v>
          </cell>
          <cell r="D1272">
            <v>0.5</v>
          </cell>
          <cell r="E1272" t="str">
            <v>gl</v>
          </cell>
          <cell r="F1272">
            <v>40538.400000000001</v>
          </cell>
          <cell r="G1272">
            <v>20270</v>
          </cell>
          <cell r="M1272" t="str">
            <v>mt</v>
          </cell>
        </row>
        <row r="1273">
          <cell r="A1273" t="str">
            <v>12-02-180</v>
          </cell>
          <cell r="B1273" t="str">
            <v>mt51130</v>
          </cell>
          <cell r="C1273" t="str">
            <v>Cerradura para puerta en madera</v>
          </cell>
          <cell r="D1273">
            <v>1</v>
          </cell>
          <cell r="E1273" t="str">
            <v>un</v>
          </cell>
          <cell r="F1273">
            <v>96520</v>
          </cell>
          <cell r="G1273">
            <v>96520</v>
          </cell>
          <cell r="M1273" t="str">
            <v>mt</v>
          </cell>
        </row>
        <row r="1274">
          <cell r="A1274" t="str">
            <v>12-02-180</v>
          </cell>
          <cell r="B1274" t="str">
            <v>au10260</v>
          </cell>
          <cell r="C1274" t="str">
            <v>Aux MO oficial carpintero</v>
          </cell>
          <cell r="D1274">
            <v>8</v>
          </cell>
          <cell r="E1274" t="str">
            <v>hr</v>
          </cell>
          <cell r="F1274">
            <v>12901.168</v>
          </cell>
          <cell r="G1274">
            <v>103210</v>
          </cell>
          <cell r="M1274" t="str">
            <v>mo</v>
          </cell>
        </row>
        <row r="1275">
          <cell r="A1275" t="str">
            <v>12-02-180</v>
          </cell>
          <cell r="B1275" t="str">
            <v>au10000</v>
          </cell>
          <cell r="C1275" t="str">
            <v>Aux MO ayudante</v>
          </cell>
          <cell r="D1275">
            <v>8</v>
          </cell>
          <cell r="E1275" t="str">
            <v>hr</v>
          </cell>
          <cell r="F1275">
            <v>5080</v>
          </cell>
          <cell r="G1275">
            <v>40640</v>
          </cell>
          <cell r="M1275" t="str">
            <v>mo</v>
          </cell>
        </row>
        <row r="1276">
          <cell r="A1276" t="str">
            <v>12-02-180</v>
          </cell>
          <cell r="B1276" t="str">
            <v>TP500020</v>
          </cell>
          <cell r="C1276" t="str">
            <v>Transporte puertas y ventanas</v>
          </cell>
          <cell r="D1276">
            <v>0.252</v>
          </cell>
          <cell r="E1276" t="str">
            <v>m2</v>
          </cell>
          <cell r="F1276">
            <v>50800</v>
          </cell>
          <cell r="G1276">
            <v>12802</v>
          </cell>
          <cell r="M1276" t="str">
            <v>TP</v>
          </cell>
        </row>
        <row r="1277">
          <cell r="A1277" t="str">
            <v>12-02-180</v>
          </cell>
          <cell r="B1277" t="str">
            <v>sc97420</v>
          </cell>
          <cell r="C1277" t="str">
            <v>Subcontrato instalacion puertas y ventanas + AIU</v>
          </cell>
          <cell r="D1277">
            <v>0.252</v>
          </cell>
          <cell r="E1277" t="str">
            <v>m2</v>
          </cell>
          <cell r="F1277">
            <v>544068</v>
          </cell>
          <cell r="G1277">
            <v>137106</v>
          </cell>
          <cell r="M1277" t="str">
            <v>sc</v>
          </cell>
        </row>
        <row r="1278">
          <cell r="A1278" t="str">
            <v>12-02-180</v>
          </cell>
          <cell r="B1278" t="str">
            <v>mt13900</v>
          </cell>
          <cell r="C1278" t="str">
            <v>Elementos de consumo y protección</v>
          </cell>
          <cell r="D1278">
            <v>143850</v>
          </cell>
          <cell r="E1278" t="str">
            <v>%</v>
          </cell>
          <cell r="F1278">
            <v>1.2455000000000001E-2</v>
          </cell>
          <cell r="G1278">
            <v>1792</v>
          </cell>
          <cell r="M1278" t="str">
            <v>mt</v>
          </cell>
        </row>
        <row r="1279">
          <cell r="A1279" t="str">
            <v>12-02-180</v>
          </cell>
          <cell r="B1279" t="str">
            <v>hm15100</v>
          </cell>
          <cell r="C1279" t="str">
            <v>Herramienta y equipo menor</v>
          </cell>
          <cell r="D1279">
            <v>143850</v>
          </cell>
          <cell r="E1279" t="str">
            <v>%</v>
          </cell>
          <cell r="F1279">
            <v>0.03</v>
          </cell>
          <cell r="G1279">
            <v>4316</v>
          </cell>
          <cell r="M1279" t="str">
            <v>hm</v>
          </cell>
        </row>
        <row r="1280">
          <cell r="A1280">
            <v>0</v>
          </cell>
          <cell r="C1280" t="str">
            <v>DIRECTO:  731,965 / UN</v>
          </cell>
          <cell r="D1280">
            <v>0</v>
          </cell>
          <cell r="E1280">
            <v>0</v>
          </cell>
          <cell r="F1280">
            <v>0</v>
          </cell>
          <cell r="G1280">
            <v>0</v>
          </cell>
          <cell r="M1280">
            <v>0</v>
          </cell>
        </row>
        <row r="1281">
          <cell r="A1281">
            <v>0</v>
          </cell>
          <cell r="C1281">
            <v>0</v>
          </cell>
          <cell r="E1281">
            <v>0</v>
          </cell>
          <cell r="F1281">
            <v>0</v>
          </cell>
          <cell r="G1281">
            <v>0</v>
          </cell>
          <cell r="M1281">
            <v>0</v>
          </cell>
        </row>
        <row r="1282">
          <cell r="A1282" t="str">
            <v>12-02-190</v>
          </cell>
          <cell r="B1282" t="str">
            <v>12-02-190</v>
          </cell>
          <cell r="C1282" t="str">
            <v>PUERTA P19 (0.70x2.10). MARCO + ALA(S) EN MADERA. INCLUYE ACABADO FINAL</v>
          </cell>
          <cell r="D1282">
            <v>3</v>
          </cell>
          <cell r="E1282" t="str">
            <v>UN</v>
          </cell>
          <cell r="F1282">
            <v>0</v>
          </cell>
          <cell r="G1282">
            <v>665250</v>
          </cell>
          <cell r="M1282" t="e">
            <v>#N/A</v>
          </cell>
        </row>
        <row r="1283">
          <cell r="A1283" t="str">
            <v>12-02-190</v>
          </cell>
          <cell r="B1283" t="str">
            <v>mt571000</v>
          </cell>
          <cell r="C1283" t="str">
            <v>Madera cedro</v>
          </cell>
          <cell r="D1283">
            <v>7.889000000000003E-2</v>
          </cell>
          <cell r="E1283" t="str">
            <v>m3</v>
          </cell>
          <cell r="F1283">
            <v>2641600</v>
          </cell>
          <cell r="G1283">
            <v>208396</v>
          </cell>
          <cell r="M1283" t="str">
            <v>mt</v>
          </cell>
        </row>
        <row r="1284">
          <cell r="A1284" t="str">
            <v>12-02-190</v>
          </cell>
          <cell r="B1284" t="str">
            <v>mt571100</v>
          </cell>
          <cell r="C1284" t="str">
            <v>Ala entamborada</v>
          </cell>
          <cell r="D1284">
            <v>1</v>
          </cell>
          <cell r="E1284" t="str">
            <v>un</v>
          </cell>
          <cell r="F1284">
            <v>102660</v>
          </cell>
          <cell r="G1284">
            <v>102660</v>
          </cell>
          <cell r="M1284" t="str">
            <v>mt</v>
          </cell>
        </row>
        <row r="1285">
          <cell r="A1285" t="str">
            <v>12-02-190</v>
          </cell>
          <cell r="B1285" t="str">
            <v>mt18620</v>
          </cell>
          <cell r="C1285" t="str">
            <v>Barniz para puertas y ventanas en madera</v>
          </cell>
          <cell r="D1285">
            <v>0.5</v>
          </cell>
          <cell r="E1285" t="str">
            <v>gl</v>
          </cell>
          <cell r="F1285">
            <v>40538.400000000001</v>
          </cell>
          <cell r="G1285">
            <v>20270</v>
          </cell>
          <cell r="M1285" t="str">
            <v>mt</v>
          </cell>
        </row>
        <row r="1286">
          <cell r="A1286" t="str">
            <v>12-02-190</v>
          </cell>
          <cell r="B1286" t="str">
            <v>mt51130</v>
          </cell>
          <cell r="C1286" t="str">
            <v>Cerradura para puerta en madera</v>
          </cell>
          <cell r="D1286">
            <v>1</v>
          </cell>
          <cell r="E1286" t="str">
            <v>un</v>
          </cell>
          <cell r="F1286">
            <v>96520</v>
          </cell>
          <cell r="G1286">
            <v>96520</v>
          </cell>
          <cell r="M1286" t="str">
            <v>mt</v>
          </cell>
        </row>
        <row r="1287">
          <cell r="A1287" t="str">
            <v>12-02-190</v>
          </cell>
          <cell r="B1287" t="str">
            <v>au10260</v>
          </cell>
          <cell r="C1287" t="str">
            <v>Aux MO oficial carpintero</v>
          </cell>
          <cell r="D1287">
            <v>8</v>
          </cell>
          <cell r="E1287" t="str">
            <v>hr</v>
          </cell>
          <cell r="F1287">
            <v>12901.168</v>
          </cell>
          <cell r="G1287">
            <v>103210</v>
          </cell>
          <cell r="M1287" t="str">
            <v>mo</v>
          </cell>
        </row>
        <row r="1288">
          <cell r="A1288" t="str">
            <v>12-02-190</v>
          </cell>
          <cell r="B1288" t="str">
            <v>au10000</v>
          </cell>
          <cell r="C1288" t="str">
            <v>Aux MO ayudante</v>
          </cell>
          <cell r="D1288">
            <v>8</v>
          </cell>
          <cell r="E1288" t="str">
            <v>hr</v>
          </cell>
          <cell r="F1288">
            <v>5080</v>
          </cell>
          <cell r="G1288">
            <v>40640</v>
          </cell>
          <cell r="M1288" t="str">
            <v>mo</v>
          </cell>
        </row>
        <row r="1289">
          <cell r="A1289" t="str">
            <v>12-02-190</v>
          </cell>
          <cell r="B1289" t="str">
            <v>TP500020</v>
          </cell>
          <cell r="C1289" t="str">
            <v>Transporte puertas y ventanas</v>
          </cell>
          <cell r="D1289">
            <v>0.14699999999999999</v>
          </cell>
          <cell r="E1289" t="str">
            <v>m2</v>
          </cell>
          <cell r="F1289">
            <v>50800</v>
          </cell>
          <cell r="G1289">
            <v>7468</v>
          </cell>
          <cell r="M1289" t="str">
            <v>TP</v>
          </cell>
        </row>
        <row r="1290">
          <cell r="A1290" t="str">
            <v>12-02-190</v>
          </cell>
          <cell r="B1290" t="str">
            <v>sc97420</v>
          </cell>
          <cell r="C1290" t="str">
            <v>Subcontrato instalacion puertas y ventanas + AIU</v>
          </cell>
          <cell r="D1290">
            <v>0.14699999999999999</v>
          </cell>
          <cell r="E1290" t="str">
            <v>m2</v>
          </cell>
          <cell r="F1290">
            <v>544068</v>
          </cell>
          <cell r="G1290">
            <v>79978</v>
          </cell>
          <cell r="M1290" t="str">
            <v>sc</v>
          </cell>
        </row>
        <row r="1291">
          <cell r="A1291" t="str">
            <v>12-02-190</v>
          </cell>
          <cell r="B1291" t="str">
            <v>mt13900</v>
          </cell>
          <cell r="C1291" t="str">
            <v>Elementos de consumo y protección</v>
          </cell>
          <cell r="D1291">
            <v>143850</v>
          </cell>
          <cell r="E1291" t="str">
            <v>%</v>
          </cell>
          <cell r="F1291">
            <v>1.2455000000000001E-2</v>
          </cell>
          <cell r="G1291">
            <v>1792</v>
          </cell>
          <cell r="M1291" t="str">
            <v>mt</v>
          </cell>
        </row>
        <row r="1292">
          <cell r="A1292" t="str">
            <v>12-02-190</v>
          </cell>
          <cell r="B1292" t="str">
            <v>hm15100</v>
          </cell>
          <cell r="C1292" t="str">
            <v>Herramienta y equipo menor</v>
          </cell>
          <cell r="D1292">
            <v>143850</v>
          </cell>
          <cell r="E1292" t="str">
            <v>%</v>
          </cell>
          <cell r="F1292">
            <v>0.03</v>
          </cell>
          <cell r="G1292">
            <v>4316</v>
          </cell>
          <cell r="M1292" t="str">
            <v>hm</v>
          </cell>
        </row>
        <row r="1293">
          <cell r="A1293">
            <v>0</v>
          </cell>
          <cell r="C1293" t="str">
            <v>DIRECTO:  665,250 / UN</v>
          </cell>
          <cell r="D1293">
            <v>0</v>
          </cell>
          <cell r="E1293">
            <v>0</v>
          </cell>
          <cell r="F1293">
            <v>0</v>
          </cell>
          <cell r="G1293">
            <v>0</v>
          </cell>
          <cell r="M1293">
            <v>0</v>
          </cell>
        </row>
        <row r="1294">
          <cell r="A1294">
            <v>0</v>
          </cell>
          <cell r="C1294">
            <v>0</v>
          </cell>
          <cell r="E1294">
            <v>0</v>
          </cell>
          <cell r="F1294">
            <v>0</v>
          </cell>
          <cell r="G1294">
            <v>0</v>
          </cell>
          <cell r="M1294">
            <v>0</v>
          </cell>
        </row>
        <row r="1295">
          <cell r="A1295" t="str">
            <v>12-02-200</v>
          </cell>
          <cell r="B1295" t="str">
            <v>12-02-200</v>
          </cell>
          <cell r="C1295" t="str">
            <v>PUERTA P20 (1.00x2.10). MARCO + ALA(S) EN MADERA. INCLUYE ACABADO FINAL</v>
          </cell>
          <cell r="D1295">
            <v>3</v>
          </cell>
          <cell r="E1295" t="str">
            <v>UN</v>
          </cell>
          <cell r="F1295">
            <v>0</v>
          </cell>
          <cell r="G1295">
            <v>857498</v>
          </cell>
          <cell r="M1295" t="e">
            <v>#N/A</v>
          </cell>
        </row>
        <row r="1296">
          <cell r="A1296" t="str">
            <v>12-02-200</v>
          </cell>
          <cell r="B1296" t="str">
            <v>mt571000</v>
          </cell>
          <cell r="C1296" t="str">
            <v>Madera cedro</v>
          </cell>
          <cell r="D1296">
            <v>8.3720000000000017E-2</v>
          </cell>
          <cell r="E1296" t="str">
            <v>m3</v>
          </cell>
          <cell r="F1296">
            <v>2641600</v>
          </cell>
          <cell r="G1296">
            <v>221155</v>
          </cell>
          <cell r="M1296" t="str">
            <v>mt</v>
          </cell>
        </row>
        <row r="1297">
          <cell r="A1297" t="str">
            <v>12-02-200</v>
          </cell>
          <cell r="B1297" t="str">
            <v>mt571100</v>
          </cell>
          <cell r="C1297" t="str">
            <v>Ala entamborada</v>
          </cell>
          <cell r="D1297">
            <v>1</v>
          </cell>
          <cell r="E1297" t="str">
            <v>un</v>
          </cell>
          <cell r="F1297">
            <v>102660</v>
          </cell>
          <cell r="G1297">
            <v>102660</v>
          </cell>
          <cell r="M1297" t="str">
            <v>mt</v>
          </cell>
        </row>
        <row r="1298">
          <cell r="A1298" t="str">
            <v>12-02-200</v>
          </cell>
          <cell r="B1298" t="str">
            <v>mt18620</v>
          </cell>
          <cell r="C1298" t="str">
            <v>Barniz para puertas y ventanas en madera</v>
          </cell>
          <cell r="D1298">
            <v>2</v>
          </cell>
          <cell r="E1298" t="str">
            <v>gl</v>
          </cell>
          <cell r="F1298">
            <v>40538.400000000001</v>
          </cell>
          <cell r="G1298">
            <v>81077</v>
          </cell>
          <cell r="M1298" t="str">
            <v>mt</v>
          </cell>
        </row>
        <row r="1299">
          <cell r="A1299" t="str">
            <v>12-02-200</v>
          </cell>
          <cell r="B1299" t="str">
            <v>mt51130</v>
          </cell>
          <cell r="C1299" t="str">
            <v>Cerradura para puerta en madera</v>
          </cell>
          <cell r="D1299">
            <v>1</v>
          </cell>
          <cell r="E1299" t="str">
            <v>un</v>
          </cell>
          <cell r="F1299">
            <v>96520</v>
          </cell>
          <cell r="G1299">
            <v>96520</v>
          </cell>
          <cell r="M1299" t="str">
            <v>mt</v>
          </cell>
        </row>
        <row r="1300">
          <cell r="A1300" t="str">
            <v>12-02-200</v>
          </cell>
          <cell r="B1300" t="str">
            <v>au10260</v>
          </cell>
          <cell r="C1300" t="str">
            <v>Aux MO oficial carpintero</v>
          </cell>
          <cell r="D1300">
            <v>9</v>
          </cell>
          <cell r="E1300" t="str">
            <v>hr</v>
          </cell>
          <cell r="F1300">
            <v>12901.168</v>
          </cell>
          <cell r="G1300">
            <v>116111</v>
          </cell>
          <cell r="M1300" t="str">
            <v>mo</v>
          </cell>
        </row>
        <row r="1301">
          <cell r="A1301" t="str">
            <v>12-02-200</v>
          </cell>
          <cell r="B1301" t="str">
            <v>au10000</v>
          </cell>
          <cell r="C1301" t="str">
            <v>Aux MO ayudante</v>
          </cell>
          <cell r="D1301">
            <v>9</v>
          </cell>
          <cell r="E1301" t="str">
            <v>hr</v>
          </cell>
          <cell r="F1301">
            <v>5080</v>
          </cell>
          <cell r="G1301">
            <v>45720</v>
          </cell>
          <cell r="M1301" t="str">
            <v>mo</v>
          </cell>
        </row>
        <row r="1302">
          <cell r="A1302" t="str">
            <v>12-02-200</v>
          </cell>
          <cell r="B1302" t="str">
            <v>TP500020</v>
          </cell>
          <cell r="C1302" t="str">
            <v>Transporte puertas y ventanas</v>
          </cell>
          <cell r="D1302">
            <v>0.315</v>
          </cell>
          <cell r="E1302" t="str">
            <v>m2</v>
          </cell>
          <cell r="F1302">
            <v>50800</v>
          </cell>
          <cell r="G1302">
            <v>16002</v>
          </cell>
          <cell r="M1302" t="str">
            <v>TP</v>
          </cell>
        </row>
        <row r="1303">
          <cell r="A1303" t="str">
            <v>12-02-200</v>
          </cell>
          <cell r="B1303" t="str">
            <v>sc97420</v>
          </cell>
          <cell r="C1303" t="str">
            <v>Subcontrato instalacion puertas y ventanas + AIU</v>
          </cell>
          <cell r="D1303">
            <v>0.315</v>
          </cell>
          <cell r="E1303" t="str">
            <v>m2</v>
          </cell>
          <cell r="F1303">
            <v>544068</v>
          </cell>
          <cell r="G1303">
            <v>171382</v>
          </cell>
          <cell r="M1303" t="str">
            <v>sc</v>
          </cell>
        </row>
        <row r="1304">
          <cell r="A1304" t="str">
            <v>12-02-200</v>
          </cell>
          <cell r="B1304" t="str">
            <v>mt13900</v>
          </cell>
          <cell r="C1304" t="str">
            <v>Elementos de consumo y protección</v>
          </cell>
          <cell r="D1304">
            <v>161831</v>
          </cell>
          <cell r="E1304" t="str">
            <v>%</v>
          </cell>
          <cell r="F1304">
            <v>1.2455000000000001E-2</v>
          </cell>
          <cell r="G1304">
            <v>2016</v>
          </cell>
          <cell r="M1304" t="str">
            <v>mt</v>
          </cell>
        </row>
        <row r="1305">
          <cell r="A1305" t="str">
            <v>12-02-200</v>
          </cell>
          <cell r="B1305" t="str">
            <v>hm15100</v>
          </cell>
          <cell r="C1305" t="str">
            <v>Herramienta y equipo menor</v>
          </cell>
          <cell r="D1305">
            <v>161831</v>
          </cell>
          <cell r="E1305" t="str">
            <v>%</v>
          </cell>
          <cell r="F1305">
            <v>0.03</v>
          </cell>
          <cell r="G1305">
            <v>4855</v>
          </cell>
          <cell r="M1305" t="str">
            <v>hm</v>
          </cell>
        </row>
        <row r="1306">
          <cell r="A1306">
            <v>0</v>
          </cell>
          <cell r="C1306" t="str">
            <v>DIRECTO:  857,498 / UN</v>
          </cell>
          <cell r="D1306">
            <v>0</v>
          </cell>
          <cell r="E1306">
            <v>0</v>
          </cell>
          <cell r="F1306">
            <v>0</v>
          </cell>
          <cell r="G1306">
            <v>0</v>
          </cell>
          <cell r="M1306">
            <v>0</v>
          </cell>
        </row>
        <row r="1307">
          <cell r="A1307">
            <v>0</v>
          </cell>
          <cell r="C1307">
            <v>0</v>
          </cell>
          <cell r="E1307">
            <v>0</v>
          </cell>
          <cell r="F1307">
            <v>0</v>
          </cell>
          <cell r="G1307">
            <v>0</v>
          </cell>
          <cell r="M1307">
            <v>0</v>
          </cell>
        </row>
        <row r="1308">
          <cell r="A1308" t="str">
            <v>12-02-210</v>
          </cell>
          <cell r="B1308" t="str">
            <v>12-02-210</v>
          </cell>
          <cell r="C1308" t="str">
            <v>PUERTA P21 (1.25x3.32). MARCO + ALA(S) EN MADERA. INCLUYE ACABADO FINAL</v>
          </cell>
          <cell r="D1308">
            <v>3</v>
          </cell>
          <cell r="E1308" t="str">
            <v>UN</v>
          </cell>
          <cell r="F1308">
            <v>0</v>
          </cell>
          <cell r="G1308">
            <v>1796492</v>
          </cell>
          <cell r="M1308" t="e">
            <v>#N/A</v>
          </cell>
        </row>
        <row r="1309">
          <cell r="A1309" t="str">
            <v>12-02-210</v>
          </cell>
          <cell r="B1309" t="str">
            <v>mt571000</v>
          </cell>
          <cell r="C1309" t="str">
            <v>Madera cedro</v>
          </cell>
          <cell r="D1309">
            <v>0.127029</v>
          </cell>
          <cell r="E1309" t="str">
            <v>m3</v>
          </cell>
          <cell r="F1309">
            <v>2641600</v>
          </cell>
          <cell r="G1309">
            <v>335560</v>
          </cell>
          <cell r="M1309" t="str">
            <v>mt</v>
          </cell>
        </row>
        <row r="1310">
          <cell r="A1310" t="str">
            <v>12-02-210</v>
          </cell>
          <cell r="B1310" t="str">
            <v>mt571100</v>
          </cell>
          <cell r="C1310" t="str">
            <v>Ala entamborada</v>
          </cell>
          <cell r="D1310">
            <v>2</v>
          </cell>
          <cell r="E1310" t="str">
            <v>un</v>
          </cell>
          <cell r="F1310">
            <v>102660</v>
          </cell>
          <cell r="G1310">
            <v>205320</v>
          </cell>
          <cell r="M1310" t="str">
            <v>mt</v>
          </cell>
        </row>
        <row r="1311">
          <cell r="A1311" t="str">
            <v>12-02-210</v>
          </cell>
          <cell r="B1311" t="str">
            <v>mt18620</v>
          </cell>
          <cell r="C1311" t="str">
            <v>Barniz para puertas y ventanas en madera</v>
          </cell>
          <cell r="D1311">
            <v>2</v>
          </cell>
          <cell r="E1311" t="str">
            <v>gl</v>
          </cell>
          <cell r="F1311">
            <v>40538.400000000001</v>
          </cell>
          <cell r="G1311">
            <v>81077</v>
          </cell>
          <cell r="M1311" t="str">
            <v>mt</v>
          </cell>
        </row>
        <row r="1312">
          <cell r="A1312" t="str">
            <v>12-02-210</v>
          </cell>
          <cell r="B1312" t="str">
            <v>mt51130</v>
          </cell>
          <cell r="C1312" t="str">
            <v>Cerradura para puerta en madera</v>
          </cell>
          <cell r="D1312">
            <v>1</v>
          </cell>
          <cell r="E1312" t="str">
            <v>un</v>
          </cell>
          <cell r="F1312">
            <v>96520</v>
          </cell>
          <cell r="G1312">
            <v>96520</v>
          </cell>
          <cell r="M1312" t="str">
            <v>mt</v>
          </cell>
        </row>
        <row r="1313">
          <cell r="A1313" t="str">
            <v>12-02-210</v>
          </cell>
          <cell r="B1313" t="str">
            <v>au10260</v>
          </cell>
          <cell r="C1313" t="str">
            <v>Aux MO oficial carpintero</v>
          </cell>
          <cell r="D1313">
            <v>18</v>
          </cell>
          <cell r="E1313" t="str">
            <v>hr</v>
          </cell>
          <cell r="F1313">
            <v>12901.168</v>
          </cell>
          <cell r="G1313">
            <v>232222</v>
          </cell>
          <cell r="M1313" t="str">
            <v>mo</v>
          </cell>
        </row>
        <row r="1314">
          <cell r="A1314" t="str">
            <v>12-02-210</v>
          </cell>
          <cell r="B1314" t="str">
            <v>au10000</v>
          </cell>
          <cell r="C1314" t="str">
            <v>Aux MO ayudante</v>
          </cell>
          <cell r="D1314">
            <v>18</v>
          </cell>
          <cell r="E1314" t="str">
            <v>hr</v>
          </cell>
          <cell r="F1314">
            <v>5080</v>
          </cell>
          <cell r="G1314">
            <v>91440</v>
          </cell>
          <cell r="M1314" t="str">
            <v>mo</v>
          </cell>
        </row>
        <row r="1315">
          <cell r="A1315" t="str">
            <v>12-02-210</v>
          </cell>
          <cell r="B1315" t="str">
            <v>TP500020</v>
          </cell>
          <cell r="C1315" t="str">
            <v>Transporte puertas y ventanas</v>
          </cell>
          <cell r="D1315">
            <v>1.2449999999999999</v>
          </cell>
          <cell r="E1315" t="str">
            <v>m2</v>
          </cell>
          <cell r="F1315">
            <v>50800</v>
          </cell>
          <cell r="G1315">
            <v>63246</v>
          </cell>
          <cell r="M1315" t="str">
            <v>TP</v>
          </cell>
        </row>
        <row r="1316">
          <cell r="A1316" t="str">
            <v>12-02-210</v>
          </cell>
          <cell r="B1316" t="str">
            <v>sc97420</v>
          </cell>
          <cell r="C1316" t="str">
            <v>Subcontrato instalacion puertas y ventanas + AIU</v>
          </cell>
          <cell r="D1316">
            <v>1.2449999999999999</v>
          </cell>
          <cell r="E1316" t="str">
            <v>m2</v>
          </cell>
          <cell r="F1316">
            <v>544068</v>
          </cell>
          <cell r="G1316">
            <v>677365</v>
          </cell>
          <cell r="M1316" t="str">
            <v>sc</v>
          </cell>
        </row>
        <row r="1317">
          <cell r="A1317" t="str">
            <v>12-02-210</v>
          </cell>
          <cell r="B1317" t="str">
            <v>mt13900</v>
          </cell>
          <cell r="C1317" t="str">
            <v>Elementos de consumo y protección</v>
          </cell>
          <cell r="D1317">
            <v>323662</v>
          </cell>
          <cell r="E1317" t="str">
            <v>%</v>
          </cell>
          <cell r="F1317">
            <v>1.2455000000000001E-2</v>
          </cell>
          <cell r="G1317">
            <v>4032</v>
          </cell>
          <cell r="M1317" t="str">
            <v>mt</v>
          </cell>
        </row>
        <row r="1318">
          <cell r="A1318" t="str">
            <v>12-02-210</v>
          </cell>
          <cell r="B1318" t="str">
            <v>hm15100</v>
          </cell>
          <cell r="C1318" t="str">
            <v>Herramienta y equipo menor</v>
          </cell>
          <cell r="D1318">
            <v>323662</v>
          </cell>
          <cell r="E1318" t="str">
            <v>%</v>
          </cell>
          <cell r="F1318">
            <v>0.03</v>
          </cell>
          <cell r="G1318">
            <v>9710</v>
          </cell>
          <cell r="M1318" t="str">
            <v>hm</v>
          </cell>
        </row>
        <row r="1319">
          <cell r="A1319">
            <v>0</v>
          </cell>
          <cell r="C1319" t="str">
            <v>DIRECTO:  1,796,492 / UN</v>
          </cell>
          <cell r="D1319">
            <v>0</v>
          </cell>
          <cell r="E1319">
            <v>0</v>
          </cell>
          <cell r="F1319">
            <v>0</v>
          </cell>
          <cell r="G1319">
            <v>0</v>
          </cell>
          <cell r="M1319">
            <v>0</v>
          </cell>
        </row>
        <row r="1320">
          <cell r="A1320">
            <v>0</v>
          </cell>
          <cell r="C1320">
            <v>0</v>
          </cell>
          <cell r="E1320">
            <v>0</v>
          </cell>
          <cell r="F1320">
            <v>0</v>
          </cell>
          <cell r="G1320">
            <v>0</v>
          </cell>
          <cell r="M1320">
            <v>0</v>
          </cell>
        </row>
        <row r="1321">
          <cell r="A1321" t="str">
            <v>12-02-220</v>
          </cell>
          <cell r="B1321" t="str">
            <v>12-02-220</v>
          </cell>
          <cell r="C1321" t="str">
            <v>PUERTA P22 (1.42x2.73). MARCO + ALA(S) EN MADERA. INCLUYE ACABADO FINAL</v>
          </cell>
          <cell r="D1321">
            <v>2</v>
          </cell>
          <cell r="E1321" t="str">
            <v>UN</v>
          </cell>
          <cell r="F1321">
            <v>0</v>
          </cell>
          <cell r="G1321">
            <v>5750148</v>
          </cell>
          <cell r="M1321" t="e">
            <v>#N/A</v>
          </cell>
        </row>
        <row r="1322">
          <cell r="A1322" t="str">
            <v>12-02-220</v>
          </cell>
          <cell r="B1322" t="str">
            <v>mt571000</v>
          </cell>
          <cell r="C1322" t="str">
            <v>Madera cedro</v>
          </cell>
          <cell r="D1322">
            <v>0.77532000000000001</v>
          </cell>
          <cell r="E1322" t="str">
            <v>m3</v>
          </cell>
          <cell r="F1322">
            <v>2641600</v>
          </cell>
          <cell r="G1322">
            <v>2048086</v>
          </cell>
          <cell r="M1322" t="str">
            <v>mt</v>
          </cell>
        </row>
        <row r="1323">
          <cell r="A1323" t="str">
            <v>12-02-220</v>
          </cell>
          <cell r="B1323" t="str">
            <v>mt18620</v>
          </cell>
          <cell r="C1323" t="str">
            <v>Barniz para puertas y ventanas en madera</v>
          </cell>
          <cell r="D1323">
            <v>2</v>
          </cell>
          <cell r="E1323" t="str">
            <v>gl</v>
          </cell>
          <cell r="F1323">
            <v>40538.400000000001</v>
          </cell>
          <cell r="G1323">
            <v>81077</v>
          </cell>
          <cell r="M1323" t="str">
            <v>mt</v>
          </cell>
        </row>
        <row r="1324">
          <cell r="A1324" t="str">
            <v>12-02-220</v>
          </cell>
          <cell r="B1324" t="str">
            <v>mt51130</v>
          </cell>
          <cell r="C1324" t="str">
            <v>Cerradura para puerta en madera</v>
          </cell>
          <cell r="D1324">
            <v>1</v>
          </cell>
          <cell r="E1324" t="str">
            <v>un</v>
          </cell>
          <cell r="F1324">
            <v>96520</v>
          </cell>
          <cell r="G1324">
            <v>96520</v>
          </cell>
          <cell r="M1324" t="str">
            <v>mt</v>
          </cell>
        </row>
        <row r="1325">
          <cell r="A1325" t="str">
            <v>12-02-220</v>
          </cell>
          <cell r="B1325" t="str">
            <v>au10260</v>
          </cell>
          <cell r="C1325" t="str">
            <v>Aux MO oficial carpintero</v>
          </cell>
          <cell r="D1325">
            <v>65</v>
          </cell>
          <cell r="E1325" t="str">
            <v>hr</v>
          </cell>
          <cell r="F1325">
            <v>12901.168</v>
          </cell>
          <cell r="G1325">
            <v>838576</v>
          </cell>
          <cell r="M1325" t="str">
            <v>mo</v>
          </cell>
        </row>
        <row r="1326">
          <cell r="A1326" t="str">
            <v>12-02-220</v>
          </cell>
          <cell r="B1326" t="str">
            <v>au10000</v>
          </cell>
          <cell r="C1326" t="str">
            <v>Aux MO ayudante</v>
          </cell>
          <cell r="D1326">
            <v>65</v>
          </cell>
          <cell r="E1326" t="str">
            <v>hr</v>
          </cell>
          <cell r="F1326">
            <v>5080</v>
          </cell>
          <cell r="G1326">
            <v>330200</v>
          </cell>
          <cell r="M1326" t="str">
            <v>mo</v>
          </cell>
        </row>
        <row r="1327">
          <cell r="A1327" t="str">
            <v>12-02-220</v>
          </cell>
          <cell r="B1327" t="str">
            <v>TP500020</v>
          </cell>
          <cell r="C1327" t="str">
            <v>Transporte puertas y ventanas</v>
          </cell>
          <cell r="D1327">
            <v>3.8765999999999998</v>
          </cell>
          <cell r="E1327" t="str">
            <v>m2</v>
          </cell>
          <cell r="F1327">
            <v>50800</v>
          </cell>
          <cell r="G1327">
            <v>196932</v>
          </cell>
          <cell r="M1327" t="str">
            <v>TP</v>
          </cell>
        </row>
        <row r="1328">
          <cell r="A1328" t="str">
            <v>12-02-220</v>
          </cell>
          <cell r="B1328" t="str">
            <v>sc97420</v>
          </cell>
          <cell r="C1328" t="str">
            <v>Subcontrato instalacion puertas y ventanas + AIU</v>
          </cell>
          <cell r="D1328">
            <v>3.8765999999999998</v>
          </cell>
          <cell r="E1328" t="str">
            <v>m2</v>
          </cell>
          <cell r="F1328">
            <v>544068</v>
          </cell>
          <cell r="G1328">
            <v>2109135</v>
          </cell>
          <cell r="M1328" t="str">
            <v>sc</v>
          </cell>
        </row>
        <row r="1329">
          <cell r="A1329" t="str">
            <v>12-02-220</v>
          </cell>
          <cell r="B1329" t="str">
            <v>mt13900</v>
          </cell>
          <cell r="C1329" t="str">
            <v>Elementos de consumo y protección</v>
          </cell>
          <cell r="D1329">
            <v>1168776</v>
          </cell>
          <cell r="E1329" t="str">
            <v>%</v>
          </cell>
          <cell r="F1329">
            <v>1.2455000000000001E-2</v>
          </cell>
          <cell r="G1329">
            <v>14558</v>
          </cell>
          <cell r="M1329" t="str">
            <v>mt</v>
          </cell>
        </row>
        <row r="1330">
          <cell r="A1330" t="str">
            <v>12-02-220</v>
          </cell>
          <cell r="B1330" t="str">
            <v>hm15100</v>
          </cell>
          <cell r="C1330" t="str">
            <v>Herramienta y equipo menor</v>
          </cell>
          <cell r="D1330">
            <v>1168776</v>
          </cell>
          <cell r="E1330" t="str">
            <v>%</v>
          </cell>
          <cell r="F1330">
            <v>0.03</v>
          </cell>
          <cell r="G1330">
            <v>35064</v>
          </cell>
          <cell r="M1330" t="str">
            <v>hm</v>
          </cell>
        </row>
        <row r="1331">
          <cell r="A1331">
            <v>0</v>
          </cell>
          <cell r="C1331" t="str">
            <v>DIRECTO:  5,750,148 / UN</v>
          </cell>
          <cell r="D1331">
            <v>0</v>
          </cell>
          <cell r="E1331">
            <v>0</v>
          </cell>
          <cell r="F1331">
            <v>0</v>
          </cell>
          <cell r="G1331">
            <v>0</v>
          </cell>
          <cell r="M1331">
            <v>0</v>
          </cell>
        </row>
        <row r="1332">
          <cell r="A1332">
            <v>0</v>
          </cell>
          <cell r="C1332">
            <v>0</v>
          </cell>
          <cell r="E1332">
            <v>0</v>
          </cell>
          <cell r="F1332">
            <v>0</v>
          </cell>
          <cell r="G1332">
            <v>0</v>
          </cell>
          <cell r="M1332">
            <v>0</v>
          </cell>
        </row>
        <row r="1333">
          <cell r="A1333" t="str">
            <v>12-02-230</v>
          </cell>
          <cell r="B1333" t="str">
            <v>12-02-230</v>
          </cell>
          <cell r="C1333" t="str">
            <v>PUERTA P23 (1.30x2.73). MARCO + ALA(S) EN MADERA. INCLUYE ACABADO FINAL</v>
          </cell>
          <cell r="D1333">
            <v>1</v>
          </cell>
          <cell r="E1333" t="str">
            <v>UN</v>
          </cell>
          <cell r="F1333">
            <v>0</v>
          </cell>
          <cell r="G1333">
            <v>5419681</v>
          </cell>
          <cell r="M1333" t="e">
            <v>#N/A</v>
          </cell>
        </row>
        <row r="1334">
          <cell r="A1334" t="str">
            <v>12-02-230</v>
          </cell>
          <cell r="B1334" t="str">
            <v>mt571000</v>
          </cell>
          <cell r="C1334" t="str">
            <v>Madera cedro</v>
          </cell>
          <cell r="D1334">
            <v>0.70979999999999999</v>
          </cell>
          <cell r="E1334" t="str">
            <v>m3</v>
          </cell>
          <cell r="F1334">
            <v>2641600</v>
          </cell>
          <cell r="G1334">
            <v>1875008</v>
          </cell>
          <cell r="M1334" t="str">
            <v>mt</v>
          </cell>
        </row>
        <row r="1335">
          <cell r="A1335" t="str">
            <v>12-02-230</v>
          </cell>
          <cell r="B1335" t="str">
            <v>mt18620</v>
          </cell>
          <cell r="C1335" t="str">
            <v>Barniz para puertas y ventanas en madera</v>
          </cell>
          <cell r="D1335">
            <v>2</v>
          </cell>
          <cell r="E1335" t="str">
            <v>gl</v>
          </cell>
          <cell r="F1335">
            <v>40538.400000000001</v>
          </cell>
          <cell r="G1335">
            <v>81077</v>
          </cell>
          <cell r="M1335" t="str">
            <v>mt</v>
          </cell>
        </row>
        <row r="1336">
          <cell r="A1336" t="str">
            <v>12-02-230</v>
          </cell>
          <cell r="B1336" t="str">
            <v>mt51130</v>
          </cell>
          <cell r="C1336" t="str">
            <v>Cerradura para puerta en madera</v>
          </cell>
          <cell r="D1336">
            <v>1</v>
          </cell>
          <cell r="E1336" t="str">
            <v>un</v>
          </cell>
          <cell r="F1336">
            <v>96520</v>
          </cell>
          <cell r="G1336">
            <v>96520</v>
          </cell>
          <cell r="M1336" t="str">
            <v>mt</v>
          </cell>
        </row>
        <row r="1337">
          <cell r="A1337" t="str">
            <v>12-02-230</v>
          </cell>
          <cell r="B1337" t="str">
            <v>au10260</v>
          </cell>
          <cell r="C1337" t="str">
            <v>Aux MO oficial carpintero</v>
          </cell>
          <cell r="D1337">
            <v>67</v>
          </cell>
          <cell r="E1337" t="str">
            <v>hr</v>
          </cell>
          <cell r="F1337">
            <v>12901.168</v>
          </cell>
          <cell r="G1337">
            <v>864379</v>
          </cell>
          <cell r="M1337" t="str">
            <v>mo</v>
          </cell>
        </row>
        <row r="1338">
          <cell r="A1338" t="str">
            <v>12-02-230</v>
          </cell>
          <cell r="B1338" t="str">
            <v>au10000</v>
          </cell>
          <cell r="C1338" t="str">
            <v>Aux MO ayudante</v>
          </cell>
          <cell r="D1338">
            <v>67</v>
          </cell>
          <cell r="E1338" t="str">
            <v>hr</v>
          </cell>
          <cell r="F1338">
            <v>5080</v>
          </cell>
          <cell r="G1338">
            <v>340360</v>
          </cell>
          <cell r="M1338" t="str">
            <v>mo</v>
          </cell>
        </row>
        <row r="1339">
          <cell r="A1339" t="str">
            <v>12-02-230</v>
          </cell>
          <cell r="B1339" t="str">
            <v>TP500020</v>
          </cell>
          <cell r="C1339" t="str">
            <v>Transporte puertas y ventanas</v>
          </cell>
          <cell r="D1339">
            <v>3.5489999999999999</v>
          </cell>
          <cell r="E1339" t="str">
            <v>m2</v>
          </cell>
          <cell r="F1339">
            <v>50800</v>
          </cell>
          <cell r="G1339">
            <v>180290</v>
          </cell>
          <cell r="M1339" t="str">
            <v>TP</v>
          </cell>
        </row>
        <row r="1340">
          <cell r="A1340" t="str">
            <v>12-02-230</v>
          </cell>
          <cell r="B1340" t="str">
            <v>sc97420</v>
          </cell>
          <cell r="C1340" t="str">
            <v>Subcontrato instalacion puertas y ventanas + AIU</v>
          </cell>
          <cell r="D1340">
            <v>3.5489999999999999</v>
          </cell>
          <cell r="E1340" t="str">
            <v>m2</v>
          </cell>
          <cell r="F1340">
            <v>544068</v>
          </cell>
          <cell r="G1340">
            <v>1930898</v>
          </cell>
          <cell r="M1340" t="str">
            <v>sc</v>
          </cell>
        </row>
        <row r="1341">
          <cell r="A1341" t="str">
            <v>12-02-230</v>
          </cell>
          <cell r="B1341" t="str">
            <v>mt13900</v>
          </cell>
          <cell r="C1341" t="str">
            <v>Elementos de consumo y protección</v>
          </cell>
          <cell r="D1341">
            <v>1204739</v>
          </cell>
          <cell r="E1341" t="str">
            <v>%</v>
          </cell>
          <cell r="F1341">
            <v>1.2455000000000001E-2</v>
          </cell>
          <cell r="G1341">
            <v>15006</v>
          </cell>
          <cell r="M1341" t="str">
            <v>mt</v>
          </cell>
        </row>
        <row r="1342">
          <cell r="A1342" t="str">
            <v>12-02-230</v>
          </cell>
          <cell r="B1342" t="str">
            <v>hm15100</v>
          </cell>
          <cell r="C1342" t="str">
            <v>Herramienta y equipo menor</v>
          </cell>
          <cell r="D1342">
            <v>1204739</v>
          </cell>
          <cell r="E1342" t="str">
            <v>%</v>
          </cell>
          <cell r="F1342">
            <v>0.03</v>
          </cell>
          <cell r="G1342">
            <v>36143</v>
          </cell>
          <cell r="M1342" t="str">
            <v>hm</v>
          </cell>
        </row>
        <row r="1343">
          <cell r="A1343">
            <v>0</v>
          </cell>
          <cell r="C1343" t="str">
            <v>DIRECTO:  5,419,681 / UN</v>
          </cell>
          <cell r="D1343">
            <v>0</v>
          </cell>
          <cell r="E1343">
            <v>0</v>
          </cell>
          <cell r="F1343">
            <v>0</v>
          </cell>
          <cell r="G1343">
            <v>0</v>
          </cell>
          <cell r="M1343">
            <v>0</v>
          </cell>
        </row>
        <row r="1344">
          <cell r="A1344">
            <v>0</v>
          </cell>
          <cell r="C1344">
            <v>0</v>
          </cell>
          <cell r="E1344">
            <v>0</v>
          </cell>
          <cell r="F1344">
            <v>0</v>
          </cell>
          <cell r="G1344">
            <v>0</v>
          </cell>
          <cell r="M1344">
            <v>0</v>
          </cell>
        </row>
        <row r="1345">
          <cell r="A1345" t="str">
            <v>12-02-240</v>
          </cell>
          <cell r="B1345" t="str">
            <v>12-02-240</v>
          </cell>
          <cell r="C1345" t="str">
            <v>PUERTA P24 (1.20x2.73). MARCO + ALA(S) EN MADERA. INCLUYE ACABADO FINAL</v>
          </cell>
          <cell r="D1345">
            <v>6</v>
          </cell>
          <cell r="E1345" t="str">
            <v>UN</v>
          </cell>
          <cell r="F1345">
            <v>0</v>
          </cell>
          <cell r="G1345">
            <v>4841253</v>
          </cell>
          <cell r="M1345" t="e">
            <v>#N/A</v>
          </cell>
        </row>
        <row r="1346">
          <cell r="A1346" t="str">
            <v>12-02-240</v>
          </cell>
          <cell r="B1346" t="str">
            <v>mt571000</v>
          </cell>
          <cell r="C1346" t="str">
            <v>Madera cedro</v>
          </cell>
          <cell r="D1346">
            <v>0.6552</v>
          </cell>
          <cell r="E1346" t="str">
            <v>m3</v>
          </cell>
          <cell r="F1346">
            <v>2641600</v>
          </cell>
          <cell r="G1346">
            <v>1730777</v>
          </cell>
          <cell r="M1346" t="str">
            <v>mt</v>
          </cell>
        </row>
        <row r="1347">
          <cell r="A1347" t="str">
            <v>12-02-240</v>
          </cell>
          <cell r="B1347" t="str">
            <v>mt18620</v>
          </cell>
          <cell r="C1347" t="str">
            <v>Barniz para puertas y ventanas en madera</v>
          </cell>
          <cell r="D1347">
            <v>2</v>
          </cell>
          <cell r="E1347" t="str">
            <v>gl</v>
          </cell>
          <cell r="F1347">
            <v>40538.400000000001</v>
          </cell>
          <cell r="G1347">
            <v>81077</v>
          </cell>
          <cell r="M1347" t="str">
            <v>mt</v>
          </cell>
        </row>
        <row r="1348">
          <cell r="A1348" t="str">
            <v>12-02-240</v>
          </cell>
          <cell r="B1348" t="str">
            <v>mt51130</v>
          </cell>
          <cell r="C1348" t="str">
            <v>Cerradura para puerta en madera</v>
          </cell>
          <cell r="D1348">
            <v>1</v>
          </cell>
          <cell r="E1348" t="str">
            <v>un</v>
          </cell>
          <cell r="F1348">
            <v>96520</v>
          </cell>
          <cell r="G1348">
            <v>96520</v>
          </cell>
          <cell r="M1348" t="str">
            <v>mt</v>
          </cell>
        </row>
        <row r="1349">
          <cell r="A1349" t="str">
            <v>12-02-240</v>
          </cell>
          <cell r="B1349" t="str">
            <v>au10260</v>
          </cell>
          <cell r="C1349" t="str">
            <v>Aux MO oficial carpintero</v>
          </cell>
          <cell r="D1349">
            <v>52.5</v>
          </cell>
          <cell r="E1349" t="str">
            <v>hr</v>
          </cell>
          <cell r="F1349">
            <v>12901.168</v>
          </cell>
          <cell r="G1349">
            <v>677312</v>
          </cell>
          <cell r="M1349" t="str">
            <v>mo</v>
          </cell>
        </row>
        <row r="1350">
          <cell r="A1350" t="str">
            <v>12-02-240</v>
          </cell>
          <cell r="B1350" t="str">
            <v>au10000</v>
          </cell>
          <cell r="C1350" t="str">
            <v>Aux MO ayudante</v>
          </cell>
          <cell r="D1350">
            <v>52.5</v>
          </cell>
          <cell r="E1350" t="str">
            <v>hr</v>
          </cell>
          <cell r="F1350">
            <v>5080</v>
          </cell>
          <cell r="G1350">
            <v>266700</v>
          </cell>
          <cell r="M1350" t="str">
            <v>mo</v>
          </cell>
        </row>
        <row r="1351">
          <cell r="A1351" t="str">
            <v>12-02-240</v>
          </cell>
          <cell r="B1351" t="str">
            <v>TP500020</v>
          </cell>
          <cell r="C1351" t="str">
            <v>Transporte puertas y ventanas</v>
          </cell>
          <cell r="D1351">
            <v>3.2759999999999998</v>
          </cell>
          <cell r="E1351" t="str">
            <v>m2</v>
          </cell>
          <cell r="F1351">
            <v>50800</v>
          </cell>
          <cell r="G1351">
            <v>166421</v>
          </cell>
          <cell r="M1351" t="str">
            <v>TP</v>
          </cell>
        </row>
        <row r="1352">
          <cell r="A1352" t="str">
            <v>12-02-240</v>
          </cell>
          <cell r="B1352" t="str">
            <v>sc97420</v>
          </cell>
          <cell r="C1352" t="str">
            <v>Subcontrato instalacion puertas y ventanas + AIU</v>
          </cell>
          <cell r="D1352">
            <v>3.2759999999999998</v>
          </cell>
          <cell r="E1352" t="str">
            <v>m2</v>
          </cell>
          <cell r="F1352">
            <v>544068</v>
          </cell>
          <cell r="G1352">
            <v>1782367</v>
          </cell>
          <cell r="M1352" t="str">
            <v>sc</v>
          </cell>
        </row>
        <row r="1353">
          <cell r="A1353" t="str">
            <v>12-02-240</v>
          </cell>
          <cell r="B1353" t="str">
            <v>mt13900</v>
          </cell>
          <cell r="C1353" t="str">
            <v>Elementos de consumo y protección</v>
          </cell>
          <cell r="D1353">
            <v>944012</v>
          </cell>
          <cell r="E1353" t="str">
            <v>%</v>
          </cell>
          <cell r="F1353">
            <v>1.2455000000000001E-2</v>
          </cell>
          <cell r="G1353">
            <v>11758</v>
          </cell>
          <cell r="M1353" t="str">
            <v>mt</v>
          </cell>
        </row>
        <row r="1354">
          <cell r="A1354" t="str">
            <v>12-02-240</v>
          </cell>
          <cell r="B1354" t="str">
            <v>hm15100</v>
          </cell>
          <cell r="C1354" t="str">
            <v>Herramienta y equipo menor</v>
          </cell>
          <cell r="D1354">
            <v>944012</v>
          </cell>
          <cell r="E1354" t="str">
            <v>%</v>
          </cell>
          <cell r="F1354">
            <v>0.03</v>
          </cell>
          <cell r="G1354">
            <v>28321</v>
          </cell>
          <cell r="M1354" t="str">
            <v>hm</v>
          </cell>
        </row>
        <row r="1355">
          <cell r="A1355">
            <v>0</v>
          </cell>
          <cell r="C1355" t="str">
            <v>DIRECTO:  4,841,253 / UN</v>
          </cell>
          <cell r="D1355">
            <v>0</v>
          </cell>
          <cell r="E1355">
            <v>0</v>
          </cell>
          <cell r="F1355">
            <v>0</v>
          </cell>
          <cell r="G1355">
            <v>0</v>
          </cell>
          <cell r="M1355">
            <v>0</v>
          </cell>
        </row>
        <row r="1356">
          <cell r="A1356">
            <v>0</v>
          </cell>
          <cell r="C1356">
            <v>0</v>
          </cell>
          <cell r="E1356">
            <v>0</v>
          </cell>
          <cell r="F1356">
            <v>0</v>
          </cell>
          <cell r="G1356">
            <v>0</v>
          </cell>
          <cell r="M1356">
            <v>0</v>
          </cell>
        </row>
        <row r="1357">
          <cell r="A1357" t="str">
            <v>12-02-250</v>
          </cell>
          <cell r="B1357" t="str">
            <v>12-02-250</v>
          </cell>
          <cell r="C1357" t="str">
            <v>PUERTA PV06 ((1.58+2.54)x2.73). MARCO + ALA(S) EN MADERA + VIDRIO TEMPLADO TRANSLUCIDO. INCLUYE ACABADO FINAL</v>
          </cell>
          <cell r="D1357">
            <v>1</v>
          </cell>
          <cell r="E1357" t="str">
            <v>UN</v>
          </cell>
          <cell r="F1357">
            <v>0</v>
          </cell>
          <cell r="G1357">
            <v>5553410</v>
          </cell>
          <cell r="M1357" t="e">
            <v>#N/A</v>
          </cell>
        </row>
        <row r="1358">
          <cell r="A1358" t="str">
            <v>12-02-250</v>
          </cell>
          <cell r="B1358" t="str">
            <v>mt571000</v>
          </cell>
          <cell r="C1358" t="str">
            <v>Madera cedro</v>
          </cell>
          <cell r="D1358">
            <v>0.12309999999999999</v>
          </cell>
          <cell r="E1358" t="str">
            <v>m3</v>
          </cell>
          <cell r="F1358">
            <v>2641600</v>
          </cell>
          <cell r="G1358">
            <v>325181</v>
          </cell>
          <cell r="M1358" t="str">
            <v>mt</v>
          </cell>
        </row>
        <row r="1359">
          <cell r="A1359" t="str">
            <v>12-02-250</v>
          </cell>
          <cell r="B1359" t="str">
            <v>mt571100</v>
          </cell>
          <cell r="C1359" t="str">
            <v>Ala entamborada</v>
          </cell>
          <cell r="D1359">
            <v>2</v>
          </cell>
          <cell r="E1359" t="str">
            <v>un</v>
          </cell>
          <cell r="F1359">
            <v>102660</v>
          </cell>
          <cell r="G1359">
            <v>205320</v>
          </cell>
          <cell r="M1359" t="str">
            <v>mt</v>
          </cell>
        </row>
        <row r="1360">
          <cell r="A1360" t="str">
            <v>12-02-250</v>
          </cell>
          <cell r="B1360" t="str">
            <v>mt18620</v>
          </cell>
          <cell r="C1360" t="str">
            <v>Barniz para puertas y ventanas en madera</v>
          </cell>
          <cell r="D1360">
            <v>2</v>
          </cell>
          <cell r="E1360" t="str">
            <v>gl</v>
          </cell>
          <cell r="F1360">
            <v>40538.400000000001</v>
          </cell>
          <cell r="G1360">
            <v>81077</v>
          </cell>
          <cell r="M1360" t="str">
            <v>mt</v>
          </cell>
        </row>
        <row r="1361">
          <cell r="A1361" t="str">
            <v>12-02-250</v>
          </cell>
          <cell r="B1361" t="str">
            <v>mt539100</v>
          </cell>
          <cell r="C1361" t="str">
            <v>Vidrio templado translucido 5mm</v>
          </cell>
          <cell r="D1361">
            <v>11.2476</v>
          </cell>
          <cell r="E1361" t="str">
            <v>m2</v>
          </cell>
          <cell r="F1361">
            <v>92846.399999999994</v>
          </cell>
          <cell r="G1361">
            <v>1044300</v>
          </cell>
          <cell r="M1361" t="str">
            <v>mt</v>
          </cell>
        </row>
        <row r="1362">
          <cell r="A1362" t="str">
            <v>12-02-250</v>
          </cell>
          <cell r="B1362" t="str">
            <v>mt51130</v>
          </cell>
          <cell r="C1362" t="str">
            <v>Cerradura para puerta en madera</v>
          </cell>
          <cell r="D1362">
            <v>1</v>
          </cell>
          <cell r="E1362" t="str">
            <v>un</v>
          </cell>
          <cell r="F1362">
            <v>96520</v>
          </cell>
          <cell r="G1362">
            <v>96520</v>
          </cell>
          <cell r="M1362" t="str">
            <v>mt</v>
          </cell>
        </row>
        <row r="1363">
          <cell r="A1363" t="str">
            <v>12-02-250</v>
          </cell>
          <cell r="B1363" t="str">
            <v>au10260</v>
          </cell>
          <cell r="C1363" t="str">
            <v>Aux MO oficial carpintero</v>
          </cell>
          <cell r="D1363">
            <v>60</v>
          </cell>
          <cell r="E1363" t="str">
            <v>hr</v>
          </cell>
          <cell r="F1363">
            <v>12901.168</v>
          </cell>
          <cell r="G1363">
            <v>774071</v>
          </cell>
          <cell r="M1363" t="str">
            <v>mo</v>
          </cell>
        </row>
        <row r="1364">
          <cell r="A1364" t="str">
            <v>12-02-250</v>
          </cell>
          <cell r="B1364" t="str">
            <v>au10000</v>
          </cell>
          <cell r="C1364" t="str">
            <v>Aux MO ayudante</v>
          </cell>
          <cell r="D1364">
            <v>60</v>
          </cell>
          <cell r="E1364" t="str">
            <v>hr</v>
          </cell>
          <cell r="F1364">
            <v>5080</v>
          </cell>
          <cell r="G1364">
            <v>304800</v>
          </cell>
          <cell r="M1364" t="str">
            <v>mo</v>
          </cell>
        </row>
        <row r="1365">
          <cell r="A1365" t="str">
            <v>12-02-250</v>
          </cell>
          <cell r="B1365" t="str">
            <v>TP500020</v>
          </cell>
          <cell r="C1365" t="str">
            <v>Transporte puertas y ventanas</v>
          </cell>
          <cell r="D1365">
            <v>4.4990399999999999</v>
          </cell>
          <cell r="E1365" t="str">
            <v>m2</v>
          </cell>
          <cell r="F1365">
            <v>50800</v>
          </cell>
          <cell r="G1365">
            <v>228552</v>
          </cell>
          <cell r="M1365" t="str">
            <v>TP</v>
          </cell>
        </row>
        <row r="1366">
          <cell r="A1366" t="str">
            <v>12-02-250</v>
          </cell>
          <cell r="B1366" t="str">
            <v>sc97420</v>
          </cell>
          <cell r="C1366" t="str">
            <v>Subcontrato instalacion puertas y ventanas + AIU</v>
          </cell>
          <cell r="D1366">
            <v>4.4990399999999999</v>
          </cell>
          <cell r="E1366" t="str">
            <v>m2</v>
          </cell>
          <cell r="F1366">
            <v>544068</v>
          </cell>
          <cell r="G1366">
            <v>2447784</v>
          </cell>
          <cell r="M1366" t="str">
            <v>sc</v>
          </cell>
        </row>
        <row r="1367">
          <cell r="A1367" t="str">
            <v>12-02-250</v>
          </cell>
          <cell r="B1367" t="str">
            <v>mt13900</v>
          </cell>
          <cell r="C1367" t="str">
            <v>Elementos de consumo y protección</v>
          </cell>
          <cell r="D1367">
            <v>1078871</v>
          </cell>
          <cell r="E1367" t="str">
            <v>%</v>
          </cell>
          <cell r="F1367">
            <v>1.2455000000000001E-2</v>
          </cell>
          <cell r="G1367">
            <v>13438</v>
          </cell>
          <cell r="M1367" t="str">
            <v>mt</v>
          </cell>
        </row>
        <row r="1368">
          <cell r="A1368" t="str">
            <v>12-02-250</v>
          </cell>
          <cell r="B1368" t="str">
            <v>hm15100</v>
          </cell>
          <cell r="C1368" t="str">
            <v>Herramienta y equipo menor</v>
          </cell>
          <cell r="D1368">
            <v>1078871</v>
          </cell>
          <cell r="E1368" t="str">
            <v>%</v>
          </cell>
          <cell r="F1368">
            <v>0.03</v>
          </cell>
          <cell r="G1368">
            <v>32367</v>
          </cell>
          <cell r="M1368" t="str">
            <v>hm</v>
          </cell>
        </row>
        <row r="1369">
          <cell r="A1369">
            <v>0</v>
          </cell>
          <cell r="C1369" t="str">
            <v>DIRECTO:  5,553,410 / UN</v>
          </cell>
          <cell r="D1369">
            <v>0</v>
          </cell>
          <cell r="E1369">
            <v>0</v>
          </cell>
          <cell r="F1369">
            <v>0</v>
          </cell>
          <cell r="G1369">
            <v>0</v>
          </cell>
          <cell r="M1369">
            <v>0</v>
          </cell>
        </row>
        <row r="1370">
          <cell r="A1370">
            <v>0</v>
          </cell>
          <cell r="C1370">
            <v>0</v>
          </cell>
          <cell r="E1370">
            <v>0</v>
          </cell>
          <cell r="F1370">
            <v>0</v>
          </cell>
          <cell r="G1370">
            <v>0</v>
          </cell>
          <cell r="M1370">
            <v>0</v>
          </cell>
        </row>
        <row r="1371">
          <cell r="A1371" t="str">
            <v>12-03-010</v>
          </cell>
          <cell r="B1371" t="str">
            <v>12-03-010</v>
          </cell>
          <cell r="C1371" t="str">
            <v>CONSUETA. INCLUYE ESCALAS DE ACCESO AL ESCENARIO CON SU ESTRUCTURA, ENCHAPES EN MADERA Y CONCHA EN MADERA.</v>
          </cell>
          <cell r="D1371">
            <v>1</v>
          </cell>
          <cell r="E1371" t="str">
            <v>UN</v>
          </cell>
          <cell r="F1371">
            <v>0</v>
          </cell>
          <cell r="G1371">
            <v>4200000</v>
          </cell>
          <cell r="M1371" t="e">
            <v>#N/A</v>
          </cell>
        </row>
        <row r="1372">
          <cell r="A1372" t="str">
            <v>12-03-010</v>
          </cell>
          <cell r="B1372" t="str">
            <v>pv10150</v>
          </cell>
          <cell r="C1372" t="str">
            <v>Provision para consueta</v>
          </cell>
          <cell r="D1372">
            <v>1</v>
          </cell>
          <cell r="E1372" t="str">
            <v>un</v>
          </cell>
          <cell r="F1372">
            <v>4200000</v>
          </cell>
          <cell r="G1372">
            <v>4200000</v>
          </cell>
          <cell r="M1372" t="str">
            <v>pv</v>
          </cell>
        </row>
        <row r="1373">
          <cell r="A1373" t="str">
            <v>12-03-010</v>
          </cell>
          <cell r="B1373" t="str">
            <v>mt13900</v>
          </cell>
          <cell r="C1373" t="str">
            <v>Elementos de consumo y protección</v>
          </cell>
          <cell r="D1373">
            <v>0</v>
          </cell>
          <cell r="E1373" t="str">
            <v>%</v>
          </cell>
          <cell r="F1373">
            <v>1.2455000000000001E-2</v>
          </cell>
          <cell r="G1373">
            <v>0</v>
          </cell>
          <cell r="M1373" t="str">
            <v>mt</v>
          </cell>
        </row>
        <row r="1374">
          <cell r="A1374" t="str">
            <v>12-03-010</v>
          </cell>
          <cell r="B1374" t="str">
            <v>hm15100</v>
          </cell>
          <cell r="C1374" t="str">
            <v>Herramienta y equipo menor</v>
          </cell>
          <cell r="D1374">
            <v>0</v>
          </cell>
          <cell r="E1374" t="str">
            <v>%</v>
          </cell>
          <cell r="F1374">
            <v>0.03</v>
          </cell>
          <cell r="G1374">
            <v>0</v>
          </cell>
          <cell r="M1374" t="str">
            <v>hm</v>
          </cell>
        </row>
        <row r="1375">
          <cell r="A1375">
            <v>0</v>
          </cell>
          <cell r="C1375" t="str">
            <v>DIRECTO:  4,200,000 / UN</v>
          </cell>
          <cell r="D1375">
            <v>0</v>
          </cell>
          <cell r="E1375">
            <v>0</v>
          </cell>
          <cell r="F1375">
            <v>0</v>
          </cell>
          <cell r="G1375">
            <v>0</v>
          </cell>
          <cell r="M1375">
            <v>0</v>
          </cell>
        </row>
        <row r="1376">
          <cell r="A1376">
            <v>0</v>
          </cell>
          <cell r="B1376" t="str">
            <v>13</v>
          </cell>
          <cell r="C1376" t="str">
            <v>MUEBLES, APARATOS SANITARIOS Y GRIFERIAS</v>
          </cell>
          <cell r="E1376">
            <v>0</v>
          </cell>
          <cell r="F1376">
            <v>0</v>
          </cell>
          <cell r="G1376">
            <v>0</v>
          </cell>
          <cell r="M1376" t="e">
            <v>#N/A</v>
          </cell>
        </row>
        <row r="1377">
          <cell r="A1377" t="str">
            <v>13-01-010</v>
          </cell>
          <cell r="B1377" t="str">
            <v>13-01-010</v>
          </cell>
          <cell r="C1377" t="str">
            <v>TOCADORES CAMERINOS. MESONES EN GRANITO PULIDO NEGRO. INCLUYE ANCLAJES A MUROS Y SOPORTES</v>
          </cell>
          <cell r="D1377">
            <v>4</v>
          </cell>
          <cell r="E1377" t="str">
            <v>M</v>
          </cell>
          <cell r="F1377">
            <v>0</v>
          </cell>
          <cell r="G1377">
            <v>406817</v>
          </cell>
          <cell r="M1377" t="e">
            <v>#N/A</v>
          </cell>
        </row>
        <row r="1378">
          <cell r="A1378" t="str">
            <v>13-01-010</v>
          </cell>
          <cell r="B1378" t="str">
            <v>mt80040</v>
          </cell>
          <cell r="C1378" t="str">
            <v>Meson granito negro san gabriel de 50-60cm Roca</v>
          </cell>
          <cell r="D1378">
            <v>1.05</v>
          </cell>
          <cell r="E1378" t="str">
            <v>m</v>
          </cell>
          <cell r="F1378">
            <v>294999.59999999998</v>
          </cell>
          <cell r="G1378">
            <v>309750</v>
          </cell>
          <cell r="M1378" t="str">
            <v>mt</v>
          </cell>
        </row>
        <row r="1379">
          <cell r="A1379" t="str">
            <v>13-01-010</v>
          </cell>
          <cell r="B1379" t="str">
            <v>au10200</v>
          </cell>
          <cell r="C1379" t="str">
            <v>Aux MO oficial obra blanca</v>
          </cell>
          <cell r="D1379">
            <v>6</v>
          </cell>
          <cell r="E1379" t="str">
            <v>hr</v>
          </cell>
          <cell r="F1379">
            <v>10159</v>
          </cell>
          <cell r="G1379">
            <v>60954</v>
          </cell>
          <cell r="M1379" t="str">
            <v>mo</v>
          </cell>
        </row>
        <row r="1380">
          <cell r="A1380" t="str">
            <v>13-01-010</v>
          </cell>
          <cell r="B1380" t="str">
            <v>au10000</v>
          </cell>
          <cell r="C1380" t="str">
            <v>Aux MO ayudante</v>
          </cell>
          <cell r="D1380">
            <v>6</v>
          </cell>
          <cell r="E1380" t="str">
            <v>hr</v>
          </cell>
          <cell r="F1380">
            <v>5080</v>
          </cell>
          <cell r="G1380">
            <v>30480</v>
          </cell>
          <cell r="M1380" t="str">
            <v>mo</v>
          </cell>
        </row>
        <row r="1381">
          <cell r="A1381" t="str">
            <v>13-01-010</v>
          </cell>
          <cell r="B1381" t="str">
            <v>tp500030</v>
          </cell>
          <cell r="C1381" t="str">
            <v>Transporte a Jerico</v>
          </cell>
          <cell r="D1381">
            <v>0.05</v>
          </cell>
          <cell r="E1381" t="str">
            <v>ton</v>
          </cell>
          <cell r="F1381">
            <v>35000</v>
          </cell>
          <cell r="G1381">
            <v>1750</v>
          </cell>
          <cell r="M1381" t="str">
            <v>tp</v>
          </cell>
        </row>
        <row r="1382">
          <cell r="A1382" t="str">
            <v>13-01-010</v>
          </cell>
          <cell r="B1382" t="str">
            <v>mt13900</v>
          </cell>
          <cell r="C1382" t="str">
            <v>Elementos de consumo y protección</v>
          </cell>
          <cell r="D1382">
            <v>91434</v>
          </cell>
          <cell r="E1382" t="str">
            <v>%</v>
          </cell>
          <cell r="F1382">
            <v>1.2455000000000001E-2</v>
          </cell>
          <cell r="G1382">
            <v>1139</v>
          </cell>
          <cell r="M1382" t="str">
            <v>mt</v>
          </cell>
        </row>
        <row r="1383">
          <cell r="A1383" t="str">
            <v>13-01-010</v>
          </cell>
          <cell r="B1383" t="str">
            <v>hm15100</v>
          </cell>
          <cell r="C1383" t="str">
            <v>Herramienta y equipo menor</v>
          </cell>
          <cell r="D1383">
            <v>91434</v>
          </cell>
          <cell r="E1383" t="str">
            <v>%</v>
          </cell>
          <cell r="F1383">
            <v>0.03</v>
          </cell>
          <cell r="G1383">
            <v>2744</v>
          </cell>
          <cell r="M1383" t="str">
            <v>hm</v>
          </cell>
        </row>
        <row r="1384">
          <cell r="A1384">
            <v>0</v>
          </cell>
          <cell r="C1384" t="str">
            <v>DIRECTO:  406,817 / M</v>
          </cell>
          <cell r="D1384">
            <v>0</v>
          </cell>
          <cell r="E1384">
            <v>0</v>
          </cell>
          <cell r="F1384">
            <v>0</v>
          </cell>
          <cell r="G1384">
            <v>0</v>
          </cell>
          <cell r="M1384">
            <v>0</v>
          </cell>
        </row>
        <row r="1385">
          <cell r="A1385">
            <v>0</v>
          </cell>
          <cell r="C1385">
            <v>0</v>
          </cell>
          <cell r="E1385">
            <v>0</v>
          </cell>
          <cell r="F1385">
            <v>0</v>
          </cell>
          <cell r="G1385">
            <v>0</v>
          </cell>
          <cell r="M1385">
            <v>0</v>
          </cell>
        </row>
        <row r="1386">
          <cell r="A1386" t="str">
            <v>13-01-020</v>
          </cell>
          <cell r="B1386" t="str">
            <v>13-01-020</v>
          </cell>
          <cell r="C1386" t="str">
            <v>MESONES PARA LAVAMANOS EN GRANITO PULIDO NEGRO. INCLUYE ANCLAJES A MUROS Y SOPORTES</v>
          </cell>
          <cell r="D1386">
            <v>9</v>
          </cell>
          <cell r="E1386" t="str">
            <v>M</v>
          </cell>
          <cell r="F1386">
            <v>0</v>
          </cell>
          <cell r="G1386">
            <v>438589</v>
          </cell>
          <cell r="M1386" t="e">
            <v>#N/A</v>
          </cell>
        </row>
        <row r="1387">
          <cell r="A1387" t="str">
            <v>13-01-020</v>
          </cell>
          <cell r="B1387" t="str">
            <v>mt80040</v>
          </cell>
          <cell r="C1387" t="str">
            <v>Meson granito negro san gabriel de 50-60cm Roca</v>
          </cell>
          <cell r="D1387">
            <v>1.05</v>
          </cell>
          <cell r="E1387" t="str">
            <v>m</v>
          </cell>
          <cell r="F1387">
            <v>294999.59999999998</v>
          </cell>
          <cell r="G1387">
            <v>309750</v>
          </cell>
          <cell r="M1387" t="str">
            <v>mt</v>
          </cell>
        </row>
        <row r="1388">
          <cell r="A1388" t="str">
            <v>13-01-020</v>
          </cell>
          <cell r="B1388" t="str">
            <v>au10200</v>
          </cell>
          <cell r="C1388" t="str">
            <v>Aux MO oficial obra blanca</v>
          </cell>
          <cell r="D1388">
            <v>8</v>
          </cell>
          <cell r="E1388" t="str">
            <v>hr</v>
          </cell>
          <cell r="F1388">
            <v>10159</v>
          </cell>
          <cell r="G1388">
            <v>81272</v>
          </cell>
          <cell r="M1388" t="str">
            <v>mo</v>
          </cell>
        </row>
        <row r="1389">
          <cell r="A1389" t="str">
            <v>13-01-020</v>
          </cell>
          <cell r="B1389" t="str">
            <v>au10000</v>
          </cell>
          <cell r="C1389" t="str">
            <v>Aux MO ayudante</v>
          </cell>
          <cell r="D1389">
            <v>8</v>
          </cell>
          <cell r="E1389" t="str">
            <v>hr</v>
          </cell>
          <cell r="F1389">
            <v>5080</v>
          </cell>
          <cell r="G1389">
            <v>40640</v>
          </cell>
          <cell r="M1389" t="str">
            <v>mo</v>
          </cell>
        </row>
        <row r="1390">
          <cell r="A1390" t="str">
            <v>13-01-020</v>
          </cell>
          <cell r="B1390" t="str">
            <v>tp500030</v>
          </cell>
          <cell r="C1390" t="str">
            <v>Transporte a Jerico</v>
          </cell>
          <cell r="D1390">
            <v>0.05</v>
          </cell>
          <cell r="E1390" t="str">
            <v>ton</v>
          </cell>
          <cell r="F1390">
            <v>35000</v>
          </cell>
          <cell r="G1390">
            <v>1750</v>
          </cell>
          <cell r="M1390" t="str">
            <v>tp</v>
          </cell>
        </row>
        <row r="1391">
          <cell r="A1391" t="str">
            <v>13-01-020</v>
          </cell>
          <cell r="B1391" t="str">
            <v>mt13900</v>
          </cell>
          <cell r="C1391" t="str">
            <v>Elementos de consumo y protección</v>
          </cell>
          <cell r="D1391">
            <v>121912</v>
          </cell>
          <cell r="E1391" t="str">
            <v>%</v>
          </cell>
          <cell r="F1391">
            <v>1.2455000000000001E-2</v>
          </cell>
          <cell r="G1391">
            <v>1519</v>
          </cell>
          <cell r="M1391" t="str">
            <v>mt</v>
          </cell>
        </row>
        <row r="1392">
          <cell r="A1392" t="str">
            <v>13-01-020</v>
          </cell>
          <cell r="B1392" t="str">
            <v>hm15100</v>
          </cell>
          <cell r="C1392" t="str">
            <v>Herramienta y equipo menor</v>
          </cell>
          <cell r="D1392">
            <v>121912</v>
          </cell>
          <cell r="E1392" t="str">
            <v>%</v>
          </cell>
          <cell r="F1392">
            <v>0.03</v>
          </cell>
          <cell r="G1392">
            <v>3658</v>
          </cell>
          <cell r="M1392" t="str">
            <v>hm</v>
          </cell>
        </row>
        <row r="1393">
          <cell r="A1393">
            <v>0</v>
          </cell>
          <cell r="C1393" t="str">
            <v>DIRECTO:  438,589 / M</v>
          </cell>
          <cell r="D1393">
            <v>0</v>
          </cell>
          <cell r="E1393">
            <v>0</v>
          </cell>
          <cell r="F1393">
            <v>0</v>
          </cell>
          <cell r="G1393">
            <v>0</v>
          </cell>
          <cell r="M1393">
            <v>0</v>
          </cell>
        </row>
        <row r="1394">
          <cell r="A1394">
            <v>0</v>
          </cell>
          <cell r="C1394">
            <v>0</v>
          </cell>
          <cell r="E1394">
            <v>0</v>
          </cell>
          <cell r="F1394">
            <v>0</v>
          </cell>
          <cell r="G1394">
            <v>0</v>
          </cell>
          <cell r="M1394">
            <v>0</v>
          </cell>
        </row>
        <row r="1395">
          <cell r="A1395" t="str">
            <v>13-01-030</v>
          </cell>
          <cell r="B1395" t="str">
            <v>13-01-030</v>
          </cell>
          <cell r="C1395" t="str">
            <v>MUEBLE COCINETA LOCAL CAFÉ. MESON EN ACERO INOXIDABLE CON POZUELO + MUEBLE BAJO EN FORMICA RH</v>
          </cell>
          <cell r="D1395">
            <v>3</v>
          </cell>
          <cell r="E1395" t="str">
            <v>M</v>
          </cell>
          <cell r="F1395">
            <v>0</v>
          </cell>
          <cell r="G1395">
            <v>878469</v>
          </cell>
          <cell r="M1395" t="e">
            <v>#N/A</v>
          </cell>
        </row>
        <row r="1396">
          <cell r="A1396" t="str">
            <v>13-01-030</v>
          </cell>
          <cell r="B1396" t="str">
            <v>sc525300</v>
          </cell>
          <cell r="C1396" t="str">
            <v>Mueble cocineta local cafe 2.50x0.60m. Incluye mueble bajo y superficie en acero inoxidable</v>
          </cell>
          <cell r="D1396">
            <v>0.4</v>
          </cell>
          <cell r="E1396" t="str">
            <v>un</v>
          </cell>
          <cell r="F1396">
            <v>1739999.9999999998</v>
          </cell>
          <cell r="G1396">
            <v>696000</v>
          </cell>
          <cell r="M1396" t="str">
            <v>sc</v>
          </cell>
        </row>
        <row r="1397">
          <cell r="A1397" t="str">
            <v>13-01-030</v>
          </cell>
          <cell r="B1397" t="str">
            <v>au10260</v>
          </cell>
          <cell r="C1397" t="str">
            <v>Aux MO oficial carpintero</v>
          </cell>
          <cell r="D1397">
            <v>6</v>
          </cell>
          <cell r="E1397" t="str">
            <v>hr</v>
          </cell>
          <cell r="F1397">
            <v>12901.168</v>
          </cell>
          <cell r="G1397">
            <v>77408</v>
          </cell>
          <cell r="M1397" t="str">
            <v>mo</v>
          </cell>
        </row>
        <row r="1398">
          <cell r="A1398" t="str">
            <v>13-01-030</v>
          </cell>
          <cell r="B1398" t="str">
            <v>au10000</v>
          </cell>
          <cell r="C1398" t="str">
            <v>Aux MO ayudante</v>
          </cell>
          <cell r="D1398">
            <v>6</v>
          </cell>
          <cell r="E1398" t="str">
            <v>hr</v>
          </cell>
          <cell r="F1398">
            <v>5080</v>
          </cell>
          <cell r="G1398">
            <v>30480</v>
          </cell>
          <cell r="M1398" t="str">
            <v>mo</v>
          </cell>
        </row>
        <row r="1399">
          <cell r="A1399" t="str">
            <v>13-01-030</v>
          </cell>
          <cell r="B1399" t="str">
            <v>tp500030</v>
          </cell>
          <cell r="C1399" t="str">
            <v>Transporte a Jerico</v>
          </cell>
          <cell r="D1399">
            <v>2</v>
          </cell>
          <cell r="E1399" t="str">
            <v>ton</v>
          </cell>
          <cell r="F1399">
            <v>35000</v>
          </cell>
          <cell r="G1399">
            <v>70000</v>
          </cell>
          <cell r="M1399" t="str">
            <v>tp</v>
          </cell>
        </row>
        <row r="1400">
          <cell r="A1400" t="str">
            <v>13-01-030</v>
          </cell>
          <cell r="B1400" t="str">
            <v>mt13900</v>
          </cell>
          <cell r="C1400" t="str">
            <v>Elementos de consumo y protección</v>
          </cell>
          <cell r="D1400">
            <v>107888</v>
          </cell>
          <cell r="E1400" t="str">
            <v>%</v>
          </cell>
          <cell r="F1400">
            <v>1.2455000000000001E-2</v>
          </cell>
          <cell r="G1400">
            <v>1344</v>
          </cell>
          <cell r="M1400" t="str">
            <v>mt</v>
          </cell>
        </row>
        <row r="1401">
          <cell r="A1401" t="str">
            <v>13-01-030</v>
          </cell>
          <cell r="B1401" t="str">
            <v>hm15100</v>
          </cell>
          <cell r="C1401" t="str">
            <v>Herramienta y equipo menor</v>
          </cell>
          <cell r="D1401">
            <v>107888</v>
          </cell>
          <cell r="E1401" t="str">
            <v>%</v>
          </cell>
          <cell r="F1401">
            <v>0.03</v>
          </cell>
          <cell r="G1401">
            <v>3237</v>
          </cell>
          <cell r="M1401" t="str">
            <v>hm</v>
          </cell>
        </row>
        <row r="1402">
          <cell r="A1402">
            <v>0</v>
          </cell>
          <cell r="C1402" t="str">
            <v>DIRECTO:  878,469 / M</v>
          </cell>
          <cell r="D1402">
            <v>0</v>
          </cell>
          <cell r="E1402">
            <v>0</v>
          </cell>
          <cell r="F1402">
            <v>0</v>
          </cell>
          <cell r="G1402">
            <v>0</v>
          </cell>
          <cell r="M1402">
            <v>0</v>
          </cell>
        </row>
        <row r="1403">
          <cell r="A1403">
            <v>0</v>
          </cell>
          <cell r="C1403">
            <v>0</v>
          </cell>
          <cell r="E1403">
            <v>0</v>
          </cell>
          <cell r="F1403">
            <v>0</v>
          </cell>
          <cell r="G1403">
            <v>0</v>
          </cell>
          <cell r="M1403">
            <v>0</v>
          </cell>
        </row>
        <row r="1404">
          <cell r="A1404" t="str">
            <v>13-01-040</v>
          </cell>
          <cell r="B1404" t="str">
            <v>13-01-040</v>
          </cell>
          <cell r="C1404" t="str">
            <v>BANCAS CAMERINOS EN CONCRETO F'C 21 MPA + GRANITO VACIADO Y PULIDO. INCLUYE ACERO DE REFUERZO</v>
          </cell>
          <cell r="D1404">
            <v>3</v>
          </cell>
          <cell r="E1404" t="str">
            <v>M</v>
          </cell>
          <cell r="F1404">
            <v>0</v>
          </cell>
          <cell r="G1404">
            <v>473915</v>
          </cell>
          <cell r="M1404" t="e">
            <v>#N/A</v>
          </cell>
        </row>
        <row r="1405">
          <cell r="A1405" t="str">
            <v>13-01-040</v>
          </cell>
          <cell r="B1405" t="str">
            <v>mt80050</v>
          </cell>
          <cell r="C1405" t="str">
            <v>Banco en granito pulido prefabricado</v>
          </cell>
          <cell r="D1405">
            <v>1.05</v>
          </cell>
          <cell r="E1405" t="str">
            <v>m</v>
          </cell>
          <cell r="F1405">
            <v>406000</v>
          </cell>
          <cell r="G1405">
            <v>426300</v>
          </cell>
          <cell r="M1405" t="str">
            <v>mt</v>
          </cell>
        </row>
        <row r="1406">
          <cell r="A1406" t="str">
            <v>13-01-040</v>
          </cell>
          <cell r="B1406" t="str">
            <v>au10200</v>
          </cell>
          <cell r="C1406" t="str">
            <v>Aux MO oficial obra blanca</v>
          </cell>
          <cell r="D1406">
            <v>2</v>
          </cell>
          <cell r="E1406" t="str">
            <v>hr</v>
          </cell>
          <cell r="F1406">
            <v>10159</v>
          </cell>
          <cell r="G1406">
            <v>20318</v>
          </cell>
          <cell r="M1406" t="str">
            <v>mo</v>
          </cell>
        </row>
        <row r="1407">
          <cell r="A1407" t="str">
            <v>13-01-040</v>
          </cell>
          <cell r="B1407" t="str">
            <v>au10000</v>
          </cell>
          <cell r="C1407" t="str">
            <v>Aux MO ayudante</v>
          </cell>
          <cell r="D1407">
            <v>4</v>
          </cell>
          <cell r="E1407" t="str">
            <v>hr</v>
          </cell>
          <cell r="F1407">
            <v>5080</v>
          </cell>
          <cell r="G1407">
            <v>20320</v>
          </cell>
          <cell r="M1407" t="str">
            <v>mo</v>
          </cell>
        </row>
        <row r="1408">
          <cell r="A1408" t="str">
            <v>13-01-040</v>
          </cell>
          <cell r="B1408" t="str">
            <v>tp500030</v>
          </cell>
          <cell r="C1408" t="str">
            <v>Transporte a Jerico</v>
          </cell>
          <cell r="D1408">
            <v>0.15</v>
          </cell>
          <cell r="E1408" t="str">
            <v>ton</v>
          </cell>
          <cell r="F1408">
            <v>35000</v>
          </cell>
          <cell r="G1408">
            <v>5250</v>
          </cell>
          <cell r="M1408" t="str">
            <v>tp</v>
          </cell>
        </row>
        <row r="1409">
          <cell r="A1409" t="str">
            <v>13-01-040</v>
          </cell>
          <cell r="B1409" t="str">
            <v>mt13900</v>
          </cell>
          <cell r="C1409" t="str">
            <v>Elementos de consumo y protección</v>
          </cell>
          <cell r="D1409">
            <v>40638</v>
          </cell>
          <cell r="E1409" t="str">
            <v>%</v>
          </cell>
          <cell r="F1409">
            <v>1.2455000000000001E-2</v>
          </cell>
          <cell r="G1409">
            <v>507</v>
          </cell>
          <cell r="M1409" t="str">
            <v>mt</v>
          </cell>
        </row>
        <row r="1410">
          <cell r="A1410" t="str">
            <v>13-01-040</v>
          </cell>
          <cell r="B1410" t="str">
            <v>hm15100</v>
          </cell>
          <cell r="C1410" t="str">
            <v>Herramienta y equipo menor</v>
          </cell>
          <cell r="D1410">
            <v>40638</v>
          </cell>
          <cell r="E1410" t="str">
            <v>%</v>
          </cell>
          <cell r="F1410">
            <v>0.03</v>
          </cell>
          <cell r="G1410">
            <v>1220</v>
          </cell>
          <cell r="M1410" t="str">
            <v>hm</v>
          </cell>
        </row>
        <row r="1411">
          <cell r="A1411">
            <v>0</v>
          </cell>
          <cell r="C1411" t="str">
            <v>DIRECTO:  473,915 / M</v>
          </cell>
          <cell r="D1411">
            <v>0</v>
          </cell>
          <cell r="E1411">
            <v>0</v>
          </cell>
          <cell r="F1411">
            <v>0</v>
          </cell>
          <cell r="G1411">
            <v>0</v>
          </cell>
          <cell r="M1411">
            <v>0</v>
          </cell>
        </row>
        <row r="1412">
          <cell r="A1412">
            <v>0</v>
          </cell>
          <cell r="C1412">
            <v>0</v>
          </cell>
          <cell r="D1412">
            <v>0</v>
          </cell>
          <cell r="E1412">
            <v>0</v>
          </cell>
          <cell r="F1412">
            <v>0</v>
          </cell>
          <cell r="G1412">
            <v>0</v>
          </cell>
          <cell r="M1412">
            <v>0</v>
          </cell>
        </row>
        <row r="1413">
          <cell r="A1413">
            <v>0</v>
          </cell>
          <cell r="C1413">
            <v>0</v>
          </cell>
          <cell r="E1413">
            <v>0</v>
          </cell>
          <cell r="F1413">
            <v>0</v>
          </cell>
          <cell r="G1413">
            <v>0</v>
          </cell>
          <cell r="M1413">
            <v>0</v>
          </cell>
        </row>
        <row r="1414">
          <cell r="A1414" t="str">
            <v>13-01-050</v>
          </cell>
          <cell r="B1414" t="str">
            <v>13-01-050</v>
          </cell>
          <cell r="C1414" t="str">
            <v>LAVAESCOBAS PREFABRICADO EN GRANO PULIDO. INCLUYE LLAVE CROMADA</v>
          </cell>
          <cell r="D1414">
            <v>3</v>
          </cell>
          <cell r="E1414" t="str">
            <v>UN</v>
          </cell>
          <cell r="F1414">
            <v>0</v>
          </cell>
          <cell r="G1414">
            <v>161248</v>
          </cell>
          <cell r="M1414" t="e">
            <v>#N/A</v>
          </cell>
        </row>
        <row r="1415">
          <cell r="A1415" t="str">
            <v>13-01-050</v>
          </cell>
          <cell r="B1415" t="str">
            <v>mt80055</v>
          </cell>
          <cell r="C1415" t="str">
            <v>Lavaescobas en granito blanco prefabricado 42x60x25</v>
          </cell>
          <cell r="D1415">
            <v>1.05</v>
          </cell>
          <cell r="E1415" t="str">
            <v>m</v>
          </cell>
          <cell r="F1415">
            <v>91988</v>
          </cell>
          <cell r="G1415">
            <v>96588</v>
          </cell>
          <cell r="M1415" t="str">
            <v>mt</v>
          </cell>
        </row>
        <row r="1416">
          <cell r="A1416" t="str">
            <v>13-01-050</v>
          </cell>
          <cell r="B1416" t="str">
            <v>mt72820</v>
          </cell>
          <cell r="C1416" t="str">
            <v>Llave pesada de jardin cromada</v>
          </cell>
          <cell r="D1416">
            <v>1.05</v>
          </cell>
          <cell r="E1416" t="str">
            <v>un</v>
          </cell>
          <cell r="F1416">
            <v>17899.96</v>
          </cell>
          <cell r="G1416">
            <v>18795</v>
          </cell>
          <cell r="M1416" t="str">
            <v>mt</v>
          </cell>
        </row>
        <row r="1417">
          <cell r="A1417" t="str">
            <v>13-01-050</v>
          </cell>
          <cell r="B1417" t="str">
            <v>au10200</v>
          </cell>
          <cell r="C1417" t="str">
            <v>Aux MO oficial obra blanca</v>
          </cell>
          <cell r="D1417">
            <v>2</v>
          </cell>
          <cell r="E1417" t="str">
            <v>hr</v>
          </cell>
          <cell r="F1417">
            <v>10159</v>
          </cell>
          <cell r="G1417">
            <v>20318</v>
          </cell>
          <cell r="M1417" t="str">
            <v>mo</v>
          </cell>
        </row>
        <row r="1418">
          <cell r="A1418" t="str">
            <v>13-01-050</v>
          </cell>
          <cell r="B1418" t="str">
            <v>au10000</v>
          </cell>
          <cell r="C1418" t="str">
            <v>Aux MO ayudante</v>
          </cell>
          <cell r="D1418">
            <v>4</v>
          </cell>
          <cell r="E1418" t="str">
            <v>hr</v>
          </cell>
          <cell r="F1418">
            <v>5080</v>
          </cell>
          <cell r="G1418">
            <v>20320</v>
          </cell>
          <cell r="M1418" t="str">
            <v>mo</v>
          </cell>
        </row>
        <row r="1419">
          <cell r="A1419" t="str">
            <v>13-01-050</v>
          </cell>
          <cell r="B1419" t="str">
            <v>tp500030</v>
          </cell>
          <cell r="C1419" t="str">
            <v>Transporte a Jerico</v>
          </cell>
          <cell r="D1419">
            <v>0.1</v>
          </cell>
          <cell r="E1419" t="str">
            <v>ton</v>
          </cell>
          <cell r="F1419">
            <v>35000</v>
          </cell>
          <cell r="G1419">
            <v>3500</v>
          </cell>
          <cell r="M1419" t="str">
            <v>tp</v>
          </cell>
        </row>
        <row r="1420">
          <cell r="A1420" t="str">
            <v>13-01-050</v>
          </cell>
          <cell r="B1420" t="str">
            <v>mt13900</v>
          </cell>
          <cell r="C1420" t="str">
            <v>Elementos de consumo y protección</v>
          </cell>
          <cell r="D1420">
            <v>40638</v>
          </cell>
          <cell r="E1420" t="str">
            <v>%</v>
          </cell>
          <cell r="F1420">
            <v>1.2455000000000001E-2</v>
          </cell>
          <cell r="G1420">
            <v>507</v>
          </cell>
          <cell r="M1420" t="str">
            <v>mt</v>
          </cell>
        </row>
        <row r="1421">
          <cell r="A1421" t="str">
            <v>13-01-050</v>
          </cell>
          <cell r="B1421" t="str">
            <v>hm15100</v>
          </cell>
          <cell r="C1421" t="str">
            <v>Herramienta y equipo menor</v>
          </cell>
          <cell r="D1421">
            <v>40638</v>
          </cell>
          <cell r="E1421" t="str">
            <v>%</v>
          </cell>
          <cell r="F1421">
            <v>0.03</v>
          </cell>
          <cell r="G1421">
            <v>1220</v>
          </cell>
          <cell r="M1421" t="str">
            <v>hm</v>
          </cell>
        </row>
        <row r="1422">
          <cell r="A1422">
            <v>0</v>
          </cell>
          <cell r="C1422" t="str">
            <v>DIRECTO:  161,248 / UN</v>
          </cell>
          <cell r="D1422">
            <v>0</v>
          </cell>
          <cell r="E1422">
            <v>0</v>
          </cell>
          <cell r="F1422">
            <v>0</v>
          </cell>
          <cell r="G1422">
            <v>0</v>
          </cell>
          <cell r="M1422">
            <v>0</v>
          </cell>
        </row>
        <row r="1423">
          <cell r="A1423">
            <v>0</v>
          </cell>
          <cell r="C1423">
            <v>0</v>
          </cell>
          <cell r="E1423">
            <v>0</v>
          </cell>
          <cell r="F1423">
            <v>0</v>
          </cell>
          <cell r="G1423">
            <v>0</v>
          </cell>
          <cell r="M1423">
            <v>0</v>
          </cell>
        </row>
        <row r="1424">
          <cell r="A1424" t="str">
            <v>13-01-100</v>
          </cell>
          <cell r="B1424" t="str">
            <v>13-01-100</v>
          </cell>
          <cell r="C1424" t="str">
            <v>SILLETERIA SIN ESPALDAR EN GRADERIAS SEGUNDO PISO</v>
          </cell>
          <cell r="D1424">
            <v>74</v>
          </cell>
          <cell r="E1424" t="str">
            <v>UN</v>
          </cell>
          <cell r="F1424">
            <v>0</v>
          </cell>
          <cell r="G1424">
            <v>3570000</v>
          </cell>
          <cell r="M1424" t="e">
            <v>#N/A</v>
          </cell>
        </row>
        <row r="1425">
          <cell r="A1425" t="str">
            <v>13-01-100</v>
          </cell>
          <cell r="B1425" t="str">
            <v>pv10160</v>
          </cell>
          <cell r="C1425" t="str">
            <v>Provision para sillas sin espladar</v>
          </cell>
          <cell r="D1425">
            <v>1</v>
          </cell>
          <cell r="E1425" t="str">
            <v>un</v>
          </cell>
          <cell r="F1425">
            <v>3570000</v>
          </cell>
          <cell r="G1425">
            <v>3570000</v>
          </cell>
          <cell r="M1425" t="str">
            <v>pv</v>
          </cell>
        </row>
        <row r="1426">
          <cell r="A1426" t="str">
            <v>13-01-100</v>
          </cell>
          <cell r="B1426" t="str">
            <v>mt13900</v>
          </cell>
          <cell r="C1426" t="str">
            <v>Elementos de consumo y protección</v>
          </cell>
          <cell r="D1426">
            <v>0</v>
          </cell>
          <cell r="E1426" t="str">
            <v>%</v>
          </cell>
          <cell r="F1426">
            <v>1.2455000000000001E-2</v>
          </cell>
          <cell r="G1426">
            <v>0</v>
          </cell>
          <cell r="M1426" t="str">
            <v>mt</v>
          </cell>
        </row>
        <row r="1427">
          <cell r="A1427" t="str">
            <v>13-01-100</v>
          </cell>
          <cell r="B1427" t="str">
            <v>hm15100</v>
          </cell>
          <cell r="C1427" t="str">
            <v>Herramienta y equipo menor</v>
          </cell>
          <cell r="D1427">
            <v>0</v>
          </cell>
          <cell r="E1427" t="str">
            <v>%</v>
          </cell>
          <cell r="F1427">
            <v>0.03</v>
          </cell>
          <cell r="G1427">
            <v>0</v>
          </cell>
          <cell r="M1427" t="str">
            <v>hm</v>
          </cell>
        </row>
        <row r="1428">
          <cell r="A1428">
            <v>0</v>
          </cell>
          <cell r="C1428" t="str">
            <v>DIRECTO:  3,570,000 / UN</v>
          </cell>
          <cell r="D1428">
            <v>0</v>
          </cell>
          <cell r="E1428">
            <v>0</v>
          </cell>
          <cell r="F1428">
            <v>0</v>
          </cell>
          <cell r="G1428">
            <v>0</v>
          </cell>
          <cell r="M1428">
            <v>0</v>
          </cell>
        </row>
        <row r="1429">
          <cell r="A1429">
            <v>0</v>
          </cell>
          <cell r="C1429">
            <v>0</v>
          </cell>
          <cell r="E1429">
            <v>0</v>
          </cell>
          <cell r="F1429">
            <v>0</v>
          </cell>
          <cell r="G1429">
            <v>0</v>
          </cell>
          <cell r="M1429">
            <v>0</v>
          </cell>
        </row>
        <row r="1430">
          <cell r="A1430" t="str">
            <v>13-03-010</v>
          </cell>
          <cell r="B1430" t="str">
            <v>13-03-010</v>
          </cell>
          <cell r="C1430" t="str">
            <v>TAZA DE SANITARIO PARA FLUXOMETRO REF. BALTICO DE CORONA O EQUIVALENTE + ASIENTO SANITARIO INSTITUCIONAL ABIERTO COLOR BLANCO</v>
          </cell>
          <cell r="D1430">
            <v>13</v>
          </cell>
          <cell r="E1430" t="str">
            <v>UN</v>
          </cell>
          <cell r="F1430">
            <v>0</v>
          </cell>
          <cell r="G1430">
            <v>388616</v>
          </cell>
          <cell r="M1430" t="e">
            <v>#N/A</v>
          </cell>
        </row>
        <row r="1431">
          <cell r="A1431" t="str">
            <v>13-03-010</v>
          </cell>
          <cell r="B1431" t="str">
            <v>mt73000</v>
          </cell>
          <cell r="C1431" t="str">
            <v>Taza adriatico tipo corona color blanco</v>
          </cell>
          <cell r="D1431">
            <v>1</v>
          </cell>
          <cell r="E1431" t="str">
            <v>un</v>
          </cell>
          <cell r="F1431">
            <v>317755.32</v>
          </cell>
          <cell r="G1431">
            <v>317756</v>
          </cell>
          <cell r="M1431" t="str">
            <v>mt</v>
          </cell>
        </row>
        <row r="1432">
          <cell r="A1432" t="str">
            <v>13-03-010</v>
          </cell>
          <cell r="B1432" t="str">
            <v>mt73300</v>
          </cell>
          <cell r="C1432" t="str">
            <v>Asiento Sanitario Institucional Abierto</v>
          </cell>
          <cell r="D1432">
            <v>1</v>
          </cell>
          <cell r="E1432" t="str">
            <v>un</v>
          </cell>
          <cell r="F1432">
            <v>49574.92</v>
          </cell>
          <cell r="G1432">
            <v>49575</v>
          </cell>
          <cell r="M1432" t="str">
            <v>mt</v>
          </cell>
        </row>
        <row r="1433">
          <cell r="A1433" t="str">
            <v>13-03-010</v>
          </cell>
          <cell r="B1433" t="str">
            <v>mt12500</v>
          </cell>
          <cell r="C1433" t="str">
            <v>Cemento blanco</v>
          </cell>
          <cell r="D1433">
            <v>1</v>
          </cell>
          <cell r="E1433" t="str">
            <v>kg</v>
          </cell>
          <cell r="F1433">
            <v>920</v>
          </cell>
          <cell r="G1433">
            <v>920</v>
          </cell>
          <cell r="M1433" t="str">
            <v>mt</v>
          </cell>
        </row>
        <row r="1434">
          <cell r="A1434" t="str">
            <v>13-03-010</v>
          </cell>
          <cell r="B1434" t="str">
            <v>mt21000</v>
          </cell>
          <cell r="C1434" t="str">
            <v>Cinta teflon carrete azul</v>
          </cell>
          <cell r="D1434">
            <v>0.5</v>
          </cell>
          <cell r="E1434" t="str">
            <v>un</v>
          </cell>
          <cell r="F1434">
            <v>619.43999999999994</v>
          </cell>
          <cell r="G1434">
            <v>310</v>
          </cell>
          <cell r="M1434" t="str">
            <v>mt</v>
          </cell>
        </row>
        <row r="1435">
          <cell r="A1435" t="str">
            <v>13-03-010</v>
          </cell>
          <cell r="B1435" t="str">
            <v>mt14300</v>
          </cell>
          <cell r="C1435" t="str">
            <v>Estopa blanca</v>
          </cell>
          <cell r="D1435">
            <v>0.25</v>
          </cell>
          <cell r="E1435" t="str">
            <v>kg</v>
          </cell>
          <cell r="F1435">
            <v>2670.3199999999997</v>
          </cell>
          <cell r="G1435">
            <v>668</v>
          </cell>
          <cell r="M1435" t="str">
            <v>mt</v>
          </cell>
        </row>
        <row r="1436">
          <cell r="A1436" t="str">
            <v>13-03-010</v>
          </cell>
          <cell r="B1436" t="str">
            <v>au10200</v>
          </cell>
          <cell r="C1436" t="str">
            <v>Aux MO oficial obra blanca</v>
          </cell>
          <cell r="D1436">
            <v>1</v>
          </cell>
          <cell r="E1436" t="str">
            <v>hr</v>
          </cell>
          <cell r="F1436">
            <v>10159</v>
          </cell>
          <cell r="G1436">
            <v>10159</v>
          </cell>
          <cell r="M1436" t="str">
            <v>mo</v>
          </cell>
        </row>
        <row r="1437">
          <cell r="A1437" t="str">
            <v>13-03-010</v>
          </cell>
          <cell r="B1437" t="str">
            <v>au10000</v>
          </cell>
          <cell r="C1437" t="str">
            <v>Aux MO ayudante</v>
          </cell>
          <cell r="D1437">
            <v>1</v>
          </cell>
          <cell r="E1437" t="str">
            <v>hr</v>
          </cell>
          <cell r="F1437">
            <v>5080</v>
          </cell>
          <cell r="G1437">
            <v>5080</v>
          </cell>
          <cell r="M1437" t="str">
            <v>mo</v>
          </cell>
        </row>
        <row r="1438">
          <cell r="A1438" t="str">
            <v>13-03-010</v>
          </cell>
          <cell r="B1438" t="str">
            <v>tp500030</v>
          </cell>
          <cell r="C1438" t="str">
            <v>Transporte a Jerico</v>
          </cell>
          <cell r="D1438">
            <v>0.1</v>
          </cell>
          <cell r="E1438" t="str">
            <v>ton</v>
          </cell>
          <cell r="F1438">
            <v>35000</v>
          </cell>
          <cell r="G1438">
            <v>3500</v>
          </cell>
          <cell r="M1438" t="str">
            <v>tp</v>
          </cell>
        </row>
        <row r="1439">
          <cell r="A1439" t="str">
            <v>13-03-010</v>
          </cell>
          <cell r="B1439" t="str">
            <v>mt13900</v>
          </cell>
          <cell r="C1439" t="str">
            <v>Elementos de consumo y protección</v>
          </cell>
          <cell r="D1439">
            <v>15239</v>
          </cell>
          <cell r="E1439" t="str">
            <v>%</v>
          </cell>
          <cell r="F1439">
            <v>1.2455000000000001E-2</v>
          </cell>
          <cell r="G1439">
            <v>190</v>
          </cell>
          <cell r="M1439" t="str">
            <v>mt</v>
          </cell>
        </row>
        <row r="1440">
          <cell r="A1440" t="str">
            <v>13-03-010</v>
          </cell>
          <cell r="B1440" t="str">
            <v>hm15100</v>
          </cell>
          <cell r="C1440" t="str">
            <v>Herramienta y equipo menor</v>
          </cell>
          <cell r="D1440">
            <v>15239</v>
          </cell>
          <cell r="E1440" t="str">
            <v>%</v>
          </cell>
          <cell r="F1440">
            <v>0.03</v>
          </cell>
          <cell r="G1440">
            <v>458</v>
          </cell>
          <cell r="M1440" t="str">
            <v>hm</v>
          </cell>
        </row>
        <row r="1441">
          <cell r="A1441">
            <v>0</v>
          </cell>
          <cell r="C1441" t="str">
            <v>DIRECTO:  388,616 / UN</v>
          </cell>
          <cell r="E1441">
            <v>0</v>
          </cell>
          <cell r="F1441">
            <v>0</v>
          </cell>
          <cell r="G1441">
            <v>0</v>
          </cell>
          <cell r="M1441">
            <v>0</v>
          </cell>
        </row>
        <row r="1442">
          <cell r="A1442">
            <v>0</v>
          </cell>
          <cell r="C1442">
            <v>0</v>
          </cell>
          <cell r="E1442">
            <v>0</v>
          </cell>
          <cell r="F1442">
            <v>0</v>
          </cell>
          <cell r="G1442">
            <v>0</v>
          </cell>
          <cell r="M1442">
            <v>0</v>
          </cell>
        </row>
        <row r="1443">
          <cell r="A1443" t="str">
            <v>13-03-012</v>
          </cell>
          <cell r="B1443" t="str">
            <v>13-03-012</v>
          </cell>
          <cell r="C1443" t="str">
            <v>SANITARIO REF. AQUAJET DE CORONA O EQUIVALENTE + ASIENTO SANITARIO INSTITUCIONAL ABIERTO COLOR BLANCO + GRIFERIA</v>
          </cell>
          <cell r="D1443">
            <v>6</v>
          </cell>
          <cell r="E1443" t="str">
            <v>UN</v>
          </cell>
          <cell r="F1443">
            <v>0</v>
          </cell>
          <cell r="G1443">
            <v>400028</v>
          </cell>
          <cell r="M1443" t="e">
            <v>#N/A</v>
          </cell>
        </row>
        <row r="1444">
          <cell r="A1444" t="str">
            <v>13-03-012</v>
          </cell>
          <cell r="B1444" t="str">
            <v>mt73110</v>
          </cell>
          <cell r="C1444" t="str">
            <v>Sanitario Acuajet</v>
          </cell>
          <cell r="D1444">
            <v>1</v>
          </cell>
          <cell r="E1444" t="str">
            <v>un</v>
          </cell>
          <cell r="F1444">
            <v>298201.19999999995</v>
          </cell>
          <cell r="G1444">
            <v>298202</v>
          </cell>
          <cell r="M1444" t="str">
            <v>mt</v>
          </cell>
        </row>
        <row r="1445">
          <cell r="A1445" t="str">
            <v>13-03-012</v>
          </cell>
          <cell r="B1445" t="str">
            <v>mt73120</v>
          </cell>
          <cell r="C1445" t="str">
            <v>Griferia para sanitario Acuajet</v>
          </cell>
          <cell r="D1445">
            <v>1</v>
          </cell>
          <cell r="E1445" t="str">
            <v>un</v>
          </cell>
          <cell r="F1445">
            <v>30965.039999999997</v>
          </cell>
          <cell r="G1445">
            <v>30966</v>
          </cell>
          <cell r="M1445" t="str">
            <v>mt</v>
          </cell>
        </row>
        <row r="1446">
          <cell r="A1446" t="str">
            <v>13-03-012</v>
          </cell>
          <cell r="B1446" t="str">
            <v>mt73300</v>
          </cell>
          <cell r="C1446" t="str">
            <v>Asiento Sanitario Institucional Abierto</v>
          </cell>
          <cell r="D1446">
            <v>1</v>
          </cell>
          <cell r="E1446" t="str">
            <v>un</v>
          </cell>
          <cell r="F1446">
            <v>49574.92</v>
          </cell>
          <cell r="G1446">
            <v>49575</v>
          </cell>
          <cell r="M1446" t="str">
            <v>mt</v>
          </cell>
        </row>
        <row r="1447">
          <cell r="A1447" t="str">
            <v>13-03-012</v>
          </cell>
          <cell r="B1447" t="str">
            <v>mt12500</v>
          </cell>
          <cell r="C1447" t="str">
            <v>Cemento blanco</v>
          </cell>
          <cell r="D1447">
            <v>1</v>
          </cell>
          <cell r="E1447" t="str">
            <v>kg</v>
          </cell>
          <cell r="F1447">
            <v>920</v>
          </cell>
          <cell r="G1447">
            <v>920</v>
          </cell>
          <cell r="M1447" t="str">
            <v>mt</v>
          </cell>
        </row>
        <row r="1448">
          <cell r="A1448" t="str">
            <v>13-03-012</v>
          </cell>
          <cell r="B1448" t="str">
            <v>mt21000</v>
          </cell>
          <cell r="C1448" t="str">
            <v>Cinta teflon carrete azul</v>
          </cell>
          <cell r="D1448">
            <v>0.5</v>
          </cell>
          <cell r="E1448" t="str">
            <v>un</v>
          </cell>
          <cell r="F1448">
            <v>619.43999999999994</v>
          </cell>
          <cell r="G1448">
            <v>310</v>
          </cell>
          <cell r="M1448" t="str">
            <v>mt</v>
          </cell>
        </row>
        <row r="1449">
          <cell r="A1449" t="str">
            <v>13-03-012</v>
          </cell>
          <cell r="B1449" t="str">
            <v>mt14300</v>
          </cell>
          <cell r="C1449" t="str">
            <v>Estopa blanca</v>
          </cell>
          <cell r="D1449">
            <v>0.25</v>
          </cell>
          <cell r="E1449" t="str">
            <v>kg</v>
          </cell>
          <cell r="F1449">
            <v>2670.3199999999997</v>
          </cell>
          <cell r="G1449">
            <v>668</v>
          </cell>
          <cell r="M1449" t="str">
            <v>mt</v>
          </cell>
        </row>
        <row r="1450">
          <cell r="A1450" t="str">
            <v>13-03-012</v>
          </cell>
          <cell r="B1450" t="str">
            <v>au10200</v>
          </cell>
          <cell r="C1450" t="str">
            <v>Aux MO oficial obra blanca</v>
          </cell>
          <cell r="D1450">
            <v>1</v>
          </cell>
          <cell r="E1450" t="str">
            <v>hr</v>
          </cell>
          <cell r="F1450">
            <v>10159</v>
          </cell>
          <cell r="G1450">
            <v>10159</v>
          </cell>
          <cell r="M1450" t="str">
            <v>mo</v>
          </cell>
        </row>
        <row r="1451">
          <cell r="A1451" t="str">
            <v>13-03-012</v>
          </cell>
          <cell r="B1451" t="str">
            <v>au10000</v>
          </cell>
          <cell r="C1451" t="str">
            <v>Aux MO ayudante</v>
          </cell>
          <cell r="D1451">
            <v>1</v>
          </cell>
          <cell r="E1451" t="str">
            <v>hr</v>
          </cell>
          <cell r="F1451">
            <v>5080</v>
          </cell>
          <cell r="G1451">
            <v>5080</v>
          </cell>
          <cell r="M1451" t="str">
            <v>mo</v>
          </cell>
        </row>
        <row r="1452">
          <cell r="A1452" t="str">
            <v>13-03-012</v>
          </cell>
          <cell r="B1452" t="str">
            <v>tp500030</v>
          </cell>
          <cell r="C1452" t="str">
            <v>Transporte a Jerico</v>
          </cell>
          <cell r="D1452">
            <v>0.1</v>
          </cell>
          <cell r="E1452" t="str">
            <v>ton</v>
          </cell>
          <cell r="F1452">
            <v>35000</v>
          </cell>
          <cell r="G1452">
            <v>3500</v>
          </cell>
          <cell r="M1452" t="str">
            <v>tp</v>
          </cell>
        </row>
        <row r="1453">
          <cell r="A1453" t="str">
            <v>13-03-012</v>
          </cell>
          <cell r="B1453" t="str">
            <v>mt13900</v>
          </cell>
          <cell r="C1453" t="str">
            <v>Elementos de consumo y protección</v>
          </cell>
          <cell r="D1453">
            <v>15239</v>
          </cell>
          <cell r="E1453" t="str">
            <v>%</v>
          </cell>
          <cell r="F1453">
            <v>1.2455000000000001E-2</v>
          </cell>
          <cell r="G1453">
            <v>190</v>
          </cell>
          <cell r="M1453" t="str">
            <v>mt</v>
          </cell>
        </row>
        <row r="1454">
          <cell r="A1454" t="str">
            <v>13-03-012</v>
          </cell>
          <cell r="B1454" t="str">
            <v>hm15100</v>
          </cell>
          <cell r="C1454" t="str">
            <v>Herramienta y equipo menor</v>
          </cell>
          <cell r="D1454">
            <v>15239</v>
          </cell>
          <cell r="E1454" t="str">
            <v>%</v>
          </cell>
          <cell r="F1454">
            <v>0.03</v>
          </cell>
          <cell r="G1454">
            <v>458</v>
          </cell>
          <cell r="M1454" t="str">
            <v>hm</v>
          </cell>
        </row>
        <row r="1455">
          <cell r="A1455">
            <v>0</v>
          </cell>
          <cell r="C1455" t="str">
            <v>DIRECTO:  400,028 / UN</v>
          </cell>
          <cell r="E1455">
            <v>0</v>
          </cell>
          <cell r="F1455">
            <v>0</v>
          </cell>
          <cell r="G1455">
            <v>0</v>
          </cell>
          <cell r="M1455">
            <v>0</v>
          </cell>
        </row>
        <row r="1456">
          <cell r="A1456">
            <v>0</v>
          </cell>
          <cell r="C1456">
            <v>0</v>
          </cell>
          <cell r="E1456">
            <v>0</v>
          </cell>
          <cell r="F1456">
            <v>0</v>
          </cell>
          <cell r="G1456">
            <v>0</v>
          </cell>
          <cell r="M1456">
            <v>0</v>
          </cell>
        </row>
        <row r="1457">
          <cell r="A1457" t="str">
            <v>13-03-020</v>
          </cell>
          <cell r="B1457" t="str">
            <v>13-03-020</v>
          </cell>
          <cell r="C1457" t="str">
            <v>ORINAL GRANDE PARA FLUXOMETRO DE CORONA O EQUIVALENTE COLOR BLANCO. INCLUYE GRAPAS PARA COLGAR Y DESAGUE SIFON</v>
          </cell>
          <cell r="D1457">
            <v>5</v>
          </cell>
          <cell r="E1457" t="str">
            <v>UN</v>
          </cell>
          <cell r="F1457">
            <v>0</v>
          </cell>
          <cell r="G1457">
            <v>351439</v>
          </cell>
          <cell r="M1457" t="e">
            <v>#N/A</v>
          </cell>
        </row>
        <row r="1458">
          <cell r="A1458" t="str">
            <v>13-03-020</v>
          </cell>
          <cell r="B1458" t="str">
            <v>mt78521</v>
          </cell>
          <cell r="C1458" t="str">
            <v>Orinal Grande de Corona o equivalente</v>
          </cell>
          <cell r="D1458">
            <v>1</v>
          </cell>
          <cell r="E1458" t="str">
            <v>un</v>
          </cell>
          <cell r="F1458">
            <v>299986.44</v>
          </cell>
          <cell r="G1458">
            <v>299987</v>
          </cell>
          <cell r="M1458" t="str">
            <v>mt</v>
          </cell>
        </row>
        <row r="1459">
          <cell r="A1459" t="str">
            <v>13-03-020</v>
          </cell>
          <cell r="B1459" t="str">
            <v>mt78600</v>
          </cell>
          <cell r="C1459" t="str">
            <v>Desagüe y sifon para orinal</v>
          </cell>
          <cell r="D1459">
            <v>1</v>
          </cell>
          <cell r="E1459" t="str">
            <v>un</v>
          </cell>
          <cell r="F1459">
            <v>10199.879999999999</v>
          </cell>
          <cell r="G1459">
            <v>10200</v>
          </cell>
          <cell r="M1459" t="str">
            <v>mt</v>
          </cell>
        </row>
        <row r="1460">
          <cell r="A1460" t="str">
            <v>13-03-020</v>
          </cell>
          <cell r="B1460" t="str">
            <v>mt78700</v>
          </cell>
          <cell r="C1460" t="str">
            <v>Grapas para orinal</v>
          </cell>
          <cell r="D1460">
            <v>2</v>
          </cell>
          <cell r="E1460" t="str">
            <v>un</v>
          </cell>
          <cell r="F1460">
            <v>9108.32</v>
          </cell>
          <cell r="G1460">
            <v>18217</v>
          </cell>
          <cell r="M1460" t="str">
            <v>mt</v>
          </cell>
        </row>
        <row r="1461">
          <cell r="A1461" t="str">
            <v>13-03-020</v>
          </cell>
          <cell r="B1461" t="str">
            <v>mt12500</v>
          </cell>
          <cell r="C1461" t="str">
            <v>Cemento blanco</v>
          </cell>
          <cell r="D1461">
            <v>1</v>
          </cell>
          <cell r="E1461" t="str">
            <v>kg</v>
          </cell>
          <cell r="F1461">
            <v>920</v>
          </cell>
          <cell r="G1461">
            <v>920</v>
          </cell>
          <cell r="M1461" t="str">
            <v>mt</v>
          </cell>
        </row>
        <row r="1462">
          <cell r="A1462" t="str">
            <v>13-03-020</v>
          </cell>
          <cell r="B1462" t="str">
            <v>au10200</v>
          </cell>
          <cell r="C1462" t="str">
            <v>Aux MO oficial obra blanca</v>
          </cell>
          <cell r="D1462">
            <v>1</v>
          </cell>
          <cell r="E1462" t="str">
            <v>hr</v>
          </cell>
          <cell r="F1462">
            <v>10159</v>
          </cell>
          <cell r="G1462">
            <v>10159</v>
          </cell>
          <cell r="M1462" t="str">
            <v>mo</v>
          </cell>
        </row>
        <row r="1463">
          <cell r="A1463" t="str">
            <v>13-03-020</v>
          </cell>
          <cell r="B1463" t="str">
            <v>au10000</v>
          </cell>
          <cell r="C1463" t="str">
            <v>Aux MO ayudante</v>
          </cell>
          <cell r="D1463">
            <v>1</v>
          </cell>
          <cell r="E1463" t="str">
            <v>hr</v>
          </cell>
          <cell r="F1463">
            <v>5080</v>
          </cell>
          <cell r="G1463">
            <v>5080</v>
          </cell>
          <cell r="M1463" t="str">
            <v>mo</v>
          </cell>
        </row>
        <row r="1464">
          <cell r="A1464" t="str">
            <v>13-03-020</v>
          </cell>
          <cell r="B1464" t="str">
            <v>tp500030</v>
          </cell>
          <cell r="C1464" t="str">
            <v>Transporte a Jerico</v>
          </cell>
          <cell r="D1464">
            <v>0.15</v>
          </cell>
          <cell r="E1464" t="str">
            <v>ton</v>
          </cell>
          <cell r="F1464">
            <v>35000</v>
          </cell>
          <cell r="G1464">
            <v>5250</v>
          </cell>
          <cell r="M1464" t="str">
            <v>tp</v>
          </cell>
        </row>
        <row r="1465">
          <cell r="A1465" t="str">
            <v>13-03-020</v>
          </cell>
          <cell r="B1465" t="str">
            <v>mt21000</v>
          </cell>
          <cell r="C1465" t="str">
            <v>Cinta teflon carrete azul</v>
          </cell>
          <cell r="D1465">
            <v>0.5</v>
          </cell>
          <cell r="E1465" t="str">
            <v>un</v>
          </cell>
          <cell r="F1465">
            <v>619.43999999999994</v>
          </cell>
          <cell r="G1465">
            <v>310</v>
          </cell>
          <cell r="M1465" t="str">
            <v>mt</v>
          </cell>
        </row>
        <row r="1466">
          <cell r="A1466" t="str">
            <v>13-03-020</v>
          </cell>
          <cell r="B1466" t="str">
            <v>mt14300</v>
          </cell>
          <cell r="C1466" t="str">
            <v>Estopa blanca</v>
          </cell>
          <cell r="D1466">
            <v>0.25</v>
          </cell>
          <cell r="E1466" t="str">
            <v>kg</v>
          </cell>
          <cell r="F1466">
            <v>2670.3199999999997</v>
          </cell>
          <cell r="G1466">
            <v>668</v>
          </cell>
          <cell r="M1466" t="str">
            <v>mt</v>
          </cell>
        </row>
        <row r="1467">
          <cell r="A1467" t="str">
            <v>13-03-020</v>
          </cell>
          <cell r="B1467" t="str">
            <v>mt13900</v>
          </cell>
          <cell r="C1467" t="str">
            <v>Elementos de consumo y protección</v>
          </cell>
          <cell r="D1467">
            <v>15239</v>
          </cell>
          <cell r="E1467" t="str">
            <v>%</v>
          </cell>
          <cell r="F1467">
            <v>1.2455000000000001E-2</v>
          </cell>
          <cell r="G1467">
            <v>190</v>
          </cell>
          <cell r="M1467" t="str">
            <v>mt</v>
          </cell>
        </row>
        <row r="1468">
          <cell r="A1468" t="str">
            <v>13-03-020</v>
          </cell>
          <cell r="B1468" t="str">
            <v>hm15100</v>
          </cell>
          <cell r="C1468" t="str">
            <v>Herramienta y equipo menor</v>
          </cell>
          <cell r="D1468">
            <v>15239</v>
          </cell>
          <cell r="E1468" t="str">
            <v>%</v>
          </cell>
          <cell r="F1468">
            <v>0.03</v>
          </cell>
          <cell r="G1468">
            <v>458</v>
          </cell>
          <cell r="M1468" t="str">
            <v>hm</v>
          </cell>
        </row>
        <row r="1469">
          <cell r="A1469">
            <v>0</v>
          </cell>
          <cell r="C1469" t="str">
            <v>DIRECTO:  351,439 / UN</v>
          </cell>
          <cell r="E1469">
            <v>0</v>
          </cell>
          <cell r="F1469">
            <v>0</v>
          </cell>
          <cell r="G1469">
            <v>0</v>
          </cell>
          <cell r="M1469">
            <v>0</v>
          </cell>
        </row>
        <row r="1470">
          <cell r="A1470">
            <v>0</v>
          </cell>
          <cell r="C1470">
            <v>0</v>
          </cell>
          <cell r="E1470">
            <v>0</v>
          </cell>
          <cell r="F1470">
            <v>0</v>
          </cell>
          <cell r="G1470">
            <v>0</v>
          </cell>
          <cell r="M1470">
            <v>0</v>
          </cell>
        </row>
        <row r="1471">
          <cell r="A1471" t="str">
            <v>13-03-030</v>
          </cell>
          <cell r="B1471" t="str">
            <v>13-03-030</v>
          </cell>
          <cell r="C1471" t="str">
            <v>LAVAMANOS DE SOBREPONER REF. SAN LORENZO DE CORONA O EQUIVALENTE. INCLUYE ABASTOS, SIFON Y DESAGUE SENCILLO</v>
          </cell>
          <cell r="D1471">
            <v>12</v>
          </cell>
          <cell r="E1471" t="str">
            <v>UN</v>
          </cell>
          <cell r="F1471">
            <v>0</v>
          </cell>
          <cell r="G1471">
            <v>143288</v>
          </cell>
          <cell r="M1471" t="e">
            <v>#N/A</v>
          </cell>
        </row>
        <row r="1472">
          <cell r="A1472" t="str">
            <v>13-03-030</v>
          </cell>
          <cell r="B1472" t="str">
            <v>mt15841</v>
          </cell>
          <cell r="C1472" t="str">
            <v>Lavamanos ref san lorenzo de corona color blanco</v>
          </cell>
          <cell r="D1472">
            <v>1</v>
          </cell>
          <cell r="E1472" t="str">
            <v>un</v>
          </cell>
          <cell r="F1472">
            <v>115201.92</v>
          </cell>
          <cell r="G1472">
            <v>115202</v>
          </cell>
          <cell r="M1472" t="str">
            <v>mt</v>
          </cell>
        </row>
        <row r="1473">
          <cell r="A1473" t="str">
            <v>13-03-030</v>
          </cell>
          <cell r="B1473" t="str">
            <v>mt15810</v>
          </cell>
          <cell r="C1473" t="str">
            <v>Griflex lavamanos</v>
          </cell>
          <cell r="D1473">
            <v>1</v>
          </cell>
          <cell r="E1473" t="str">
            <v>un</v>
          </cell>
          <cell r="F1473">
            <v>2300.2799999999997</v>
          </cell>
          <cell r="G1473">
            <v>2301</v>
          </cell>
          <cell r="M1473" t="str">
            <v>mt</v>
          </cell>
        </row>
        <row r="1474">
          <cell r="A1474" t="str">
            <v>13-03-030</v>
          </cell>
          <cell r="B1474" t="str">
            <v>mt15820</v>
          </cell>
          <cell r="C1474" t="str">
            <v>Sifón botella</v>
          </cell>
          <cell r="D1474">
            <v>1</v>
          </cell>
          <cell r="E1474" t="str">
            <v>un</v>
          </cell>
          <cell r="F1474">
            <v>4499.6399999999994</v>
          </cell>
          <cell r="G1474">
            <v>4500</v>
          </cell>
          <cell r="M1474" t="str">
            <v>mt</v>
          </cell>
        </row>
        <row r="1475">
          <cell r="A1475" t="str">
            <v>13-03-030</v>
          </cell>
          <cell r="B1475" t="str">
            <v>mt12500</v>
          </cell>
          <cell r="C1475" t="str">
            <v>Cemento blanco</v>
          </cell>
          <cell r="D1475">
            <v>1</v>
          </cell>
          <cell r="E1475" t="str">
            <v>kg</v>
          </cell>
          <cell r="F1475">
            <v>920</v>
          </cell>
          <cell r="G1475">
            <v>920</v>
          </cell>
          <cell r="M1475" t="str">
            <v>mt</v>
          </cell>
        </row>
        <row r="1476">
          <cell r="A1476" t="str">
            <v>13-03-030</v>
          </cell>
          <cell r="B1476" t="str">
            <v>mt21000</v>
          </cell>
          <cell r="C1476" t="str">
            <v>Cinta teflon carrete azul</v>
          </cell>
          <cell r="D1476">
            <v>0.5</v>
          </cell>
          <cell r="E1476" t="str">
            <v>un</v>
          </cell>
          <cell r="F1476">
            <v>619.43999999999994</v>
          </cell>
          <cell r="G1476">
            <v>310</v>
          </cell>
          <cell r="M1476" t="str">
            <v>mt</v>
          </cell>
        </row>
        <row r="1477">
          <cell r="A1477" t="str">
            <v>13-03-030</v>
          </cell>
          <cell r="B1477" t="str">
            <v>mt14300</v>
          </cell>
          <cell r="C1477" t="str">
            <v>Estopa blanca</v>
          </cell>
          <cell r="D1477">
            <v>0.25</v>
          </cell>
          <cell r="E1477" t="str">
            <v>kg</v>
          </cell>
          <cell r="F1477">
            <v>2670.3199999999997</v>
          </cell>
          <cell r="G1477">
            <v>668</v>
          </cell>
          <cell r="M1477" t="str">
            <v>mt</v>
          </cell>
        </row>
        <row r="1478">
          <cell r="A1478" t="str">
            <v>13-03-030</v>
          </cell>
          <cell r="B1478" t="str">
            <v>au10200</v>
          </cell>
          <cell r="C1478" t="str">
            <v>Aux MO oficial obra blanca</v>
          </cell>
          <cell r="D1478">
            <v>1</v>
          </cell>
          <cell r="E1478" t="str">
            <v>hr</v>
          </cell>
          <cell r="F1478">
            <v>10159</v>
          </cell>
          <cell r="G1478">
            <v>10159</v>
          </cell>
          <cell r="M1478" t="str">
            <v>mo</v>
          </cell>
        </row>
        <row r="1479">
          <cell r="A1479" t="str">
            <v>13-03-030</v>
          </cell>
          <cell r="B1479" t="str">
            <v>au10000</v>
          </cell>
          <cell r="C1479" t="str">
            <v>Aux MO ayudante</v>
          </cell>
          <cell r="D1479">
            <v>1</v>
          </cell>
          <cell r="E1479" t="str">
            <v>hr</v>
          </cell>
          <cell r="F1479">
            <v>5080</v>
          </cell>
          <cell r="G1479">
            <v>5080</v>
          </cell>
          <cell r="M1479" t="str">
            <v>mo</v>
          </cell>
        </row>
        <row r="1480">
          <cell r="A1480" t="str">
            <v>13-03-030</v>
          </cell>
          <cell r="B1480" t="str">
            <v>tp500030</v>
          </cell>
          <cell r="C1480" t="str">
            <v>Transporte a Jerico</v>
          </cell>
          <cell r="D1480">
            <v>0.1</v>
          </cell>
          <cell r="E1480" t="str">
            <v>ton</v>
          </cell>
          <cell r="F1480">
            <v>35000</v>
          </cell>
          <cell r="G1480">
            <v>3500</v>
          </cell>
          <cell r="M1480" t="str">
            <v>tp</v>
          </cell>
        </row>
        <row r="1481">
          <cell r="A1481" t="str">
            <v>13-03-030</v>
          </cell>
          <cell r="B1481" t="str">
            <v>mt13900</v>
          </cell>
          <cell r="C1481" t="str">
            <v>Elementos de consumo y protección</v>
          </cell>
          <cell r="D1481">
            <v>15239</v>
          </cell>
          <cell r="E1481" t="str">
            <v>%</v>
          </cell>
          <cell r="F1481">
            <v>1.2455000000000001E-2</v>
          </cell>
          <cell r="G1481">
            <v>190</v>
          </cell>
          <cell r="M1481" t="str">
            <v>mt</v>
          </cell>
        </row>
        <row r="1482">
          <cell r="A1482" t="str">
            <v>13-03-030</v>
          </cell>
          <cell r="B1482" t="str">
            <v>hm15100</v>
          </cell>
          <cell r="C1482" t="str">
            <v>Herramienta y equipo menor</v>
          </cell>
          <cell r="D1482">
            <v>15239</v>
          </cell>
          <cell r="E1482" t="str">
            <v>%</v>
          </cell>
          <cell r="F1482">
            <v>0.03</v>
          </cell>
          <cell r="G1482">
            <v>458</v>
          </cell>
          <cell r="M1482" t="str">
            <v>hm</v>
          </cell>
        </row>
        <row r="1483">
          <cell r="A1483">
            <v>0</v>
          </cell>
          <cell r="C1483" t="str">
            <v>DIRECTO:  143,288 / UN</v>
          </cell>
          <cell r="E1483">
            <v>0</v>
          </cell>
          <cell r="F1483">
            <v>0</v>
          </cell>
          <cell r="G1483">
            <v>0</v>
          </cell>
          <cell r="M1483">
            <v>0</v>
          </cell>
        </row>
        <row r="1484">
          <cell r="A1484">
            <v>0</v>
          </cell>
          <cell r="C1484">
            <v>0</v>
          </cell>
          <cell r="E1484">
            <v>0</v>
          </cell>
          <cell r="F1484">
            <v>0</v>
          </cell>
          <cell r="G1484">
            <v>0</v>
          </cell>
          <cell r="M1484">
            <v>0</v>
          </cell>
        </row>
        <row r="1485">
          <cell r="A1485" t="str">
            <v>13-03-040</v>
          </cell>
          <cell r="B1485" t="str">
            <v>13-03-040</v>
          </cell>
          <cell r="C1485" t="str">
            <v>LAVAMANOS DE COLGAR REF. FREE DE CORONA O EQUIVALENTE. INCLUYE ABASTOS, SIFON, DESAGUE SENCILLO Y SISTEMA PARA COLGAR</v>
          </cell>
          <cell r="D1485">
            <v>6</v>
          </cell>
          <cell r="E1485" t="str">
            <v>UN</v>
          </cell>
          <cell r="F1485">
            <v>0</v>
          </cell>
          <cell r="G1485">
            <v>60392</v>
          </cell>
          <cell r="M1485" t="e">
            <v>#N/A</v>
          </cell>
        </row>
        <row r="1486">
          <cell r="A1486" t="str">
            <v>13-03-040</v>
          </cell>
          <cell r="B1486" t="str">
            <v>mt15850</v>
          </cell>
          <cell r="C1486" t="str">
            <v>Lavamanos de colgar ref Milano de corona color blanco</v>
          </cell>
          <cell r="D1486">
            <v>1</v>
          </cell>
          <cell r="E1486" t="str">
            <v>un</v>
          </cell>
          <cell r="F1486">
            <v>34055.279999999999</v>
          </cell>
          <cell r="G1486">
            <v>34056</v>
          </cell>
          <cell r="M1486" t="str">
            <v>mt</v>
          </cell>
        </row>
        <row r="1487">
          <cell r="A1487" t="str">
            <v>13-03-040</v>
          </cell>
          <cell r="B1487" t="str">
            <v>mt15810</v>
          </cell>
          <cell r="C1487" t="str">
            <v>Griflex lavamanos</v>
          </cell>
          <cell r="D1487">
            <v>1</v>
          </cell>
          <cell r="E1487" t="str">
            <v>un</v>
          </cell>
          <cell r="F1487">
            <v>2300.2799999999997</v>
          </cell>
          <cell r="G1487">
            <v>2301</v>
          </cell>
          <cell r="M1487" t="str">
            <v>mt</v>
          </cell>
        </row>
        <row r="1488">
          <cell r="A1488" t="str">
            <v>13-03-040</v>
          </cell>
          <cell r="B1488" t="str">
            <v>mt15820</v>
          </cell>
          <cell r="C1488" t="str">
            <v>Sifón botella</v>
          </cell>
          <cell r="D1488">
            <v>1</v>
          </cell>
          <cell r="E1488" t="str">
            <v>un</v>
          </cell>
          <cell r="F1488">
            <v>4499.6399999999994</v>
          </cell>
          <cell r="G1488">
            <v>4500</v>
          </cell>
          <cell r="M1488" t="str">
            <v>mt</v>
          </cell>
        </row>
        <row r="1489">
          <cell r="A1489" t="str">
            <v>13-03-040</v>
          </cell>
          <cell r="B1489" t="str">
            <v>mt12500</v>
          </cell>
          <cell r="C1489" t="str">
            <v>Cemento blanco</v>
          </cell>
          <cell r="D1489">
            <v>1</v>
          </cell>
          <cell r="E1489" t="str">
            <v>kg</v>
          </cell>
          <cell r="F1489">
            <v>920</v>
          </cell>
          <cell r="G1489">
            <v>920</v>
          </cell>
          <cell r="M1489" t="str">
            <v>mt</v>
          </cell>
        </row>
        <row r="1490">
          <cell r="A1490" t="str">
            <v>13-03-040</v>
          </cell>
          <cell r="B1490" t="str">
            <v>mt21000</v>
          </cell>
          <cell r="C1490" t="str">
            <v>Cinta teflon carrete azul</v>
          </cell>
          <cell r="D1490">
            <v>0.5</v>
          </cell>
          <cell r="E1490" t="str">
            <v>un</v>
          </cell>
          <cell r="F1490">
            <v>619.43999999999994</v>
          </cell>
          <cell r="G1490">
            <v>310</v>
          </cell>
          <cell r="M1490" t="str">
            <v>mt</v>
          </cell>
        </row>
        <row r="1491">
          <cell r="A1491" t="str">
            <v>13-03-040</v>
          </cell>
          <cell r="B1491" t="str">
            <v>mt14300</v>
          </cell>
          <cell r="C1491" t="str">
            <v>Estopa blanca</v>
          </cell>
          <cell r="D1491">
            <v>0.25</v>
          </cell>
          <cell r="E1491" t="str">
            <v>kg</v>
          </cell>
          <cell r="F1491">
            <v>2670.3199999999997</v>
          </cell>
          <cell r="G1491">
            <v>668</v>
          </cell>
          <cell r="M1491" t="str">
            <v>mt</v>
          </cell>
        </row>
        <row r="1492">
          <cell r="A1492" t="str">
            <v>13-03-040</v>
          </cell>
          <cell r="B1492" t="str">
            <v>au10200</v>
          </cell>
          <cell r="C1492" t="str">
            <v>Aux MO oficial obra blanca</v>
          </cell>
          <cell r="D1492">
            <v>1</v>
          </cell>
          <cell r="E1492" t="str">
            <v>hr</v>
          </cell>
          <cell r="F1492">
            <v>10159</v>
          </cell>
          <cell r="G1492">
            <v>10159</v>
          </cell>
          <cell r="M1492" t="str">
            <v>mo</v>
          </cell>
        </row>
        <row r="1493">
          <cell r="A1493" t="str">
            <v>13-03-040</v>
          </cell>
          <cell r="B1493" t="str">
            <v>au10000</v>
          </cell>
          <cell r="C1493" t="str">
            <v>Aux MO ayudante</v>
          </cell>
          <cell r="D1493">
            <v>1</v>
          </cell>
          <cell r="E1493" t="str">
            <v>hr</v>
          </cell>
          <cell r="F1493">
            <v>5080</v>
          </cell>
          <cell r="G1493">
            <v>5080</v>
          </cell>
          <cell r="M1493" t="str">
            <v>mo</v>
          </cell>
        </row>
        <row r="1494">
          <cell r="A1494" t="str">
            <v>13-03-040</v>
          </cell>
          <cell r="B1494" t="str">
            <v>tp500030</v>
          </cell>
          <cell r="C1494" t="str">
            <v>Transporte a Jerico</v>
          </cell>
          <cell r="D1494">
            <v>0.05</v>
          </cell>
          <cell r="E1494" t="str">
            <v>ton</v>
          </cell>
          <cell r="F1494">
            <v>35000</v>
          </cell>
          <cell r="G1494">
            <v>1750</v>
          </cell>
          <cell r="M1494" t="str">
            <v>tp</v>
          </cell>
        </row>
        <row r="1495">
          <cell r="A1495" t="str">
            <v>13-03-040</v>
          </cell>
          <cell r="B1495" t="str">
            <v>mt13900</v>
          </cell>
          <cell r="C1495" t="str">
            <v>Elementos de consumo y protección</v>
          </cell>
          <cell r="D1495">
            <v>15239</v>
          </cell>
          <cell r="E1495" t="str">
            <v>%</v>
          </cell>
          <cell r="F1495">
            <v>1.2455000000000001E-2</v>
          </cell>
          <cell r="G1495">
            <v>190</v>
          </cell>
          <cell r="M1495" t="str">
            <v>mt</v>
          </cell>
        </row>
        <row r="1496">
          <cell r="A1496" t="str">
            <v>13-03-040</v>
          </cell>
          <cell r="B1496" t="str">
            <v>hm15100</v>
          </cell>
          <cell r="C1496" t="str">
            <v>Herramienta y equipo menor</v>
          </cell>
          <cell r="D1496">
            <v>15239</v>
          </cell>
          <cell r="E1496" t="str">
            <v>%</v>
          </cell>
          <cell r="F1496">
            <v>0.03</v>
          </cell>
          <cell r="G1496">
            <v>458</v>
          </cell>
          <cell r="M1496" t="str">
            <v>hm</v>
          </cell>
        </row>
        <row r="1497">
          <cell r="A1497">
            <v>0</v>
          </cell>
          <cell r="C1497" t="str">
            <v>DIRECTO:  60,392 / UN</v>
          </cell>
          <cell r="E1497">
            <v>0</v>
          </cell>
          <cell r="F1497">
            <v>0</v>
          </cell>
          <cell r="G1497">
            <v>0</v>
          </cell>
          <cell r="M1497">
            <v>0</v>
          </cell>
        </row>
        <row r="1498">
          <cell r="A1498">
            <v>0</v>
          </cell>
          <cell r="C1498">
            <v>0</v>
          </cell>
          <cell r="E1498">
            <v>0</v>
          </cell>
          <cell r="F1498">
            <v>0</v>
          </cell>
          <cell r="G1498">
            <v>0</v>
          </cell>
          <cell r="M1498">
            <v>0</v>
          </cell>
        </row>
        <row r="1499">
          <cell r="A1499" t="str">
            <v>13-04-010</v>
          </cell>
          <cell r="B1499" t="str">
            <v>13-04-010</v>
          </cell>
          <cell r="C1499" t="str">
            <v>FLUXOMETRO ELECTRONICO CON SISTEMA DE INSTALACION DE VALVULA ANTIVANDALICA DE GRIVAL O EQUIVALENTE PARA SANITARIOS</v>
          </cell>
          <cell r="D1499">
            <v>13</v>
          </cell>
          <cell r="E1499" t="str">
            <v>UN</v>
          </cell>
          <cell r="F1499">
            <v>0</v>
          </cell>
          <cell r="G1499">
            <v>561799</v>
          </cell>
          <cell r="M1499" t="e">
            <v>#N/A</v>
          </cell>
        </row>
        <row r="1500">
          <cell r="A1500" t="str">
            <v>13-04-010</v>
          </cell>
          <cell r="B1500" t="str">
            <v>mt73210</v>
          </cell>
          <cell r="C1500" t="str">
            <v>Fluxometro sanitario sensor ref. 706320001</v>
          </cell>
          <cell r="D1500">
            <v>1</v>
          </cell>
          <cell r="E1500" t="str">
            <v>un</v>
          </cell>
          <cell r="F1500">
            <v>547900.48</v>
          </cell>
          <cell r="G1500">
            <v>547901</v>
          </cell>
          <cell r="M1500" t="str">
            <v>mt</v>
          </cell>
        </row>
        <row r="1501">
          <cell r="A1501" t="str">
            <v>13-04-010</v>
          </cell>
          <cell r="B1501" t="str">
            <v>mt21000</v>
          </cell>
          <cell r="C1501" t="str">
            <v>Cinta teflon carrete azul</v>
          </cell>
          <cell r="D1501">
            <v>0.5</v>
          </cell>
          <cell r="E1501" t="str">
            <v>un</v>
          </cell>
          <cell r="F1501">
            <v>619.43999999999994</v>
          </cell>
          <cell r="G1501">
            <v>310</v>
          </cell>
          <cell r="M1501" t="str">
            <v>mt</v>
          </cell>
        </row>
        <row r="1502">
          <cell r="A1502" t="str">
            <v>13-04-010</v>
          </cell>
          <cell r="B1502" t="str">
            <v>au10270</v>
          </cell>
          <cell r="C1502" t="str">
            <v>Aux MO oficial plomero</v>
          </cell>
          <cell r="D1502">
            <v>1</v>
          </cell>
          <cell r="E1502" t="str">
            <v>hr</v>
          </cell>
          <cell r="F1502">
            <v>12698</v>
          </cell>
          <cell r="G1502">
            <v>12698</v>
          </cell>
          <cell r="M1502" t="str">
            <v>mo</v>
          </cell>
        </row>
        <row r="1503">
          <cell r="A1503" t="str">
            <v>13-04-010</v>
          </cell>
          <cell r="B1503" t="str">
            <v>tp500030</v>
          </cell>
          <cell r="C1503" t="str">
            <v>Transporte a Jerico</v>
          </cell>
          <cell r="D1503">
            <v>0.01</v>
          </cell>
          <cell r="E1503" t="str">
            <v>ton</v>
          </cell>
          <cell r="F1503">
            <v>35000</v>
          </cell>
          <cell r="G1503">
            <v>350</v>
          </cell>
          <cell r="M1503" t="str">
            <v>tp</v>
          </cell>
        </row>
        <row r="1504">
          <cell r="A1504" t="str">
            <v>13-04-010</v>
          </cell>
          <cell r="B1504" t="str">
            <v>mt13900</v>
          </cell>
          <cell r="C1504" t="str">
            <v>Elementos de consumo y protección</v>
          </cell>
          <cell r="D1504">
            <v>12698</v>
          </cell>
          <cell r="E1504" t="str">
            <v>%</v>
          </cell>
          <cell r="F1504">
            <v>1.2455000000000001E-2</v>
          </cell>
          <cell r="G1504">
            <v>159</v>
          </cell>
          <cell r="M1504" t="str">
            <v>mt</v>
          </cell>
        </row>
        <row r="1505">
          <cell r="A1505" t="str">
            <v>13-04-010</v>
          </cell>
          <cell r="B1505" t="str">
            <v>hm15100</v>
          </cell>
          <cell r="C1505" t="str">
            <v>Herramienta y equipo menor</v>
          </cell>
          <cell r="D1505">
            <v>12698</v>
          </cell>
          <cell r="E1505" t="str">
            <v>%</v>
          </cell>
          <cell r="F1505">
            <v>0.03</v>
          </cell>
          <cell r="G1505">
            <v>381</v>
          </cell>
          <cell r="M1505" t="str">
            <v>hm</v>
          </cell>
        </row>
        <row r="1506">
          <cell r="A1506">
            <v>0</v>
          </cell>
          <cell r="C1506" t="str">
            <v>DIRECTO:  561,799 / UN</v>
          </cell>
          <cell r="E1506">
            <v>0</v>
          </cell>
          <cell r="F1506">
            <v>0</v>
          </cell>
          <cell r="G1506">
            <v>0</v>
          </cell>
          <cell r="M1506">
            <v>0</v>
          </cell>
        </row>
        <row r="1507">
          <cell r="A1507">
            <v>0</v>
          </cell>
          <cell r="C1507">
            <v>0</v>
          </cell>
          <cell r="E1507">
            <v>0</v>
          </cell>
          <cell r="F1507">
            <v>0</v>
          </cell>
          <cell r="G1507">
            <v>0</v>
          </cell>
          <cell r="M1507">
            <v>0</v>
          </cell>
        </row>
        <row r="1508">
          <cell r="A1508" t="str">
            <v>13-04-020</v>
          </cell>
          <cell r="B1508" t="str">
            <v>13-04-020</v>
          </cell>
          <cell r="C1508" t="str">
            <v>FLUXOMETRO ELECTRONICO CON SISTEMA DE INSTALACION DE VALVULA ANTIVANDALICA DE GRIVAL O EQUIVALENTE PARA ORINALES</v>
          </cell>
          <cell r="D1508">
            <v>5</v>
          </cell>
          <cell r="E1508" t="str">
            <v>UN</v>
          </cell>
          <cell r="F1508">
            <v>0</v>
          </cell>
          <cell r="G1508">
            <v>514453</v>
          </cell>
          <cell r="M1508" t="e">
            <v>#N/A</v>
          </cell>
        </row>
        <row r="1509">
          <cell r="A1509" t="str">
            <v>13-04-020</v>
          </cell>
          <cell r="B1509" t="str">
            <v>mt78531</v>
          </cell>
          <cell r="C1509" t="str">
            <v>Fluxometro orinal sensor ref. 706310001</v>
          </cell>
          <cell r="D1509">
            <v>1</v>
          </cell>
          <cell r="E1509" t="str">
            <v>un</v>
          </cell>
          <cell r="F1509">
            <v>500554.84799999994</v>
          </cell>
          <cell r="G1509">
            <v>500555</v>
          </cell>
          <cell r="M1509" t="str">
            <v>mt</v>
          </cell>
        </row>
        <row r="1510">
          <cell r="A1510" t="str">
            <v>13-04-020</v>
          </cell>
          <cell r="B1510" t="str">
            <v>mt21000</v>
          </cell>
          <cell r="C1510" t="str">
            <v>Cinta teflon carrete azul</v>
          </cell>
          <cell r="D1510">
            <v>0.5</v>
          </cell>
          <cell r="E1510" t="str">
            <v>un</v>
          </cell>
          <cell r="F1510">
            <v>619.43999999999994</v>
          </cell>
          <cell r="G1510">
            <v>310</v>
          </cell>
          <cell r="M1510" t="str">
            <v>mt</v>
          </cell>
        </row>
        <row r="1511">
          <cell r="A1511" t="str">
            <v>13-04-020</v>
          </cell>
          <cell r="B1511" t="str">
            <v>au10270</v>
          </cell>
          <cell r="C1511" t="str">
            <v>Aux MO oficial plomero</v>
          </cell>
          <cell r="D1511">
            <v>1</v>
          </cell>
          <cell r="E1511" t="str">
            <v>hr</v>
          </cell>
          <cell r="F1511">
            <v>12698</v>
          </cell>
          <cell r="G1511">
            <v>12698</v>
          </cell>
          <cell r="M1511" t="str">
            <v>mo</v>
          </cell>
        </row>
        <row r="1512">
          <cell r="A1512" t="str">
            <v>13-04-020</v>
          </cell>
          <cell r="B1512" t="str">
            <v>tp500030</v>
          </cell>
          <cell r="C1512" t="str">
            <v>Transporte a Jerico</v>
          </cell>
          <cell r="D1512">
            <v>0.01</v>
          </cell>
          <cell r="E1512" t="str">
            <v>ton</v>
          </cell>
          <cell r="F1512">
            <v>35000</v>
          </cell>
          <cell r="G1512">
            <v>350</v>
          </cell>
          <cell r="M1512" t="str">
            <v>tp</v>
          </cell>
        </row>
        <row r="1513">
          <cell r="A1513" t="str">
            <v>13-04-020</v>
          </cell>
          <cell r="B1513" t="str">
            <v>mt13900</v>
          </cell>
          <cell r="C1513" t="str">
            <v>Elementos de consumo y protección</v>
          </cell>
          <cell r="D1513">
            <v>12698</v>
          </cell>
          <cell r="E1513" t="str">
            <v>%</v>
          </cell>
          <cell r="F1513">
            <v>1.2455000000000001E-2</v>
          </cell>
          <cell r="G1513">
            <v>159</v>
          </cell>
          <cell r="M1513" t="str">
            <v>mt</v>
          </cell>
        </row>
        <row r="1514">
          <cell r="A1514" t="str">
            <v>13-04-020</v>
          </cell>
          <cell r="B1514" t="str">
            <v>hm15100</v>
          </cell>
          <cell r="C1514" t="str">
            <v>Herramienta y equipo menor</v>
          </cell>
          <cell r="D1514">
            <v>12698</v>
          </cell>
          <cell r="E1514" t="str">
            <v>%</v>
          </cell>
          <cell r="F1514">
            <v>0.03</v>
          </cell>
          <cell r="G1514">
            <v>381</v>
          </cell>
          <cell r="M1514" t="str">
            <v>hm</v>
          </cell>
        </row>
        <row r="1515">
          <cell r="A1515">
            <v>0</v>
          </cell>
          <cell r="C1515" t="str">
            <v>DIRECTO:  514,453 / UN</v>
          </cell>
          <cell r="E1515">
            <v>0</v>
          </cell>
          <cell r="F1515">
            <v>0</v>
          </cell>
          <cell r="G1515">
            <v>0</v>
          </cell>
          <cell r="M1515">
            <v>0</v>
          </cell>
        </row>
        <row r="1516">
          <cell r="A1516">
            <v>0</v>
          </cell>
          <cell r="C1516">
            <v>0</v>
          </cell>
          <cell r="E1516">
            <v>0</v>
          </cell>
          <cell r="F1516">
            <v>0</v>
          </cell>
          <cell r="G1516">
            <v>0</v>
          </cell>
          <cell r="M1516">
            <v>0</v>
          </cell>
        </row>
        <row r="1517">
          <cell r="A1517" t="str">
            <v>13-04-030</v>
          </cell>
          <cell r="B1517" t="str">
            <v>13-04-030</v>
          </cell>
          <cell r="C1517" t="str">
            <v>GRIFERIA PARA LAVAMANOS ANTIVANDALICA DE PUSH DE GRIVAL O EQUIVALENTE. INCLUYE ABASTOS.</v>
          </cell>
          <cell r="D1517">
            <v>18</v>
          </cell>
          <cell r="E1517" t="str">
            <v>UN</v>
          </cell>
          <cell r="F1517">
            <v>0</v>
          </cell>
          <cell r="G1517">
            <v>522479</v>
          </cell>
          <cell r="M1517" t="e">
            <v>#N/A</v>
          </cell>
        </row>
        <row r="1518">
          <cell r="A1518" t="str">
            <v>13-04-030</v>
          </cell>
          <cell r="B1518" t="str">
            <v>mt72610</v>
          </cell>
          <cell r="C1518" t="str">
            <v>Griferia de lavamanos electronica antivandalica de grival o equivalente</v>
          </cell>
          <cell r="D1518">
            <v>1</v>
          </cell>
          <cell r="E1518" t="str">
            <v>un</v>
          </cell>
          <cell r="F1518">
            <v>508580.71399999992</v>
          </cell>
          <cell r="G1518">
            <v>508581</v>
          </cell>
          <cell r="M1518" t="str">
            <v>mt</v>
          </cell>
        </row>
        <row r="1519">
          <cell r="A1519" t="str">
            <v>13-04-030</v>
          </cell>
          <cell r="B1519" t="str">
            <v>mt21000</v>
          </cell>
          <cell r="C1519" t="str">
            <v>Cinta teflon carrete azul</v>
          </cell>
          <cell r="D1519">
            <v>0.5</v>
          </cell>
          <cell r="E1519" t="str">
            <v>un</v>
          </cell>
          <cell r="F1519">
            <v>619.43999999999994</v>
          </cell>
          <cell r="G1519">
            <v>310</v>
          </cell>
          <cell r="M1519" t="str">
            <v>mt</v>
          </cell>
        </row>
        <row r="1520">
          <cell r="A1520" t="str">
            <v>13-04-030</v>
          </cell>
          <cell r="B1520" t="str">
            <v>au10270</v>
          </cell>
          <cell r="C1520" t="str">
            <v>Aux MO oficial plomero</v>
          </cell>
          <cell r="D1520">
            <v>1</v>
          </cell>
          <cell r="E1520" t="str">
            <v>hr</v>
          </cell>
          <cell r="F1520">
            <v>12698</v>
          </cell>
          <cell r="G1520">
            <v>12698</v>
          </cell>
          <cell r="M1520" t="str">
            <v>mo</v>
          </cell>
        </row>
        <row r="1521">
          <cell r="A1521" t="str">
            <v>13-04-030</v>
          </cell>
          <cell r="B1521" t="str">
            <v>tp500030</v>
          </cell>
          <cell r="C1521" t="str">
            <v>Transporte a Jerico</v>
          </cell>
          <cell r="D1521">
            <v>0.01</v>
          </cell>
          <cell r="E1521" t="str">
            <v>ton</v>
          </cell>
          <cell r="F1521">
            <v>35000</v>
          </cell>
          <cell r="G1521">
            <v>350</v>
          </cell>
          <cell r="M1521" t="str">
            <v>tp</v>
          </cell>
        </row>
        <row r="1522">
          <cell r="A1522" t="str">
            <v>13-04-030</v>
          </cell>
          <cell r="B1522" t="str">
            <v>mt13900</v>
          </cell>
          <cell r="C1522" t="str">
            <v>Elementos de consumo y protección</v>
          </cell>
          <cell r="D1522">
            <v>12698</v>
          </cell>
          <cell r="E1522" t="str">
            <v>%</v>
          </cell>
          <cell r="F1522">
            <v>1.2455000000000001E-2</v>
          </cell>
          <cell r="G1522">
            <v>159</v>
          </cell>
          <cell r="M1522" t="str">
            <v>mt</v>
          </cell>
        </row>
        <row r="1523">
          <cell r="A1523" t="str">
            <v>13-04-030</v>
          </cell>
          <cell r="B1523" t="str">
            <v>hm15100</v>
          </cell>
          <cell r="C1523" t="str">
            <v>Herramienta y equipo menor</v>
          </cell>
          <cell r="D1523">
            <v>12698</v>
          </cell>
          <cell r="E1523" t="str">
            <v>%</v>
          </cell>
          <cell r="F1523">
            <v>0.03</v>
          </cell>
          <cell r="G1523">
            <v>381</v>
          </cell>
          <cell r="M1523" t="str">
            <v>hm</v>
          </cell>
        </row>
        <row r="1524">
          <cell r="A1524">
            <v>0</v>
          </cell>
          <cell r="C1524" t="str">
            <v>DIRECTO:  522,479 / UN</v>
          </cell>
          <cell r="E1524">
            <v>0</v>
          </cell>
          <cell r="F1524">
            <v>0</v>
          </cell>
          <cell r="G1524">
            <v>0</v>
          </cell>
          <cell r="M1524">
            <v>0</v>
          </cell>
        </row>
        <row r="1525">
          <cell r="A1525">
            <v>0</v>
          </cell>
          <cell r="C1525">
            <v>0</v>
          </cell>
          <cell r="E1525">
            <v>0</v>
          </cell>
          <cell r="F1525">
            <v>0</v>
          </cell>
          <cell r="G1525">
            <v>0</v>
          </cell>
          <cell r="M1525">
            <v>0</v>
          </cell>
        </row>
        <row r="1526">
          <cell r="A1526" t="str">
            <v>13-04-040</v>
          </cell>
          <cell r="B1526" t="str">
            <v>13-04-040</v>
          </cell>
          <cell r="C1526" t="str">
            <v>GRIFERIA PARA DUCHAS REF. ANTIVANDALICA CON REGADERA EMPOTRADA DE GRIVAL O EQUIVALENTE.</v>
          </cell>
          <cell r="D1526">
            <v>2</v>
          </cell>
          <cell r="E1526" t="str">
            <v>UN</v>
          </cell>
          <cell r="F1526">
            <v>0</v>
          </cell>
          <cell r="G1526">
            <v>257003</v>
          </cell>
          <cell r="M1526" t="e">
            <v>#N/A</v>
          </cell>
        </row>
        <row r="1527">
          <cell r="A1527" t="str">
            <v>13-04-040</v>
          </cell>
          <cell r="B1527" t="str">
            <v>mt72710</v>
          </cell>
          <cell r="C1527" t="str">
            <v>Griferia para ducha antivandalica con regadera empotrada de grival o equivalente</v>
          </cell>
          <cell r="D1527">
            <v>1</v>
          </cell>
          <cell r="E1527" t="str">
            <v>un</v>
          </cell>
          <cell r="F1527">
            <v>243104.50599999996</v>
          </cell>
          <cell r="G1527">
            <v>243105</v>
          </cell>
          <cell r="M1527" t="str">
            <v>mt</v>
          </cell>
        </row>
        <row r="1528">
          <cell r="A1528" t="str">
            <v>13-04-040</v>
          </cell>
          <cell r="B1528" t="str">
            <v>mt21000</v>
          </cell>
          <cell r="C1528" t="str">
            <v>Cinta teflon carrete azul</v>
          </cell>
          <cell r="D1528">
            <v>0.5</v>
          </cell>
          <cell r="E1528" t="str">
            <v>un</v>
          </cell>
          <cell r="F1528">
            <v>619.43999999999994</v>
          </cell>
          <cell r="G1528">
            <v>310</v>
          </cell>
          <cell r="M1528" t="str">
            <v>mt</v>
          </cell>
        </row>
        <row r="1529">
          <cell r="A1529" t="str">
            <v>13-04-040</v>
          </cell>
          <cell r="B1529" t="str">
            <v>au10270</v>
          </cell>
          <cell r="C1529" t="str">
            <v>Aux MO oficial plomero</v>
          </cell>
          <cell r="D1529">
            <v>1</v>
          </cell>
          <cell r="E1529" t="str">
            <v>hr</v>
          </cell>
          <cell r="F1529">
            <v>12698</v>
          </cell>
          <cell r="G1529">
            <v>12698</v>
          </cell>
          <cell r="M1529" t="str">
            <v>mo</v>
          </cell>
        </row>
        <row r="1530">
          <cell r="A1530" t="str">
            <v>13-04-040</v>
          </cell>
          <cell r="B1530" t="str">
            <v>tp500030</v>
          </cell>
          <cell r="C1530" t="str">
            <v>Transporte a Jerico</v>
          </cell>
          <cell r="D1530">
            <v>0.01</v>
          </cell>
          <cell r="E1530" t="str">
            <v>ton</v>
          </cell>
          <cell r="F1530">
            <v>35000</v>
          </cell>
          <cell r="G1530">
            <v>350</v>
          </cell>
          <cell r="M1530" t="str">
            <v>tp</v>
          </cell>
        </row>
        <row r="1531">
          <cell r="A1531" t="str">
            <v>13-04-040</v>
          </cell>
          <cell r="B1531" t="str">
            <v>mt13900</v>
          </cell>
          <cell r="C1531" t="str">
            <v>Elementos de consumo y protección</v>
          </cell>
          <cell r="D1531">
            <v>12698</v>
          </cell>
          <cell r="E1531" t="str">
            <v>%</v>
          </cell>
          <cell r="F1531">
            <v>1.2455000000000001E-2</v>
          </cell>
          <cell r="G1531">
            <v>159</v>
          </cell>
          <cell r="M1531" t="str">
            <v>mt</v>
          </cell>
        </row>
        <row r="1532">
          <cell r="A1532" t="str">
            <v>13-04-040</v>
          </cell>
          <cell r="B1532" t="str">
            <v>hm15100</v>
          </cell>
          <cell r="C1532" t="str">
            <v>Herramienta y equipo menor</v>
          </cell>
          <cell r="D1532">
            <v>12698</v>
          </cell>
          <cell r="E1532" t="str">
            <v>%</v>
          </cell>
          <cell r="F1532">
            <v>0.03</v>
          </cell>
          <cell r="G1532">
            <v>381</v>
          </cell>
          <cell r="M1532" t="str">
            <v>hm</v>
          </cell>
        </row>
        <row r="1533">
          <cell r="A1533">
            <v>0</v>
          </cell>
          <cell r="C1533" t="str">
            <v>DIRECTO:  257,003 / UN</v>
          </cell>
          <cell r="E1533">
            <v>0</v>
          </cell>
          <cell r="F1533">
            <v>0</v>
          </cell>
          <cell r="G1533">
            <v>0</v>
          </cell>
          <cell r="M1533">
            <v>0</v>
          </cell>
        </row>
        <row r="1534">
          <cell r="A1534">
            <v>0</v>
          </cell>
          <cell r="C1534">
            <v>0</v>
          </cell>
          <cell r="E1534">
            <v>0</v>
          </cell>
          <cell r="F1534">
            <v>0</v>
          </cell>
          <cell r="G1534">
            <v>0</v>
          </cell>
          <cell r="M1534">
            <v>0</v>
          </cell>
        </row>
        <row r="1535">
          <cell r="A1535" t="str">
            <v>13-04-050</v>
          </cell>
          <cell r="B1535" t="str">
            <v>13-04-050</v>
          </cell>
          <cell r="C1535" t="str">
            <v>GRIFERIA PARA LAVAPLATOS REF. GALAXIA DE GRIVAL O EQUIVALENTE.</v>
          </cell>
          <cell r="D1535">
            <v>1</v>
          </cell>
          <cell r="E1535" t="str">
            <v>UN</v>
          </cell>
          <cell r="F1535">
            <v>0</v>
          </cell>
          <cell r="G1535">
            <v>75798</v>
          </cell>
          <cell r="M1535" t="e">
            <v>#N/A</v>
          </cell>
        </row>
        <row r="1536">
          <cell r="A1536" t="str">
            <v>13-04-050</v>
          </cell>
          <cell r="B1536" t="str">
            <v>mt72810</v>
          </cell>
          <cell r="C1536" t="str">
            <v>Griferia lavaplatos Galaxy</v>
          </cell>
          <cell r="D1536">
            <v>1</v>
          </cell>
          <cell r="E1536" t="str">
            <v>un</v>
          </cell>
          <cell r="F1536">
            <v>61899.92</v>
          </cell>
          <cell r="G1536">
            <v>61900</v>
          </cell>
          <cell r="M1536" t="str">
            <v>mt</v>
          </cell>
        </row>
        <row r="1537">
          <cell r="A1537" t="str">
            <v>13-04-050</v>
          </cell>
          <cell r="B1537" t="str">
            <v>mt21000</v>
          </cell>
          <cell r="C1537" t="str">
            <v>Cinta teflon carrete azul</v>
          </cell>
          <cell r="D1537">
            <v>0.5</v>
          </cell>
          <cell r="E1537" t="str">
            <v>un</v>
          </cell>
          <cell r="F1537">
            <v>619.43999999999994</v>
          </cell>
          <cell r="G1537">
            <v>310</v>
          </cell>
          <cell r="M1537" t="str">
            <v>mt</v>
          </cell>
        </row>
        <row r="1538">
          <cell r="A1538" t="str">
            <v>13-04-050</v>
          </cell>
          <cell r="B1538" t="str">
            <v>au10270</v>
          </cell>
          <cell r="C1538" t="str">
            <v>Aux MO oficial plomero</v>
          </cell>
          <cell r="D1538">
            <v>1</v>
          </cell>
          <cell r="E1538" t="str">
            <v>hr</v>
          </cell>
          <cell r="F1538">
            <v>12698</v>
          </cell>
          <cell r="G1538">
            <v>12698</v>
          </cell>
          <cell r="M1538" t="str">
            <v>mo</v>
          </cell>
        </row>
        <row r="1539">
          <cell r="A1539" t="str">
            <v>13-04-050</v>
          </cell>
          <cell r="B1539" t="str">
            <v>tp500030</v>
          </cell>
          <cell r="C1539" t="str">
            <v>Transporte a Jerico</v>
          </cell>
          <cell r="D1539">
            <v>0.01</v>
          </cell>
          <cell r="E1539" t="str">
            <v>ton</v>
          </cell>
          <cell r="F1539">
            <v>35000</v>
          </cell>
          <cell r="G1539">
            <v>350</v>
          </cell>
          <cell r="M1539" t="str">
            <v>tp</v>
          </cell>
        </row>
        <row r="1540">
          <cell r="A1540" t="str">
            <v>13-04-050</v>
          </cell>
          <cell r="B1540" t="str">
            <v>mt13900</v>
          </cell>
          <cell r="C1540" t="str">
            <v>Elementos de consumo y protección</v>
          </cell>
          <cell r="D1540">
            <v>12698</v>
          </cell>
          <cell r="E1540" t="str">
            <v>%</v>
          </cell>
          <cell r="F1540">
            <v>1.2455000000000001E-2</v>
          </cell>
          <cell r="G1540">
            <v>159</v>
          </cell>
          <cell r="M1540" t="str">
            <v>mt</v>
          </cell>
        </row>
        <row r="1541">
          <cell r="A1541" t="str">
            <v>13-04-050</v>
          </cell>
          <cell r="B1541" t="str">
            <v>hm15100</v>
          </cell>
          <cell r="C1541" t="str">
            <v>Herramienta y equipo menor</v>
          </cell>
          <cell r="D1541">
            <v>12698</v>
          </cell>
          <cell r="E1541" t="str">
            <v>%</v>
          </cell>
          <cell r="F1541">
            <v>0.03</v>
          </cell>
          <cell r="G1541">
            <v>381</v>
          </cell>
          <cell r="M1541" t="str">
            <v>hm</v>
          </cell>
        </row>
        <row r="1542">
          <cell r="A1542">
            <v>0</v>
          </cell>
          <cell r="C1542" t="str">
            <v>DIRECTO:  75,798 / UN</v>
          </cell>
          <cell r="E1542">
            <v>0</v>
          </cell>
          <cell r="F1542">
            <v>0</v>
          </cell>
          <cell r="G1542">
            <v>0</v>
          </cell>
          <cell r="M1542">
            <v>0</v>
          </cell>
        </row>
        <row r="1543">
          <cell r="A1543">
            <v>0</v>
          </cell>
          <cell r="C1543">
            <v>0</v>
          </cell>
          <cell r="E1543">
            <v>0</v>
          </cell>
          <cell r="F1543">
            <v>0</v>
          </cell>
          <cell r="G1543">
            <v>0</v>
          </cell>
          <cell r="M1543">
            <v>0</v>
          </cell>
        </row>
        <row r="1544">
          <cell r="A1544" t="str">
            <v>13-05-010</v>
          </cell>
          <cell r="B1544" t="str">
            <v>13-05-010</v>
          </cell>
          <cell r="C1544" t="str">
            <v>DISPENSADORES DE PAPEL HIGIENICO EN ACERO INOXIDABLE DE SOCODA O EQUIVALENTE.</v>
          </cell>
          <cell r="D1544">
            <v>19</v>
          </cell>
          <cell r="E1544" t="str">
            <v>UN</v>
          </cell>
          <cell r="F1544">
            <v>0</v>
          </cell>
          <cell r="G1544">
            <v>241109</v>
          </cell>
          <cell r="M1544" t="e">
            <v>#N/A</v>
          </cell>
        </row>
        <row r="1545">
          <cell r="A1545" t="str">
            <v>13-05-010</v>
          </cell>
          <cell r="B1545" t="str">
            <v>mt98320</v>
          </cell>
          <cell r="C1545" t="str">
            <v>Dispensadores de papel higienico ref. 8-aa-845 de accesorios y acabados o equivalente</v>
          </cell>
          <cell r="D1545">
            <v>1</v>
          </cell>
          <cell r="E1545" t="str">
            <v>un</v>
          </cell>
          <cell r="F1545">
            <v>208800</v>
          </cell>
          <cell r="G1545">
            <v>208800</v>
          </cell>
          <cell r="M1545" t="str">
            <v>mt</v>
          </cell>
        </row>
        <row r="1546">
          <cell r="A1546" t="str">
            <v>13-05-010</v>
          </cell>
          <cell r="B1546" t="str">
            <v>mo98400</v>
          </cell>
          <cell r="C1546" t="str">
            <v>MO instalacion accesorios baños</v>
          </cell>
          <cell r="D1546">
            <v>1</v>
          </cell>
          <cell r="E1546" t="str">
            <v>un</v>
          </cell>
          <cell r="F1546">
            <v>30992</v>
          </cell>
          <cell r="G1546">
            <v>30992</v>
          </cell>
          <cell r="M1546" t="str">
            <v>mo</v>
          </cell>
        </row>
        <row r="1547">
          <cell r="A1547" t="str">
            <v>13-05-010</v>
          </cell>
          <cell r="B1547" t="str">
            <v>mt13900</v>
          </cell>
          <cell r="C1547" t="str">
            <v>Elementos de consumo y protección</v>
          </cell>
          <cell r="D1547">
            <v>30992</v>
          </cell>
          <cell r="E1547" t="str">
            <v>%</v>
          </cell>
          <cell r="F1547">
            <v>1.2455000000000001E-2</v>
          </cell>
          <cell r="G1547">
            <v>387</v>
          </cell>
          <cell r="M1547" t="str">
            <v>mt</v>
          </cell>
        </row>
        <row r="1548">
          <cell r="A1548" t="str">
            <v>13-05-010</v>
          </cell>
          <cell r="B1548" t="str">
            <v>hm15100</v>
          </cell>
          <cell r="C1548" t="str">
            <v>Herramienta y equipo menor</v>
          </cell>
          <cell r="D1548">
            <v>30992</v>
          </cell>
          <cell r="E1548" t="str">
            <v>%</v>
          </cell>
          <cell r="F1548">
            <v>0.03</v>
          </cell>
          <cell r="G1548">
            <v>930</v>
          </cell>
          <cell r="M1548" t="str">
            <v>hm</v>
          </cell>
        </row>
        <row r="1549">
          <cell r="A1549">
            <v>0</v>
          </cell>
          <cell r="C1549" t="str">
            <v>DIRECTO:  241,109 / UN</v>
          </cell>
          <cell r="D1549">
            <v>0</v>
          </cell>
          <cell r="E1549">
            <v>0</v>
          </cell>
          <cell r="F1549">
            <v>0</v>
          </cell>
          <cell r="G1549">
            <v>0</v>
          </cell>
          <cell r="M1549">
            <v>0</v>
          </cell>
        </row>
        <row r="1550">
          <cell r="A1550">
            <v>0</v>
          </cell>
          <cell r="C1550">
            <v>0</v>
          </cell>
          <cell r="E1550">
            <v>0</v>
          </cell>
          <cell r="F1550">
            <v>0</v>
          </cell>
          <cell r="G1550">
            <v>0</v>
          </cell>
          <cell r="M1550">
            <v>0</v>
          </cell>
        </row>
        <row r="1551">
          <cell r="A1551" t="str">
            <v>13-05-020</v>
          </cell>
          <cell r="B1551" t="str">
            <v>13-05-020</v>
          </cell>
          <cell r="C1551" t="str">
            <v>DISPENSADORES DE TOALLAS DE PAPEL EN ACERO INOXIDABLE DE SOCODA O EQUIVALENTE.</v>
          </cell>
          <cell r="D1551">
            <v>14</v>
          </cell>
          <cell r="E1551" t="str">
            <v>UN</v>
          </cell>
          <cell r="F1551">
            <v>0</v>
          </cell>
          <cell r="G1551">
            <v>212209</v>
          </cell>
          <cell r="M1551" t="e">
            <v>#N/A</v>
          </cell>
        </row>
        <row r="1552">
          <cell r="A1552" t="str">
            <v>13-05-020</v>
          </cell>
          <cell r="B1552" t="str">
            <v>mt98310</v>
          </cell>
          <cell r="C1552" t="str">
            <v>Dispensadores de toallas institucional de grival o equivalente</v>
          </cell>
          <cell r="D1552">
            <v>1</v>
          </cell>
          <cell r="E1552" t="str">
            <v>un</v>
          </cell>
          <cell r="F1552">
            <v>179899.75999999998</v>
          </cell>
          <cell r="G1552">
            <v>179900</v>
          </cell>
          <cell r="M1552" t="str">
            <v>mt</v>
          </cell>
        </row>
        <row r="1553">
          <cell r="A1553" t="str">
            <v>13-05-020</v>
          </cell>
          <cell r="B1553" t="str">
            <v>mo98400</v>
          </cell>
          <cell r="C1553" t="str">
            <v>MO instalacion accesorios baños</v>
          </cell>
          <cell r="D1553">
            <v>1</v>
          </cell>
          <cell r="E1553" t="str">
            <v>un</v>
          </cell>
          <cell r="F1553">
            <v>30992</v>
          </cell>
          <cell r="G1553">
            <v>30992</v>
          </cell>
          <cell r="M1553" t="str">
            <v>mo</v>
          </cell>
        </row>
        <row r="1554">
          <cell r="A1554" t="str">
            <v>13-05-020</v>
          </cell>
          <cell r="B1554" t="str">
            <v>mt13900</v>
          </cell>
          <cell r="C1554" t="str">
            <v>Elementos de consumo y protección</v>
          </cell>
          <cell r="D1554">
            <v>30992</v>
          </cell>
          <cell r="E1554" t="str">
            <v>%</v>
          </cell>
          <cell r="F1554">
            <v>1.2455000000000001E-2</v>
          </cell>
          <cell r="G1554">
            <v>387</v>
          </cell>
          <cell r="M1554" t="str">
            <v>mt</v>
          </cell>
        </row>
        <row r="1555">
          <cell r="A1555" t="str">
            <v>13-05-020</v>
          </cell>
          <cell r="B1555" t="str">
            <v>hm15100</v>
          </cell>
          <cell r="C1555" t="str">
            <v>Herramienta y equipo menor</v>
          </cell>
          <cell r="D1555">
            <v>30992</v>
          </cell>
          <cell r="E1555" t="str">
            <v>%</v>
          </cell>
          <cell r="F1555">
            <v>0.03</v>
          </cell>
          <cell r="G1555">
            <v>930</v>
          </cell>
          <cell r="M1555" t="str">
            <v>hm</v>
          </cell>
        </row>
        <row r="1556">
          <cell r="A1556">
            <v>0</v>
          </cell>
          <cell r="C1556" t="str">
            <v>DIRECTO:  212,209 / UN</v>
          </cell>
          <cell r="D1556">
            <v>0</v>
          </cell>
          <cell r="E1556">
            <v>0</v>
          </cell>
          <cell r="F1556">
            <v>0</v>
          </cell>
          <cell r="G1556">
            <v>0</v>
          </cell>
          <cell r="M1556">
            <v>0</v>
          </cell>
        </row>
        <row r="1557">
          <cell r="A1557">
            <v>0</v>
          </cell>
          <cell r="C1557">
            <v>0</v>
          </cell>
          <cell r="E1557">
            <v>0</v>
          </cell>
          <cell r="F1557">
            <v>0</v>
          </cell>
          <cell r="G1557">
            <v>0</v>
          </cell>
          <cell r="M1557">
            <v>0</v>
          </cell>
        </row>
        <row r="1558">
          <cell r="A1558" t="str">
            <v>13-05-030</v>
          </cell>
          <cell r="B1558" t="str">
            <v>13-05-030</v>
          </cell>
          <cell r="C1558" t="str">
            <v>DISPENSADORES DE JABON EN ACERO INOXIDABLE DE SOCODA O EQUIVALENTE.</v>
          </cell>
          <cell r="D1558">
            <v>14</v>
          </cell>
          <cell r="E1558" t="str">
            <v>UN</v>
          </cell>
          <cell r="F1558">
            <v>0</v>
          </cell>
          <cell r="G1558">
            <v>172209</v>
          </cell>
          <cell r="M1558" t="e">
            <v>#N/A</v>
          </cell>
        </row>
        <row r="1559">
          <cell r="A1559" t="str">
            <v>13-05-030</v>
          </cell>
          <cell r="B1559" t="str">
            <v>mt98300</v>
          </cell>
          <cell r="C1559" t="str">
            <v>Dispensadores de jabon institucional de grival o equivalente</v>
          </cell>
          <cell r="D1559">
            <v>1</v>
          </cell>
          <cell r="E1559" t="str">
            <v>un</v>
          </cell>
          <cell r="F1559">
            <v>139899.47999999998</v>
          </cell>
          <cell r="G1559">
            <v>139900</v>
          </cell>
          <cell r="M1559" t="str">
            <v>mt</v>
          </cell>
        </row>
        <row r="1560">
          <cell r="A1560" t="str">
            <v>13-05-030</v>
          </cell>
          <cell r="B1560" t="str">
            <v>mo98400</v>
          </cell>
          <cell r="C1560" t="str">
            <v>MO instalacion accesorios baños</v>
          </cell>
          <cell r="D1560">
            <v>1</v>
          </cell>
          <cell r="E1560" t="str">
            <v>un</v>
          </cell>
          <cell r="F1560">
            <v>30992</v>
          </cell>
          <cell r="G1560">
            <v>30992</v>
          </cell>
          <cell r="M1560" t="str">
            <v>mo</v>
          </cell>
        </row>
        <row r="1561">
          <cell r="A1561" t="str">
            <v>13-05-030</v>
          </cell>
          <cell r="B1561" t="str">
            <v>mt13900</v>
          </cell>
          <cell r="C1561" t="str">
            <v>Elementos de consumo y protección</v>
          </cell>
          <cell r="D1561">
            <v>30992</v>
          </cell>
          <cell r="E1561" t="str">
            <v>%</v>
          </cell>
          <cell r="F1561">
            <v>1.2455000000000001E-2</v>
          </cell>
          <cell r="G1561">
            <v>387</v>
          </cell>
          <cell r="M1561" t="str">
            <v>mt</v>
          </cell>
        </row>
        <row r="1562">
          <cell r="A1562" t="str">
            <v>13-05-030</v>
          </cell>
          <cell r="B1562" t="str">
            <v>hm15100</v>
          </cell>
          <cell r="C1562" t="str">
            <v>Herramienta y equipo menor</v>
          </cell>
          <cell r="D1562">
            <v>30992</v>
          </cell>
          <cell r="E1562" t="str">
            <v>%</v>
          </cell>
          <cell r="F1562">
            <v>0.03</v>
          </cell>
          <cell r="G1562">
            <v>930</v>
          </cell>
          <cell r="M1562" t="str">
            <v>hm</v>
          </cell>
        </row>
        <row r="1563">
          <cell r="A1563">
            <v>0</v>
          </cell>
          <cell r="C1563" t="str">
            <v>DIRECTO:  172,209 / UN</v>
          </cell>
          <cell r="D1563">
            <v>0</v>
          </cell>
          <cell r="E1563">
            <v>0</v>
          </cell>
          <cell r="F1563">
            <v>0</v>
          </cell>
          <cell r="G1563">
            <v>0</v>
          </cell>
          <cell r="M1563">
            <v>0</v>
          </cell>
        </row>
        <row r="1564">
          <cell r="A1564">
            <v>0</v>
          </cell>
          <cell r="C1564">
            <v>0</v>
          </cell>
          <cell r="E1564">
            <v>0</v>
          </cell>
          <cell r="F1564">
            <v>0</v>
          </cell>
          <cell r="G1564">
            <v>0</v>
          </cell>
          <cell r="M1564">
            <v>0</v>
          </cell>
        </row>
        <row r="1565">
          <cell r="A1565" t="str">
            <v>13-05-040</v>
          </cell>
          <cell r="B1565" t="str">
            <v>13-05-040</v>
          </cell>
          <cell r="C1565" t="str">
            <v>BARRAS DE SEGURIDAD 18" EN ACERO INOXIDABLE DE GRIVAL O EQUIVALENTE.</v>
          </cell>
          <cell r="D1565">
            <v>1</v>
          </cell>
          <cell r="E1565" t="str">
            <v>UN</v>
          </cell>
          <cell r="F1565">
            <v>0</v>
          </cell>
          <cell r="G1565">
            <v>123209</v>
          </cell>
          <cell r="M1565" t="e">
            <v>#N/A</v>
          </cell>
        </row>
        <row r="1566">
          <cell r="A1566" t="str">
            <v>13-05-040</v>
          </cell>
          <cell r="B1566" t="str">
            <v>mt98010</v>
          </cell>
          <cell r="C1566" t="str">
            <v>Barra fija discapacitados 18" de grival o equivalente</v>
          </cell>
          <cell r="D1566">
            <v>1</v>
          </cell>
          <cell r="E1566" t="str">
            <v>un</v>
          </cell>
          <cell r="F1566">
            <v>90899.92</v>
          </cell>
          <cell r="G1566">
            <v>90900</v>
          </cell>
          <cell r="M1566" t="str">
            <v>mt</v>
          </cell>
        </row>
        <row r="1567">
          <cell r="A1567" t="str">
            <v>13-05-040</v>
          </cell>
          <cell r="B1567" t="str">
            <v>mo98400</v>
          </cell>
          <cell r="C1567" t="str">
            <v>MO instalacion accesorios baños</v>
          </cell>
          <cell r="D1567">
            <v>1</v>
          </cell>
          <cell r="E1567" t="str">
            <v>un</v>
          </cell>
          <cell r="F1567">
            <v>30992</v>
          </cell>
          <cell r="G1567">
            <v>30992</v>
          </cell>
          <cell r="M1567" t="str">
            <v>mo</v>
          </cell>
        </row>
        <row r="1568">
          <cell r="A1568" t="str">
            <v>13-05-040</v>
          </cell>
          <cell r="B1568" t="str">
            <v>mt13900</v>
          </cell>
          <cell r="C1568" t="str">
            <v>Elementos de consumo y protección</v>
          </cell>
          <cell r="D1568">
            <v>30992</v>
          </cell>
          <cell r="E1568" t="str">
            <v>%</v>
          </cell>
          <cell r="F1568">
            <v>1.2455000000000001E-2</v>
          </cell>
          <cell r="G1568">
            <v>387</v>
          </cell>
          <cell r="M1568" t="str">
            <v>mt</v>
          </cell>
        </row>
        <row r="1569">
          <cell r="A1569" t="str">
            <v>13-05-040</v>
          </cell>
          <cell r="B1569" t="str">
            <v>hm15100</v>
          </cell>
          <cell r="C1569" t="str">
            <v>Herramienta y equipo menor</v>
          </cell>
          <cell r="D1569">
            <v>30992</v>
          </cell>
          <cell r="E1569" t="str">
            <v>%</v>
          </cell>
          <cell r="F1569">
            <v>0.03</v>
          </cell>
          <cell r="G1569">
            <v>930</v>
          </cell>
          <cell r="M1569" t="str">
            <v>hm</v>
          </cell>
        </row>
        <row r="1570">
          <cell r="A1570">
            <v>0</v>
          </cell>
          <cell r="C1570" t="str">
            <v>DIRECTO:  123,209 / UN</v>
          </cell>
          <cell r="D1570">
            <v>0</v>
          </cell>
          <cell r="E1570">
            <v>0</v>
          </cell>
          <cell r="F1570">
            <v>0</v>
          </cell>
          <cell r="G1570">
            <v>0</v>
          </cell>
          <cell r="M1570">
            <v>0</v>
          </cell>
        </row>
        <row r="1571">
          <cell r="A1571">
            <v>0</v>
          </cell>
          <cell r="C1571">
            <v>0</v>
          </cell>
          <cell r="E1571">
            <v>0</v>
          </cell>
          <cell r="F1571">
            <v>0</v>
          </cell>
          <cell r="G1571">
            <v>0</v>
          </cell>
          <cell r="M1571">
            <v>0</v>
          </cell>
        </row>
        <row r="1572">
          <cell r="A1572" t="str">
            <v>13-05-050</v>
          </cell>
          <cell r="B1572" t="str">
            <v>13-05-050</v>
          </cell>
          <cell r="C1572" t="str">
            <v>BARRAS DE SEGURIDAD 30" EN ACERO INOXIDABLE DE GRIVAL O EQUIVALENTE.</v>
          </cell>
          <cell r="D1572">
            <v>1</v>
          </cell>
          <cell r="E1572" t="str">
            <v>UN</v>
          </cell>
          <cell r="F1572">
            <v>0</v>
          </cell>
          <cell r="G1572">
            <v>145210</v>
          </cell>
          <cell r="M1572" t="e">
            <v>#N/A</v>
          </cell>
        </row>
        <row r="1573">
          <cell r="A1573" t="str">
            <v>13-05-050</v>
          </cell>
          <cell r="B1573" t="str">
            <v>mt98000</v>
          </cell>
          <cell r="C1573" t="str">
            <v>Barra fija discapacitados 30" de grival o equivalente</v>
          </cell>
          <cell r="D1573">
            <v>1</v>
          </cell>
          <cell r="E1573" t="str">
            <v>un</v>
          </cell>
          <cell r="F1573">
            <v>112900.48</v>
          </cell>
          <cell r="G1573">
            <v>112901</v>
          </cell>
          <cell r="M1573" t="str">
            <v>mt</v>
          </cell>
        </row>
        <row r="1574">
          <cell r="A1574" t="str">
            <v>13-05-050</v>
          </cell>
          <cell r="B1574" t="str">
            <v>mo98400</v>
          </cell>
          <cell r="C1574" t="str">
            <v>MO instalacion accesorios baños</v>
          </cell>
          <cell r="D1574">
            <v>1</v>
          </cell>
          <cell r="E1574" t="str">
            <v>un</v>
          </cell>
          <cell r="F1574">
            <v>30992</v>
          </cell>
          <cell r="G1574">
            <v>30992</v>
          </cell>
          <cell r="M1574" t="str">
            <v>mo</v>
          </cell>
        </row>
        <row r="1575">
          <cell r="A1575" t="str">
            <v>13-05-050</v>
          </cell>
          <cell r="B1575" t="str">
            <v>mt13900</v>
          </cell>
          <cell r="C1575" t="str">
            <v>Elementos de consumo y protección</v>
          </cell>
          <cell r="D1575">
            <v>30992</v>
          </cell>
          <cell r="E1575" t="str">
            <v>%</v>
          </cell>
          <cell r="F1575">
            <v>1.2455000000000001E-2</v>
          </cell>
          <cell r="G1575">
            <v>387</v>
          </cell>
          <cell r="M1575" t="str">
            <v>mt</v>
          </cell>
        </row>
        <row r="1576">
          <cell r="A1576" t="str">
            <v>13-05-050</v>
          </cell>
          <cell r="B1576" t="str">
            <v>hm15100</v>
          </cell>
          <cell r="C1576" t="str">
            <v>Herramienta y equipo menor</v>
          </cell>
          <cell r="D1576">
            <v>30992</v>
          </cell>
          <cell r="E1576" t="str">
            <v>%</v>
          </cell>
          <cell r="F1576">
            <v>0.03</v>
          </cell>
          <cell r="G1576">
            <v>930</v>
          </cell>
          <cell r="M1576" t="str">
            <v>hm</v>
          </cell>
        </row>
        <row r="1577">
          <cell r="A1577">
            <v>0</v>
          </cell>
          <cell r="C1577" t="str">
            <v>DIRECTO:  145,210 / UN</v>
          </cell>
          <cell r="D1577">
            <v>0</v>
          </cell>
          <cell r="E1577">
            <v>0</v>
          </cell>
          <cell r="F1577">
            <v>0</v>
          </cell>
          <cell r="G1577">
            <v>0</v>
          </cell>
          <cell r="M1577">
            <v>0</v>
          </cell>
        </row>
        <row r="1578">
          <cell r="A1578">
            <v>0</v>
          </cell>
          <cell r="C1578">
            <v>0</v>
          </cell>
          <cell r="E1578">
            <v>0</v>
          </cell>
          <cell r="F1578">
            <v>0</v>
          </cell>
          <cell r="G1578">
            <v>0</v>
          </cell>
          <cell r="M1578">
            <v>0</v>
          </cell>
        </row>
        <row r="1579">
          <cell r="A1579" t="str">
            <v>13-05-060</v>
          </cell>
          <cell r="B1579" t="str">
            <v>13-05-060</v>
          </cell>
          <cell r="C1579" t="str">
            <v>REJILLAS DE PISO EN ALUMINIO Ø 4"</v>
          </cell>
          <cell r="D1579">
            <v>19</v>
          </cell>
          <cell r="E1579" t="str">
            <v>UN</v>
          </cell>
          <cell r="F1579">
            <v>0</v>
          </cell>
          <cell r="G1579">
            <v>12063</v>
          </cell>
          <cell r="M1579" t="e">
            <v>#N/A</v>
          </cell>
        </row>
        <row r="1580">
          <cell r="A1580" t="str">
            <v>13-05-060</v>
          </cell>
          <cell r="B1580" t="str">
            <v>mt46720</v>
          </cell>
          <cell r="C1580" t="str">
            <v>Rejilla en aluminio concentrica 4"</v>
          </cell>
          <cell r="D1580">
            <v>1</v>
          </cell>
          <cell r="E1580" t="str">
            <v>un</v>
          </cell>
          <cell r="F1580">
            <v>6380</v>
          </cell>
          <cell r="G1580">
            <v>6380</v>
          </cell>
          <cell r="M1580" t="str">
            <v>mt</v>
          </cell>
        </row>
        <row r="1581">
          <cell r="A1581" t="str">
            <v>13-05-060</v>
          </cell>
          <cell r="B1581" t="str">
            <v>mt12500</v>
          </cell>
          <cell r="C1581" t="str">
            <v>Cemento blanco</v>
          </cell>
          <cell r="D1581">
            <v>0.5</v>
          </cell>
          <cell r="E1581" t="str">
            <v>kg</v>
          </cell>
          <cell r="F1581">
            <v>920</v>
          </cell>
          <cell r="G1581">
            <v>460</v>
          </cell>
          <cell r="M1581" t="str">
            <v>mt</v>
          </cell>
        </row>
        <row r="1582">
          <cell r="A1582" t="str">
            <v>13-05-060</v>
          </cell>
          <cell r="B1582" t="str">
            <v>mt14300</v>
          </cell>
          <cell r="C1582" t="str">
            <v>Estopa blanca</v>
          </cell>
          <cell r="D1582">
            <v>0.25</v>
          </cell>
          <cell r="E1582" t="str">
            <v>kg</v>
          </cell>
          <cell r="F1582">
            <v>2670.3199999999997</v>
          </cell>
          <cell r="G1582">
            <v>668</v>
          </cell>
          <cell r="M1582" t="str">
            <v>mt</v>
          </cell>
        </row>
        <row r="1583">
          <cell r="A1583" t="str">
            <v>13-05-060</v>
          </cell>
          <cell r="B1583" t="str">
            <v>mo46800</v>
          </cell>
          <cell r="C1583" t="str">
            <v>MO colocacion rejillas en aluminio para piso</v>
          </cell>
          <cell r="D1583">
            <v>1</v>
          </cell>
          <cell r="E1583" t="str">
            <v>un</v>
          </cell>
          <cell r="F1583">
            <v>4368</v>
          </cell>
          <cell r="G1583">
            <v>4368</v>
          </cell>
          <cell r="M1583" t="str">
            <v>mo</v>
          </cell>
        </row>
        <row r="1584">
          <cell r="A1584" t="str">
            <v>13-05-060</v>
          </cell>
          <cell r="B1584" t="str">
            <v>mt13900</v>
          </cell>
          <cell r="C1584" t="str">
            <v>Elementos de consumo y protección</v>
          </cell>
          <cell r="D1584">
            <v>4368</v>
          </cell>
          <cell r="E1584" t="str">
            <v>%</v>
          </cell>
          <cell r="F1584">
            <v>1.2455000000000001E-2</v>
          </cell>
          <cell r="G1584">
            <v>55</v>
          </cell>
          <cell r="M1584" t="str">
            <v>mt</v>
          </cell>
        </row>
        <row r="1585">
          <cell r="A1585" t="str">
            <v>13-05-060</v>
          </cell>
          <cell r="B1585" t="str">
            <v>hm15100</v>
          </cell>
          <cell r="C1585" t="str">
            <v>Herramienta y equipo menor</v>
          </cell>
          <cell r="D1585">
            <v>4368</v>
          </cell>
          <cell r="E1585" t="str">
            <v>%</v>
          </cell>
          <cell r="F1585">
            <v>0.03</v>
          </cell>
          <cell r="G1585">
            <v>132</v>
          </cell>
          <cell r="M1585" t="str">
            <v>hm</v>
          </cell>
        </row>
        <row r="1586">
          <cell r="A1586">
            <v>0</v>
          </cell>
          <cell r="C1586" t="str">
            <v>DIRECTO:  12,063 / UN</v>
          </cell>
          <cell r="D1586">
            <v>0</v>
          </cell>
          <cell r="E1586">
            <v>0</v>
          </cell>
          <cell r="F1586">
            <v>0</v>
          </cell>
          <cell r="G1586">
            <v>0</v>
          </cell>
          <cell r="M1586">
            <v>0</v>
          </cell>
        </row>
        <row r="1587">
          <cell r="A1587">
            <v>0</v>
          </cell>
          <cell r="C1587">
            <v>0</v>
          </cell>
          <cell r="E1587">
            <v>0</v>
          </cell>
          <cell r="F1587">
            <v>0</v>
          </cell>
          <cell r="G1587">
            <v>0</v>
          </cell>
          <cell r="M1587">
            <v>0</v>
          </cell>
        </row>
        <row r="1588">
          <cell r="A1588" t="str">
            <v>13-05-070</v>
          </cell>
          <cell r="B1588" t="str">
            <v>13-05-070</v>
          </cell>
          <cell r="C1588" t="str">
            <v>ESPEJOS 5 MM. CALIDAD PELDAR O EQUIVALENTE. INCLUYE ANCLAJES A MURO</v>
          </cell>
          <cell r="D1588">
            <v>12</v>
          </cell>
          <cell r="E1588" t="str">
            <v>M2</v>
          </cell>
          <cell r="F1588">
            <v>0</v>
          </cell>
          <cell r="G1588">
            <v>106991</v>
          </cell>
          <cell r="M1588" t="e">
            <v>#N/A</v>
          </cell>
        </row>
        <row r="1589">
          <cell r="A1589" t="str">
            <v>13-05-070</v>
          </cell>
          <cell r="B1589" t="str">
            <v>mt51110</v>
          </cell>
          <cell r="C1589" t="str">
            <v>Espejo cristal 5mm</v>
          </cell>
          <cell r="D1589">
            <v>1</v>
          </cell>
          <cell r="E1589" t="str">
            <v>m2</v>
          </cell>
          <cell r="F1589">
            <v>54867.999999999993</v>
          </cell>
          <cell r="G1589">
            <v>54868</v>
          </cell>
          <cell r="M1589" t="str">
            <v>mt</v>
          </cell>
        </row>
        <row r="1590">
          <cell r="A1590" t="str">
            <v>13-05-070</v>
          </cell>
          <cell r="B1590" t="str">
            <v>mo51200</v>
          </cell>
          <cell r="C1590" t="str">
            <v>MO instalacion espejos</v>
          </cell>
          <cell r="D1590">
            <v>1</v>
          </cell>
          <cell r="E1590" t="str">
            <v>m2</v>
          </cell>
          <cell r="F1590">
            <v>50000</v>
          </cell>
          <cell r="G1590">
            <v>50000</v>
          </cell>
          <cell r="M1590" t="str">
            <v>mo</v>
          </cell>
        </row>
        <row r="1591">
          <cell r="A1591" t="str">
            <v>13-05-070</v>
          </cell>
          <cell r="B1591" t="str">
            <v>mt13900</v>
          </cell>
          <cell r="C1591" t="str">
            <v>Elementos de consumo y protección</v>
          </cell>
          <cell r="D1591">
            <v>50000</v>
          </cell>
          <cell r="E1591" t="str">
            <v>%</v>
          </cell>
          <cell r="F1591">
            <v>1.2455000000000001E-2</v>
          </cell>
          <cell r="G1591">
            <v>623</v>
          </cell>
          <cell r="M1591" t="str">
            <v>mt</v>
          </cell>
        </row>
        <row r="1592">
          <cell r="A1592" t="str">
            <v>13-05-070</v>
          </cell>
          <cell r="B1592" t="str">
            <v>hm15100</v>
          </cell>
          <cell r="C1592" t="str">
            <v>Herramienta y equipo menor</v>
          </cell>
          <cell r="D1592">
            <v>50000</v>
          </cell>
          <cell r="E1592" t="str">
            <v>%</v>
          </cell>
          <cell r="F1592">
            <v>0.03</v>
          </cell>
          <cell r="G1592">
            <v>1500</v>
          </cell>
          <cell r="M1592" t="str">
            <v>hm</v>
          </cell>
        </row>
        <row r="1593">
          <cell r="A1593">
            <v>0</v>
          </cell>
          <cell r="C1593" t="str">
            <v>DIRECTO:  106,991 / M2</v>
          </cell>
          <cell r="D1593">
            <v>0</v>
          </cell>
          <cell r="E1593">
            <v>0</v>
          </cell>
          <cell r="F1593">
            <v>0</v>
          </cell>
          <cell r="G1593">
            <v>0</v>
          </cell>
          <cell r="M1593">
            <v>0</v>
          </cell>
        </row>
        <row r="1594">
          <cell r="A1594">
            <v>0</v>
          </cell>
          <cell r="C1594">
            <v>0</v>
          </cell>
          <cell r="E1594">
            <v>0</v>
          </cell>
          <cell r="F1594">
            <v>0</v>
          </cell>
          <cell r="G1594">
            <v>0</v>
          </cell>
          <cell r="M1594">
            <v>0</v>
          </cell>
        </row>
        <row r="1595">
          <cell r="A1595" t="str">
            <v>13-05-080</v>
          </cell>
          <cell r="B1595" t="str">
            <v>13-05-080</v>
          </cell>
          <cell r="C1595" t="str">
            <v>DIVISIONES EN ACERO INOXIDABLE TIPO SOCODA O EQUIVALENTE</v>
          </cell>
          <cell r="D1595">
            <v>41</v>
          </cell>
          <cell r="E1595" t="str">
            <v>M2</v>
          </cell>
          <cell r="F1595">
            <v>0</v>
          </cell>
          <cell r="G1595">
            <v>621180</v>
          </cell>
          <cell r="M1595" t="e">
            <v>#N/A</v>
          </cell>
        </row>
        <row r="1596">
          <cell r="A1596" t="str">
            <v>13-05-080</v>
          </cell>
          <cell r="B1596" t="str">
            <v>sc97410</v>
          </cell>
          <cell r="C1596" t="str">
            <v>Subcontrato divisiones metalicas en acero inoxidable</v>
          </cell>
          <cell r="D1596">
            <v>1</v>
          </cell>
          <cell r="E1596" t="str">
            <v>m2</v>
          </cell>
          <cell r="F1596">
            <v>621180</v>
          </cell>
          <cell r="G1596">
            <v>621180</v>
          </cell>
          <cell r="M1596" t="str">
            <v>sc</v>
          </cell>
        </row>
        <row r="1597">
          <cell r="A1597">
            <v>0</v>
          </cell>
          <cell r="C1597" t="str">
            <v>DIRECTO:  621,180 / M2</v>
          </cell>
          <cell r="D1597">
            <v>0</v>
          </cell>
          <cell r="E1597">
            <v>0</v>
          </cell>
          <cell r="F1597">
            <v>0</v>
          </cell>
          <cell r="G1597">
            <v>0</v>
          </cell>
          <cell r="M1597">
            <v>0</v>
          </cell>
        </row>
      </sheetData>
      <sheetData sheetId="6">
        <row r="1">
          <cell r="B1" t="str">
            <v>SUB-ANALISIS DE PRECIOS UNITARIOS - TEATRO JERICO</v>
          </cell>
        </row>
        <row r="2">
          <cell r="B2" t="str">
            <v>CLAVE</v>
          </cell>
          <cell r="C2" t="str">
            <v>DESCRIPCION</v>
          </cell>
          <cell r="D2" t="str">
            <v>CANTIDAD</v>
          </cell>
          <cell r="E2" t="str">
            <v>UN</v>
          </cell>
          <cell r="F2" t="str">
            <v>VR. UNIT.</v>
          </cell>
          <cell r="G2" t="str">
            <v>VR. TOTAL</v>
          </cell>
        </row>
        <row r="3">
          <cell r="A3" t="str">
            <v>au10000</v>
          </cell>
          <cell r="B3" t="str">
            <v>au10000</v>
          </cell>
          <cell r="C3" t="str">
            <v>Aux MO ayudante</v>
          </cell>
          <cell r="E3" t="str">
            <v>hr</v>
          </cell>
          <cell r="F3">
            <v>0</v>
          </cell>
          <cell r="G3">
            <v>5080</v>
          </cell>
          <cell r="J3" t="str">
            <v>mo</v>
          </cell>
        </row>
        <row r="4">
          <cell r="A4" t="str">
            <v>au10000</v>
          </cell>
          <cell r="B4" t="str">
            <v>mo19700</v>
          </cell>
          <cell r="C4" t="str">
            <v>MO salario mínimo</v>
          </cell>
          <cell r="D4">
            <v>4.807692307692308E-3</v>
          </cell>
          <cell r="E4" t="str">
            <v>mes</v>
          </cell>
          <cell r="F4">
            <v>566700</v>
          </cell>
          <cell r="G4">
            <v>2725</v>
          </cell>
          <cell r="J4" t="str">
            <v>mo</v>
          </cell>
        </row>
        <row r="5">
          <cell r="A5" t="str">
            <v>au10000</v>
          </cell>
          <cell r="B5" t="str">
            <v>mo19200</v>
          </cell>
          <cell r="C5" t="str">
            <v>MO prestaciones sociales 2 smmlv</v>
          </cell>
          <cell r="D5">
            <v>2725</v>
          </cell>
          <cell r="E5" t="str">
            <v>%</v>
          </cell>
          <cell r="F5">
            <v>0.8640000000000001</v>
          </cell>
          <cell r="G5">
            <v>2355</v>
          </cell>
          <cell r="J5" t="str">
            <v>mo</v>
          </cell>
        </row>
        <row r="6">
          <cell r="A6">
            <v>0</v>
          </cell>
          <cell r="C6" t="str">
            <v>DIRECTO:  5,080 / hr</v>
          </cell>
          <cell r="E6">
            <v>0</v>
          </cell>
          <cell r="F6">
            <v>0</v>
          </cell>
          <cell r="G6">
            <v>0</v>
          </cell>
          <cell r="J6">
            <v>0</v>
          </cell>
        </row>
        <row r="7">
          <cell r="A7">
            <v>0</v>
          </cell>
          <cell r="C7">
            <v>0</v>
          </cell>
          <cell r="E7">
            <v>0</v>
          </cell>
          <cell r="F7">
            <v>0</v>
          </cell>
          <cell r="G7">
            <v>0</v>
          </cell>
          <cell r="J7">
            <v>0</v>
          </cell>
        </row>
        <row r="8">
          <cell r="A8" t="str">
            <v>au10100</v>
          </cell>
          <cell r="B8" t="str">
            <v>au10100</v>
          </cell>
          <cell r="C8" t="str">
            <v>Aux MO oficial obra negra</v>
          </cell>
          <cell r="E8" t="str">
            <v>hr</v>
          </cell>
          <cell r="F8">
            <v>0</v>
          </cell>
          <cell r="G8">
            <v>7619</v>
          </cell>
          <cell r="J8" t="str">
            <v>mo</v>
          </cell>
        </row>
        <row r="9">
          <cell r="A9" t="str">
            <v>au10100</v>
          </cell>
          <cell r="B9" t="str">
            <v>mo19700</v>
          </cell>
          <cell r="C9" t="str">
            <v>MO salario mínimo</v>
          </cell>
          <cell r="D9">
            <v>7.2115384615384619E-3</v>
          </cell>
          <cell r="E9" t="str">
            <v>mes</v>
          </cell>
          <cell r="F9">
            <v>566700</v>
          </cell>
          <cell r="G9">
            <v>4087</v>
          </cell>
          <cell r="J9" t="str">
            <v>mo</v>
          </cell>
        </row>
        <row r="10">
          <cell r="A10" t="str">
            <v>au10100</v>
          </cell>
          <cell r="B10" t="str">
            <v>mo19200</v>
          </cell>
          <cell r="C10" t="str">
            <v>MO prestaciones sociales 2 smmlv</v>
          </cell>
          <cell r="D10">
            <v>4087</v>
          </cell>
          <cell r="E10" t="str">
            <v>%</v>
          </cell>
          <cell r="F10">
            <v>0.8640000000000001</v>
          </cell>
          <cell r="G10">
            <v>3532</v>
          </cell>
          <cell r="J10" t="str">
            <v>mo</v>
          </cell>
        </row>
        <row r="11">
          <cell r="A11">
            <v>0</v>
          </cell>
          <cell r="C11" t="str">
            <v>DIRECTO:  7,619 / hr</v>
          </cell>
          <cell r="E11">
            <v>0</v>
          </cell>
          <cell r="F11">
            <v>0</v>
          </cell>
          <cell r="G11">
            <v>0</v>
          </cell>
          <cell r="J11">
            <v>0</v>
          </cell>
        </row>
        <row r="12">
          <cell r="A12">
            <v>0</v>
          </cell>
          <cell r="C12">
            <v>0</v>
          </cell>
          <cell r="E12">
            <v>0</v>
          </cell>
          <cell r="F12">
            <v>0</v>
          </cell>
          <cell r="G12">
            <v>0</v>
          </cell>
          <cell r="J12">
            <v>0</v>
          </cell>
        </row>
        <row r="13">
          <cell r="A13" t="str">
            <v>au10200</v>
          </cell>
          <cell r="B13" t="str">
            <v>au10200</v>
          </cell>
          <cell r="C13" t="str">
            <v>Aux MO oficial obra blanca</v>
          </cell>
          <cell r="E13" t="str">
            <v>hr</v>
          </cell>
          <cell r="F13">
            <v>0</v>
          </cell>
          <cell r="G13">
            <v>10159</v>
          </cell>
          <cell r="J13" t="str">
            <v>mo</v>
          </cell>
        </row>
        <row r="14">
          <cell r="A14" t="str">
            <v>au10200</v>
          </cell>
          <cell r="B14" t="str">
            <v>mo19700</v>
          </cell>
          <cell r="C14" t="str">
            <v>MO salario mínimo</v>
          </cell>
          <cell r="D14">
            <v>9.6153846153846159E-3</v>
          </cell>
          <cell r="E14" t="str">
            <v>mes</v>
          </cell>
          <cell r="F14">
            <v>566700</v>
          </cell>
          <cell r="G14">
            <v>5450</v>
          </cell>
          <cell r="J14" t="str">
            <v>mo</v>
          </cell>
        </row>
        <row r="15">
          <cell r="A15" t="str">
            <v>au10200</v>
          </cell>
          <cell r="B15" t="str">
            <v>mo19200</v>
          </cell>
          <cell r="C15" t="str">
            <v>MO prestaciones sociales 2 smmlv</v>
          </cell>
          <cell r="D15">
            <v>5450</v>
          </cell>
          <cell r="E15" t="str">
            <v>%</v>
          </cell>
          <cell r="F15">
            <v>0.8640000000000001</v>
          </cell>
          <cell r="G15">
            <v>4709</v>
          </cell>
          <cell r="J15" t="str">
            <v>mo</v>
          </cell>
        </row>
        <row r="16">
          <cell r="A16">
            <v>0</v>
          </cell>
          <cell r="C16" t="str">
            <v>DIRECTO:  10,159 / hr</v>
          </cell>
          <cell r="E16">
            <v>0</v>
          </cell>
          <cell r="F16">
            <v>0</v>
          </cell>
          <cell r="G16">
            <v>0</v>
          </cell>
          <cell r="J16">
            <v>0</v>
          </cell>
        </row>
        <row r="17">
          <cell r="A17">
            <v>0</v>
          </cell>
          <cell r="C17">
            <v>0</v>
          </cell>
          <cell r="E17">
            <v>0</v>
          </cell>
          <cell r="F17">
            <v>0</v>
          </cell>
          <cell r="G17">
            <v>0</v>
          </cell>
          <cell r="J17">
            <v>0</v>
          </cell>
        </row>
        <row r="18">
          <cell r="A18" t="str">
            <v>au10220</v>
          </cell>
          <cell r="B18" t="str">
            <v>au10220</v>
          </cell>
          <cell r="C18" t="str">
            <v>Aux MO celador</v>
          </cell>
          <cell r="E18" t="str">
            <v>hr</v>
          </cell>
          <cell r="F18">
            <v>0</v>
          </cell>
          <cell r="G18">
            <v>6858</v>
          </cell>
          <cell r="J18" t="str">
            <v>mo</v>
          </cell>
        </row>
        <row r="19">
          <cell r="A19" t="str">
            <v>au10220</v>
          </cell>
          <cell r="B19" t="str">
            <v>mo19700</v>
          </cell>
          <cell r="C19" t="str">
            <v>MO salario mínimo</v>
          </cell>
          <cell r="D19">
            <v>6.4903846153846157E-3</v>
          </cell>
          <cell r="E19" t="str">
            <v>mes</v>
          </cell>
          <cell r="F19">
            <v>566700</v>
          </cell>
          <cell r="G19">
            <v>3679</v>
          </cell>
          <cell r="J19" t="str">
            <v>mo</v>
          </cell>
        </row>
        <row r="20">
          <cell r="A20" t="str">
            <v>au10220</v>
          </cell>
          <cell r="B20" t="str">
            <v>mo19200</v>
          </cell>
          <cell r="C20" t="str">
            <v>MO prestaciones sociales 2 smmlv</v>
          </cell>
          <cell r="D20">
            <v>3679</v>
          </cell>
          <cell r="E20" t="str">
            <v>%</v>
          </cell>
          <cell r="F20">
            <v>0.8640000000000001</v>
          </cell>
          <cell r="G20">
            <v>3179</v>
          </cell>
          <cell r="J20" t="str">
            <v>mo</v>
          </cell>
        </row>
        <row r="21">
          <cell r="A21">
            <v>0</v>
          </cell>
          <cell r="C21" t="str">
            <v>DIRECTO:  6,858 / hr</v>
          </cell>
          <cell r="E21">
            <v>0</v>
          </cell>
          <cell r="F21">
            <v>0</v>
          </cell>
          <cell r="G21">
            <v>0</v>
          </cell>
          <cell r="J21">
            <v>0</v>
          </cell>
        </row>
        <row r="22">
          <cell r="A22">
            <v>0</v>
          </cell>
          <cell r="C22">
            <v>0</v>
          </cell>
          <cell r="E22">
            <v>0</v>
          </cell>
          <cell r="F22">
            <v>0</v>
          </cell>
          <cell r="G22">
            <v>0</v>
          </cell>
          <cell r="J22">
            <v>0</v>
          </cell>
        </row>
        <row r="23">
          <cell r="A23" t="str">
            <v>au10250</v>
          </cell>
          <cell r="B23" t="str">
            <v>au10250</v>
          </cell>
          <cell r="C23" t="str">
            <v>Aux MO oficial obra electrica</v>
          </cell>
          <cell r="E23" t="str">
            <v>hr</v>
          </cell>
          <cell r="F23">
            <v>0</v>
          </cell>
          <cell r="G23">
            <v>10159</v>
          </cell>
          <cell r="J23" t="str">
            <v>mo</v>
          </cell>
        </row>
        <row r="24">
          <cell r="A24" t="str">
            <v>au10250</v>
          </cell>
          <cell r="B24" t="str">
            <v>mo19700</v>
          </cell>
          <cell r="C24" t="str">
            <v>MO salario mínimo</v>
          </cell>
          <cell r="D24">
            <v>9.6153846153846159E-3</v>
          </cell>
          <cell r="E24" t="str">
            <v>mes</v>
          </cell>
          <cell r="F24">
            <v>566700</v>
          </cell>
          <cell r="G24">
            <v>5450</v>
          </cell>
          <cell r="J24" t="str">
            <v>mo</v>
          </cell>
        </row>
        <row r="25">
          <cell r="A25" t="str">
            <v>au10250</v>
          </cell>
          <cell r="B25" t="str">
            <v>mo19200</v>
          </cell>
          <cell r="C25" t="str">
            <v>MO prestaciones sociales 2 smmlv</v>
          </cell>
          <cell r="D25">
            <v>5450</v>
          </cell>
          <cell r="E25" t="str">
            <v>%</v>
          </cell>
          <cell r="F25">
            <v>0.8640000000000001</v>
          </cell>
          <cell r="G25">
            <v>4709</v>
          </cell>
          <cell r="J25" t="str">
            <v>mo</v>
          </cell>
        </row>
        <row r="26">
          <cell r="A26">
            <v>0</v>
          </cell>
          <cell r="C26" t="str">
            <v>DIRECTO:  10,159 / hr</v>
          </cell>
          <cell r="E26">
            <v>0</v>
          </cell>
          <cell r="F26">
            <v>0</v>
          </cell>
          <cell r="G26">
            <v>0</v>
          </cell>
          <cell r="J26">
            <v>0</v>
          </cell>
        </row>
        <row r="27">
          <cell r="A27">
            <v>0</v>
          </cell>
          <cell r="C27">
            <v>0</v>
          </cell>
          <cell r="E27">
            <v>0</v>
          </cell>
          <cell r="F27">
            <v>0</v>
          </cell>
          <cell r="G27">
            <v>0</v>
          </cell>
          <cell r="J27">
            <v>0</v>
          </cell>
        </row>
        <row r="28">
          <cell r="A28" t="str">
            <v>au10260</v>
          </cell>
          <cell r="B28" t="str">
            <v>au10260</v>
          </cell>
          <cell r="C28" t="str">
            <v>Aux MO oficial carpintero</v>
          </cell>
          <cell r="E28" t="str">
            <v>hr</v>
          </cell>
          <cell r="F28">
            <v>0</v>
          </cell>
          <cell r="G28">
            <v>12698</v>
          </cell>
          <cell r="J28" t="str">
            <v>mo</v>
          </cell>
        </row>
        <row r="29">
          <cell r="A29" t="str">
            <v>au10260</v>
          </cell>
          <cell r="B29" t="str">
            <v>mo19700</v>
          </cell>
          <cell r="C29" t="str">
            <v>MO salario mínimo</v>
          </cell>
          <cell r="D29">
            <v>1.201923076923077E-2</v>
          </cell>
          <cell r="E29" t="str">
            <v>mes</v>
          </cell>
          <cell r="F29">
            <v>566700</v>
          </cell>
          <cell r="G29">
            <v>6812</v>
          </cell>
          <cell r="J29" t="str">
            <v>mo</v>
          </cell>
        </row>
        <row r="30">
          <cell r="A30" t="str">
            <v>au10260</v>
          </cell>
          <cell r="B30" t="str">
            <v>mo19200</v>
          </cell>
          <cell r="C30" t="str">
            <v>MO prestaciones sociales 2 smmlv</v>
          </cell>
          <cell r="D30">
            <v>6812</v>
          </cell>
          <cell r="E30" t="str">
            <v>%</v>
          </cell>
          <cell r="F30">
            <v>0.8640000000000001</v>
          </cell>
          <cell r="G30">
            <v>5886</v>
          </cell>
          <cell r="J30" t="str">
            <v>mo</v>
          </cell>
        </row>
        <row r="31">
          <cell r="A31">
            <v>0</v>
          </cell>
          <cell r="C31" t="str">
            <v>DIRECTO:  12,698 / hr</v>
          </cell>
          <cell r="E31">
            <v>0</v>
          </cell>
          <cell r="F31">
            <v>0</v>
          </cell>
          <cell r="G31">
            <v>0</v>
          </cell>
          <cell r="J31">
            <v>0</v>
          </cell>
        </row>
        <row r="32">
          <cell r="A32">
            <v>0</v>
          </cell>
          <cell r="C32">
            <v>0</v>
          </cell>
          <cell r="E32">
            <v>0</v>
          </cell>
          <cell r="F32">
            <v>0</v>
          </cell>
          <cell r="G32">
            <v>0</v>
          </cell>
          <cell r="J32">
            <v>0</v>
          </cell>
        </row>
        <row r="33">
          <cell r="A33" t="str">
            <v>au10270</v>
          </cell>
          <cell r="B33" t="str">
            <v>au10270</v>
          </cell>
          <cell r="C33" t="str">
            <v>Aux MO oficial plomero</v>
          </cell>
          <cell r="E33" t="str">
            <v>hr</v>
          </cell>
          <cell r="F33">
            <v>0</v>
          </cell>
          <cell r="G33">
            <v>12698</v>
          </cell>
          <cell r="J33" t="str">
            <v>mo</v>
          </cell>
        </row>
        <row r="34">
          <cell r="A34" t="str">
            <v>au10270</v>
          </cell>
          <cell r="B34" t="str">
            <v>mo19700</v>
          </cell>
          <cell r="C34" t="str">
            <v>MO salario mínimo</v>
          </cell>
          <cell r="D34">
            <v>1.201923076923077E-2</v>
          </cell>
          <cell r="E34" t="str">
            <v>mes</v>
          </cell>
          <cell r="F34">
            <v>566700</v>
          </cell>
          <cell r="G34">
            <v>6812</v>
          </cell>
          <cell r="J34" t="str">
            <v>mo</v>
          </cell>
        </row>
        <row r="35">
          <cell r="A35" t="str">
            <v>au10270</v>
          </cell>
          <cell r="B35" t="str">
            <v>mo19200</v>
          </cell>
          <cell r="C35" t="str">
            <v>MO prestaciones sociales 2 smmlv</v>
          </cell>
          <cell r="D35">
            <v>6812</v>
          </cell>
          <cell r="E35" t="str">
            <v>%</v>
          </cell>
          <cell r="F35">
            <v>0.8640000000000001</v>
          </cell>
          <cell r="G35">
            <v>5886</v>
          </cell>
          <cell r="J35" t="str">
            <v>mo</v>
          </cell>
        </row>
        <row r="36">
          <cell r="A36">
            <v>0</v>
          </cell>
          <cell r="C36" t="str">
            <v>DIRECTO:  12,698 / hr</v>
          </cell>
          <cell r="E36">
            <v>0</v>
          </cell>
          <cell r="F36">
            <v>0</v>
          </cell>
          <cell r="G36">
            <v>0</v>
          </cell>
          <cell r="J36">
            <v>0</v>
          </cell>
        </row>
        <row r="37">
          <cell r="A37">
            <v>0</v>
          </cell>
          <cell r="C37">
            <v>0</v>
          </cell>
          <cell r="E37">
            <v>0</v>
          </cell>
          <cell r="F37">
            <v>0</v>
          </cell>
          <cell r="G37">
            <v>0</v>
          </cell>
          <cell r="J37">
            <v>0</v>
          </cell>
        </row>
        <row r="38">
          <cell r="A38" t="str">
            <v>au10300</v>
          </cell>
          <cell r="B38" t="str">
            <v>au10300</v>
          </cell>
          <cell r="C38" t="str">
            <v>Aux andamios metalicos tijera 2 cuerpos</v>
          </cell>
          <cell r="E38" t="str">
            <v>dia</v>
          </cell>
          <cell r="F38">
            <v>0</v>
          </cell>
          <cell r="G38">
            <v>2654</v>
          </cell>
          <cell r="J38" t="str">
            <v>au</v>
          </cell>
        </row>
        <row r="39">
          <cell r="A39" t="str">
            <v>au10300</v>
          </cell>
          <cell r="B39" t="str">
            <v>eq10400</v>
          </cell>
          <cell r="C39" t="str">
            <v>Andamio 1.5x1.2 de tijera (2 marcos + 2 tijeras) 1 cuerpo</v>
          </cell>
          <cell r="D39">
            <v>2</v>
          </cell>
          <cell r="E39" t="str">
            <v>dia</v>
          </cell>
          <cell r="F39">
            <v>846.8</v>
          </cell>
          <cell r="G39">
            <v>1694</v>
          </cell>
          <cell r="J39" t="str">
            <v>eq</v>
          </cell>
        </row>
        <row r="40">
          <cell r="A40" t="str">
            <v>au10300</v>
          </cell>
          <cell r="B40" t="str">
            <v>au10000</v>
          </cell>
          <cell r="C40" t="str">
            <v>Aux MO ayudante</v>
          </cell>
          <cell r="D40">
            <v>8.3333333333333329E-2</v>
          </cell>
          <cell r="E40" t="str">
            <v>hr</v>
          </cell>
          <cell r="F40">
            <v>5080</v>
          </cell>
          <cell r="G40">
            <v>424</v>
          </cell>
          <cell r="J40" t="str">
            <v>mo</v>
          </cell>
        </row>
        <row r="41">
          <cell r="A41" t="str">
            <v>au10300</v>
          </cell>
          <cell r="B41" t="str">
            <v>eq20400</v>
          </cell>
          <cell r="C41" t="str">
            <v>Tabla comun - dias</v>
          </cell>
          <cell r="D41">
            <v>2</v>
          </cell>
          <cell r="E41" t="str">
            <v>dia</v>
          </cell>
          <cell r="F41">
            <v>258.21600000000001</v>
          </cell>
          <cell r="G41">
            <v>517</v>
          </cell>
          <cell r="J41" t="str">
            <v>eq</v>
          </cell>
        </row>
        <row r="42">
          <cell r="A42" t="str">
            <v>au10300</v>
          </cell>
          <cell r="B42" t="str">
            <v>mt13900</v>
          </cell>
          <cell r="C42" t="str">
            <v>Elementos de consumo y protección</v>
          </cell>
          <cell r="D42">
            <v>424</v>
          </cell>
          <cell r="E42" t="str">
            <v>%</v>
          </cell>
          <cell r="F42">
            <v>1.2455000000000001E-2</v>
          </cell>
          <cell r="G42">
            <v>6</v>
          </cell>
          <cell r="J42" t="str">
            <v>mt</v>
          </cell>
        </row>
        <row r="43">
          <cell r="A43" t="str">
            <v>au10300</v>
          </cell>
          <cell r="B43" t="str">
            <v>hm15100</v>
          </cell>
          <cell r="C43" t="str">
            <v>Herramienta y equipo menor</v>
          </cell>
          <cell r="D43">
            <v>424</v>
          </cell>
          <cell r="E43" t="str">
            <v>%</v>
          </cell>
          <cell r="F43">
            <v>0.03</v>
          </cell>
          <cell r="G43">
            <v>13</v>
          </cell>
          <cell r="J43" t="str">
            <v>hm</v>
          </cell>
        </row>
        <row r="44">
          <cell r="A44">
            <v>0</v>
          </cell>
          <cell r="C44" t="str">
            <v>DIRECTO:  2,654 / dia</v>
          </cell>
          <cell r="E44">
            <v>0</v>
          </cell>
          <cell r="F44">
            <v>0</v>
          </cell>
          <cell r="G44">
            <v>0</v>
          </cell>
          <cell r="J44">
            <v>0</v>
          </cell>
        </row>
        <row r="45">
          <cell r="A45">
            <v>0</v>
          </cell>
          <cell r="C45">
            <v>0</v>
          </cell>
          <cell r="E45">
            <v>0</v>
          </cell>
          <cell r="F45">
            <v>0</v>
          </cell>
          <cell r="G45">
            <v>0</v>
          </cell>
          <cell r="J45">
            <v>0</v>
          </cell>
        </row>
        <row r="46">
          <cell r="A46" t="str">
            <v>au10400</v>
          </cell>
          <cell r="B46" t="str">
            <v>au10400</v>
          </cell>
          <cell r="C46" t="str">
            <v>Aux concreto 1500 psi - obra -3/4"</v>
          </cell>
          <cell r="E46" t="str">
            <v>m3</v>
          </cell>
          <cell r="F46">
            <v>0</v>
          </cell>
          <cell r="G46">
            <v>211340</v>
          </cell>
          <cell r="J46" t="str">
            <v>au</v>
          </cell>
        </row>
        <row r="47">
          <cell r="A47" t="str">
            <v>au10400</v>
          </cell>
          <cell r="B47" t="str">
            <v>mt12600</v>
          </cell>
          <cell r="C47" t="str">
            <v>Cemento gris 50 kg tipo I</v>
          </cell>
          <cell r="D47">
            <v>4.5999999999999996</v>
          </cell>
          <cell r="E47" t="str">
            <v>bt</v>
          </cell>
          <cell r="F47">
            <v>21000</v>
          </cell>
          <cell r="G47">
            <v>96600</v>
          </cell>
          <cell r="J47" t="str">
            <v>mt</v>
          </cell>
        </row>
        <row r="48">
          <cell r="A48" t="str">
            <v>au10400</v>
          </cell>
          <cell r="B48" t="str">
            <v>gr10900</v>
          </cell>
          <cell r="C48" t="str">
            <v>Arena concreto</v>
          </cell>
          <cell r="D48">
            <v>0.56000000000000005</v>
          </cell>
          <cell r="E48" t="str">
            <v>m3</v>
          </cell>
          <cell r="F48">
            <v>42400</v>
          </cell>
          <cell r="G48">
            <v>23744</v>
          </cell>
          <cell r="J48" t="str">
            <v>gr</v>
          </cell>
        </row>
        <row r="49">
          <cell r="A49" t="str">
            <v>au10400</v>
          </cell>
          <cell r="B49" t="str">
            <v>gr21600</v>
          </cell>
          <cell r="C49" t="str">
            <v>Triturado 3/4</v>
          </cell>
          <cell r="D49">
            <v>1</v>
          </cell>
          <cell r="E49" t="str">
            <v>m3</v>
          </cell>
          <cell r="F49">
            <v>52200</v>
          </cell>
          <cell r="G49">
            <v>52200</v>
          </cell>
          <cell r="J49" t="str">
            <v>gr</v>
          </cell>
        </row>
        <row r="50">
          <cell r="A50" t="str">
            <v>au10400</v>
          </cell>
          <cell r="B50" t="str">
            <v>mo17100</v>
          </cell>
          <cell r="C50" t="str">
            <v>MO preparación concreto</v>
          </cell>
          <cell r="D50">
            <v>1</v>
          </cell>
          <cell r="E50" t="str">
            <v xml:space="preserve"> m3</v>
          </cell>
          <cell r="F50">
            <v>16501.968000000001</v>
          </cell>
          <cell r="G50">
            <v>16502</v>
          </cell>
          <cell r="J50" t="str">
            <v>mo</v>
          </cell>
        </row>
        <row r="51">
          <cell r="A51" t="str">
            <v>au10400</v>
          </cell>
          <cell r="B51" t="str">
            <v>mo17500</v>
          </cell>
          <cell r="C51" t="str">
            <v>MO transporte interno cemento</v>
          </cell>
          <cell r="D51">
            <v>4.5999999999999996</v>
          </cell>
          <cell r="E51" t="str">
            <v>bt</v>
          </cell>
          <cell r="F51">
            <v>216</v>
          </cell>
          <cell r="G51">
            <v>994</v>
          </cell>
          <cell r="J51" t="str">
            <v>mo</v>
          </cell>
        </row>
        <row r="52">
          <cell r="A52" t="str">
            <v>au10400</v>
          </cell>
          <cell r="B52" t="str">
            <v>mo16700</v>
          </cell>
          <cell r="C52" t="str">
            <v>MO transporte descargue de cemento</v>
          </cell>
          <cell r="D52">
            <v>4.5999999999999996</v>
          </cell>
          <cell r="E52" t="str">
            <v>un</v>
          </cell>
          <cell r="F52">
            <v>231.67872</v>
          </cell>
          <cell r="G52">
            <v>1066</v>
          </cell>
          <cell r="J52" t="str">
            <v>mo</v>
          </cell>
        </row>
        <row r="53">
          <cell r="A53" t="str">
            <v>au10400</v>
          </cell>
          <cell r="B53" t="str">
            <v>mo17000</v>
          </cell>
          <cell r="C53" t="str">
            <v>MO operario concretadora</v>
          </cell>
          <cell r="D53">
            <v>1</v>
          </cell>
          <cell r="E53" t="str">
            <v>m3</v>
          </cell>
          <cell r="F53">
            <v>5940</v>
          </cell>
          <cell r="G53">
            <v>5940</v>
          </cell>
          <cell r="J53" t="str">
            <v>mo</v>
          </cell>
        </row>
        <row r="54">
          <cell r="A54" t="str">
            <v>au10400</v>
          </cell>
          <cell r="B54" t="str">
            <v>eq13300</v>
          </cell>
          <cell r="C54" t="str">
            <v>Concretadora obra 2 sacos electrica</v>
          </cell>
          <cell r="D54">
            <v>0.22808333333333397</v>
          </cell>
          <cell r="E54" t="str">
            <v>dia</v>
          </cell>
          <cell r="F54">
            <v>43036</v>
          </cell>
          <cell r="G54">
            <v>9816</v>
          </cell>
          <cell r="J54" t="str">
            <v>eq</v>
          </cell>
        </row>
        <row r="55">
          <cell r="A55" t="str">
            <v>au10400</v>
          </cell>
          <cell r="B55" t="str">
            <v>eq13100</v>
          </cell>
          <cell r="C55" t="str">
            <v>Coches de llantas</v>
          </cell>
          <cell r="D55">
            <v>0.22808333333333397</v>
          </cell>
          <cell r="E55" t="str">
            <v>dia</v>
          </cell>
          <cell r="F55">
            <v>1905.8799999999999</v>
          </cell>
          <cell r="G55">
            <v>435</v>
          </cell>
          <cell r="J55" t="str">
            <v>eq</v>
          </cell>
        </row>
        <row r="56">
          <cell r="A56" t="str">
            <v>au10400</v>
          </cell>
          <cell r="B56" t="str">
            <v>mt11400</v>
          </cell>
          <cell r="C56" t="str">
            <v>Bascula 500 kg</v>
          </cell>
          <cell r="D56">
            <v>0.22808333333333397</v>
          </cell>
          <cell r="E56" t="str">
            <v>dia</v>
          </cell>
          <cell r="F56">
            <v>13154.4</v>
          </cell>
          <cell r="G56">
            <v>3001</v>
          </cell>
          <cell r="J56" t="str">
            <v>mt</v>
          </cell>
        </row>
        <row r="57">
          <cell r="A57" t="str">
            <v>au10400</v>
          </cell>
          <cell r="B57" t="str">
            <v>mt13900</v>
          </cell>
          <cell r="C57" t="str">
            <v>Elementos de consumo y protección</v>
          </cell>
          <cell r="D57">
            <v>24502</v>
          </cell>
          <cell r="E57" t="str">
            <v>%</v>
          </cell>
          <cell r="F57">
            <v>1.2455000000000001E-2</v>
          </cell>
          <cell r="G57">
            <v>306</v>
          </cell>
          <cell r="J57" t="str">
            <v>mt</v>
          </cell>
        </row>
        <row r="58">
          <cell r="A58" t="str">
            <v>au10400</v>
          </cell>
          <cell r="B58" t="str">
            <v>hm15100</v>
          </cell>
          <cell r="C58" t="str">
            <v>Herramienta y equipo menor</v>
          </cell>
          <cell r="D58">
            <v>24502</v>
          </cell>
          <cell r="E58" t="str">
            <v>%</v>
          </cell>
          <cell r="F58">
            <v>0.03</v>
          </cell>
          <cell r="G58">
            <v>736</v>
          </cell>
          <cell r="J58" t="str">
            <v>hm</v>
          </cell>
        </row>
        <row r="59">
          <cell r="A59">
            <v>0</v>
          </cell>
          <cell r="C59" t="str">
            <v>DIRECTO:  211,340 / m3</v>
          </cell>
          <cell r="E59">
            <v>0</v>
          </cell>
          <cell r="F59">
            <v>0</v>
          </cell>
          <cell r="G59">
            <v>0</v>
          </cell>
          <cell r="J59">
            <v>0</v>
          </cell>
        </row>
        <row r="60">
          <cell r="A60">
            <v>0</v>
          </cell>
          <cell r="C60">
            <v>0</v>
          </cell>
          <cell r="E60">
            <v>0</v>
          </cell>
          <cell r="F60">
            <v>0</v>
          </cell>
          <cell r="G60">
            <v>0</v>
          </cell>
          <cell r="J60">
            <v>0</v>
          </cell>
        </row>
        <row r="61">
          <cell r="A61" t="str">
            <v>au10700</v>
          </cell>
          <cell r="B61" t="str">
            <v>au10700</v>
          </cell>
          <cell r="C61" t="str">
            <v>Aux concreto 3000 psi -obra- 3/4"</v>
          </cell>
          <cell r="E61" t="str">
            <v>m3</v>
          </cell>
          <cell r="F61">
            <v>0</v>
          </cell>
          <cell r="G61">
            <v>271081</v>
          </cell>
          <cell r="J61" t="str">
            <v>au</v>
          </cell>
        </row>
        <row r="62">
          <cell r="A62" t="str">
            <v>au10700</v>
          </cell>
          <cell r="B62" t="str">
            <v>mt12600</v>
          </cell>
          <cell r="C62" t="str">
            <v>Cemento gris 50 kg tipo I</v>
          </cell>
          <cell r="D62">
            <v>7.5</v>
          </cell>
          <cell r="E62" t="str">
            <v>bt</v>
          </cell>
          <cell r="F62">
            <v>21000</v>
          </cell>
          <cell r="G62">
            <v>157500</v>
          </cell>
          <cell r="J62" t="str">
            <v>mt</v>
          </cell>
        </row>
        <row r="63">
          <cell r="A63" t="str">
            <v>au10700</v>
          </cell>
          <cell r="B63" t="str">
            <v>gr10900</v>
          </cell>
          <cell r="C63" t="str">
            <v>Arena concreto</v>
          </cell>
          <cell r="D63">
            <v>0.63</v>
          </cell>
          <cell r="E63" t="str">
            <v>m3</v>
          </cell>
          <cell r="F63">
            <v>42400</v>
          </cell>
          <cell r="G63">
            <v>26712</v>
          </cell>
          <cell r="J63" t="str">
            <v>gr</v>
          </cell>
        </row>
        <row r="64">
          <cell r="A64" t="str">
            <v>au10700</v>
          </cell>
          <cell r="B64" t="str">
            <v>gr21600</v>
          </cell>
          <cell r="C64" t="str">
            <v>Triturado 3/4</v>
          </cell>
          <cell r="D64">
            <v>0.73499999999999999</v>
          </cell>
          <cell r="E64" t="str">
            <v>m3</v>
          </cell>
          <cell r="F64">
            <v>52200</v>
          </cell>
          <cell r="G64">
            <v>38367</v>
          </cell>
          <cell r="J64" t="str">
            <v>gr</v>
          </cell>
        </row>
        <row r="65">
          <cell r="A65" t="str">
            <v>au10700</v>
          </cell>
          <cell r="B65" t="str">
            <v>mo17100</v>
          </cell>
          <cell r="C65" t="str">
            <v>MO preparación concreto</v>
          </cell>
          <cell r="D65">
            <v>1</v>
          </cell>
          <cell r="E65" t="str">
            <v xml:space="preserve"> m3</v>
          </cell>
          <cell r="F65">
            <v>16501.968000000001</v>
          </cell>
          <cell r="G65">
            <v>16502</v>
          </cell>
          <cell r="J65" t="str">
            <v>mo</v>
          </cell>
        </row>
        <row r="66">
          <cell r="A66" t="str">
            <v>au10700</v>
          </cell>
          <cell r="B66" t="str">
            <v>mo17500</v>
          </cell>
          <cell r="C66" t="str">
            <v>MO transporte interno cemento</v>
          </cell>
          <cell r="D66">
            <v>7.5</v>
          </cell>
          <cell r="E66" t="str">
            <v>bt</v>
          </cell>
          <cell r="F66">
            <v>216</v>
          </cell>
          <cell r="G66">
            <v>1620</v>
          </cell>
          <cell r="J66" t="str">
            <v>mo</v>
          </cell>
        </row>
        <row r="67">
          <cell r="A67" t="str">
            <v>au10700</v>
          </cell>
          <cell r="B67" t="str">
            <v>mo16700</v>
          </cell>
          <cell r="C67" t="str">
            <v>MO transporte descargue de cemento</v>
          </cell>
          <cell r="D67">
            <v>7.5</v>
          </cell>
          <cell r="E67" t="str">
            <v>un</v>
          </cell>
          <cell r="F67">
            <v>231.67872</v>
          </cell>
          <cell r="G67">
            <v>1738</v>
          </cell>
          <cell r="J67" t="str">
            <v>mo</v>
          </cell>
        </row>
        <row r="68">
          <cell r="A68" t="str">
            <v>au10700</v>
          </cell>
          <cell r="B68" t="str">
            <v>mo17000</v>
          </cell>
          <cell r="C68" t="str">
            <v>MO operario concretadora</v>
          </cell>
          <cell r="D68">
            <v>1</v>
          </cell>
          <cell r="E68" t="str">
            <v>m3</v>
          </cell>
          <cell r="F68">
            <v>5940</v>
          </cell>
          <cell r="G68">
            <v>5940</v>
          </cell>
          <cell r="J68" t="str">
            <v>mo</v>
          </cell>
        </row>
        <row r="69">
          <cell r="A69" t="str">
            <v>au10700</v>
          </cell>
          <cell r="B69" t="str">
            <v>eq13300</v>
          </cell>
          <cell r="C69" t="str">
            <v>Concretadora obra 2 sacos electrica</v>
          </cell>
          <cell r="D69">
            <v>0.37187500000000001</v>
          </cell>
          <cell r="E69" t="str">
            <v>dia</v>
          </cell>
          <cell r="F69">
            <v>43036</v>
          </cell>
          <cell r="G69">
            <v>16005</v>
          </cell>
          <cell r="J69" t="str">
            <v>eq</v>
          </cell>
        </row>
        <row r="70">
          <cell r="A70" t="str">
            <v>au10700</v>
          </cell>
          <cell r="B70" t="str">
            <v>eq13100</v>
          </cell>
          <cell r="C70" t="str">
            <v>Coches de llantas</v>
          </cell>
          <cell r="D70">
            <v>0.37187500000000001</v>
          </cell>
          <cell r="E70" t="str">
            <v>dia</v>
          </cell>
          <cell r="F70">
            <v>1905.8799999999999</v>
          </cell>
          <cell r="G70">
            <v>709</v>
          </cell>
          <cell r="J70" t="str">
            <v>eq</v>
          </cell>
        </row>
        <row r="71">
          <cell r="A71" t="str">
            <v>au10700</v>
          </cell>
          <cell r="B71" t="str">
            <v>mt11400</v>
          </cell>
          <cell r="C71" t="str">
            <v>Bascula 500 kg</v>
          </cell>
          <cell r="D71">
            <v>0.37187500000000001</v>
          </cell>
          <cell r="E71" t="str">
            <v>dia</v>
          </cell>
          <cell r="F71">
            <v>13154.4</v>
          </cell>
          <cell r="G71">
            <v>4892</v>
          </cell>
          <cell r="J71" t="str">
            <v>mt</v>
          </cell>
        </row>
        <row r="72">
          <cell r="A72" t="str">
            <v>au10700</v>
          </cell>
          <cell r="B72" t="str">
            <v>mt13900</v>
          </cell>
          <cell r="C72" t="str">
            <v>Elementos de consumo y protección</v>
          </cell>
          <cell r="D72">
            <v>25800</v>
          </cell>
          <cell r="E72" t="str">
            <v>%</v>
          </cell>
          <cell r="F72">
            <v>1.2455000000000001E-2</v>
          </cell>
          <cell r="G72">
            <v>322</v>
          </cell>
          <cell r="J72" t="str">
            <v>mt</v>
          </cell>
        </row>
        <row r="73">
          <cell r="A73" t="str">
            <v>au10700</v>
          </cell>
          <cell r="B73" t="str">
            <v>hm15100</v>
          </cell>
          <cell r="C73" t="str">
            <v>Herramienta y equipo menor</v>
          </cell>
          <cell r="D73">
            <v>25800</v>
          </cell>
          <cell r="E73" t="str">
            <v>%</v>
          </cell>
          <cell r="F73">
            <v>0.03</v>
          </cell>
          <cell r="G73">
            <v>774</v>
          </cell>
          <cell r="J73" t="str">
            <v>hm</v>
          </cell>
        </row>
        <row r="74">
          <cell r="A74">
            <v>0</v>
          </cell>
          <cell r="C74" t="str">
            <v>DIRECTO:  271,081 / m3</v>
          </cell>
          <cell r="E74">
            <v>0</v>
          </cell>
          <cell r="F74">
            <v>0</v>
          </cell>
          <cell r="G74">
            <v>0</v>
          </cell>
          <cell r="J74">
            <v>0</v>
          </cell>
        </row>
        <row r="75">
          <cell r="A75">
            <v>0</v>
          </cell>
          <cell r="C75">
            <v>0</v>
          </cell>
          <cell r="E75">
            <v>0</v>
          </cell>
          <cell r="F75">
            <v>0</v>
          </cell>
          <cell r="G75">
            <v>0</v>
          </cell>
          <cell r="J75">
            <v>0</v>
          </cell>
        </row>
        <row r="76">
          <cell r="A76" t="str">
            <v>au10800</v>
          </cell>
          <cell r="B76" t="str">
            <v>au10800</v>
          </cell>
          <cell r="C76" t="str">
            <v>Aux concreto 3500 psi -obra- 3/4"</v>
          </cell>
          <cell r="E76" t="str">
            <v>m3</v>
          </cell>
          <cell r="F76">
            <v>0</v>
          </cell>
          <cell r="G76">
            <v>291298</v>
          </cell>
          <cell r="J76" t="str">
            <v>au</v>
          </cell>
        </row>
        <row r="77">
          <cell r="A77" t="str">
            <v>au10800</v>
          </cell>
          <cell r="B77" t="str">
            <v>mt12600</v>
          </cell>
          <cell r="C77" t="str">
            <v>Cemento gris 50 kg tipo I</v>
          </cell>
          <cell r="D77">
            <v>8.4</v>
          </cell>
          <cell r="E77" t="str">
            <v>bt</v>
          </cell>
          <cell r="F77">
            <v>21000</v>
          </cell>
          <cell r="G77">
            <v>176400</v>
          </cell>
          <cell r="J77" t="str">
            <v>mt</v>
          </cell>
        </row>
        <row r="78">
          <cell r="A78" t="str">
            <v>au10800</v>
          </cell>
          <cell r="B78" t="str">
            <v>gr10900</v>
          </cell>
          <cell r="C78" t="str">
            <v>Arena concreto</v>
          </cell>
          <cell r="D78">
            <v>0.67</v>
          </cell>
          <cell r="E78" t="str">
            <v>m3</v>
          </cell>
          <cell r="F78">
            <v>42400</v>
          </cell>
          <cell r="G78">
            <v>28408</v>
          </cell>
          <cell r="J78" t="str">
            <v>gr</v>
          </cell>
        </row>
        <row r="79">
          <cell r="A79" t="str">
            <v>au10800</v>
          </cell>
          <cell r="B79" t="str">
            <v>gr21600</v>
          </cell>
          <cell r="C79" t="str">
            <v>Triturado 3/4</v>
          </cell>
          <cell r="D79">
            <v>0.67</v>
          </cell>
          <cell r="E79" t="str">
            <v>m3</v>
          </cell>
          <cell r="F79">
            <v>52200</v>
          </cell>
          <cell r="G79">
            <v>34974</v>
          </cell>
          <cell r="J79" t="str">
            <v>gr</v>
          </cell>
        </row>
        <row r="80">
          <cell r="A80" t="str">
            <v>au10800</v>
          </cell>
          <cell r="B80" t="str">
            <v>mo17100</v>
          </cell>
          <cell r="C80" t="str">
            <v>MO preparación concreto</v>
          </cell>
          <cell r="D80">
            <v>1</v>
          </cell>
          <cell r="E80" t="str">
            <v xml:space="preserve"> m3</v>
          </cell>
          <cell r="F80">
            <v>16501.968000000001</v>
          </cell>
          <cell r="G80">
            <v>16502</v>
          </cell>
          <cell r="J80" t="str">
            <v>mo</v>
          </cell>
        </row>
        <row r="81">
          <cell r="A81" t="str">
            <v>au10800</v>
          </cell>
          <cell r="B81" t="str">
            <v>mo17500</v>
          </cell>
          <cell r="C81" t="str">
            <v>MO transporte interno cemento</v>
          </cell>
          <cell r="D81">
            <v>8.4</v>
          </cell>
          <cell r="E81" t="str">
            <v>bt</v>
          </cell>
          <cell r="F81">
            <v>216</v>
          </cell>
          <cell r="G81">
            <v>1815</v>
          </cell>
          <cell r="J81" t="str">
            <v>mo</v>
          </cell>
        </row>
        <row r="82">
          <cell r="A82" t="str">
            <v>au10800</v>
          </cell>
          <cell r="B82" t="str">
            <v>mo16700</v>
          </cell>
          <cell r="C82" t="str">
            <v>MO transporte descargue de cemento</v>
          </cell>
          <cell r="D82">
            <v>8.4</v>
          </cell>
          <cell r="E82" t="str">
            <v>un</v>
          </cell>
          <cell r="F82">
            <v>231.67872</v>
          </cell>
          <cell r="G82">
            <v>1947</v>
          </cell>
          <cell r="J82" t="str">
            <v>mo</v>
          </cell>
        </row>
        <row r="83">
          <cell r="A83" t="str">
            <v>au10800</v>
          </cell>
          <cell r="B83" t="str">
            <v>mo17000</v>
          </cell>
          <cell r="C83" t="str">
            <v>MO operario concretadora</v>
          </cell>
          <cell r="D83">
            <v>1</v>
          </cell>
          <cell r="E83" t="str">
            <v>m3</v>
          </cell>
          <cell r="F83">
            <v>5940</v>
          </cell>
          <cell r="G83">
            <v>5940</v>
          </cell>
          <cell r="J83" t="str">
            <v>mo</v>
          </cell>
        </row>
        <row r="84">
          <cell r="A84" t="str">
            <v>au10800</v>
          </cell>
          <cell r="B84" t="str">
            <v>eq13300</v>
          </cell>
          <cell r="C84" t="str">
            <v>Concretadora obra 2 sacos electrica</v>
          </cell>
          <cell r="D84">
            <v>0.41650000000000004</v>
          </cell>
          <cell r="E84" t="str">
            <v>dia</v>
          </cell>
          <cell r="F84">
            <v>43036</v>
          </cell>
          <cell r="G84">
            <v>17925</v>
          </cell>
          <cell r="J84" t="str">
            <v>eq</v>
          </cell>
        </row>
        <row r="85">
          <cell r="A85" t="str">
            <v>au10800</v>
          </cell>
          <cell r="B85" t="str">
            <v>eq13100</v>
          </cell>
          <cell r="C85" t="str">
            <v>Coches de llantas</v>
          </cell>
          <cell r="D85">
            <v>0.41650000000000004</v>
          </cell>
          <cell r="E85" t="str">
            <v>dia</v>
          </cell>
          <cell r="F85">
            <v>1905.8799999999999</v>
          </cell>
          <cell r="G85">
            <v>794</v>
          </cell>
          <cell r="J85" t="str">
            <v>eq</v>
          </cell>
        </row>
        <row r="86">
          <cell r="A86" t="str">
            <v>au10800</v>
          </cell>
          <cell r="B86" t="str">
            <v>mt11400</v>
          </cell>
          <cell r="C86" t="str">
            <v>Bascula 500 kg</v>
          </cell>
          <cell r="D86">
            <v>0.41650000000000004</v>
          </cell>
          <cell r="E86" t="str">
            <v>dia</v>
          </cell>
          <cell r="F86">
            <v>13154.4</v>
          </cell>
          <cell r="G86">
            <v>5479</v>
          </cell>
          <cell r="J86" t="str">
            <v>mt</v>
          </cell>
        </row>
        <row r="87">
          <cell r="A87" t="str">
            <v>au10800</v>
          </cell>
          <cell r="B87" t="str">
            <v>mt13900</v>
          </cell>
          <cell r="C87" t="str">
            <v>Elementos de consumo y protección</v>
          </cell>
          <cell r="D87">
            <v>26204</v>
          </cell>
          <cell r="E87" t="str">
            <v>%</v>
          </cell>
          <cell r="F87">
            <v>1.2455000000000001E-2</v>
          </cell>
          <cell r="G87">
            <v>327</v>
          </cell>
          <cell r="J87" t="str">
            <v>mt</v>
          </cell>
        </row>
        <row r="88">
          <cell r="A88" t="str">
            <v>au10800</v>
          </cell>
          <cell r="B88" t="str">
            <v>hm15100</v>
          </cell>
          <cell r="C88" t="str">
            <v>Herramienta y equipo menor</v>
          </cell>
          <cell r="D88">
            <v>26204</v>
          </cell>
          <cell r="E88" t="str">
            <v>%</v>
          </cell>
          <cell r="F88">
            <v>0.03</v>
          </cell>
          <cell r="G88">
            <v>787</v>
          </cell>
          <cell r="J88" t="str">
            <v>hm</v>
          </cell>
        </row>
        <row r="89">
          <cell r="A89">
            <v>0</v>
          </cell>
          <cell r="C89" t="str">
            <v>DIRECTO:  291,298 / m3</v>
          </cell>
          <cell r="E89">
            <v>0</v>
          </cell>
          <cell r="F89">
            <v>0</v>
          </cell>
          <cell r="G89">
            <v>0</v>
          </cell>
          <cell r="J89">
            <v>0</v>
          </cell>
        </row>
        <row r="90">
          <cell r="A90">
            <v>0</v>
          </cell>
          <cell r="C90">
            <v>0</v>
          </cell>
          <cell r="E90">
            <v>0</v>
          </cell>
          <cell r="F90">
            <v>0</v>
          </cell>
          <cell r="G90">
            <v>0</v>
          </cell>
          <cell r="J90">
            <v>0</v>
          </cell>
        </row>
        <row r="91">
          <cell r="A91" t="str">
            <v>au10810</v>
          </cell>
          <cell r="B91" t="str">
            <v>au10810</v>
          </cell>
          <cell r="C91" t="str">
            <v>Aux concreto 4000 psi -obra- 3/4"</v>
          </cell>
          <cell r="E91" t="str">
            <v>m3</v>
          </cell>
          <cell r="F91">
            <v>0</v>
          </cell>
          <cell r="G91">
            <v>318187</v>
          </cell>
          <cell r="J91" t="str">
            <v>au</v>
          </cell>
        </row>
        <row r="92">
          <cell r="A92" t="str">
            <v>au10810</v>
          </cell>
          <cell r="B92" t="str">
            <v>mt12600</v>
          </cell>
          <cell r="C92" t="str">
            <v>Cemento gris 50 kg tipo I</v>
          </cell>
          <cell r="D92">
            <v>9.9</v>
          </cell>
          <cell r="E92" t="str">
            <v>bt</v>
          </cell>
          <cell r="F92">
            <v>21000</v>
          </cell>
          <cell r="G92">
            <v>207900</v>
          </cell>
          <cell r="J92" t="str">
            <v>mt</v>
          </cell>
        </row>
        <row r="93">
          <cell r="A93" t="str">
            <v>au10810</v>
          </cell>
          <cell r="B93" t="str">
            <v>gr10900</v>
          </cell>
          <cell r="C93" t="str">
            <v>Arena concreto</v>
          </cell>
          <cell r="D93">
            <v>0.59400000000000008</v>
          </cell>
          <cell r="E93" t="str">
            <v>m3</v>
          </cell>
          <cell r="F93">
            <v>42400</v>
          </cell>
          <cell r="G93">
            <v>25186</v>
          </cell>
          <cell r="J93" t="str">
            <v>gr</v>
          </cell>
        </row>
        <row r="94">
          <cell r="A94" t="str">
            <v>au10810</v>
          </cell>
          <cell r="B94" t="str">
            <v>gr21600</v>
          </cell>
          <cell r="C94" t="str">
            <v>Triturado 3/4</v>
          </cell>
          <cell r="D94">
            <v>0.63</v>
          </cell>
          <cell r="E94" t="str">
            <v>m3</v>
          </cell>
          <cell r="F94">
            <v>52200</v>
          </cell>
          <cell r="G94">
            <v>32886</v>
          </cell>
          <cell r="J94" t="str">
            <v>gr</v>
          </cell>
        </row>
        <row r="95">
          <cell r="A95" t="str">
            <v>au10810</v>
          </cell>
          <cell r="B95" t="str">
            <v>mo17100</v>
          </cell>
          <cell r="C95" t="str">
            <v>MO preparación concreto</v>
          </cell>
          <cell r="D95">
            <v>1</v>
          </cell>
          <cell r="E95" t="str">
            <v xml:space="preserve"> m3</v>
          </cell>
          <cell r="F95">
            <v>16501.968000000001</v>
          </cell>
          <cell r="G95">
            <v>16502</v>
          </cell>
          <cell r="J95" t="str">
            <v>mo</v>
          </cell>
        </row>
        <row r="96">
          <cell r="A96" t="str">
            <v>au10810</v>
          </cell>
          <cell r="B96" t="str">
            <v>mo17500</v>
          </cell>
          <cell r="C96" t="str">
            <v>MO transporte interno cemento</v>
          </cell>
          <cell r="D96">
            <v>9.9</v>
          </cell>
          <cell r="E96" t="str">
            <v>bt</v>
          </cell>
          <cell r="F96">
            <v>216</v>
          </cell>
          <cell r="G96">
            <v>2139</v>
          </cell>
          <cell r="J96" t="str">
            <v>mo</v>
          </cell>
        </row>
        <row r="97">
          <cell r="A97" t="str">
            <v>au10810</v>
          </cell>
          <cell r="B97" t="str">
            <v>mo16700</v>
          </cell>
          <cell r="C97" t="str">
            <v>MO transporte descargue de cemento</v>
          </cell>
          <cell r="D97">
            <v>9.9</v>
          </cell>
          <cell r="E97" t="str">
            <v>un</v>
          </cell>
          <cell r="F97">
            <v>231.67872</v>
          </cell>
          <cell r="G97">
            <v>2294</v>
          </cell>
          <cell r="J97" t="str">
            <v>mo</v>
          </cell>
        </row>
        <row r="98">
          <cell r="A98" t="str">
            <v>au10810</v>
          </cell>
          <cell r="B98" t="str">
            <v>mo17000</v>
          </cell>
          <cell r="C98" t="str">
            <v>MO operario concretadora</v>
          </cell>
          <cell r="D98">
            <v>1</v>
          </cell>
          <cell r="E98" t="str">
            <v>m3</v>
          </cell>
          <cell r="F98">
            <v>5940</v>
          </cell>
          <cell r="G98">
            <v>5940</v>
          </cell>
          <cell r="J98" t="str">
            <v>mo</v>
          </cell>
        </row>
        <row r="99">
          <cell r="A99" t="str">
            <v>au10810</v>
          </cell>
          <cell r="B99" t="str">
            <v>eq13300</v>
          </cell>
          <cell r="C99" t="str">
            <v>Concretadora obra 2 sacos electrica</v>
          </cell>
          <cell r="D99">
            <v>0.41650000000000004</v>
          </cell>
          <cell r="E99" t="str">
            <v>dia</v>
          </cell>
          <cell r="F99">
            <v>43036</v>
          </cell>
          <cell r="G99">
            <v>17925</v>
          </cell>
          <cell r="J99" t="str">
            <v>eq</v>
          </cell>
        </row>
        <row r="100">
          <cell r="A100" t="str">
            <v>au10810</v>
          </cell>
          <cell r="B100" t="str">
            <v>eq13100</v>
          </cell>
          <cell r="C100" t="str">
            <v>Coches de llantas</v>
          </cell>
          <cell r="D100">
            <v>0.41650000000000004</v>
          </cell>
          <cell r="E100" t="str">
            <v>dia</v>
          </cell>
          <cell r="F100">
            <v>1905.8799999999999</v>
          </cell>
          <cell r="G100">
            <v>794</v>
          </cell>
          <cell r="J100" t="str">
            <v>eq</v>
          </cell>
        </row>
        <row r="101">
          <cell r="A101" t="str">
            <v>au10810</v>
          </cell>
          <cell r="B101" t="str">
            <v>mt11400</v>
          </cell>
          <cell r="C101" t="str">
            <v>Bascula 500 kg</v>
          </cell>
          <cell r="D101">
            <v>0.41650000000000004</v>
          </cell>
          <cell r="E101" t="str">
            <v>dia</v>
          </cell>
          <cell r="F101">
            <v>13154.4</v>
          </cell>
          <cell r="G101">
            <v>5479</v>
          </cell>
          <cell r="J101" t="str">
            <v>mt</v>
          </cell>
        </row>
        <row r="102">
          <cell r="A102" t="str">
            <v>au10810</v>
          </cell>
          <cell r="B102" t="str">
            <v>mt13900</v>
          </cell>
          <cell r="C102" t="str">
            <v>Elementos de consumo y protección</v>
          </cell>
          <cell r="D102">
            <v>26875</v>
          </cell>
          <cell r="E102" t="str">
            <v>%</v>
          </cell>
          <cell r="F102">
            <v>1.2455000000000001E-2</v>
          </cell>
          <cell r="G102">
            <v>335</v>
          </cell>
          <cell r="J102" t="str">
            <v>mt</v>
          </cell>
        </row>
        <row r="103">
          <cell r="A103" t="str">
            <v>au10810</v>
          </cell>
          <cell r="B103" t="str">
            <v>hm15100</v>
          </cell>
          <cell r="C103" t="str">
            <v>Herramienta y equipo menor</v>
          </cell>
          <cell r="D103">
            <v>26875</v>
          </cell>
          <cell r="E103" t="str">
            <v>%</v>
          </cell>
          <cell r="F103">
            <v>0.03</v>
          </cell>
          <cell r="G103">
            <v>807</v>
          </cell>
          <cell r="J103" t="str">
            <v>hm</v>
          </cell>
        </row>
        <row r="104">
          <cell r="A104">
            <v>0</v>
          </cell>
          <cell r="C104" t="str">
            <v>DIRECTO:  318,187 / m3</v>
          </cell>
          <cell r="E104">
            <v>0</v>
          </cell>
          <cell r="F104">
            <v>0</v>
          </cell>
          <cell r="G104">
            <v>0</v>
          </cell>
          <cell r="J104">
            <v>0</v>
          </cell>
        </row>
        <row r="105">
          <cell r="A105">
            <v>0</v>
          </cell>
          <cell r="C105">
            <v>0</v>
          </cell>
          <cell r="E105">
            <v>0</v>
          </cell>
          <cell r="F105">
            <v>0</v>
          </cell>
          <cell r="G105">
            <v>0</v>
          </cell>
          <cell r="J105">
            <v>0</v>
          </cell>
        </row>
        <row r="106">
          <cell r="A106" t="str">
            <v>au10820</v>
          </cell>
          <cell r="B106" t="str">
            <v>au10820</v>
          </cell>
          <cell r="C106" t="str">
            <v>Aux concreto 5000 psi -obra- 3/4"</v>
          </cell>
          <cell r="E106" t="str">
            <v>m3</v>
          </cell>
          <cell r="F106">
            <v>0</v>
          </cell>
          <cell r="G106">
            <v>360470</v>
          </cell>
          <cell r="J106" t="str">
            <v>au</v>
          </cell>
        </row>
        <row r="107">
          <cell r="A107" t="str">
            <v>au10820</v>
          </cell>
          <cell r="B107" t="str">
            <v>mt12600</v>
          </cell>
          <cell r="C107" t="str">
            <v>Cemento gris 50 kg tipo I</v>
          </cell>
          <cell r="D107">
            <v>11.880000000000003</v>
          </cell>
          <cell r="E107" t="str">
            <v>bt</v>
          </cell>
          <cell r="F107">
            <v>21000</v>
          </cell>
          <cell r="G107">
            <v>249480</v>
          </cell>
          <cell r="J107" t="str">
            <v>mt</v>
          </cell>
        </row>
        <row r="108">
          <cell r="A108" t="str">
            <v>au10820</v>
          </cell>
          <cell r="B108" t="str">
            <v>gr10900</v>
          </cell>
          <cell r="C108" t="str">
            <v>Arena concreto</v>
          </cell>
          <cell r="D108">
            <v>0.55000000000000004</v>
          </cell>
          <cell r="E108" t="str">
            <v>m3</v>
          </cell>
          <cell r="F108">
            <v>42400</v>
          </cell>
          <cell r="G108">
            <v>23320</v>
          </cell>
          <cell r="J108" t="str">
            <v>gr</v>
          </cell>
        </row>
        <row r="109">
          <cell r="A109" t="str">
            <v>au10820</v>
          </cell>
          <cell r="B109" t="str">
            <v>gr21600</v>
          </cell>
          <cell r="C109" t="str">
            <v>Triturado 3/4</v>
          </cell>
          <cell r="D109">
            <v>0.66150000000000009</v>
          </cell>
          <cell r="E109" t="str">
            <v>m3</v>
          </cell>
          <cell r="F109">
            <v>52200</v>
          </cell>
          <cell r="G109">
            <v>34531</v>
          </cell>
          <cell r="J109" t="str">
            <v>gr</v>
          </cell>
        </row>
        <row r="110">
          <cell r="A110" t="str">
            <v>au10820</v>
          </cell>
          <cell r="B110" t="str">
            <v>mo17100</v>
          </cell>
          <cell r="C110" t="str">
            <v>MO preparación concreto</v>
          </cell>
          <cell r="D110">
            <v>1</v>
          </cell>
          <cell r="E110" t="str">
            <v xml:space="preserve"> m3</v>
          </cell>
          <cell r="F110">
            <v>16501.968000000001</v>
          </cell>
          <cell r="G110">
            <v>16502</v>
          </cell>
          <cell r="J110" t="str">
            <v>mo</v>
          </cell>
        </row>
        <row r="111">
          <cell r="A111" t="str">
            <v>au10820</v>
          </cell>
          <cell r="B111" t="str">
            <v>mo17500</v>
          </cell>
          <cell r="C111" t="str">
            <v>MO transporte interno cemento</v>
          </cell>
          <cell r="D111">
            <v>11.880000000000003</v>
          </cell>
          <cell r="E111" t="str">
            <v>bt</v>
          </cell>
          <cell r="F111">
            <v>216</v>
          </cell>
          <cell r="G111">
            <v>2567</v>
          </cell>
          <cell r="J111" t="str">
            <v>mo</v>
          </cell>
        </row>
        <row r="112">
          <cell r="A112" t="str">
            <v>au10820</v>
          </cell>
          <cell r="B112" t="str">
            <v>mo16700</v>
          </cell>
          <cell r="C112" t="str">
            <v>MO transporte descargue de cemento</v>
          </cell>
          <cell r="D112">
            <v>11.880000000000003</v>
          </cell>
          <cell r="E112" t="str">
            <v>un</v>
          </cell>
          <cell r="F112">
            <v>231.67872</v>
          </cell>
          <cell r="G112">
            <v>2753</v>
          </cell>
          <cell r="J112" t="str">
            <v>mo</v>
          </cell>
        </row>
        <row r="113">
          <cell r="A113" t="str">
            <v>au10820</v>
          </cell>
          <cell r="B113" t="str">
            <v>mo17000</v>
          </cell>
          <cell r="C113" t="str">
            <v>MO operario concretadora</v>
          </cell>
          <cell r="D113">
            <v>1</v>
          </cell>
          <cell r="E113" t="str">
            <v>m3</v>
          </cell>
          <cell r="F113">
            <v>5940</v>
          </cell>
          <cell r="G113">
            <v>5940</v>
          </cell>
          <cell r="J113" t="str">
            <v>mo</v>
          </cell>
        </row>
        <row r="114">
          <cell r="A114" t="str">
            <v>au10820</v>
          </cell>
          <cell r="B114" t="str">
            <v>eq13300</v>
          </cell>
          <cell r="C114" t="str">
            <v>Concretadora obra 2 sacos electrica</v>
          </cell>
          <cell r="D114">
            <v>0.41650000000000004</v>
          </cell>
          <cell r="E114" t="str">
            <v>dia</v>
          </cell>
          <cell r="F114">
            <v>43036</v>
          </cell>
          <cell r="G114">
            <v>17925</v>
          </cell>
          <cell r="J114" t="str">
            <v>eq</v>
          </cell>
        </row>
        <row r="115">
          <cell r="A115" t="str">
            <v>au10820</v>
          </cell>
          <cell r="B115" t="str">
            <v>eq13100</v>
          </cell>
          <cell r="C115" t="str">
            <v>Coches de llantas</v>
          </cell>
          <cell r="D115">
            <v>0.41650000000000004</v>
          </cell>
          <cell r="E115" t="str">
            <v>dia</v>
          </cell>
          <cell r="F115">
            <v>1905.8799999999999</v>
          </cell>
          <cell r="G115">
            <v>794</v>
          </cell>
          <cell r="J115" t="str">
            <v>eq</v>
          </cell>
        </row>
        <row r="116">
          <cell r="A116" t="str">
            <v>au10820</v>
          </cell>
          <cell r="B116" t="str">
            <v>mt11400</v>
          </cell>
          <cell r="C116" t="str">
            <v>Bascula 500 kg</v>
          </cell>
          <cell r="D116">
            <v>0.41650000000000004</v>
          </cell>
          <cell r="E116" t="str">
            <v>dia</v>
          </cell>
          <cell r="F116">
            <v>13154.4</v>
          </cell>
          <cell r="G116">
            <v>5479</v>
          </cell>
          <cell r="J116" t="str">
            <v>mt</v>
          </cell>
        </row>
        <row r="117">
          <cell r="A117" t="str">
            <v>au10820</v>
          </cell>
          <cell r="B117" t="str">
            <v>mt13900</v>
          </cell>
          <cell r="C117" t="str">
            <v>Elementos de consumo y protección</v>
          </cell>
          <cell r="D117">
            <v>27762</v>
          </cell>
          <cell r="E117" t="str">
            <v>%</v>
          </cell>
          <cell r="F117">
            <v>1.2455000000000001E-2</v>
          </cell>
          <cell r="G117">
            <v>346</v>
          </cell>
          <cell r="J117" t="str">
            <v>mt</v>
          </cell>
        </row>
        <row r="118">
          <cell r="A118" t="str">
            <v>au10820</v>
          </cell>
          <cell r="B118" t="str">
            <v>hm15100</v>
          </cell>
          <cell r="C118" t="str">
            <v>Herramienta y equipo menor</v>
          </cell>
          <cell r="D118">
            <v>27762</v>
          </cell>
          <cell r="E118" t="str">
            <v>%</v>
          </cell>
          <cell r="F118">
            <v>0.03</v>
          </cell>
          <cell r="G118">
            <v>833</v>
          </cell>
          <cell r="J118" t="str">
            <v>hm</v>
          </cell>
        </row>
        <row r="119">
          <cell r="A119">
            <v>0</v>
          </cell>
          <cell r="C119" t="str">
            <v>DIRECTO:  360,470 / m3</v>
          </cell>
          <cell r="E119">
            <v>0</v>
          </cell>
          <cell r="F119">
            <v>0</v>
          </cell>
          <cell r="G119">
            <v>0</v>
          </cell>
          <cell r="J119">
            <v>0</v>
          </cell>
        </row>
        <row r="120">
          <cell r="A120">
            <v>0</v>
          </cell>
          <cell r="C120">
            <v>0</v>
          </cell>
          <cell r="E120">
            <v>0</v>
          </cell>
          <cell r="F120">
            <v>0</v>
          </cell>
          <cell r="G120">
            <v>0</v>
          </cell>
          <cell r="J120">
            <v>0</v>
          </cell>
        </row>
        <row r="121">
          <cell r="A121" t="str">
            <v>au10900</v>
          </cell>
          <cell r="B121" t="str">
            <v>au10900</v>
          </cell>
          <cell r="C121" t="str">
            <v>Aux concreto 3000 psi -obra- 3/8"</v>
          </cell>
          <cell r="E121" t="str">
            <v>m3</v>
          </cell>
          <cell r="F121">
            <v>0</v>
          </cell>
          <cell r="G121">
            <v>309658</v>
          </cell>
          <cell r="J121" t="str">
            <v>au</v>
          </cell>
        </row>
        <row r="122">
          <cell r="A122" t="str">
            <v>au10900</v>
          </cell>
          <cell r="B122" t="str">
            <v>mt12600</v>
          </cell>
          <cell r="C122" t="str">
            <v>Cemento gris 50 kg tipo I</v>
          </cell>
          <cell r="D122">
            <v>9</v>
          </cell>
          <cell r="E122" t="str">
            <v>bt</v>
          </cell>
          <cell r="F122">
            <v>21000</v>
          </cell>
          <cell r="G122">
            <v>189000</v>
          </cell>
          <cell r="J122" t="str">
            <v>mt</v>
          </cell>
        </row>
        <row r="123">
          <cell r="A123" t="str">
            <v>au10900</v>
          </cell>
          <cell r="B123" t="str">
            <v>gr10900</v>
          </cell>
          <cell r="C123" t="str">
            <v>Arena concreto</v>
          </cell>
          <cell r="D123">
            <v>0.66</v>
          </cell>
          <cell r="E123" t="str">
            <v>m3</v>
          </cell>
          <cell r="F123">
            <v>42400</v>
          </cell>
          <cell r="G123">
            <v>27984</v>
          </cell>
          <cell r="J123" t="str">
            <v>gr</v>
          </cell>
        </row>
        <row r="124">
          <cell r="A124" t="str">
            <v>au10900</v>
          </cell>
          <cell r="B124" t="str">
            <v>gr21700</v>
          </cell>
          <cell r="C124" t="str">
            <v>Triturado 3/8</v>
          </cell>
          <cell r="D124">
            <v>0.75</v>
          </cell>
          <cell r="E124" t="str">
            <v>m3</v>
          </cell>
          <cell r="F124">
            <v>52200</v>
          </cell>
          <cell r="G124">
            <v>39150</v>
          </cell>
          <cell r="J124" t="str">
            <v>gr</v>
          </cell>
        </row>
        <row r="125">
          <cell r="A125" t="str">
            <v>au10900</v>
          </cell>
          <cell r="B125" t="str">
            <v>mo17100</v>
          </cell>
          <cell r="C125" t="str">
            <v>MO preparación concreto</v>
          </cell>
          <cell r="D125">
            <v>1</v>
          </cell>
          <cell r="E125" t="str">
            <v xml:space="preserve"> m3</v>
          </cell>
          <cell r="F125">
            <v>16501.968000000001</v>
          </cell>
          <cell r="G125">
            <v>16502</v>
          </cell>
          <cell r="J125" t="str">
            <v>mo</v>
          </cell>
        </row>
        <row r="126">
          <cell r="A126" t="str">
            <v>au10900</v>
          </cell>
          <cell r="B126" t="str">
            <v>mo17500</v>
          </cell>
          <cell r="C126" t="str">
            <v>MO transporte interno cemento</v>
          </cell>
          <cell r="D126">
            <v>9</v>
          </cell>
          <cell r="E126" t="str">
            <v>bt</v>
          </cell>
          <cell r="F126">
            <v>216</v>
          </cell>
          <cell r="G126">
            <v>1944</v>
          </cell>
          <cell r="J126" t="str">
            <v>mo</v>
          </cell>
        </row>
        <row r="127">
          <cell r="A127" t="str">
            <v>au10900</v>
          </cell>
          <cell r="B127" t="str">
            <v>mo16700</v>
          </cell>
          <cell r="C127" t="str">
            <v>MO transporte descargue de cemento</v>
          </cell>
          <cell r="D127">
            <v>9</v>
          </cell>
          <cell r="E127" t="str">
            <v>un</v>
          </cell>
          <cell r="F127">
            <v>231.67872</v>
          </cell>
          <cell r="G127">
            <v>2086</v>
          </cell>
          <cell r="J127" t="str">
            <v>mo</v>
          </cell>
        </row>
        <row r="128">
          <cell r="A128" t="str">
            <v>au10900</v>
          </cell>
          <cell r="B128" t="str">
            <v>mo17000</v>
          </cell>
          <cell r="C128" t="str">
            <v>MO operario concretadora</v>
          </cell>
          <cell r="D128">
            <v>1</v>
          </cell>
          <cell r="E128" t="str">
            <v>m3</v>
          </cell>
          <cell r="F128">
            <v>5940</v>
          </cell>
          <cell r="G128">
            <v>5940</v>
          </cell>
          <cell r="J128" t="str">
            <v>mo</v>
          </cell>
        </row>
        <row r="129">
          <cell r="A129" t="str">
            <v>au10900</v>
          </cell>
          <cell r="B129" t="str">
            <v>eq13300</v>
          </cell>
          <cell r="C129" t="str">
            <v>Concretadora obra 2 sacos electrica</v>
          </cell>
          <cell r="D129">
            <v>0.44624999999999998</v>
          </cell>
          <cell r="E129" t="str">
            <v>dia</v>
          </cell>
          <cell r="F129">
            <v>43036</v>
          </cell>
          <cell r="G129">
            <v>19205</v>
          </cell>
          <cell r="J129" t="str">
            <v>eq</v>
          </cell>
        </row>
        <row r="130">
          <cell r="A130" t="str">
            <v>au10900</v>
          </cell>
          <cell r="B130" t="str">
            <v>eq13100</v>
          </cell>
          <cell r="C130" t="str">
            <v>Coches de llantas</v>
          </cell>
          <cell r="D130">
            <v>0.44624999999999998</v>
          </cell>
          <cell r="E130" t="str">
            <v>dia</v>
          </cell>
          <cell r="F130">
            <v>1905.8799999999999</v>
          </cell>
          <cell r="G130">
            <v>851</v>
          </cell>
          <cell r="J130" t="str">
            <v>eq</v>
          </cell>
        </row>
        <row r="131">
          <cell r="A131" t="str">
            <v>au10900</v>
          </cell>
          <cell r="B131" t="str">
            <v>mt11400</v>
          </cell>
          <cell r="C131" t="str">
            <v>Bascula 500 kg</v>
          </cell>
          <cell r="D131">
            <v>0.44624999999999998</v>
          </cell>
          <cell r="E131" t="str">
            <v>dia</v>
          </cell>
          <cell r="F131">
            <v>13154.4</v>
          </cell>
          <cell r="G131">
            <v>5871</v>
          </cell>
          <cell r="J131" t="str">
            <v>mt</v>
          </cell>
        </row>
        <row r="132">
          <cell r="A132" t="str">
            <v>au10900</v>
          </cell>
          <cell r="B132" t="str">
            <v>mt13900</v>
          </cell>
          <cell r="C132" t="str">
            <v>Elementos de consumo y protección</v>
          </cell>
          <cell r="D132">
            <v>26472</v>
          </cell>
          <cell r="E132" t="str">
            <v>%</v>
          </cell>
          <cell r="F132">
            <v>1.2455000000000001E-2</v>
          </cell>
          <cell r="G132">
            <v>330</v>
          </cell>
          <cell r="J132" t="str">
            <v>mt</v>
          </cell>
        </row>
        <row r="133">
          <cell r="A133" t="str">
            <v>au10900</v>
          </cell>
          <cell r="B133" t="str">
            <v>hm15100</v>
          </cell>
          <cell r="C133" t="str">
            <v>Herramienta y equipo menor</v>
          </cell>
          <cell r="D133">
            <v>26472</v>
          </cell>
          <cell r="E133" t="str">
            <v>%</v>
          </cell>
          <cell r="F133">
            <v>0.03</v>
          </cell>
          <cell r="G133">
            <v>795</v>
          </cell>
          <cell r="J133" t="str">
            <v>hm</v>
          </cell>
        </row>
        <row r="134">
          <cell r="A134">
            <v>0</v>
          </cell>
          <cell r="C134" t="str">
            <v>DIRECTO:  309,658 / m3</v>
          </cell>
          <cell r="E134">
            <v>0</v>
          </cell>
          <cell r="F134">
            <v>0</v>
          </cell>
          <cell r="G134">
            <v>0</v>
          </cell>
          <cell r="J134">
            <v>0</v>
          </cell>
        </row>
        <row r="135">
          <cell r="A135">
            <v>0</v>
          </cell>
          <cell r="C135">
            <v>0</v>
          </cell>
          <cell r="E135">
            <v>0</v>
          </cell>
          <cell r="F135">
            <v>0</v>
          </cell>
          <cell r="G135">
            <v>0</v>
          </cell>
          <cell r="J135">
            <v>0</v>
          </cell>
        </row>
        <row r="136">
          <cell r="A136" t="str">
            <v>au11000</v>
          </cell>
          <cell r="B136" t="str">
            <v>au11000</v>
          </cell>
          <cell r="C136" t="str">
            <v>Aux curado concreto</v>
          </cell>
          <cell r="E136" t="str">
            <v>m2</v>
          </cell>
          <cell r="F136">
            <v>0</v>
          </cell>
          <cell r="G136">
            <v>1490</v>
          </cell>
          <cell r="J136" t="str">
            <v>au</v>
          </cell>
        </row>
        <row r="137">
          <cell r="A137" t="str">
            <v>au11000</v>
          </cell>
          <cell r="B137" t="str">
            <v>mt10800</v>
          </cell>
          <cell r="C137" t="str">
            <v>Antisol blanco curador 20 k o equivalente</v>
          </cell>
          <cell r="D137">
            <v>0.22</v>
          </cell>
          <cell r="E137" t="str">
            <v>kg</v>
          </cell>
          <cell r="F137">
            <v>5742</v>
          </cell>
          <cell r="G137">
            <v>1264</v>
          </cell>
          <cell r="J137" t="str">
            <v>mt</v>
          </cell>
        </row>
        <row r="138">
          <cell r="A138" t="str">
            <v>au11000</v>
          </cell>
          <cell r="B138" t="str">
            <v>mo16600</v>
          </cell>
          <cell r="C138" t="str">
            <v>MO curador concreto</v>
          </cell>
          <cell r="D138">
            <v>1</v>
          </cell>
          <cell r="E138" t="str">
            <v>m2</v>
          </cell>
          <cell r="F138">
            <v>216</v>
          </cell>
          <cell r="G138">
            <v>216</v>
          </cell>
          <cell r="J138" t="str">
            <v>mo</v>
          </cell>
        </row>
        <row r="139">
          <cell r="A139" t="str">
            <v>au11000</v>
          </cell>
          <cell r="B139" t="str">
            <v>mt13900</v>
          </cell>
          <cell r="C139" t="str">
            <v>Elementos de consumo y protección</v>
          </cell>
          <cell r="D139">
            <v>216</v>
          </cell>
          <cell r="E139" t="str">
            <v>%</v>
          </cell>
          <cell r="F139">
            <v>1.2455000000000001E-2</v>
          </cell>
          <cell r="G139">
            <v>3</v>
          </cell>
          <cell r="J139" t="str">
            <v>mt</v>
          </cell>
        </row>
        <row r="140">
          <cell r="A140" t="str">
            <v>au11000</v>
          </cell>
          <cell r="B140" t="str">
            <v>hm15100</v>
          </cell>
          <cell r="C140" t="str">
            <v>Herramienta y equipo menor</v>
          </cell>
          <cell r="D140">
            <v>216</v>
          </cell>
          <cell r="E140" t="str">
            <v>%</v>
          </cell>
          <cell r="F140">
            <v>0.03</v>
          </cell>
          <cell r="G140">
            <v>7</v>
          </cell>
          <cell r="J140" t="str">
            <v>hm</v>
          </cell>
        </row>
        <row r="141">
          <cell r="A141">
            <v>0</v>
          </cell>
          <cell r="C141" t="str">
            <v>DIRECTO:  1,490 / m2</v>
          </cell>
          <cell r="E141">
            <v>0</v>
          </cell>
          <cell r="F141">
            <v>0</v>
          </cell>
          <cell r="G141">
            <v>0</v>
          </cell>
          <cell r="J141">
            <v>0</v>
          </cell>
        </row>
        <row r="142">
          <cell r="A142">
            <v>0</v>
          </cell>
          <cell r="C142">
            <v>0</v>
          </cell>
          <cell r="E142">
            <v>0</v>
          </cell>
          <cell r="F142">
            <v>0</v>
          </cell>
          <cell r="G142">
            <v>0</v>
          </cell>
          <cell r="J142">
            <v>0</v>
          </cell>
        </row>
        <row r="143">
          <cell r="A143" t="str">
            <v>au11100</v>
          </cell>
          <cell r="B143" t="str">
            <v>au11100</v>
          </cell>
          <cell r="C143" t="str">
            <v>Aux formaleta lateral</v>
          </cell>
          <cell r="E143" t="str">
            <v>m</v>
          </cell>
          <cell r="F143">
            <v>0</v>
          </cell>
          <cell r="G143">
            <v>4770</v>
          </cell>
          <cell r="J143" t="str">
            <v>au</v>
          </cell>
        </row>
        <row r="144">
          <cell r="A144" t="str">
            <v>au11100</v>
          </cell>
          <cell r="B144" t="str">
            <v>eq14900</v>
          </cell>
          <cell r="C144" t="str">
            <v>Formaleta lateral</v>
          </cell>
          <cell r="D144">
            <v>1</v>
          </cell>
          <cell r="E144" t="str">
            <v>m</v>
          </cell>
          <cell r="F144">
            <v>4770</v>
          </cell>
          <cell r="G144">
            <v>4770</v>
          </cell>
          <cell r="J144" t="str">
            <v>eq</v>
          </cell>
        </row>
        <row r="145">
          <cell r="A145">
            <v>0</v>
          </cell>
          <cell r="C145" t="str">
            <v>DIRECTO:  4,770 / m</v>
          </cell>
          <cell r="E145">
            <v>0</v>
          </cell>
          <cell r="F145">
            <v>0</v>
          </cell>
          <cell r="G145">
            <v>0</v>
          </cell>
          <cell r="J145">
            <v>0</v>
          </cell>
        </row>
        <row r="146">
          <cell r="A146">
            <v>0</v>
          </cell>
          <cell r="C146">
            <v>0</v>
          </cell>
          <cell r="E146">
            <v>0</v>
          </cell>
          <cell r="F146">
            <v>0</v>
          </cell>
          <cell r="G146">
            <v>0</v>
          </cell>
          <cell r="J146">
            <v>0</v>
          </cell>
        </row>
        <row r="147">
          <cell r="A147" t="str">
            <v>au11110</v>
          </cell>
          <cell r="B147" t="str">
            <v>au11110</v>
          </cell>
          <cell r="C147" t="str">
            <v>Aux formaleta lateral para bordes de losa h = 50 cm</v>
          </cell>
          <cell r="E147" t="str">
            <v>m</v>
          </cell>
          <cell r="F147">
            <v>0</v>
          </cell>
          <cell r="G147">
            <v>9353</v>
          </cell>
          <cell r="J147" t="str">
            <v>au</v>
          </cell>
        </row>
        <row r="148">
          <cell r="A148" t="str">
            <v>au11110</v>
          </cell>
          <cell r="B148" t="str">
            <v>eq14950</v>
          </cell>
          <cell r="C148" t="str">
            <v>Tabla en madera comun de 1"x 8"- 3m</v>
          </cell>
          <cell r="D148">
            <v>0.8</v>
          </cell>
          <cell r="E148" t="str">
            <v>un</v>
          </cell>
          <cell r="F148">
            <v>2968</v>
          </cell>
          <cell r="G148">
            <v>2375</v>
          </cell>
          <cell r="J148" t="str">
            <v>eq</v>
          </cell>
        </row>
        <row r="149">
          <cell r="A149" t="str">
            <v>au11110</v>
          </cell>
          <cell r="B149" t="str">
            <v>eq14970</v>
          </cell>
          <cell r="C149" t="str">
            <v>Repisa de 0.08x0.05x3 m</v>
          </cell>
          <cell r="D149">
            <v>3</v>
          </cell>
          <cell r="E149" t="str">
            <v>un</v>
          </cell>
          <cell r="F149">
            <v>1590</v>
          </cell>
          <cell r="G149">
            <v>4770</v>
          </cell>
          <cell r="J149" t="str">
            <v>eq</v>
          </cell>
        </row>
        <row r="150">
          <cell r="A150" t="str">
            <v>au11110</v>
          </cell>
          <cell r="B150" t="str">
            <v>au10100</v>
          </cell>
          <cell r="C150" t="str">
            <v>Aux MO oficial obra negra</v>
          </cell>
          <cell r="D150">
            <v>0.16666666666666666</v>
          </cell>
          <cell r="E150" t="str">
            <v>hr</v>
          </cell>
          <cell r="F150">
            <v>7619</v>
          </cell>
          <cell r="G150">
            <v>1270</v>
          </cell>
          <cell r="J150" t="str">
            <v>mo</v>
          </cell>
        </row>
        <row r="151">
          <cell r="A151" t="str">
            <v>au11110</v>
          </cell>
          <cell r="B151" t="str">
            <v>au10000</v>
          </cell>
          <cell r="C151" t="str">
            <v>Aux MO ayudante</v>
          </cell>
          <cell r="D151">
            <v>0.16666666666666666</v>
          </cell>
          <cell r="E151" t="str">
            <v>hr</v>
          </cell>
          <cell r="F151">
            <v>5080</v>
          </cell>
          <cell r="G151">
            <v>847</v>
          </cell>
          <cell r="J151" t="str">
            <v>mo</v>
          </cell>
        </row>
        <row r="152">
          <cell r="A152" t="str">
            <v>au11110</v>
          </cell>
          <cell r="B152" t="str">
            <v>mt13900</v>
          </cell>
          <cell r="C152" t="str">
            <v>Elementos de consumo y protección</v>
          </cell>
          <cell r="D152">
            <v>2117</v>
          </cell>
          <cell r="E152" t="str">
            <v>%</v>
          </cell>
          <cell r="F152">
            <v>1.2455000000000001E-2</v>
          </cell>
          <cell r="G152">
            <v>27</v>
          </cell>
          <cell r="J152" t="str">
            <v>mt</v>
          </cell>
        </row>
        <row r="153">
          <cell r="A153" t="str">
            <v>au11110</v>
          </cell>
          <cell r="B153" t="str">
            <v>hm15100</v>
          </cell>
          <cell r="C153" t="str">
            <v>Herramienta y equipo menor</v>
          </cell>
          <cell r="D153">
            <v>2117</v>
          </cell>
          <cell r="E153" t="str">
            <v>%</v>
          </cell>
          <cell r="F153">
            <v>0.03</v>
          </cell>
          <cell r="G153">
            <v>64</v>
          </cell>
          <cell r="J153" t="str">
            <v>hm</v>
          </cell>
        </row>
        <row r="154">
          <cell r="A154">
            <v>0</v>
          </cell>
          <cell r="C154" t="str">
            <v>DIRECTO:  9,353 / m</v>
          </cell>
          <cell r="E154">
            <v>0</v>
          </cell>
          <cell r="F154">
            <v>0</v>
          </cell>
          <cell r="G154">
            <v>0</v>
          </cell>
          <cell r="J154">
            <v>0</v>
          </cell>
        </row>
        <row r="155">
          <cell r="A155">
            <v>0</v>
          </cell>
          <cell r="C155">
            <v>0</v>
          </cell>
          <cell r="E155">
            <v>0</v>
          </cell>
          <cell r="F155">
            <v>0</v>
          </cell>
          <cell r="G155">
            <v>0</v>
          </cell>
          <cell r="J155">
            <v>0</v>
          </cell>
        </row>
        <row r="156">
          <cell r="A156" t="str">
            <v>au11200</v>
          </cell>
          <cell r="B156" t="str">
            <v>au11200</v>
          </cell>
          <cell r="C156" t="str">
            <v>Aux desmoldante -separol-</v>
          </cell>
          <cell r="E156" t="str">
            <v>m2</v>
          </cell>
          <cell r="F156">
            <v>0</v>
          </cell>
          <cell r="G156">
            <v>569</v>
          </cell>
          <cell r="J156" t="str">
            <v>au</v>
          </cell>
        </row>
        <row r="157">
          <cell r="A157" t="str">
            <v>au11200</v>
          </cell>
          <cell r="B157" t="str">
            <v>mt19900</v>
          </cell>
          <cell r="C157" t="str">
            <v>Separol- desformaleteante 25 k</v>
          </cell>
          <cell r="D157">
            <v>2.5000000000000001E-2</v>
          </cell>
          <cell r="E157" t="str">
            <v>kg</v>
          </cell>
          <cell r="F157">
            <v>12296</v>
          </cell>
          <cell r="G157">
            <v>308</v>
          </cell>
          <cell r="J157" t="str">
            <v>mt</v>
          </cell>
        </row>
        <row r="158">
          <cell r="A158" t="str">
            <v>au11200</v>
          </cell>
          <cell r="B158" t="str">
            <v>mo16800</v>
          </cell>
          <cell r="C158" t="str">
            <v>MO desmoldante</v>
          </cell>
          <cell r="D158">
            <v>1</v>
          </cell>
          <cell r="E158" t="str">
            <v>m2</v>
          </cell>
          <cell r="F158">
            <v>248.45400000000004</v>
          </cell>
          <cell r="G158">
            <v>249</v>
          </cell>
          <cell r="J158" t="str">
            <v>mo</v>
          </cell>
        </row>
        <row r="159">
          <cell r="A159" t="str">
            <v>au11200</v>
          </cell>
          <cell r="B159" t="str">
            <v>mt13900</v>
          </cell>
          <cell r="C159" t="str">
            <v>Elementos de consumo y protección</v>
          </cell>
          <cell r="D159">
            <v>249</v>
          </cell>
          <cell r="E159" t="str">
            <v>%</v>
          </cell>
          <cell r="F159">
            <v>1.2455000000000001E-2</v>
          </cell>
          <cell r="G159">
            <v>4</v>
          </cell>
          <cell r="J159" t="str">
            <v>mt</v>
          </cell>
        </row>
        <row r="160">
          <cell r="A160" t="str">
            <v>au11200</v>
          </cell>
          <cell r="B160" t="str">
            <v>hm15100</v>
          </cell>
          <cell r="C160" t="str">
            <v>Herramienta y equipo menor</v>
          </cell>
          <cell r="D160">
            <v>249</v>
          </cell>
          <cell r="E160" t="str">
            <v>%</v>
          </cell>
          <cell r="F160">
            <v>0.03</v>
          </cell>
          <cell r="G160">
            <v>8</v>
          </cell>
          <cell r="J160" t="str">
            <v>hm</v>
          </cell>
        </row>
        <row r="161">
          <cell r="A161">
            <v>0</v>
          </cell>
          <cell r="C161" t="str">
            <v>DIRECTO:  569 / m2</v>
          </cell>
          <cell r="E161">
            <v>0</v>
          </cell>
          <cell r="F161">
            <v>0</v>
          </cell>
          <cell r="G161">
            <v>0</v>
          </cell>
          <cell r="J161">
            <v>0</v>
          </cell>
        </row>
        <row r="162">
          <cell r="A162">
            <v>0</v>
          </cell>
          <cell r="C162">
            <v>0</v>
          </cell>
          <cell r="E162">
            <v>0</v>
          </cell>
          <cell r="F162">
            <v>0</v>
          </cell>
          <cell r="G162">
            <v>0</v>
          </cell>
          <cell r="J162">
            <v>0</v>
          </cell>
        </row>
        <row r="163">
          <cell r="A163" t="str">
            <v>au11300</v>
          </cell>
          <cell r="B163" t="str">
            <v>au11300</v>
          </cell>
          <cell r="C163" t="str">
            <v>Aux formaleta metalica muro-m2 contac-</v>
          </cell>
          <cell r="E163" t="str">
            <v>m2</v>
          </cell>
          <cell r="F163">
            <v>0</v>
          </cell>
          <cell r="G163">
            <v>8096</v>
          </cell>
          <cell r="J163" t="str">
            <v>au</v>
          </cell>
        </row>
        <row r="164">
          <cell r="A164" t="str">
            <v>au11300</v>
          </cell>
          <cell r="B164" t="str">
            <v>eq20900</v>
          </cell>
          <cell r="C164" t="str">
            <v>Tapa metalica muro 0.60x2,40m</v>
          </cell>
          <cell r="D164">
            <v>1.3888888888888888</v>
          </cell>
          <cell r="E164" t="str">
            <v>dia</v>
          </cell>
          <cell r="F164">
            <v>2902.3199999999997</v>
          </cell>
          <cell r="G164">
            <v>4031</v>
          </cell>
          <cell r="J164" t="str">
            <v>eq</v>
          </cell>
        </row>
        <row r="165">
          <cell r="A165" t="str">
            <v>au11300</v>
          </cell>
          <cell r="B165" t="str">
            <v>eq13400</v>
          </cell>
          <cell r="C165" t="str">
            <v>Corbata 0.60 m</v>
          </cell>
          <cell r="D165">
            <v>5.5555555555555554</v>
          </cell>
          <cell r="E165" t="str">
            <v>dia</v>
          </cell>
          <cell r="F165">
            <v>147.32</v>
          </cell>
          <cell r="G165">
            <v>819</v>
          </cell>
          <cell r="J165" t="str">
            <v>eq</v>
          </cell>
        </row>
        <row r="166">
          <cell r="A166" t="str">
            <v>au11300</v>
          </cell>
          <cell r="B166" t="str">
            <v>eq13500</v>
          </cell>
          <cell r="C166" t="str">
            <v>Cuña perno en t</v>
          </cell>
          <cell r="D166">
            <v>11.949</v>
          </cell>
          <cell r="E166" t="str">
            <v>dia</v>
          </cell>
          <cell r="F166">
            <v>27.839999999999996</v>
          </cell>
          <cell r="G166">
            <v>333</v>
          </cell>
          <cell r="J166" t="str">
            <v>eq</v>
          </cell>
        </row>
        <row r="167">
          <cell r="A167" t="str">
            <v>au11300</v>
          </cell>
          <cell r="B167" t="str">
            <v>eq10100</v>
          </cell>
          <cell r="C167" t="str">
            <v>Alineadores</v>
          </cell>
          <cell r="D167">
            <v>1.2915000000000001</v>
          </cell>
          <cell r="E167" t="str">
            <v>dia</v>
          </cell>
          <cell r="F167">
            <v>1844.3999999999999</v>
          </cell>
          <cell r="G167">
            <v>2383</v>
          </cell>
          <cell r="J167" t="str">
            <v>eq</v>
          </cell>
        </row>
        <row r="168">
          <cell r="A168" t="str">
            <v>au11300</v>
          </cell>
          <cell r="B168" t="str">
            <v>eq21500</v>
          </cell>
          <cell r="C168" t="str">
            <v>Tornillos (unir tapas entre si)</v>
          </cell>
          <cell r="D168">
            <v>1.3334999999999999</v>
          </cell>
          <cell r="E168" t="str">
            <v>un</v>
          </cell>
          <cell r="F168">
            <v>23.2</v>
          </cell>
          <cell r="G168">
            <v>31</v>
          </cell>
          <cell r="J168" t="str">
            <v>eq</v>
          </cell>
        </row>
        <row r="169">
          <cell r="A169" t="str">
            <v>au11300</v>
          </cell>
          <cell r="B169" t="str">
            <v>eq10600</v>
          </cell>
          <cell r="C169" t="str">
            <v>Angulos esquinero(unir tapas)</v>
          </cell>
          <cell r="D169">
            <v>0.51449999999999996</v>
          </cell>
          <cell r="E169" t="str">
            <v>dia</v>
          </cell>
          <cell r="F169">
            <v>491.84</v>
          </cell>
          <cell r="G169">
            <v>254</v>
          </cell>
          <cell r="J169" t="str">
            <v>eq</v>
          </cell>
        </row>
        <row r="170">
          <cell r="A170" t="str">
            <v>au11300</v>
          </cell>
          <cell r="B170" t="str">
            <v>eq20800</v>
          </cell>
          <cell r="C170" t="str">
            <v>Tapa esquinera 0.30x0,30x2,40m</v>
          </cell>
          <cell r="D170">
            <v>0.05</v>
          </cell>
          <cell r="E170" t="str">
            <v>dia</v>
          </cell>
          <cell r="F170">
            <v>4885.92</v>
          </cell>
          <cell r="G170">
            <v>245</v>
          </cell>
          <cell r="J170" t="str">
            <v>eq</v>
          </cell>
        </row>
        <row r="171">
          <cell r="A171">
            <v>0</v>
          </cell>
          <cell r="C171" t="str">
            <v>DIRECTO:  8,096 / m2</v>
          </cell>
          <cell r="E171">
            <v>0</v>
          </cell>
          <cell r="F171">
            <v>0</v>
          </cell>
          <cell r="G171">
            <v>0</v>
          </cell>
          <cell r="J171">
            <v>0</v>
          </cell>
        </row>
        <row r="172">
          <cell r="A172">
            <v>0</v>
          </cell>
          <cell r="C172">
            <v>0</v>
          </cell>
          <cell r="E172">
            <v>0</v>
          </cell>
          <cell r="F172">
            <v>0</v>
          </cell>
          <cell r="G172">
            <v>0</v>
          </cell>
          <cell r="J172">
            <v>0</v>
          </cell>
        </row>
        <row r="173">
          <cell r="A173" t="str">
            <v>au11500</v>
          </cell>
          <cell r="B173" t="str">
            <v>au11500</v>
          </cell>
          <cell r="C173" t="str">
            <v>Aux formaleta losa tradicional hasta h=3 m</v>
          </cell>
          <cell r="E173" t="str">
            <v>m2</v>
          </cell>
          <cell r="F173">
            <v>0</v>
          </cell>
          <cell r="G173">
            <v>13817</v>
          </cell>
          <cell r="J173" t="str">
            <v>au</v>
          </cell>
        </row>
        <row r="174">
          <cell r="A174" t="str">
            <v>au11500</v>
          </cell>
          <cell r="B174" t="str">
            <v>eq11600</v>
          </cell>
          <cell r="C174" t="str">
            <v>Cercha metalica de 3.00 m</v>
          </cell>
          <cell r="D174">
            <v>3.1911764705882355</v>
          </cell>
          <cell r="E174" t="str">
            <v>dia</v>
          </cell>
          <cell r="F174">
            <v>294.64</v>
          </cell>
          <cell r="G174">
            <v>941</v>
          </cell>
          <cell r="J174" t="str">
            <v>eq</v>
          </cell>
        </row>
        <row r="175">
          <cell r="A175" t="str">
            <v>au11500</v>
          </cell>
          <cell r="B175" t="str">
            <v>eq20300</v>
          </cell>
          <cell r="C175" t="str">
            <v>Taco metalico de 2.80</v>
          </cell>
          <cell r="D175">
            <v>6.1764705882352944</v>
          </cell>
          <cell r="E175" t="str">
            <v>dia</v>
          </cell>
          <cell r="F175">
            <v>287.68</v>
          </cell>
          <cell r="G175">
            <v>1777</v>
          </cell>
          <cell r="J175" t="str">
            <v>eq</v>
          </cell>
        </row>
        <row r="176">
          <cell r="A176" t="str">
            <v>au11500</v>
          </cell>
          <cell r="B176" t="str">
            <v>eq14700</v>
          </cell>
          <cell r="C176" t="str">
            <v>Formaleta entrepiso</v>
          </cell>
          <cell r="D176">
            <v>1.1256617647058826</v>
          </cell>
          <cell r="E176" t="str">
            <v>m2</v>
          </cell>
          <cell r="F176">
            <v>6691.9072000000015</v>
          </cell>
          <cell r="G176">
            <v>7533</v>
          </cell>
          <cell r="J176" t="str">
            <v>eq</v>
          </cell>
        </row>
        <row r="177">
          <cell r="A177" t="str">
            <v>au11500</v>
          </cell>
          <cell r="B177" t="str">
            <v>mt56200</v>
          </cell>
          <cell r="C177" t="str">
            <v>Canes en madera comun</v>
          </cell>
          <cell r="D177">
            <v>1.3676470588235294</v>
          </cell>
          <cell r="E177" t="str">
            <v>m</v>
          </cell>
          <cell r="F177">
            <v>1172.2964000000004</v>
          </cell>
          <cell r="G177">
            <v>1604</v>
          </cell>
          <cell r="J177" t="str">
            <v>mt</v>
          </cell>
        </row>
        <row r="178">
          <cell r="A178" t="str">
            <v>au11500</v>
          </cell>
          <cell r="B178" t="str">
            <v>tp28100</v>
          </cell>
          <cell r="C178" t="str">
            <v>Transporte de equipo menor</v>
          </cell>
          <cell r="D178">
            <v>1.4705882352941176E-2</v>
          </cell>
          <cell r="E178" t="str">
            <v>vj</v>
          </cell>
          <cell r="F178">
            <v>133400</v>
          </cell>
          <cell r="G178">
            <v>1962</v>
          </cell>
          <cell r="J178" t="str">
            <v>tp</v>
          </cell>
        </row>
        <row r="179">
          <cell r="A179">
            <v>0</v>
          </cell>
          <cell r="C179" t="str">
            <v>DIRECTO:  13,817 / m2</v>
          </cell>
          <cell r="E179">
            <v>0</v>
          </cell>
          <cell r="F179">
            <v>0</v>
          </cell>
          <cell r="G179">
            <v>0</v>
          </cell>
          <cell r="J179">
            <v>0</v>
          </cell>
        </row>
        <row r="180">
          <cell r="A180">
            <v>0</v>
          </cell>
          <cell r="C180">
            <v>0</v>
          </cell>
          <cell r="E180">
            <v>0</v>
          </cell>
          <cell r="F180">
            <v>0</v>
          </cell>
          <cell r="G180">
            <v>0</v>
          </cell>
          <cell r="J180">
            <v>0</v>
          </cell>
        </row>
        <row r="181">
          <cell r="A181" t="str">
            <v>au11700</v>
          </cell>
          <cell r="B181" t="str">
            <v>au11700</v>
          </cell>
          <cell r="C181" t="str">
            <v>Aux mortero de pega 1:4</v>
          </cell>
          <cell r="E181" t="str">
            <v>m3</v>
          </cell>
          <cell r="F181">
            <v>0</v>
          </cell>
          <cell r="G181">
            <v>246314</v>
          </cell>
          <cell r="J181" t="str">
            <v>au</v>
          </cell>
        </row>
        <row r="182">
          <cell r="A182" t="str">
            <v>au11700</v>
          </cell>
          <cell r="B182" t="str">
            <v>mt12600</v>
          </cell>
          <cell r="C182" t="str">
            <v>Cemento gris 50 kg tipo I</v>
          </cell>
          <cell r="D182">
            <v>7.28</v>
          </cell>
          <cell r="E182" t="str">
            <v>bt</v>
          </cell>
          <cell r="F182">
            <v>21000</v>
          </cell>
          <cell r="G182">
            <v>152880</v>
          </cell>
          <cell r="J182" t="str">
            <v>mt</v>
          </cell>
        </row>
        <row r="183">
          <cell r="A183" t="str">
            <v>au11700</v>
          </cell>
          <cell r="B183" t="str">
            <v>gr11000</v>
          </cell>
          <cell r="C183" t="str">
            <v>Arena de pega</v>
          </cell>
          <cell r="D183">
            <v>1.1599999999999999</v>
          </cell>
          <cell r="E183" t="str">
            <v>m3</v>
          </cell>
          <cell r="F183">
            <v>42400</v>
          </cell>
          <cell r="G183">
            <v>49184</v>
          </cell>
          <cell r="J183" t="str">
            <v>gr</v>
          </cell>
        </row>
        <row r="184">
          <cell r="A184" t="str">
            <v>au11700</v>
          </cell>
          <cell r="B184" t="str">
            <v>mo17400</v>
          </cell>
          <cell r="C184" t="str">
            <v>MO acarreo interno de material de playa y agregados</v>
          </cell>
          <cell r="D184">
            <v>1.1599999999999999</v>
          </cell>
          <cell r="E184" t="str">
            <v xml:space="preserve"> m3</v>
          </cell>
          <cell r="F184">
            <v>5048.0640000000003</v>
          </cell>
          <cell r="G184">
            <v>5856</v>
          </cell>
          <cell r="J184" t="str">
            <v>mo</v>
          </cell>
        </row>
        <row r="185">
          <cell r="A185" t="str">
            <v>au11700</v>
          </cell>
          <cell r="B185" t="str">
            <v>mo17500</v>
          </cell>
          <cell r="C185" t="str">
            <v>MO transporte interno cemento</v>
          </cell>
          <cell r="D185">
            <v>7.28</v>
          </cell>
          <cell r="E185" t="str">
            <v>bt</v>
          </cell>
          <cell r="F185">
            <v>216</v>
          </cell>
          <cell r="G185">
            <v>1573</v>
          </cell>
          <cell r="J185" t="str">
            <v>mo</v>
          </cell>
        </row>
        <row r="186">
          <cell r="A186" t="str">
            <v>au11700</v>
          </cell>
          <cell r="B186" t="str">
            <v>mo16700</v>
          </cell>
          <cell r="C186" t="str">
            <v>MO transporte descargue de cemento</v>
          </cell>
          <cell r="D186">
            <v>7.28</v>
          </cell>
          <cell r="E186" t="str">
            <v>un</v>
          </cell>
          <cell r="F186">
            <v>231.67872</v>
          </cell>
          <cell r="G186">
            <v>1687</v>
          </cell>
          <cell r="J186" t="str">
            <v>mo</v>
          </cell>
        </row>
        <row r="187">
          <cell r="A187" t="str">
            <v>au11700</v>
          </cell>
          <cell r="B187" t="str">
            <v>au10100</v>
          </cell>
          <cell r="C187" t="str">
            <v>Aux MO oficial obra negra</v>
          </cell>
          <cell r="D187">
            <v>0.42466666666666669</v>
          </cell>
          <cell r="E187" t="str">
            <v>hr</v>
          </cell>
          <cell r="F187">
            <v>7619</v>
          </cell>
          <cell r="G187">
            <v>3236</v>
          </cell>
          <cell r="J187" t="str">
            <v>mo</v>
          </cell>
        </row>
        <row r="188">
          <cell r="A188" t="str">
            <v>au11700</v>
          </cell>
          <cell r="B188" t="str">
            <v>au10000</v>
          </cell>
          <cell r="C188" t="str">
            <v>Aux MO ayudante</v>
          </cell>
          <cell r="D188">
            <v>0.84933333333333338</v>
          </cell>
          <cell r="E188" t="str">
            <v>hr</v>
          </cell>
          <cell r="F188">
            <v>5080</v>
          </cell>
          <cell r="G188">
            <v>4315</v>
          </cell>
          <cell r="J188" t="str">
            <v>mo</v>
          </cell>
        </row>
        <row r="189">
          <cell r="A189" t="str">
            <v>au11700</v>
          </cell>
          <cell r="B189" t="str">
            <v>mt11400</v>
          </cell>
          <cell r="C189" t="str">
            <v>Bascula 500 kg</v>
          </cell>
          <cell r="D189">
            <v>0.42466666666666669</v>
          </cell>
          <cell r="E189" t="str">
            <v>dia</v>
          </cell>
          <cell r="F189">
            <v>13154.4</v>
          </cell>
          <cell r="G189">
            <v>5587</v>
          </cell>
          <cell r="J189" t="str">
            <v>mt</v>
          </cell>
        </row>
        <row r="190">
          <cell r="A190" t="str">
            <v>au11700</v>
          </cell>
          <cell r="B190" t="str">
            <v>tp105000</v>
          </cell>
          <cell r="C190" t="str">
            <v>Transporte de agregados en volqueta</v>
          </cell>
          <cell r="D190">
            <v>11.6</v>
          </cell>
          <cell r="E190" t="str">
            <v>m3-km</v>
          </cell>
          <cell r="F190">
            <v>436.50799999999998</v>
          </cell>
          <cell r="G190">
            <v>5064</v>
          </cell>
          <cell r="J190" t="str">
            <v>tp</v>
          </cell>
        </row>
        <row r="191">
          <cell r="A191" t="str">
            <v>au11700</v>
          </cell>
          <cell r="B191" t="str">
            <v>eq13300</v>
          </cell>
          <cell r="C191" t="str">
            <v>Concretadora obra 2 sacos electrica</v>
          </cell>
          <cell r="D191">
            <v>0.36096666666666671</v>
          </cell>
          <cell r="E191" t="str">
            <v>dia</v>
          </cell>
          <cell r="F191">
            <v>43036</v>
          </cell>
          <cell r="G191">
            <v>15535</v>
          </cell>
          <cell r="J191" t="str">
            <v>eq</v>
          </cell>
        </row>
        <row r="192">
          <cell r="A192" t="str">
            <v>au11700</v>
          </cell>
          <cell r="B192" t="str">
            <v>eq13100</v>
          </cell>
          <cell r="C192" t="str">
            <v>Coches de llantas</v>
          </cell>
          <cell r="D192">
            <v>0.36096666666666671</v>
          </cell>
          <cell r="E192" t="str">
            <v>dia</v>
          </cell>
          <cell r="F192">
            <v>1905.8799999999999</v>
          </cell>
          <cell r="G192">
            <v>688</v>
          </cell>
          <cell r="J192" t="str">
            <v>eq</v>
          </cell>
        </row>
        <row r="193">
          <cell r="A193" t="str">
            <v>au11700</v>
          </cell>
          <cell r="B193" t="str">
            <v>mt13900</v>
          </cell>
          <cell r="C193" t="str">
            <v>Elementos de consumo y protección</v>
          </cell>
          <cell r="D193">
            <v>16667</v>
          </cell>
          <cell r="E193" t="str">
            <v>%</v>
          </cell>
          <cell r="F193">
            <v>1.2455000000000001E-2</v>
          </cell>
          <cell r="G193">
            <v>208</v>
          </cell>
          <cell r="J193" t="str">
            <v>mt</v>
          </cell>
        </row>
        <row r="194">
          <cell r="A194" t="str">
            <v>au11700</v>
          </cell>
          <cell r="B194" t="str">
            <v>hm15100</v>
          </cell>
          <cell r="C194" t="str">
            <v>Herramienta y equipo menor</v>
          </cell>
          <cell r="D194">
            <v>16667</v>
          </cell>
          <cell r="E194" t="str">
            <v>%</v>
          </cell>
          <cell r="F194">
            <v>0.03</v>
          </cell>
          <cell r="G194">
            <v>501</v>
          </cell>
          <cell r="J194" t="str">
            <v>hm</v>
          </cell>
        </row>
        <row r="195">
          <cell r="A195">
            <v>0</v>
          </cell>
          <cell r="C195" t="str">
            <v>DIRECTO:  246,314 / m3</v>
          </cell>
          <cell r="E195">
            <v>0</v>
          </cell>
          <cell r="F195">
            <v>0</v>
          </cell>
          <cell r="G195">
            <v>0</v>
          </cell>
          <cell r="J195">
            <v>0</v>
          </cell>
        </row>
        <row r="196">
          <cell r="A196">
            <v>0</v>
          </cell>
          <cell r="C196">
            <v>0</v>
          </cell>
          <cell r="E196">
            <v>0</v>
          </cell>
          <cell r="F196">
            <v>0</v>
          </cell>
          <cell r="G196">
            <v>0</v>
          </cell>
          <cell r="J196">
            <v>0</v>
          </cell>
        </row>
        <row r="197">
          <cell r="A197" t="str">
            <v>au11710</v>
          </cell>
          <cell r="B197" t="str">
            <v>au11710</v>
          </cell>
          <cell r="C197" t="str">
            <v>Aux mortero de pega 1:4 con cemento blanco</v>
          </cell>
          <cell r="E197" t="str">
            <v>m3</v>
          </cell>
          <cell r="F197">
            <v>0</v>
          </cell>
          <cell r="G197">
            <v>335569</v>
          </cell>
          <cell r="J197" t="str">
            <v>au</v>
          </cell>
        </row>
        <row r="198">
          <cell r="A198" t="str">
            <v>au11710</v>
          </cell>
          <cell r="B198" t="str">
            <v>mt12500</v>
          </cell>
          <cell r="C198" t="str">
            <v>Cemento blanco</v>
          </cell>
          <cell r="D198">
            <v>280</v>
          </cell>
          <cell r="E198" t="str">
            <v>kg</v>
          </cell>
          <cell r="F198">
            <v>920</v>
          </cell>
          <cell r="G198">
            <v>257600</v>
          </cell>
          <cell r="J198" t="str">
            <v>mt</v>
          </cell>
        </row>
        <row r="199">
          <cell r="A199" t="str">
            <v>au11710</v>
          </cell>
          <cell r="B199" t="str">
            <v>gr11000</v>
          </cell>
          <cell r="C199" t="str">
            <v>Arena de pega</v>
          </cell>
          <cell r="D199">
            <v>1.1599999999999999</v>
          </cell>
          <cell r="E199" t="str">
            <v>m3</v>
          </cell>
          <cell r="F199">
            <v>42400</v>
          </cell>
          <cell r="G199">
            <v>49184</v>
          </cell>
          <cell r="J199" t="str">
            <v>gr</v>
          </cell>
        </row>
        <row r="200">
          <cell r="A200" t="str">
            <v>au11710</v>
          </cell>
          <cell r="B200" t="str">
            <v>mo17400</v>
          </cell>
          <cell r="C200" t="str">
            <v>MO acarreo interno de material de playa y agregados</v>
          </cell>
          <cell r="D200">
            <v>1.1599999999999999</v>
          </cell>
          <cell r="E200" t="str">
            <v xml:space="preserve"> m3</v>
          </cell>
          <cell r="F200">
            <v>5048.0640000000003</v>
          </cell>
          <cell r="G200">
            <v>5856</v>
          </cell>
          <cell r="J200" t="str">
            <v>mo</v>
          </cell>
        </row>
        <row r="201">
          <cell r="A201" t="str">
            <v>au11710</v>
          </cell>
          <cell r="B201" t="str">
            <v>mo17500</v>
          </cell>
          <cell r="C201" t="str">
            <v>MO transporte interno cemento</v>
          </cell>
          <cell r="D201">
            <v>7</v>
          </cell>
          <cell r="E201" t="str">
            <v>bt</v>
          </cell>
          <cell r="F201">
            <v>216</v>
          </cell>
          <cell r="G201">
            <v>1512</v>
          </cell>
          <cell r="J201" t="str">
            <v>mo</v>
          </cell>
        </row>
        <row r="202">
          <cell r="A202" t="str">
            <v>au11710</v>
          </cell>
          <cell r="B202" t="str">
            <v>mo16700</v>
          </cell>
          <cell r="C202" t="str">
            <v>MO transporte descargue de cemento</v>
          </cell>
          <cell r="D202">
            <v>7</v>
          </cell>
          <cell r="E202" t="str">
            <v>un</v>
          </cell>
          <cell r="F202">
            <v>231.67872</v>
          </cell>
          <cell r="G202">
            <v>1622</v>
          </cell>
          <cell r="J202" t="str">
            <v>mo</v>
          </cell>
        </row>
        <row r="203">
          <cell r="A203" t="str">
            <v>au11710</v>
          </cell>
          <cell r="B203" t="str">
            <v>au10100</v>
          </cell>
          <cell r="C203" t="str">
            <v>Aux MO oficial obra negra</v>
          </cell>
          <cell r="D203">
            <v>0.40833333333333333</v>
          </cell>
          <cell r="E203" t="str">
            <v>hr</v>
          </cell>
          <cell r="F203">
            <v>7619</v>
          </cell>
          <cell r="G203">
            <v>3112</v>
          </cell>
          <cell r="J203" t="str">
            <v>mo</v>
          </cell>
        </row>
        <row r="204">
          <cell r="A204" t="str">
            <v>au11710</v>
          </cell>
          <cell r="B204" t="str">
            <v>au10000</v>
          </cell>
          <cell r="C204" t="str">
            <v>Aux MO ayudante</v>
          </cell>
          <cell r="D204">
            <v>0.81666666666666665</v>
          </cell>
          <cell r="E204" t="str">
            <v>hr</v>
          </cell>
          <cell r="F204">
            <v>5080</v>
          </cell>
          <cell r="G204">
            <v>4149</v>
          </cell>
          <cell r="J204" t="str">
            <v>mo</v>
          </cell>
        </row>
        <row r="205">
          <cell r="A205" t="str">
            <v>au11710</v>
          </cell>
          <cell r="B205" t="str">
            <v>mt11400</v>
          </cell>
          <cell r="C205" t="str">
            <v>Bascula 500 kg</v>
          </cell>
          <cell r="D205">
            <v>0.11666666666666668</v>
          </cell>
          <cell r="E205" t="str">
            <v>dia</v>
          </cell>
          <cell r="F205">
            <v>13154.4</v>
          </cell>
          <cell r="G205">
            <v>1535</v>
          </cell>
          <cell r="J205" t="str">
            <v>mt</v>
          </cell>
        </row>
        <row r="206">
          <cell r="A206" t="str">
            <v>au11710</v>
          </cell>
          <cell r="B206" t="str">
            <v>tp105000</v>
          </cell>
          <cell r="C206" t="str">
            <v>Transporte de agregados en volqueta</v>
          </cell>
          <cell r="D206">
            <v>11.6</v>
          </cell>
          <cell r="E206" t="str">
            <v>m3-km</v>
          </cell>
          <cell r="F206">
            <v>436.50799999999998</v>
          </cell>
          <cell r="G206">
            <v>5064</v>
          </cell>
          <cell r="J206" t="str">
            <v>tp</v>
          </cell>
        </row>
        <row r="207">
          <cell r="A207" t="str">
            <v>au11710</v>
          </cell>
          <cell r="B207" t="str">
            <v>eq13300</v>
          </cell>
          <cell r="C207" t="str">
            <v>Concretadora obra 2 sacos electrica</v>
          </cell>
          <cell r="D207">
            <v>0.11666666666666668</v>
          </cell>
          <cell r="E207" t="str">
            <v>dia</v>
          </cell>
          <cell r="F207">
            <v>43036</v>
          </cell>
          <cell r="G207">
            <v>5021</v>
          </cell>
          <cell r="J207" t="str">
            <v>eq</v>
          </cell>
        </row>
        <row r="208">
          <cell r="A208" t="str">
            <v>au11710</v>
          </cell>
          <cell r="B208" t="str">
            <v>eq13100</v>
          </cell>
          <cell r="C208" t="str">
            <v>Coches de llantas</v>
          </cell>
          <cell r="D208">
            <v>0.11666666666666668</v>
          </cell>
          <cell r="E208" t="str">
            <v>dia</v>
          </cell>
          <cell r="F208">
            <v>1905.8799999999999</v>
          </cell>
          <cell r="G208">
            <v>223</v>
          </cell>
          <cell r="J208" t="str">
            <v>eq</v>
          </cell>
        </row>
        <row r="209">
          <cell r="A209" t="str">
            <v>au11710</v>
          </cell>
          <cell r="B209" t="str">
            <v>mt13900</v>
          </cell>
          <cell r="C209" t="str">
            <v>Elementos de consumo y protección</v>
          </cell>
          <cell r="D209">
            <v>16251</v>
          </cell>
          <cell r="E209" t="str">
            <v>%</v>
          </cell>
          <cell r="F209">
            <v>1.2455000000000001E-2</v>
          </cell>
          <cell r="G209">
            <v>203</v>
          </cell>
          <cell r="J209" t="str">
            <v>mt</v>
          </cell>
        </row>
        <row r="210">
          <cell r="A210" t="str">
            <v>au11710</v>
          </cell>
          <cell r="B210" t="str">
            <v>hm15100</v>
          </cell>
          <cell r="C210" t="str">
            <v>Herramienta y equipo menor</v>
          </cell>
          <cell r="D210">
            <v>16251</v>
          </cell>
          <cell r="E210" t="str">
            <v>%</v>
          </cell>
          <cell r="F210">
            <v>0.03</v>
          </cell>
          <cell r="G210">
            <v>488</v>
          </cell>
          <cell r="J210" t="str">
            <v>hm</v>
          </cell>
        </row>
        <row r="211">
          <cell r="A211">
            <v>0</v>
          </cell>
          <cell r="C211" t="str">
            <v>DIRECTO:  335,569 / m3</v>
          </cell>
          <cell r="E211">
            <v>0</v>
          </cell>
          <cell r="F211">
            <v>0</v>
          </cell>
          <cell r="G211">
            <v>0</v>
          </cell>
          <cell r="J211">
            <v>0</v>
          </cell>
        </row>
        <row r="212">
          <cell r="A212">
            <v>0</v>
          </cell>
          <cell r="C212">
            <v>0</v>
          </cell>
          <cell r="E212">
            <v>0</v>
          </cell>
          <cell r="F212">
            <v>0</v>
          </cell>
          <cell r="G212">
            <v>0</v>
          </cell>
          <cell r="J212">
            <v>0</v>
          </cell>
        </row>
        <row r="213">
          <cell r="A213" t="str">
            <v>au11800</v>
          </cell>
          <cell r="B213" t="str">
            <v>au11800</v>
          </cell>
          <cell r="C213" t="str">
            <v>Aux mortero de revoque 1:4:1/4</v>
          </cell>
          <cell r="E213" t="str">
            <v>m3</v>
          </cell>
          <cell r="F213">
            <v>0</v>
          </cell>
          <cell r="G213">
            <v>266502</v>
          </cell>
          <cell r="J213" t="str">
            <v>au</v>
          </cell>
        </row>
        <row r="214">
          <cell r="A214" t="str">
            <v>au11800</v>
          </cell>
          <cell r="B214" t="str">
            <v>mt12600</v>
          </cell>
          <cell r="C214" t="str">
            <v>Cemento gris 50 kg tipo I</v>
          </cell>
          <cell r="D214">
            <v>7.25</v>
          </cell>
          <cell r="E214" t="str">
            <v>bt</v>
          </cell>
          <cell r="F214">
            <v>21000</v>
          </cell>
          <cell r="G214">
            <v>152250</v>
          </cell>
          <cell r="J214" t="str">
            <v>mt</v>
          </cell>
        </row>
        <row r="215">
          <cell r="A215" t="str">
            <v>au11800</v>
          </cell>
          <cell r="B215" t="str">
            <v>gr11000</v>
          </cell>
          <cell r="C215" t="str">
            <v>Arena de pega</v>
          </cell>
          <cell r="D215">
            <v>0.85999999999999988</v>
          </cell>
          <cell r="E215" t="str">
            <v>m3</v>
          </cell>
          <cell r="F215">
            <v>42400</v>
          </cell>
          <cell r="G215">
            <v>36464</v>
          </cell>
          <cell r="J215" t="str">
            <v>gr</v>
          </cell>
        </row>
        <row r="216">
          <cell r="A216" t="str">
            <v>au11800</v>
          </cell>
          <cell r="B216" t="str">
            <v>gr11100</v>
          </cell>
          <cell r="C216" t="str">
            <v>Arena de revoque</v>
          </cell>
          <cell r="D216">
            <v>0.3</v>
          </cell>
          <cell r="E216" t="str">
            <v>m3</v>
          </cell>
          <cell r="F216">
            <v>49184</v>
          </cell>
          <cell r="G216">
            <v>14756</v>
          </cell>
          <cell r="J216" t="str">
            <v>gr</v>
          </cell>
        </row>
        <row r="217">
          <cell r="A217" t="str">
            <v>au11800</v>
          </cell>
          <cell r="B217" t="str">
            <v>mt11800</v>
          </cell>
          <cell r="C217" t="str">
            <v>Cal promical</v>
          </cell>
          <cell r="D217">
            <v>38.0625</v>
          </cell>
          <cell r="E217" t="str">
            <v>kg</v>
          </cell>
          <cell r="F217">
            <v>497</v>
          </cell>
          <cell r="G217">
            <v>18918</v>
          </cell>
          <cell r="J217" t="str">
            <v>mt</v>
          </cell>
        </row>
        <row r="218">
          <cell r="A218" t="str">
            <v>au11800</v>
          </cell>
          <cell r="B218" t="str">
            <v>mo17400</v>
          </cell>
          <cell r="C218" t="str">
            <v>MO acarreo interno de material de playa y agregados</v>
          </cell>
          <cell r="D218">
            <v>1.1599999999999999</v>
          </cell>
          <cell r="E218" t="str">
            <v xml:space="preserve"> m3</v>
          </cell>
          <cell r="F218">
            <v>5048.0640000000003</v>
          </cell>
          <cell r="G218">
            <v>5856</v>
          </cell>
          <cell r="J218" t="str">
            <v>mo</v>
          </cell>
        </row>
        <row r="219">
          <cell r="A219" t="str">
            <v>au11800</v>
          </cell>
          <cell r="B219" t="str">
            <v>mo17500</v>
          </cell>
          <cell r="C219" t="str">
            <v>MO transporte interno cemento</v>
          </cell>
          <cell r="D219">
            <v>7.25</v>
          </cell>
          <cell r="E219" t="str">
            <v>bt</v>
          </cell>
          <cell r="F219">
            <v>216</v>
          </cell>
          <cell r="G219">
            <v>1566</v>
          </cell>
          <cell r="J219" t="str">
            <v>mo</v>
          </cell>
        </row>
        <row r="220">
          <cell r="A220" t="str">
            <v>au11800</v>
          </cell>
          <cell r="B220" t="str">
            <v>mo16700</v>
          </cell>
          <cell r="C220" t="str">
            <v>MO transporte descargue de cemento</v>
          </cell>
          <cell r="D220">
            <v>7.25</v>
          </cell>
          <cell r="E220" t="str">
            <v>un</v>
          </cell>
          <cell r="F220">
            <v>231.67872</v>
          </cell>
          <cell r="G220">
            <v>1680</v>
          </cell>
          <cell r="J220" t="str">
            <v>mo</v>
          </cell>
        </row>
        <row r="221">
          <cell r="A221" t="str">
            <v>au11800</v>
          </cell>
          <cell r="B221" t="str">
            <v>au10100</v>
          </cell>
          <cell r="C221" t="str">
            <v>Aux MO oficial obra negra</v>
          </cell>
          <cell r="D221">
            <v>0.42291666666666666</v>
          </cell>
          <cell r="E221" t="str">
            <v>hr</v>
          </cell>
          <cell r="F221">
            <v>7619</v>
          </cell>
          <cell r="G221">
            <v>3223</v>
          </cell>
          <cell r="J221" t="str">
            <v>mo</v>
          </cell>
        </row>
        <row r="222">
          <cell r="A222" t="str">
            <v>au11800</v>
          </cell>
          <cell r="B222" t="str">
            <v>au10000</v>
          </cell>
          <cell r="C222" t="str">
            <v>Aux MO ayudante</v>
          </cell>
          <cell r="D222">
            <v>0.84583333333333333</v>
          </cell>
          <cell r="E222" t="str">
            <v>hr</v>
          </cell>
          <cell r="F222">
            <v>5080</v>
          </cell>
          <cell r="G222">
            <v>4297</v>
          </cell>
          <cell r="J222" t="str">
            <v>mo</v>
          </cell>
        </row>
        <row r="223">
          <cell r="A223" t="str">
            <v>au11800</v>
          </cell>
          <cell r="B223" t="str">
            <v>mt11400</v>
          </cell>
          <cell r="C223" t="str">
            <v>Bascula 500 kg</v>
          </cell>
          <cell r="D223">
            <v>0.42291666666666666</v>
          </cell>
          <cell r="E223" t="str">
            <v>dia</v>
          </cell>
          <cell r="F223">
            <v>13154.4</v>
          </cell>
          <cell r="G223">
            <v>5564</v>
          </cell>
          <cell r="J223" t="str">
            <v>mt</v>
          </cell>
        </row>
        <row r="224">
          <cell r="A224" t="str">
            <v>au11800</v>
          </cell>
          <cell r="B224" t="str">
            <v>tp105000</v>
          </cell>
          <cell r="C224" t="str">
            <v>Transporte de agregados en volqueta</v>
          </cell>
          <cell r="D224">
            <v>11.6</v>
          </cell>
          <cell r="E224" t="str">
            <v>m3-km</v>
          </cell>
          <cell r="F224">
            <v>436.50799999999998</v>
          </cell>
          <cell r="G224">
            <v>5064</v>
          </cell>
          <cell r="J224" t="str">
            <v>tp</v>
          </cell>
        </row>
        <row r="225">
          <cell r="A225" t="str">
            <v>au11800</v>
          </cell>
          <cell r="B225" t="str">
            <v>eq13300</v>
          </cell>
          <cell r="C225" t="str">
            <v>Concretadora obra 2 sacos electrica</v>
          </cell>
          <cell r="D225">
            <v>0.35947916666666663</v>
          </cell>
          <cell r="E225" t="str">
            <v>dia</v>
          </cell>
          <cell r="F225">
            <v>43036</v>
          </cell>
          <cell r="G225">
            <v>15471</v>
          </cell>
          <cell r="J225" t="str">
            <v>eq</v>
          </cell>
        </row>
        <row r="226">
          <cell r="A226" t="str">
            <v>au11800</v>
          </cell>
          <cell r="B226" t="str">
            <v>eq13100</v>
          </cell>
          <cell r="C226" t="str">
            <v>Coches de llantas</v>
          </cell>
          <cell r="D226">
            <v>0.35947916666666663</v>
          </cell>
          <cell r="E226" t="str">
            <v>dia</v>
          </cell>
          <cell r="F226">
            <v>1905.8799999999999</v>
          </cell>
          <cell r="G226">
            <v>686</v>
          </cell>
          <cell r="J226" t="str">
            <v>eq</v>
          </cell>
        </row>
        <row r="227">
          <cell r="A227" t="str">
            <v>au11800</v>
          </cell>
          <cell r="B227" t="str">
            <v>mt13900</v>
          </cell>
          <cell r="C227" t="str">
            <v>Elementos de consumo y protección</v>
          </cell>
          <cell r="D227">
            <v>16622</v>
          </cell>
          <cell r="E227" t="str">
            <v>%</v>
          </cell>
          <cell r="F227">
            <v>1.2455000000000001E-2</v>
          </cell>
          <cell r="G227">
            <v>208</v>
          </cell>
          <cell r="J227" t="str">
            <v>mt</v>
          </cell>
        </row>
        <row r="228">
          <cell r="A228" t="str">
            <v>au11800</v>
          </cell>
          <cell r="B228" t="str">
            <v>hm15100</v>
          </cell>
          <cell r="C228" t="str">
            <v>Herramienta y equipo menor</v>
          </cell>
          <cell r="D228">
            <v>16622</v>
          </cell>
          <cell r="E228" t="str">
            <v>%</v>
          </cell>
          <cell r="F228">
            <v>0.03</v>
          </cell>
          <cell r="G228">
            <v>499</v>
          </cell>
          <cell r="J228" t="str">
            <v>hm</v>
          </cell>
        </row>
        <row r="229">
          <cell r="A229">
            <v>0</v>
          </cell>
          <cell r="C229" t="str">
            <v>DIRECTO:  266,502 / m3</v>
          </cell>
          <cell r="E229">
            <v>0</v>
          </cell>
          <cell r="F229">
            <v>0</v>
          </cell>
          <cell r="G229">
            <v>0</v>
          </cell>
          <cell r="J229">
            <v>0</v>
          </cell>
        </row>
        <row r="230">
          <cell r="A230">
            <v>0</v>
          </cell>
          <cell r="C230">
            <v>0</v>
          </cell>
          <cell r="E230">
            <v>0</v>
          </cell>
          <cell r="F230">
            <v>0</v>
          </cell>
          <cell r="G230">
            <v>0</v>
          </cell>
          <cell r="J230">
            <v>0</v>
          </cell>
        </row>
        <row r="231">
          <cell r="A231" t="str">
            <v>au11900</v>
          </cell>
          <cell r="B231" t="str">
            <v>au11900</v>
          </cell>
          <cell r="C231" t="str">
            <v>Aux mortero de pega 1:4 impermeabilizado</v>
          </cell>
          <cell r="E231" t="str">
            <v>m3</v>
          </cell>
          <cell r="F231">
            <v>0</v>
          </cell>
          <cell r="G231">
            <v>330762</v>
          </cell>
          <cell r="J231" t="str">
            <v>au</v>
          </cell>
        </row>
        <row r="232">
          <cell r="A232" t="str">
            <v>au11900</v>
          </cell>
          <cell r="B232" t="str">
            <v>mt12600</v>
          </cell>
          <cell r="C232" t="str">
            <v>Cemento gris 50 kg tipo I</v>
          </cell>
          <cell r="D232">
            <v>7.28</v>
          </cell>
          <cell r="E232" t="str">
            <v>bt</v>
          </cell>
          <cell r="F232">
            <v>21000</v>
          </cell>
          <cell r="G232">
            <v>152880</v>
          </cell>
          <cell r="J232" t="str">
            <v>mt</v>
          </cell>
        </row>
        <row r="233">
          <cell r="A233" t="str">
            <v>au11900</v>
          </cell>
          <cell r="B233" t="str">
            <v>gr11000</v>
          </cell>
          <cell r="C233" t="str">
            <v>Arena de pega</v>
          </cell>
          <cell r="D233">
            <v>1.1599999999999999</v>
          </cell>
          <cell r="E233" t="str">
            <v>m3</v>
          </cell>
          <cell r="F233">
            <v>42400</v>
          </cell>
          <cell r="G233">
            <v>49184</v>
          </cell>
          <cell r="J233" t="str">
            <v>gr</v>
          </cell>
        </row>
        <row r="234">
          <cell r="A234" t="str">
            <v>au11900</v>
          </cell>
          <cell r="B234" t="str">
            <v>mt20000</v>
          </cell>
          <cell r="C234" t="str">
            <v>Sika-1 imperm. integ morter 20.0k</v>
          </cell>
          <cell r="D234">
            <v>14.56</v>
          </cell>
          <cell r="E234" t="str">
            <v>kg</v>
          </cell>
          <cell r="F234">
            <v>5800</v>
          </cell>
          <cell r="G234">
            <v>84448</v>
          </cell>
          <cell r="J234" t="str">
            <v>mt</v>
          </cell>
        </row>
        <row r="235">
          <cell r="A235" t="str">
            <v>au11900</v>
          </cell>
          <cell r="B235" t="str">
            <v>mo17400</v>
          </cell>
          <cell r="C235" t="str">
            <v>MO acarreo interno de material de playa y agregados</v>
          </cell>
          <cell r="D235">
            <v>1.1599999999999999</v>
          </cell>
          <cell r="E235" t="str">
            <v xml:space="preserve"> m3</v>
          </cell>
          <cell r="F235">
            <v>5048.0640000000003</v>
          </cell>
          <cell r="G235">
            <v>5856</v>
          </cell>
          <cell r="J235" t="str">
            <v>mo</v>
          </cell>
        </row>
        <row r="236">
          <cell r="A236" t="str">
            <v>au11900</v>
          </cell>
          <cell r="B236" t="str">
            <v>mo17500</v>
          </cell>
          <cell r="C236" t="str">
            <v>MO transporte interno cemento</v>
          </cell>
          <cell r="D236">
            <v>7.28</v>
          </cell>
          <cell r="E236" t="str">
            <v>bt</v>
          </cell>
          <cell r="F236">
            <v>216</v>
          </cell>
          <cell r="G236">
            <v>1573</v>
          </cell>
          <cell r="J236" t="str">
            <v>mo</v>
          </cell>
        </row>
        <row r="237">
          <cell r="A237" t="str">
            <v>au11900</v>
          </cell>
          <cell r="B237" t="str">
            <v>mo16700</v>
          </cell>
          <cell r="C237" t="str">
            <v>MO transporte descargue de cemento</v>
          </cell>
          <cell r="D237">
            <v>7.28</v>
          </cell>
          <cell r="E237" t="str">
            <v>un</v>
          </cell>
          <cell r="F237">
            <v>231.67872</v>
          </cell>
          <cell r="G237">
            <v>1687</v>
          </cell>
          <cell r="J237" t="str">
            <v>mo</v>
          </cell>
        </row>
        <row r="238">
          <cell r="A238" t="str">
            <v>au11900</v>
          </cell>
          <cell r="B238" t="str">
            <v>au10100</v>
          </cell>
          <cell r="C238" t="str">
            <v>Aux MO oficial obra negra</v>
          </cell>
          <cell r="D238">
            <v>0.42466666666666669</v>
          </cell>
          <cell r="E238" t="str">
            <v>hr</v>
          </cell>
          <cell r="F238">
            <v>7619</v>
          </cell>
          <cell r="G238">
            <v>3236</v>
          </cell>
          <cell r="J238" t="str">
            <v>mo</v>
          </cell>
        </row>
        <row r="239">
          <cell r="A239" t="str">
            <v>au11900</v>
          </cell>
          <cell r="B239" t="str">
            <v>au10000</v>
          </cell>
          <cell r="C239" t="str">
            <v>Aux MO ayudante</v>
          </cell>
          <cell r="D239">
            <v>0.84933333333333338</v>
          </cell>
          <cell r="E239" t="str">
            <v>hr</v>
          </cell>
          <cell r="F239">
            <v>5080</v>
          </cell>
          <cell r="G239">
            <v>4315</v>
          </cell>
          <cell r="J239" t="str">
            <v>mo</v>
          </cell>
        </row>
        <row r="240">
          <cell r="A240" t="str">
            <v>au11900</v>
          </cell>
          <cell r="B240" t="str">
            <v>mt11400</v>
          </cell>
          <cell r="C240" t="str">
            <v>Bascula 500 kg</v>
          </cell>
          <cell r="D240">
            <v>0.42466666666666669</v>
          </cell>
          <cell r="E240" t="str">
            <v>dia</v>
          </cell>
          <cell r="F240">
            <v>13154.4</v>
          </cell>
          <cell r="G240">
            <v>5587</v>
          </cell>
          <cell r="J240" t="str">
            <v>mt</v>
          </cell>
        </row>
        <row r="241">
          <cell r="A241" t="str">
            <v>au11900</v>
          </cell>
          <cell r="B241" t="str">
            <v>tp105000</v>
          </cell>
          <cell r="C241" t="str">
            <v>Transporte de agregados en volqueta</v>
          </cell>
          <cell r="D241">
            <v>11.6</v>
          </cell>
          <cell r="E241" t="str">
            <v>m3-km</v>
          </cell>
          <cell r="F241">
            <v>436.50799999999998</v>
          </cell>
          <cell r="G241">
            <v>5064</v>
          </cell>
          <cell r="J241" t="str">
            <v>tp</v>
          </cell>
        </row>
        <row r="242">
          <cell r="A242" t="str">
            <v>au11900</v>
          </cell>
          <cell r="B242" t="str">
            <v>eq13300</v>
          </cell>
          <cell r="C242" t="str">
            <v>Concretadora obra 2 sacos electrica</v>
          </cell>
          <cell r="D242">
            <v>0.36096666666666671</v>
          </cell>
          <cell r="E242" t="str">
            <v>dia</v>
          </cell>
          <cell r="F242">
            <v>43036</v>
          </cell>
          <cell r="G242">
            <v>15535</v>
          </cell>
          <cell r="J242" t="str">
            <v>eq</v>
          </cell>
        </row>
        <row r="243">
          <cell r="A243" t="str">
            <v>au11900</v>
          </cell>
          <cell r="B243" t="str">
            <v>eq13100</v>
          </cell>
          <cell r="C243" t="str">
            <v>Coches de llantas</v>
          </cell>
          <cell r="D243">
            <v>0.36096666666666671</v>
          </cell>
          <cell r="E243" t="str">
            <v>dia</v>
          </cell>
          <cell r="F243">
            <v>1905.8799999999999</v>
          </cell>
          <cell r="G243">
            <v>688</v>
          </cell>
          <cell r="J243" t="str">
            <v>eq</v>
          </cell>
        </row>
        <row r="244">
          <cell r="A244" t="str">
            <v>au11900</v>
          </cell>
          <cell r="B244" t="str">
            <v>mt13900</v>
          </cell>
          <cell r="C244" t="str">
            <v>Elementos de consumo y protección</v>
          </cell>
          <cell r="D244">
            <v>16667</v>
          </cell>
          <cell r="E244" t="str">
            <v>%</v>
          </cell>
          <cell r="F244">
            <v>1.2455000000000001E-2</v>
          </cell>
          <cell r="G244">
            <v>208</v>
          </cell>
          <cell r="J244" t="str">
            <v>mt</v>
          </cell>
        </row>
        <row r="245">
          <cell r="A245" t="str">
            <v>au11900</v>
          </cell>
          <cell r="B245" t="str">
            <v>hm15100</v>
          </cell>
          <cell r="C245" t="str">
            <v>Herramienta y equipo menor</v>
          </cell>
          <cell r="D245">
            <v>16667</v>
          </cell>
          <cell r="E245" t="str">
            <v>%</v>
          </cell>
          <cell r="F245">
            <v>0.03</v>
          </cell>
          <cell r="G245">
            <v>501</v>
          </cell>
          <cell r="J245" t="str">
            <v>hm</v>
          </cell>
        </row>
        <row r="246">
          <cell r="A246">
            <v>0</v>
          </cell>
          <cell r="C246" t="str">
            <v>DIRECTO:  330,762 / m3</v>
          </cell>
          <cell r="E246">
            <v>0</v>
          </cell>
          <cell r="F246">
            <v>0</v>
          </cell>
          <cell r="G246">
            <v>0</v>
          </cell>
          <cell r="J246">
            <v>0</v>
          </cell>
        </row>
        <row r="247">
          <cell r="A247">
            <v>0</v>
          </cell>
          <cell r="C247">
            <v>0</v>
          </cell>
          <cell r="E247">
            <v>0</v>
          </cell>
          <cell r="F247">
            <v>0</v>
          </cell>
          <cell r="G247">
            <v>0</v>
          </cell>
          <cell r="J247">
            <v>0</v>
          </cell>
        </row>
        <row r="248">
          <cell r="A248" t="str">
            <v>au12300</v>
          </cell>
          <cell r="B248" t="str">
            <v>au12300</v>
          </cell>
          <cell r="C248" t="str">
            <v>Aux grouting concreto 3/8 - 210kg/cm2</v>
          </cell>
          <cell r="E248" t="str">
            <v>m3</v>
          </cell>
          <cell r="F248">
            <v>0</v>
          </cell>
          <cell r="G248">
            <v>313012</v>
          </cell>
          <cell r="J248" t="str">
            <v>au</v>
          </cell>
        </row>
        <row r="249">
          <cell r="A249" t="str">
            <v>au12300</v>
          </cell>
          <cell r="B249" t="str">
            <v>mt12600</v>
          </cell>
          <cell r="C249" t="str">
            <v>Cemento gris 50 kg tipo I</v>
          </cell>
          <cell r="D249">
            <v>9</v>
          </cell>
          <cell r="E249" t="str">
            <v>bt</v>
          </cell>
          <cell r="F249">
            <v>21000</v>
          </cell>
          <cell r="G249">
            <v>189000</v>
          </cell>
          <cell r="J249" t="str">
            <v>mt</v>
          </cell>
        </row>
        <row r="250">
          <cell r="A250" t="str">
            <v>au12300</v>
          </cell>
          <cell r="B250" t="str">
            <v>gr10900</v>
          </cell>
          <cell r="C250" t="str">
            <v>Arena concreto</v>
          </cell>
          <cell r="D250">
            <v>0.66</v>
          </cell>
          <cell r="E250" t="str">
            <v>m3</v>
          </cell>
          <cell r="F250">
            <v>42400</v>
          </cell>
          <cell r="G250">
            <v>27984</v>
          </cell>
          <cell r="J250" t="str">
            <v>gr</v>
          </cell>
        </row>
        <row r="251">
          <cell r="A251" t="str">
            <v>au12300</v>
          </cell>
          <cell r="B251" t="str">
            <v>gr21700</v>
          </cell>
          <cell r="C251" t="str">
            <v>Triturado 3/8</v>
          </cell>
          <cell r="D251">
            <v>0.75</v>
          </cell>
          <cell r="E251" t="str">
            <v>m3</v>
          </cell>
          <cell r="F251">
            <v>52200</v>
          </cell>
          <cell r="G251">
            <v>39150</v>
          </cell>
          <cell r="J251" t="str">
            <v>gr</v>
          </cell>
        </row>
        <row r="252">
          <cell r="A252" t="str">
            <v>au12300</v>
          </cell>
          <cell r="B252" t="str">
            <v>mt19000</v>
          </cell>
          <cell r="C252" t="str">
            <v>Plastiment-bv-40 reduct/plastif 20 k</v>
          </cell>
          <cell r="D252">
            <v>1.62</v>
          </cell>
          <cell r="E252" t="str">
            <v>kg</v>
          </cell>
          <cell r="F252">
            <v>2828.08</v>
          </cell>
          <cell r="G252">
            <v>4582</v>
          </cell>
          <cell r="J252" t="str">
            <v>mt</v>
          </cell>
        </row>
        <row r="253">
          <cell r="A253" t="str">
            <v>au12300</v>
          </cell>
          <cell r="B253" t="str">
            <v>mo17400</v>
          </cell>
          <cell r="C253" t="str">
            <v>MO acarreo interno de material de playa y agregados</v>
          </cell>
          <cell r="D253">
            <v>1.4100000000000001</v>
          </cell>
          <cell r="E253" t="str">
            <v xml:space="preserve"> m3</v>
          </cell>
          <cell r="F253">
            <v>5048.0640000000003</v>
          </cell>
          <cell r="G253">
            <v>7118</v>
          </cell>
          <cell r="J253" t="str">
            <v>mo</v>
          </cell>
        </row>
        <row r="254">
          <cell r="A254" t="str">
            <v>au12300</v>
          </cell>
          <cell r="B254" t="str">
            <v>mo17500</v>
          </cell>
          <cell r="C254" t="str">
            <v>MO transporte interno cemento</v>
          </cell>
          <cell r="D254">
            <v>9</v>
          </cell>
          <cell r="E254" t="str">
            <v>bt</v>
          </cell>
          <cell r="F254">
            <v>216</v>
          </cell>
          <cell r="G254">
            <v>1944</v>
          </cell>
          <cell r="J254" t="str">
            <v>mo</v>
          </cell>
        </row>
        <row r="255">
          <cell r="A255" t="str">
            <v>au12300</v>
          </cell>
          <cell r="B255" t="str">
            <v>au10100</v>
          </cell>
          <cell r="C255" t="str">
            <v>Aux MO oficial obra negra</v>
          </cell>
          <cell r="D255">
            <v>0.52500000000000002</v>
          </cell>
          <cell r="E255" t="str">
            <v>hr</v>
          </cell>
          <cell r="F255">
            <v>7619</v>
          </cell>
          <cell r="G255">
            <v>4000</v>
          </cell>
          <cell r="J255" t="str">
            <v>mo</v>
          </cell>
        </row>
        <row r="256">
          <cell r="A256" t="str">
            <v>au12300</v>
          </cell>
          <cell r="B256" t="str">
            <v>au10000</v>
          </cell>
          <cell r="C256" t="str">
            <v>Aux MO ayudante</v>
          </cell>
          <cell r="D256">
            <v>1.05</v>
          </cell>
          <cell r="E256" t="str">
            <v>hr</v>
          </cell>
          <cell r="F256">
            <v>5080</v>
          </cell>
          <cell r="G256">
            <v>5334</v>
          </cell>
          <cell r="J256" t="str">
            <v>mo</v>
          </cell>
        </row>
        <row r="257">
          <cell r="A257" t="str">
            <v>au12300</v>
          </cell>
          <cell r="B257" t="str">
            <v>mt11400</v>
          </cell>
          <cell r="C257" t="str">
            <v>Bascula 500 kg</v>
          </cell>
          <cell r="D257">
            <v>0.52500000000000002</v>
          </cell>
          <cell r="E257" t="str">
            <v>dia</v>
          </cell>
          <cell r="F257">
            <v>13154.4</v>
          </cell>
          <cell r="G257">
            <v>6907</v>
          </cell>
          <cell r="J257" t="str">
            <v>mt</v>
          </cell>
        </row>
        <row r="258">
          <cell r="A258" t="str">
            <v>au12300</v>
          </cell>
          <cell r="B258" t="str">
            <v>tp105000</v>
          </cell>
          <cell r="C258" t="str">
            <v>Transporte de agregados en volqueta</v>
          </cell>
          <cell r="D258">
            <v>14.100000000000001</v>
          </cell>
          <cell r="E258" t="str">
            <v>m3-km</v>
          </cell>
          <cell r="F258">
            <v>436.50799999999998</v>
          </cell>
          <cell r="G258">
            <v>6155</v>
          </cell>
          <cell r="J258" t="str">
            <v>tp</v>
          </cell>
        </row>
        <row r="259">
          <cell r="A259" t="str">
            <v>au12300</v>
          </cell>
          <cell r="B259" t="str">
            <v>eq13300</v>
          </cell>
          <cell r="C259" t="str">
            <v>Concretadora obra 2 sacos electrica</v>
          </cell>
          <cell r="D259">
            <v>0.44624999999999998</v>
          </cell>
          <cell r="E259" t="str">
            <v>dia</v>
          </cell>
          <cell r="F259">
            <v>43036</v>
          </cell>
          <cell r="G259">
            <v>19205</v>
          </cell>
          <cell r="J259" t="str">
            <v>eq</v>
          </cell>
        </row>
        <row r="260">
          <cell r="A260" t="str">
            <v>au12300</v>
          </cell>
          <cell r="B260" t="str">
            <v>eq13100</v>
          </cell>
          <cell r="C260" t="str">
            <v>Coches de llantas</v>
          </cell>
          <cell r="D260">
            <v>0.44624999999999998</v>
          </cell>
          <cell r="E260" t="str">
            <v>dia</v>
          </cell>
          <cell r="F260">
            <v>1905.8799999999999</v>
          </cell>
          <cell r="G260">
            <v>851</v>
          </cell>
          <cell r="J260" t="str">
            <v>eq</v>
          </cell>
        </row>
        <row r="261">
          <cell r="A261" t="str">
            <v>au12300</v>
          </cell>
          <cell r="B261" t="str">
            <v>mt13900</v>
          </cell>
          <cell r="C261" t="str">
            <v>Elementos de consumo y protección</v>
          </cell>
          <cell r="D261">
            <v>18396</v>
          </cell>
          <cell r="E261" t="str">
            <v>%</v>
          </cell>
          <cell r="F261">
            <v>1.2455000000000001E-2</v>
          </cell>
          <cell r="G261">
            <v>230</v>
          </cell>
          <cell r="J261" t="str">
            <v>mt</v>
          </cell>
        </row>
        <row r="262">
          <cell r="A262" t="str">
            <v>au12300</v>
          </cell>
          <cell r="B262" t="str">
            <v>hm15100</v>
          </cell>
          <cell r="C262" t="str">
            <v>Herramienta y equipo menor</v>
          </cell>
          <cell r="D262">
            <v>18396</v>
          </cell>
          <cell r="E262" t="str">
            <v>%</v>
          </cell>
          <cell r="F262">
            <v>0.03</v>
          </cell>
          <cell r="G262">
            <v>552</v>
          </cell>
          <cell r="J262" t="str">
            <v>hm</v>
          </cell>
        </row>
        <row r="263">
          <cell r="A263">
            <v>0</v>
          </cell>
          <cell r="C263" t="str">
            <v>DIRECTO:  313,012 / m3</v>
          </cell>
          <cell r="E263">
            <v>0</v>
          </cell>
          <cell r="F263">
            <v>0</v>
          </cell>
          <cell r="G263">
            <v>0</v>
          </cell>
          <cell r="J263">
            <v>0</v>
          </cell>
        </row>
        <row r="264">
          <cell r="A264">
            <v>0</v>
          </cell>
          <cell r="C264">
            <v>0</v>
          </cell>
          <cell r="E264">
            <v>0</v>
          </cell>
          <cell r="F264">
            <v>0</v>
          </cell>
          <cell r="G264">
            <v>0</v>
          </cell>
          <cell r="J264">
            <v>0</v>
          </cell>
        </row>
        <row r="265">
          <cell r="A265" t="str">
            <v>au12400</v>
          </cell>
          <cell r="B265" t="str">
            <v>au12400</v>
          </cell>
          <cell r="C265" t="str">
            <v>Aux grouting concreto 3/8 - 120kg/cm2</v>
          </cell>
          <cell r="E265" t="str">
            <v>m3</v>
          </cell>
          <cell r="F265">
            <v>0</v>
          </cell>
          <cell r="G265">
            <v>249758</v>
          </cell>
          <cell r="J265" t="str">
            <v>au</v>
          </cell>
        </row>
        <row r="266">
          <cell r="A266" t="str">
            <v>au12400</v>
          </cell>
          <cell r="B266" t="str">
            <v>mt12600</v>
          </cell>
          <cell r="C266" t="str">
            <v>Cemento gris 50 kg tipo I</v>
          </cell>
          <cell r="D266">
            <v>6.5</v>
          </cell>
          <cell r="E266" t="str">
            <v>bt</v>
          </cell>
          <cell r="F266">
            <v>21000</v>
          </cell>
          <cell r="G266">
            <v>136500</v>
          </cell>
          <cell r="J266" t="str">
            <v>mt</v>
          </cell>
        </row>
        <row r="267">
          <cell r="A267" t="str">
            <v>au12400</v>
          </cell>
          <cell r="B267" t="str">
            <v>gr10900</v>
          </cell>
          <cell r="C267" t="str">
            <v>Arena concreto</v>
          </cell>
          <cell r="D267">
            <v>0.66</v>
          </cell>
          <cell r="E267" t="str">
            <v>m3</v>
          </cell>
          <cell r="F267">
            <v>42400</v>
          </cell>
          <cell r="G267">
            <v>27984</v>
          </cell>
          <cell r="J267" t="str">
            <v>gr</v>
          </cell>
        </row>
        <row r="268">
          <cell r="A268" t="str">
            <v>au12400</v>
          </cell>
          <cell r="B268" t="str">
            <v>gr21700</v>
          </cell>
          <cell r="C268" t="str">
            <v>Triturado 3/8</v>
          </cell>
          <cell r="D268">
            <v>0.75</v>
          </cell>
          <cell r="E268" t="str">
            <v>m3</v>
          </cell>
          <cell r="F268">
            <v>52200</v>
          </cell>
          <cell r="G268">
            <v>39150</v>
          </cell>
          <cell r="J268" t="str">
            <v>gr</v>
          </cell>
        </row>
        <row r="269">
          <cell r="A269" t="str">
            <v>au12400</v>
          </cell>
          <cell r="B269" t="str">
            <v>mt19000</v>
          </cell>
          <cell r="C269" t="str">
            <v>Plastiment-bv-40 reduct/plastif 20 k</v>
          </cell>
          <cell r="D269">
            <v>1.62</v>
          </cell>
          <cell r="E269" t="str">
            <v>kg</v>
          </cell>
          <cell r="F269">
            <v>2828.08</v>
          </cell>
          <cell r="G269">
            <v>4582</v>
          </cell>
          <cell r="J269" t="str">
            <v>mt</v>
          </cell>
        </row>
        <row r="270">
          <cell r="A270" t="str">
            <v>au12400</v>
          </cell>
          <cell r="B270" t="str">
            <v>mo17400</v>
          </cell>
          <cell r="C270" t="str">
            <v>MO acarreo interno de material de playa y agregados</v>
          </cell>
          <cell r="D270">
            <v>1.4100000000000001</v>
          </cell>
          <cell r="E270" t="str">
            <v xml:space="preserve"> m3</v>
          </cell>
          <cell r="F270">
            <v>5048.0640000000003</v>
          </cell>
          <cell r="G270">
            <v>7118</v>
          </cell>
          <cell r="J270" t="str">
            <v>mo</v>
          </cell>
        </row>
        <row r="271">
          <cell r="A271" t="str">
            <v>au12400</v>
          </cell>
          <cell r="B271" t="str">
            <v>mo17500</v>
          </cell>
          <cell r="C271" t="str">
            <v>MO transporte interno cemento</v>
          </cell>
          <cell r="D271">
            <v>6.5</v>
          </cell>
          <cell r="E271" t="str">
            <v>bt</v>
          </cell>
          <cell r="F271">
            <v>216</v>
          </cell>
          <cell r="G271">
            <v>1404</v>
          </cell>
          <cell r="J271" t="str">
            <v>mo</v>
          </cell>
        </row>
        <row r="272">
          <cell r="A272" t="str">
            <v>au12400</v>
          </cell>
          <cell r="B272" t="str">
            <v>au10100</v>
          </cell>
          <cell r="C272" t="str">
            <v>Aux MO oficial obra negra</v>
          </cell>
          <cell r="D272">
            <v>0.37916666666666665</v>
          </cell>
          <cell r="E272" t="str">
            <v>hr</v>
          </cell>
          <cell r="F272">
            <v>7619</v>
          </cell>
          <cell r="G272">
            <v>2889</v>
          </cell>
          <cell r="J272" t="str">
            <v>mo</v>
          </cell>
        </row>
        <row r="273">
          <cell r="A273" t="str">
            <v>au12400</v>
          </cell>
          <cell r="B273" t="str">
            <v>au10000</v>
          </cell>
          <cell r="C273" t="str">
            <v>Aux MO ayudante</v>
          </cell>
          <cell r="D273">
            <v>0.7583333333333333</v>
          </cell>
          <cell r="E273" t="str">
            <v>hr</v>
          </cell>
          <cell r="F273">
            <v>5080</v>
          </cell>
          <cell r="G273">
            <v>3853</v>
          </cell>
          <cell r="J273" t="str">
            <v>mo</v>
          </cell>
        </row>
        <row r="274">
          <cell r="A274" t="str">
            <v>au12400</v>
          </cell>
          <cell r="B274" t="str">
            <v>mt11400</v>
          </cell>
          <cell r="C274" t="str">
            <v>Bascula 500 kg</v>
          </cell>
          <cell r="D274">
            <v>0.37916666666666665</v>
          </cell>
          <cell r="E274" t="str">
            <v>dia</v>
          </cell>
          <cell r="F274">
            <v>13154.4</v>
          </cell>
          <cell r="G274">
            <v>4988</v>
          </cell>
          <cell r="J274" t="str">
            <v>mt</v>
          </cell>
        </row>
        <row r="275">
          <cell r="A275" t="str">
            <v>au12400</v>
          </cell>
          <cell r="B275" t="str">
            <v>tp105000</v>
          </cell>
          <cell r="C275" t="str">
            <v>Transporte de agregados en volqueta</v>
          </cell>
          <cell r="D275">
            <v>14.100000000000001</v>
          </cell>
          <cell r="E275" t="str">
            <v>m3-km</v>
          </cell>
          <cell r="F275">
            <v>436.50799999999998</v>
          </cell>
          <cell r="G275">
            <v>6155</v>
          </cell>
          <cell r="J275" t="str">
            <v>tp</v>
          </cell>
        </row>
        <row r="276">
          <cell r="A276" t="str">
            <v>au12400</v>
          </cell>
          <cell r="B276" t="str">
            <v>eq13300</v>
          </cell>
          <cell r="C276" t="str">
            <v>Concretadora obra 2 sacos electrica</v>
          </cell>
          <cell r="D276">
            <v>0.32229166666666664</v>
          </cell>
          <cell r="E276" t="str">
            <v>dia</v>
          </cell>
          <cell r="F276">
            <v>43036</v>
          </cell>
          <cell r="G276">
            <v>13871</v>
          </cell>
          <cell r="J276" t="str">
            <v>eq</v>
          </cell>
        </row>
        <row r="277">
          <cell r="A277" t="str">
            <v>au12400</v>
          </cell>
          <cell r="B277" t="str">
            <v>eq13100</v>
          </cell>
          <cell r="C277" t="str">
            <v>Coches de llantas</v>
          </cell>
          <cell r="D277">
            <v>0.32229166666666664</v>
          </cell>
          <cell r="E277" t="str">
            <v>dia</v>
          </cell>
          <cell r="F277">
            <v>1905.8799999999999</v>
          </cell>
          <cell r="G277">
            <v>615</v>
          </cell>
          <cell r="J277" t="str">
            <v>eq</v>
          </cell>
        </row>
        <row r="278">
          <cell r="A278" t="str">
            <v>au12400</v>
          </cell>
          <cell r="B278" t="str">
            <v>mt13900</v>
          </cell>
          <cell r="C278" t="str">
            <v>Elementos de consumo y protección</v>
          </cell>
          <cell r="D278">
            <v>15264</v>
          </cell>
          <cell r="E278" t="str">
            <v>%</v>
          </cell>
          <cell r="F278">
            <v>1.2455000000000001E-2</v>
          </cell>
          <cell r="G278">
            <v>191</v>
          </cell>
          <cell r="J278" t="str">
            <v>mt</v>
          </cell>
        </row>
        <row r="279">
          <cell r="A279" t="str">
            <v>au12400</v>
          </cell>
          <cell r="B279" t="str">
            <v>hm15100</v>
          </cell>
          <cell r="C279" t="str">
            <v>Herramienta y equipo menor</v>
          </cell>
          <cell r="D279">
            <v>15264</v>
          </cell>
          <cell r="E279" t="str">
            <v>%</v>
          </cell>
          <cell r="F279">
            <v>0.03</v>
          </cell>
          <cell r="G279">
            <v>458</v>
          </cell>
          <cell r="J279" t="str">
            <v>hm</v>
          </cell>
        </row>
        <row r="280">
          <cell r="A280">
            <v>0</v>
          </cell>
          <cell r="C280" t="str">
            <v>DIRECTO:  249,758 / m3</v>
          </cell>
          <cell r="E280">
            <v>0</v>
          </cell>
          <cell r="F280">
            <v>0</v>
          </cell>
          <cell r="G280">
            <v>0</v>
          </cell>
          <cell r="J280">
            <v>0</v>
          </cell>
        </row>
        <row r="281">
          <cell r="A281">
            <v>0</v>
          </cell>
          <cell r="C281">
            <v>0</v>
          </cell>
          <cell r="E281">
            <v>0</v>
          </cell>
          <cell r="F281">
            <v>0</v>
          </cell>
          <cell r="G281">
            <v>0</v>
          </cell>
          <cell r="J281">
            <v>0</v>
          </cell>
        </row>
        <row r="282">
          <cell r="A282" t="str">
            <v>au12800</v>
          </cell>
          <cell r="B282" t="str">
            <v>au12800</v>
          </cell>
          <cell r="C282" t="str">
            <v>Aux acero de refuerzo</v>
          </cell>
          <cell r="E282" t="str">
            <v>kg</v>
          </cell>
          <cell r="F282">
            <v>0</v>
          </cell>
          <cell r="G282">
            <v>3210</v>
          </cell>
          <cell r="J282" t="str">
            <v>au</v>
          </cell>
        </row>
        <row r="283">
          <cell r="A283" t="str">
            <v>au12800</v>
          </cell>
          <cell r="B283" t="str">
            <v>mt24570</v>
          </cell>
          <cell r="C283" t="str">
            <v>Acero de refuerzo figurado</v>
          </cell>
          <cell r="D283">
            <v>1.03</v>
          </cell>
          <cell r="E283" t="str">
            <v>kg</v>
          </cell>
          <cell r="F283">
            <v>2668</v>
          </cell>
          <cell r="G283">
            <v>2749</v>
          </cell>
          <cell r="J283" t="str">
            <v>mt</v>
          </cell>
        </row>
        <row r="284">
          <cell r="A284" t="str">
            <v>au12800</v>
          </cell>
          <cell r="B284" t="str">
            <v>mt44400</v>
          </cell>
          <cell r="C284" t="str">
            <v>Alambre recocido (alambre cal 18)</v>
          </cell>
          <cell r="D284">
            <v>2.5000000000000001E-2</v>
          </cell>
          <cell r="E284" t="str">
            <v>kg</v>
          </cell>
          <cell r="F284">
            <v>4146.2111999999997</v>
          </cell>
          <cell r="G284">
            <v>104</v>
          </cell>
          <cell r="J284" t="str">
            <v>mt</v>
          </cell>
        </row>
        <row r="285">
          <cell r="A285" t="str">
            <v>au12800</v>
          </cell>
          <cell r="B285" t="str">
            <v>mo18400</v>
          </cell>
          <cell r="C285" t="str">
            <v>MO colocacion acero refuerzo</v>
          </cell>
          <cell r="D285">
            <v>1</v>
          </cell>
          <cell r="E285" t="str">
            <v>kg</v>
          </cell>
          <cell r="F285">
            <v>270</v>
          </cell>
          <cell r="G285">
            <v>270</v>
          </cell>
          <cell r="J285" t="str">
            <v>mo</v>
          </cell>
        </row>
        <row r="286">
          <cell r="A286" t="str">
            <v>au12800</v>
          </cell>
          <cell r="B286" t="str">
            <v>mo63100</v>
          </cell>
          <cell r="C286" t="str">
            <v>MO transporte interno hierro horizontal o vertical</v>
          </cell>
          <cell r="D286">
            <v>1</v>
          </cell>
          <cell r="E286" t="str">
            <v xml:space="preserve"> kg</v>
          </cell>
          <cell r="F286">
            <v>70.56</v>
          </cell>
          <cell r="G286">
            <v>71</v>
          </cell>
          <cell r="J286" t="str">
            <v>mo</v>
          </cell>
        </row>
        <row r="287">
          <cell r="A287" t="str">
            <v>au12800</v>
          </cell>
          <cell r="B287" t="str">
            <v>mt13900</v>
          </cell>
          <cell r="C287" t="str">
            <v>Elementos de consumo y protección</v>
          </cell>
          <cell r="D287">
            <v>341</v>
          </cell>
          <cell r="E287" t="str">
            <v>%</v>
          </cell>
          <cell r="F287">
            <v>1.2455000000000001E-2</v>
          </cell>
          <cell r="G287">
            <v>5</v>
          </cell>
          <cell r="J287" t="str">
            <v>mt</v>
          </cell>
        </row>
        <row r="288">
          <cell r="A288" t="str">
            <v>au12800</v>
          </cell>
          <cell r="B288" t="str">
            <v>hm15100</v>
          </cell>
          <cell r="C288" t="str">
            <v>Herramienta y equipo menor</v>
          </cell>
          <cell r="D288">
            <v>341</v>
          </cell>
          <cell r="E288" t="str">
            <v>%</v>
          </cell>
          <cell r="F288">
            <v>0.03</v>
          </cell>
          <cell r="G288">
            <v>11</v>
          </cell>
          <cell r="J288" t="str">
            <v>hm</v>
          </cell>
        </row>
        <row r="289">
          <cell r="A289">
            <v>0</v>
          </cell>
          <cell r="C289" t="str">
            <v>DIRECTO:  3,210 / kg</v>
          </cell>
          <cell r="E289">
            <v>0</v>
          </cell>
          <cell r="F289">
            <v>0</v>
          </cell>
          <cell r="G289">
            <v>0</v>
          </cell>
          <cell r="J289">
            <v>0</v>
          </cell>
        </row>
        <row r="290">
          <cell r="A290">
            <v>0</v>
          </cell>
          <cell r="C290">
            <v>0</v>
          </cell>
          <cell r="E290">
            <v>0</v>
          </cell>
          <cell r="F290">
            <v>0</v>
          </cell>
          <cell r="G290">
            <v>0</v>
          </cell>
          <cell r="J290">
            <v>0</v>
          </cell>
        </row>
        <row r="291">
          <cell r="A291" t="str">
            <v>au56700</v>
          </cell>
          <cell r="B291" t="str">
            <v>au56700</v>
          </cell>
          <cell r="C291" t="str">
            <v>Aux malla electrosoldada d50</v>
          </cell>
          <cell r="E291" t="str">
            <v>m2</v>
          </cell>
          <cell r="F291">
            <v>0</v>
          </cell>
          <cell r="G291">
            <v>3452</v>
          </cell>
          <cell r="J291" t="str">
            <v>au</v>
          </cell>
        </row>
        <row r="292">
          <cell r="A292" t="str">
            <v>au56700</v>
          </cell>
          <cell r="B292" t="str">
            <v>mt42800</v>
          </cell>
          <cell r="C292" t="str">
            <v>Malla electrosoldada D50</v>
          </cell>
          <cell r="D292">
            <v>0.98160034231921256</v>
          </cell>
          <cell r="E292" t="str">
            <v>kg</v>
          </cell>
          <cell r="F292">
            <v>2900</v>
          </cell>
          <cell r="G292">
            <v>2847</v>
          </cell>
          <cell r="J292" t="str">
            <v>mt</v>
          </cell>
        </row>
        <row r="293">
          <cell r="A293" t="str">
            <v>au56700</v>
          </cell>
          <cell r="B293" t="str">
            <v>mt24200</v>
          </cell>
          <cell r="C293" t="str">
            <v>Alambre de amarrar</v>
          </cell>
          <cell r="D293">
            <v>2.5000000000000001E-2</v>
          </cell>
          <cell r="E293" t="str">
            <v>kg</v>
          </cell>
          <cell r="F293">
            <v>2441.7999999999997</v>
          </cell>
          <cell r="G293">
            <v>62</v>
          </cell>
          <cell r="J293" t="str">
            <v>mt</v>
          </cell>
        </row>
        <row r="294">
          <cell r="A294" t="str">
            <v>au56700</v>
          </cell>
          <cell r="B294" t="str">
            <v>mo44700</v>
          </cell>
          <cell r="C294" t="str">
            <v>MO colocacion malla electrosoldada</v>
          </cell>
          <cell r="D294">
            <v>1</v>
          </cell>
          <cell r="E294" t="str">
            <v>m2</v>
          </cell>
          <cell r="F294">
            <v>270</v>
          </cell>
          <cell r="G294">
            <v>270</v>
          </cell>
          <cell r="J294" t="str">
            <v>mo</v>
          </cell>
        </row>
        <row r="295">
          <cell r="A295" t="str">
            <v>au56700</v>
          </cell>
          <cell r="B295" t="str">
            <v>mo18410</v>
          </cell>
          <cell r="C295" t="str">
            <v>MO corte y figuracion</v>
          </cell>
          <cell r="D295">
            <v>1</v>
          </cell>
          <cell r="E295" t="str">
            <v>kg</v>
          </cell>
          <cell r="F295">
            <v>250</v>
          </cell>
          <cell r="G295">
            <v>250</v>
          </cell>
          <cell r="J295" t="str">
            <v>mo</v>
          </cell>
        </row>
        <row r="296">
          <cell r="A296" t="str">
            <v>au56700</v>
          </cell>
          <cell r="B296" t="str">
            <v>mt13900</v>
          </cell>
          <cell r="C296" t="str">
            <v>Elementos de consumo y protección</v>
          </cell>
          <cell r="D296">
            <v>520</v>
          </cell>
          <cell r="E296" t="str">
            <v>%</v>
          </cell>
          <cell r="F296">
            <v>1.2455000000000001E-2</v>
          </cell>
          <cell r="G296">
            <v>7</v>
          </cell>
          <cell r="J296" t="str">
            <v>mt</v>
          </cell>
        </row>
        <row r="297">
          <cell r="A297" t="str">
            <v>au56700</v>
          </cell>
          <cell r="B297" t="str">
            <v>hm15100</v>
          </cell>
          <cell r="C297" t="str">
            <v>Herramienta y equipo menor</v>
          </cell>
          <cell r="D297">
            <v>520</v>
          </cell>
          <cell r="E297" t="str">
            <v>%</v>
          </cell>
          <cell r="F297">
            <v>0.03</v>
          </cell>
          <cell r="G297">
            <v>16</v>
          </cell>
          <cell r="J297" t="str">
            <v>hm</v>
          </cell>
        </row>
        <row r="298">
          <cell r="A298">
            <v>0</v>
          </cell>
          <cell r="C298" t="str">
            <v>DIRECTO:  3,452 / m2</v>
          </cell>
          <cell r="E298">
            <v>0</v>
          </cell>
          <cell r="F298">
            <v>0</v>
          </cell>
          <cell r="G298">
            <v>0</v>
          </cell>
          <cell r="J298">
            <v>0</v>
          </cell>
        </row>
        <row r="299">
          <cell r="A299">
            <v>0</v>
          </cell>
          <cell r="C299">
            <v>0</v>
          </cell>
          <cell r="E299">
            <v>0</v>
          </cell>
          <cell r="F299">
            <v>0</v>
          </cell>
          <cell r="G299">
            <v>0</v>
          </cell>
          <cell r="J299">
            <v>0</v>
          </cell>
        </row>
        <row r="300">
          <cell r="A300" t="str">
            <v>au56710</v>
          </cell>
          <cell r="B300" t="str">
            <v>au56710</v>
          </cell>
          <cell r="C300" t="str">
            <v>Aux malla electrosoldada d84</v>
          </cell>
          <cell r="E300" t="str">
            <v>m2</v>
          </cell>
          <cell r="F300">
            <v>0</v>
          </cell>
          <cell r="G300">
            <v>5254</v>
          </cell>
          <cell r="J300" t="str">
            <v>au</v>
          </cell>
        </row>
        <row r="301">
          <cell r="A301" t="str">
            <v>au56710</v>
          </cell>
          <cell r="B301" t="str">
            <v>mt42810</v>
          </cell>
          <cell r="C301" t="str">
            <v>Malla electrosoldada D84</v>
          </cell>
          <cell r="D301">
            <v>1.6029097133076591</v>
          </cell>
          <cell r="E301" t="str">
            <v>kg</v>
          </cell>
          <cell r="F301">
            <v>2900</v>
          </cell>
          <cell r="G301">
            <v>4649</v>
          </cell>
          <cell r="J301" t="str">
            <v>mt</v>
          </cell>
        </row>
        <row r="302">
          <cell r="A302" t="str">
            <v>au56710</v>
          </cell>
          <cell r="B302" t="str">
            <v>mt24200</v>
          </cell>
          <cell r="C302" t="str">
            <v>Alambre de amarrar</v>
          </cell>
          <cell r="D302">
            <v>2.5000000000000001E-2</v>
          </cell>
          <cell r="E302" t="str">
            <v>kg</v>
          </cell>
          <cell r="F302">
            <v>2441.7999999999997</v>
          </cell>
          <cell r="G302">
            <v>62</v>
          </cell>
          <cell r="J302" t="str">
            <v>mt</v>
          </cell>
        </row>
        <row r="303">
          <cell r="A303" t="str">
            <v>au56710</v>
          </cell>
          <cell r="B303" t="str">
            <v>mo44700</v>
          </cell>
          <cell r="C303" t="str">
            <v>MO colocacion malla electrosoldada</v>
          </cell>
          <cell r="D303">
            <v>1</v>
          </cell>
          <cell r="E303" t="str">
            <v>m2</v>
          </cell>
          <cell r="F303">
            <v>270</v>
          </cell>
          <cell r="G303">
            <v>270</v>
          </cell>
          <cell r="J303" t="str">
            <v>mo</v>
          </cell>
        </row>
        <row r="304">
          <cell r="A304" t="str">
            <v>au56710</v>
          </cell>
          <cell r="B304" t="str">
            <v>mo18410</v>
          </cell>
          <cell r="C304" t="str">
            <v>MO corte y figuracion</v>
          </cell>
          <cell r="D304">
            <v>1</v>
          </cell>
          <cell r="E304" t="str">
            <v>kg</v>
          </cell>
          <cell r="F304">
            <v>250</v>
          </cell>
          <cell r="G304">
            <v>250</v>
          </cell>
          <cell r="J304" t="str">
            <v>mo</v>
          </cell>
        </row>
        <row r="305">
          <cell r="A305" t="str">
            <v>au56710</v>
          </cell>
          <cell r="B305" t="str">
            <v>mt13900</v>
          </cell>
          <cell r="C305" t="str">
            <v>Elementos de consumo y protección</v>
          </cell>
          <cell r="D305">
            <v>520</v>
          </cell>
          <cell r="E305" t="str">
            <v>%</v>
          </cell>
          <cell r="F305">
            <v>1.2455000000000001E-2</v>
          </cell>
          <cell r="G305">
            <v>7</v>
          </cell>
          <cell r="J305" t="str">
            <v>mt</v>
          </cell>
        </row>
        <row r="306">
          <cell r="A306" t="str">
            <v>au56710</v>
          </cell>
          <cell r="B306" t="str">
            <v>hm15100</v>
          </cell>
          <cell r="C306" t="str">
            <v>Herramienta y equipo menor</v>
          </cell>
          <cell r="D306">
            <v>520</v>
          </cell>
          <cell r="E306" t="str">
            <v>%</v>
          </cell>
          <cell r="F306">
            <v>0.03</v>
          </cell>
          <cell r="G306">
            <v>16</v>
          </cell>
          <cell r="J306" t="str">
            <v>hm</v>
          </cell>
        </row>
        <row r="307">
          <cell r="A307">
            <v>0</v>
          </cell>
          <cell r="C307" t="str">
            <v>DIRECTO:  5,254 / m2</v>
          </cell>
          <cell r="E307">
            <v>0</v>
          </cell>
          <cell r="F307">
            <v>0</v>
          </cell>
          <cell r="G307">
            <v>0</v>
          </cell>
          <cell r="J307">
            <v>0</v>
          </cell>
        </row>
        <row r="308">
          <cell r="A308">
            <v>0</v>
          </cell>
          <cell r="C308">
            <v>0</v>
          </cell>
          <cell r="E308">
            <v>0</v>
          </cell>
          <cell r="F308">
            <v>0</v>
          </cell>
          <cell r="G308">
            <v>0</v>
          </cell>
          <cell r="J308">
            <v>0</v>
          </cell>
        </row>
        <row r="309">
          <cell r="A309" t="str">
            <v>au56720</v>
          </cell>
          <cell r="B309" t="str">
            <v>au56720</v>
          </cell>
          <cell r="C309" t="str">
            <v>Aux malla electrosoldada d131</v>
          </cell>
          <cell r="E309" t="str">
            <v>m2</v>
          </cell>
          <cell r="F309">
            <v>0</v>
          </cell>
          <cell r="G309">
            <v>7867</v>
          </cell>
          <cell r="J309" t="str">
            <v>au</v>
          </cell>
        </row>
        <row r="310">
          <cell r="A310" t="str">
            <v>au56720</v>
          </cell>
          <cell r="B310" t="str">
            <v>mt42820</v>
          </cell>
          <cell r="C310" t="str">
            <v>Malla electrosoldada D131</v>
          </cell>
          <cell r="D310">
            <v>2.5040650406504064</v>
          </cell>
          <cell r="E310" t="str">
            <v>kg</v>
          </cell>
          <cell r="F310">
            <v>2900</v>
          </cell>
          <cell r="G310">
            <v>7262</v>
          </cell>
          <cell r="J310" t="str">
            <v>mt</v>
          </cell>
        </row>
        <row r="311">
          <cell r="A311" t="str">
            <v>au56720</v>
          </cell>
          <cell r="B311" t="str">
            <v>mt24200</v>
          </cell>
          <cell r="C311" t="str">
            <v>Alambre de amarrar</v>
          </cell>
          <cell r="D311">
            <v>2.5000000000000001E-2</v>
          </cell>
          <cell r="E311" t="str">
            <v>kg</v>
          </cell>
          <cell r="F311">
            <v>2441.7999999999997</v>
          </cell>
          <cell r="G311">
            <v>62</v>
          </cell>
          <cell r="J311" t="str">
            <v>mt</v>
          </cell>
        </row>
        <row r="312">
          <cell r="A312" t="str">
            <v>au56720</v>
          </cell>
          <cell r="B312" t="str">
            <v>mo44700</v>
          </cell>
          <cell r="C312" t="str">
            <v>MO colocacion malla electrosoldada</v>
          </cell>
          <cell r="D312">
            <v>1</v>
          </cell>
          <cell r="E312" t="str">
            <v>m2</v>
          </cell>
          <cell r="F312">
            <v>270</v>
          </cell>
          <cell r="G312">
            <v>270</v>
          </cell>
          <cell r="J312" t="str">
            <v>mo</v>
          </cell>
        </row>
        <row r="313">
          <cell r="A313" t="str">
            <v>au56720</v>
          </cell>
          <cell r="B313" t="str">
            <v>mo18410</v>
          </cell>
          <cell r="C313" t="str">
            <v>MO corte y figuracion</v>
          </cell>
          <cell r="D313">
            <v>1</v>
          </cell>
          <cell r="E313" t="str">
            <v>kg</v>
          </cell>
          <cell r="F313">
            <v>250</v>
          </cell>
          <cell r="G313">
            <v>250</v>
          </cell>
          <cell r="J313" t="str">
            <v>mo</v>
          </cell>
        </row>
        <row r="314">
          <cell r="A314" t="str">
            <v>au56720</v>
          </cell>
          <cell r="B314" t="str">
            <v>mt13900</v>
          </cell>
          <cell r="C314" t="str">
            <v>Elementos de consumo y protección</v>
          </cell>
          <cell r="D314">
            <v>520</v>
          </cell>
          <cell r="E314" t="str">
            <v>%</v>
          </cell>
          <cell r="F314">
            <v>1.2455000000000001E-2</v>
          </cell>
          <cell r="G314">
            <v>7</v>
          </cell>
          <cell r="J314" t="str">
            <v>mt</v>
          </cell>
        </row>
        <row r="315">
          <cell r="A315" t="str">
            <v>au56720</v>
          </cell>
          <cell r="B315" t="str">
            <v>hm15100</v>
          </cell>
          <cell r="C315" t="str">
            <v>Herramienta y equipo menor</v>
          </cell>
          <cell r="D315">
            <v>520</v>
          </cell>
          <cell r="E315" t="str">
            <v>%</v>
          </cell>
          <cell r="F315">
            <v>0.03</v>
          </cell>
          <cell r="G315">
            <v>16</v>
          </cell>
          <cell r="J315" t="str">
            <v>hm</v>
          </cell>
        </row>
        <row r="316">
          <cell r="A316">
            <v>0</v>
          </cell>
          <cell r="C316" t="str">
            <v>DIRECTO:  7,867 / m2</v>
          </cell>
          <cell r="E316">
            <v>0</v>
          </cell>
          <cell r="F316">
            <v>0</v>
          </cell>
          <cell r="G316">
            <v>0</v>
          </cell>
          <cell r="J316">
            <v>0</v>
          </cell>
        </row>
        <row r="317">
          <cell r="A317">
            <v>0</v>
          </cell>
          <cell r="C317">
            <v>0</v>
          </cell>
          <cell r="E317">
            <v>0</v>
          </cell>
          <cell r="F317">
            <v>0</v>
          </cell>
          <cell r="G317">
            <v>0</v>
          </cell>
          <cell r="J317">
            <v>0</v>
          </cell>
        </row>
        <row r="318">
          <cell r="A318" t="str">
            <v>au56800</v>
          </cell>
          <cell r="B318" t="str">
            <v>au56800</v>
          </cell>
          <cell r="C318" t="str">
            <v>Dovelas para muros e: 0.20</v>
          </cell>
          <cell r="E318" t="str">
            <v>m</v>
          </cell>
          <cell r="F318">
            <v>0</v>
          </cell>
          <cell r="G318">
            <v>15719</v>
          </cell>
          <cell r="J318" t="str">
            <v>au</v>
          </cell>
        </row>
        <row r="319">
          <cell r="A319" t="str">
            <v>au56800</v>
          </cell>
          <cell r="B319" t="str">
            <v>au12300</v>
          </cell>
          <cell r="C319" t="str">
            <v>Aux grouting concreto 3/8 - 210kg/cm2</v>
          </cell>
          <cell r="D319">
            <v>2.6400000000000003E-2</v>
          </cell>
          <cell r="E319" t="str">
            <v>m3</v>
          </cell>
          <cell r="F319">
            <v>313012</v>
          </cell>
          <cell r="G319">
            <v>8264</v>
          </cell>
          <cell r="J319" t="str">
            <v>au</v>
          </cell>
        </row>
        <row r="320">
          <cell r="A320" t="str">
            <v>au56800</v>
          </cell>
          <cell r="B320" t="str">
            <v>mo62000</v>
          </cell>
          <cell r="C320" t="str">
            <v>MO dovelas mamposteria bloque 15x20x40</v>
          </cell>
          <cell r="D320">
            <v>1</v>
          </cell>
          <cell r="E320" t="str">
            <v>m</v>
          </cell>
          <cell r="F320">
            <v>7150</v>
          </cell>
          <cell r="G320">
            <v>7150</v>
          </cell>
          <cell r="J320" t="str">
            <v>mo</v>
          </cell>
        </row>
        <row r="321">
          <cell r="A321" t="str">
            <v>au56800</v>
          </cell>
          <cell r="B321" t="str">
            <v>mt13900</v>
          </cell>
          <cell r="C321" t="str">
            <v>Elementos de consumo y protección</v>
          </cell>
          <cell r="D321">
            <v>7150</v>
          </cell>
          <cell r="E321" t="str">
            <v>%</v>
          </cell>
          <cell r="F321">
            <v>1.2455000000000001E-2</v>
          </cell>
          <cell r="G321">
            <v>90</v>
          </cell>
          <cell r="J321" t="str">
            <v>mt</v>
          </cell>
        </row>
        <row r="322">
          <cell r="A322" t="str">
            <v>au56800</v>
          </cell>
          <cell r="B322" t="str">
            <v>hm15100</v>
          </cell>
          <cell r="C322" t="str">
            <v>Herramienta y equipo menor</v>
          </cell>
          <cell r="D322">
            <v>7150</v>
          </cell>
          <cell r="E322" t="str">
            <v>%</v>
          </cell>
          <cell r="F322">
            <v>0.03</v>
          </cell>
          <cell r="G322">
            <v>215</v>
          </cell>
          <cell r="J322" t="str">
            <v>hm</v>
          </cell>
        </row>
        <row r="323">
          <cell r="A323">
            <v>0</v>
          </cell>
          <cell r="C323" t="str">
            <v>DIRECTO:  15,719 / m</v>
          </cell>
          <cell r="E323">
            <v>0</v>
          </cell>
          <cell r="F323">
            <v>0</v>
          </cell>
          <cell r="G323">
            <v>0</v>
          </cell>
          <cell r="J323">
            <v>0</v>
          </cell>
        </row>
        <row r="324">
          <cell r="A324">
            <v>0</v>
          </cell>
          <cell r="C324">
            <v>0</v>
          </cell>
          <cell r="E324">
            <v>0</v>
          </cell>
          <cell r="F324">
            <v>0</v>
          </cell>
          <cell r="G324">
            <v>0</v>
          </cell>
          <cell r="J324">
            <v>0</v>
          </cell>
        </row>
        <row r="325">
          <cell r="A325" t="str">
            <v>au56900</v>
          </cell>
          <cell r="B325" t="str">
            <v>au56900</v>
          </cell>
          <cell r="C325" t="str">
            <v>Dovelas para muros e: 0.15</v>
          </cell>
          <cell r="E325" t="str">
            <v>m</v>
          </cell>
          <cell r="F325">
            <v>0</v>
          </cell>
          <cell r="G325">
            <v>13515</v>
          </cell>
          <cell r="J325" t="str">
            <v>au</v>
          </cell>
        </row>
        <row r="326">
          <cell r="A326" t="str">
            <v>au56900</v>
          </cell>
          <cell r="B326" t="str">
            <v>au12300</v>
          </cell>
          <cell r="C326" t="str">
            <v>Aux grouting concreto 3/8 - 210kg/cm2</v>
          </cell>
          <cell r="D326">
            <v>1.9360000000000002E-2</v>
          </cell>
          <cell r="E326" t="str">
            <v>m3</v>
          </cell>
          <cell r="F326">
            <v>313012</v>
          </cell>
          <cell r="G326">
            <v>6060</v>
          </cell>
          <cell r="J326" t="str">
            <v>au</v>
          </cell>
        </row>
        <row r="327">
          <cell r="A327" t="str">
            <v>au56900</v>
          </cell>
          <cell r="B327" t="str">
            <v>mo62000</v>
          </cell>
          <cell r="C327" t="str">
            <v>MO dovelas mamposteria bloque 15x20x40</v>
          </cell>
          <cell r="D327">
            <v>1</v>
          </cell>
          <cell r="E327" t="str">
            <v>m</v>
          </cell>
          <cell r="F327">
            <v>7150</v>
          </cell>
          <cell r="G327">
            <v>7150</v>
          </cell>
          <cell r="J327" t="str">
            <v>mo</v>
          </cell>
        </row>
        <row r="328">
          <cell r="A328" t="str">
            <v>au56900</v>
          </cell>
          <cell r="B328" t="str">
            <v>mt13900</v>
          </cell>
          <cell r="C328" t="str">
            <v>Elementos de consumo y protección</v>
          </cell>
          <cell r="D328">
            <v>7150</v>
          </cell>
          <cell r="E328" t="str">
            <v>%</v>
          </cell>
          <cell r="F328">
            <v>1.2455000000000001E-2</v>
          </cell>
          <cell r="G328">
            <v>90</v>
          </cell>
          <cell r="J328" t="str">
            <v>mt</v>
          </cell>
        </row>
        <row r="329">
          <cell r="A329" t="str">
            <v>au56900</v>
          </cell>
          <cell r="B329" t="str">
            <v>hm15100</v>
          </cell>
          <cell r="C329" t="str">
            <v>Herramienta y equipo menor</v>
          </cell>
          <cell r="D329">
            <v>7150</v>
          </cell>
          <cell r="E329" t="str">
            <v>%</v>
          </cell>
          <cell r="F329">
            <v>0.03</v>
          </cell>
          <cell r="G329">
            <v>215</v>
          </cell>
          <cell r="J329" t="str">
            <v>hm</v>
          </cell>
        </row>
        <row r="330">
          <cell r="A330">
            <v>0</v>
          </cell>
          <cell r="C330" t="str">
            <v>DIRECTO:  13,515 / m</v>
          </cell>
          <cell r="E330">
            <v>0</v>
          </cell>
          <cell r="F330">
            <v>0</v>
          </cell>
          <cell r="G330">
            <v>0</v>
          </cell>
          <cell r="J330">
            <v>0</v>
          </cell>
        </row>
        <row r="331">
          <cell r="A331">
            <v>0</v>
          </cell>
          <cell r="C331">
            <v>0</v>
          </cell>
          <cell r="E331">
            <v>0</v>
          </cell>
          <cell r="F331">
            <v>0</v>
          </cell>
          <cell r="G331">
            <v>0</v>
          </cell>
          <cell r="J331">
            <v>0</v>
          </cell>
        </row>
        <row r="332">
          <cell r="A332" t="str">
            <v>au57200</v>
          </cell>
          <cell r="B332" t="str">
            <v>au57200</v>
          </cell>
          <cell r="C332" t="str">
            <v>Aux muro bloque no.4</v>
          </cell>
          <cell r="E332" t="str">
            <v>m2</v>
          </cell>
          <cell r="F332">
            <v>0</v>
          </cell>
          <cell r="G332">
            <v>34399</v>
          </cell>
          <cell r="J332" t="str">
            <v>au</v>
          </cell>
        </row>
        <row r="333">
          <cell r="A333" t="str">
            <v>au57200</v>
          </cell>
          <cell r="B333" t="str">
            <v>mt15510</v>
          </cell>
          <cell r="C333" t="str">
            <v>Bloque No. 4</v>
          </cell>
          <cell r="D333">
            <v>13.27</v>
          </cell>
          <cell r="E333" t="str">
            <v>un</v>
          </cell>
          <cell r="F333">
            <v>853</v>
          </cell>
          <cell r="G333">
            <v>11320</v>
          </cell>
          <cell r="J333" t="str">
            <v>mt</v>
          </cell>
        </row>
        <row r="334">
          <cell r="A334" t="str">
            <v>au57200</v>
          </cell>
          <cell r="B334" t="str">
            <v>au11700</v>
          </cell>
          <cell r="C334" t="str">
            <v>Aux mortero de pega 1:4</v>
          </cell>
          <cell r="D334">
            <v>0.02</v>
          </cell>
          <cell r="E334" t="str">
            <v>m3</v>
          </cell>
          <cell r="F334">
            <v>246314</v>
          </cell>
          <cell r="G334">
            <v>4927</v>
          </cell>
          <cell r="J334" t="str">
            <v>au</v>
          </cell>
        </row>
        <row r="335">
          <cell r="A335" t="str">
            <v>au57200</v>
          </cell>
          <cell r="B335" t="str">
            <v>mo18120</v>
          </cell>
          <cell r="C335" t="str">
            <v>MO pega bloque No.4</v>
          </cell>
          <cell r="D335">
            <v>1</v>
          </cell>
          <cell r="E335" t="str">
            <v>m2</v>
          </cell>
          <cell r="F335">
            <v>15978</v>
          </cell>
          <cell r="G335">
            <v>15978</v>
          </cell>
          <cell r="J335" t="str">
            <v>mo</v>
          </cell>
        </row>
        <row r="336">
          <cell r="A336" t="str">
            <v>au57200</v>
          </cell>
          <cell r="B336" t="str">
            <v>mo17800</v>
          </cell>
          <cell r="C336" t="str">
            <v>MO transporte ladrillo</v>
          </cell>
          <cell r="D336">
            <v>13.27</v>
          </cell>
          <cell r="E336" t="str">
            <v>un</v>
          </cell>
          <cell r="F336">
            <v>108</v>
          </cell>
          <cell r="G336">
            <v>1434</v>
          </cell>
          <cell r="J336" t="str">
            <v>mo</v>
          </cell>
        </row>
        <row r="337">
          <cell r="A337" t="str">
            <v>au57200</v>
          </cell>
          <cell r="B337" t="str">
            <v>mt13900</v>
          </cell>
          <cell r="C337" t="str">
            <v>Elementos de consumo y protección</v>
          </cell>
          <cell r="D337">
            <v>17412</v>
          </cell>
          <cell r="E337" t="str">
            <v>%</v>
          </cell>
          <cell r="F337">
            <v>1.2455000000000001E-2</v>
          </cell>
          <cell r="G337">
            <v>217</v>
          </cell>
          <cell r="J337" t="str">
            <v>mt</v>
          </cell>
        </row>
        <row r="338">
          <cell r="A338" t="str">
            <v>au57200</v>
          </cell>
          <cell r="B338" t="str">
            <v>hm15100</v>
          </cell>
          <cell r="C338" t="str">
            <v>Herramienta y equipo menor</v>
          </cell>
          <cell r="D338">
            <v>17412</v>
          </cell>
          <cell r="E338" t="str">
            <v>%</v>
          </cell>
          <cell r="F338">
            <v>0.03</v>
          </cell>
          <cell r="G338">
            <v>523</v>
          </cell>
          <cell r="J338" t="str">
            <v>hm</v>
          </cell>
        </row>
        <row r="339">
          <cell r="A339">
            <v>0</v>
          </cell>
          <cell r="C339" t="str">
            <v>DIRECTO:  34,399 / m2</v>
          </cell>
          <cell r="E339">
            <v>0</v>
          </cell>
          <cell r="F339">
            <v>0</v>
          </cell>
          <cell r="G339">
            <v>0</v>
          </cell>
          <cell r="J339">
            <v>0</v>
          </cell>
        </row>
        <row r="340">
          <cell r="A340">
            <v>0</v>
          </cell>
        </row>
        <row r="341">
          <cell r="A341" t="str">
            <v>au57300</v>
          </cell>
          <cell r="B341" t="str">
            <v>au57300</v>
          </cell>
          <cell r="C341" t="str">
            <v>Aux materiales para muro en superboard 2c</v>
          </cell>
          <cell r="E341" t="str">
            <v>m2</v>
          </cell>
          <cell r="F341">
            <v>0</v>
          </cell>
          <cell r="G341">
            <v>57765</v>
          </cell>
          <cell r="J341" t="str">
            <v>au</v>
          </cell>
        </row>
        <row r="342">
          <cell r="A342" t="str">
            <v>au57300</v>
          </cell>
          <cell r="B342" t="str">
            <v>mt21120</v>
          </cell>
          <cell r="C342" t="str">
            <v>Placa Superboard 2440*1220*8mm</v>
          </cell>
          <cell r="D342">
            <v>0.69</v>
          </cell>
          <cell r="E342" t="str">
            <v>un</v>
          </cell>
          <cell r="F342">
            <v>37816</v>
          </cell>
          <cell r="G342">
            <v>26094</v>
          </cell>
          <cell r="J342" t="str">
            <v>mt</v>
          </cell>
        </row>
        <row r="343">
          <cell r="A343" t="str">
            <v>au57300</v>
          </cell>
          <cell r="B343" t="str">
            <v>mt21130</v>
          </cell>
          <cell r="C343" t="str">
            <v>Perfil vertical paral 89 aleta 40mm</v>
          </cell>
          <cell r="D343">
            <v>0.76</v>
          </cell>
          <cell r="E343" t="str">
            <v>un</v>
          </cell>
          <cell r="F343">
            <v>14731.999999999998</v>
          </cell>
          <cell r="G343">
            <v>11197</v>
          </cell>
          <cell r="J343" t="str">
            <v>mt</v>
          </cell>
        </row>
        <row r="344">
          <cell r="A344" t="str">
            <v>au57300</v>
          </cell>
          <cell r="B344" t="str">
            <v>mt21140</v>
          </cell>
          <cell r="C344" t="str">
            <v>Perfil horizontal canal 90</v>
          </cell>
          <cell r="D344">
            <v>0.34</v>
          </cell>
          <cell r="E344" t="str">
            <v>un</v>
          </cell>
          <cell r="F344">
            <v>9164</v>
          </cell>
          <cell r="G344">
            <v>3116</v>
          </cell>
          <cell r="J344" t="str">
            <v>mt</v>
          </cell>
        </row>
        <row r="345">
          <cell r="A345" t="str">
            <v>au57300</v>
          </cell>
          <cell r="B345" t="str">
            <v>mt13110</v>
          </cell>
          <cell r="C345" t="str">
            <v>Tornillo con chazo</v>
          </cell>
          <cell r="D345">
            <v>2</v>
          </cell>
          <cell r="E345" t="str">
            <v>un</v>
          </cell>
          <cell r="F345">
            <v>28.999999999999996</v>
          </cell>
          <cell r="G345">
            <v>58</v>
          </cell>
          <cell r="J345" t="str">
            <v>mt</v>
          </cell>
        </row>
        <row r="346">
          <cell r="A346" t="str">
            <v>au57300</v>
          </cell>
          <cell r="B346" t="str">
            <v>mt13120</v>
          </cell>
          <cell r="C346" t="str">
            <v>Tornillo extraplano</v>
          </cell>
          <cell r="D346">
            <v>2.8</v>
          </cell>
          <cell r="E346" t="str">
            <v>un</v>
          </cell>
          <cell r="F346">
            <v>632.19999999999993</v>
          </cell>
          <cell r="G346">
            <v>1771</v>
          </cell>
          <cell r="J346" t="str">
            <v>mt</v>
          </cell>
        </row>
        <row r="347">
          <cell r="A347" t="str">
            <v>au57300</v>
          </cell>
          <cell r="B347" t="str">
            <v>mt13130</v>
          </cell>
          <cell r="C347" t="str">
            <v>Tornillo estandar No. 6x1"</v>
          </cell>
          <cell r="D347">
            <v>23</v>
          </cell>
          <cell r="E347" t="str">
            <v>un</v>
          </cell>
          <cell r="F347">
            <v>15.079999999999998</v>
          </cell>
          <cell r="G347">
            <v>347</v>
          </cell>
          <cell r="J347" t="str">
            <v>mt</v>
          </cell>
        </row>
        <row r="348">
          <cell r="A348" t="str">
            <v>au57300</v>
          </cell>
          <cell r="B348" t="str">
            <v>mt21110</v>
          </cell>
          <cell r="C348" t="str">
            <v>Lana de vidrio 3-1/2"</v>
          </cell>
          <cell r="D348">
            <v>0.06</v>
          </cell>
          <cell r="E348" t="str">
            <v>rollo</v>
          </cell>
          <cell r="F348">
            <v>169244</v>
          </cell>
          <cell r="G348">
            <v>10155</v>
          </cell>
          <cell r="J348" t="str">
            <v>mt</v>
          </cell>
        </row>
        <row r="349">
          <cell r="A349" t="str">
            <v>au57300</v>
          </cell>
          <cell r="B349" t="str">
            <v>mt12510</v>
          </cell>
          <cell r="C349" t="str">
            <v>Adhesivo epoxico</v>
          </cell>
          <cell r="D349">
            <v>0.1</v>
          </cell>
          <cell r="E349" t="str">
            <v>kg</v>
          </cell>
          <cell r="F349">
            <v>3479.9999999999995</v>
          </cell>
          <cell r="G349">
            <v>348</v>
          </cell>
          <cell r="J349" t="str">
            <v>mt</v>
          </cell>
        </row>
        <row r="350">
          <cell r="A350" t="str">
            <v>au57300</v>
          </cell>
          <cell r="B350" t="str">
            <v>mt12520</v>
          </cell>
          <cell r="C350" t="str">
            <v>Masilla acrilica para interiores</v>
          </cell>
          <cell r="D350">
            <v>0.1</v>
          </cell>
          <cell r="E350" t="str">
            <v>cuñ</v>
          </cell>
          <cell r="F350">
            <v>45124</v>
          </cell>
          <cell r="G350">
            <v>4513</v>
          </cell>
          <cell r="J350" t="str">
            <v>mt</v>
          </cell>
        </row>
        <row r="351">
          <cell r="A351" t="str">
            <v>au57300</v>
          </cell>
          <cell r="B351" t="str">
            <v>mt21100</v>
          </cell>
          <cell r="C351" t="str">
            <v>Cinta de fibra de vidrio x 90m</v>
          </cell>
          <cell r="D351">
            <v>1.6E-2</v>
          </cell>
          <cell r="E351" t="str">
            <v>rollo</v>
          </cell>
          <cell r="F351">
            <v>10324</v>
          </cell>
          <cell r="G351">
            <v>166</v>
          </cell>
          <cell r="J351" t="str">
            <v>mt</v>
          </cell>
        </row>
        <row r="352">
          <cell r="A352">
            <v>0</v>
          </cell>
          <cell r="C352" t="str">
            <v>DIRECTO:  57,765 / m2</v>
          </cell>
          <cell r="E352">
            <v>0</v>
          </cell>
          <cell r="F352">
            <v>0</v>
          </cell>
          <cell r="G352">
            <v>0</v>
          </cell>
          <cell r="J352">
            <v>0</v>
          </cell>
        </row>
        <row r="353">
          <cell r="A353">
            <v>0</v>
          </cell>
        </row>
        <row r="354">
          <cell r="A354" t="str">
            <v>au57305</v>
          </cell>
          <cell r="B354" t="str">
            <v>au57305</v>
          </cell>
          <cell r="C354" t="str">
            <v>Aux materiales para muro en superboard 1c</v>
          </cell>
          <cell r="E354" t="str">
            <v>m2</v>
          </cell>
          <cell r="F354">
            <v>0</v>
          </cell>
          <cell r="G354">
            <v>40977</v>
          </cell>
          <cell r="J354" t="str">
            <v>au</v>
          </cell>
        </row>
        <row r="355">
          <cell r="A355" t="str">
            <v>au57305</v>
          </cell>
          <cell r="B355" t="str">
            <v>mt21120</v>
          </cell>
          <cell r="C355" t="str">
            <v>Placa Superboard 2440*1220*8mm</v>
          </cell>
          <cell r="D355">
            <v>0.33593120128997583</v>
          </cell>
          <cell r="E355" t="str">
            <v>un</v>
          </cell>
          <cell r="F355">
            <v>37816</v>
          </cell>
          <cell r="G355">
            <v>12704</v>
          </cell>
          <cell r="J355" t="str">
            <v>mt</v>
          </cell>
        </row>
        <row r="356">
          <cell r="A356" t="str">
            <v>au57305</v>
          </cell>
          <cell r="B356" t="str">
            <v>mt21130</v>
          </cell>
          <cell r="C356" t="str">
            <v>Perfil vertical paral 89 aleta 40mm</v>
          </cell>
          <cell r="D356">
            <v>0.76</v>
          </cell>
          <cell r="E356" t="str">
            <v>un</v>
          </cell>
          <cell r="F356">
            <v>14731.999999999998</v>
          </cell>
          <cell r="G356">
            <v>11197</v>
          </cell>
          <cell r="J356" t="str">
            <v>mt</v>
          </cell>
        </row>
        <row r="357">
          <cell r="A357" t="str">
            <v>au57305</v>
          </cell>
          <cell r="B357" t="str">
            <v>mt21140</v>
          </cell>
          <cell r="C357" t="str">
            <v>Perfil horizontal canal 90</v>
          </cell>
          <cell r="D357">
            <v>0.34</v>
          </cell>
          <cell r="E357" t="str">
            <v>un</v>
          </cell>
          <cell r="F357">
            <v>9164</v>
          </cell>
          <cell r="G357">
            <v>3116</v>
          </cell>
          <cell r="J357" t="str">
            <v>mt</v>
          </cell>
        </row>
        <row r="358">
          <cell r="A358" t="str">
            <v>au57305</v>
          </cell>
          <cell r="B358" t="str">
            <v>mt13110</v>
          </cell>
          <cell r="C358" t="str">
            <v>Tornillo con chazo</v>
          </cell>
          <cell r="D358">
            <v>2</v>
          </cell>
          <cell r="E358" t="str">
            <v>un</v>
          </cell>
          <cell r="F358">
            <v>28.999999999999996</v>
          </cell>
          <cell r="G358">
            <v>58</v>
          </cell>
          <cell r="J358" t="str">
            <v>mt</v>
          </cell>
        </row>
        <row r="359">
          <cell r="A359" t="str">
            <v>au57305</v>
          </cell>
          <cell r="B359" t="str">
            <v>mt13120</v>
          </cell>
          <cell r="C359" t="str">
            <v>Tornillo extraplano</v>
          </cell>
          <cell r="D359">
            <v>1.4</v>
          </cell>
          <cell r="E359" t="str">
            <v>un</v>
          </cell>
          <cell r="F359">
            <v>632.19999999999993</v>
          </cell>
          <cell r="G359">
            <v>886</v>
          </cell>
          <cell r="J359" t="str">
            <v>mt</v>
          </cell>
        </row>
        <row r="360">
          <cell r="A360" t="str">
            <v>au57305</v>
          </cell>
          <cell r="B360" t="str">
            <v>mt13130</v>
          </cell>
          <cell r="C360" t="str">
            <v>Tornillo estandar No. 6x1"</v>
          </cell>
          <cell r="D360">
            <v>23</v>
          </cell>
          <cell r="E360" t="str">
            <v>un</v>
          </cell>
          <cell r="F360">
            <v>15.079999999999998</v>
          </cell>
          <cell r="G360">
            <v>347</v>
          </cell>
          <cell r="J360" t="str">
            <v>mt</v>
          </cell>
        </row>
        <row r="361">
          <cell r="A361" t="str">
            <v>au57305</v>
          </cell>
          <cell r="B361" t="str">
            <v>mt21110</v>
          </cell>
          <cell r="C361" t="str">
            <v>Lana de vidrio 3-1/2"</v>
          </cell>
          <cell r="D361">
            <v>0.06</v>
          </cell>
          <cell r="E361" t="str">
            <v>rollo</v>
          </cell>
          <cell r="F361">
            <v>169244</v>
          </cell>
          <cell r="G361">
            <v>10155</v>
          </cell>
          <cell r="J361" t="str">
            <v>mt</v>
          </cell>
        </row>
        <row r="362">
          <cell r="A362" t="str">
            <v>au57305</v>
          </cell>
          <cell r="B362" t="str">
            <v>mt12510</v>
          </cell>
          <cell r="C362" t="str">
            <v>Adhesivo epoxico</v>
          </cell>
          <cell r="D362">
            <v>0.05</v>
          </cell>
          <cell r="E362" t="str">
            <v>kg</v>
          </cell>
          <cell r="F362">
            <v>3479.9999999999995</v>
          </cell>
          <cell r="G362">
            <v>174</v>
          </cell>
          <cell r="J362" t="str">
            <v>mt</v>
          </cell>
        </row>
        <row r="363">
          <cell r="A363" t="str">
            <v>au57305</v>
          </cell>
          <cell r="B363" t="str">
            <v>mt12520</v>
          </cell>
          <cell r="C363" t="str">
            <v>Masilla acrilica para interiores</v>
          </cell>
          <cell r="D363">
            <v>0.05</v>
          </cell>
          <cell r="E363" t="str">
            <v>cuñ</v>
          </cell>
          <cell r="F363">
            <v>45124</v>
          </cell>
          <cell r="G363">
            <v>2257</v>
          </cell>
          <cell r="J363" t="str">
            <v>mt</v>
          </cell>
        </row>
        <row r="364">
          <cell r="A364" t="str">
            <v>au57305</v>
          </cell>
          <cell r="B364" t="str">
            <v>mt21100</v>
          </cell>
          <cell r="C364" t="str">
            <v>Cinta de fibra de vidrio x 90m</v>
          </cell>
          <cell r="D364">
            <v>8.0000000000000002E-3</v>
          </cell>
          <cell r="E364" t="str">
            <v>rollo</v>
          </cell>
          <cell r="F364">
            <v>10324</v>
          </cell>
          <cell r="G364">
            <v>83</v>
          </cell>
          <cell r="J364" t="str">
            <v>mt</v>
          </cell>
        </row>
        <row r="365">
          <cell r="A365">
            <v>0</v>
          </cell>
          <cell r="C365" t="str">
            <v>DIRECTO:  40,977 / m2</v>
          </cell>
          <cell r="E365">
            <v>0</v>
          </cell>
          <cell r="F365">
            <v>0</v>
          </cell>
          <cell r="G365">
            <v>0</v>
          </cell>
          <cell r="J365">
            <v>0</v>
          </cell>
        </row>
        <row r="366">
          <cell r="A366">
            <v>0</v>
          </cell>
          <cell r="C366">
            <v>0</v>
          </cell>
          <cell r="E366">
            <v>0</v>
          </cell>
          <cell r="F366">
            <v>0</v>
          </cell>
          <cell r="G366">
            <v>0</v>
          </cell>
          <cell r="J366">
            <v>0</v>
          </cell>
        </row>
        <row r="367">
          <cell r="A367" t="str">
            <v>au57310</v>
          </cell>
          <cell r="B367" t="str">
            <v>au57310</v>
          </cell>
          <cell r="C367" t="str">
            <v>Aux materiales para cielo en tablayeso</v>
          </cell>
          <cell r="E367" t="str">
            <v>m2</v>
          </cell>
          <cell r="F367">
            <v>0</v>
          </cell>
          <cell r="G367">
            <v>24741</v>
          </cell>
          <cell r="J367" t="str">
            <v>au</v>
          </cell>
        </row>
        <row r="368">
          <cell r="A368" t="str">
            <v>au57310</v>
          </cell>
          <cell r="B368" t="str">
            <v>mt21125</v>
          </cell>
          <cell r="C368" t="str">
            <v>Placa de yeso 3/8" (166132)</v>
          </cell>
          <cell r="D368">
            <v>0.35272776135447464</v>
          </cell>
          <cell r="E368" t="str">
            <v>un</v>
          </cell>
          <cell r="F368">
            <v>18792</v>
          </cell>
          <cell r="G368">
            <v>6629</v>
          </cell>
          <cell r="J368" t="str">
            <v>mt</v>
          </cell>
        </row>
        <row r="369">
          <cell r="A369" t="str">
            <v>au57310</v>
          </cell>
          <cell r="B369" t="str">
            <v>mt21150</v>
          </cell>
          <cell r="C369" t="str">
            <v>Perfil vertical paral 39</v>
          </cell>
          <cell r="D369">
            <v>0.56000000000000005</v>
          </cell>
          <cell r="E369" t="str">
            <v>un</v>
          </cell>
          <cell r="F369">
            <v>5568</v>
          </cell>
          <cell r="G369">
            <v>3119</v>
          </cell>
          <cell r="J369" t="str">
            <v>mt</v>
          </cell>
        </row>
        <row r="370">
          <cell r="A370" t="str">
            <v>au57310</v>
          </cell>
          <cell r="B370" t="str">
            <v>mt21160</v>
          </cell>
          <cell r="C370" t="str">
            <v>Perfil omega</v>
          </cell>
          <cell r="D370">
            <v>0.81</v>
          </cell>
          <cell r="E370" t="str">
            <v>un</v>
          </cell>
          <cell r="F370">
            <v>5220</v>
          </cell>
          <cell r="G370">
            <v>4229</v>
          </cell>
          <cell r="J370" t="str">
            <v>mt</v>
          </cell>
        </row>
        <row r="371">
          <cell r="A371" t="str">
            <v>au57310</v>
          </cell>
          <cell r="B371" t="str">
            <v>mt21170</v>
          </cell>
          <cell r="C371" t="str">
            <v>Angulo perimetral C20 1"x1"</v>
          </cell>
          <cell r="D371">
            <v>0.42</v>
          </cell>
          <cell r="E371" t="str">
            <v>un</v>
          </cell>
          <cell r="F371">
            <v>2320</v>
          </cell>
          <cell r="G371">
            <v>975</v>
          </cell>
          <cell r="J371" t="str">
            <v>mt</v>
          </cell>
        </row>
        <row r="372">
          <cell r="A372" t="str">
            <v>au57310</v>
          </cell>
          <cell r="B372" t="str">
            <v>mt13110</v>
          </cell>
          <cell r="C372" t="str">
            <v>Tornillo con chazo</v>
          </cell>
          <cell r="D372">
            <v>1.64</v>
          </cell>
          <cell r="E372" t="str">
            <v>un</v>
          </cell>
          <cell r="F372">
            <v>28.999999999999996</v>
          </cell>
          <cell r="G372">
            <v>48</v>
          </cell>
          <cell r="J372" t="str">
            <v>mt</v>
          </cell>
        </row>
        <row r="373">
          <cell r="A373" t="str">
            <v>au57310</v>
          </cell>
          <cell r="B373" t="str">
            <v>mt13120</v>
          </cell>
          <cell r="C373" t="str">
            <v>Tornillo extraplano</v>
          </cell>
          <cell r="D373">
            <v>11.5</v>
          </cell>
          <cell r="E373" t="str">
            <v>un</v>
          </cell>
          <cell r="F373">
            <v>632.19999999999993</v>
          </cell>
          <cell r="G373">
            <v>7271</v>
          </cell>
          <cell r="J373" t="str">
            <v>mt</v>
          </cell>
        </row>
        <row r="374">
          <cell r="A374" t="str">
            <v>au57310</v>
          </cell>
          <cell r="B374" t="str">
            <v>mt13130</v>
          </cell>
          <cell r="C374" t="str">
            <v>Tornillo estandar No. 6x1"</v>
          </cell>
          <cell r="D374">
            <v>8.6</v>
          </cell>
          <cell r="E374" t="str">
            <v>un</v>
          </cell>
          <cell r="F374">
            <v>15.079999999999998</v>
          </cell>
          <cell r="G374">
            <v>130</v>
          </cell>
          <cell r="J374" t="str">
            <v>mt</v>
          </cell>
        </row>
        <row r="375">
          <cell r="A375" t="str">
            <v>au57310</v>
          </cell>
          <cell r="B375" t="str">
            <v>mt12520</v>
          </cell>
          <cell r="C375" t="str">
            <v>Masilla acrilica para interiores</v>
          </cell>
          <cell r="D375">
            <v>0.05</v>
          </cell>
          <cell r="E375" t="str">
            <v>cuñ</v>
          </cell>
          <cell r="F375">
            <v>45124</v>
          </cell>
          <cell r="G375">
            <v>2257</v>
          </cell>
          <cell r="J375" t="str">
            <v>mt</v>
          </cell>
        </row>
        <row r="376">
          <cell r="A376" t="str">
            <v>au57310</v>
          </cell>
          <cell r="B376" t="str">
            <v>mt21100</v>
          </cell>
          <cell r="C376" t="str">
            <v>Cinta de fibra de vidrio x 90m</v>
          </cell>
          <cell r="D376">
            <v>8.0000000000000002E-3</v>
          </cell>
          <cell r="E376" t="str">
            <v>rollo</v>
          </cell>
          <cell r="F376">
            <v>10324</v>
          </cell>
          <cell r="G376">
            <v>83</v>
          </cell>
          <cell r="J376" t="str">
            <v>mt</v>
          </cell>
        </row>
        <row r="377">
          <cell r="A377">
            <v>0</v>
          </cell>
          <cell r="C377" t="str">
            <v>DIRECTO:  24,741 / m2</v>
          </cell>
          <cell r="E377">
            <v>0</v>
          </cell>
          <cell r="F377">
            <v>0</v>
          </cell>
          <cell r="G377">
            <v>0</v>
          </cell>
          <cell r="J377">
            <v>0</v>
          </cell>
        </row>
        <row r="378">
          <cell r="A378">
            <v>0</v>
          </cell>
          <cell r="C378">
            <v>0</v>
          </cell>
          <cell r="E378">
            <v>0</v>
          </cell>
          <cell r="F378">
            <v>0</v>
          </cell>
          <cell r="G378">
            <v>0</v>
          </cell>
          <cell r="J378">
            <v>0</v>
          </cell>
        </row>
      </sheetData>
      <sheetData sheetId="7">
        <row r="1">
          <cell r="D1" t="str">
            <v>clave</v>
          </cell>
          <cell r="E1" t="str">
            <v>MATERIALES</v>
          </cell>
          <cell r="F1" t="str">
            <v>UNIDAD</v>
          </cell>
          <cell r="G1" t="str">
            <v>VALOR CON IVA</v>
          </cell>
          <cell r="H1" t="str">
            <v>IVA</v>
          </cell>
          <cell r="I1" t="str">
            <v>PRECIO SIN IVA</v>
          </cell>
          <cell r="J1" t="str">
            <v>tipo</v>
          </cell>
        </row>
        <row r="2">
          <cell r="D2" t="str">
            <v>au10000</v>
          </cell>
          <cell r="E2" t="str">
            <v>Aux MO ayudante</v>
          </cell>
          <cell r="F2" t="str">
            <v>hr</v>
          </cell>
          <cell r="G2">
            <v>5080</v>
          </cell>
          <cell r="I2">
            <v>5080</v>
          </cell>
          <cell r="J2" t="str">
            <v>mo</v>
          </cell>
        </row>
        <row r="3">
          <cell r="D3" t="str">
            <v>au10100</v>
          </cell>
          <cell r="E3" t="str">
            <v>Aux MO oficial obra negra</v>
          </cell>
          <cell r="F3" t="str">
            <v>hr</v>
          </cell>
          <cell r="G3">
            <v>7619</v>
          </cell>
          <cell r="I3">
            <v>7619</v>
          </cell>
          <cell r="J3" t="str">
            <v>mo</v>
          </cell>
        </row>
        <row r="4">
          <cell r="D4" t="str">
            <v>au10200</v>
          </cell>
          <cell r="E4" t="str">
            <v>Aux MO oficial obra blanca</v>
          </cell>
          <cell r="F4" t="str">
            <v>hr</v>
          </cell>
          <cell r="G4">
            <v>10159</v>
          </cell>
          <cell r="I4">
            <v>10159</v>
          </cell>
          <cell r="J4" t="str">
            <v>mo</v>
          </cell>
        </row>
        <row r="5">
          <cell r="D5" t="str">
            <v>au10220</v>
          </cell>
          <cell r="E5" t="str">
            <v>Aux MO celador</v>
          </cell>
          <cell r="F5" t="str">
            <v>hr</v>
          </cell>
          <cell r="G5">
            <v>6858</v>
          </cell>
          <cell r="I5">
            <v>6858</v>
          </cell>
          <cell r="J5" t="str">
            <v>mo</v>
          </cell>
        </row>
        <row r="6">
          <cell r="D6" t="str">
            <v>au10250</v>
          </cell>
          <cell r="E6" t="str">
            <v>Aux MO oficial obra electrica</v>
          </cell>
          <cell r="F6" t="str">
            <v>hr</v>
          </cell>
          <cell r="G6">
            <v>10159</v>
          </cell>
          <cell r="I6">
            <v>10159</v>
          </cell>
          <cell r="J6" t="str">
            <v>mo</v>
          </cell>
        </row>
        <row r="7">
          <cell r="D7" t="str">
            <v>au10260</v>
          </cell>
          <cell r="E7" t="str">
            <v>Aux MO oficial carpintero</v>
          </cell>
          <cell r="F7" t="str">
            <v>hr</v>
          </cell>
          <cell r="G7">
            <v>12901.168</v>
          </cell>
          <cell r="H7">
            <v>1.6E-2</v>
          </cell>
          <cell r="I7">
            <v>12698</v>
          </cell>
          <cell r="J7" t="str">
            <v>mo</v>
          </cell>
        </row>
        <row r="8">
          <cell r="D8" t="str">
            <v>au10270</v>
          </cell>
          <cell r="E8" t="str">
            <v>Aux MO oficial plomero</v>
          </cell>
          <cell r="F8" t="str">
            <v>hr</v>
          </cell>
          <cell r="G8">
            <v>12698</v>
          </cell>
          <cell r="I8">
            <v>12698</v>
          </cell>
          <cell r="J8" t="str">
            <v>mo</v>
          </cell>
        </row>
        <row r="9">
          <cell r="D9" t="str">
            <v>au10300</v>
          </cell>
          <cell r="E9" t="str">
            <v>Aux andamios metalicos tijera 2 cuerpos</v>
          </cell>
          <cell r="F9" t="str">
            <v>dia</v>
          </cell>
          <cell r="G9">
            <v>2654</v>
          </cell>
          <cell r="I9">
            <v>2654</v>
          </cell>
        </row>
        <row r="10">
          <cell r="D10" t="str">
            <v>au10400</v>
          </cell>
          <cell r="E10" t="str">
            <v>Aux concreto 1500 psi - obra -3/4"</v>
          </cell>
          <cell r="F10" t="str">
            <v>m3</v>
          </cell>
          <cell r="G10">
            <v>211340</v>
          </cell>
          <cell r="I10">
            <v>211340</v>
          </cell>
        </row>
        <row r="11">
          <cell r="D11" t="str">
            <v>au10700</v>
          </cell>
          <cell r="E11" t="str">
            <v>Aux concreto 3000 psi -obra- 3/4"</v>
          </cell>
          <cell r="F11" t="str">
            <v>m3</v>
          </cell>
          <cell r="G11">
            <v>271081</v>
          </cell>
          <cell r="I11">
            <v>271081</v>
          </cell>
        </row>
        <row r="12">
          <cell r="D12" t="str">
            <v>au10800</v>
          </cell>
          <cell r="E12" t="str">
            <v>Aux concreto 3500 psi -obra- 3/4"</v>
          </cell>
          <cell r="F12" t="str">
            <v>m3</v>
          </cell>
          <cell r="G12">
            <v>291298</v>
          </cell>
          <cell r="I12">
            <v>291298</v>
          </cell>
        </row>
        <row r="13">
          <cell r="D13" t="str">
            <v>au10810</v>
          </cell>
          <cell r="E13" t="str">
            <v>Aux concreto 4000 psi -obra- 3/4"</v>
          </cell>
          <cell r="F13" t="str">
            <v>m3</v>
          </cell>
          <cell r="G13">
            <v>318187</v>
          </cell>
          <cell r="I13">
            <v>318187</v>
          </cell>
        </row>
        <row r="14">
          <cell r="D14" t="str">
            <v>au10820</v>
          </cell>
          <cell r="E14" t="str">
            <v>Aux concreto 5000 psi -obra- 3/4"</v>
          </cell>
          <cell r="F14" t="str">
            <v>m3</v>
          </cell>
          <cell r="G14">
            <v>360470</v>
          </cell>
          <cell r="I14">
            <v>360470</v>
          </cell>
        </row>
        <row r="15">
          <cell r="D15" t="str">
            <v>au10900</v>
          </cell>
          <cell r="E15" t="str">
            <v>Aux concreto 3000 psi -obra- 3/8"</v>
          </cell>
          <cell r="F15" t="str">
            <v>m3</v>
          </cell>
          <cell r="G15">
            <v>309658</v>
          </cell>
          <cell r="I15">
            <v>309658</v>
          </cell>
        </row>
        <row r="16">
          <cell r="D16" t="str">
            <v>au11000</v>
          </cell>
          <cell r="E16" t="str">
            <v>Aux curado concreto</v>
          </cell>
          <cell r="F16" t="str">
            <v>m2</v>
          </cell>
          <cell r="G16">
            <v>1490</v>
          </cell>
          <cell r="I16">
            <v>1490</v>
          </cell>
        </row>
        <row r="17">
          <cell r="D17" t="str">
            <v>au11100</v>
          </cell>
          <cell r="E17" t="str">
            <v>Aux formaleta lateral</v>
          </cell>
          <cell r="F17" t="str">
            <v>m</v>
          </cell>
          <cell r="G17">
            <v>4770</v>
          </cell>
          <cell r="I17">
            <v>4770</v>
          </cell>
        </row>
        <row r="18">
          <cell r="D18" t="str">
            <v>au11110</v>
          </cell>
          <cell r="E18" t="str">
            <v>Aux formaleta lateral para bordes de losa h = 50 cm</v>
          </cell>
          <cell r="F18" t="str">
            <v>m</v>
          </cell>
          <cell r="G18">
            <v>9353</v>
          </cell>
          <cell r="I18">
            <v>9353</v>
          </cell>
        </row>
        <row r="19">
          <cell r="D19" t="str">
            <v>au11200</v>
          </cell>
          <cell r="E19" t="str">
            <v>Aux desmoldante -separol-</v>
          </cell>
          <cell r="F19" t="str">
            <v>m2</v>
          </cell>
          <cell r="G19">
            <v>569</v>
          </cell>
          <cell r="I19">
            <v>569</v>
          </cell>
        </row>
        <row r="20">
          <cell r="D20" t="str">
            <v>au11300</v>
          </cell>
          <cell r="E20" t="str">
            <v>Aux formaleta metalica muro-m2 contac-</v>
          </cell>
          <cell r="F20" t="str">
            <v>m2</v>
          </cell>
          <cell r="G20">
            <v>8096</v>
          </cell>
          <cell r="I20">
            <v>8096</v>
          </cell>
        </row>
        <row r="21">
          <cell r="D21" t="str">
            <v>au11500</v>
          </cell>
          <cell r="E21" t="str">
            <v>Aux formaleta losa tradicional hasta h=3 m</v>
          </cell>
          <cell r="F21" t="str">
            <v>m2</v>
          </cell>
          <cell r="G21">
            <v>13817</v>
          </cell>
          <cell r="I21">
            <v>13817</v>
          </cell>
        </row>
        <row r="22">
          <cell r="D22" t="str">
            <v>au11700</v>
          </cell>
          <cell r="E22" t="str">
            <v>Aux mortero de pega 1:4</v>
          </cell>
          <cell r="F22" t="str">
            <v>m3</v>
          </cell>
          <cell r="G22">
            <v>246314</v>
          </cell>
          <cell r="I22">
            <v>246314</v>
          </cell>
        </row>
        <row r="23">
          <cell r="D23" t="str">
            <v>au11710</v>
          </cell>
          <cell r="E23" t="str">
            <v>Aux mortero de pega 1:4 con cemento blanco</v>
          </cell>
          <cell r="F23" t="str">
            <v>m3</v>
          </cell>
          <cell r="G23">
            <v>335569</v>
          </cell>
          <cell r="I23">
            <v>335569</v>
          </cell>
        </row>
        <row r="24">
          <cell r="D24" t="str">
            <v>au11800</v>
          </cell>
          <cell r="E24" t="str">
            <v>Aux mortero de revoque 1:4:1/4</v>
          </cell>
          <cell r="F24" t="str">
            <v>m3</v>
          </cell>
          <cell r="G24">
            <v>266502</v>
          </cell>
          <cell r="I24">
            <v>266502</v>
          </cell>
        </row>
        <row r="25">
          <cell r="D25" t="str">
            <v>au11900</v>
          </cell>
          <cell r="E25" t="str">
            <v>Aux mortero de pega 1:4 impermeabilizado</v>
          </cell>
          <cell r="F25" t="str">
            <v>m3</v>
          </cell>
          <cell r="G25">
            <v>330762</v>
          </cell>
          <cell r="I25">
            <v>330762</v>
          </cell>
        </row>
        <row r="26">
          <cell r="D26" t="str">
            <v>au12300</v>
          </cell>
          <cell r="E26" t="str">
            <v>Aux grouting concreto 3/8 - 210kg/cm2</v>
          </cell>
          <cell r="F26" t="str">
            <v>m3</v>
          </cell>
          <cell r="G26">
            <v>313012</v>
          </cell>
          <cell r="I26">
            <v>313012</v>
          </cell>
        </row>
        <row r="27">
          <cell r="D27" t="str">
            <v>au12400</v>
          </cell>
          <cell r="E27" t="str">
            <v>Aux grouting concreto 3/8 - 120kg/cm2</v>
          </cell>
          <cell r="F27" t="str">
            <v>m3</v>
          </cell>
          <cell r="G27">
            <v>249758</v>
          </cell>
          <cell r="I27">
            <v>249758</v>
          </cell>
        </row>
        <row r="28">
          <cell r="D28" t="str">
            <v>au12800</v>
          </cell>
          <cell r="E28" t="str">
            <v>Aux acero de refuerzo</v>
          </cell>
          <cell r="F28" t="str">
            <v>kg</v>
          </cell>
          <cell r="G28">
            <v>3210</v>
          </cell>
          <cell r="I28">
            <v>3210</v>
          </cell>
        </row>
        <row r="29">
          <cell r="D29" t="str">
            <v>au56700</v>
          </cell>
          <cell r="E29" t="str">
            <v>Aux malla electrosoldada d50</v>
          </cell>
          <cell r="F29" t="str">
            <v>m2</v>
          </cell>
          <cell r="G29">
            <v>3452</v>
          </cell>
          <cell r="I29">
            <v>3452</v>
          </cell>
        </row>
        <row r="30">
          <cell r="D30" t="str">
            <v>au56710</v>
          </cell>
          <cell r="E30" t="str">
            <v>Aux malla electrosoldada d84</v>
          </cell>
          <cell r="F30" t="str">
            <v>m2</v>
          </cell>
          <cell r="G30">
            <v>5254</v>
          </cell>
          <cell r="I30">
            <v>5254</v>
          </cell>
        </row>
        <row r="31">
          <cell r="D31" t="str">
            <v>au56720</v>
          </cell>
          <cell r="E31" t="str">
            <v>Aux malla electrosoldada d131</v>
          </cell>
          <cell r="F31" t="str">
            <v>m2</v>
          </cell>
          <cell r="G31">
            <v>7867</v>
          </cell>
          <cell r="I31">
            <v>7867</v>
          </cell>
        </row>
        <row r="32">
          <cell r="D32" t="str">
            <v>au56800</v>
          </cell>
          <cell r="E32" t="str">
            <v>Dovelas para muros e: 0.20</v>
          </cell>
          <cell r="F32" t="str">
            <v>m</v>
          </cell>
          <cell r="G32">
            <v>15719</v>
          </cell>
          <cell r="I32">
            <v>15719</v>
          </cell>
        </row>
        <row r="33">
          <cell r="D33" t="str">
            <v>au56900</v>
          </cell>
          <cell r="E33" t="str">
            <v>Dovelas para muros e: 0.15</v>
          </cell>
          <cell r="F33" t="str">
            <v>m</v>
          </cell>
          <cell r="G33">
            <v>13515</v>
          </cell>
          <cell r="I33">
            <v>13515</v>
          </cell>
        </row>
        <row r="34">
          <cell r="D34" t="str">
            <v>au57200</v>
          </cell>
          <cell r="E34" t="str">
            <v>Aux muro bloque no.4</v>
          </cell>
          <cell r="F34" t="str">
            <v>m2</v>
          </cell>
          <cell r="G34">
            <v>34399</v>
          </cell>
          <cell r="I34">
            <v>34399</v>
          </cell>
        </row>
        <row r="35">
          <cell r="D35" t="str">
            <v>au57300</v>
          </cell>
          <cell r="E35" t="str">
            <v>Aux materiales para muro en superboard 2c</v>
          </cell>
          <cell r="F35" t="str">
            <v>m2</v>
          </cell>
          <cell r="G35">
            <v>57765</v>
          </cell>
          <cell r="I35">
            <v>57765</v>
          </cell>
        </row>
        <row r="36">
          <cell r="D36" t="str">
            <v>au57305</v>
          </cell>
          <cell r="E36" t="str">
            <v>Aux materiales para muro en superboard 1c</v>
          </cell>
          <cell r="F36" t="str">
            <v>m2</v>
          </cell>
          <cell r="G36">
            <v>40977</v>
          </cell>
          <cell r="I36">
            <v>40977</v>
          </cell>
        </row>
        <row r="37">
          <cell r="D37" t="str">
            <v>au57310</v>
          </cell>
          <cell r="E37" t="str">
            <v>Aux materiales para cielo en tablayeso</v>
          </cell>
          <cell r="F37" t="str">
            <v>m2</v>
          </cell>
          <cell r="G37">
            <v>24741</v>
          </cell>
          <cell r="I37">
            <v>24741</v>
          </cell>
        </row>
        <row r="38">
          <cell r="D38" t="str">
            <v>eq10100</v>
          </cell>
          <cell r="E38" t="str">
            <v>Alineadores</v>
          </cell>
          <cell r="F38" t="str">
            <v>dia</v>
          </cell>
          <cell r="G38">
            <v>1844.3999999999999</v>
          </cell>
          <cell r="H38">
            <v>0.16</v>
          </cell>
          <cell r="I38">
            <v>1590</v>
          </cell>
        </row>
        <row r="39">
          <cell r="D39" t="str">
            <v>eq10400</v>
          </cell>
          <cell r="E39" t="str">
            <v>Andamio 1.5x1.2 de tijera (2 marcos + 2 tijeras) 1 cuerpo</v>
          </cell>
          <cell r="F39" t="str">
            <v>dia</v>
          </cell>
          <cell r="G39">
            <v>846.8</v>
          </cell>
          <cell r="H39">
            <v>0.16</v>
          </cell>
          <cell r="I39">
            <v>730</v>
          </cell>
        </row>
        <row r="40">
          <cell r="D40" t="str">
            <v>eq10600</v>
          </cell>
          <cell r="E40" t="str">
            <v>Angulos esquinero(unir tapas)</v>
          </cell>
          <cell r="F40" t="str">
            <v>dia</v>
          </cell>
          <cell r="G40">
            <v>491.84</v>
          </cell>
          <cell r="H40">
            <v>0.16</v>
          </cell>
          <cell r="I40">
            <v>424</v>
          </cell>
        </row>
        <row r="41">
          <cell r="D41" t="str">
            <v>eq11600</v>
          </cell>
          <cell r="E41" t="str">
            <v>Cercha metalica de 3.00 m</v>
          </cell>
          <cell r="F41" t="str">
            <v>dia</v>
          </cell>
          <cell r="G41">
            <v>294.64</v>
          </cell>
          <cell r="H41">
            <v>0.16</v>
          </cell>
          <cell r="I41">
            <v>254</v>
          </cell>
        </row>
        <row r="42">
          <cell r="D42" t="str">
            <v>eq12900</v>
          </cell>
          <cell r="E42" t="str">
            <v>Vibrocompactador tipo canguro</v>
          </cell>
          <cell r="F42" t="str">
            <v>dia</v>
          </cell>
          <cell r="G42">
            <v>58545.2</v>
          </cell>
          <cell r="H42">
            <v>0.16</v>
          </cell>
          <cell r="I42">
            <v>50470</v>
          </cell>
        </row>
        <row r="43">
          <cell r="D43" t="str">
            <v>eq13100</v>
          </cell>
          <cell r="E43" t="str">
            <v>Coches de llantas</v>
          </cell>
          <cell r="F43" t="str">
            <v>dia</v>
          </cell>
          <cell r="G43">
            <v>1905.8799999999999</v>
          </cell>
          <cell r="H43">
            <v>0.16</v>
          </cell>
          <cell r="I43">
            <v>1643</v>
          </cell>
        </row>
        <row r="44">
          <cell r="D44" t="str">
            <v>eq13300</v>
          </cell>
          <cell r="E44" t="str">
            <v>Concretadora obra 2 sacos electrica</v>
          </cell>
          <cell r="F44" t="str">
            <v>dia</v>
          </cell>
          <cell r="G44">
            <v>43036</v>
          </cell>
          <cell r="H44">
            <v>0.16</v>
          </cell>
          <cell r="I44">
            <v>37100</v>
          </cell>
        </row>
        <row r="45">
          <cell r="D45" t="str">
            <v>eq13400</v>
          </cell>
          <cell r="E45" t="str">
            <v>Corbata 0.60 m</v>
          </cell>
          <cell r="F45" t="str">
            <v>dia</v>
          </cell>
          <cell r="G45">
            <v>147.32</v>
          </cell>
          <cell r="H45">
            <v>0.16</v>
          </cell>
          <cell r="I45">
            <v>127</v>
          </cell>
        </row>
        <row r="46">
          <cell r="D46" t="str">
            <v>eq13500</v>
          </cell>
          <cell r="E46" t="str">
            <v>Cuña perno en t</v>
          </cell>
          <cell r="F46" t="str">
            <v>dia</v>
          </cell>
          <cell r="G46">
            <v>27.839999999999996</v>
          </cell>
          <cell r="H46">
            <v>0.16</v>
          </cell>
          <cell r="I46">
            <v>24</v>
          </cell>
        </row>
        <row r="47">
          <cell r="D47" t="str">
            <v>eq14700</v>
          </cell>
          <cell r="E47" t="str">
            <v>Formaleta entrepiso</v>
          </cell>
          <cell r="F47" t="str">
            <v>m2</v>
          </cell>
          <cell r="G47">
            <v>6691.9072000000015</v>
          </cell>
          <cell r="I47">
            <v>6691.9072000000015</v>
          </cell>
        </row>
        <row r="48">
          <cell r="D48" t="str">
            <v>eq14900</v>
          </cell>
          <cell r="E48" t="str">
            <v>Formaleta lateral</v>
          </cell>
          <cell r="F48" t="str">
            <v>m</v>
          </cell>
          <cell r="G48">
            <v>4770</v>
          </cell>
          <cell r="I48">
            <v>4770</v>
          </cell>
        </row>
        <row r="49">
          <cell r="D49" t="str">
            <v>eq14950</v>
          </cell>
          <cell r="E49" t="str">
            <v>Tabla en madera comun de 1"x 8"- 3m</v>
          </cell>
          <cell r="F49" t="str">
            <v>un</v>
          </cell>
          <cell r="G49">
            <v>2968</v>
          </cell>
          <cell r="I49">
            <v>2968</v>
          </cell>
        </row>
        <row r="50">
          <cell r="D50" t="str">
            <v>eq14970</v>
          </cell>
          <cell r="E50" t="str">
            <v>Repisa de 0.08x0.05x3 m</v>
          </cell>
          <cell r="F50" t="str">
            <v>un</v>
          </cell>
          <cell r="G50">
            <v>1590</v>
          </cell>
          <cell r="I50">
            <v>1590</v>
          </cell>
        </row>
        <row r="51">
          <cell r="D51" t="str">
            <v>eq15200</v>
          </cell>
          <cell r="E51" t="str">
            <v>Formaleta columna</v>
          </cell>
          <cell r="F51" t="str">
            <v>m2</v>
          </cell>
          <cell r="G51">
            <v>6572.5599999999995</v>
          </cell>
          <cell r="H51">
            <v>0.16</v>
          </cell>
          <cell r="I51">
            <v>5666</v>
          </cell>
        </row>
        <row r="52">
          <cell r="D52" t="str">
            <v>eq20300</v>
          </cell>
          <cell r="E52" t="str">
            <v>Taco metalico de 2.80</v>
          </cell>
          <cell r="F52" t="str">
            <v>dia</v>
          </cell>
          <cell r="G52">
            <v>287.68</v>
          </cell>
          <cell r="H52">
            <v>0.16</v>
          </cell>
          <cell r="I52">
            <v>248</v>
          </cell>
        </row>
        <row r="53">
          <cell r="D53" t="str">
            <v>eq20400</v>
          </cell>
          <cell r="E53" t="str">
            <v>Tabla comun - dias</v>
          </cell>
          <cell r="F53" t="str">
            <v>dia</v>
          </cell>
          <cell r="G53">
            <v>258.21600000000001</v>
          </cell>
          <cell r="H53">
            <v>0.16</v>
          </cell>
          <cell r="I53">
            <v>222.60000000000002</v>
          </cell>
        </row>
        <row r="54">
          <cell r="D54" t="str">
            <v>eq20500</v>
          </cell>
          <cell r="E54" t="str">
            <v>Tabla comun - ml</v>
          </cell>
          <cell r="F54" t="str">
            <v>m</v>
          </cell>
          <cell r="G54">
            <v>3400</v>
          </cell>
          <cell r="I54">
            <v>3400</v>
          </cell>
        </row>
        <row r="55">
          <cell r="D55" t="str">
            <v>eq20800</v>
          </cell>
          <cell r="E55" t="str">
            <v>Tapa esquinera 0.30x0,30x2,40m</v>
          </cell>
          <cell r="F55" t="str">
            <v>dia</v>
          </cell>
          <cell r="G55">
            <v>4885.92</v>
          </cell>
          <cell r="H55">
            <v>0.16</v>
          </cell>
          <cell r="I55">
            <v>4212</v>
          </cell>
        </row>
        <row r="56">
          <cell r="D56" t="str">
            <v>eq20900</v>
          </cell>
          <cell r="E56" t="str">
            <v>Tapa metalica muro 0.60x2,40m</v>
          </cell>
          <cell r="F56" t="str">
            <v>dia</v>
          </cell>
          <cell r="G56">
            <v>2902.3199999999997</v>
          </cell>
          <cell r="H56">
            <v>0.16</v>
          </cell>
          <cell r="I56">
            <v>2502</v>
          </cell>
        </row>
        <row r="57">
          <cell r="D57" t="str">
            <v>eq21500</v>
          </cell>
          <cell r="E57" t="str">
            <v>Tornillos (unir tapas entre si)</v>
          </cell>
          <cell r="F57" t="str">
            <v>un</v>
          </cell>
          <cell r="G57">
            <v>23.2</v>
          </cell>
          <cell r="H57">
            <v>0.16</v>
          </cell>
          <cell r="I57">
            <v>20</v>
          </cell>
        </row>
        <row r="58">
          <cell r="D58" t="str">
            <v>eq22100</v>
          </cell>
          <cell r="E58" t="str">
            <v>Vibrador electrico</v>
          </cell>
          <cell r="F58" t="str">
            <v>dia</v>
          </cell>
          <cell r="G58">
            <v>39894.372000000003</v>
          </cell>
          <cell r="H58">
            <v>0.16</v>
          </cell>
          <cell r="I58">
            <v>34391.700000000004</v>
          </cell>
        </row>
        <row r="59">
          <cell r="D59" t="str">
            <v>eq22500</v>
          </cell>
          <cell r="E59" t="str">
            <v>Media telera 1.35*0.45</v>
          </cell>
          <cell r="F59" t="str">
            <v>dia</v>
          </cell>
          <cell r="G59">
            <v>283.03999999999996</v>
          </cell>
          <cell r="H59">
            <v>0.16</v>
          </cell>
          <cell r="I59">
            <v>244</v>
          </cell>
        </row>
        <row r="60">
          <cell r="D60" t="str">
            <v>eq96200</v>
          </cell>
          <cell r="E60" t="str">
            <v>Pulidora electrica manual</v>
          </cell>
          <cell r="F60" t="str">
            <v>dia</v>
          </cell>
          <cell r="G60">
            <v>22040</v>
          </cell>
          <cell r="H60">
            <v>0.16</v>
          </cell>
          <cell r="I60">
            <v>19000</v>
          </cell>
        </row>
        <row r="61">
          <cell r="D61" t="str">
            <v>eq96300</v>
          </cell>
          <cell r="E61" t="str">
            <v>Cortadora de adobe/bloque</v>
          </cell>
          <cell r="F61" t="str">
            <v>dia</v>
          </cell>
          <cell r="G61">
            <v>23267.535199999998</v>
          </cell>
          <cell r="H61">
            <v>0.16</v>
          </cell>
          <cell r="I61">
            <v>20058.22</v>
          </cell>
        </row>
        <row r="62">
          <cell r="D62" t="str">
            <v>eq96310</v>
          </cell>
          <cell r="E62" t="str">
            <v>Cortadora de baldosin</v>
          </cell>
          <cell r="F62" t="str">
            <v>dia</v>
          </cell>
          <cell r="G62">
            <v>6669.9999999999991</v>
          </cell>
          <cell r="H62">
            <v>0.16</v>
          </cell>
          <cell r="I62">
            <v>5750</v>
          </cell>
        </row>
        <row r="63">
          <cell r="D63" t="str">
            <v>eq96400</v>
          </cell>
          <cell r="E63" t="str">
            <v>Disco diamante para cortadora adobe/bloque</v>
          </cell>
          <cell r="F63" t="str">
            <v>un</v>
          </cell>
          <cell r="G63">
            <v>1144000</v>
          </cell>
          <cell r="I63">
            <v>1144000</v>
          </cell>
        </row>
        <row r="64">
          <cell r="D64" t="str">
            <v>eq96500</v>
          </cell>
          <cell r="E64" t="str">
            <v>Allanadora de 36"</v>
          </cell>
          <cell r="F64" t="str">
            <v>dia</v>
          </cell>
          <cell r="G64">
            <v>80040</v>
          </cell>
          <cell r="H64">
            <v>0.16</v>
          </cell>
          <cell r="I64">
            <v>69000</v>
          </cell>
        </row>
        <row r="65">
          <cell r="D65" t="str">
            <v>eq120200</v>
          </cell>
          <cell r="E65" t="str">
            <v>Cortadora de piso</v>
          </cell>
          <cell r="F65" t="str">
            <v>dia</v>
          </cell>
          <cell r="G65">
            <v>52415.759999999995</v>
          </cell>
          <cell r="H65">
            <v>0.16</v>
          </cell>
          <cell r="I65">
            <v>45186</v>
          </cell>
        </row>
        <row r="66">
          <cell r="D66" t="str">
            <v>eq120300</v>
          </cell>
          <cell r="E66" t="str">
            <v>Corte junta hasta 6 cm</v>
          </cell>
          <cell r="F66" t="str">
            <v>m</v>
          </cell>
          <cell r="G66">
            <v>4474.12</v>
          </cell>
          <cell r="H66">
            <v>0.16</v>
          </cell>
          <cell r="I66">
            <v>3857</v>
          </cell>
        </row>
        <row r="67">
          <cell r="D67" t="str">
            <v>gr10900</v>
          </cell>
          <cell r="E67" t="str">
            <v>Arena concreto</v>
          </cell>
          <cell r="F67" t="str">
            <v>m3</v>
          </cell>
          <cell r="G67">
            <v>42400</v>
          </cell>
          <cell r="I67">
            <v>42400</v>
          </cell>
        </row>
        <row r="68">
          <cell r="D68" t="str">
            <v>gr11000</v>
          </cell>
          <cell r="E68" t="str">
            <v>Arena de pega</v>
          </cell>
          <cell r="F68" t="str">
            <v>m3</v>
          </cell>
          <cell r="G68">
            <v>42400</v>
          </cell>
          <cell r="I68">
            <v>42400</v>
          </cell>
        </row>
        <row r="69">
          <cell r="D69" t="str">
            <v>gr11100</v>
          </cell>
          <cell r="E69" t="str">
            <v>Arena de revoque</v>
          </cell>
          <cell r="F69" t="str">
            <v>m3</v>
          </cell>
          <cell r="G69">
            <v>49184</v>
          </cell>
          <cell r="I69">
            <v>49184</v>
          </cell>
        </row>
        <row r="70">
          <cell r="D70" t="str">
            <v>gr12700</v>
          </cell>
          <cell r="E70" t="str">
            <v>Arenilla</v>
          </cell>
          <cell r="F70" t="str">
            <v>m3</v>
          </cell>
          <cell r="G70">
            <v>16900</v>
          </cell>
          <cell r="I70">
            <v>16900</v>
          </cell>
        </row>
        <row r="71">
          <cell r="D71" t="str">
            <v>gr14000</v>
          </cell>
          <cell r="E71" t="str">
            <v>Sub base granular</v>
          </cell>
          <cell r="F71" t="str">
            <v>m3</v>
          </cell>
          <cell r="G71">
            <v>29000</v>
          </cell>
          <cell r="I71">
            <v>29000</v>
          </cell>
        </row>
        <row r="72">
          <cell r="D72" t="str">
            <v>gr21580</v>
          </cell>
          <cell r="E72" t="str">
            <v>Triturado 1"</v>
          </cell>
          <cell r="F72" t="str">
            <v>m3</v>
          </cell>
          <cell r="G72">
            <v>60000</v>
          </cell>
          <cell r="I72">
            <v>60000</v>
          </cell>
        </row>
        <row r="73">
          <cell r="D73" t="str">
            <v>gr21600</v>
          </cell>
          <cell r="E73" t="str">
            <v>Triturado 3/4</v>
          </cell>
          <cell r="F73" t="str">
            <v>m3</v>
          </cell>
          <cell r="G73">
            <v>52200</v>
          </cell>
          <cell r="H73">
            <v>0.16</v>
          </cell>
          <cell r="I73">
            <v>45000</v>
          </cell>
        </row>
        <row r="74">
          <cell r="D74" t="str">
            <v>gr21700</v>
          </cell>
          <cell r="E74" t="str">
            <v>Triturado 3/8</v>
          </cell>
          <cell r="F74" t="str">
            <v>m3</v>
          </cell>
          <cell r="G74">
            <v>52200</v>
          </cell>
          <cell r="H74">
            <v>0.16</v>
          </cell>
          <cell r="I74">
            <v>45000</v>
          </cell>
        </row>
        <row r="75">
          <cell r="D75" t="str">
            <v>hm15100</v>
          </cell>
          <cell r="E75" t="str">
            <v>Herramienta y equipo menor</v>
          </cell>
          <cell r="F75" t="str">
            <v>%</v>
          </cell>
          <cell r="G75">
            <v>0.03</v>
          </cell>
          <cell r="I75">
            <v>0.03</v>
          </cell>
        </row>
        <row r="76">
          <cell r="D76" t="str">
            <v>mo15000</v>
          </cell>
          <cell r="E76" t="str">
            <v>MO vaciado de pedestales en concreto</v>
          </cell>
          <cell r="F76" t="str">
            <v>m3</v>
          </cell>
          <cell r="G76">
            <v>130000</v>
          </cell>
          <cell r="I76">
            <v>130000</v>
          </cell>
        </row>
        <row r="77">
          <cell r="D77" t="str">
            <v>mo15300</v>
          </cell>
          <cell r="E77" t="str">
            <v>MO vaciado de zapatas</v>
          </cell>
          <cell r="F77" t="str">
            <v>m3</v>
          </cell>
          <cell r="G77">
            <v>90000</v>
          </cell>
          <cell r="I77">
            <v>90000</v>
          </cell>
        </row>
        <row r="78">
          <cell r="D78" t="str">
            <v>mo15310</v>
          </cell>
          <cell r="E78" t="str">
            <v>MO vaciado vigas de fundacion</v>
          </cell>
          <cell r="F78" t="str">
            <v>m3</v>
          </cell>
          <cell r="G78">
            <v>113616</v>
          </cell>
          <cell r="I78">
            <v>113616</v>
          </cell>
        </row>
        <row r="79">
          <cell r="D79" t="str">
            <v>mo15400</v>
          </cell>
          <cell r="E79" t="str">
            <v>MO vaciado de placa de contrapiso</v>
          </cell>
          <cell r="F79" t="str">
            <v>m2</v>
          </cell>
          <cell r="G79">
            <v>15000</v>
          </cell>
          <cell r="I79">
            <v>15000</v>
          </cell>
        </row>
        <row r="80">
          <cell r="D80" t="str">
            <v>mo16000</v>
          </cell>
          <cell r="E80" t="str">
            <v>MO excavacion manual</v>
          </cell>
          <cell r="F80" t="str">
            <v>m3</v>
          </cell>
          <cell r="G80">
            <v>13000</v>
          </cell>
          <cell r="I80">
            <v>13000</v>
          </cell>
        </row>
        <row r="81">
          <cell r="D81" t="str">
            <v>mo16050</v>
          </cell>
          <cell r="E81" t="str">
            <v>MO excavacion manual de pilotes</v>
          </cell>
          <cell r="F81" t="str">
            <v>m3</v>
          </cell>
          <cell r="G81">
            <v>35000</v>
          </cell>
          <cell r="I81">
            <v>35000</v>
          </cell>
        </row>
        <row r="82">
          <cell r="D82" t="str">
            <v>mo16100</v>
          </cell>
          <cell r="E82" t="str">
            <v>MO llenos manuales compactados</v>
          </cell>
          <cell r="F82" t="str">
            <v>un</v>
          </cell>
          <cell r="G82">
            <v>13700</v>
          </cell>
          <cell r="I82">
            <v>13700</v>
          </cell>
        </row>
        <row r="83">
          <cell r="D83" t="str">
            <v>mo16200</v>
          </cell>
          <cell r="E83" t="str">
            <v>MO transporte interno de tuberia</v>
          </cell>
          <cell r="F83" t="str">
            <v>m</v>
          </cell>
          <cell r="G83">
            <v>3100</v>
          </cell>
          <cell r="I83">
            <v>3100</v>
          </cell>
        </row>
        <row r="84">
          <cell r="D84" t="str">
            <v>mo16300</v>
          </cell>
          <cell r="E84" t="str">
            <v>MO instalacion de tuberia</v>
          </cell>
          <cell r="F84" t="str">
            <v>m</v>
          </cell>
          <cell r="G84">
            <v>8050</v>
          </cell>
          <cell r="I84">
            <v>8050</v>
          </cell>
        </row>
        <row r="85">
          <cell r="D85" t="str">
            <v>mo16600</v>
          </cell>
          <cell r="E85" t="str">
            <v>MO curador concreto</v>
          </cell>
          <cell r="F85" t="str">
            <v>m2</v>
          </cell>
          <cell r="G85">
            <v>216</v>
          </cell>
          <cell r="I85">
            <v>216</v>
          </cell>
        </row>
        <row r="86">
          <cell r="D86" t="str">
            <v>mo16700</v>
          </cell>
          <cell r="E86" t="str">
            <v>MO transporte descargue de cemento</v>
          </cell>
          <cell r="F86" t="str">
            <v>un</v>
          </cell>
          <cell r="G86">
            <v>231.67872</v>
          </cell>
          <cell r="I86">
            <v>231.67872</v>
          </cell>
        </row>
        <row r="87">
          <cell r="D87" t="str">
            <v>mo16800</v>
          </cell>
          <cell r="E87" t="str">
            <v>MO desmoldante</v>
          </cell>
          <cell r="F87" t="str">
            <v>m2</v>
          </cell>
          <cell r="G87">
            <v>248.45400000000004</v>
          </cell>
          <cell r="I87">
            <v>248.45400000000004</v>
          </cell>
        </row>
        <row r="88">
          <cell r="D88" t="str">
            <v>mo16900</v>
          </cell>
          <cell r="E88" t="str">
            <v>MO ladrillo tolete</v>
          </cell>
          <cell r="F88" t="str">
            <v>un</v>
          </cell>
          <cell r="G88">
            <v>1400</v>
          </cell>
          <cell r="I88">
            <v>1400</v>
          </cell>
        </row>
        <row r="89">
          <cell r="D89" t="str">
            <v>mo16910</v>
          </cell>
          <cell r="E89" t="str">
            <v>MO ladrillo 10x20x40 revitado 2c</v>
          </cell>
          <cell r="F89" t="str">
            <v>un</v>
          </cell>
          <cell r="G89">
            <v>1100</v>
          </cell>
          <cell r="I89">
            <v>1100</v>
          </cell>
        </row>
        <row r="90">
          <cell r="D90" t="str">
            <v>mo17000</v>
          </cell>
          <cell r="E90" t="str">
            <v>MO operario concretadora</v>
          </cell>
          <cell r="F90" t="str">
            <v>m3</v>
          </cell>
          <cell r="G90">
            <v>5940</v>
          </cell>
          <cell r="I90">
            <v>5940</v>
          </cell>
        </row>
        <row r="91">
          <cell r="D91" t="str">
            <v>mo17100</v>
          </cell>
          <cell r="E91" t="str">
            <v>MO preparación concreto</v>
          </cell>
          <cell r="F91" t="str">
            <v xml:space="preserve"> m3</v>
          </cell>
          <cell r="G91">
            <v>16501.968000000001</v>
          </cell>
          <cell r="I91">
            <v>16501.968000000001</v>
          </cell>
        </row>
        <row r="92">
          <cell r="D92" t="str">
            <v>mo17200</v>
          </cell>
          <cell r="E92" t="str">
            <v>MO transporte interno de material proveniente de las excavaciones</v>
          </cell>
          <cell r="F92" t="str">
            <v xml:space="preserve"> m3</v>
          </cell>
          <cell r="G92">
            <v>5100</v>
          </cell>
          <cell r="I92">
            <v>5100</v>
          </cell>
        </row>
        <row r="93">
          <cell r="D93" t="str">
            <v>mo17300</v>
          </cell>
          <cell r="E93" t="str">
            <v>MO transporte interno de material general</v>
          </cell>
          <cell r="F93" t="str">
            <v>un</v>
          </cell>
          <cell r="G93">
            <v>6000</v>
          </cell>
          <cell r="I93">
            <v>6000</v>
          </cell>
        </row>
        <row r="94">
          <cell r="D94" t="str">
            <v>mo17400</v>
          </cell>
          <cell r="E94" t="str">
            <v>MO acarreo interno de material de playa y agregados</v>
          </cell>
          <cell r="F94" t="str">
            <v xml:space="preserve"> m3</v>
          </cell>
          <cell r="G94">
            <v>5048.0640000000003</v>
          </cell>
          <cell r="I94">
            <v>5048.0640000000003</v>
          </cell>
        </row>
        <row r="95">
          <cell r="D95" t="str">
            <v>mo17500</v>
          </cell>
          <cell r="E95" t="str">
            <v>MO transporte interno cemento</v>
          </cell>
          <cell r="F95" t="str">
            <v>bt</v>
          </cell>
          <cell r="G95">
            <v>216</v>
          </cell>
          <cell r="I95">
            <v>216</v>
          </cell>
        </row>
        <row r="96">
          <cell r="D96" t="str">
            <v>mo17600</v>
          </cell>
          <cell r="E96" t="str">
            <v>MO transporte interno concreto</v>
          </cell>
          <cell r="F96" t="str">
            <v>m3</v>
          </cell>
          <cell r="G96">
            <v>6000</v>
          </cell>
          <cell r="I96">
            <v>6000</v>
          </cell>
        </row>
        <row r="97">
          <cell r="D97" t="str">
            <v>mo17700</v>
          </cell>
          <cell r="E97" t="str">
            <v>MO transporte interno mortero</v>
          </cell>
          <cell r="F97" t="str">
            <v>m3</v>
          </cell>
          <cell r="G97">
            <v>6000</v>
          </cell>
          <cell r="I97">
            <v>6000</v>
          </cell>
        </row>
        <row r="98">
          <cell r="D98" t="str">
            <v>mo17800</v>
          </cell>
          <cell r="E98" t="str">
            <v>MO transporte ladrillo</v>
          </cell>
          <cell r="F98" t="str">
            <v>un</v>
          </cell>
          <cell r="G98">
            <v>108</v>
          </cell>
          <cell r="I98">
            <v>108</v>
          </cell>
        </row>
        <row r="99">
          <cell r="D99" t="str">
            <v>mo18000</v>
          </cell>
          <cell r="E99" t="str">
            <v>MO transporte interno bloque</v>
          </cell>
          <cell r="F99" t="str">
            <v>un</v>
          </cell>
          <cell r="G99">
            <v>140</v>
          </cell>
          <cell r="I99">
            <v>140</v>
          </cell>
        </row>
        <row r="100">
          <cell r="D100" t="str">
            <v>mo18110</v>
          </cell>
          <cell r="E100" t="str">
            <v>MO pega bloque 20x20x40</v>
          </cell>
          <cell r="F100" t="str">
            <v>m2</v>
          </cell>
          <cell r="G100">
            <v>16843.84</v>
          </cell>
          <cell r="I100">
            <v>16843.84</v>
          </cell>
        </row>
        <row r="101">
          <cell r="D101" t="str">
            <v>mo18120</v>
          </cell>
          <cell r="E101" t="str">
            <v>MO pega bloque No.4</v>
          </cell>
          <cell r="F101" t="str">
            <v>m2</v>
          </cell>
          <cell r="G101">
            <v>15978</v>
          </cell>
          <cell r="I101">
            <v>15978</v>
          </cell>
        </row>
        <row r="102">
          <cell r="D102" t="str">
            <v>mo18200</v>
          </cell>
          <cell r="E102" t="str">
            <v>MO transporte interno de geotextil</v>
          </cell>
          <cell r="F102" t="str">
            <v>kg</v>
          </cell>
          <cell r="G102">
            <v>100</v>
          </cell>
          <cell r="I102">
            <v>100</v>
          </cell>
        </row>
        <row r="103">
          <cell r="D103" t="str">
            <v>mo18400</v>
          </cell>
          <cell r="E103" t="str">
            <v>MO colocacion acero refuerzo</v>
          </cell>
          <cell r="F103" t="str">
            <v>kg</v>
          </cell>
          <cell r="G103">
            <v>270</v>
          </cell>
          <cell r="I103">
            <v>270</v>
          </cell>
        </row>
        <row r="104">
          <cell r="D104" t="str">
            <v>mo18410</v>
          </cell>
          <cell r="E104" t="str">
            <v>MO corte y figuracion</v>
          </cell>
          <cell r="F104" t="str">
            <v>kg</v>
          </cell>
          <cell r="G104">
            <v>250</v>
          </cell>
          <cell r="I104">
            <v>250</v>
          </cell>
        </row>
        <row r="105">
          <cell r="D105" t="str">
            <v>mo18500</v>
          </cell>
          <cell r="E105" t="str">
            <v>MO armado y vaciado muro de contencion en concreto</v>
          </cell>
          <cell r="F105" t="str">
            <v>m2</v>
          </cell>
          <cell r="G105">
            <v>17780</v>
          </cell>
          <cell r="I105">
            <v>17780</v>
          </cell>
        </row>
        <row r="106">
          <cell r="D106" t="str">
            <v>mo18550</v>
          </cell>
          <cell r="E106" t="str">
            <v>MO armado y vaciado columna</v>
          </cell>
          <cell r="F106" t="str">
            <v>m3</v>
          </cell>
          <cell r="G106">
            <v>160000</v>
          </cell>
          <cell r="I106">
            <v>160000</v>
          </cell>
        </row>
        <row r="107">
          <cell r="D107" t="str">
            <v>mo19200</v>
          </cell>
          <cell r="E107" t="str">
            <v>MO prestaciones sociales 2 smmlv</v>
          </cell>
          <cell r="F107" t="str">
            <v>%</v>
          </cell>
          <cell r="G107">
            <v>0.8640000000000001</v>
          </cell>
          <cell r="I107">
            <v>0.8640000000000001</v>
          </cell>
        </row>
        <row r="108">
          <cell r="D108" t="str">
            <v>mo19700</v>
          </cell>
          <cell r="E108" t="str">
            <v>MO salario mínimo</v>
          </cell>
          <cell r="F108" t="str">
            <v>mes</v>
          </cell>
          <cell r="G108">
            <v>566700</v>
          </cell>
          <cell r="I108">
            <v>566700</v>
          </cell>
        </row>
        <row r="109">
          <cell r="D109" t="str">
            <v>mo44700</v>
          </cell>
          <cell r="E109" t="str">
            <v>MO colocacion malla electrosoldada</v>
          </cell>
          <cell r="F109" t="str">
            <v>m2</v>
          </cell>
          <cell r="G109">
            <v>270</v>
          </cell>
          <cell r="I109">
            <v>270</v>
          </cell>
        </row>
        <row r="110">
          <cell r="D110" t="str">
            <v>mo46100</v>
          </cell>
          <cell r="E110" t="str">
            <v>MO enchape baldosin estampillado</v>
          </cell>
          <cell r="F110" t="str">
            <v>m2</v>
          </cell>
          <cell r="G110">
            <v>12700</v>
          </cell>
          <cell r="I110">
            <v>12700</v>
          </cell>
        </row>
        <row r="111">
          <cell r="D111" t="str">
            <v>mo46800</v>
          </cell>
          <cell r="E111" t="str">
            <v>MO colocacion rejillas en aluminio para piso</v>
          </cell>
          <cell r="F111" t="str">
            <v>un</v>
          </cell>
          <cell r="G111">
            <v>4368</v>
          </cell>
          <cell r="I111">
            <v>4368</v>
          </cell>
        </row>
        <row r="112">
          <cell r="D112" t="str">
            <v>mo48800</v>
          </cell>
          <cell r="E112" t="str">
            <v>MO pintura acrilica sobre estuco 3 manos</v>
          </cell>
          <cell r="F112" t="str">
            <v>m2</v>
          </cell>
          <cell r="G112">
            <v>6112.08</v>
          </cell>
          <cell r="I112">
            <v>6112.08</v>
          </cell>
        </row>
        <row r="113">
          <cell r="D113" t="str">
            <v>mo48810</v>
          </cell>
          <cell r="E113" t="str">
            <v>MO pintura vinilica cielo 2 manos</v>
          </cell>
          <cell r="F113" t="str">
            <v>m2</v>
          </cell>
          <cell r="G113">
            <v>4889.6639999999998</v>
          </cell>
          <cell r="I113">
            <v>4889.6639999999998</v>
          </cell>
        </row>
        <row r="114">
          <cell r="D114" t="str">
            <v>mo51200</v>
          </cell>
          <cell r="E114" t="str">
            <v>MO instalacion espejos</v>
          </cell>
          <cell r="F114" t="str">
            <v>m2</v>
          </cell>
          <cell r="G114">
            <v>50000</v>
          </cell>
          <cell r="I114">
            <v>50000</v>
          </cell>
        </row>
        <row r="115">
          <cell r="D115" t="str">
            <v>mo57400</v>
          </cell>
          <cell r="E115" t="str">
            <v>MO armado y vaciado losa</v>
          </cell>
          <cell r="F115" t="str">
            <v>m2</v>
          </cell>
          <cell r="G115">
            <v>26000</v>
          </cell>
          <cell r="I115">
            <v>26000</v>
          </cell>
        </row>
        <row r="116">
          <cell r="D116" t="str">
            <v>mo57500</v>
          </cell>
          <cell r="E116" t="str">
            <v>MO armado y vaciado vigas aéreas</v>
          </cell>
          <cell r="F116" t="str">
            <v>m3</v>
          </cell>
          <cell r="G116">
            <v>170000</v>
          </cell>
          <cell r="I116">
            <v>170000</v>
          </cell>
        </row>
        <row r="117">
          <cell r="D117" t="str">
            <v>mo60600</v>
          </cell>
          <cell r="E117" t="str">
            <v>MO revoque/pañete muros</v>
          </cell>
          <cell r="F117" t="str">
            <v>m2</v>
          </cell>
          <cell r="G117">
            <v>5986.8</v>
          </cell>
          <cell r="I117">
            <v>5986.8</v>
          </cell>
        </row>
        <row r="118">
          <cell r="D118" t="str">
            <v>mo60700</v>
          </cell>
          <cell r="E118" t="str">
            <v>MO revoque lineales</v>
          </cell>
          <cell r="F118" t="str">
            <v>m</v>
          </cell>
          <cell r="G118">
            <v>2993.4</v>
          </cell>
          <cell r="I118">
            <v>2993.4</v>
          </cell>
        </row>
        <row r="119">
          <cell r="D119" t="str">
            <v>mo62000</v>
          </cell>
          <cell r="E119" t="str">
            <v>MO dovelas mamposteria bloque 15x20x40</v>
          </cell>
          <cell r="F119" t="str">
            <v>m</v>
          </cell>
          <cell r="G119">
            <v>7150</v>
          </cell>
          <cell r="I119">
            <v>7150</v>
          </cell>
        </row>
        <row r="120">
          <cell r="D120" t="str">
            <v>mo62010</v>
          </cell>
          <cell r="E120" t="str">
            <v>MO dovelas mamposteria bloque 20x20x40</v>
          </cell>
          <cell r="F120" t="str">
            <v>m</v>
          </cell>
          <cell r="G120">
            <v>7436</v>
          </cell>
          <cell r="I120">
            <v>7436</v>
          </cell>
        </row>
        <row r="121">
          <cell r="D121" t="str">
            <v>mo63100</v>
          </cell>
          <cell r="E121" t="str">
            <v>MO transporte interno hierro horizontal o vertical</v>
          </cell>
          <cell r="F121" t="str">
            <v xml:space="preserve"> kg</v>
          </cell>
          <cell r="G121">
            <v>70.56</v>
          </cell>
          <cell r="I121">
            <v>70.56</v>
          </cell>
        </row>
        <row r="122">
          <cell r="D122" t="str">
            <v>mo65700</v>
          </cell>
          <cell r="E122" t="str">
            <v>MO localizacion y replanteo estructuras</v>
          </cell>
          <cell r="F122" t="str">
            <v>m2</v>
          </cell>
          <cell r="G122">
            <v>2000</v>
          </cell>
          <cell r="I122">
            <v>2000</v>
          </cell>
        </row>
        <row r="123">
          <cell r="D123" t="str">
            <v>mo65800</v>
          </cell>
          <cell r="E123" t="str">
            <v>MO instalacion cerramiento provisional en tela verde</v>
          </cell>
          <cell r="F123" t="str">
            <v>m</v>
          </cell>
          <cell r="G123">
            <v>5500</v>
          </cell>
          <cell r="I123">
            <v>5500</v>
          </cell>
        </row>
        <row r="124">
          <cell r="D124" t="str">
            <v>mo78670</v>
          </cell>
          <cell r="E124" t="str">
            <v>MO vaciado talon de concreto</v>
          </cell>
          <cell r="F124" t="str">
            <v>m</v>
          </cell>
          <cell r="G124">
            <v>9360</v>
          </cell>
          <cell r="I124">
            <v>9360</v>
          </cell>
        </row>
        <row r="125">
          <cell r="D125" t="str">
            <v>mo78680</v>
          </cell>
          <cell r="E125" t="str">
            <v>MO vaciado zocalo media caña en grano pulido</v>
          </cell>
          <cell r="F125" t="str">
            <v>m</v>
          </cell>
          <cell r="G125">
            <v>20000</v>
          </cell>
          <cell r="I125">
            <v>20000</v>
          </cell>
        </row>
        <row r="126">
          <cell r="D126" t="str">
            <v>mo78690</v>
          </cell>
          <cell r="E126" t="str">
            <v>MO vaciado encharque ducha en grano pulido</v>
          </cell>
          <cell r="F126" t="str">
            <v>gb</v>
          </cell>
          <cell r="G126">
            <v>18000</v>
          </cell>
          <cell r="I126">
            <v>18000</v>
          </cell>
        </row>
        <row r="127">
          <cell r="D127" t="str">
            <v>mo80910</v>
          </cell>
          <cell r="E127" t="str">
            <v>MO armado y vaciado de escalas en concreto</v>
          </cell>
          <cell r="F127" t="str">
            <v>m3</v>
          </cell>
          <cell r="G127">
            <v>251000</v>
          </cell>
          <cell r="I127">
            <v>251000</v>
          </cell>
        </row>
        <row r="128">
          <cell r="D128" t="str">
            <v>mo98400</v>
          </cell>
          <cell r="E128" t="str">
            <v>MO instalacion accesorios baños</v>
          </cell>
          <cell r="F128" t="str">
            <v>un</v>
          </cell>
          <cell r="G128">
            <v>30992</v>
          </cell>
          <cell r="I128">
            <v>30992</v>
          </cell>
        </row>
        <row r="129">
          <cell r="D129" t="str">
            <v>mo104670</v>
          </cell>
          <cell r="E129" t="str">
            <v>MO instalacion piso en madera</v>
          </cell>
          <cell r="F129" t="str">
            <v>m2</v>
          </cell>
          <cell r="G129">
            <v>20000</v>
          </cell>
          <cell r="I129">
            <v>20000</v>
          </cell>
        </row>
        <row r="130">
          <cell r="D130" t="str">
            <v>mo104690</v>
          </cell>
          <cell r="E130" t="str">
            <v>MO instalacion piso en duropiso</v>
          </cell>
          <cell r="F130" t="str">
            <v>m2</v>
          </cell>
          <cell r="G130">
            <v>12735</v>
          </cell>
          <cell r="I130">
            <v>12735</v>
          </cell>
        </row>
        <row r="131">
          <cell r="D131" t="str">
            <v>mo120660</v>
          </cell>
          <cell r="E131" t="str">
            <v>MO vaciado piso en concreto e=5cm</v>
          </cell>
          <cell r="F131" t="str">
            <v>m2</v>
          </cell>
          <cell r="G131">
            <v>15000</v>
          </cell>
          <cell r="I131">
            <v>15000</v>
          </cell>
        </row>
        <row r="132">
          <cell r="D132" t="str">
            <v>mo121300</v>
          </cell>
          <cell r="E132" t="str">
            <v>MO losa lamina colaborante</v>
          </cell>
          <cell r="F132" t="str">
            <v>m2</v>
          </cell>
          <cell r="G132">
            <v>12500</v>
          </cell>
          <cell r="I132">
            <v>12500</v>
          </cell>
        </row>
        <row r="133">
          <cell r="D133" t="str">
            <v>mo124400</v>
          </cell>
          <cell r="E133" t="str">
            <v>MO instalacion flanche/canoa</v>
          </cell>
          <cell r="F133" t="str">
            <v>m</v>
          </cell>
          <cell r="G133">
            <v>15000</v>
          </cell>
          <cell r="I133">
            <v>15000</v>
          </cell>
        </row>
        <row r="134">
          <cell r="D134" t="str">
            <v>mo124500</v>
          </cell>
          <cell r="E134" t="str">
            <v>MO doblado lamina</v>
          </cell>
          <cell r="F134" t="str">
            <v>m</v>
          </cell>
          <cell r="G134">
            <v>10000</v>
          </cell>
          <cell r="I134">
            <v>10000</v>
          </cell>
        </row>
        <row r="135">
          <cell r="D135" t="str">
            <v>mt10800</v>
          </cell>
          <cell r="E135" t="str">
            <v>Antisol blanco curador 20 k o equivalente</v>
          </cell>
          <cell r="F135" t="str">
            <v>kg</v>
          </cell>
          <cell r="G135">
            <v>5742</v>
          </cell>
          <cell r="H135">
            <v>0.16</v>
          </cell>
          <cell r="I135">
            <v>4950</v>
          </cell>
        </row>
        <row r="136">
          <cell r="D136" t="str">
            <v>mt11320</v>
          </cell>
          <cell r="E136" t="str">
            <v>Enchape australia blanco 30x45</v>
          </cell>
          <cell r="F136" t="str">
            <v>m2</v>
          </cell>
          <cell r="G136">
            <v>43866.559999999998</v>
          </cell>
          <cell r="H136">
            <v>0.16</v>
          </cell>
          <cell r="I136">
            <v>37816</v>
          </cell>
        </row>
        <row r="137">
          <cell r="D137" t="str">
            <v>mt11400</v>
          </cell>
          <cell r="E137" t="str">
            <v>Bascula 500 kg</v>
          </cell>
          <cell r="F137" t="str">
            <v>dia</v>
          </cell>
          <cell r="G137">
            <v>13154.4</v>
          </cell>
          <cell r="H137">
            <v>0.16</v>
          </cell>
          <cell r="I137">
            <v>11340</v>
          </cell>
        </row>
        <row r="138">
          <cell r="D138" t="str">
            <v>mt11800</v>
          </cell>
          <cell r="E138" t="str">
            <v>Cal promical</v>
          </cell>
          <cell r="F138" t="str">
            <v>kg</v>
          </cell>
          <cell r="G138">
            <v>497</v>
          </cell>
          <cell r="I138">
            <v>497</v>
          </cell>
        </row>
        <row r="139">
          <cell r="D139" t="str">
            <v>mt12500</v>
          </cell>
          <cell r="E139" t="str">
            <v>Cemento blanco</v>
          </cell>
          <cell r="F139" t="str">
            <v>kg</v>
          </cell>
          <cell r="G139">
            <v>920</v>
          </cell>
          <cell r="I139">
            <v>920</v>
          </cell>
        </row>
        <row r="140">
          <cell r="D140" t="str">
            <v>mt12510</v>
          </cell>
          <cell r="E140" t="str">
            <v>Adhesivo epoxico</v>
          </cell>
          <cell r="F140" t="str">
            <v>kg</v>
          </cell>
          <cell r="G140">
            <v>3479.9999999999995</v>
          </cell>
          <cell r="H140">
            <v>0.16</v>
          </cell>
          <cell r="I140">
            <v>3000</v>
          </cell>
        </row>
        <row r="141">
          <cell r="D141" t="str">
            <v>mt12520</v>
          </cell>
          <cell r="E141" t="str">
            <v>Masilla acrilica para interiores</v>
          </cell>
          <cell r="F141" t="str">
            <v>cuñ</v>
          </cell>
          <cell r="G141">
            <v>45124</v>
          </cell>
          <cell r="H141">
            <v>0.16</v>
          </cell>
          <cell r="I141">
            <v>38900</v>
          </cell>
        </row>
        <row r="142">
          <cell r="D142" t="str">
            <v>mt12530</v>
          </cell>
          <cell r="E142" t="str">
            <v>Estucor estuco plastico x 30 kg</v>
          </cell>
          <cell r="F142" t="str">
            <v>bt</v>
          </cell>
          <cell r="G142">
            <v>60628.56</v>
          </cell>
          <cell r="H142">
            <v>0.16</v>
          </cell>
          <cell r="I142">
            <v>52266</v>
          </cell>
        </row>
        <row r="143">
          <cell r="D143" t="str">
            <v>mt12600</v>
          </cell>
          <cell r="E143" t="str">
            <v>Cemento gris 50 kg tipo I</v>
          </cell>
          <cell r="F143" t="str">
            <v>bt</v>
          </cell>
          <cell r="G143">
            <v>21000</v>
          </cell>
          <cell r="I143">
            <v>21000</v>
          </cell>
        </row>
        <row r="144">
          <cell r="D144" t="str">
            <v>mt13000</v>
          </cell>
          <cell r="E144" t="str">
            <v>Clavo corriente 1-1/2" a 3"</v>
          </cell>
          <cell r="F144" t="str">
            <v>lb</v>
          </cell>
          <cell r="G144">
            <v>2366.3999999999996</v>
          </cell>
          <cell r="H144">
            <v>0.16</v>
          </cell>
          <cell r="I144">
            <v>2040</v>
          </cell>
        </row>
        <row r="145">
          <cell r="D145" t="str">
            <v>mt13110</v>
          </cell>
          <cell r="E145" t="str">
            <v>Tornillo con chazo</v>
          </cell>
          <cell r="F145" t="str">
            <v>un</v>
          </cell>
          <cell r="G145">
            <v>28.999999999999996</v>
          </cell>
          <cell r="H145">
            <v>0.16</v>
          </cell>
          <cell r="I145">
            <v>25</v>
          </cell>
        </row>
        <row r="146">
          <cell r="D146" t="str">
            <v>mt13120</v>
          </cell>
          <cell r="E146" t="str">
            <v>Tornillo extraplano</v>
          </cell>
          <cell r="F146" t="str">
            <v>un</v>
          </cell>
          <cell r="G146">
            <v>632.19999999999993</v>
          </cell>
          <cell r="H146">
            <v>0.16</v>
          </cell>
          <cell r="I146">
            <v>545</v>
          </cell>
        </row>
        <row r="147">
          <cell r="D147" t="str">
            <v>mt13130</v>
          </cell>
          <cell r="E147" t="str">
            <v>Tornillo estandar No. 6x1"</v>
          </cell>
          <cell r="F147" t="str">
            <v>un</v>
          </cell>
          <cell r="G147">
            <v>15.079999999999998</v>
          </cell>
          <cell r="H147">
            <v>0.16</v>
          </cell>
          <cell r="I147">
            <v>13</v>
          </cell>
        </row>
        <row r="148">
          <cell r="D148" t="str">
            <v>mt13900</v>
          </cell>
          <cell r="E148" t="str">
            <v>Elementos de consumo y protección</v>
          </cell>
          <cell r="F148" t="str">
            <v>%</v>
          </cell>
          <cell r="G148">
            <v>1.2455000000000001E-2</v>
          </cell>
          <cell r="I148">
            <v>1.2455000000000001E-2</v>
          </cell>
        </row>
        <row r="149">
          <cell r="D149" t="str">
            <v>mt14200</v>
          </cell>
          <cell r="E149" t="str">
            <v>Tuberia perforada para filtros de 4"</v>
          </cell>
          <cell r="F149" t="str">
            <v>m</v>
          </cell>
          <cell r="G149">
            <v>18914.878799999999</v>
          </cell>
          <cell r="H149">
            <v>0.16</v>
          </cell>
          <cell r="I149">
            <v>16305.93</v>
          </cell>
        </row>
        <row r="150">
          <cell r="D150" t="str">
            <v>mt14300</v>
          </cell>
          <cell r="E150" t="str">
            <v>Estopa blanca</v>
          </cell>
          <cell r="F150" t="str">
            <v>kg</v>
          </cell>
          <cell r="G150">
            <v>2670.3199999999997</v>
          </cell>
          <cell r="H150">
            <v>0.16</v>
          </cell>
          <cell r="I150">
            <v>2302</v>
          </cell>
        </row>
        <row r="151">
          <cell r="D151" t="str">
            <v>mt15500</v>
          </cell>
          <cell r="E151" t="str">
            <v>Ladrillo tolete 15x20x40 perforacion horizontal</v>
          </cell>
          <cell r="F151" t="str">
            <v>un</v>
          </cell>
          <cell r="G151">
            <v>945</v>
          </cell>
          <cell r="I151">
            <v>945</v>
          </cell>
        </row>
        <row r="152">
          <cell r="D152" t="str">
            <v>mt15501</v>
          </cell>
          <cell r="E152" t="str">
            <v>Ladrillo tolete 15x20x40 perforacion vertical</v>
          </cell>
          <cell r="F152" t="str">
            <v>un</v>
          </cell>
          <cell r="G152">
            <v>1645</v>
          </cell>
          <cell r="I152">
            <v>1645</v>
          </cell>
        </row>
        <row r="153">
          <cell r="D153" t="str">
            <v>mt15502</v>
          </cell>
          <cell r="E153" t="str">
            <v>Ladrillo rayado 10x20x40 perforacion horizontal</v>
          </cell>
          <cell r="F153" t="str">
            <v>un</v>
          </cell>
          <cell r="G153">
            <v>670</v>
          </cell>
          <cell r="I153">
            <v>670</v>
          </cell>
        </row>
        <row r="154">
          <cell r="D154" t="str">
            <v>mt15510</v>
          </cell>
          <cell r="E154" t="str">
            <v>Bloque No. 4</v>
          </cell>
          <cell r="F154" t="str">
            <v>un</v>
          </cell>
          <cell r="G154">
            <v>853</v>
          </cell>
          <cell r="I154">
            <v>853</v>
          </cell>
        </row>
        <row r="155">
          <cell r="D155" t="str">
            <v>mt15550</v>
          </cell>
          <cell r="E155" t="str">
            <v>Baldosa 20 mosaico 4 colores</v>
          </cell>
          <cell r="F155" t="str">
            <v>m2</v>
          </cell>
          <cell r="G155">
            <v>45862</v>
          </cell>
          <cell r="I155">
            <v>45862</v>
          </cell>
        </row>
        <row r="156">
          <cell r="D156" t="str">
            <v>mt15560</v>
          </cell>
          <cell r="E156" t="str">
            <v>Baldosa 20 mosaico 2 colores</v>
          </cell>
          <cell r="F156" t="str">
            <v>m2</v>
          </cell>
          <cell r="G156">
            <v>43017</v>
          </cell>
          <cell r="I156">
            <v>43017</v>
          </cell>
        </row>
        <row r="157">
          <cell r="D157" t="str">
            <v>mt15570</v>
          </cell>
          <cell r="E157" t="str">
            <v>Duropiso negro Corona</v>
          </cell>
          <cell r="F157" t="str">
            <v>m2</v>
          </cell>
          <cell r="G157">
            <v>39150</v>
          </cell>
          <cell r="I157">
            <v>39150</v>
          </cell>
        </row>
        <row r="158">
          <cell r="D158" t="str">
            <v>mt15800</v>
          </cell>
          <cell r="E158" t="str">
            <v>Polietileno negro c4 -0.10 kg/m2-</v>
          </cell>
          <cell r="F158" t="str">
            <v>m2</v>
          </cell>
          <cell r="G158">
            <v>454.71999999999997</v>
          </cell>
          <cell r="H158">
            <v>0.16</v>
          </cell>
          <cell r="I158">
            <v>392</v>
          </cell>
        </row>
        <row r="159">
          <cell r="D159" t="str">
            <v>mt15810</v>
          </cell>
          <cell r="E159" t="str">
            <v>Griflex lavamanos</v>
          </cell>
          <cell r="F159" t="str">
            <v>un</v>
          </cell>
          <cell r="G159">
            <v>2300.2799999999997</v>
          </cell>
          <cell r="H159">
            <v>0.16</v>
          </cell>
          <cell r="I159">
            <v>1983</v>
          </cell>
        </row>
        <row r="160">
          <cell r="D160" t="str">
            <v>mt15820</v>
          </cell>
          <cell r="E160" t="str">
            <v>Sifón botella</v>
          </cell>
          <cell r="F160" t="str">
            <v>un</v>
          </cell>
          <cell r="G160">
            <v>4499.6399999999994</v>
          </cell>
          <cell r="H160">
            <v>0.16</v>
          </cell>
          <cell r="I160">
            <v>3879</v>
          </cell>
        </row>
        <row r="161">
          <cell r="D161" t="str">
            <v>mt15841</v>
          </cell>
          <cell r="E161" t="str">
            <v>Lavamanos ref san lorenzo de corona color blanco</v>
          </cell>
          <cell r="F161" t="str">
            <v>un</v>
          </cell>
          <cell r="G161">
            <v>115201.92</v>
          </cell>
          <cell r="H161">
            <v>0.16</v>
          </cell>
          <cell r="I161">
            <v>99312</v>
          </cell>
        </row>
        <row r="162">
          <cell r="D162" t="str">
            <v>mt15850</v>
          </cell>
          <cell r="E162" t="str">
            <v>Lavamanos de colgar ref Milano de corona color blanco</v>
          </cell>
          <cell r="F162" t="str">
            <v>un</v>
          </cell>
          <cell r="G162">
            <v>34055.279999999999</v>
          </cell>
          <cell r="H162">
            <v>0.16</v>
          </cell>
          <cell r="I162">
            <v>29358</v>
          </cell>
        </row>
        <row r="163">
          <cell r="D163" t="str">
            <v>mt15910</v>
          </cell>
          <cell r="E163" t="str">
            <v>Concolor porcelanato negro profundo x 5kg</v>
          </cell>
          <cell r="F163" t="str">
            <v>cj</v>
          </cell>
          <cell r="G163">
            <v>14484</v>
          </cell>
          <cell r="I163">
            <v>14484</v>
          </cell>
        </row>
        <row r="164">
          <cell r="D164" t="str">
            <v>mt16500</v>
          </cell>
          <cell r="E164" t="str">
            <v>Geotextil Pavco NT1600</v>
          </cell>
          <cell r="F164" t="str">
            <v>m2</v>
          </cell>
          <cell r="G164">
            <v>3363.9999999999995</v>
          </cell>
          <cell r="H164">
            <v>0.16</v>
          </cell>
          <cell r="I164">
            <v>2900</v>
          </cell>
        </row>
        <row r="165">
          <cell r="D165" t="str">
            <v>mt16515</v>
          </cell>
          <cell r="E165" t="str">
            <v>Geotextil pp-2500 sika</v>
          </cell>
          <cell r="F165" t="str">
            <v>cj</v>
          </cell>
          <cell r="G165">
            <v>343.35999999999996</v>
          </cell>
          <cell r="H165">
            <v>0.16</v>
          </cell>
          <cell r="I165">
            <v>296</v>
          </cell>
        </row>
        <row r="166">
          <cell r="D166" t="str">
            <v>mt18310</v>
          </cell>
          <cell r="E166" t="str">
            <v>Concolor blanco x 5 kg</v>
          </cell>
          <cell r="F166" t="str">
            <v>kg</v>
          </cell>
          <cell r="G166">
            <v>3072.6080000000002</v>
          </cell>
          <cell r="H166">
            <v>0.16</v>
          </cell>
          <cell r="I166">
            <v>2648.8</v>
          </cell>
        </row>
        <row r="167">
          <cell r="D167" t="str">
            <v>mt18610</v>
          </cell>
          <cell r="E167" t="str">
            <v>Pintura Acriltex</v>
          </cell>
          <cell r="F167" t="str">
            <v>gl</v>
          </cell>
          <cell r="G167">
            <v>91988</v>
          </cell>
          <cell r="H167">
            <v>0.16</v>
          </cell>
          <cell r="I167">
            <v>79300</v>
          </cell>
        </row>
        <row r="168">
          <cell r="D168" t="str">
            <v>mt18620</v>
          </cell>
          <cell r="E168" t="str">
            <v>Barniz para puertas y ventanas en madera</v>
          </cell>
          <cell r="F168" t="str">
            <v>gl</v>
          </cell>
          <cell r="G168">
            <v>40538.400000000001</v>
          </cell>
          <cell r="H168">
            <v>1.6E-2</v>
          </cell>
          <cell r="I168">
            <v>39900</v>
          </cell>
        </row>
        <row r="169">
          <cell r="D169" t="str">
            <v>mt19000</v>
          </cell>
          <cell r="E169" t="str">
            <v>Plastiment-bv-40 reduct/plastif 20 k</v>
          </cell>
          <cell r="F169" t="str">
            <v>kg</v>
          </cell>
          <cell r="G169">
            <v>2828.08</v>
          </cell>
          <cell r="H169">
            <v>0.16</v>
          </cell>
          <cell r="I169">
            <v>2438</v>
          </cell>
        </row>
        <row r="170">
          <cell r="D170" t="str">
            <v>mt19900</v>
          </cell>
          <cell r="E170" t="str">
            <v>Separol- desformaleteante 25 k</v>
          </cell>
          <cell r="F170" t="str">
            <v>kg</v>
          </cell>
          <cell r="G170">
            <v>12296</v>
          </cell>
          <cell r="H170">
            <v>0.16</v>
          </cell>
          <cell r="I170">
            <v>10600</v>
          </cell>
        </row>
        <row r="171">
          <cell r="D171" t="str">
            <v>mt20000</v>
          </cell>
          <cell r="E171" t="str">
            <v>Sika-1 imperm. integ morter 20.0k</v>
          </cell>
          <cell r="F171" t="str">
            <v>kg</v>
          </cell>
          <cell r="G171">
            <v>5800</v>
          </cell>
          <cell r="H171">
            <v>0.16</v>
          </cell>
          <cell r="I171">
            <v>5000</v>
          </cell>
        </row>
        <row r="172">
          <cell r="D172" t="str">
            <v>mt20010</v>
          </cell>
          <cell r="E172" t="str">
            <v>Igol denso</v>
          </cell>
          <cell r="F172" t="str">
            <v>kg</v>
          </cell>
          <cell r="G172">
            <v>10208</v>
          </cell>
          <cell r="H172">
            <v>0.16</v>
          </cell>
          <cell r="I172">
            <v>8800</v>
          </cell>
        </row>
        <row r="173">
          <cell r="D173" t="str">
            <v>mt20020</v>
          </cell>
          <cell r="E173" t="str">
            <v>Igol imprimante</v>
          </cell>
          <cell r="F173" t="str">
            <v>kg</v>
          </cell>
          <cell r="G173">
            <v>11484</v>
          </cell>
          <cell r="H173">
            <v>0.16</v>
          </cell>
          <cell r="I173">
            <v>9900</v>
          </cell>
        </row>
        <row r="174">
          <cell r="D174" t="str">
            <v>mt20030</v>
          </cell>
          <cell r="E174" t="str">
            <v>Sikafloor-3 Quartz Top x 30k</v>
          </cell>
          <cell r="F174" t="str">
            <v>kg</v>
          </cell>
          <cell r="G174">
            <v>916.4</v>
          </cell>
          <cell r="H174">
            <v>0.16</v>
          </cell>
          <cell r="I174">
            <v>790</v>
          </cell>
        </row>
        <row r="175">
          <cell r="D175" t="str">
            <v>mt20051</v>
          </cell>
          <cell r="E175" t="str">
            <v>Sikaplan 12 ntr</v>
          </cell>
          <cell r="F175" t="str">
            <v>m2</v>
          </cell>
          <cell r="G175">
            <v>49200.24</v>
          </cell>
          <cell r="H175">
            <v>0.16</v>
          </cell>
          <cell r="I175">
            <v>42414</v>
          </cell>
        </row>
        <row r="176">
          <cell r="D176" t="str">
            <v>mt20052</v>
          </cell>
          <cell r="E176" t="str">
            <v>Sikaplan 12 nt</v>
          </cell>
          <cell r="F176" t="str">
            <v>m2</v>
          </cell>
          <cell r="G176">
            <v>42640.439999999995</v>
          </cell>
          <cell r="H176">
            <v>0.16</v>
          </cell>
          <cell r="I176">
            <v>36759</v>
          </cell>
        </row>
        <row r="177">
          <cell r="D177" t="str">
            <v>mt20053</v>
          </cell>
          <cell r="E177" t="str">
            <v>Sika metal sheet</v>
          </cell>
          <cell r="F177" t="str">
            <v>m</v>
          </cell>
          <cell r="G177">
            <v>9280</v>
          </cell>
          <cell r="H177">
            <v>0.16</v>
          </cell>
          <cell r="I177">
            <v>8000</v>
          </cell>
        </row>
        <row r="178">
          <cell r="D178" t="str">
            <v>mt20054</v>
          </cell>
          <cell r="E178" t="str">
            <v>Perfil de borde impermeabilizacion tanque</v>
          </cell>
          <cell r="F178" t="str">
            <v>m</v>
          </cell>
          <cell r="G178">
            <v>64992.479999999996</v>
          </cell>
          <cell r="H178">
            <v>0.16</v>
          </cell>
          <cell r="I178">
            <v>56028</v>
          </cell>
        </row>
        <row r="179">
          <cell r="D179" t="str">
            <v>mt20055</v>
          </cell>
          <cell r="E179" t="str">
            <v>Sika primer 215</v>
          </cell>
          <cell r="F179" t="str">
            <v>un</v>
          </cell>
          <cell r="G179">
            <v>76560</v>
          </cell>
          <cell r="H179">
            <v>0.16</v>
          </cell>
          <cell r="I179">
            <v>66000</v>
          </cell>
        </row>
        <row r="180">
          <cell r="D180" t="str">
            <v>mt20056</v>
          </cell>
          <cell r="E180" t="str">
            <v>Sikaflex pro 3wf (600 cc)</v>
          </cell>
          <cell r="F180" t="str">
            <v>un</v>
          </cell>
          <cell r="G180">
            <v>54867.999999999993</v>
          </cell>
          <cell r="H180">
            <v>0.16</v>
          </cell>
          <cell r="I180">
            <v>47300</v>
          </cell>
        </row>
        <row r="181">
          <cell r="D181" t="str">
            <v>mt20057</v>
          </cell>
          <cell r="E181" t="str">
            <v>Anclajes impermeabilizacion tanque</v>
          </cell>
          <cell r="F181" t="str">
            <v>un</v>
          </cell>
          <cell r="G181">
            <v>927.99999999999989</v>
          </cell>
          <cell r="H181">
            <v>0.16</v>
          </cell>
          <cell r="I181">
            <v>800</v>
          </cell>
        </row>
        <row r="182">
          <cell r="D182" t="str">
            <v>mt21000</v>
          </cell>
          <cell r="E182" t="str">
            <v>Cinta teflon carrete azul</v>
          </cell>
          <cell r="F182" t="str">
            <v>un</v>
          </cell>
          <cell r="G182">
            <v>619.43999999999994</v>
          </cell>
          <cell r="H182">
            <v>0.16</v>
          </cell>
          <cell r="I182">
            <v>534</v>
          </cell>
        </row>
        <row r="183">
          <cell r="D183" t="str">
            <v>mt21100</v>
          </cell>
          <cell r="E183" t="str">
            <v>Cinta de fibra de vidrio x 90m</v>
          </cell>
          <cell r="F183" t="str">
            <v>rollo</v>
          </cell>
          <cell r="G183">
            <v>10324</v>
          </cell>
          <cell r="H183">
            <v>0.16</v>
          </cell>
          <cell r="I183">
            <v>8900</v>
          </cell>
        </row>
        <row r="184">
          <cell r="D184" t="str">
            <v>mt21110</v>
          </cell>
          <cell r="E184" t="str">
            <v>Lana de vidrio 3-1/2"</v>
          </cell>
          <cell r="F184" t="str">
            <v>rollo</v>
          </cell>
          <cell r="G184">
            <v>169244</v>
          </cell>
          <cell r="H184">
            <v>0.16</v>
          </cell>
          <cell r="I184">
            <v>145900</v>
          </cell>
        </row>
        <row r="185">
          <cell r="D185" t="str">
            <v>mt21120</v>
          </cell>
          <cell r="E185" t="str">
            <v>Placa Superboard 2440*1220*8mm</v>
          </cell>
          <cell r="F185" t="str">
            <v>un</v>
          </cell>
          <cell r="G185">
            <v>37816</v>
          </cell>
          <cell r="H185">
            <v>0.16</v>
          </cell>
          <cell r="I185">
            <v>32600</v>
          </cell>
        </row>
        <row r="186">
          <cell r="D186" t="str">
            <v>mt21125</v>
          </cell>
          <cell r="E186" t="str">
            <v>Placa de yeso 3/8" (166132)</v>
          </cell>
          <cell r="F186" t="str">
            <v>un</v>
          </cell>
          <cell r="G186">
            <v>18792</v>
          </cell>
          <cell r="H186">
            <v>0.16</v>
          </cell>
          <cell r="I186">
            <v>16200</v>
          </cell>
        </row>
        <row r="187">
          <cell r="D187" t="str">
            <v>mt21130</v>
          </cell>
          <cell r="E187" t="str">
            <v>Perfil vertical paral 89 aleta 40mm</v>
          </cell>
          <cell r="F187" t="str">
            <v>un</v>
          </cell>
          <cell r="G187">
            <v>14731.999999999998</v>
          </cell>
          <cell r="H187">
            <v>0.16</v>
          </cell>
          <cell r="I187">
            <v>12700</v>
          </cell>
        </row>
        <row r="188">
          <cell r="D188" t="str">
            <v>mt21140</v>
          </cell>
          <cell r="E188" t="str">
            <v>Perfil horizontal canal 90</v>
          </cell>
          <cell r="F188" t="str">
            <v>un</v>
          </cell>
          <cell r="G188">
            <v>9164</v>
          </cell>
          <cell r="H188">
            <v>0.16</v>
          </cell>
          <cell r="I188">
            <v>7900</v>
          </cell>
        </row>
        <row r="189">
          <cell r="D189" t="str">
            <v>mt21150</v>
          </cell>
          <cell r="E189" t="str">
            <v>Perfil vertical paral 39</v>
          </cell>
          <cell r="F189" t="str">
            <v>un</v>
          </cell>
          <cell r="G189">
            <v>5568</v>
          </cell>
          <cell r="H189">
            <v>0.16</v>
          </cell>
          <cell r="I189">
            <v>4800</v>
          </cell>
        </row>
        <row r="190">
          <cell r="D190" t="str">
            <v>mt21160</v>
          </cell>
          <cell r="E190" t="str">
            <v>Perfil omega</v>
          </cell>
          <cell r="F190" t="str">
            <v>un</v>
          </cell>
          <cell r="G190">
            <v>5220</v>
          </cell>
          <cell r="H190">
            <v>0.16</v>
          </cell>
          <cell r="I190">
            <v>4500</v>
          </cell>
        </row>
        <row r="191">
          <cell r="D191" t="str">
            <v>mt21170</v>
          </cell>
          <cell r="E191" t="str">
            <v>Angulo perimetral C20 1"x1"</v>
          </cell>
          <cell r="F191" t="str">
            <v>un</v>
          </cell>
          <cell r="G191">
            <v>2320</v>
          </cell>
          <cell r="H191">
            <v>0.16</v>
          </cell>
          <cell r="I191">
            <v>2000</v>
          </cell>
        </row>
        <row r="192">
          <cell r="D192" t="str">
            <v>mt22910</v>
          </cell>
          <cell r="E192" t="str">
            <v>Bloque 20 x 20 x 40 int/2per r13</v>
          </cell>
          <cell r="F192" t="str">
            <v>un</v>
          </cell>
          <cell r="G192">
            <v>3452</v>
          </cell>
          <cell r="I192">
            <v>3452</v>
          </cell>
        </row>
        <row r="193">
          <cell r="D193" t="str">
            <v>mt24200</v>
          </cell>
          <cell r="E193" t="str">
            <v>Alambre de amarrar</v>
          </cell>
          <cell r="F193" t="str">
            <v>kg</v>
          </cell>
          <cell r="G193">
            <v>2441.7999999999997</v>
          </cell>
          <cell r="H193">
            <v>0.16</v>
          </cell>
          <cell r="I193">
            <v>2105</v>
          </cell>
        </row>
        <row r="194">
          <cell r="D194" t="str">
            <v>mt24570</v>
          </cell>
          <cell r="E194" t="str">
            <v>Acero de refuerzo figurado</v>
          </cell>
          <cell r="F194" t="str">
            <v>kg</v>
          </cell>
          <cell r="G194">
            <v>2668</v>
          </cell>
          <cell r="H194">
            <v>0.16</v>
          </cell>
          <cell r="I194">
            <v>2300</v>
          </cell>
        </row>
        <row r="195">
          <cell r="D195" t="str">
            <v>mt24580</v>
          </cell>
          <cell r="E195" t="str">
            <v>Alambrón 4 mm</v>
          </cell>
          <cell r="F195" t="str">
            <v>m</v>
          </cell>
          <cell r="G195">
            <v>342.61759999999998</v>
          </cell>
          <cell r="H195">
            <v>0.16</v>
          </cell>
          <cell r="I195">
            <v>295.36</v>
          </cell>
        </row>
        <row r="196">
          <cell r="D196" t="str">
            <v>mt42800</v>
          </cell>
          <cell r="E196" t="str">
            <v>Malla electrosoldada D50</v>
          </cell>
          <cell r="F196" t="str">
            <v>kg</v>
          </cell>
          <cell r="G196">
            <v>2900</v>
          </cell>
          <cell r="H196">
            <v>0.16</v>
          </cell>
          <cell r="I196">
            <v>2500</v>
          </cell>
        </row>
        <row r="197">
          <cell r="D197" t="str">
            <v>mt42810</v>
          </cell>
          <cell r="E197" t="str">
            <v>Malla electrosoldada D84</v>
          </cell>
          <cell r="F197" t="str">
            <v>kg</v>
          </cell>
          <cell r="G197">
            <v>2900</v>
          </cell>
          <cell r="H197">
            <v>0.16</v>
          </cell>
          <cell r="I197">
            <v>2500</v>
          </cell>
        </row>
        <row r="198">
          <cell r="D198" t="str">
            <v>mt42815</v>
          </cell>
          <cell r="E198" t="str">
            <v>Malla electrosoldada D84</v>
          </cell>
          <cell r="F198" t="str">
            <v>m2</v>
          </cell>
          <cell r="G198">
            <v>3610.8085106382969</v>
          </cell>
          <cell r="H198">
            <v>0.16</v>
          </cell>
          <cell r="I198">
            <v>3112.765957446808</v>
          </cell>
        </row>
        <row r="199">
          <cell r="D199" t="str">
            <v>mt42820</v>
          </cell>
          <cell r="E199" t="str">
            <v>Malla electrosoldada D131</v>
          </cell>
          <cell r="F199" t="str">
            <v>kg</v>
          </cell>
          <cell r="G199">
            <v>2900</v>
          </cell>
          <cell r="H199">
            <v>0.16</v>
          </cell>
          <cell r="I199">
            <v>2500</v>
          </cell>
        </row>
        <row r="200">
          <cell r="D200" t="str">
            <v>mt42825</v>
          </cell>
          <cell r="E200" t="str">
            <v>Malla electrosoldada D188</v>
          </cell>
          <cell r="F200" t="str">
            <v>m2</v>
          </cell>
          <cell r="G200">
            <v>8097.2113475177284</v>
          </cell>
          <cell r="H200">
            <v>0.16</v>
          </cell>
          <cell r="I200">
            <v>6980.354609929077</v>
          </cell>
        </row>
        <row r="201">
          <cell r="D201" t="str">
            <v>mt42830</v>
          </cell>
          <cell r="E201" t="str">
            <v>Malla electrosoldada U221</v>
          </cell>
          <cell r="F201" t="str">
            <v>m2</v>
          </cell>
          <cell r="G201">
            <v>5895.5971631205666</v>
          </cell>
          <cell r="H201">
            <v>0.16</v>
          </cell>
          <cell r="I201">
            <v>5082.4113475177301</v>
          </cell>
        </row>
        <row r="202">
          <cell r="D202" t="str">
            <v>mt42840</v>
          </cell>
          <cell r="E202" t="str">
            <v>Pletina de 1"x1/8"</v>
          </cell>
          <cell r="F202" t="str">
            <v>m</v>
          </cell>
          <cell r="G202">
            <v>1566</v>
          </cell>
          <cell r="H202">
            <v>0.16</v>
          </cell>
          <cell r="I202">
            <v>1350</v>
          </cell>
        </row>
        <row r="203">
          <cell r="D203" t="str">
            <v>mt44400</v>
          </cell>
          <cell r="E203" t="str">
            <v>Alambre recocido (alambre cal 18)</v>
          </cell>
          <cell r="F203" t="str">
            <v>kg</v>
          </cell>
          <cell r="G203">
            <v>4146.2111999999997</v>
          </cell>
          <cell r="H203">
            <v>0.16</v>
          </cell>
          <cell r="I203">
            <v>3574.32</v>
          </cell>
        </row>
        <row r="204">
          <cell r="D204" t="str">
            <v>mt46720</v>
          </cell>
          <cell r="E204" t="str">
            <v>Rejilla en aluminio concentrica 4"</v>
          </cell>
          <cell r="F204" t="str">
            <v>un</v>
          </cell>
          <cell r="G204">
            <v>6380</v>
          </cell>
          <cell r="H204">
            <v>0.16</v>
          </cell>
          <cell r="I204">
            <v>5500</v>
          </cell>
        </row>
        <row r="205">
          <cell r="D205" t="str">
            <v>mt51110</v>
          </cell>
          <cell r="E205" t="str">
            <v>Espejo cristal 5mm</v>
          </cell>
          <cell r="F205" t="str">
            <v>m2</v>
          </cell>
          <cell r="G205">
            <v>54867.999999999993</v>
          </cell>
          <cell r="H205">
            <v>0.16</v>
          </cell>
          <cell r="I205">
            <v>47300</v>
          </cell>
        </row>
        <row r="206">
          <cell r="D206" t="str">
            <v>mt51120</v>
          </cell>
          <cell r="E206" t="str">
            <v>Cerradura para ventana en madera</v>
          </cell>
          <cell r="F206" t="str">
            <v>un</v>
          </cell>
          <cell r="G206">
            <v>152400</v>
          </cell>
          <cell r="H206">
            <v>1.6E-2</v>
          </cell>
          <cell r="I206">
            <v>150000</v>
          </cell>
        </row>
        <row r="207">
          <cell r="D207" t="str">
            <v>mt51130</v>
          </cell>
          <cell r="E207" t="str">
            <v>Cerradura para puerta en madera</v>
          </cell>
          <cell r="F207" t="str">
            <v>un</v>
          </cell>
          <cell r="G207">
            <v>96520</v>
          </cell>
          <cell r="H207">
            <v>1.6E-2</v>
          </cell>
          <cell r="I207">
            <v>95000</v>
          </cell>
        </row>
        <row r="208">
          <cell r="D208" t="str">
            <v>mt51140</v>
          </cell>
          <cell r="E208" t="str">
            <v>Chapa antipanico Yale 170-1/4</v>
          </cell>
          <cell r="F208" t="str">
            <v>un</v>
          </cell>
          <cell r="G208">
            <v>1392000</v>
          </cell>
          <cell r="H208">
            <v>0.16</v>
          </cell>
          <cell r="I208">
            <v>1200000</v>
          </cell>
        </row>
        <row r="209">
          <cell r="D209" t="str">
            <v>mt51150</v>
          </cell>
          <cell r="E209" t="str">
            <v>Chapa antipanico Yale 1 ala</v>
          </cell>
          <cell r="F209" t="str">
            <v>un</v>
          </cell>
          <cell r="G209">
            <v>568400</v>
          </cell>
          <cell r="H209">
            <v>0.16</v>
          </cell>
          <cell r="I209">
            <v>490000</v>
          </cell>
        </row>
        <row r="210">
          <cell r="D210" t="str">
            <v>mt51160</v>
          </cell>
          <cell r="E210" t="str">
            <v>Cerradura para ventana</v>
          </cell>
          <cell r="F210" t="str">
            <v>un</v>
          </cell>
          <cell r="G210">
            <v>174000</v>
          </cell>
          <cell r="H210">
            <v>0.16</v>
          </cell>
          <cell r="I210">
            <v>150000</v>
          </cell>
        </row>
        <row r="211">
          <cell r="D211" t="str">
            <v>mt56200</v>
          </cell>
          <cell r="E211" t="str">
            <v>Canes en madera comun</v>
          </cell>
          <cell r="F211" t="str">
            <v>m</v>
          </cell>
          <cell r="G211">
            <v>1172.2964000000004</v>
          </cell>
          <cell r="I211">
            <v>1172.2964000000004</v>
          </cell>
        </row>
        <row r="212">
          <cell r="D212" t="str">
            <v>mt66000</v>
          </cell>
          <cell r="E212" t="str">
            <v>Durmiente 3m</v>
          </cell>
          <cell r="F212" t="str">
            <v>m</v>
          </cell>
          <cell r="G212">
            <v>1895</v>
          </cell>
          <cell r="I212">
            <v>1895</v>
          </cell>
        </row>
        <row r="213">
          <cell r="D213" t="str">
            <v>mt72610</v>
          </cell>
          <cell r="E213" t="str">
            <v>Griferia de lavamanos electronica antivandalica de grival o equivalente</v>
          </cell>
          <cell r="F213" t="str">
            <v>un</v>
          </cell>
          <cell r="G213">
            <v>508580.71399999992</v>
          </cell>
          <cell r="H213">
            <v>0.16</v>
          </cell>
          <cell r="I213">
            <v>438431.64999999997</v>
          </cell>
        </row>
        <row r="214">
          <cell r="D214" t="str">
            <v>mt72710</v>
          </cell>
          <cell r="E214" t="str">
            <v>Griferia para ducha antivandalica con regadera empotrada de grival o equivalente</v>
          </cell>
          <cell r="F214" t="str">
            <v>un</v>
          </cell>
          <cell r="G214">
            <v>243104.50599999996</v>
          </cell>
          <cell r="H214">
            <v>0.16</v>
          </cell>
          <cell r="I214">
            <v>209572.84999999998</v>
          </cell>
        </row>
        <row r="215">
          <cell r="D215" t="str">
            <v>mt72810</v>
          </cell>
          <cell r="E215" t="str">
            <v>Griferia lavaplatos Galaxy</v>
          </cell>
          <cell r="F215" t="str">
            <v>un</v>
          </cell>
          <cell r="G215">
            <v>61899.92</v>
          </cell>
          <cell r="H215">
            <v>0.16</v>
          </cell>
          <cell r="I215">
            <v>53362</v>
          </cell>
        </row>
        <row r="216">
          <cell r="D216" t="str">
            <v>mt72820</v>
          </cell>
          <cell r="E216" t="str">
            <v>Llave pesada de jardin cromada</v>
          </cell>
          <cell r="F216" t="str">
            <v>un</v>
          </cell>
          <cell r="G216">
            <v>17899.96</v>
          </cell>
          <cell r="H216">
            <v>0.16</v>
          </cell>
          <cell r="I216">
            <v>15431</v>
          </cell>
        </row>
        <row r="217">
          <cell r="D217" t="str">
            <v>mt73000</v>
          </cell>
          <cell r="E217" t="str">
            <v>Taza adriatico tipo corona color blanco</v>
          </cell>
          <cell r="F217" t="str">
            <v>un</v>
          </cell>
          <cell r="G217">
            <v>317755.32</v>
          </cell>
          <cell r="H217">
            <v>0.16</v>
          </cell>
          <cell r="I217">
            <v>273927</v>
          </cell>
        </row>
        <row r="218">
          <cell r="D218" t="str">
            <v>mt73105</v>
          </cell>
          <cell r="E218" t="str">
            <v>Taza Trevi corona color blanco</v>
          </cell>
          <cell r="F218" t="str">
            <v>un</v>
          </cell>
          <cell r="G218">
            <v>84231.079999999987</v>
          </cell>
          <cell r="H218">
            <v>0.16</v>
          </cell>
          <cell r="I218">
            <v>72613</v>
          </cell>
        </row>
        <row r="219">
          <cell r="D219" t="str">
            <v>mt73107</v>
          </cell>
          <cell r="E219" t="str">
            <v>Tanque + tapa Trevi corona color blanco</v>
          </cell>
          <cell r="F219" t="str">
            <v>un</v>
          </cell>
          <cell r="G219">
            <v>65014.52</v>
          </cell>
          <cell r="H219">
            <v>0.16</v>
          </cell>
          <cell r="I219">
            <v>56047</v>
          </cell>
        </row>
        <row r="220">
          <cell r="D220" t="str">
            <v>mt73110</v>
          </cell>
          <cell r="E220" t="str">
            <v>Sanitario Acuajet</v>
          </cell>
          <cell r="F220" t="str">
            <v>un</v>
          </cell>
          <cell r="G220">
            <v>298201.19999999995</v>
          </cell>
          <cell r="H220">
            <v>0.16</v>
          </cell>
          <cell r="I220">
            <v>257070</v>
          </cell>
        </row>
        <row r="221">
          <cell r="D221" t="str">
            <v>mt73120</v>
          </cell>
          <cell r="E221" t="str">
            <v>Griferia para sanitario Acuajet</v>
          </cell>
          <cell r="F221" t="str">
            <v>un</v>
          </cell>
          <cell r="G221">
            <v>30965.039999999997</v>
          </cell>
          <cell r="H221">
            <v>0.16</v>
          </cell>
          <cell r="I221">
            <v>26694</v>
          </cell>
        </row>
        <row r="222">
          <cell r="D222" t="str">
            <v>mt73210</v>
          </cell>
          <cell r="E222" t="str">
            <v>Fluxometro sanitario sensor ref. 706320001</v>
          </cell>
          <cell r="F222" t="str">
            <v>un</v>
          </cell>
          <cell r="G222">
            <v>547900.48</v>
          </cell>
          <cell r="H222">
            <v>0.16</v>
          </cell>
          <cell r="I222">
            <v>472328</v>
          </cell>
        </row>
        <row r="223">
          <cell r="D223" t="str">
            <v>mt73300</v>
          </cell>
          <cell r="E223" t="str">
            <v>Asiento Sanitario Institucional Abierto</v>
          </cell>
          <cell r="F223" t="str">
            <v>un</v>
          </cell>
          <cell r="G223">
            <v>49574.92</v>
          </cell>
          <cell r="H223">
            <v>0.16</v>
          </cell>
          <cell r="I223">
            <v>42737</v>
          </cell>
        </row>
        <row r="224">
          <cell r="D224" t="str">
            <v>mt78521</v>
          </cell>
          <cell r="E224" t="str">
            <v>Orinal Grande de Corona o equivalente</v>
          </cell>
          <cell r="F224" t="str">
            <v>un</v>
          </cell>
          <cell r="G224">
            <v>299986.44</v>
          </cell>
          <cell r="H224">
            <v>0.16</v>
          </cell>
          <cell r="I224">
            <v>258609</v>
          </cell>
        </row>
        <row r="225">
          <cell r="D225" t="str">
            <v>mt78531</v>
          </cell>
          <cell r="E225" t="str">
            <v>Fluxometro orinal sensor ref. 706310001</v>
          </cell>
          <cell r="F225" t="str">
            <v>un</v>
          </cell>
          <cell r="G225">
            <v>500554.84799999994</v>
          </cell>
          <cell r="H225">
            <v>0.16</v>
          </cell>
          <cell r="I225">
            <v>431512.8</v>
          </cell>
        </row>
        <row r="226">
          <cell r="D226" t="str">
            <v>mt78600</v>
          </cell>
          <cell r="E226" t="str">
            <v>Desagüe y sifon para orinal</v>
          </cell>
          <cell r="F226" t="str">
            <v>un</v>
          </cell>
          <cell r="G226">
            <v>10199.879999999999</v>
          </cell>
          <cell r="H226">
            <v>0.16</v>
          </cell>
          <cell r="I226">
            <v>8793</v>
          </cell>
        </row>
        <row r="227">
          <cell r="D227" t="str">
            <v>mt78700</v>
          </cell>
          <cell r="E227" t="str">
            <v>Grapas para orinal</v>
          </cell>
          <cell r="F227" t="str">
            <v>un</v>
          </cell>
          <cell r="G227">
            <v>9108.32</v>
          </cell>
          <cell r="H227">
            <v>0.16</v>
          </cell>
          <cell r="I227">
            <v>7852</v>
          </cell>
        </row>
        <row r="228">
          <cell r="D228" t="str">
            <v>mt80000</v>
          </cell>
          <cell r="E228" t="str">
            <v>Teja policarbonato 0.92x1.22</v>
          </cell>
          <cell r="F228" t="str">
            <v>un</v>
          </cell>
          <cell r="G228">
            <v>41644</v>
          </cell>
          <cell r="H228">
            <v>0.16</v>
          </cell>
          <cell r="I228">
            <v>35900</v>
          </cell>
        </row>
        <row r="229">
          <cell r="D229" t="str">
            <v>mt80010</v>
          </cell>
          <cell r="E229" t="str">
            <v>Forma media caña aluminio 15cmx15cmx3mm</v>
          </cell>
          <cell r="F229" t="str">
            <v>un</v>
          </cell>
          <cell r="G229">
            <v>2300.2799999999997</v>
          </cell>
          <cell r="H229">
            <v>0.16</v>
          </cell>
          <cell r="I229">
            <v>1983</v>
          </cell>
        </row>
        <row r="230">
          <cell r="D230" t="str">
            <v>mt80020</v>
          </cell>
          <cell r="E230" t="str">
            <v>Lechada y granito zocalo media caña 15cm</v>
          </cell>
          <cell r="F230" t="str">
            <v>m</v>
          </cell>
          <cell r="G230">
            <v>7913.8240574506272</v>
          </cell>
          <cell r="H230">
            <v>0.16</v>
          </cell>
          <cell r="I230">
            <v>6822.2621184919208</v>
          </cell>
        </row>
        <row r="231">
          <cell r="D231" t="str">
            <v>mt80030</v>
          </cell>
          <cell r="E231" t="str">
            <v>Lechada y granito encharque ducha</v>
          </cell>
          <cell r="F231" t="str">
            <v>m</v>
          </cell>
          <cell r="G231">
            <v>3135.3677419354835</v>
          </cell>
          <cell r="H231">
            <v>0.16</v>
          </cell>
          <cell r="I231">
            <v>2702.9032258064517</v>
          </cell>
        </row>
        <row r="232">
          <cell r="D232" t="str">
            <v>mt80040</v>
          </cell>
          <cell r="E232" t="str">
            <v>Meson granito negro san gabriel de 50-60cm Roca</v>
          </cell>
          <cell r="F232" t="str">
            <v>m</v>
          </cell>
          <cell r="G232">
            <v>294999.59999999998</v>
          </cell>
          <cell r="H232">
            <v>0.16</v>
          </cell>
          <cell r="I232">
            <v>254310</v>
          </cell>
        </row>
        <row r="233">
          <cell r="D233" t="str">
            <v>mt80050</v>
          </cell>
          <cell r="E233" t="str">
            <v>Banco en granito pulido prefabricado</v>
          </cell>
          <cell r="F233" t="str">
            <v>m</v>
          </cell>
          <cell r="G233">
            <v>406000</v>
          </cell>
          <cell r="H233">
            <v>0.16</v>
          </cell>
          <cell r="I233">
            <v>350000</v>
          </cell>
        </row>
        <row r="234">
          <cell r="D234" t="str">
            <v>mt80055</v>
          </cell>
          <cell r="E234" t="str">
            <v>Lavaescobas en granito blanco prefabricado 42x60x25</v>
          </cell>
          <cell r="F234" t="str">
            <v>m</v>
          </cell>
          <cell r="G234">
            <v>91988</v>
          </cell>
          <cell r="H234">
            <v>0.16</v>
          </cell>
          <cell r="I234">
            <v>79300</v>
          </cell>
        </row>
        <row r="235">
          <cell r="D235" t="str">
            <v>mt98000</v>
          </cell>
          <cell r="E235" t="str">
            <v>Barra fija discapacitados 30" de grival o equivalente</v>
          </cell>
          <cell r="F235" t="str">
            <v>un</v>
          </cell>
          <cell r="G235">
            <v>112900.48</v>
          </cell>
          <cell r="H235">
            <v>0.16</v>
          </cell>
          <cell r="I235">
            <v>97328</v>
          </cell>
        </row>
        <row r="236">
          <cell r="D236" t="str">
            <v>mt98010</v>
          </cell>
          <cell r="E236" t="str">
            <v>Barra fija discapacitados 18" de grival o equivalente</v>
          </cell>
          <cell r="F236" t="str">
            <v>un</v>
          </cell>
          <cell r="G236">
            <v>90899.92</v>
          </cell>
          <cell r="H236">
            <v>0.16</v>
          </cell>
          <cell r="I236">
            <v>78362</v>
          </cell>
        </row>
        <row r="237">
          <cell r="D237" t="str">
            <v>mt98300</v>
          </cell>
          <cell r="E237" t="str">
            <v>Dispensadores de jabon institucional de grival o equivalente</v>
          </cell>
          <cell r="F237" t="str">
            <v>un</v>
          </cell>
          <cell r="G237">
            <v>139899.47999999998</v>
          </cell>
          <cell r="H237">
            <v>0.16</v>
          </cell>
          <cell r="I237">
            <v>120603</v>
          </cell>
        </row>
        <row r="238">
          <cell r="D238" t="str">
            <v>mt98310</v>
          </cell>
          <cell r="E238" t="str">
            <v>Dispensadores de toallas institucional de grival o equivalente</v>
          </cell>
          <cell r="F238" t="str">
            <v>un</v>
          </cell>
          <cell r="G238">
            <v>179899.75999999998</v>
          </cell>
          <cell r="H238">
            <v>0.16</v>
          </cell>
          <cell r="I238">
            <v>155086</v>
          </cell>
        </row>
        <row r="239">
          <cell r="D239" t="str">
            <v>mt98320</v>
          </cell>
          <cell r="E239" t="str">
            <v>Dispensadores de papel higienico ref. 8-aa-845 de accesorios y acabados o equivalente</v>
          </cell>
          <cell r="F239" t="str">
            <v>un</v>
          </cell>
          <cell r="G239">
            <v>208800</v>
          </cell>
          <cell r="H239">
            <v>0.16</v>
          </cell>
          <cell r="I239">
            <v>180000</v>
          </cell>
        </row>
        <row r="240">
          <cell r="D240" t="str">
            <v>mt120810</v>
          </cell>
          <cell r="E240" t="str">
            <v>Tela verde cerramiento h: 2.10 m</v>
          </cell>
          <cell r="F240" t="str">
            <v>m</v>
          </cell>
          <cell r="G240">
            <v>4700</v>
          </cell>
          <cell r="I240">
            <v>4700</v>
          </cell>
        </row>
        <row r="241">
          <cell r="D241" t="str">
            <v>mt121210</v>
          </cell>
          <cell r="E241" t="str">
            <v>Corpalosa cal 20 2"</v>
          </cell>
          <cell r="F241" t="str">
            <v>m2</v>
          </cell>
          <cell r="G241">
            <v>46905</v>
          </cell>
          <cell r="I241">
            <v>46905</v>
          </cell>
        </row>
        <row r="242">
          <cell r="D242" t="str">
            <v>mt124100</v>
          </cell>
          <cell r="E242" t="str">
            <v>Lamina coldrolled cal 22 (1.00x2.20m)</v>
          </cell>
          <cell r="F242" t="str">
            <v>un</v>
          </cell>
          <cell r="G242">
            <v>28290</v>
          </cell>
          <cell r="I242">
            <v>28290</v>
          </cell>
        </row>
        <row r="243">
          <cell r="D243" t="str">
            <v>mt124300</v>
          </cell>
          <cell r="E243" t="str">
            <v>Soportes para canal/flanche</v>
          </cell>
          <cell r="F243" t="str">
            <v>un</v>
          </cell>
          <cell r="G243">
            <v>5700</v>
          </cell>
          <cell r="I243">
            <v>5700</v>
          </cell>
        </row>
        <row r="244">
          <cell r="D244" t="str">
            <v>mt522400</v>
          </cell>
          <cell r="E244" t="str">
            <v>Puerta P15 con marco en lamina C16 de 2x2.1m 2 alas</v>
          </cell>
          <cell r="F244" t="str">
            <v>un</v>
          </cell>
          <cell r="G244">
            <v>1682000</v>
          </cell>
          <cell r="H244">
            <v>0.16</v>
          </cell>
          <cell r="I244">
            <v>1450000</v>
          </cell>
        </row>
        <row r="245">
          <cell r="D245" t="str">
            <v>mt522500</v>
          </cell>
          <cell r="E245" t="str">
            <v>Puerta P16 con marco en lamina C16 de 1.2x2.1m 1 ala</v>
          </cell>
          <cell r="F245" t="str">
            <v>un</v>
          </cell>
          <cell r="G245">
            <v>869999.99999999988</v>
          </cell>
          <cell r="H245">
            <v>0.16</v>
          </cell>
          <cell r="I245">
            <v>750000</v>
          </cell>
        </row>
        <row r="246">
          <cell r="D246" t="str">
            <v>mt522600</v>
          </cell>
          <cell r="E246" t="str">
            <v>Ventanas v25 (0.72x0.48 + 0.64x0.41) para cuarto de proyeccion</v>
          </cell>
          <cell r="F246" t="str">
            <v>m2</v>
          </cell>
          <cell r="G246">
            <v>1345600</v>
          </cell>
          <cell r="H246">
            <v>0.16</v>
          </cell>
          <cell r="I246">
            <v>1160000</v>
          </cell>
        </row>
        <row r="247">
          <cell r="D247" t="str">
            <v>mt522700</v>
          </cell>
          <cell r="E247" t="str">
            <v>Reja en hierro forjado para taquilla 0.7x0.9m (aprox)</v>
          </cell>
          <cell r="F247" t="str">
            <v>m2</v>
          </cell>
          <cell r="G247">
            <v>5800000</v>
          </cell>
          <cell r="H247">
            <v>0.16</v>
          </cell>
          <cell r="I247">
            <v>5000000</v>
          </cell>
        </row>
        <row r="248">
          <cell r="D248" t="str">
            <v>mt539100</v>
          </cell>
          <cell r="E248" t="str">
            <v>Vidrio templado translucido 5mm</v>
          </cell>
          <cell r="F248" t="str">
            <v>m2</v>
          </cell>
          <cell r="G248">
            <v>92846.399999999994</v>
          </cell>
          <cell r="H248">
            <v>0.16</v>
          </cell>
          <cell r="I248">
            <v>80040</v>
          </cell>
        </row>
        <row r="249">
          <cell r="D249" t="str">
            <v>mt571000</v>
          </cell>
          <cell r="E249" t="str">
            <v>Madera cedro</v>
          </cell>
          <cell r="F249" t="str">
            <v>m3</v>
          </cell>
          <cell r="G249">
            <v>2641600</v>
          </cell>
          <cell r="H249">
            <v>1.6E-2</v>
          </cell>
          <cell r="I249">
            <v>2600000</v>
          </cell>
        </row>
        <row r="250">
          <cell r="D250" t="str">
            <v>mt571100</v>
          </cell>
          <cell r="E250" t="str">
            <v>Ala entamborada</v>
          </cell>
          <cell r="F250" t="str">
            <v>un</v>
          </cell>
          <cell r="G250">
            <v>102660</v>
          </cell>
          <cell r="H250">
            <v>0.16</v>
          </cell>
          <cell r="I250">
            <v>88500</v>
          </cell>
        </row>
        <row r="251">
          <cell r="D251" t="str">
            <v>mt572000</v>
          </cell>
          <cell r="E251" t="str">
            <v>Madera macana 1m x 1"</v>
          </cell>
          <cell r="F251" t="str">
            <v>un</v>
          </cell>
          <cell r="G251">
            <v>1219.2</v>
          </cell>
          <cell r="H251">
            <v>1.6E-2</v>
          </cell>
          <cell r="I251">
            <v>1200</v>
          </cell>
        </row>
        <row r="252">
          <cell r="D252" t="str">
            <v>mt573000</v>
          </cell>
          <cell r="E252" t="str">
            <v>Viga en abarco de 4"x8"x6m</v>
          </cell>
          <cell r="F252" t="str">
            <v>un</v>
          </cell>
          <cell r="G252">
            <v>100000</v>
          </cell>
          <cell r="I252">
            <v>100000</v>
          </cell>
        </row>
        <row r="253">
          <cell r="D253" t="str">
            <v>mt573100</v>
          </cell>
          <cell r="E253" t="str">
            <v>Viga en choiba de 8cmx11cmx6m</v>
          </cell>
          <cell r="F253" t="str">
            <v>un</v>
          </cell>
          <cell r="G253">
            <v>45000</v>
          </cell>
          <cell r="I253">
            <v>45000</v>
          </cell>
        </row>
        <row r="254">
          <cell r="D254" t="str">
            <v>mt574000</v>
          </cell>
          <cell r="E254" t="str">
            <v>Tablilla en choiba para piso 1.8x8cm</v>
          </cell>
          <cell r="F254" t="str">
            <v>un</v>
          </cell>
          <cell r="G254">
            <v>30000</v>
          </cell>
          <cell r="I254">
            <v>30000</v>
          </cell>
        </row>
        <row r="255">
          <cell r="D255" t="str">
            <v>mt574100</v>
          </cell>
          <cell r="E255" t="str">
            <v>Tablilla en pino para piso 1.8x8cm</v>
          </cell>
          <cell r="F255" t="str">
            <v>un</v>
          </cell>
          <cell r="G255">
            <v>25000</v>
          </cell>
          <cell r="I255">
            <v>25000</v>
          </cell>
        </row>
        <row r="256">
          <cell r="D256" t="str">
            <v>pv10010</v>
          </cell>
          <cell r="E256" t="str">
            <v>Provision para cenefas y molduras</v>
          </cell>
          <cell r="F256" t="str">
            <v>gb</v>
          </cell>
          <cell r="G256">
            <v>30000</v>
          </cell>
          <cell r="I256">
            <v>30000</v>
          </cell>
        </row>
        <row r="257">
          <cell r="D257" t="str">
            <v>pv10020</v>
          </cell>
          <cell r="E257" t="str">
            <v>Provision para piso en madera escalas</v>
          </cell>
          <cell r="F257" t="str">
            <v>gb</v>
          </cell>
          <cell r="G257">
            <v>70000</v>
          </cell>
          <cell r="I257">
            <v>70000</v>
          </cell>
        </row>
        <row r="258">
          <cell r="D258" t="str">
            <v>pv10030</v>
          </cell>
          <cell r="E258" t="str">
            <v>Provision para escalera escamoteable</v>
          </cell>
          <cell r="F258" t="str">
            <v>gb</v>
          </cell>
          <cell r="G258">
            <v>4000000</v>
          </cell>
          <cell r="I258">
            <v>4000000</v>
          </cell>
        </row>
        <row r="259">
          <cell r="D259" t="str">
            <v>pv10040</v>
          </cell>
          <cell r="E259" t="str">
            <v>Provision para graderias metalicas con acabado en madera</v>
          </cell>
          <cell r="F259" t="str">
            <v>gb</v>
          </cell>
          <cell r="G259">
            <v>33550000</v>
          </cell>
          <cell r="I259">
            <v>33550000</v>
          </cell>
        </row>
        <row r="260">
          <cell r="D260" t="str">
            <v>pv10050</v>
          </cell>
          <cell r="E260" t="str">
            <v>Provision para entrepiso en madera</v>
          </cell>
          <cell r="F260" t="str">
            <v>gb</v>
          </cell>
          <cell r="G260">
            <v>55000000</v>
          </cell>
          <cell r="I260">
            <v>55000000</v>
          </cell>
        </row>
        <row r="261">
          <cell r="D261" t="str">
            <v>pv10060</v>
          </cell>
          <cell r="E261" t="str">
            <v>Provision para estructura metalica escalas</v>
          </cell>
          <cell r="F261" t="str">
            <v>kg</v>
          </cell>
          <cell r="G261">
            <v>10029.359999999999</v>
          </cell>
          <cell r="H261">
            <v>0.16</v>
          </cell>
          <cell r="I261">
            <v>8646</v>
          </cell>
        </row>
        <row r="262">
          <cell r="D262" t="str">
            <v>pv10070</v>
          </cell>
          <cell r="E262" t="str">
            <v>Provision para cerchas metalicas</v>
          </cell>
          <cell r="F262" t="str">
            <v>kg</v>
          </cell>
          <cell r="G262">
            <v>10029.359999999999</v>
          </cell>
          <cell r="H262">
            <v>0.16</v>
          </cell>
          <cell r="I262">
            <v>8646</v>
          </cell>
        </row>
        <row r="263">
          <cell r="D263" t="str">
            <v>pv10080</v>
          </cell>
          <cell r="E263" t="str">
            <v>Provision para vigas metalicas cuarto proyeccion</v>
          </cell>
          <cell r="F263" t="str">
            <v>kg</v>
          </cell>
          <cell r="G263">
            <v>10029.359999999999</v>
          </cell>
          <cell r="H263">
            <v>0.16</v>
          </cell>
          <cell r="I263">
            <v>8646</v>
          </cell>
        </row>
        <row r="264">
          <cell r="D264" t="str">
            <v>pv10090</v>
          </cell>
          <cell r="E264" t="str">
            <v>Provision para vigas metalicas cuarto sonido</v>
          </cell>
          <cell r="F264" t="str">
            <v>kg</v>
          </cell>
          <cell r="G264">
            <v>10029.359999999999</v>
          </cell>
          <cell r="H264">
            <v>0.16</v>
          </cell>
          <cell r="I264">
            <v>8646</v>
          </cell>
        </row>
        <row r="265">
          <cell r="D265" t="str">
            <v>pv10100</v>
          </cell>
          <cell r="E265" t="str">
            <v>Provision para vigas metalicas oficinas segundo piso</v>
          </cell>
          <cell r="F265" t="str">
            <v>kg</v>
          </cell>
          <cell r="G265">
            <v>10029.359999999999</v>
          </cell>
          <cell r="H265">
            <v>0.16</v>
          </cell>
          <cell r="I265">
            <v>8646</v>
          </cell>
        </row>
        <row r="266">
          <cell r="D266" t="str">
            <v>pv10110</v>
          </cell>
          <cell r="E266" t="str">
            <v>Provision para estructura metalica cuelgas iluminacion</v>
          </cell>
          <cell r="F266" t="str">
            <v>kg</v>
          </cell>
          <cell r="G266">
            <v>10029.359999999999</v>
          </cell>
          <cell r="H266">
            <v>0.16</v>
          </cell>
          <cell r="I266">
            <v>8646</v>
          </cell>
        </row>
        <row r="267">
          <cell r="D267" t="str">
            <v>pv10120</v>
          </cell>
          <cell r="E267" t="str">
            <v>Provision para estructura metalica corredores tecnicos</v>
          </cell>
          <cell r="F267" t="str">
            <v>kg</v>
          </cell>
          <cell r="G267">
            <v>10029.359999999999</v>
          </cell>
          <cell r="H267">
            <v>0.16</v>
          </cell>
          <cell r="I267">
            <v>8646</v>
          </cell>
        </row>
        <row r="268">
          <cell r="D268" t="str">
            <v>pv10130</v>
          </cell>
          <cell r="E268" t="str">
            <v>Provision para perfiles galvanizados cubierta</v>
          </cell>
          <cell r="F268" t="str">
            <v>kg</v>
          </cell>
          <cell r="G268">
            <v>10029.359999999999</v>
          </cell>
          <cell r="H268">
            <v>0.16</v>
          </cell>
          <cell r="I268">
            <v>8646</v>
          </cell>
        </row>
        <row r="269">
          <cell r="D269" t="str">
            <v>pv10140</v>
          </cell>
          <cell r="E269" t="str">
            <v>Provision para piso metalico industrial</v>
          </cell>
          <cell r="F269" t="str">
            <v>m2</v>
          </cell>
          <cell r="G269">
            <v>400000</v>
          </cell>
          <cell r="I269">
            <v>400000</v>
          </cell>
        </row>
        <row r="270">
          <cell r="D270" t="str">
            <v>pv10150</v>
          </cell>
          <cell r="E270" t="str">
            <v>Provision para consueta</v>
          </cell>
          <cell r="F270" t="str">
            <v>un</v>
          </cell>
          <cell r="G270">
            <v>4200000</v>
          </cell>
          <cell r="I270">
            <v>4200000</v>
          </cell>
        </row>
        <row r="271">
          <cell r="D271" t="str">
            <v>pv10160</v>
          </cell>
          <cell r="E271" t="str">
            <v>Provision para sillas sin espladar</v>
          </cell>
          <cell r="F271" t="str">
            <v>un</v>
          </cell>
          <cell r="G271">
            <v>3570000</v>
          </cell>
          <cell r="I271">
            <v>3570000</v>
          </cell>
        </row>
        <row r="272">
          <cell r="D272" t="str">
            <v>sc22700</v>
          </cell>
          <cell r="E272" t="str">
            <v>Subcontrato de cargue y botada de material de excavacion masiva</v>
          </cell>
          <cell r="F272" t="str">
            <v>m3</v>
          </cell>
          <cell r="G272">
            <v>18500</v>
          </cell>
          <cell r="I272">
            <v>18500</v>
          </cell>
        </row>
        <row r="273">
          <cell r="D273" t="str">
            <v>sc22900</v>
          </cell>
          <cell r="E273" t="str">
            <v>Subcontrato abastos Jerico</v>
          </cell>
          <cell r="F273" t="str">
            <v>gb</v>
          </cell>
          <cell r="G273">
            <v>16220572</v>
          </cell>
          <cell r="I273">
            <v>16220572</v>
          </cell>
        </row>
        <row r="274">
          <cell r="D274" t="str">
            <v>sc22950</v>
          </cell>
          <cell r="E274" t="str">
            <v>Subcontrato desagües Jerico</v>
          </cell>
          <cell r="F274" t="str">
            <v>gb</v>
          </cell>
          <cell r="G274">
            <v>23588037</v>
          </cell>
          <cell r="I274">
            <v>23588037</v>
          </cell>
        </row>
        <row r="275">
          <cell r="D275" t="str">
            <v>sc22990</v>
          </cell>
          <cell r="E275" t="str">
            <v>Subcontrato electrico Jerico</v>
          </cell>
          <cell r="F275" t="str">
            <v>gb</v>
          </cell>
          <cell r="G275" t="e">
            <v>#REF!</v>
          </cell>
          <cell r="H275">
            <v>0.16</v>
          </cell>
          <cell r="I275" t="e">
            <v>#REF!</v>
          </cell>
        </row>
        <row r="276">
          <cell r="D276" t="str">
            <v>sc22999</v>
          </cell>
          <cell r="E276" t="str">
            <v>Obras ejecutadas en el primer contrato</v>
          </cell>
          <cell r="F276" t="str">
            <v>gb</v>
          </cell>
          <cell r="G276">
            <v>663747480</v>
          </cell>
          <cell r="I276">
            <v>663747480</v>
          </cell>
        </row>
        <row r="277">
          <cell r="D277" t="str">
            <v>sc97410</v>
          </cell>
          <cell r="E277" t="str">
            <v>Subcontrato divisiones metalicas en acero inoxidable</v>
          </cell>
          <cell r="F277" t="str">
            <v>m2</v>
          </cell>
          <cell r="G277">
            <v>621180</v>
          </cell>
          <cell r="H277">
            <v>0.16</v>
          </cell>
          <cell r="I277">
            <v>535500</v>
          </cell>
        </row>
        <row r="278">
          <cell r="D278" t="str">
            <v>sc97420</v>
          </cell>
          <cell r="E278" t="str">
            <v>Subcontrato instalacion puertas y ventanas + AIU</v>
          </cell>
          <cell r="F278" t="str">
            <v>m2</v>
          </cell>
          <cell r="G278">
            <v>544068</v>
          </cell>
          <cell r="H278">
            <v>1.6E-2</v>
          </cell>
          <cell r="I278">
            <v>535500</v>
          </cell>
        </row>
        <row r="279">
          <cell r="D279" t="str">
            <v>sc100100</v>
          </cell>
          <cell r="E279" t="str">
            <v>Anclajes epoxicos - incluye instalacion</v>
          </cell>
          <cell r="F279" t="str">
            <v>un</v>
          </cell>
          <cell r="G279">
            <v>6500</v>
          </cell>
          <cell r="I279">
            <v>6500</v>
          </cell>
        </row>
        <row r="280">
          <cell r="D280" t="str">
            <v>sc104720</v>
          </cell>
          <cell r="E280" t="str">
            <v>Lechada para baldosa color acorde al piso</v>
          </cell>
          <cell r="F280" t="str">
            <v>m2</v>
          </cell>
          <cell r="G280">
            <v>2292.16</v>
          </cell>
          <cell r="H280">
            <v>0.16</v>
          </cell>
          <cell r="I280">
            <v>1976</v>
          </cell>
        </row>
        <row r="281">
          <cell r="D281" t="str">
            <v>sc104730</v>
          </cell>
          <cell r="E281" t="str">
            <v>Transporte baldosa</v>
          </cell>
          <cell r="F281" t="str">
            <v>m2</v>
          </cell>
          <cell r="G281">
            <v>2720.848</v>
          </cell>
          <cell r="H281">
            <v>1.6E-2</v>
          </cell>
          <cell r="I281">
            <v>2678</v>
          </cell>
        </row>
        <row r="282">
          <cell r="D282" t="str">
            <v>sc104740</v>
          </cell>
          <cell r="E282" t="str">
            <v>MO instalacion baldosa</v>
          </cell>
          <cell r="F282" t="str">
            <v>m2</v>
          </cell>
          <cell r="G282">
            <v>10316.464</v>
          </cell>
          <cell r="H282">
            <v>1.6E-2</v>
          </cell>
          <cell r="I282">
            <v>10154</v>
          </cell>
          <cell r="J282" t="str">
            <v>mo</v>
          </cell>
        </row>
        <row r="283">
          <cell r="D283" t="str">
            <v>sc121100</v>
          </cell>
          <cell r="E283" t="str">
            <v>Sc baños en ladrillo 4m2 completo</v>
          </cell>
          <cell r="F283" t="str">
            <v>gb</v>
          </cell>
          <cell r="G283">
            <v>2400000</v>
          </cell>
          <cell r="I283">
            <v>2400000</v>
          </cell>
        </row>
        <row r="284">
          <cell r="D284" t="str">
            <v>sc124200</v>
          </cell>
          <cell r="E284" t="str">
            <v>Suministro y aplicación pintura epoixipol</v>
          </cell>
          <cell r="F284" t="str">
            <v>m2</v>
          </cell>
          <cell r="G284">
            <v>20000</v>
          </cell>
          <cell r="I284">
            <v>20000</v>
          </cell>
          <cell r="J284" t="str">
            <v>mo</v>
          </cell>
        </row>
        <row r="285">
          <cell r="D285" t="str">
            <v>sc525300</v>
          </cell>
          <cell r="E285" t="str">
            <v>Mueble cocineta local cafe 2.50x0.60m. Incluye mueble bajo y superficie en acero inoxidable</v>
          </cell>
          <cell r="F285" t="str">
            <v>un</v>
          </cell>
          <cell r="G285">
            <v>1739999.9999999998</v>
          </cell>
          <cell r="H285">
            <v>0.16</v>
          </cell>
          <cell r="I285">
            <v>1500000</v>
          </cell>
        </row>
        <row r="286">
          <cell r="D286" t="str">
            <v>sc539100</v>
          </cell>
          <cell r="E286" t="str">
            <v>Cubierta plana teja grafada tipo sandwich hunter douglas ref 333C, lámina aluzinc c24 cara superior y c26 cara inferior, pintura poliester horneada ambas caras, aislamiento en fibra de vidrio, tornillo autoperforante y clip fijación.</v>
          </cell>
          <cell r="F286" t="str">
            <v>m2</v>
          </cell>
          <cell r="G286">
            <v>146160</v>
          </cell>
          <cell r="H286">
            <v>8.0000000000000002E-3</v>
          </cell>
          <cell r="I286">
            <v>145000</v>
          </cell>
        </row>
        <row r="287">
          <cell r="D287" t="str">
            <v>sc550200</v>
          </cell>
          <cell r="E287" t="str">
            <v>Pasamanos tubular acero inox + vidrio laminado</v>
          </cell>
          <cell r="F287" t="str">
            <v>m</v>
          </cell>
          <cell r="G287">
            <v>696000</v>
          </cell>
          <cell r="H287">
            <v>0.16</v>
          </cell>
          <cell r="I287">
            <v>600000</v>
          </cell>
        </row>
        <row r="288">
          <cell r="D288" t="str">
            <v>sc550300</v>
          </cell>
          <cell r="E288" t="str">
            <v>Pasamanos tubular acero inoxidable</v>
          </cell>
          <cell r="F288" t="str">
            <v>m</v>
          </cell>
          <cell r="G288">
            <v>521999.99999999994</v>
          </cell>
          <cell r="H288">
            <v>0.16</v>
          </cell>
          <cell r="I288">
            <v>450000</v>
          </cell>
        </row>
        <row r="289">
          <cell r="D289" t="str">
            <v>tp17900</v>
          </cell>
          <cell r="E289" t="str">
            <v>Transporte de equipo menor</v>
          </cell>
          <cell r="F289" t="str">
            <v>vj</v>
          </cell>
          <cell r="G289">
            <v>144200</v>
          </cell>
          <cell r="I289">
            <v>144200</v>
          </cell>
        </row>
        <row r="290">
          <cell r="D290" t="str">
            <v>tp28100</v>
          </cell>
          <cell r="E290" t="str">
            <v>Transporte de equipo menor</v>
          </cell>
          <cell r="F290" t="str">
            <v>vj</v>
          </cell>
          <cell r="G290">
            <v>133400</v>
          </cell>
          <cell r="H290">
            <v>0.16</v>
          </cell>
          <cell r="I290">
            <v>115000</v>
          </cell>
        </row>
        <row r="291">
          <cell r="D291" t="str">
            <v>tp105000</v>
          </cell>
          <cell r="E291" t="str">
            <v>Transporte de agregados en volqueta</v>
          </cell>
          <cell r="F291" t="str">
            <v>m3-km</v>
          </cell>
          <cell r="G291">
            <v>436.50799999999998</v>
          </cell>
          <cell r="H291">
            <v>0.16</v>
          </cell>
          <cell r="I291">
            <v>376.3</v>
          </cell>
        </row>
        <row r="292">
          <cell r="D292" t="str">
            <v>tp500020</v>
          </cell>
          <cell r="E292" t="str">
            <v>Transporte puertas y ventanas</v>
          </cell>
          <cell r="F292" t="str">
            <v>m2</v>
          </cell>
          <cell r="G292">
            <v>50800</v>
          </cell>
          <cell r="H292">
            <v>1.6E-2</v>
          </cell>
          <cell r="I292">
            <v>50000</v>
          </cell>
        </row>
        <row r="293">
          <cell r="D293" t="str">
            <v>tp500030</v>
          </cell>
          <cell r="E293" t="str">
            <v>Transporte a Jerico</v>
          </cell>
          <cell r="F293" t="str">
            <v>ton</v>
          </cell>
          <cell r="G293">
            <v>35000</v>
          </cell>
          <cell r="I293">
            <v>35000</v>
          </cell>
        </row>
      </sheetData>
      <sheetData sheetId="8">
        <row r="4">
          <cell r="B4" t="str">
            <v>CALCULO DE CANTIDADES DE OBRA</v>
          </cell>
        </row>
        <row r="5">
          <cell r="B5" t="str">
            <v>OBRA:</v>
          </cell>
          <cell r="C5" t="str">
            <v>TEATRO JERICO</v>
          </cell>
          <cell r="H5" t="str">
            <v>ELABORÓ:</v>
          </cell>
          <cell r="O5" t="str">
            <v>FECHA:</v>
          </cell>
          <cell r="U5" t="str">
            <v>HOJA:</v>
          </cell>
        </row>
        <row r="6">
          <cell r="H6" t="str">
            <v>M.R.M.V.</v>
          </cell>
          <cell r="O6" t="str">
            <v>ABR/12</v>
          </cell>
        </row>
        <row r="7">
          <cell r="B7" t="str">
            <v>CANT</v>
          </cell>
          <cell r="C7" t="str">
            <v>LARGO</v>
          </cell>
          <cell r="D7" t="str">
            <v>ANCHO</v>
          </cell>
          <cell r="E7" t="str">
            <v>ALTURA</v>
          </cell>
          <cell r="F7" t="str">
            <v>FACTOR</v>
          </cell>
          <cell r="G7" t="str">
            <v>TOTAL</v>
          </cell>
          <cell r="H7" t="str">
            <v>DETALLES</v>
          </cell>
        </row>
        <row r="9">
          <cell r="B9" t="str">
            <v>01</v>
          </cell>
          <cell r="C9" t="str">
            <v>PRELIMINARES</v>
          </cell>
        </row>
        <row r="10">
          <cell r="B10" t="str">
            <v>01-01-010</v>
          </cell>
          <cell r="C10" t="str">
            <v>CERRAMIENTO PROVISIONAL EN TELA DE CERRAMIENTO VERDE H: 2.10 M. INCLUYE ESTRUCTURA DE MADERA COMUN, ANCLAJES DE PARALES AL PISO Y TELA VERDE</v>
          </cell>
        </row>
        <row r="11">
          <cell r="A11" t="str">
            <v>01-01-010</v>
          </cell>
          <cell r="B11" t="str">
            <v>M</v>
          </cell>
          <cell r="G11">
            <v>62</v>
          </cell>
          <cell r="H11" t="str">
            <v>M</v>
          </cell>
        </row>
        <row r="13">
          <cell r="B13">
            <v>1</v>
          </cell>
          <cell r="C13">
            <v>61.3</v>
          </cell>
          <cell r="G13">
            <v>61.3</v>
          </cell>
        </row>
        <row r="16">
          <cell r="B16" t="str">
            <v>01-01-030</v>
          </cell>
          <cell r="C16" t="str">
            <v>BAÑO PROVISIONAL EN LADRILLO (4 M2). INCLUYE TODO LO NECESARIO PARA SU CORRECTO FUNCIONAMIENTO</v>
          </cell>
        </row>
        <row r="17">
          <cell r="A17" t="str">
            <v>01-01-030</v>
          </cell>
          <cell r="B17" t="str">
            <v>UN</v>
          </cell>
          <cell r="G17">
            <v>1</v>
          </cell>
          <cell r="H17" t="str">
            <v>UN</v>
          </cell>
        </row>
        <row r="19">
          <cell r="B19">
            <v>1</v>
          </cell>
          <cell r="G19">
            <v>1</v>
          </cell>
        </row>
        <row r="22">
          <cell r="B22" t="str">
            <v>02</v>
          </cell>
          <cell r="C22" t="str">
            <v>LOCALIZACION Y REPLANTEO</v>
          </cell>
        </row>
        <row r="23">
          <cell r="B23" t="str">
            <v>02-01-010</v>
          </cell>
          <cell r="C23" t="str">
            <v>LOCALIZACION Y REPLANTEO DE EDIFICACIONES. MEDIDO COMO AREA DE LA EDIFICACION</v>
          </cell>
        </row>
        <row r="24">
          <cell r="A24" t="str">
            <v>02-01-010</v>
          </cell>
          <cell r="B24" t="str">
            <v>M2</v>
          </cell>
          <cell r="G24">
            <v>1486</v>
          </cell>
          <cell r="H24" t="str">
            <v>M2</v>
          </cell>
        </row>
        <row r="26">
          <cell r="B26">
            <v>1</v>
          </cell>
          <cell r="F26">
            <v>1486</v>
          </cell>
          <cell r="G26">
            <v>1486</v>
          </cell>
        </row>
        <row r="29">
          <cell r="B29" t="str">
            <v>03</v>
          </cell>
          <cell r="C29" t="str">
            <v>MOVIMIENTOS DE TIERRA</v>
          </cell>
        </row>
        <row r="30">
          <cell r="B30" t="str">
            <v>03-01-210</v>
          </cell>
          <cell r="C30" t="str">
            <v>EXCAVACIÓN MANUAL EN TIERRA BAJO CUALQUIER GRADO DE HUMEDAD. INCLUYE ACARREO INTERNO, CARGUE, TRANSPORTE Y DISPOSICION FINAL DEL MATERIAL SOBRANTE EN BOTADEROS OFICIALES.</v>
          </cell>
        </row>
        <row r="31">
          <cell r="A31" t="str">
            <v>03-01-210</v>
          </cell>
          <cell r="B31" t="str">
            <v>M3</v>
          </cell>
          <cell r="G31">
            <v>59</v>
          </cell>
          <cell r="H31" t="str">
            <v>M3</v>
          </cell>
        </row>
        <row r="33">
          <cell r="B33">
            <v>1</v>
          </cell>
          <cell r="C33">
            <v>16.649999999999999</v>
          </cell>
          <cell r="D33">
            <v>1.3</v>
          </cell>
          <cell r="E33">
            <v>0.5</v>
          </cell>
          <cell r="G33">
            <v>10.8225</v>
          </cell>
          <cell r="I33" t="str">
            <v>muro escenario</v>
          </cell>
        </row>
        <row r="34">
          <cell r="B34">
            <v>1</v>
          </cell>
          <cell r="C34">
            <v>10.55</v>
          </cell>
          <cell r="D34">
            <v>1.45</v>
          </cell>
          <cell r="E34">
            <v>0.5</v>
          </cell>
          <cell r="G34">
            <v>7.6487500000000006</v>
          </cell>
          <cell r="I34" t="str">
            <v>muro 1</v>
          </cell>
        </row>
        <row r="35">
          <cell r="B35">
            <v>1</v>
          </cell>
          <cell r="C35">
            <v>5.75</v>
          </cell>
          <cell r="D35">
            <v>1.1000000000000001</v>
          </cell>
          <cell r="E35">
            <v>0.4</v>
          </cell>
          <cell r="G35">
            <v>2.5300000000000002</v>
          </cell>
          <cell r="I35" t="str">
            <v>muro 2</v>
          </cell>
        </row>
        <row r="36">
          <cell r="B36">
            <v>1</v>
          </cell>
          <cell r="C36">
            <v>6.75</v>
          </cell>
          <cell r="D36">
            <v>1.1000000000000001</v>
          </cell>
          <cell r="E36">
            <v>0.4</v>
          </cell>
          <cell r="G36">
            <v>2.9700000000000006</v>
          </cell>
          <cell r="I36" t="str">
            <v>muro 2</v>
          </cell>
        </row>
        <row r="37">
          <cell r="B37">
            <v>1</v>
          </cell>
          <cell r="C37">
            <v>2.6</v>
          </cell>
          <cell r="D37">
            <v>1</v>
          </cell>
          <cell r="E37">
            <v>0.4</v>
          </cell>
          <cell r="G37">
            <v>1.04</v>
          </cell>
          <cell r="I37" t="str">
            <v>muro 3</v>
          </cell>
        </row>
        <row r="39">
          <cell r="B39">
            <v>1</v>
          </cell>
          <cell r="C39">
            <v>45.900000000000006</v>
          </cell>
          <cell r="D39">
            <v>0.4</v>
          </cell>
          <cell r="E39">
            <v>0.5</v>
          </cell>
          <cell r="G39">
            <v>9.1800000000000015</v>
          </cell>
          <cell r="I39" t="str">
            <v>vigas de fundacion escenario</v>
          </cell>
        </row>
        <row r="40">
          <cell r="B40">
            <v>1</v>
          </cell>
          <cell r="C40">
            <v>21.6</v>
          </cell>
          <cell r="D40">
            <v>0.5</v>
          </cell>
          <cell r="E40">
            <v>0.5</v>
          </cell>
          <cell r="G40">
            <v>5.4</v>
          </cell>
          <cell r="I40" t="str">
            <v>viga de fundacion longitudinal</v>
          </cell>
        </row>
        <row r="41">
          <cell r="B41">
            <v>1</v>
          </cell>
          <cell r="C41">
            <v>65.34</v>
          </cell>
          <cell r="D41">
            <v>0.4</v>
          </cell>
          <cell r="E41">
            <v>0.5</v>
          </cell>
          <cell r="G41">
            <v>13.068000000000001</v>
          </cell>
          <cell r="I41" t="str">
            <v>vigas palcos</v>
          </cell>
        </row>
        <row r="43">
          <cell r="B43">
            <v>2</v>
          </cell>
          <cell r="C43">
            <v>1.3</v>
          </cell>
          <cell r="D43">
            <v>1.3</v>
          </cell>
          <cell r="E43">
            <v>1.6</v>
          </cell>
          <cell r="G43">
            <v>5.4080000000000013</v>
          </cell>
          <cell r="H43" t="str">
            <v>zapatas para columnas palco</v>
          </cell>
        </row>
        <row r="46">
          <cell r="B46" t="str">
            <v>03-01-300</v>
          </cell>
          <cell r="C46" t="str">
            <v>EXCAVACIÓN MANUAL DE PILOTES CON PALA HOYADORA Ø 0.30 M. INCLUYE CARGUE, TRANSPORTE Y DISPOSICION FINAL DEL MATERIAL SOBRANTE EN BOTADEROS OFICIALES.</v>
          </cell>
        </row>
        <row r="47">
          <cell r="A47" t="str">
            <v>03-01-300</v>
          </cell>
          <cell r="B47" t="str">
            <v>M</v>
          </cell>
          <cell r="G47">
            <v>237</v>
          </cell>
          <cell r="H47" t="str">
            <v>M</v>
          </cell>
        </row>
        <row r="49">
          <cell r="B49">
            <v>79</v>
          </cell>
          <cell r="E49">
            <v>3</v>
          </cell>
          <cell r="G49">
            <v>237</v>
          </cell>
        </row>
        <row r="52">
          <cell r="B52" t="str">
            <v>03-02-010</v>
          </cell>
          <cell r="C52" t="str">
            <v>LLENOS COMPACTADOS EN ARENILLA ALREDEDOR DE ESTRUCTURAS. INCLUYE SUMINISTRO, TRANSPORTE INTERNO Y COMPACTACION.</v>
          </cell>
        </row>
        <row r="53">
          <cell r="A53" t="str">
            <v>03-02-010</v>
          </cell>
          <cell r="B53" t="str">
            <v>M3</v>
          </cell>
          <cell r="G53">
            <v>16</v>
          </cell>
          <cell r="H53" t="str">
            <v>M3</v>
          </cell>
        </row>
        <row r="55">
          <cell r="B55">
            <v>1</v>
          </cell>
          <cell r="F55">
            <v>59</v>
          </cell>
          <cell r="G55">
            <v>59</v>
          </cell>
          <cell r="H55" t="str">
            <v>excavaciones</v>
          </cell>
        </row>
        <row r="56">
          <cell r="B56">
            <v>-1</v>
          </cell>
          <cell r="F56">
            <v>43.464399999999998</v>
          </cell>
          <cell r="G56">
            <v>-43.464399999999998</v>
          </cell>
          <cell r="H56" t="str">
            <v>menos concretos</v>
          </cell>
        </row>
        <row r="59">
          <cell r="B59" t="str">
            <v>03-02-100</v>
          </cell>
          <cell r="C59" t="str">
            <v>REEMPLAZO EN SUB-BASE GRANULAR COMPACTADA MANUALMENTE PARA LOSAS DE PISO</v>
          </cell>
        </row>
        <row r="60">
          <cell r="A60" t="str">
            <v>03-02-100</v>
          </cell>
          <cell r="B60" t="str">
            <v>M3</v>
          </cell>
          <cell r="G60">
            <v>72</v>
          </cell>
          <cell r="H60" t="str">
            <v>M3</v>
          </cell>
          <cell r="J60" t="str">
            <v>se asume 0.30 m</v>
          </cell>
        </row>
        <row r="62">
          <cell r="B62">
            <v>1</v>
          </cell>
          <cell r="E62">
            <v>0.3</v>
          </cell>
          <cell r="F62">
            <v>238</v>
          </cell>
          <cell r="G62">
            <v>71.399999999999991</v>
          </cell>
        </row>
        <row r="65">
          <cell r="B65" t="str">
            <v>03-03-010</v>
          </cell>
          <cell r="C65" t="str">
            <v>IMPERMEABILIZACION DE MUROS DE CONTENCION CON IGOL DENSO DE SIKA O EQUIVALENTE</v>
          </cell>
        </row>
        <row r="66">
          <cell r="A66" t="str">
            <v>03-03-010</v>
          </cell>
          <cell r="B66" t="str">
            <v>M2</v>
          </cell>
          <cell r="G66">
            <v>85</v>
          </cell>
          <cell r="H66" t="str">
            <v>M2</v>
          </cell>
        </row>
        <row r="68">
          <cell r="B68">
            <v>1</v>
          </cell>
          <cell r="C68">
            <v>16.649999999999999</v>
          </cell>
          <cell r="E68">
            <v>1.6</v>
          </cell>
          <cell r="G68">
            <v>26.64</v>
          </cell>
          <cell r="I68" t="str">
            <v>muro escenario</v>
          </cell>
        </row>
        <row r="69">
          <cell r="B69">
            <v>1</v>
          </cell>
          <cell r="C69">
            <v>12</v>
          </cell>
          <cell r="E69">
            <v>2.3600000000000003</v>
          </cell>
          <cell r="G69">
            <v>28.320000000000004</v>
          </cell>
          <cell r="I69" t="str">
            <v>muro 1</v>
          </cell>
        </row>
        <row r="70">
          <cell r="B70">
            <v>1</v>
          </cell>
          <cell r="C70">
            <v>5.75</v>
          </cell>
          <cell r="E70">
            <v>2</v>
          </cell>
          <cell r="G70">
            <v>11.5</v>
          </cell>
          <cell r="I70" t="str">
            <v>muro 2</v>
          </cell>
        </row>
        <row r="71">
          <cell r="B71">
            <v>1</v>
          </cell>
          <cell r="C71">
            <v>6.75</v>
          </cell>
          <cell r="E71">
            <v>2</v>
          </cell>
          <cell r="G71">
            <v>13.5</v>
          </cell>
          <cell r="I71" t="str">
            <v>muro 2</v>
          </cell>
        </row>
        <row r="72">
          <cell r="B72">
            <v>1</v>
          </cell>
          <cell r="C72">
            <v>2.6</v>
          </cell>
          <cell r="E72">
            <v>1.9000000000000001</v>
          </cell>
          <cell r="G72">
            <v>4.9400000000000004</v>
          </cell>
          <cell r="I72" t="str">
            <v>muro 3</v>
          </cell>
        </row>
        <row r="75">
          <cell r="B75" t="str">
            <v>03-03-020</v>
          </cell>
          <cell r="C75" t="str">
            <v>CAÑUELA EN CONCRETO F'C 21 MPA A: 0.30 M. - H: 0.05 M. PARA FILTROS MURO DE CONTENCION</v>
          </cell>
        </row>
        <row r="76">
          <cell r="A76" t="str">
            <v>03-03-020</v>
          </cell>
          <cell r="B76" t="str">
            <v>M</v>
          </cell>
          <cell r="G76">
            <v>44</v>
          </cell>
          <cell r="H76" t="str">
            <v>M</v>
          </cell>
        </row>
        <row r="78">
          <cell r="B78">
            <v>1</v>
          </cell>
          <cell r="C78">
            <v>16.649999999999999</v>
          </cell>
          <cell r="G78">
            <v>16.649999999999999</v>
          </cell>
          <cell r="I78" t="str">
            <v>muro escenario</v>
          </cell>
        </row>
        <row r="79">
          <cell r="B79">
            <v>1</v>
          </cell>
          <cell r="C79">
            <v>12</v>
          </cell>
          <cell r="G79">
            <v>12</v>
          </cell>
          <cell r="I79" t="str">
            <v>muro 1</v>
          </cell>
        </row>
        <row r="80">
          <cell r="B80">
            <v>1</v>
          </cell>
          <cell r="C80">
            <v>5.75</v>
          </cell>
          <cell r="G80">
            <v>5.75</v>
          </cell>
          <cell r="I80" t="str">
            <v>muro 2</v>
          </cell>
        </row>
        <row r="81">
          <cell r="B81">
            <v>1</v>
          </cell>
          <cell r="C81">
            <v>6.75</v>
          </cell>
          <cell r="G81">
            <v>6.75</v>
          </cell>
          <cell r="I81" t="str">
            <v>muro 2</v>
          </cell>
        </row>
        <row r="82">
          <cell r="B82">
            <v>1</v>
          </cell>
          <cell r="C82">
            <v>2.6</v>
          </cell>
          <cell r="G82">
            <v>2.6</v>
          </cell>
          <cell r="I82" t="str">
            <v>muro 3</v>
          </cell>
        </row>
        <row r="85">
          <cell r="B85" t="str">
            <v>03-04-010</v>
          </cell>
          <cell r="C85" t="str">
            <v>FILTRO EN MATERIAL GRANULAR A: 0.30 M. PARA MUROS DE CONTENCION. INCLUYE MATERIAL GRANULAR 1", GEOTEXTIL NT 1600 DE PAVCO O EQUIVALENTE Y TUBERIA PERFORADA Ø 4"</v>
          </cell>
        </row>
        <row r="86">
          <cell r="A86" t="str">
            <v>03-04-010</v>
          </cell>
          <cell r="B86" t="str">
            <v>M2</v>
          </cell>
          <cell r="G86">
            <v>27</v>
          </cell>
          <cell r="H86" t="str">
            <v>M2</v>
          </cell>
          <cell r="J86" t="str">
            <v>igual a area muro escenario</v>
          </cell>
        </row>
        <row r="88">
          <cell r="B88">
            <v>1</v>
          </cell>
          <cell r="C88">
            <v>16.649999999999999</v>
          </cell>
          <cell r="E88">
            <v>1.6</v>
          </cell>
          <cell r="G88">
            <v>26.64</v>
          </cell>
        </row>
        <row r="91">
          <cell r="B91" t="str">
            <v>04</v>
          </cell>
          <cell r="C91" t="str">
            <v>CONCRETOS</v>
          </cell>
        </row>
        <row r="92">
          <cell r="B92" t="str">
            <v>04-01-010</v>
          </cell>
          <cell r="C92" t="str">
            <v xml:space="preserve">VACIADO DE PILOTES EN CONCRETO F'C 21 MPA </v>
          </cell>
        </row>
        <row r="93">
          <cell r="A93" t="str">
            <v>04-01-010</v>
          </cell>
          <cell r="B93" t="str">
            <v>M3</v>
          </cell>
          <cell r="G93">
            <v>17</v>
          </cell>
          <cell r="H93" t="str">
            <v>M3</v>
          </cell>
        </row>
        <row r="95">
          <cell r="B95">
            <v>79</v>
          </cell>
          <cell r="C95">
            <v>0.3</v>
          </cell>
          <cell r="D95">
            <v>0.3</v>
          </cell>
          <cell r="E95">
            <v>3</v>
          </cell>
          <cell r="F95">
            <v>0.78539816339744828</v>
          </cell>
          <cell r="G95">
            <v>16.752542825267572</v>
          </cell>
        </row>
        <row r="98">
          <cell r="B98" t="str">
            <v>04-02-100</v>
          </cell>
          <cell r="C98" t="str">
            <v>ZAPATAS DE FUNDACION PARA MUROS CARGUEROS Y MUROS DE CONTENCION. CONCRETO F'C 21 MPA.</v>
          </cell>
        </row>
        <row r="99">
          <cell r="A99" t="str">
            <v>04-02-100</v>
          </cell>
          <cell r="B99" t="str">
            <v>M3</v>
          </cell>
          <cell r="G99">
            <v>21</v>
          </cell>
          <cell r="H99" t="str">
            <v>M3</v>
          </cell>
        </row>
        <row r="101">
          <cell r="B101">
            <v>1</v>
          </cell>
          <cell r="C101">
            <v>16.649999999999999</v>
          </cell>
          <cell r="D101">
            <v>1.3</v>
          </cell>
          <cell r="E101">
            <v>0.4</v>
          </cell>
          <cell r="G101">
            <v>8.6579999999999995</v>
          </cell>
          <cell r="I101" t="str">
            <v>muro escenario</v>
          </cell>
        </row>
        <row r="102">
          <cell r="B102">
            <v>1</v>
          </cell>
          <cell r="C102">
            <v>10.55</v>
          </cell>
          <cell r="D102">
            <v>1.45</v>
          </cell>
          <cell r="E102">
            <v>0.4</v>
          </cell>
          <cell r="G102">
            <v>6.1190000000000007</v>
          </cell>
          <cell r="I102" t="str">
            <v>muro 1</v>
          </cell>
        </row>
        <row r="103">
          <cell r="B103">
            <v>1</v>
          </cell>
          <cell r="C103">
            <v>5.75</v>
          </cell>
          <cell r="D103">
            <v>1.1000000000000001</v>
          </cell>
          <cell r="E103">
            <v>0.3</v>
          </cell>
          <cell r="G103">
            <v>1.8975</v>
          </cell>
          <cell r="I103" t="str">
            <v>muro 2</v>
          </cell>
        </row>
        <row r="104">
          <cell r="B104">
            <v>1</v>
          </cell>
          <cell r="C104">
            <v>6.75</v>
          </cell>
          <cell r="D104">
            <v>1.1000000000000001</v>
          </cell>
          <cell r="E104">
            <v>0.3</v>
          </cell>
          <cell r="G104">
            <v>2.2275</v>
          </cell>
          <cell r="I104" t="str">
            <v>muro 2</v>
          </cell>
        </row>
        <row r="105">
          <cell r="B105">
            <v>1</v>
          </cell>
          <cell r="C105">
            <v>2.6</v>
          </cell>
          <cell r="D105">
            <v>1</v>
          </cell>
          <cell r="E105">
            <v>0.3</v>
          </cell>
          <cell r="G105">
            <v>0.78</v>
          </cell>
          <cell r="I105" t="str">
            <v>muro 3</v>
          </cell>
        </row>
        <row r="107">
          <cell r="B107">
            <v>2</v>
          </cell>
          <cell r="C107">
            <v>1.3</v>
          </cell>
          <cell r="D107">
            <v>1.3</v>
          </cell>
          <cell r="E107">
            <v>0.3</v>
          </cell>
          <cell r="G107">
            <v>1.014</v>
          </cell>
          <cell r="H107" t="str">
            <v>zapatas para columnas palco</v>
          </cell>
        </row>
        <row r="110">
          <cell r="B110" t="str">
            <v>04-02-200</v>
          </cell>
          <cell r="C110" t="str">
            <v>PEDESTALES EN CONCRETO F'C 21 MPA</v>
          </cell>
        </row>
        <row r="111">
          <cell r="A111" t="str">
            <v>04-02-200</v>
          </cell>
          <cell r="B111" t="str">
            <v>M3</v>
          </cell>
          <cell r="G111">
            <v>1</v>
          </cell>
          <cell r="H111" t="str">
            <v>M3</v>
          </cell>
        </row>
        <row r="113">
          <cell r="B113">
            <v>2</v>
          </cell>
          <cell r="C113">
            <v>0.5</v>
          </cell>
          <cell r="D113">
            <v>0.5</v>
          </cell>
          <cell r="E113">
            <v>1.3</v>
          </cell>
          <cell r="G113">
            <v>0.65</v>
          </cell>
          <cell r="H113" t="str">
            <v>zapatas para columnas palco</v>
          </cell>
        </row>
        <row r="116">
          <cell r="B116" t="str">
            <v>04-03-010</v>
          </cell>
          <cell r="C116" t="str">
            <v>MURO DE CONTENCION EN BLOQUE DE CONCRETO 20x20x40. LOS LLENOS EN GROUT SE PAGAN EN ITEM APARTE</v>
          </cell>
        </row>
        <row r="117">
          <cell r="A117" t="str">
            <v>04-03-010</v>
          </cell>
          <cell r="B117" t="str">
            <v>M2</v>
          </cell>
          <cell r="G117">
            <v>24</v>
          </cell>
          <cell r="H117" t="str">
            <v>M2</v>
          </cell>
        </row>
        <row r="119">
          <cell r="B119">
            <v>1</v>
          </cell>
          <cell r="C119">
            <v>16.649999999999999</v>
          </cell>
          <cell r="E119">
            <v>1.4</v>
          </cell>
          <cell r="G119">
            <v>23.309999999999995</v>
          </cell>
          <cell r="I119" t="str">
            <v>muro escenario</v>
          </cell>
        </row>
        <row r="122">
          <cell r="B122" t="str">
            <v>04-03-100</v>
          </cell>
          <cell r="C122" t="str">
            <v>MURO DE CONTENCION EN CONCRETO VISTO F'C 21 MPA. E: 0.20 M.</v>
          </cell>
        </row>
        <row r="123">
          <cell r="A123" t="str">
            <v>04-03-100</v>
          </cell>
          <cell r="B123" t="str">
            <v>M3</v>
          </cell>
          <cell r="G123">
            <v>12</v>
          </cell>
          <cell r="H123" t="str">
            <v>M3</v>
          </cell>
        </row>
        <row r="125">
          <cell r="B125">
            <v>1</v>
          </cell>
          <cell r="C125">
            <v>12</v>
          </cell>
          <cell r="D125">
            <v>0.2</v>
          </cell>
          <cell r="E125">
            <v>2.3600000000000003</v>
          </cell>
          <cell r="G125">
            <v>5.6640000000000015</v>
          </cell>
          <cell r="I125" t="str">
            <v>muro 1</v>
          </cell>
        </row>
        <row r="126">
          <cell r="B126">
            <v>1</v>
          </cell>
          <cell r="C126">
            <v>5.75</v>
          </cell>
          <cell r="D126">
            <v>0.2</v>
          </cell>
          <cell r="E126">
            <v>2</v>
          </cell>
          <cell r="G126">
            <v>2.3000000000000003</v>
          </cell>
          <cell r="I126" t="str">
            <v>muro 2</v>
          </cell>
        </row>
        <row r="127">
          <cell r="B127">
            <v>1</v>
          </cell>
          <cell r="C127">
            <v>6.75</v>
          </cell>
          <cell r="D127">
            <v>0.2</v>
          </cell>
          <cell r="E127">
            <v>2</v>
          </cell>
          <cell r="G127">
            <v>2.7</v>
          </cell>
          <cell r="I127" t="str">
            <v>muro 2</v>
          </cell>
        </row>
        <row r="128">
          <cell r="B128">
            <v>1</v>
          </cell>
          <cell r="C128">
            <v>2.6</v>
          </cell>
          <cell r="D128">
            <v>0.2</v>
          </cell>
          <cell r="E128">
            <v>1.9000000000000001</v>
          </cell>
          <cell r="G128">
            <v>0.9880000000000001</v>
          </cell>
          <cell r="I128" t="str">
            <v>muro 3</v>
          </cell>
        </row>
        <row r="131">
          <cell r="B131" t="str">
            <v>04-04-010</v>
          </cell>
          <cell r="C131" t="str">
            <v>VIGAS DE FUNDACION EN CONCRETO F'C 21 MPA.</v>
          </cell>
        </row>
        <row r="132">
          <cell r="A132" t="str">
            <v>04-04-010</v>
          </cell>
          <cell r="B132" t="str">
            <v>M3</v>
          </cell>
          <cell r="G132">
            <v>23</v>
          </cell>
          <cell r="H132" t="str">
            <v>M3</v>
          </cell>
        </row>
        <row r="134">
          <cell r="B134">
            <v>1</v>
          </cell>
          <cell r="C134">
            <v>45.900000000000006</v>
          </cell>
          <cell r="D134">
            <v>0.4</v>
          </cell>
          <cell r="E134">
            <v>0.4</v>
          </cell>
          <cell r="G134">
            <v>7.3440000000000012</v>
          </cell>
          <cell r="I134" t="str">
            <v>vigas de fundacion escenario</v>
          </cell>
        </row>
        <row r="135">
          <cell r="B135">
            <v>1</v>
          </cell>
          <cell r="C135">
            <v>21.6</v>
          </cell>
          <cell r="D135">
            <v>0.5</v>
          </cell>
          <cell r="E135">
            <v>0.4</v>
          </cell>
          <cell r="G135">
            <v>4.32</v>
          </cell>
          <cell r="I135" t="str">
            <v>viga de fundacion longitudinal</v>
          </cell>
        </row>
        <row r="136">
          <cell r="B136">
            <v>1</v>
          </cell>
          <cell r="C136">
            <v>65.34</v>
          </cell>
          <cell r="D136">
            <v>0.4</v>
          </cell>
          <cell r="E136">
            <v>0.4</v>
          </cell>
          <cell r="G136">
            <v>10.454400000000001</v>
          </cell>
          <cell r="I136" t="str">
            <v>vigas palcos</v>
          </cell>
        </row>
        <row r="139">
          <cell r="B139" t="str">
            <v>04-05-010</v>
          </cell>
          <cell r="C139" t="str">
            <v>LOSA DE CONTRAPISO E: 0.15 F'C 21 MPA.</v>
          </cell>
        </row>
        <row r="140">
          <cell r="A140" t="str">
            <v>04-05-010</v>
          </cell>
          <cell r="B140" t="str">
            <v>M2</v>
          </cell>
          <cell r="G140">
            <v>238</v>
          </cell>
          <cell r="H140" t="str">
            <v>M2</v>
          </cell>
        </row>
        <row r="142">
          <cell r="B142">
            <v>1</v>
          </cell>
          <cell r="F142">
            <v>237.63</v>
          </cell>
          <cell r="G142">
            <v>237.63</v>
          </cell>
        </row>
        <row r="145">
          <cell r="B145" t="str">
            <v>04-07-010</v>
          </cell>
          <cell r="C145" t="str">
            <v>COLUMNAS EN CONCRETO VISTO F'C 21 MPA (0.25 M. x 0.25 M.) SOPORTE PALCO</v>
          </cell>
        </row>
        <row r="146">
          <cell r="A146" t="str">
            <v>04-07-010</v>
          </cell>
          <cell r="B146" t="str">
            <v>M3</v>
          </cell>
          <cell r="G146">
            <v>1</v>
          </cell>
          <cell r="H146" t="str">
            <v>M3</v>
          </cell>
        </row>
        <row r="148">
          <cell r="B148">
            <v>1</v>
          </cell>
          <cell r="C148">
            <v>0.25</v>
          </cell>
          <cell r="D148">
            <v>0.25</v>
          </cell>
          <cell r="E148">
            <v>4.9800000000000004</v>
          </cell>
          <cell r="G148">
            <v>0.31125000000000003</v>
          </cell>
        </row>
        <row r="151">
          <cell r="B151" t="str">
            <v>04-07-020</v>
          </cell>
          <cell r="C151" t="str">
            <v>COLUMNA / MACHON EN CONCRETO F'C 21 MPA (0.40 M. x 0.30 M.) - LATERAL ESCENARIO</v>
          </cell>
        </row>
        <row r="152">
          <cell r="A152" t="str">
            <v>04-07-020</v>
          </cell>
          <cell r="B152" t="str">
            <v>M3</v>
          </cell>
          <cell r="G152">
            <v>3</v>
          </cell>
          <cell r="H152" t="str">
            <v>M3</v>
          </cell>
          <cell r="J152" t="str">
            <v>se contabilizan a ambos lados del escenario</v>
          </cell>
        </row>
        <row r="154">
          <cell r="B154">
            <v>2</v>
          </cell>
          <cell r="C154">
            <v>0.4</v>
          </cell>
          <cell r="D154">
            <v>0.3</v>
          </cell>
          <cell r="E154">
            <v>11.8</v>
          </cell>
          <cell r="G154">
            <v>2.8319999999999999</v>
          </cell>
        </row>
        <row r="157">
          <cell r="B157" t="str">
            <v>04-07-030</v>
          </cell>
          <cell r="C157" t="str">
            <v>COLUMNAS DE CONFINAMIENTO EN CONCRETO F'C 21 MPA (0.20 M. x 0.20 M.) LATERAL ESCENARIO</v>
          </cell>
        </row>
        <row r="158">
          <cell r="A158" t="str">
            <v>04-07-030</v>
          </cell>
          <cell r="B158" t="str">
            <v>M3</v>
          </cell>
          <cell r="G158">
            <v>3</v>
          </cell>
          <cell r="H158" t="str">
            <v>M3</v>
          </cell>
          <cell r="J158" t="str">
            <v>se contabilizan a ambos lados del escenario</v>
          </cell>
        </row>
        <row r="160">
          <cell r="B160">
            <v>6</v>
          </cell>
          <cell r="C160">
            <v>0.2</v>
          </cell>
          <cell r="D160">
            <v>0.2</v>
          </cell>
          <cell r="E160">
            <v>11.8</v>
          </cell>
          <cell r="G160">
            <v>2.8320000000000007</v>
          </cell>
        </row>
        <row r="163">
          <cell r="B163" t="str">
            <v>04-08-010</v>
          </cell>
          <cell r="C163" t="str">
            <v>LOSA MACIZA EN CONCRETO F'C 21 MPA E: 0.10 M. PARA ESCENARIO Y PALCOS</v>
          </cell>
        </row>
        <row r="164">
          <cell r="A164" t="str">
            <v>04-08-010</v>
          </cell>
          <cell r="B164" t="str">
            <v>M2</v>
          </cell>
          <cell r="G164">
            <v>246</v>
          </cell>
          <cell r="H164" t="str">
            <v>M2</v>
          </cell>
        </row>
        <row r="166">
          <cell r="B166">
            <v>1</v>
          </cell>
          <cell r="F166">
            <v>129.05000000000001</v>
          </cell>
          <cell r="G166">
            <v>129.05000000000001</v>
          </cell>
          <cell r="H166" t="str">
            <v>escenario</v>
          </cell>
        </row>
        <row r="167">
          <cell r="B167">
            <v>1</v>
          </cell>
          <cell r="F167">
            <v>116.15</v>
          </cell>
          <cell r="G167">
            <v>116.15</v>
          </cell>
          <cell r="H167" t="str">
            <v>palcos</v>
          </cell>
        </row>
        <row r="170">
          <cell r="B170" t="str">
            <v>04-08-200</v>
          </cell>
          <cell r="C170" t="str">
            <v>VIGA DE AMARRE EN CONCRETO F'C 21 MPA SOBRE MUROS DE BLOQUE (0.20 M. x 0.20 M.)</v>
          </cell>
        </row>
        <row r="171">
          <cell r="A171" t="str">
            <v>04-08-200</v>
          </cell>
          <cell r="B171" t="str">
            <v>M3</v>
          </cell>
          <cell r="G171">
            <v>2</v>
          </cell>
          <cell r="H171" t="str">
            <v>M3</v>
          </cell>
        </row>
        <row r="173">
          <cell r="B173">
            <v>1</v>
          </cell>
          <cell r="C173">
            <v>16.649999999999999</v>
          </cell>
          <cell r="D173">
            <v>0.2</v>
          </cell>
          <cell r="E173">
            <v>0.2</v>
          </cell>
          <cell r="G173">
            <v>0.66600000000000004</v>
          </cell>
          <cell r="H173" t="str">
            <v>escenario</v>
          </cell>
        </row>
        <row r="174">
          <cell r="B174">
            <v>2</v>
          </cell>
          <cell r="C174">
            <v>8.4499999999999993</v>
          </cell>
          <cell r="D174">
            <v>0.2</v>
          </cell>
          <cell r="E174">
            <v>0.2</v>
          </cell>
          <cell r="G174">
            <v>0.67600000000000005</v>
          </cell>
          <cell r="H174" t="str">
            <v>muros laterales escenario</v>
          </cell>
        </row>
        <row r="177">
          <cell r="B177" t="str">
            <v>04-10-010</v>
          </cell>
          <cell r="C177" t="str">
            <v>ESCALERAS EN CONCRETO VISTO F'C 21 MPA. INCLUYE LOSETA VIGAS DESCOLGADAS EN DESCANSOS.</v>
          </cell>
        </row>
        <row r="178">
          <cell r="A178" t="str">
            <v>04-10-010</v>
          </cell>
          <cell r="B178" t="str">
            <v>M3</v>
          </cell>
          <cell r="G178">
            <v>9</v>
          </cell>
          <cell r="H178" t="str">
            <v>M3</v>
          </cell>
        </row>
        <row r="180">
          <cell r="B180">
            <v>1</v>
          </cell>
          <cell r="F180">
            <v>8.4599999999999991</v>
          </cell>
          <cell r="G180">
            <v>8.4599999999999991</v>
          </cell>
        </row>
        <row r="183">
          <cell r="B183" t="str">
            <v>05</v>
          </cell>
          <cell r="C183" t="str">
            <v>ACEROS Y ESTRUCTURAS METÁLICAS</v>
          </cell>
        </row>
        <row r="184">
          <cell r="B184" t="str">
            <v>05-01-010</v>
          </cell>
          <cell r="C184" t="str">
            <v>ACERO DE REFUERZO FY 420 MPA</v>
          </cell>
        </row>
        <row r="185">
          <cell r="A185" t="str">
            <v>05-01-010</v>
          </cell>
          <cell r="B185" t="str">
            <v>KG</v>
          </cell>
          <cell r="G185">
            <v>7008</v>
          </cell>
          <cell r="H185" t="str">
            <v>KG</v>
          </cell>
          <cell r="J185" t="str">
            <v>ver cuadro refuerzo</v>
          </cell>
        </row>
        <row r="187">
          <cell r="B187">
            <v>1</v>
          </cell>
          <cell r="F187">
            <v>1778.4368000000004</v>
          </cell>
          <cell r="G187">
            <v>1778.4368000000004</v>
          </cell>
          <cell r="H187" t="str">
            <v>zapatas muros contencion</v>
          </cell>
        </row>
        <row r="188">
          <cell r="B188">
            <v>1</v>
          </cell>
          <cell r="F188">
            <v>2353.8457600000006</v>
          </cell>
          <cell r="G188">
            <v>2353.8457600000006</v>
          </cell>
          <cell r="H188" t="str">
            <v>vigas de fundacion</v>
          </cell>
        </row>
        <row r="189">
          <cell r="B189">
            <v>1</v>
          </cell>
          <cell r="F189">
            <v>612.50279999999998</v>
          </cell>
          <cell r="G189">
            <v>612.50279999999998</v>
          </cell>
          <cell r="H189" t="str">
            <v>pilotes</v>
          </cell>
        </row>
        <row r="190">
          <cell r="B190">
            <v>1</v>
          </cell>
          <cell r="F190">
            <v>248.33200000000005</v>
          </cell>
          <cell r="G190">
            <v>248.33200000000005</v>
          </cell>
          <cell r="H190" t="str">
            <v>muro contencion bloque</v>
          </cell>
        </row>
        <row r="191">
          <cell r="B191">
            <v>1</v>
          </cell>
          <cell r="F191">
            <v>956.36576000000014</v>
          </cell>
          <cell r="G191">
            <v>956.36576000000014</v>
          </cell>
          <cell r="H191" t="str">
            <v>muros contencion concreto</v>
          </cell>
        </row>
        <row r="192">
          <cell r="B192">
            <v>1</v>
          </cell>
          <cell r="F192">
            <v>1058.056</v>
          </cell>
          <cell r="G192">
            <v>1058.056</v>
          </cell>
          <cell r="H192" t="str">
            <v>columnas y machones</v>
          </cell>
        </row>
        <row r="195">
          <cell r="B195" t="str">
            <v>05-02-020</v>
          </cell>
          <cell r="C195" t="str">
            <v>MALLA ELECTROSOLDADA U-221</v>
          </cell>
        </row>
        <row r="196">
          <cell r="A196" t="str">
            <v>05-02-020</v>
          </cell>
          <cell r="B196" t="str">
            <v>M2</v>
          </cell>
          <cell r="G196">
            <v>246</v>
          </cell>
          <cell r="H196" t="str">
            <v>M2</v>
          </cell>
        </row>
        <row r="198">
          <cell r="B198">
            <v>1</v>
          </cell>
          <cell r="F198">
            <v>129.05000000000001</v>
          </cell>
          <cell r="G198">
            <v>129.05000000000001</v>
          </cell>
          <cell r="H198" t="str">
            <v>losa maciza escenario</v>
          </cell>
        </row>
        <row r="199">
          <cell r="B199">
            <v>1</v>
          </cell>
          <cell r="F199">
            <v>116.15</v>
          </cell>
          <cell r="G199">
            <v>116.15</v>
          </cell>
          <cell r="H199" t="str">
            <v>losa maciza palco</v>
          </cell>
        </row>
        <row r="202">
          <cell r="B202" t="str">
            <v>05-02-030</v>
          </cell>
          <cell r="C202" t="str">
            <v>MALLA ELECTROSOLDADA D-84</v>
          </cell>
        </row>
        <row r="203">
          <cell r="A203" t="str">
            <v>05-02-030</v>
          </cell>
          <cell r="B203" t="str">
            <v>M2</v>
          </cell>
          <cell r="G203">
            <v>35</v>
          </cell>
          <cell r="H203" t="str">
            <v>M2</v>
          </cell>
        </row>
        <row r="205">
          <cell r="B205">
            <v>1</v>
          </cell>
          <cell r="F205">
            <v>34.049999999999997</v>
          </cell>
          <cell r="G205">
            <v>34.049999999999997</v>
          </cell>
          <cell r="H205" t="str">
            <v>losa baños segundo piso</v>
          </cell>
        </row>
        <row r="208">
          <cell r="B208" t="str">
            <v>05-02-040</v>
          </cell>
          <cell r="C208" t="str">
            <v>MALLA ELECTROSOLDADA D-188</v>
          </cell>
        </row>
        <row r="209">
          <cell r="A209" t="str">
            <v>05-02-040</v>
          </cell>
          <cell r="B209" t="str">
            <v>M2</v>
          </cell>
          <cell r="G209">
            <v>38</v>
          </cell>
          <cell r="H209" t="str">
            <v>M2</v>
          </cell>
        </row>
        <row r="211">
          <cell r="B211">
            <v>1</v>
          </cell>
          <cell r="F211">
            <v>19</v>
          </cell>
          <cell r="G211">
            <v>19</v>
          </cell>
          <cell r="H211" t="str">
            <v>losa cuarto de proyeccion</v>
          </cell>
        </row>
        <row r="212">
          <cell r="B212">
            <v>1</v>
          </cell>
          <cell r="F212">
            <v>19</v>
          </cell>
          <cell r="G212">
            <v>19</v>
          </cell>
          <cell r="H212" t="str">
            <v>losa cubierta cuarto de proyeccion</v>
          </cell>
        </row>
        <row r="215">
          <cell r="B215" t="str">
            <v>05-03-100</v>
          </cell>
          <cell r="C215" t="str">
            <v>LOSA EN LAMINA COLABORANTE. STEELDECK 2" CAL. 20 O EQUIVALENTE, CONCRETO F'C 21 MPA E: 0.12 M. Y CONECTORES</v>
          </cell>
        </row>
        <row r="216">
          <cell r="A216" t="str">
            <v>05-03-100</v>
          </cell>
          <cell r="B216" t="str">
            <v>M2</v>
          </cell>
          <cell r="G216">
            <v>73</v>
          </cell>
          <cell r="H216" t="str">
            <v>M2</v>
          </cell>
        </row>
        <row r="218">
          <cell r="B218">
            <v>1</v>
          </cell>
          <cell r="F218">
            <v>34.049999999999997</v>
          </cell>
          <cell r="G218">
            <v>34.049999999999997</v>
          </cell>
          <cell r="H218" t="str">
            <v>zona baños segundo piso</v>
          </cell>
        </row>
        <row r="219">
          <cell r="B219">
            <v>1</v>
          </cell>
          <cell r="F219">
            <v>19</v>
          </cell>
          <cell r="G219">
            <v>19</v>
          </cell>
          <cell r="H219" t="str">
            <v>losa cuarto de proyeccion</v>
          </cell>
        </row>
        <row r="220">
          <cell r="B220">
            <v>1</v>
          </cell>
          <cell r="F220">
            <v>19</v>
          </cell>
          <cell r="G220">
            <v>19</v>
          </cell>
          <cell r="H220" t="str">
            <v>losa cubierta cuarto de proyeccion</v>
          </cell>
        </row>
        <row r="223">
          <cell r="B223" t="str">
            <v>05-03-200</v>
          </cell>
          <cell r="C223" t="str">
            <v>ESTRUCTURA METALICA DE ESCALAS DE ACCESO A SONIDO</v>
          </cell>
        </row>
        <row r="224">
          <cell r="A224" t="str">
            <v>05-03-200</v>
          </cell>
          <cell r="B224" t="str">
            <v>KG</v>
          </cell>
          <cell r="G224">
            <v>1000</v>
          </cell>
          <cell r="H224" t="str">
            <v>KG</v>
          </cell>
        </row>
        <row r="226">
          <cell r="B226">
            <v>1</v>
          </cell>
          <cell r="F226">
            <v>1000</v>
          </cell>
          <cell r="G226">
            <v>1000</v>
          </cell>
          <cell r="H226" t="str">
            <v>escalas</v>
          </cell>
        </row>
        <row r="229">
          <cell r="B229" t="str">
            <v>05-03-210</v>
          </cell>
          <cell r="C229" t="str">
            <v>CERCHAS METALICAS PARA GRADERIAS EN SEGUNDO PISO</v>
          </cell>
        </row>
        <row r="230">
          <cell r="A230" t="str">
            <v>05-03-210</v>
          </cell>
          <cell r="B230" t="str">
            <v>KG</v>
          </cell>
          <cell r="G230">
            <v>2230</v>
          </cell>
          <cell r="H230" t="str">
            <v>KG</v>
          </cell>
          <cell r="J230" t="str">
            <v>no hay diseño - se asume 20 kg/m2</v>
          </cell>
        </row>
        <row r="232">
          <cell r="B232">
            <v>20</v>
          </cell>
          <cell r="C232">
            <v>14.95</v>
          </cell>
          <cell r="D232">
            <v>6.13</v>
          </cell>
          <cell r="G232">
            <v>1832.87</v>
          </cell>
          <cell r="H232" t="str">
            <v>graderias</v>
          </cell>
        </row>
        <row r="233">
          <cell r="B233">
            <v>20</v>
          </cell>
          <cell r="F233">
            <v>19.82</v>
          </cell>
          <cell r="G233">
            <v>396.4</v>
          </cell>
          <cell r="H233" t="str">
            <v>tarimas</v>
          </cell>
        </row>
        <row r="236">
          <cell r="B236" t="str">
            <v>05-03-220</v>
          </cell>
          <cell r="C236" t="str">
            <v>VIGAS METALICAS IPE200 PARA SOPORTE LOSA CUARTO DE PROYECCION</v>
          </cell>
        </row>
        <row r="237">
          <cell r="A237" t="str">
            <v>05-03-220</v>
          </cell>
          <cell r="B237" t="str">
            <v>KG</v>
          </cell>
          <cell r="G237">
            <v>730</v>
          </cell>
          <cell r="H237" t="str">
            <v>KG</v>
          </cell>
        </row>
        <row r="239">
          <cell r="B239">
            <v>1.06</v>
          </cell>
          <cell r="C239">
            <v>15.38</v>
          </cell>
          <cell r="F239">
            <v>22.37</v>
          </cell>
          <cell r="G239">
            <v>364.69363600000003</v>
          </cell>
          <cell r="H239" t="str">
            <v>soporte losa cuarto proyeccion</v>
          </cell>
        </row>
        <row r="240">
          <cell r="B240">
            <v>1.06</v>
          </cell>
          <cell r="C240">
            <v>15.38</v>
          </cell>
          <cell r="F240">
            <v>22.37</v>
          </cell>
          <cell r="G240">
            <v>364.69363600000003</v>
          </cell>
          <cell r="H240" t="str">
            <v>soporte cubierta cuarto proyeccion</v>
          </cell>
        </row>
        <row r="243">
          <cell r="B243" t="str">
            <v>05-03-230</v>
          </cell>
          <cell r="C243" t="str">
            <v>VIGAS METALICAS IPE200, IPE240 Y TUBULARES PTEC 5" x 5" x 4.5 MM. PARA SOPORTE PISO MADERA CUARTO DE SONIDO</v>
          </cell>
        </row>
        <row r="244">
          <cell r="A244" t="str">
            <v>05-03-230</v>
          </cell>
          <cell r="B244" t="str">
            <v>KG</v>
          </cell>
          <cell r="G244">
            <v>348</v>
          </cell>
          <cell r="H244" t="str">
            <v>KG</v>
          </cell>
        </row>
        <row r="246">
          <cell r="B246">
            <v>1.06</v>
          </cell>
          <cell r="C246">
            <v>7.6</v>
          </cell>
          <cell r="F246">
            <v>30.69</v>
          </cell>
          <cell r="G246">
            <v>247.23863999999998</v>
          </cell>
          <cell r="H246" t="str">
            <v>ipe240</v>
          </cell>
        </row>
        <row r="247">
          <cell r="B247">
            <v>1.06</v>
          </cell>
          <cell r="C247">
            <v>1</v>
          </cell>
          <cell r="F247">
            <v>22.37</v>
          </cell>
          <cell r="G247">
            <v>23.712200000000003</v>
          </cell>
          <cell r="H247" t="str">
            <v>ipe200</v>
          </cell>
        </row>
        <row r="248">
          <cell r="B248">
            <v>1.06</v>
          </cell>
          <cell r="C248">
            <v>3.61</v>
          </cell>
          <cell r="F248">
            <v>19.899999999999999</v>
          </cell>
          <cell r="G248">
            <v>76.149339999999995</v>
          </cell>
          <cell r="H248" t="str">
            <v>ptec 5x5</v>
          </cell>
        </row>
        <row r="251">
          <cell r="B251" t="str">
            <v>05-03-240</v>
          </cell>
          <cell r="C251" t="str">
            <v>VIGAS METALICAS IPE300, IPE240 PARA SOPORTE PISO MADERA Y STEELDECK OFICINAS SEGUNDO PISO</v>
          </cell>
        </row>
        <row r="252">
          <cell r="A252" t="str">
            <v>05-03-240</v>
          </cell>
          <cell r="B252" t="str">
            <v>KG</v>
          </cell>
          <cell r="G252">
            <v>4289</v>
          </cell>
          <cell r="H252" t="str">
            <v>KG</v>
          </cell>
        </row>
        <row r="254">
          <cell r="B254">
            <v>1.06</v>
          </cell>
          <cell r="C254">
            <v>42.820000000000007</v>
          </cell>
          <cell r="F254">
            <v>30.69</v>
          </cell>
          <cell r="G254">
            <v>1392.9945480000003</v>
          </cell>
          <cell r="H254" t="str">
            <v>ipe240</v>
          </cell>
        </row>
        <row r="255">
          <cell r="B255">
            <v>1.06</v>
          </cell>
          <cell r="C255">
            <v>64.69</v>
          </cell>
          <cell r="F255">
            <v>42.23</v>
          </cell>
          <cell r="G255">
            <v>2895.7702219999996</v>
          </cell>
          <cell r="H255" t="str">
            <v>ipe300</v>
          </cell>
        </row>
        <row r="258">
          <cell r="B258" t="str">
            <v>05-03-250</v>
          </cell>
          <cell r="C258" t="str">
            <v>ESTRUCTURA METALICA Y CUELGAS DE LA PARRILLA DE ILUMINACION</v>
          </cell>
        </row>
        <row r="259">
          <cell r="A259" t="str">
            <v>05-03-250</v>
          </cell>
          <cell r="B259" t="str">
            <v>KG</v>
          </cell>
          <cell r="G259">
            <v>1197</v>
          </cell>
          <cell r="H259" t="str">
            <v>KG</v>
          </cell>
          <cell r="J259" t="str">
            <v>no hay diseño - se asume 12 kg/m2</v>
          </cell>
        </row>
        <row r="261">
          <cell r="B261">
            <v>12</v>
          </cell>
          <cell r="F261">
            <v>99.7</v>
          </cell>
          <cell r="G261">
            <v>1196.4000000000001</v>
          </cell>
          <cell r="H261" t="str">
            <v>parrilla iluminacion</v>
          </cell>
        </row>
        <row r="264">
          <cell r="B264" t="str">
            <v>05-03-260</v>
          </cell>
          <cell r="C264" t="str">
            <v>ESTRUCTURA METALICA Y PASAMANOS DE LOS CORREDORES TECNICOS INTERIORES Y EXTERIORES</v>
          </cell>
        </row>
        <row r="265">
          <cell r="A265" t="str">
            <v>05-03-260</v>
          </cell>
          <cell r="B265" t="str">
            <v>KG</v>
          </cell>
          <cell r="G265">
            <v>691</v>
          </cell>
          <cell r="H265" t="str">
            <v>KG</v>
          </cell>
          <cell r="J265" t="str">
            <v>no hay diseño - se asume 18 kg/m2</v>
          </cell>
        </row>
        <row r="267">
          <cell r="B267">
            <v>18</v>
          </cell>
          <cell r="F267">
            <v>26.59</v>
          </cell>
          <cell r="G267">
            <v>478.62</v>
          </cell>
          <cell r="H267" t="str">
            <v>corredor exterior</v>
          </cell>
        </row>
        <row r="268">
          <cell r="B268">
            <v>18</v>
          </cell>
          <cell r="F268">
            <v>11.77</v>
          </cell>
          <cell r="G268">
            <v>211.85999999999999</v>
          </cell>
          <cell r="H268" t="str">
            <v>corredor interior</v>
          </cell>
        </row>
        <row r="271">
          <cell r="B271" t="str">
            <v>05-03-270</v>
          </cell>
          <cell r="C271" t="str">
            <v>PERFILES GALVANIZADOS TIPO ACESCO O EQUIVALENTE PARA SOPORTE DE TEJAS DE CUBIERTA</v>
          </cell>
        </row>
        <row r="272">
          <cell r="A272" t="str">
            <v>05-03-270</v>
          </cell>
          <cell r="B272" t="str">
            <v>KG</v>
          </cell>
          <cell r="G272">
            <v>3919</v>
          </cell>
          <cell r="H272" t="str">
            <v>KG</v>
          </cell>
          <cell r="J272" t="str">
            <v>no hay diseño - se asume perfil phr 220x80x3 mm</v>
          </cell>
        </row>
        <row r="274">
          <cell r="B274">
            <v>1.06</v>
          </cell>
          <cell r="C274">
            <v>386.67</v>
          </cell>
          <cell r="F274">
            <v>9.56</v>
          </cell>
          <cell r="G274">
            <v>3918.3591120000001</v>
          </cell>
        </row>
        <row r="277">
          <cell r="B277" t="str">
            <v>06</v>
          </cell>
          <cell r="C277" t="str">
            <v>MAMPOSTERIA</v>
          </cell>
        </row>
        <row r="278">
          <cell r="B278" t="str">
            <v>06-01-100</v>
          </cell>
          <cell r="C278" t="str">
            <v>MUROS EN SUPERBOARD DOS CARAS</v>
          </cell>
        </row>
        <row r="279">
          <cell r="A279" t="str">
            <v>06-01-100</v>
          </cell>
          <cell r="B279" t="str">
            <v>M2</v>
          </cell>
          <cell r="G279">
            <v>398</v>
          </cell>
          <cell r="H279" t="str">
            <v>M2</v>
          </cell>
        </row>
        <row r="281">
          <cell r="B281">
            <v>1</v>
          </cell>
          <cell r="F281">
            <v>0</v>
          </cell>
          <cell r="G281">
            <v>0</v>
          </cell>
          <cell r="H281" t="str">
            <v>nivel 1</v>
          </cell>
        </row>
        <row r="282">
          <cell r="B282">
            <v>1</v>
          </cell>
          <cell r="F282">
            <v>397.0213</v>
          </cell>
          <cell r="G282">
            <v>397.0213</v>
          </cell>
          <cell r="H282" t="str">
            <v>nivel 2</v>
          </cell>
        </row>
        <row r="283">
          <cell r="B283">
            <v>1</v>
          </cell>
          <cell r="F283">
            <v>0</v>
          </cell>
          <cell r="G283">
            <v>0</v>
          </cell>
          <cell r="H283" t="str">
            <v>cuarto de proyeccion</v>
          </cell>
        </row>
        <row r="286">
          <cell r="B286" t="str">
            <v>06-01-110</v>
          </cell>
          <cell r="C286" t="str">
            <v>MUROS EN SUPERBOARD UNA CARA</v>
          </cell>
        </row>
        <row r="287">
          <cell r="A287" t="str">
            <v>06-01-110</v>
          </cell>
          <cell r="B287" t="str">
            <v>M2</v>
          </cell>
          <cell r="G287">
            <v>380</v>
          </cell>
          <cell r="H287" t="str">
            <v>M2</v>
          </cell>
        </row>
        <row r="289">
          <cell r="B289">
            <v>1</v>
          </cell>
          <cell r="C289">
            <v>60.25</v>
          </cell>
          <cell r="E289">
            <v>6.3</v>
          </cell>
          <cell r="G289">
            <v>379.57499999999999</v>
          </cell>
          <cell r="H289" t="str">
            <v>nivel 2</v>
          </cell>
        </row>
        <row r="292">
          <cell r="B292" t="str">
            <v>06-02-010</v>
          </cell>
          <cell r="C292" t="str">
            <v>MAMPOSTERIA INTERIOR EN LADRILLO TOLETE 15x20x40 REVITADO DOS CARAS</v>
          </cell>
        </row>
        <row r="293">
          <cell r="A293" t="str">
            <v>06-02-010</v>
          </cell>
          <cell r="B293" t="str">
            <v>M2</v>
          </cell>
          <cell r="G293">
            <v>425</v>
          </cell>
          <cell r="H293" t="str">
            <v>M2</v>
          </cell>
        </row>
        <row r="295">
          <cell r="B295">
            <v>1</v>
          </cell>
          <cell r="F295">
            <v>326.93360000000001</v>
          </cell>
          <cell r="G295">
            <v>326.93360000000001</v>
          </cell>
          <cell r="H295" t="str">
            <v>nivel 1</v>
          </cell>
        </row>
        <row r="296">
          <cell r="B296">
            <v>1</v>
          </cell>
          <cell r="F296">
            <v>97.684399999999982</v>
          </cell>
          <cell r="G296">
            <v>97.684399999999982</v>
          </cell>
          <cell r="H296" t="str">
            <v>nivel 2</v>
          </cell>
        </row>
        <row r="297">
          <cell r="B297">
            <v>1</v>
          </cell>
          <cell r="F297">
            <v>0</v>
          </cell>
          <cell r="G297">
            <v>0</v>
          </cell>
          <cell r="H297" t="str">
            <v>cuarto de proyeccion</v>
          </cell>
        </row>
        <row r="300">
          <cell r="B300" t="str">
            <v>06-02-020</v>
          </cell>
          <cell r="C300" t="str">
            <v>MAMPOSTERIA INTERIOR EN LADRILLO 10x20x40 REVITADO DOS CARAS</v>
          </cell>
        </row>
        <row r="301">
          <cell r="A301" t="str">
            <v>06-02-020</v>
          </cell>
          <cell r="B301" t="str">
            <v>M2</v>
          </cell>
          <cell r="G301">
            <v>238</v>
          </cell>
          <cell r="H301" t="str">
            <v>M2</v>
          </cell>
        </row>
        <row r="303">
          <cell r="B303">
            <v>1</v>
          </cell>
          <cell r="F303">
            <v>186.10810000000004</v>
          </cell>
          <cell r="G303">
            <v>186.10810000000004</v>
          </cell>
          <cell r="H303" t="str">
            <v>nivel 1</v>
          </cell>
        </row>
        <row r="304">
          <cell r="B304">
            <v>1</v>
          </cell>
          <cell r="F304">
            <v>51.243700000000004</v>
          </cell>
          <cell r="G304">
            <v>51.243700000000004</v>
          </cell>
          <cell r="H304" t="str">
            <v>nivel 2</v>
          </cell>
        </row>
        <row r="305">
          <cell r="B305">
            <v>1</v>
          </cell>
          <cell r="F305">
            <v>0</v>
          </cell>
          <cell r="G305">
            <v>0</v>
          </cell>
          <cell r="H305" t="str">
            <v>cuarto de proyeccion</v>
          </cell>
        </row>
        <row r="308">
          <cell r="B308" t="str">
            <v>06-02-030</v>
          </cell>
          <cell r="C308" t="str">
            <v>MAMPOSTERIA INTERIOR EN BLOQUE 20x20x40 REVITADO DOS CARAS</v>
          </cell>
        </row>
        <row r="309">
          <cell r="A309" t="str">
            <v>06-02-030</v>
          </cell>
          <cell r="B309" t="str">
            <v>M2</v>
          </cell>
          <cell r="G309">
            <v>407</v>
          </cell>
          <cell r="H309" t="str">
            <v>M2</v>
          </cell>
        </row>
        <row r="311">
          <cell r="B311">
            <v>1</v>
          </cell>
          <cell r="F311">
            <v>149.34240000000003</v>
          </cell>
          <cell r="G311">
            <v>149.34240000000003</v>
          </cell>
          <cell r="H311" t="str">
            <v>nivel 1</v>
          </cell>
        </row>
        <row r="312">
          <cell r="B312">
            <v>1</v>
          </cell>
          <cell r="F312">
            <v>178.22560000000001</v>
          </cell>
          <cell r="G312">
            <v>178.22560000000001</v>
          </cell>
          <cell r="H312" t="str">
            <v>nivel 2</v>
          </cell>
        </row>
        <row r="313">
          <cell r="B313">
            <v>1</v>
          </cell>
          <cell r="F313">
            <v>79.406999999999996</v>
          </cell>
          <cell r="G313">
            <v>79.406999999999996</v>
          </cell>
          <cell r="H313" t="str">
            <v>cuarto de proyeccion</v>
          </cell>
        </row>
        <row r="316">
          <cell r="B316" t="str">
            <v>06-03-010</v>
          </cell>
          <cell r="C316" t="str">
            <v>GROUTING PARA MUROS DE E: 0.20 F'C 14.5 MPA</v>
          </cell>
        </row>
        <row r="317">
          <cell r="A317" t="str">
            <v>06-03-010</v>
          </cell>
          <cell r="B317" t="str">
            <v>M</v>
          </cell>
          <cell r="G317">
            <v>568</v>
          </cell>
          <cell r="H317" t="str">
            <v>M</v>
          </cell>
          <cell r="J317" t="str">
            <v>se asumen dovelas en muros de ladrillo @ 1.00 m.</v>
          </cell>
        </row>
        <row r="319">
          <cell r="B319">
            <v>1</v>
          </cell>
          <cell r="C319">
            <v>226.72</v>
          </cell>
          <cell r="G319">
            <v>226.72</v>
          </cell>
          <cell r="H319" t="str">
            <v>nivel 1</v>
          </cell>
        </row>
        <row r="320">
          <cell r="B320">
            <v>1</v>
          </cell>
          <cell r="C320">
            <v>232.57000000000002</v>
          </cell>
          <cell r="G320">
            <v>232.57000000000002</v>
          </cell>
          <cell r="H320" t="str">
            <v>nivel 2</v>
          </cell>
        </row>
        <row r="321">
          <cell r="B321">
            <v>1</v>
          </cell>
          <cell r="C321">
            <v>108.24</v>
          </cell>
          <cell r="G321">
            <v>108.24</v>
          </cell>
          <cell r="H321" t="str">
            <v>cuarto de proyeccion</v>
          </cell>
        </row>
        <row r="324">
          <cell r="B324" t="str">
            <v>06-03-020</v>
          </cell>
          <cell r="C324" t="str">
            <v>GROUTING PARA MUROS DE E: 0.15 F'C 14.5 MPA</v>
          </cell>
        </row>
        <row r="325">
          <cell r="A325" t="str">
            <v>06-03-020</v>
          </cell>
          <cell r="B325" t="str">
            <v>M</v>
          </cell>
          <cell r="G325">
            <v>803</v>
          </cell>
          <cell r="H325" t="str">
            <v>M</v>
          </cell>
          <cell r="J325" t="str">
            <v>se asumen dovelas en muros de ladrillo @ 1.00 m.</v>
          </cell>
        </row>
        <row r="327">
          <cell r="B327">
            <v>1</v>
          </cell>
          <cell r="C327">
            <v>670.13999999999987</v>
          </cell>
          <cell r="G327">
            <v>670.13999999999987</v>
          </cell>
          <cell r="H327" t="str">
            <v>nivel 1</v>
          </cell>
        </row>
        <row r="328">
          <cell r="B328">
            <v>1</v>
          </cell>
          <cell r="C328">
            <v>132.19</v>
          </cell>
          <cell r="G328">
            <v>132.19</v>
          </cell>
          <cell r="H328" t="str">
            <v>nivel 2</v>
          </cell>
        </row>
        <row r="329">
          <cell r="B329">
            <v>1</v>
          </cell>
          <cell r="C329">
            <v>0</v>
          </cell>
          <cell r="G329">
            <v>0</v>
          </cell>
          <cell r="H329" t="str">
            <v>cuarto de proyeccion</v>
          </cell>
        </row>
        <row r="332">
          <cell r="B332" t="str">
            <v>06-03-025</v>
          </cell>
          <cell r="C332" t="str">
            <v>GROUTING PARA MUROS DE E: 0.10 F'C 14.5 MPA</v>
          </cell>
        </row>
        <row r="333">
          <cell r="A333" t="str">
            <v>06-03-025</v>
          </cell>
          <cell r="B333" t="str">
            <v>M</v>
          </cell>
          <cell r="G333">
            <v>413</v>
          </cell>
          <cell r="H333" t="str">
            <v>M</v>
          </cell>
          <cell r="J333" t="str">
            <v>se asumen dovelas en muros de ladrillo @ 1.00 m.</v>
          </cell>
        </row>
        <row r="335">
          <cell r="B335">
            <v>1</v>
          </cell>
          <cell r="C335">
            <v>341.14</v>
          </cell>
          <cell r="G335">
            <v>341.14</v>
          </cell>
          <cell r="H335" t="str">
            <v>nivel 1</v>
          </cell>
        </row>
        <row r="336">
          <cell r="B336">
            <v>1</v>
          </cell>
          <cell r="C336">
            <v>71.23</v>
          </cell>
          <cell r="G336">
            <v>71.23</v>
          </cell>
          <cell r="H336" t="str">
            <v>nivel 2</v>
          </cell>
        </row>
        <row r="337">
          <cell r="B337">
            <v>1</v>
          </cell>
          <cell r="C337">
            <v>0</v>
          </cell>
          <cell r="G337">
            <v>0</v>
          </cell>
          <cell r="H337" t="str">
            <v>cuarto de proyeccion</v>
          </cell>
        </row>
        <row r="340">
          <cell r="B340" t="str">
            <v>06-03-030</v>
          </cell>
          <cell r="C340" t="str">
            <v>ANCLAJES PARA REFUERZO DOVELAS. PERFORACION LOSA, EPOXICO Y ACERO DE REFUERZO</v>
          </cell>
        </row>
        <row r="341">
          <cell r="A341" t="str">
            <v>06-03-030</v>
          </cell>
          <cell r="B341" t="str">
            <v>UN</v>
          </cell>
          <cell r="G341">
            <v>844</v>
          </cell>
          <cell r="H341" t="str">
            <v>UN</v>
          </cell>
          <cell r="J341" t="str">
            <v>se asumen dovelas en muros de ladrillo @ 1.00 m.</v>
          </cell>
        </row>
        <row r="342">
          <cell r="J342" t="str">
            <v>se asumen anclajes en ambos extremos</v>
          </cell>
        </row>
        <row r="343">
          <cell r="B343">
            <v>2</v>
          </cell>
          <cell r="F343">
            <v>279</v>
          </cell>
          <cell r="G343">
            <v>558</v>
          </cell>
          <cell r="H343" t="str">
            <v>nivel 1</v>
          </cell>
        </row>
        <row r="344">
          <cell r="B344">
            <v>2</v>
          </cell>
          <cell r="F344">
            <v>106</v>
          </cell>
          <cell r="G344">
            <v>212</v>
          </cell>
          <cell r="H344" t="str">
            <v>nivel 2</v>
          </cell>
        </row>
        <row r="345">
          <cell r="B345">
            <v>2</v>
          </cell>
          <cell r="F345">
            <v>37</v>
          </cell>
          <cell r="G345">
            <v>74</v>
          </cell>
          <cell r="H345" t="str">
            <v>cuarto de proyeccion</v>
          </cell>
        </row>
        <row r="348">
          <cell r="B348" t="str">
            <v>06-04-010</v>
          </cell>
          <cell r="C348" t="str">
            <v>ACERO DE REFUERZO FY 420 MPA PARA MAMPOSTERIAS</v>
          </cell>
        </row>
        <row r="349">
          <cell r="A349" t="str">
            <v>06-04-010</v>
          </cell>
          <cell r="B349" t="str">
            <v>KG</v>
          </cell>
          <cell r="G349">
            <v>999</v>
          </cell>
          <cell r="H349" t="str">
            <v>KG</v>
          </cell>
          <cell r="J349" t="str">
            <v>se asumen dovelas en muros de ladrillo @ 1.00 m.</v>
          </cell>
        </row>
        <row r="350">
          <cell r="J350" t="str">
            <v>se asumen dovelas de Ø 3/4"</v>
          </cell>
        </row>
        <row r="351">
          <cell r="B351">
            <v>1</v>
          </cell>
          <cell r="F351">
            <v>693.28000000000009</v>
          </cell>
          <cell r="G351">
            <v>693.28000000000009</v>
          </cell>
          <cell r="H351" t="str">
            <v>nivel 1</v>
          </cell>
        </row>
        <row r="352">
          <cell r="B352">
            <v>1</v>
          </cell>
          <cell r="F352">
            <v>244.15440000000007</v>
          </cell>
          <cell r="G352">
            <v>244.15440000000007</v>
          </cell>
          <cell r="H352" t="str">
            <v>nivel 2</v>
          </cell>
        </row>
        <row r="353">
          <cell r="B353">
            <v>1</v>
          </cell>
          <cell r="F353">
            <v>60.614400000000003</v>
          </cell>
          <cell r="G353">
            <v>60.614400000000003</v>
          </cell>
          <cell r="H353" t="str">
            <v>cuarto de proyeccion</v>
          </cell>
        </row>
        <row r="356">
          <cell r="B356" t="str">
            <v>08</v>
          </cell>
          <cell r="C356" t="str">
            <v>CUBIERTAS Y CIELOS</v>
          </cell>
        </row>
        <row r="357">
          <cell r="B357" t="str">
            <v>08-01-010</v>
          </cell>
          <cell r="C357" t="str">
            <v>CUBIERTA EN TEJA METALICA TIPO SANDUCHE 333 C E: 50 MM. DE HUNTER DOUGLAS O EQUIVALENTE. LAMINAS INTERIOR Y EXTERIOR EN ALUZINC CAL 24 + RELLENO EN FIBRA DE VIDRIO. INCLUYE REMATES LATERALES Y CABALLETES</v>
          </cell>
        </row>
        <row r="358">
          <cell r="A358" t="str">
            <v>08-01-010</v>
          </cell>
          <cell r="B358" t="str">
            <v>M2</v>
          </cell>
          <cell r="G358">
            <v>609</v>
          </cell>
          <cell r="H358" t="str">
            <v>M2</v>
          </cell>
        </row>
        <row r="360">
          <cell r="B360">
            <v>1</v>
          </cell>
          <cell r="C360">
            <v>24.71</v>
          </cell>
          <cell r="D360">
            <v>10.45</v>
          </cell>
          <cell r="G360">
            <v>258.21949999999998</v>
          </cell>
          <cell r="H360">
            <v>1</v>
          </cell>
        </row>
        <row r="361">
          <cell r="B361">
            <v>1</v>
          </cell>
          <cell r="C361">
            <v>24.66</v>
          </cell>
          <cell r="D361">
            <v>10.35</v>
          </cell>
          <cell r="G361">
            <v>255.23099999999999</v>
          </cell>
          <cell r="H361">
            <v>2</v>
          </cell>
        </row>
        <row r="362">
          <cell r="B362">
            <v>1</v>
          </cell>
          <cell r="C362">
            <v>4.01</v>
          </cell>
          <cell r="D362">
            <v>8.9499999999999993</v>
          </cell>
          <cell r="G362">
            <v>35.889499999999998</v>
          </cell>
          <cell r="H362">
            <v>3</v>
          </cell>
        </row>
        <row r="363">
          <cell r="B363">
            <v>1</v>
          </cell>
          <cell r="C363">
            <v>2.5499999999999998</v>
          </cell>
          <cell r="D363">
            <v>9.14</v>
          </cell>
          <cell r="G363">
            <v>23.306999999999999</v>
          </cell>
          <cell r="H363">
            <v>4</v>
          </cell>
        </row>
        <row r="364">
          <cell r="B364">
            <v>1</v>
          </cell>
          <cell r="C364">
            <v>4.01</v>
          </cell>
          <cell r="D364">
            <v>8.9499999999999993</v>
          </cell>
          <cell r="G364">
            <v>35.889499999999998</v>
          </cell>
          <cell r="H364">
            <v>5</v>
          </cell>
        </row>
        <row r="367">
          <cell r="B367" t="str">
            <v>08-01-020</v>
          </cell>
          <cell r="C367" t="str">
            <v>TRAGALUCES EN TEJA DE POLICARBONATO</v>
          </cell>
        </row>
        <row r="368">
          <cell r="A368" t="str">
            <v>08-01-020</v>
          </cell>
          <cell r="B368" t="str">
            <v>M2</v>
          </cell>
          <cell r="G368">
            <v>14</v>
          </cell>
          <cell r="H368" t="str">
            <v>M2</v>
          </cell>
        </row>
        <row r="370">
          <cell r="B370">
            <v>1</v>
          </cell>
          <cell r="F370">
            <v>13.29</v>
          </cell>
          <cell r="G370">
            <v>13.29</v>
          </cell>
        </row>
        <row r="373">
          <cell r="B373" t="str">
            <v>08-02-010</v>
          </cell>
          <cell r="C373" t="str">
            <v>CIELO FALSO EN TABLAYESO A JUNTA PERDIDA. INCLUYE CUELGAS</v>
          </cell>
        </row>
        <row r="374">
          <cell r="A374" t="str">
            <v>08-02-010</v>
          </cell>
          <cell r="B374" t="str">
            <v>M2</v>
          </cell>
          <cell r="G374">
            <v>978</v>
          </cell>
          <cell r="H374" t="str">
            <v>M2</v>
          </cell>
        </row>
        <row r="376">
          <cell r="B376">
            <v>1</v>
          </cell>
          <cell r="F376">
            <v>185.47</v>
          </cell>
          <cell r="G376">
            <v>185.47</v>
          </cell>
          <cell r="H376" t="str">
            <v>nivel 1</v>
          </cell>
        </row>
        <row r="377">
          <cell r="B377">
            <v>1</v>
          </cell>
          <cell r="F377">
            <v>792.18999999999994</v>
          </cell>
          <cell r="G377">
            <v>792.18999999999994</v>
          </cell>
          <cell r="H377" t="str">
            <v>nivel 2</v>
          </cell>
        </row>
        <row r="380">
          <cell r="B380" t="str">
            <v>08-03-010</v>
          </cell>
          <cell r="C380" t="str">
            <v>CANOA METALICA EN LAMINA GALVANIZADA CAL 22. DESARROLLO 2.20 M. INCLUYE ANTICORROSIVO + PINTURA DE ACABADO</v>
          </cell>
        </row>
        <row r="381">
          <cell r="A381" t="str">
            <v>08-03-010</v>
          </cell>
          <cell r="B381" t="str">
            <v>M</v>
          </cell>
          <cell r="G381">
            <v>75</v>
          </cell>
          <cell r="H381" t="str">
            <v>M</v>
          </cell>
        </row>
        <row r="383">
          <cell r="B383">
            <v>1</v>
          </cell>
          <cell r="C383">
            <v>74.650000000000006</v>
          </cell>
          <cell r="G383">
            <v>74.650000000000006</v>
          </cell>
        </row>
        <row r="386">
          <cell r="B386" t="str">
            <v>08-03-020</v>
          </cell>
          <cell r="C386" t="str">
            <v>CANOA / RUANA METALICA EN LAMINA GALVANIZADA CAL 22. DESARROLLO 1.20 M. INCLUYE ANTICORROSIVO + PINTURA DE ACABADO</v>
          </cell>
        </row>
        <row r="387">
          <cell r="A387" t="str">
            <v>08-03-020</v>
          </cell>
          <cell r="B387" t="str">
            <v>M</v>
          </cell>
          <cell r="G387">
            <v>44</v>
          </cell>
          <cell r="H387" t="str">
            <v>M</v>
          </cell>
        </row>
        <row r="389">
          <cell r="B389">
            <v>1</v>
          </cell>
          <cell r="C389">
            <v>43.29</v>
          </cell>
          <cell r="G389">
            <v>43.29</v>
          </cell>
        </row>
        <row r="392">
          <cell r="B392" t="str">
            <v>08-03-030</v>
          </cell>
          <cell r="C392" t="str">
            <v>DOBLE TRAGANTE Ø 4" EN LAMINA GALVANIZADA CAL 22.</v>
          </cell>
        </row>
        <row r="393">
          <cell r="A393" t="str">
            <v>08-03-030</v>
          </cell>
          <cell r="B393" t="str">
            <v>UN</v>
          </cell>
          <cell r="G393">
            <v>13</v>
          </cell>
          <cell r="H393" t="str">
            <v>UN</v>
          </cell>
        </row>
        <row r="395">
          <cell r="B395">
            <v>13</v>
          </cell>
          <cell r="G395">
            <v>13</v>
          </cell>
        </row>
        <row r="398">
          <cell r="B398" t="str">
            <v>08-03-040</v>
          </cell>
          <cell r="C398" t="str">
            <v>PLETINA EN ACERO 1/8" x 1" - L: 0.60 M. ANCLADA A MUROS PARA SOPORTE DE TUBERIAS DE AGUAS LLUVIAS</v>
          </cell>
        </row>
        <row r="399">
          <cell r="A399" t="str">
            <v>08-03-040</v>
          </cell>
          <cell r="B399" t="str">
            <v>UN</v>
          </cell>
          <cell r="G399">
            <v>39</v>
          </cell>
          <cell r="H399" t="str">
            <v>UN</v>
          </cell>
        </row>
        <row r="401">
          <cell r="B401">
            <v>39</v>
          </cell>
          <cell r="G401">
            <v>39</v>
          </cell>
        </row>
        <row r="404">
          <cell r="B404" t="str">
            <v>09</v>
          </cell>
          <cell r="C404" t="str">
            <v>RECUBRIMIENTOS</v>
          </cell>
        </row>
        <row r="405">
          <cell r="B405" t="str">
            <v>09-01-010</v>
          </cell>
          <cell r="C405" t="str">
            <v>REVOQUE MUROS. INCLUYE FAJAS, FILETES Y RANURAS</v>
          </cell>
        </row>
        <row r="406">
          <cell r="A406" t="str">
            <v>09-01-010</v>
          </cell>
          <cell r="B406" t="str">
            <v>M2</v>
          </cell>
          <cell r="G406">
            <v>2082</v>
          </cell>
          <cell r="H406" t="str">
            <v>M2</v>
          </cell>
        </row>
        <row r="408">
          <cell r="B408">
            <v>1</v>
          </cell>
          <cell r="F408">
            <v>1293.0282000000002</v>
          </cell>
          <cell r="G408">
            <v>1293.0282000000002</v>
          </cell>
          <cell r="H408" t="str">
            <v>nivel 1</v>
          </cell>
        </row>
        <row r="409">
          <cell r="B409">
            <v>1</v>
          </cell>
          <cell r="F409">
            <v>629.16740000000004</v>
          </cell>
          <cell r="G409">
            <v>629.16740000000004</v>
          </cell>
          <cell r="H409" t="str">
            <v>nivel 2</v>
          </cell>
        </row>
        <row r="410">
          <cell r="B410">
            <v>1</v>
          </cell>
          <cell r="F410">
            <v>158.81399999999999</v>
          </cell>
          <cell r="G410">
            <v>158.81399999999999</v>
          </cell>
          <cell r="H410" t="str">
            <v>cuarto de proyeccion</v>
          </cell>
        </row>
        <row r="413">
          <cell r="B413" t="str">
            <v>09-02-010</v>
          </cell>
          <cell r="C413" t="str">
            <v>ENCHAPE DE MURO EN BAÑOS REF. AUSTRALIA 30x45 DE CORONA O EQUIVALENTE COLOR BLANCO.</v>
          </cell>
        </row>
        <row r="414">
          <cell r="A414" t="str">
            <v>09-02-010</v>
          </cell>
          <cell r="B414" t="str">
            <v>M2</v>
          </cell>
          <cell r="G414">
            <v>275</v>
          </cell>
          <cell r="H414" t="str">
            <v>M2</v>
          </cell>
        </row>
        <row r="416">
          <cell r="B416">
            <v>1</v>
          </cell>
          <cell r="C416">
            <v>103.19</v>
          </cell>
          <cell r="E416">
            <v>1.8</v>
          </cell>
          <cell r="G416">
            <v>185.74199999999999</v>
          </cell>
          <cell r="H416" t="str">
            <v>nivel 1</v>
          </cell>
        </row>
        <row r="417">
          <cell r="B417">
            <v>1</v>
          </cell>
          <cell r="C417">
            <v>49.519999999999996</v>
          </cell>
          <cell r="E417">
            <v>1.8</v>
          </cell>
          <cell r="G417">
            <v>89.135999999999996</v>
          </cell>
          <cell r="H417" t="str">
            <v>nivel 2</v>
          </cell>
        </row>
        <row r="420">
          <cell r="B420" t="str">
            <v>09-03-010</v>
          </cell>
          <cell r="C420" t="str">
            <v>PINTURA DE MUROS REF. ACRILTEX DE PINTUCO O EQUIVALENTE - 3 MANOS</v>
          </cell>
        </row>
        <row r="421">
          <cell r="A421" t="str">
            <v>09-03-010</v>
          </cell>
          <cell r="B421" t="str">
            <v>M2</v>
          </cell>
          <cell r="G421">
            <v>2082</v>
          </cell>
          <cell r="H421" t="str">
            <v>M2</v>
          </cell>
        </row>
        <row r="423">
          <cell r="B423">
            <v>1</v>
          </cell>
          <cell r="F423">
            <v>1293.0282000000002</v>
          </cell>
          <cell r="G423">
            <v>1293.0282000000002</v>
          </cell>
          <cell r="H423" t="str">
            <v>nivel 1</v>
          </cell>
        </row>
        <row r="424">
          <cell r="B424">
            <v>1</v>
          </cell>
          <cell r="F424">
            <v>629.16740000000004</v>
          </cell>
          <cell r="G424">
            <v>629.16740000000004</v>
          </cell>
          <cell r="H424" t="str">
            <v>nivel 2</v>
          </cell>
        </row>
        <row r="425">
          <cell r="B425">
            <v>1</v>
          </cell>
          <cell r="F425">
            <v>158.81399999999999</v>
          </cell>
          <cell r="G425">
            <v>158.81399999999999</v>
          </cell>
          <cell r="H425" t="str">
            <v>cuarto de proyeccion</v>
          </cell>
        </row>
        <row r="428">
          <cell r="B428" t="str">
            <v>09-03-030</v>
          </cell>
          <cell r="C428" t="str">
            <v>PINTURA DE CIELOS REF. ACRILTEX DE PINTUCO O EQUIVALENTE - 2 MANOS</v>
          </cell>
        </row>
        <row r="429">
          <cell r="A429" t="str">
            <v>09-03-030</v>
          </cell>
          <cell r="B429" t="str">
            <v>M2</v>
          </cell>
          <cell r="G429">
            <v>978</v>
          </cell>
          <cell r="H429" t="str">
            <v>M2</v>
          </cell>
        </row>
        <row r="431">
          <cell r="B431">
            <v>1</v>
          </cell>
          <cell r="F431">
            <v>185.47</v>
          </cell>
          <cell r="G431">
            <v>185.47</v>
          </cell>
          <cell r="H431" t="str">
            <v>nivel 1</v>
          </cell>
        </row>
        <row r="432">
          <cell r="B432">
            <v>1</v>
          </cell>
          <cell r="F432">
            <v>792.18999999999994</v>
          </cell>
          <cell r="G432">
            <v>792.18999999999994</v>
          </cell>
          <cell r="H432" t="str">
            <v>nivel 2</v>
          </cell>
        </row>
        <row r="435">
          <cell r="B435" t="str">
            <v>09-03-100</v>
          </cell>
          <cell r="C435" t="str">
            <v>ESTUCO PLASTICO TIPO ESTUCOR DE CORONA O EQUIVALENTE</v>
          </cell>
        </row>
        <row r="436">
          <cell r="A436" t="str">
            <v>09-03-100</v>
          </cell>
          <cell r="B436" t="str">
            <v>M2</v>
          </cell>
          <cell r="G436">
            <v>2082</v>
          </cell>
          <cell r="H436" t="str">
            <v>M2</v>
          </cell>
        </row>
        <row r="438">
          <cell r="B438">
            <v>1</v>
          </cell>
          <cell r="F438">
            <v>1293.0282000000002</v>
          </cell>
          <cell r="G438">
            <v>1293.0282000000002</v>
          </cell>
          <cell r="H438" t="str">
            <v>nivel 1</v>
          </cell>
        </row>
        <row r="439">
          <cell r="B439">
            <v>1</v>
          </cell>
          <cell r="F439">
            <v>629.16740000000004</v>
          </cell>
          <cell r="G439">
            <v>629.16740000000004</v>
          </cell>
          <cell r="H439" t="str">
            <v>nivel 2</v>
          </cell>
        </row>
        <row r="440">
          <cell r="B440">
            <v>1</v>
          </cell>
          <cell r="F440">
            <v>158.81399999999999</v>
          </cell>
          <cell r="G440">
            <v>158.81399999999999</v>
          </cell>
          <cell r="H440" t="str">
            <v>cuarto de proyeccion</v>
          </cell>
        </row>
        <row r="443">
          <cell r="B443" t="str">
            <v>09-03-110</v>
          </cell>
          <cell r="C443" t="str">
            <v>MOLDURAS Y CENEFAS</v>
          </cell>
        </row>
        <row r="444">
          <cell r="A444" t="str">
            <v>09-03-110</v>
          </cell>
          <cell r="B444" t="str">
            <v>M</v>
          </cell>
          <cell r="G444">
            <v>264</v>
          </cell>
          <cell r="H444" t="str">
            <v>M</v>
          </cell>
        </row>
        <row r="446">
          <cell r="B446">
            <v>1</v>
          </cell>
          <cell r="F446">
            <v>143.71999999999997</v>
          </cell>
          <cell r="G446">
            <v>143.71999999999997</v>
          </cell>
          <cell r="H446" t="str">
            <v>nivel 1</v>
          </cell>
        </row>
        <row r="447">
          <cell r="B447">
            <v>1</v>
          </cell>
          <cell r="F447">
            <v>120.13</v>
          </cell>
          <cell r="G447">
            <v>120.13</v>
          </cell>
          <cell r="H447" t="str">
            <v>nivel 2</v>
          </cell>
        </row>
        <row r="450">
          <cell r="B450" t="str">
            <v>10</v>
          </cell>
          <cell r="C450" t="str">
            <v>PISOS Y ZOCALOS</v>
          </cell>
        </row>
        <row r="451">
          <cell r="B451" t="str">
            <v>10-01-010</v>
          </cell>
          <cell r="C451" t="str">
            <v>BALDOSA DE CEMENTO 20x20 DECORADA TIPO 1. INCLUYE MORTERO DE PEGA, PULIDA Y BRILLADA</v>
          </cell>
        </row>
        <row r="452">
          <cell r="A452" t="str">
            <v>10-01-010</v>
          </cell>
          <cell r="B452" t="str">
            <v>M2</v>
          </cell>
          <cell r="G452">
            <v>60</v>
          </cell>
          <cell r="H452" t="str">
            <v>M2</v>
          </cell>
        </row>
        <row r="454">
          <cell r="B454">
            <v>1</v>
          </cell>
          <cell r="F454">
            <v>59.1</v>
          </cell>
          <cell r="G454">
            <v>59.1</v>
          </cell>
          <cell r="H454" t="str">
            <v>nivel 1</v>
          </cell>
        </row>
        <row r="455">
          <cell r="B455">
            <v>1</v>
          </cell>
          <cell r="F455">
            <v>0</v>
          </cell>
          <cell r="G455">
            <v>0</v>
          </cell>
          <cell r="H455" t="str">
            <v>nivel 2</v>
          </cell>
        </row>
        <row r="458">
          <cell r="B458" t="str">
            <v>10-01-020</v>
          </cell>
          <cell r="C458" t="str">
            <v>BALDOSA DE CEMENTO 20x20 DECORADA TIPO 2. INCLUYE MORTERO DE PEGA, PULIDA Y BRILLADA</v>
          </cell>
        </row>
        <row r="459">
          <cell r="A459" t="str">
            <v>10-01-020</v>
          </cell>
          <cell r="B459" t="str">
            <v>M2</v>
          </cell>
          <cell r="G459">
            <v>19</v>
          </cell>
          <cell r="H459" t="str">
            <v>M2</v>
          </cell>
        </row>
        <row r="461">
          <cell r="B461">
            <v>1</v>
          </cell>
          <cell r="F461">
            <v>18.25</v>
          </cell>
          <cell r="G461">
            <v>18.25</v>
          </cell>
          <cell r="H461" t="str">
            <v>nivel 1</v>
          </cell>
        </row>
        <row r="462">
          <cell r="B462">
            <v>1</v>
          </cell>
          <cell r="F462">
            <v>0</v>
          </cell>
          <cell r="G462">
            <v>0</v>
          </cell>
          <cell r="H462" t="str">
            <v>nivel 2</v>
          </cell>
        </row>
        <row r="465">
          <cell r="B465" t="str">
            <v>10-01-030</v>
          </cell>
          <cell r="C465" t="str">
            <v>BALDOSA DE CEMENTO 20x20 DECORADA TIPO 3. INCLUYE MORTERO DE PEGA, PULIDA Y BRILLADA</v>
          </cell>
        </row>
        <row r="466">
          <cell r="A466" t="str">
            <v>10-01-030</v>
          </cell>
          <cell r="B466" t="str">
            <v>M2</v>
          </cell>
          <cell r="G466">
            <v>19</v>
          </cell>
          <cell r="H466" t="str">
            <v>M2</v>
          </cell>
        </row>
        <row r="468">
          <cell r="B468">
            <v>1</v>
          </cell>
          <cell r="F468">
            <v>18.25</v>
          </cell>
          <cell r="G468">
            <v>18.25</v>
          </cell>
          <cell r="H468" t="str">
            <v>nivel 1</v>
          </cell>
        </row>
        <row r="469">
          <cell r="B469">
            <v>1</v>
          </cell>
          <cell r="F469">
            <v>0</v>
          </cell>
          <cell r="G469">
            <v>0</v>
          </cell>
          <cell r="H469" t="str">
            <v>nivel 2</v>
          </cell>
        </row>
        <row r="472">
          <cell r="B472" t="str">
            <v>10-01-040</v>
          </cell>
          <cell r="C472" t="str">
            <v>BALDOSA DE CEMENTO 20x20 DECORADA TIPO 4. INCLUYE MORTERO DE PEGA, PULIDA Y BRILLADA</v>
          </cell>
        </row>
        <row r="473">
          <cell r="A473" t="str">
            <v>10-01-040</v>
          </cell>
          <cell r="B473" t="str">
            <v>M2</v>
          </cell>
          <cell r="G473">
            <v>288</v>
          </cell>
          <cell r="H473" t="str">
            <v>M2</v>
          </cell>
        </row>
        <row r="475">
          <cell r="B475">
            <v>1</v>
          </cell>
          <cell r="F475">
            <v>287.96000000000004</v>
          </cell>
          <cell r="G475">
            <v>287.96000000000004</v>
          </cell>
          <cell r="H475" t="str">
            <v>nivel 1</v>
          </cell>
        </row>
        <row r="476">
          <cell r="B476">
            <v>1</v>
          </cell>
          <cell r="F476">
            <v>0</v>
          </cell>
          <cell r="G476">
            <v>0</v>
          </cell>
          <cell r="H476" t="str">
            <v>nivel 2</v>
          </cell>
        </row>
        <row r="479">
          <cell r="B479" t="str">
            <v>10-01-050</v>
          </cell>
          <cell r="C479" t="str">
            <v>BALDOSA DE CEMENTO 20x20 DECORADA TIPO 5. INCLUYE MORTERO DE PEGA, PULIDA Y BRILLADA</v>
          </cell>
        </row>
        <row r="480">
          <cell r="A480" t="str">
            <v>10-01-050</v>
          </cell>
          <cell r="B480" t="str">
            <v>M2</v>
          </cell>
          <cell r="G480">
            <v>68</v>
          </cell>
          <cell r="H480" t="str">
            <v>M2</v>
          </cell>
        </row>
        <row r="482">
          <cell r="B482">
            <v>1</v>
          </cell>
          <cell r="F482">
            <v>67.23</v>
          </cell>
          <cell r="G482">
            <v>67.23</v>
          </cell>
          <cell r="H482" t="str">
            <v>nivel 1</v>
          </cell>
        </row>
        <row r="483">
          <cell r="B483">
            <v>1</v>
          </cell>
          <cell r="F483">
            <v>0</v>
          </cell>
          <cell r="G483">
            <v>0</v>
          </cell>
          <cell r="H483" t="str">
            <v>nivel 2</v>
          </cell>
        </row>
        <row r="486">
          <cell r="B486" t="str">
            <v>10-01-060</v>
          </cell>
          <cell r="C486" t="str">
            <v>BALDOSA DE CEMENTO 20x20 DECORADA TIPO 6. INCLUYE MORTERO DE PEGA, PULIDA Y BRILLADA</v>
          </cell>
        </row>
        <row r="487">
          <cell r="A487" t="str">
            <v>10-01-060</v>
          </cell>
          <cell r="B487" t="str">
            <v>M2</v>
          </cell>
          <cell r="G487">
            <v>44</v>
          </cell>
          <cell r="H487" t="str">
            <v>M2</v>
          </cell>
        </row>
        <row r="489">
          <cell r="B489">
            <v>1</v>
          </cell>
          <cell r="F489">
            <v>43.58</v>
          </cell>
          <cell r="G489">
            <v>43.58</v>
          </cell>
          <cell r="H489" t="str">
            <v>nivel 1</v>
          </cell>
        </row>
        <row r="490">
          <cell r="B490">
            <v>1</v>
          </cell>
          <cell r="F490">
            <v>0</v>
          </cell>
          <cell r="G490">
            <v>0</v>
          </cell>
          <cell r="H490" t="str">
            <v>nivel 2</v>
          </cell>
        </row>
        <row r="493">
          <cell r="B493" t="str">
            <v>10-01-070</v>
          </cell>
          <cell r="C493" t="str">
            <v>CERAMICA TIPO DUROPISO DE CORONA O EQUIVALENTE COLOR NEGRO</v>
          </cell>
        </row>
        <row r="494">
          <cell r="A494" t="str">
            <v>10-01-070</v>
          </cell>
          <cell r="B494" t="str">
            <v>M2</v>
          </cell>
          <cell r="G494">
            <v>100</v>
          </cell>
          <cell r="H494" t="str">
            <v>M2</v>
          </cell>
        </row>
        <row r="496">
          <cell r="B496">
            <v>1</v>
          </cell>
          <cell r="F496">
            <v>61.02000000000001</v>
          </cell>
          <cell r="G496">
            <v>61.02000000000001</v>
          </cell>
          <cell r="H496" t="str">
            <v>nivel 1</v>
          </cell>
        </row>
        <row r="497">
          <cell r="B497">
            <v>1</v>
          </cell>
          <cell r="F497">
            <v>38.730000000000004</v>
          </cell>
          <cell r="G497">
            <v>38.730000000000004</v>
          </cell>
          <cell r="H497" t="str">
            <v>nivel 2</v>
          </cell>
        </row>
        <row r="500">
          <cell r="B500" t="str">
            <v>10-01-080</v>
          </cell>
          <cell r="C500" t="str">
            <v>PISO EN MADERA PARA OFICINAS. ESTRUCTURA DE ALFARDAS Y TABLILLA DE PISO. INCLUYE ACABADO</v>
          </cell>
        </row>
        <row r="501">
          <cell r="A501" t="str">
            <v>10-01-080</v>
          </cell>
          <cell r="B501" t="str">
            <v>M2</v>
          </cell>
          <cell r="G501">
            <v>297</v>
          </cell>
          <cell r="H501" t="str">
            <v>M2</v>
          </cell>
        </row>
        <row r="503">
          <cell r="B503">
            <v>1</v>
          </cell>
          <cell r="F503">
            <v>0</v>
          </cell>
          <cell r="G503">
            <v>0</v>
          </cell>
          <cell r="H503" t="str">
            <v>nivel 1</v>
          </cell>
        </row>
        <row r="504">
          <cell r="B504">
            <v>1</v>
          </cell>
          <cell r="F504">
            <v>296.61</v>
          </cell>
          <cell r="G504">
            <v>296.61</v>
          </cell>
          <cell r="H504" t="str">
            <v>nivel 2</v>
          </cell>
        </row>
        <row r="507">
          <cell r="B507" t="str">
            <v>10-01-090</v>
          </cell>
          <cell r="C507" t="str">
            <v>PISO EN CONCRETO F'C 21 MPA E: 0.05 M. PULIDO ENDURECIDO CON SIKAFLOOR 3 QUARTZTOP DE SIKA O EQUIVALENTE</v>
          </cell>
        </row>
        <row r="508">
          <cell r="A508" t="str">
            <v>10-01-090</v>
          </cell>
          <cell r="B508" t="str">
            <v>M2</v>
          </cell>
          <cell r="G508">
            <v>403</v>
          </cell>
          <cell r="H508" t="str">
            <v>M2</v>
          </cell>
        </row>
        <row r="510">
          <cell r="B510">
            <v>1</v>
          </cell>
          <cell r="F510">
            <v>236.36</v>
          </cell>
          <cell r="G510">
            <v>236.36</v>
          </cell>
          <cell r="H510" t="str">
            <v>nivel 1</v>
          </cell>
        </row>
        <row r="511">
          <cell r="B511">
            <v>1</v>
          </cell>
          <cell r="F511">
            <v>166.44</v>
          </cell>
          <cell r="G511">
            <v>166.44</v>
          </cell>
          <cell r="H511" t="str">
            <v>nivel 2</v>
          </cell>
          <cell r="K511" t="str">
            <v>palco tercer piso</v>
          </cell>
        </row>
        <row r="514">
          <cell r="B514" t="str">
            <v>10-01-100</v>
          </cell>
          <cell r="C514" t="str">
            <v>PISO EN MADERA LAMINADA PARA ESCALAS</v>
          </cell>
        </row>
        <row r="515">
          <cell r="A515" t="str">
            <v>10-01-100</v>
          </cell>
          <cell r="B515" t="str">
            <v>M2</v>
          </cell>
          <cell r="G515">
            <v>48</v>
          </cell>
          <cell r="H515" t="str">
            <v>M2</v>
          </cell>
        </row>
        <row r="517">
          <cell r="B517">
            <v>1</v>
          </cell>
          <cell r="F517">
            <v>47.03</v>
          </cell>
          <cell r="G517">
            <v>47.03</v>
          </cell>
          <cell r="H517" t="str">
            <v>nivel 1</v>
          </cell>
        </row>
        <row r="518">
          <cell r="B518">
            <v>1</v>
          </cell>
          <cell r="F518">
            <v>0</v>
          </cell>
          <cell r="G518">
            <v>0</v>
          </cell>
          <cell r="H518" t="str">
            <v>nivel 2</v>
          </cell>
        </row>
        <row r="521">
          <cell r="B521" t="str">
            <v>10-01-200</v>
          </cell>
          <cell r="C521" t="str">
            <v>PISO INDUSTRIAL TIPO COLREJILLAS O EQUIVALENTE EN CORREDORES TECNICOS</v>
          </cell>
        </row>
        <row r="522">
          <cell r="A522" t="str">
            <v>10-01-200</v>
          </cell>
          <cell r="B522" t="str">
            <v>M2</v>
          </cell>
          <cell r="G522">
            <v>39</v>
          </cell>
          <cell r="H522" t="str">
            <v>M2</v>
          </cell>
        </row>
        <row r="524">
          <cell r="B524">
            <v>1</v>
          </cell>
          <cell r="F524">
            <v>38.36</v>
          </cell>
          <cell r="G524">
            <v>38.36</v>
          </cell>
        </row>
        <row r="527">
          <cell r="B527" t="str">
            <v>10-02-020</v>
          </cell>
          <cell r="C527" t="str">
            <v>ZOCALO EN MEDIA CAÑA DE GRANO. INCLUYE MORTERO DE PEGA, VARILLAS DE DILATACION, PULIDA Y BRILLADA</v>
          </cell>
        </row>
        <row r="528">
          <cell r="A528" t="str">
            <v>10-02-020</v>
          </cell>
          <cell r="B528" t="str">
            <v>M</v>
          </cell>
          <cell r="G528">
            <v>157</v>
          </cell>
          <cell r="H528" t="str">
            <v>M</v>
          </cell>
        </row>
        <row r="530">
          <cell r="B530">
            <v>1</v>
          </cell>
          <cell r="C530">
            <v>107.22</v>
          </cell>
          <cell r="G530">
            <v>107.22</v>
          </cell>
          <cell r="H530" t="str">
            <v>nivel 1</v>
          </cell>
        </row>
        <row r="531">
          <cell r="B531">
            <v>1</v>
          </cell>
          <cell r="C531">
            <v>49.519999999999996</v>
          </cell>
          <cell r="G531">
            <v>49.519999999999996</v>
          </cell>
          <cell r="H531" t="str">
            <v>nivel 2</v>
          </cell>
        </row>
        <row r="534">
          <cell r="B534" t="str">
            <v>10-02-030</v>
          </cell>
          <cell r="C534" t="str">
            <v>ENCHARQUE DE DUCHAS EN CONCRETO F'C 21 MPA - A: 0.05 M. - H: 0.07 M. FORRADO EN GRANO GRIS #1 - FONDO GRIS</v>
          </cell>
        </row>
        <row r="535">
          <cell r="A535" t="str">
            <v>10-02-030</v>
          </cell>
          <cell r="B535" t="str">
            <v>M</v>
          </cell>
          <cell r="G535">
            <v>3</v>
          </cell>
          <cell r="H535" t="str">
            <v>M</v>
          </cell>
        </row>
        <row r="537">
          <cell r="B537">
            <v>1</v>
          </cell>
          <cell r="C537">
            <v>2.12</v>
          </cell>
          <cell r="G537">
            <v>2.12</v>
          </cell>
          <cell r="H537" t="str">
            <v>nivel 1</v>
          </cell>
        </row>
        <row r="538">
          <cell r="B538">
            <v>1</v>
          </cell>
          <cell r="C538">
            <v>0</v>
          </cell>
          <cell r="G538">
            <v>0</v>
          </cell>
          <cell r="H538" t="str">
            <v>nivel 2</v>
          </cell>
        </row>
        <row r="541">
          <cell r="B541" t="str">
            <v>10-02-100</v>
          </cell>
          <cell r="C541" t="str">
            <v>FRANJA DE PISO EN MADERA DE PINO A: 0.30 M. PARA BORDE ESCENARIO. INCLUYE TRATAMIENTO DE ACABADO.</v>
          </cell>
        </row>
        <row r="542">
          <cell r="A542" t="str">
            <v>10-02-100</v>
          </cell>
          <cell r="B542" t="str">
            <v>M</v>
          </cell>
          <cell r="G542">
            <v>12</v>
          </cell>
          <cell r="H542" t="str">
            <v>M</v>
          </cell>
        </row>
        <row r="544">
          <cell r="B544">
            <v>1</v>
          </cell>
          <cell r="C544">
            <v>11.46</v>
          </cell>
          <cell r="G544">
            <v>11.46</v>
          </cell>
          <cell r="H544" t="str">
            <v>nivel 1</v>
          </cell>
        </row>
        <row r="547">
          <cell r="B547" t="str">
            <v>11</v>
          </cell>
          <cell r="C547" t="str">
            <v>CARPINTERIA METALICA (Todas las puertas y vidrieras incluyen cerraduras y haladeras según los detalles arquitectonicos)</v>
          </cell>
        </row>
        <row r="548">
          <cell r="B548" t="str">
            <v>11-01-010</v>
          </cell>
          <cell r="C548" t="str">
            <v>VENTANA V25 (0.72x0.48 Y 0.64x0.41). CONJUNTO DE VENTANAS PARA CUARTO DE PROYECCION DE TIPO REGISTRABLE, AISLAMIENTO ACUSTICO, CRISTAL OPTICO RECTIFICADO TIPO PYREX O EQUIVALENTE Y TORNILLOS DE FIJACION PARA REGISTRO</v>
          </cell>
        </row>
        <row r="549">
          <cell r="A549" t="str">
            <v>11-01-010</v>
          </cell>
          <cell r="B549" t="str">
            <v>UN</v>
          </cell>
          <cell r="G549">
            <v>1</v>
          </cell>
          <cell r="H549" t="str">
            <v>UN</v>
          </cell>
        </row>
        <row r="551">
          <cell r="B551">
            <v>1</v>
          </cell>
          <cell r="G551">
            <v>1</v>
          </cell>
          <cell r="H551" t="str">
            <v>cuarto de proyeccion</v>
          </cell>
        </row>
        <row r="554">
          <cell r="B554" t="str">
            <v>11-01-100</v>
          </cell>
          <cell r="C554" t="str">
            <v>REJA PARA TAQUILLA (0.70 M. x 0.90 M.) EN HIERRO FORJADO SEGÚN DETALLE.</v>
          </cell>
        </row>
        <row r="555">
          <cell r="A555" t="str">
            <v>11-01-100</v>
          </cell>
          <cell r="B555" t="str">
            <v>UN</v>
          </cell>
          <cell r="G555">
            <v>1</v>
          </cell>
          <cell r="H555" t="str">
            <v>UN</v>
          </cell>
        </row>
        <row r="557">
          <cell r="B557">
            <v>1</v>
          </cell>
          <cell r="G557">
            <v>1</v>
          </cell>
          <cell r="H557" t="str">
            <v>nivel 1</v>
          </cell>
        </row>
        <row r="560">
          <cell r="B560" t="str">
            <v>11-03-150</v>
          </cell>
          <cell r="C560" t="str">
            <v>PUERTA P15 (2.00x2.10). MARCO + ALAS METALICAS C16. INCLUYE PINTURA GRIS ELECTROSTATICA, DOS BARRAS ANTIPANICO Y DOS BRAZOS HIDRAULICOS TRABAJO SUPERPESADO</v>
          </cell>
        </row>
        <row r="561">
          <cell r="A561" t="str">
            <v>11-03-150</v>
          </cell>
          <cell r="B561" t="str">
            <v>UN</v>
          </cell>
          <cell r="G561">
            <v>1</v>
          </cell>
          <cell r="H561" t="str">
            <v>UN</v>
          </cell>
        </row>
        <row r="563">
          <cell r="B563">
            <v>1</v>
          </cell>
          <cell r="G563">
            <v>1</v>
          </cell>
          <cell r="H563" t="str">
            <v>nivel 1</v>
          </cell>
        </row>
        <row r="564">
          <cell r="B564">
            <v>0</v>
          </cell>
          <cell r="G564">
            <v>0</v>
          </cell>
          <cell r="H564" t="str">
            <v>nivel 2</v>
          </cell>
        </row>
        <row r="567">
          <cell r="B567" t="str">
            <v>11-03-160</v>
          </cell>
          <cell r="C567" t="str">
            <v>PUERTA P16 (1.20x2.10). MARCO + ALA METALICA C16. INCLUYE PINTURA GRIS ELECTROSTATICA, UNA BARRA ANTIPANICO Y UN BRAZO HIDRAULICO TRABAJO SUPERPESADO.</v>
          </cell>
        </row>
        <row r="568">
          <cell r="A568" t="str">
            <v>11-03-160</v>
          </cell>
          <cell r="B568" t="str">
            <v>UN</v>
          </cell>
          <cell r="G568">
            <v>2</v>
          </cell>
          <cell r="H568" t="str">
            <v>UN</v>
          </cell>
        </row>
        <row r="570">
          <cell r="B570">
            <v>1</v>
          </cell>
          <cell r="G570">
            <v>1</v>
          </cell>
          <cell r="H570" t="str">
            <v>nivel 1</v>
          </cell>
        </row>
        <row r="571">
          <cell r="B571">
            <v>1</v>
          </cell>
          <cell r="G571">
            <v>1</v>
          </cell>
          <cell r="H571" t="str">
            <v>nivel 2</v>
          </cell>
        </row>
        <row r="574">
          <cell r="B574" t="str">
            <v>11-05-030</v>
          </cell>
          <cell r="C574" t="str">
            <v>PASAMANOS EN SOPORTES Y TUBULAR Ø 2" DE ACERO INOXIDABLE Y VIDRIO LAMINADO 8 MM. INCLUYE ANCLAJES A LOSA.</v>
          </cell>
        </row>
        <row r="575">
          <cell r="A575" t="str">
            <v>11-05-030</v>
          </cell>
          <cell r="B575" t="str">
            <v>M</v>
          </cell>
          <cell r="G575">
            <v>83</v>
          </cell>
          <cell r="H575" t="str">
            <v>M</v>
          </cell>
        </row>
        <row r="577">
          <cell r="B577">
            <v>1</v>
          </cell>
          <cell r="F577">
            <v>12.39</v>
          </cell>
          <cell r="G577">
            <v>12.39</v>
          </cell>
          <cell r="H577" t="str">
            <v>nivel 1</v>
          </cell>
        </row>
        <row r="578">
          <cell r="B578">
            <v>1</v>
          </cell>
          <cell r="F578">
            <v>69.97999999999999</v>
          </cell>
          <cell r="G578">
            <v>69.97999999999999</v>
          </cell>
          <cell r="H578" t="str">
            <v>nivel 2</v>
          </cell>
        </row>
        <row r="581">
          <cell r="B581" t="str">
            <v>11-05-040</v>
          </cell>
          <cell r="C581" t="str">
            <v>PASAMANOS EN SOPORTES Y TUBULAR SUPERIOR Ø 2" DE ACERO INOXIDABLE. INCLUYE ANCLAJES A ESTRUCTURA</v>
          </cell>
        </row>
        <row r="582">
          <cell r="A582" t="str">
            <v>11-05-040</v>
          </cell>
          <cell r="B582" t="str">
            <v>M</v>
          </cell>
          <cell r="G582">
            <v>13</v>
          </cell>
          <cell r="H582" t="str">
            <v>M</v>
          </cell>
          <cell r="J582" t="str">
            <v>pasamanos graderias segundo piso</v>
          </cell>
        </row>
        <row r="584">
          <cell r="B584">
            <v>0</v>
          </cell>
          <cell r="G584">
            <v>0</v>
          </cell>
          <cell r="H584" t="str">
            <v>nivel 1</v>
          </cell>
        </row>
        <row r="585">
          <cell r="B585">
            <v>2</v>
          </cell>
          <cell r="C585">
            <v>6.13</v>
          </cell>
          <cell r="G585">
            <v>12.26</v>
          </cell>
          <cell r="H585" t="str">
            <v>nivel 2</v>
          </cell>
        </row>
        <row r="588">
          <cell r="B588" t="str">
            <v>11-05-050</v>
          </cell>
          <cell r="C588" t="str">
            <v>PASAMANOS PARA DISCAPACITADOS. DOBLE TUBULAR Ø 2" EN ACERO INOXIDABLE ANCLADO A MUROS</v>
          </cell>
        </row>
        <row r="589">
          <cell r="A589" t="str">
            <v>11-05-050</v>
          </cell>
          <cell r="B589" t="str">
            <v>M</v>
          </cell>
          <cell r="G589">
            <v>5</v>
          </cell>
          <cell r="H589" t="str">
            <v>M</v>
          </cell>
          <cell r="J589" t="str">
            <v>pasamanos salida emergencia</v>
          </cell>
        </row>
        <row r="591">
          <cell r="B591">
            <v>1</v>
          </cell>
          <cell r="C591">
            <v>4.75</v>
          </cell>
          <cell r="G591">
            <v>4.75</v>
          </cell>
          <cell r="H591" t="str">
            <v>nivel 1</v>
          </cell>
        </row>
        <row r="592">
          <cell r="B592">
            <v>0</v>
          </cell>
          <cell r="G592">
            <v>0</v>
          </cell>
          <cell r="H592" t="str">
            <v>nivel 2</v>
          </cell>
        </row>
        <row r="595">
          <cell r="B595" t="str">
            <v>11-06-010</v>
          </cell>
          <cell r="C595" t="str">
            <v>ESCALERA ESCAMOTEABLE</v>
          </cell>
        </row>
        <row r="596">
          <cell r="A596" t="str">
            <v>11-06-010</v>
          </cell>
          <cell r="B596" t="str">
            <v>UN</v>
          </cell>
          <cell r="G596">
            <v>1</v>
          </cell>
          <cell r="H596" t="str">
            <v>UN</v>
          </cell>
        </row>
        <row r="598">
          <cell r="B598">
            <v>0</v>
          </cell>
          <cell r="G598">
            <v>0</v>
          </cell>
          <cell r="H598" t="str">
            <v>nivel 1</v>
          </cell>
        </row>
        <row r="599">
          <cell r="B599">
            <v>1</v>
          </cell>
          <cell r="G599">
            <v>1</v>
          </cell>
          <cell r="H599" t="str">
            <v>nivel 2</v>
          </cell>
        </row>
        <row r="602">
          <cell r="B602" t="str">
            <v>11-06-020</v>
          </cell>
          <cell r="C602" t="str">
            <v>GRADERIAS Y TARIMAS EN ESTRUCTURA METALICA + ACABADO EN MADERA PINO</v>
          </cell>
        </row>
        <row r="603">
          <cell r="A603" t="str">
            <v>11-06-020</v>
          </cell>
          <cell r="B603" t="str">
            <v>M2</v>
          </cell>
          <cell r="G603">
            <v>1</v>
          </cell>
          <cell r="H603" t="str">
            <v>M2</v>
          </cell>
        </row>
        <row r="605">
          <cell r="B605">
            <v>0</v>
          </cell>
          <cell r="G605">
            <v>0</v>
          </cell>
          <cell r="H605" t="str">
            <v>nivel 1</v>
          </cell>
        </row>
        <row r="606">
          <cell r="B606">
            <v>1</v>
          </cell>
          <cell r="G606">
            <v>1</v>
          </cell>
          <cell r="H606" t="str">
            <v>nivel 2</v>
          </cell>
        </row>
        <row r="609">
          <cell r="B609" t="str">
            <v>12</v>
          </cell>
          <cell r="C609" t="str">
            <v>CARPINTERIA DE MADERA (Todas las puertas y vidrieras incluyen cerraduras y haladeras según los detalles arquitectonicos)</v>
          </cell>
        </row>
        <row r="610">
          <cell r="B610" t="str">
            <v>12-01-010</v>
          </cell>
          <cell r="C610" t="str">
            <v>VENTANA V1 (1.36x2.78). MARCO + ALAS EN MADERA. DOS ALAS BATIENTES. INCLUYE PASAMANOS EN MADERA Y ACABADO FINAL</v>
          </cell>
        </row>
        <row r="611">
          <cell r="A611" t="str">
            <v>12-01-010</v>
          </cell>
          <cell r="B611" t="str">
            <v>UN</v>
          </cell>
          <cell r="G611">
            <v>1</v>
          </cell>
          <cell r="H611" t="str">
            <v>UN</v>
          </cell>
        </row>
        <row r="613">
          <cell r="B613">
            <v>0</v>
          </cell>
          <cell r="G613">
            <v>0</v>
          </cell>
          <cell r="H613" t="str">
            <v>nivel 1</v>
          </cell>
        </row>
        <row r="614">
          <cell r="B614">
            <v>1</v>
          </cell>
          <cell r="G614">
            <v>1</v>
          </cell>
          <cell r="H614" t="str">
            <v>nivel 2</v>
          </cell>
        </row>
        <row r="617">
          <cell r="B617" t="str">
            <v>12-01-020</v>
          </cell>
          <cell r="C617" t="str">
            <v>VENTANA V2 (1.31x2.78). MARCO + ALAS EN MADERA. DOS ALAS BATIENTES. INCLUYE PASAMANOS EN MADERA Y ACABADO FINAL</v>
          </cell>
        </row>
        <row r="618">
          <cell r="A618" t="str">
            <v>12-01-020</v>
          </cell>
          <cell r="B618" t="str">
            <v>UN</v>
          </cell>
          <cell r="G618">
            <v>1</v>
          </cell>
          <cell r="H618" t="str">
            <v>UN</v>
          </cell>
        </row>
        <row r="620">
          <cell r="B620">
            <v>0</v>
          </cell>
          <cell r="G620">
            <v>0</v>
          </cell>
          <cell r="H620" t="str">
            <v>nivel 1</v>
          </cell>
        </row>
        <row r="621">
          <cell r="B621">
            <v>1</v>
          </cell>
          <cell r="G621">
            <v>1</v>
          </cell>
          <cell r="H621" t="str">
            <v>nivel 2</v>
          </cell>
        </row>
        <row r="624">
          <cell r="B624" t="str">
            <v>12-01-030</v>
          </cell>
          <cell r="C624" t="str">
            <v>VENTANA V3 (1.36x2.78). MARCO + ALAS EN MADERA. DOS ALAS BATIENTES. INCLUYE PASAMANOS EN MADERA Y ACABADO FINAL</v>
          </cell>
        </row>
        <row r="625">
          <cell r="A625" t="str">
            <v>12-01-030</v>
          </cell>
          <cell r="B625" t="str">
            <v>UN</v>
          </cell>
          <cell r="G625">
            <v>1</v>
          </cell>
          <cell r="H625" t="str">
            <v>UN</v>
          </cell>
        </row>
        <row r="627">
          <cell r="B627">
            <v>0</v>
          </cell>
          <cell r="G627">
            <v>0</v>
          </cell>
          <cell r="H627" t="str">
            <v>nivel 1</v>
          </cell>
        </row>
        <row r="628">
          <cell r="B628">
            <v>1</v>
          </cell>
          <cell r="G628">
            <v>1</v>
          </cell>
          <cell r="H628" t="str">
            <v>nivel 2</v>
          </cell>
        </row>
        <row r="631">
          <cell r="B631" t="str">
            <v>12-01-040</v>
          </cell>
          <cell r="C631" t="str">
            <v>VENTANA V4 (1.36x2.78). MARCO + ALAS EN MADERA. DOS ALAS BATIENTES. INCLUYE PASAMANOS EN MADERA Y ACABADO FINAL</v>
          </cell>
        </row>
        <row r="632">
          <cell r="A632" t="str">
            <v>12-01-040</v>
          </cell>
          <cell r="B632" t="str">
            <v>UN</v>
          </cell>
          <cell r="G632">
            <v>1</v>
          </cell>
          <cell r="H632" t="str">
            <v>UN</v>
          </cell>
        </row>
        <row r="634">
          <cell r="B634">
            <v>0</v>
          </cell>
          <cell r="G634">
            <v>0</v>
          </cell>
          <cell r="H634" t="str">
            <v>nivel 1</v>
          </cell>
        </row>
        <row r="635">
          <cell r="B635">
            <v>1</v>
          </cell>
          <cell r="G635">
            <v>1</v>
          </cell>
          <cell r="H635" t="str">
            <v>nivel 2</v>
          </cell>
        </row>
        <row r="638">
          <cell r="B638" t="str">
            <v>12-01-050</v>
          </cell>
          <cell r="C638" t="str">
            <v>VENTANA V5 (1.42x2.78). MARCO + ALAS EN MADERA. DOS ALAS BATIENTES. INCLUYE PASAMANOS EN MADERA Y ACABADO FINAL</v>
          </cell>
        </row>
        <row r="639">
          <cell r="A639" t="str">
            <v>12-01-050</v>
          </cell>
          <cell r="B639" t="str">
            <v>UN</v>
          </cell>
          <cell r="G639">
            <v>1</v>
          </cell>
          <cell r="H639" t="str">
            <v>UN</v>
          </cell>
        </row>
        <row r="641">
          <cell r="B641">
            <v>0</v>
          </cell>
          <cell r="G641">
            <v>0</v>
          </cell>
          <cell r="H641" t="str">
            <v>nivel 1</v>
          </cell>
        </row>
        <row r="642">
          <cell r="B642">
            <v>1</v>
          </cell>
          <cell r="G642">
            <v>1</v>
          </cell>
          <cell r="H642" t="str">
            <v>nivel 2</v>
          </cell>
        </row>
        <row r="645">
          <cell r="B645" t="str">
            <v>12-01-060</v>
          </cell>
          <cell r="C645" t="str">
            <v>VENTANA V6 (1.43x2.78). MARCO + ALAS EN MADERA. DOS ALAS BATIENTES. INCLUYE PASAMANOS EN MADERA Y ACABADO FINAL</v>
          </cell>
        </row>
        <row r="646">
          <cell r="A646" t="str">
            <v>12-01-060</v>
          </cell>
          <cell r="B646" t="str">
            <v>UN</v>
          </cell>
          <cell r="G646">
            <v>1</v>
          </cell>
          <cell r="H646" t="str">
            <v>UN</v>
          </cell>
        </row>
        <row r="648">
          <cell r="B648">
            <v>0</v>
          </cell>
          <cell r="G648">
            <v>0</v>
          </cell>
          <cell r="H648" t="str">
            <v>nivel 1</v>
          </cell>
        </row>
        <row r="649">
          <cell r="B649">
            <v>1</v>
          </cell>
          <cell r="G649">
            <v>1</v>
          </cell>
          <cell r="H649" t="str">
            <v>nivel 2</v>
          </cell>
        </row>
        <row r="652">
          <cell r="B652" t="str">
            <v>12-01-070</v>
          </cell>
          <cell r="C652" t="str">
            <v>VENTANA V7 (1.43x2.78). MARCO + ALAS EN MADERA. DOS ALAS BATIENTES. INCLUYE PASAMANOS EN MADERA Y ACABADO FINAL</v>
          </cell>
        </row>
        <row r="653">
          <cell r="A653" t="str">
            <v>12-01-070</v>
          </cell>
          <cell r="B653" t="str">
            <v>UN</v>
          </cell>
          <cell r="G653">
            <v>1</v>
          </cell>
          <cell r="H653" t="str">
            <v>UN</v>
          </cell>
        </row>
        <row r="655">
          <cell r="B655">
            <v>0</v>
          </cell>
          <cell r="G655">
            <v>0</v>
          </cell>
          <cell r="H655" t="str">
            <v>nivel 1</v>
          </cell>
        </row>
        <row r="656">
          <cell r="B656">
            <v>1</v>
          </cell>
          <cell r="G656">
            <v>1</v>
          </cell>
          <cell r="H656" t="str">
            <v>nivel 2</v>
          </cell>
        </row>
        <row r="659">
          <cell r="B659" t="str">
            <v>12-01-080</v>
          </cell>
          <cell r="C659" t="str">
            <v>VENTANA V8 (1.43x2.78). MARCO + ALAS EN MADERA. DOS ALAS BATIENTES. INCLUYE PASAMANOS EN MADERA Y ACABADO FINAL</v>
          </cell>
        </row>
        <row r="660">
          <cell r="A660" t="str">
            <v>12-01-080</v>
          </cell>
          <cell r="B660" t="str">
            <v>UN</v>
          </cell>
          <cell r="G660">
            <v>1</v>
          </cell>
          <cell r="H660" t="str">
            <v>UN</v>
          </cell>
        </row>
        <row r="662">
          <cell r="B662">
            <v>0</v>
          </cell>
          <cell r="G662">
            <v>0</v>
          </cell>
          <cell r="H662" t="str">
            <v>nivel 1</v>
          </cell>
        </row>
        <row r="663">
          <cell r="B663">
            <v>1</v>
          </cell>
          <cell r="G663">
            <v>1</v>
          </cell>
          <cell r="H663" t="str">
            <v>nivel 2</v>
          </cell>
        </row>
        <row r="666">
          <cell r="B666" t="str">
            <v>12-01-090</v>
          </cell>
          <cell r="C666" t="str">
            <v>VENTANA V9 (1.43x2.78). MARCO + ALAS EN MADERA. DOS ALAS BATIENTES. INCLUYE PASAMANOS EN MADERA Y ACABADO FINAL</v>
          </cell>
        </row>
        <row r="667">
          <cell r="A667" t="str">
            <v>12-01-090</v>
          </cell>
          <cell r="B667" t="str">
            <v>UN</v>
          </cell>
          <cell r="G667">
            <v>1</v>
          </cell>
          <cell r="H667" t="str">
            <v>UN</v>
          </cell>
        </row>
        <row r="669">
          <cell r="B669">
            <v>0</v>
          </cell>
          <cell r="G669">
            <v>0</v>
          </cell>
          <cell r="H669" t="str">
            <v>nivel 1</v>
          </cell>
        </row>
        <row r="670">
          <cell r="B670">
            <v>1</v>
          </cell>
          <cell r="G670">
            <v>1</v>
          </cell>
          <cell r="H670" t="str">
            <v>nivel 2</v>
          </cell>
        </row>
        <row r="673">
          <cell r="B673" t="str">
            <v>12-01-100</v>
          </cell>
          <cell r="C673" t="str">
            <v>VENTANA V10 (1.39x2.78). MARCO + ALAS EN MADERA. DOS ALAS BATIENTES. INCLUYE PASAMANOS EN MADERA Y ACABADO FINAL</v>
          </cell>
        </row>
        <row r="674">
          <cell r="A674" t="str">
            <v>12-01-100</v>
          </cell>
          <cell r="B674" t="str">
            <v>UN</v>
          </cell>
          <cell r="G674">
            <v>1</v>
          </cell>
          <cell r="H674" t="str">
            <v>UN</v>
          </cell>
        </row>
        <row r="676">
          <cell r="B676">
            <v>0</v>
          </cell>
          <cell r="G676">
            <v>0</v>
          </cell>
          <cell r="H676" t="str">
            <v>nivel 1</v>
          </cell>
        </row>
        <row r="677">
          <cell r="B677">
            <v>1</v>
          </cell>
          <cell r="G677">
            <v>1</v>
          </cell>
          <cell r="H677" t="str">
            <v>nivel 2</v>
          </cell>
        </row>
        <row r="680">
          <cell r="B680" t="str">
            <v>12-01-110</v>
          </cell>
          <cell r="C680" t="str">
            <v>VENTANA V11 (1.44x2.78). MARCO + ALAS EN MADERA. DOS ALAS BATIENTES. INCLUYE PASAMANOS EN MADERA Y ACABADO FINAL</v>
          </cell>
        </row>
        <row r="681">
          <cell r="A681" t="str">
            <v>12-01-110</v>
          </cell>
          <cell r="B681" t="str">
            <v>UN</v>
          </cell>
          <cell r="G681">
            <v>1</v>
          </cell>
          <cell r="H681" t="str">
            <v>UN</v>
          </cell>
        </row>
        <row r="683">
          <cell r="B683">
            <v>0</v>
          </cell>
          <cell r="G683">
            <v>0</v>
          </cell>
          <cell r="H683" t="str">
            <v>nivel 1</v>
          </cell>
        </row>
        <row r="684">
          <cell r="B684">
            <v>1</v>
          </cell>
          <cell r="G684">
            <v>1</v>
          </cell>
          <cell r="H684" t="str">
            <v>nivel 2</v>
          </cell>
        </row>
        <row r="687">
          <cell r="B687" t="str">
            <v>12-01-115</v>
          </cell>
          <cell r="C687" t="str">
            <v>VENTANA V11A (1.44x2.78). MARCO + ALAS EN MADERA. DOS ALAS BATIENTES. INCLUYE PASAMANOS EN MADERA Y ACABADO FINAL</v>
          </cell>
        </row>
        <row r="688">
          <cell r="A688" t="str">
            <v>12-01-115</v>
          </cell>
          <cell r="B688" t="str">
            <v>UN</v>
          </cell>
          <cell r="G688">
            <v>1</v>
          </cell>
          <cell r="H688" t="str">
            <v>UN</v>
          </cell>
        </row>
        <row r="690">
          <cell r="B690">
            <v>0</v>
          </cell>
          <cell r="G690">
            <v>0</v>
          </cell>
          <cell r="H690" t="str">
            <v>nivel 1</v>
          </cell>
        </row>
        <row r="691">
          <cell r="B691">
            <v>1</v>
          </cell>
          <cell r="G691">
            <v>1</v>
          </cell>
          <cell r="H691" t="str">
            <v>nivel 2</v>
          </cell>
        </row>
        <row r="694">
          <cell r="B694" t="str">
            <v>12-01-120</v>
          </cell>
          <cell r="C694" t="str">
            <v>VENTANA V12 (1.43x2.78). MARCO + ALAS EN MADERA. DOS ALAS BATIENTES. INCLUYE PASAMANOS EN MADERA Y ACABADO FINAL</v>
          </cell>
        </row>
        <row r="695">
          <cell r="A695" t="str">
            <v>12-01-120</v>
          </cell>
          <cell r="B695" t="str">
            <v>UN</v>
          </cell>
          <cell r="G695">
            <v>1</v>
          </cell>
          <cell r="H695" t="str">
            <v>UN</v>
          </cell>
        </row>
        <row r="697">
          <cell r="B697">
            <v>0</v>
          </cell>
          <cell r="G697">
            <v>0</v>
          </cell>
          <cell r="H697" t="str">
            <v>nivel 1</v>
          </cell>
        </row>
        <row r="698">
          <cell r="B698">
            <v>1</v>
          </cell>
          <cell r="G698">
            <v>1</v>
          </cell>
          <cell r="H698" t="str">
            <v>nivel 2</v>
          </cell>
        </row>
        <row r="701">
          <cell r="B701" t="str">
            <v>12-01-130</v>
          </cell>
          <cell r="C701" t="str">
            <v>VENTANA V13 (1.43x2.78). MARCO + ALAS EN MADERA. DOS ALAS BATIENTES. INCLUYE PASAMANOS EN MADERA Y ACABADO FINAL</v>
          </cell>
        </row>
        <row r="702">
          <cell r="A702" t="str">
            <v>12-01-130</v>
          </cell>
          <cell r="B702" t="str">
            <v>UN</v>
          </cell>
          <cell r="G702">
            <v>1</v>
          </cell>
          <cell r="H702" t="str">
            <v>UN</v>
          </cell>
        </row>
        <row r="704">
          <cell r="B704">
            <v>0</v>
          </cell>
          <cell r="G704">
            <v>0</v>
          </cell>
          <cell r="H704" t="str">
            <v>nivel 1</v>
          </cell>
        </row>
        <row r="705">
          <cell r="B705">
            <v>1</v>
          </cell>
          <cell r="G705">
            <v>1</v>
          </cell>
          <cell r="H705" t="str">
            <v>nivel 2</v>
          </cell>
        </row>
        <row r="708">
          <cell r="B708" t="str">
            <v>12-01-140</v>
          </cell>
          <cell r="C708" t="str">
            <v>VENTANA V14 (1.42x2.78). MARCO + ALAS EN MADERA. DOS ALAS BATIENTES. INCLUYE PASAMANOS EN MADERA Y ACABADO FINAL</v>
          </cell>
        </row>
        <row r="709">
          <cell r="A709" t="str">
            <v>12-01-140</v>
          </cell>
          <cell r="B709" t="str">
            <v>UN</v>
          </cell>
          <cell r="G709">
            <v>1</v>
          </cell>
          <cell r="H709" t="str">
            <v>UN</v>
          </cell>
        </row>
        <row r="711">
          <cell r="B711">
            <v>0</v>
          </cell>
          <cell r="G711">
            <v>0</v>
          </cell>
          <cell r="H711" t="str">
            <v>nivel 1</v>
          </cell>
        </row>
        <row r="712">
          <cell r="B712">
            <v>1</v>
          </cell>
          <cell r="G712">
            <v>1</v>
          </cell>
          <cell r="H712" t="str">
            <v>nivel 2</v>
          </cell>
        </row>
        <row r="715">
          <cell r="B715" t="str">
            <v>12-01-150</v>
          </cell>
          <cell r="C715" t="str">
            <v>VENTANA V15 (1.30x1.35). MARCO + REJA + PANELES EN MADERA. INCLUYE ACABADO FINAL</v>
          </cell>
        </row>
        <row r="716">
          <cell r="A716" t="str">
            <v>12-01-150</v>
          </cell>
          <cell r="B716" t="str">
            <v>UN</v>
          </cell>
          <cell r="G716">
            <v>1</v>
          </cell>
          <cell r="H716" t="str">
            <v>UN</v>
          </cell>
        </row>
        <row r="718">
          <cell r="B718">
            <v>0</v>
          </cell>
          <cell r="G718">
            <v>0</v>
          </cell>
          <cell r="H718" t="str">
            <v>nivel 1</v>
          </cell>
        </row>
        <row r="719">
          <cell r="B719">
            <v>1</v>
          </cell>
          <cell r="G719">
            <v>1</v>
          </cell>
          <cell r="H719" t="str">
            <v>nivel 2</v>
          </cell>
        </row>
        <row r="722">
          <cell r="B722" t="str">
            <v>12-01-160</v>
          </cell>
          <cell r="C722" t="str">
            <v>VENTANA V16 (1.66x1.83). MARCO + PANELES BATIENTES EN MADERA. INCLUYE ACABADO FINAL</v>
          </cell>
        </row>
        <row r="723">
          <cell r="A723" t="str">
            <v>12-01-160</v>
          </cell>
          <cell r="B723" t="str">
            <v>UN</v>
          </cell>
          <cell r="G723">
            <v>1</v>
          </cell>
          <cell r="H723" t="str">
            <v>UN</v>
          </cell>
        </row>
        <row r="725">
          <cell r="B725">
            <v>1</v>
          </cell>
          <cell r="G725">
            <v>1</v>
          </cell>
          <cell r="H725" t="str">
            <v>nivel 1</v>
          </cell>
        </row>
        <row r="726">
          <cell r="B726">
            <v>0</v>
          </cell>
          <cell r="G726">
            <v>0</v>
          </cell>
          <cell r="H726" t="str">
            <v>nivel 2</v>
          </cell>
        </row>
        <row r="729">
          <cell r="B729" t="str">
            <v>12-01-170</v>
          </cell>
          <cell r="C729" t="str">
            <v>VENTANA V17 (0.60x0.50). MARCO + PERSIANA EN MADERA. INCLUYE ACABADO FINAL</v>
          </cell>
        </row>
        <row r="730">
          <cell r="A730" t="str">
            <v>12-01-170</v>
          </cell>
          <cell r="B730" t="str">
            <v>UN</v>
          </cell>
          <cell r="G730">
            <v>4</v>
          </cell>
          <cell r="H730" t="str">
            <v>UN</v>
          </cell>
        </row>
        <row r="732">
          <cell r="B732">
            <v>4</v>
          </cell>
          <cell r="G732">
            <v>4</v>
          </cell>
          <cell r="H732" t="str">
            <v>nivel 1</v>
          </cell>
        </row>
        <row r="733">
          <cell r="B733">
            <v>0</v>
          </cell>
          <cell r="G733">
            <v>0</v>
          </cell>
          <cell r="H733" t="str">
            <v>nivel 2</v>
          </cell>
        </row>
        <row r="736">
          <cell r="B736" t="str">
            <v>12-01-180</v>
          </cell>
          <cell r="C736" t="str">
            <v>VENTANA V18 (1.57x2.13). MARCO EN MADERA + VIDRIO TEMPLADO TRANSLUCIDO. INCLUYE ACABADO FINAL</v>
          </cell>
        </row>
        <row r="737">
          <cell r="A737" t="str">
            <v>12-01-180</v>
          </cell>
          <cell r="B737" t="str">
            <v>UN</v>
          </cell>
          <cell r="G737">
            <v>1</v>
          </cell>
          <cell r="H737" t="str">
            <v>UN</v>
          </cell>
        </row>
        <row r="739">
          <cell r="B739">
            <v>0</v>
          </cell>
          <cell r="G739">
            <v>0</v>
          </cell>
          <cell r="H739" t="str">
            <v>nivel 1</v>
          </cell>
        </row>
        <row r="740">
          <cell r="B740">
            <v>1</v>
          </cell>
          <cell r="G740">
            <v>1</v>
          </cell>
          <cell r="H740" t="str">
            <v>nivel 2</v>
          </cell>
        </row>
        <row r="743">
          <cell r="B743" t="str">
            <v>12-01-190</v>
          </cell>
          <cell r="C743" t="str">
            <v>VENTANA V19 (1.45x2.73). MARCO EN MADERA + VIDRIO TEMPLADO TRANSLUCIDO. INCLUYE ACABADO FINAL</v>
          </cell>
        </row>
        <row r="744">
          <cell r="A744" t="str">
            <v>12-01-190</v>
          </cell>
          <cell r="B744" t="str">
            <v>UN</v>
          </cell>
          <cell r="G744">
            <v>1</v>
          </cell>
          <cell r="H744" t="str">
            <v>UN</v>
          </cell>
        </row>
        <row r="746">
          <cell r="B746">
            <v>0</v>
          </cell>
          <cell r="G746">
            <v>0</v>
          </cell>
          <cell r="H746" t="str">
            <v>nivel 1</v>
          </cell>
        </row>
        <row r="747">
          <cell r="B747">
            <v>1</v>
          </cell>
          <cell r="G747">
            <v>1</v>
          </cell>
          <cell r="H747" t="str">
            <v>nivel 2</v>
          </cell>
        </row>
        <row r="750">
          <cell r="B750" t="str">
            <v>12-01-200</v>
          </cell>
          <cell r="C750" t="str">
            <v>VENTANA V20 (2.96x2.73). MARCO EN MADERA + VIDRIO TEMPLADO TRANSLUCIDO. INCLUYE ACABADO FINAL</v>
          </cell>
        </row>
        <row r="751">
          <cell r="A751" t="str">
            <v>12-01-200</v>
          </cell>
          <cell r="B751" t="str">
            <v>UN</v>
          </cell>
          <cell r="G751">
            <v>1</v>
          </cell>
          <cell r="H751" t="str">
            <v>UN</v>
          </cell>
        </row>
        <row r="753">
          <cell r="B753">
            <v>0</v>
          </cell>
          <cell r="G753">
            <v>0</v>
          </cell>
          <cell r="H753" t="str">
            <v>nivel 1</v>
          </cell>
        </row>
        <row r="754">
          <cell r="B754">
            <v>1</v>
          </cell>
          <cell r="G754">
            <v>1</v>
          </cell>
          <cell r="H754" t="str">
            <v>nivel 2</v>
          </cell>
        </row>
        <row r="757">
          <cell r="B757" t="str">
            <v>12-01-210</v>
          </cell>
          <cell r="C757" t="str">
            <v>VENTANA V21 (4.68x2.73). MARCO EN MADERA + VIDRIO TEMPLADO TRANSLUCIDO. INCLUYE ACABADO FINAL</v>
          </cell>
        </row>
        <row r="758">
          <cell r="A758" t="str">
            <v>12-01-210</v>
          </cell>
          <cell r="B758" t="str">
            <v>UN</v>
          </cell>
          <cell r="G758">
            <v>1</v>
          </cell>
          <cell r="H758" t="str">
            <v>UN</v>
          </cell>
        </row>
        <row r="760">
          <cell r="B760">
            <v>0</v>
          </cell>
          <cell r="G760">
            <v>0</v>
          </cell>
          <cell r="H760" t="str">
            <v>nivel 1</v>
          </cell>
        </row>
        <row r="761">
          <cell r="B761">
            <v>1</v>
          </cell>
          <cell r="G761">
            <v>1</v>
          </cell>
          <cell r="H761" t="str">
            <v>nivel 2</v>
          </cell>
        </row>
        <row r="764">
          <cell r="B764" t="str">
            <v>12-01-220</v>
          </cell>
          <cell r="C764" t="str">
            <v>VENTANA V22 (0.60x2.73). MARCO EN MADERA + VIDRIO TEMPLADO TRANSLUCIDO. INCLUYE ACABADO FINAL</v>
          </cell>
        </row>
        <row r="765">
          <cell r="A765" t="str">
            <v>12-01-220</v>
          </cell>
          <cell r="B765" t="str">
            <v>UN</v>
          </cell>
          <cell r="G765">
            <v>2</v>
          </cell>
          <cell r="H765" t="str">
            <v>UN</v>
          </cell>
        </row>
        <row r="767">
          <cell r="B767">
            <v>0</v>
          </cell>
          <cell r="G767">
            <v>0</v>
          </cell>
          <cell r="H767" t="str">
            <v>nivel 1</v>
          </cell>
        </row>
        <row r="768">
          <cell r="B768">
            <v>2</v>
          </cell>
          <cell r="G768">
            <v>2</v>
          </cell>
          <cell r="H768" t="str">
            <v>nivel 2</v>
          </cell>
        </row>
        <row r="771">
          <cell r="B771" t="str">
            <v>12-01-230</v>
          </cell>
          <cell r="C771" t="str">
            <v>VENTANA V23 (3.17x2.73). MARCO EN MADERA + VIDRIO TEMPLADO TRANSLUCIDO. INCLUYE ACABADO FINAL</v>
          </cell>
        </row>
        <row r="772">
          <cell r="A772" t="str">
            <v>12-01-230</v>
          </cell>
          <cell r="B772" t="str">
            <v>UN</v>
          </cell>
          <cell r="G772">
            <v>1</v>
          </cell>
          <cell r="H772" t="str">
            <v>UN</v>
          </cell>
        </row>
        <row r="774">
          <cell r="B774">
            <v>0</v>
          </cell>
          <cell r="G774">
            <v>0</v>
          </cell>
          <cell r="H774" t="str">
            <v>nivel 1</v>
          </cell>
        </row>
        <row r="775">
          <cell r="B775">
            <v>1</v>
          </cell>
          <cell r="G775">
            <v>1</v>
          </cell>
          <cell r="H775" t="str">
            <v>nivel 2</v>
          </cell>
        </row>
        <row r="778">
          <cell r="B778" t="str">
            <v>12-01-240</v>
          </cell>
          <cell r="C778" t="str">
            <v>VENTANA V24 (1.34x2.73). MARCO EN MADERA + VIDRIO TEMPLADO TRANSLUCIDO. INCLUYE ACABADO FINAL</v>
          </cell>
        </row>
        <row r="779">
          <cell r="A779" t="str">
            <v>12-01-240</v>
          </cell>
          <cell r="B779" t="str">
            <v>UN</v>
          </cell>
          <cell r="G779">
            <v>1</v>
          </cell>
          <cell r="H779" t="str">
            <v>UN</v>
          </cell>
        </row>
        <row r="781">
          <cell r="B781">
            <v>0</v>
          </cell>
          <cell r="G781">
            <v>0</v>
          </cell>
          <cell r="H781" t="str">
            <v>nivel 1</v>
          </cell>
        </row>
        <row r="782">
          <cell r="B782">
            <v>1</v>
          </cell>
          <cell r="G782">
            <v>1</v>
          </cell>
          <cell r="H782" t="str">
            <v>nivel 2</v>
          </cell>
        </row>
        <row r="785">
          <cell r="B785" t="str">
            <v>12-01-250</v>
          </cell>
          <cell r="C785" t="str">
            <v>VENTANA V26 (2.50x1.10). MARCO EN MADERA + VIDRIO TEMPLADO TRANSLUCIDO. INCLUYE ACABADO FINAL</v>
          </cell>
        </row>
        <row r="786">
          <cell r="A786" t="str">
            <v>12-01-250</v>
          </cell>
          <cell r="B786" t="str">
            <v>UN</v>
          </cell>
          <cell r="G786">
            <v>1</v>
          </cell>
          <cell r="H786" t="str">
            <v>UN</v>
          </cell>
        </row>
        <row r="788">
          <cell r="B788">
            <v>1</v>
          </cell>
          <cell r="G788">
            <v>1</v>
          </cell>
          <cell r="H788" t="str">
            <v>cuarto de sonido</v>
          </cell>
        </row>
        <row r="791">
          <cell r="B791" t="str">
            <v>12-01-260</v>
          </cell>
          <cell r="C791" t="str">
            <v>VENTANA V27 (0.60x0.40). MARCO EN MADERA + VIDRIO TEMPLADO TRANSLUCIDO. INCLUYE ACABADO FINAL</v>
          </cell>
        </row>
        <row r="792">
          <cell r="A792" t="str">
            <v>12-01-260</v>
          </cell>
          <cell r="B792" t="str">
            <v>UN</v>
          </cell>
          <cell r="G792">
            <v>1</v>
          </cell>
          <cell r="H792" t="str">
            <v>UN</v>
          </cell>
        </row>
        <row r="794">
          <cell r="B794">
            <v>1</v>
          </cell>
          <cell r="G794">
            <v>1</v>
          </cell>
          <cell r="H794" t="str">
            <v>cuarto de proyeccion</v>
          </cell>
        </row>
        <row r="797">
          <cell r="B797" t="str">
            <v>12-02-010</v>
          </cell>
          <cell r="C797" t="str">
            <v>PUERTA P01 (1.80x2.88). MARCO + ALA(S) EN MADERA. INCLUYE ACABADO FINAL</v>
          </cell>
        </row>
        <row r="798">
          <cell r="A798" t="str">
            <v>12-02-010</v>
          </cell>
          <cell r="B798" t="str">
            <v>UN</v>
          </cell>
          <cell r="G798">
            <v>1</v>
          </cell>
          <cell r="H798" t="str">
            <v>UN</v>
          </cell>
        </row>
        <row r="800">
          <cell r="B800">
            <v>1</v>
          </cell>
          <cell r="G800">
            <v>1</v>
          </cell>
          <cell r="H800" t="str">
            <v>nivel 1</v>
          </cell>
        </row>
        <row r="801">
          <cell r="B801">
            <v>0</v>
          </cell>
          <cell r="G801">
            <v>0</v>
          </cell>
          <cell r="H801" t="str">
            <v>nivel 2</v>
          </cell>
        </row>
        <row r="804">
          <cell r="B804" t="str">
            <v>12-02-020</v>
          </cell>
          <cell r="C804" t="str">
            <v>PUERTA P02 (1.77x3.12). MARCO + ALA(S) EN MADERA. INCLUYE ACABADO FINAL</v>
          </cell>
        </row>
        <row r="805">
          <cell r="A805" t="str">
            <v>12-02-020</v>
          </cell>
          <cell r="B805" t="str">
            <v>UN</v>
          </cell>
          <cell r="G805">
            <v>1</v>
          </cell>
          <cell r="H805" t="str">
            <v>UN</v>
          </cell>
        </row>
        <row r="807">
          <cell r="B807">
            <v>1</v>
          </cell>
          <cell r="G807">
            <v>1</v>
          </cell>
          <cell r="H807" t="str">
            <v>nivel 1</v>
          </cell>
        </row>
        <row r="808">
          <cell r="B808">
            <v>0</v>
          </cell>
          <cell r="G808">
            <v>0</v>
          </cell>
          <cell r="H808" t="str">
            <v>nivel 2</v>
          </cell>
        </row>
        <row r="811">
          <cell r="B811" t="str">
            <v>12-02-030</v>
          </cell>
          <cell r="C811" t="str">
            <v>PUERTA P03 (1.77x3.35). MARCO + ALA(S) EN MADERA. INCLUYE ACABADO FINAL</v>
          </cell>
        </row>
        <row r="812">
          <cell r="A812" t="str">
            <v>12-02-030</v>
          </cell>
          <cell r="B812" t="str">
            <v>UN</v>
          </cell>
          <cell r="G812">
            <v>1</v>
          </cell>
          <cell r="H812" t="str">
            <v>UN</v>
          </cell>
        </row>
        <row r="814">
          <cell r="B814">
            <v>1</v>
          </cell>
          <cell r="G814">
            <v>1</v>
          </cell>
          <cell r="H814" t="str">
            <v>nivel 1</v>
          </cell>
        </row>
        <row r="815">
          <cell r="B815">
            <v>0</v>
          </cell>
          <cell r="G815">
            <v>0</v>
          </cell>
          <cell r="H815" t="str">
            <v>nivel 2</v>
          </cell>
        </row>
        <row r="818">
          <cell r="B818" t="str">
            <v>12-02-040</v>
          </cell>
          <cell r="C818" t="str">
            <v>PUERTA P04 (1.55x2.71). MARCO + ALA(S) EN MADERA. INCLUYE ACABADO FINAL</v>
          </cell>
        </row>
        <row r="819">
          <cell r="A819" t="str">
            <v>12-02-040</v>
          </cell>
          <cell r="B819" t="str">
            <v>UN</v>
          </cell>
          <cell r="G819">
            <v>1</v>
          </cell>
          <cell r="H819" t="str">
            <v>UN</v>
          </cell>
        </row>
        <row r="821">
          <cell r="B821">
            <v>1</v>
          </cell>
          <cell r="G821">
            <v>1</v>
          </cell>
          <cell r="H821" t="str">
            <v>nivel 1</v>
          </cell>
        </row>
        <row r="822">
          <cell r="B822">
            <v>0</v>
          </cell>
          <cell r="G822">
            <v>0</v>
          </cell>
          <cell r="H822" t="str">
            <v>nivel 2</v>
          </cell>
        </row>
        <row r="825">
          <cell r="B825" t="str">
            <v>12-02-050</v>
          </cell>
          <cell r="C825" t="str">
            <v>PUERTA P05 (1.56x2.98). MARCO + ALA(S) EN MADERA. INCLUYE ACABADO FINAL</v>
          </cell>
        </row>
        <row r="826">
          <cell r="A826" t="str">
            <v>12-02-050</v>
          </cell>
          <cell r="B826" t="str">
            <v>UN</v>
          </cell>
          <cell r="G826">
            <v>1</v>
          </cell>
          <cell r="H826" t="str">
            <v>UN</v>
          </cell>
        </row>
        <row r="828">
          <cell r="B828">
            <v>1</v>
          </cell>
          <cell r="G828">
            <v>1</v>
          </cell>
          <cell r="H828" t="str">
            <v>nivel 1</v>
          </cell>
        </row>
        <row r="829">
          <cell r="B829">
            <v>0</v>
          </cell>
          <cell r="G829">
            <v>0</v>
          </cell>
          <cell r="H829" t="str">
            <v>nivel 2</v>
          </cell>
        </row>
        <row r="832">
          <cell r="B832" t="str">
            <v>12-02-060</v>
          </cell>
          <cell r="C832" t="str">
            <v>PUERTA P06 (1.55x3.13). MARCO + ALA(S) EN MADERA. INCLUYE ACABADO FINAL</v>
          </cell>
        </row>
        <row r="833">
          <cell r="A833" t="str">
            <v>12-02-060</v>
          </cell>
          <cell r="B833" t="str">
            <v>UN</v>
          </cell>
          <cell r="G833">
            <v>1</v>
          </cell>
          <cell r="H833" t="str">
            <v>UN</v>
          </cell>
        </row>
        <row r="835">
          <cell r="B835">
            <v>1</v>
          </cell>
          <cell r="G835">
            <v>1</v>
          </cell>
          <cell r="H835" t="str">
            <v>nivel 1</v>
          </cell>
        </row>
        <row r="836">
          <cell r="B836">
            <v>0</v>
          </cell>
          <cell r="G836">
            <v>0</v>
          </cell>
          <cell r="H836" t="str">
            <v>nivel 2</v>
          </cell>
        </row>
        <row r="839">
          <cell r="B839" t="str">
            <v>12-02-070</v>
          </cell>
          <cell r="C839" t="str">
            <v>PUERTA P07 (1.52x2.94). MARCO + ALA(S) EN MADERA. INCLUYE ACABADO FINAL</v>
          </cell>
        </row>
        <row r="840">
          <cell r="A840" t="str">
            <v>12-02-070</v>
          </cell>
          <cell r="B840" t="str">
            <v>UN</v>
          </cell>
          <cell r="G840">
            <v>1</v>
          </cell>
          <cell r="H840" t="str">
            <v>UN</v>
          </cell>
        </row>
        <row r="842">
          <cell r="B842">
            <v>1</v>
          </cell>
          <cell r="G842">
            <v>1</v>
          </cell>
          <cell r="H842" t="str">
            <v>nivel 1</v>
          </cell>
        </row>
        <row r="843">
          <cell r="B843">
            <v>0</v>
          </cell>
          <cell r="G843">
            <v>0</v>
          </cell>
          <cell r="H843" t="str">
            <v>nivel 2</v>
          </cell>
        </row>
        <row r="846">
          <cell r="B846" t="str">
            <v>12-02-090</v>
          </cell>
          <cell r="C846" t="str">
            <v>PUERTA P09 (1.58x2.94). MARCO + ALA(S) EN MADERA. INCLUYE ACABADO FINAL</v>
          </cell>
        </row>
        <row r="847">
          <cell r="A847" t="str">
            <v>12-02-090</v>
          </cell>
          <cell r="B847" t="str">
            <v>UN</v>
          </cell>
          <cell r="G847">
            <v>1</v>
          </cell>
          <cell r="H847" t="str">
            <v>UN</v>
          </cell>
        </row>
        <row r="849">
          <cell r="B849">
            <v>1</v>
          </cell>
          <cell r="G849">
            <v>1</v>
          </cell>
          <cell r="H849" t="str">
            <v>nivel 1</v>
          </cell>
        </row>
        <row r="850">
          <cell r="B850">
            <v>0</v>
          </cell>
          <cell r="G850">
            <v>0</v>
          </cell>
          <cell r="H850" t="str">
            <v>nivel 2</v>
          </cell>
        </row>
        <row r="853">
          <cell r="B853" t="str">
            <v>12-02-100</v>
          </cell>
          <cell r="C853" t="str">
            <v>PUERTA P10 (1.42x2.76). MARCO + ALA(S) EN MADERA. INCLUYE ACABADO FINAL</v>
          </cell>
        </row>
        <row r="854">
          <cell r="A854" t="str">
            <v>12-02-100</v>
          </cell>
          <cell r="B854" t="str">
            <v>UN</v>
          </cell>
          <cell r="G854">
            <v>1</v>
          </cell>
          <cell r="H854" t="str">
            <v>UN</v>
          </cell>
        </row>
        <row r="856">
          <cell r="B856">
            <v>1</v>
          </cell>
          <cell r="G856">
            <v>1</v>
          </cell>
          <cell r="H856" t="str">
            <v>nivel 1</v>
          </cell>
        </row>
        <row r="857">
          <cell r="B857">
            <v>0</v>
          </cell>
          <cell r="G857">
            <v>0</v>
          </cell>
          <cell r="H857" t="str">
            <v>nivel 2</v>
          </cell>
        </row>
        <row r="860">
          <cell r="B860" t="str">
            <v>12-02-110</v>
          </cell>
          <cell r="C860" t="str">
            <v>PUERTA P11 (1.42x2.60). MARCO + ALA(S) EN MADERA. INCLUYE ACABADO FINAL</v>
          </cell>
        </row>
        <row r="861">
          <cell r="A861" t="str">
            <v>12-02-110</v>
          </cell>
          <cell r="B861" t="str">
            <v>UN</v>
          </cell>
          <cell r="G861">
            <v>1</v>
          </cell>
          <cell r="H861" t="str">
            <v>UN</v>
          </cell>
        </row>
        <row r="863">
          <cell r="B863">
            <v>1</v>
          </cell>
          <cell r="G863">
            <v>1</v>
          </cell>
          <cell r="H863" t="str">
            <v>nivel 1</v>
          </cell>
        </row>
        <row r="864">
          <cell r="B864">
            <v>0</v>
          </cell>
          <cell r="G864">
            <v>0</v>
          </cell>
          <cell r="H864" t="str">
            <v>nivel 2</v>
          </cell>
        </row>
        <row r="867">
          <cell r="B867" t="str">
            <v>12-02-120</v>
          </cell>
          <cell r="C867" t="str">
            <v>PUERTA P12 (1.49x2.74). MARCO + ALA(S) EN MADERA. INCLUYE ACABADO FINAL</v>
          </cell>
        </row>
        <row r="868">
          <cell r="A868" t="str">
            <v>12-02-120</v>
          </cell>
          <cell r="B868" t="str">
            <v>UN</v>
          </cell>
          <cell r="G868">
            <v>1</v>
          </cell>
          <cell r="H868" t="str">
            <v>UN</v>
          </cell>
        </row>
        <row r="870">
          <cell r="B870">
            <v>1</v>
          </cell>
          <cell r="G870">
            <v>1</v>
          </cell>
          <cell r="H870" t="str">
            <v>nivel 1</v>
          </cell>
        </row>
        <row r="871">
          <cell r="B871">
            <v>0</v>
          </cell>
          <cell r="G871">
            <v>0</v>
          </cell>
          <cell r="H871" t="str">
            <v>nivel 2</v>
          </cell>
        </row>
        <row r="874">
          <cell r="B874" t="str">
            <v>12-02-130</v>
          </cell>
          <cell r="C874" t="str">
            <v>PUERTA P13 (1.42x2.60). MARCO + ALA(S) EN MADERA. INCLUYE ACABADO FINAL</v>
          </cell>
        </row>
        <row r="875">
          <cell r="A875" t="str">
            <v>12-02-130</v>
          </cell>
          <cell r="B875" t="str">
            <v>UN</v>
          </cell>
          <cell r="G875">
            <v>1</v>
          </cell>
          <cell r="H875" t="str">
            <v>UN</v>
          </cell>
        </row>
        <row r="877">
          <cell r="B877">
            <v>1</v>
          </cell>
          <cell r="G877">
            <v>1</v>
          </cell>
          <cell r="H877" t="str">
            <v>nivel 1</v>
          </cell>
        </row>
        <row r="878">
          <cell r="B878">
            <v>0</v>
          </cell>
          <cell r="G878">
            <v>0</v>
          </cell>
          <cell r="H878" t="str">
            <v>nivel 2</v>
          </cell>
        </row>
        <row r="881">
          <cell r="B881" t="str">
            <v>12-02-140</v>
          </cell>
          <cell r="C881" t="str">
            <v>PUERTA P14 (1.49x2.34). MARCO + ALA(S) EN MADERA. INCLUYE ACABADO FINAL</v>
          </cell>
        </row>
        <row r="882">
          <cell r="A882" t="str">
            <v>12-02-140</v>
          </cell>
          <cell r="B882" t="str">
            <v>UN</v>
          </cell>
          <cell r="G882">
            <v>1</v>
          </cell>
          <cell r="H882" t="str">
            <v>UN</v>
          </cell>
        </row>
        <row r="884">
          <cell r="B884">
            <v>1</v>
          </cell>
          <cell r="G884">
            <v>1</v>
          </cell>
          <cell r="H884" t="str">
            <v>nivel 1</v>
          </cell>
        </row>
        <row r="885">
          <cell r="B885">
            <v>0</v>
          </cell>
          <cell r="G885">
            <v>0</v>
          </cell>
          <cell r="H885" t="str">
            <v>nivel 2</v>
          </cell>
        </row>
        <row r="888">
          <cell r="B888" t="str">
            <v>12-02-170</v>
          </cell>
          <cell r="C888" t="str">
            <v>PUERTA P17 (0.90x2.10). MARCO + ALA(S) EN MADERA. INCLUYE ACABADO FINAL</v>
          </cell>
        </row>
        <row r="889">
          <cell r="A889" t="str">
            <v>12-02-170</v>
          </cell>
          <cell r="B889" t="str">
            <v>UN</v>
          </cell>
          <cell r="G889">
            <v>4</v>
          </cell>
          <cell r="H889" t="str">
            <v>UN</v>
          </cell>
        </row>
        <row r="891">
          <cell r="B891">
            <v>4</v>
          </cell>
          <cell r="G891">
            <v>4</v>
          </cell>
          <cell r="H891" t="str">
            <v>nivel 1</v>
          </cell>
        </row>
        <row r="892">
          <cell r="B892">
            <v>0</v>
          </cell>
          <cell r="G892">
            <v>0</v>
          </cell>
          <cell r="H892" t="str">
            <v>nivel 2</v>
          </cell>
        </row>
        <row r="895">
          <cell r="B895" t="str">
            <v>12-02-180</v>
          </cell>
          <cell r="C895" t="str">
            <v>PUERTA P18 (0.80x2.10). MARCO + ALA(S) EN MADERA. INCLUYE ACABADO FINAL</v>
          </cell>
        </row>
        <row r="896">
          <cell r="A896" t="str">
            <v>12-02-180</v>
          </cell>
          <cell r="B896" t="str">
            <v>UN</v>
          </cell>
          <cell r="G896">
            <v>11</v>
          </cell>
          <cell r="H896" t="str">
            <v>UN</v>
          </cell>
        </row>
        <row r="898">
          <cell r="B898">
            <v>10</v>
          </cell>
          <cell r="G898">
            <v>10</v>
          </cell>
          <cell r="H898" t="str">
            <v>nivel 1</v>
          </cell>
        </row>
        <row r="899">
          <cell r="B899">
            <v>0</v>
          </cell>
          <cell r="G899">
            <v>0</v>
          </cell>
          <cell r="H899" t="str">
            <v>nivel 2</v>
          </cell>
        </row>
        <row r="900">
          <cell r="B900">
            <v>1</v>
          </cell>
          <cell r="G900">
            <v>1</v>
          </cell>
          <cell r="H900" t="str">
            <v>cuarto de proyeccion</v>
          </cell>
        </row>
        <row r="903">
          <cell r="B903" t="str">
            <v>12-02-190</v>
          </cell>
          <cell r="C903" t="str">
            <v>PUERTA P19 (0.70x2.10). MARCO + ALA(S) EN MADERA. INCLUYE ACABADO FINAL</v>
          </cell>
        </row>
        <row r="904">
          <cell r="A904" t="str">
            <v>12-02-190</v>
          </cell>
          <cell r="B904" t="str">
            <v>UN</v>
          </cell>
          <cell r="G904">
            <v>3</v>
          </cell>
          <cell r="H904" t="str">
            <v>UN</v>
          </cell>
        </row>
        <row r="906">
          <cell r="B906">
            <v>1</v>
          </cell>
          <cell r="G906">
            <v>1</v>
          </cell>
          <cell r="H906" t="str">
            <v>nivel 1</v>
          </cell>
        </row>
        <row r="907">
          <cell r="B907">
            <v>1</v>
          </cell>
          <cell r="G907">
            <v>1</v>
          </cell>
          <cell r="H907" t="str">
            <v>nivel 2</v>
          </cell>
        </row>
        <row r="908">
          <cell r="B908">
            <v>1</v>
          </cell>
          <cell r="G908">
            <v>1</v>
          </cell>
          <cell r="H908" t="str">
            <v>cuarto de proyeccion</v>
          </cell>
        </row>
        <row r="911">
          <cell r="B911" t="str">
            <v>12-02-200</v>
          </cell>
          <cell r="C911" t="str">
            <v>PUERTA P20 (1.00x2.10). MARCO + ALA(S) EN MADERA. INCLUYE ACABADO FINAL</v>
          </cell>
        </row>
        <row r="912">
          <cell r="A912" t="str">
            <v>12-02-200</v>
          </cell>
          <cell r="B912" t="str">
            <v>UN</v>
          </cell>
          <cell r="G912">
            <v>3</v>
          </cell>
          <cell r="H912" t="str">
            <v>UN</v>
          </cell>
        </row>
        <row r="914">
          <cell r="B914">
            <v>1</v>
          </cell>
          <cell r="G914">
            <v>1</v>
          </cell>
          <cell r="H914" t="str">
            <v>nivel 1</v>
          </cell>
        </row>
        <row r="915">
          <cell r="B915">
            <v>2</v>
          </cell>
          <cell r="G915">
            <v>2</v>
          </cell>
          <cell r="H915" t="str">
            <v>nivel 2</v>
          </cell>
        </row>
        <row r="918">
          <cell r="B918" t="str">
            <v>12-02-210</v>
          </cell>
          <cell r="C918" t="str">
            <v>PUERTA P21 (1.25x3.32). MARCO + ALA(S) EN MADERA. INCLUYE ACABADO FINAL</v>
          </cell>
        </row>
        <row r="919">
          <cell r="A919" t="str">
            <v>12-02-210</v>
          </cell>
          <cell r="B919" t="str">
            <v>UN</v>
          </cell>
          <cell r="G919">
            <v>3</v>
          </cell>
          <cell r="H919" t="str">
            <v>UN</v>
          </cell>
        </row>
        <row r="921">
          <cell r="B921">
            <v>1</v>
          </cell>
          <cell r="G921">
            <v>1</v>
          </cell>
          <cell r="H921" t="str">
            <v>nivel 1</v>
          </cell>
        </row>
        <row r="922">
          <cell r="B922">
            <v>2</v>
          </cell>
          <cell r="G922">
            <v>2</v>
          </cell>
          <cell r="H922" t="str">
            <v>nivel 2</v>
          </cell>
        </row>
        <row r="925">
          <cell r="B925" t="str">
            <v>12-02-220</v>
          </cell>
          <cell r="C925" t="str">
            <v>PUERTA P22 (1.42x2.73). MARCO + ALA(S) EN MADERA. INCLUYE ACABADO FINAL</v>
          </cell>
        </row>
        <row r="926">
          <cell r="A926" t="str">
            <v>12-02-220</v>
          </cell>
          <cell r="B926" t="str">
            <v>UN</v>
          </cell>
          <cell r="G926">
            <v>2</v>
          </cell>
          <cell r="H926" t="str">
            <v>UN</v>
          </cell>
        </row>
        <row r="928">
          <cell r="B928">
            <v>0</v>
          </cell>
          <cell r="G928">
            <v>0</v>
          </cell>
          <cell r="H928" t="str">
            <v>nivel 1</v>
          </cell>
        </row>
        <row r="929">
          <cell r="B929">
            <v>2</v>
          </cell>
          <cell r="G929">
            <v>2</v>
          </cell>
          <cell r="H929" t="str">
            <v>nivel 2</v>
          </cell>
        </row>
        <row r="932">
          <cell r="B932" t="str">
            <v>12-02-230</v>
          </cell>
          <cell r="C932" t="str">
            <v>PUERTA P23 (1.30x2.73). MARCO + ALA(S) EN MADERA. INCLUYE ACABADO FINAL</v>
          </cell>
        </row>
        <row r="933">
          <cell r="A933" t="str">
            <v>12-02-230</v>
          </cell>
          <cell r="B933" t="str">
            <v>UN</v>
          </cell>
          <cell r="G933">
            <v>1</v>
          </cell>
          <cell r="H933" t="str">
            <v>UN</v>
          </cell>
        </row>
        <row r="935">
          <cell r="B935">
            <v>0</v>
          </cell>
          <cell r="G935">
            <v>0</v>
          </cell>
          <cell r="H935" t="str">
            <v>nivel 1</v>
          </cell>
        </row>
        <row r="936">
          <cell r="B936">
            <v>1</v>
          </cell>
          <cell r="G936">
            <v>1</v>
          </cell>
          <cell r="H936" t="str">
            <v>nivel 2</v>
          </cell>
        </row>
        <row r="939">
          <cell r="B939" t="str">
            <v>12-02-240</v>
          </cell>
          <cell r="C939" t="str">
            <v>PUERTA P24 (1.20x2.73). MARCO + ALA(S) EN MADERA. INCLUYE ACABADO FINAL</v>
          </cell>
        </row>
        <row r="940">
          <cell r="A940" t="str">
            <v>12-02-240</v>
          </cell>
          <cell r="B940" t="str">
            <v>UN</v>
          </cell>
          <cell r="G940">
            <v>6</v>
          </cell>
          <cell r="H940" t="str">
            <v>UN</v>
          </cell>
        </row>
        <row r="942">
          <cell r="B942">
            <v>0</v>
          </cell>
          <cell r="G942">
            <v>0</v>
          </cell>
          <cell r="H942" t="str">
            <v>nivel 1</v>
          </cell>
        </row>
        <row r="943">
          <cell r="B943">
            <v>6</v>
          </cell>
          <cell r="G943">
            <v>6</v>
          </cell>
          <cell r="H943" t="str">
            <v>nivel 2</v>
          </cell>
        </row>
        <row r="946">
          <cell r="B946" t="str">
            <v>12-02-250</v>
          </cell>
          <cell r="C946" t="str">
            <v>PUERTA PV06 ((1.58+2.54)x2.73). MARCO + ALA(S) EN MADERA + VIDRIO TEMPLADO TRANSLUCIDO. INCLUYE ACABADO FINAL</v>
          </cell>
        </row>
        <row r="947">
          <cell r="A947" t="str">
            <v>12-02-250</v>
          </cell>
          <cell r="B947" t="str">
            <v>UN</v>
          </cell>
          <cell r="G947">
            <v>1</v>
          </cell>
          <cell r="H947" t="str">
            <v>UN</v>
          </cell>
        </row>
        <row r="949">
          <cell r="B949">
            <v>1</v>
          </cell>
          <cell r="G949">
            <v>1</v>
          </cell>
          <cell r="H949" t="str">
            <v>nivel 1</v>
          </cell>
        </row>
        <row r="950">
          <cell r="B950">
            <v>0</v>
          </cell>
          <cell r="G950">
            <v>0</v>
          </cell>
          <cell r="H950" t="str">
            <v>nivel 2</v>
          </cell>
        </row>
        <row r="953">
          <cell r="B953" t="str">
            <v>12-03-010</v>
          </cell>
          <cell r="C953" t="str">
            <v>CONSUETA. INCLUYE ESCALAS DE ACCESO AL ESCENARIO CON SU ESTRUCTURA, ENCHAPES EN MADERA Y CONCHA EN MADERA.</v>
          </cell>
        </row>
        <row r="954">
          <cell r="A954" t="str">
            <v>12-03-010</v>
          </cell>
          <cell r="B954" t="str">
            <v>UN</v>
          </cell>
          <cell r="G954">
            <v>1</v>
          </cell>
          <cell r="H954" t="str">
            <v>UN</v>
          </cell>
        </row>
        <row r="956">
          <cell r="B956">
            <v>1</v>
          </cell>
          <cell r="G956">
            <v>1</v>
          </cell>
          <cell r="H956" t="str">
            <v>nivel 1</v>
          </cell>
        </row>
        <row r="959">
          <cell r="B959" t="str">
            <v>13</v>
          </cell>
          <cell r="C959" t="str">
            <v>MUEBLES, APARATOS SANITARIOS Y GRIFERIAS</v>
          </cell>
        </row>
        <row r="960">
          <cell r="B960" t="str">
            <v>13-01-010</v>
          </cell>
          <cell r="C960" t="str">
            <v>TOCADORES CAMERINOS. MESONES EN GRANITO PULIDO NEGRO. INCLUYE ANCLAJES A MUROS Y SOPORTES</v>
          </cell>
        </row>
        <row r="961">
          <cell r="A961" t="str">
            <v>13-01-010</v>
          </cell>
          <cell r="B961" t="str">
            <v>M</v>
          </cell>
          <cell r="G961">
            <v>4</v>
          </cell>
          <cell r="H961" t="str">
            <v>M</v>
          </cell>
        </row>
        <row r="963">
          <cell r="B963">
            <v>1</v>
          </cell>
          <cell r="C963">
            <v>3.77</v>
          </cell>
          <cell r="G963">
            <v>3.77</v>
          </cell>
          <cell r="H963" t="str">
            <v>nivel 1</v>
          </cell>
        </row>
        <row r="964">
          <cell r="B964">
            <v>0</v>
          </cell>
          <cell r="G964">
            <v>0</v>
          </cell>
          <cell r="H964" t="str">
            <v>nivel 2</v>
          </cell>
        </row>
        <row r="967">
          <cell r="B967" t="str">
            <v>13-01-020</v>
          </cell>
          <cell r="C967" t="str">
            <v>MESONES PARA LAVAMANOS EN GRANITO PULIDO NEGRO. INCLUYE ANCLAJES A MUROS Y SOPORTES</v>
          </cell>
        </row>
        <row r="968">
          <cell r="A968" t="str">
            <v>13-01-020</v>
          </cell>
          <cell r="B968" t="str">
            <v>M</v>
          </cell>
          <cell r="G968">
            <v>9</v>
          </cell>
          <cell r="H968" t="str">
            <v>M</v>
          </cell>
        </row>
        <row r="970">
          <cell r="B970">
            <v>1</v>
          </cell>
          <cell r="C970">
            <v>2.8</v>
          </cell>
          <cell r="G970">
            <v>2.8</v>
          </cell>
          <cell r="H970" t="str">
            <v>nivel 1</v>
          </cell>
        </row>
        <row r="971">
          <cell r="B971">
            <v>1</v>
          </cell>
          <cell r="C971">
            <v>5.6499999999999995</v>
          </cell>
          <cell r="G971">
            <v>5.6499999999999995</v>
          </cell>
          <cell r="H971" t="str">
            <v>nivel 2</v>
          </cell>
        </row>
        <row r="974">
          <cell r="B974" t="str">
            <v>13-01-030</v>
          </cell>
          <cell r="C974" t="str">
            <v>MUEBLE COCINETA LOCAL CAFÉ. MESON EN ACERO INOXIDABLE CON POZUELO + MUEBLE BAJO EN FORMICA RH</v>
          </cell>
        </row>
        <row r="975">
          <cell r="A975" t="str">
            <v>13-01-030</v>
          </cell>
          <cell r="B975" t="str">
            <v>M</v>
          </cell>
          <cell r="G975">
            <v>3</v>
          </cell>
          <cell r="H975" t="str">
            <v>M</v>
          </cell>
        </row>
        <row r="977">
          <cell r="B977">
            <v>1</v>
          </cell>
          <cell r="C977">
            <v>2.5</v>
          </cell>
          <cell r="G977">
            <v>2.5</v>
          </cell>
          <cell r="H977" t="str">
            <v>nivel 1</v>
          </cell>
        </row>
        <row r="978">
          <cell r="B978">
            <v>0</v>
          </cell>
          <cell r="G978">
            <v>0</v>
          </cell>
          <cell r="H978" t="str">
            <v>nivel 2</v>
          </cell>
        </row>
        <row r="981">
          <cell r="B981" t="str">
            <v>13-01-040</v>
          </cell>
          <cell r="C981" t="str">
            <v>BANCAS CAMERINOS EN CONCRETO F'C 21 MPA + GRANITO VACIADO Y PULIDO. INCLUYE ACERO DE REFUERZO</v>
          </cell>
        </row>
        <row r="982">
          <cell r="A982" t="str">
            <v>13-01-040</v>
          </cell>
          <cell r="B982" t="str">
            <v>M</v>
          </cell>
          <cell r="G982">
            <v>3</v>
          </cell>
          <cell r="H982" t="str">
            <v>M</v>
          </cell>
        </row>
        <row r="984">
          <cell r="B984">
            <v>1</v>
          </cell>
          <cell r="C984">
            <v>2.95</v>
          </cell>
          <cell r="G984">
            <v>2.95</v>
          </cell>
          <cell r="H984" t="str">
            <v>nivel 1</v>
          </cell>
        </row>
        <row r="985">
          <cell r="B985">
            <v>0</v>
          </cell>
          <cell r="G985">
            <v>0</v>
          </cell>
          <cell r="H985" t="str">
            <v>nivel 2</v>
          </cell>
        </row>
        <row r="988">
          <cell r="B988" t="str">
            <v>13-01-050</v>
          </cell>
          <cell r="C988" t="str">
            <v>LAVAESCOBAS PREFABRICADO EN GRANO PULIDO. INCLUYE LLAVE CROMADA</v>
          </cell>
        </row>
        <row r="989">
          <cell r="A989" t="str">
            <v>13-01-050</v>
          </cell>
          <cell r="B989" t="str">
            <v>UN</v>
          </cell>
          <cell r="G989">
            <v>3</v>
          </cell>
          <cell r="H989" t="str">
            <v>UN</v>
          </cell>
        </row>
        <row r="991">
          <cell r="B991">
            <v>2</v>
          </cell>
          <cell r="G991">
            <v>2</v>
          </cell>
          <cell r="H991" t="str">
            <v>nivel 1</v>
          </cell>
        </row>
        <row r="992">
          <cell r="B992">
            <v>1</v>
          </cell>
          <cell r="G992">
            <v>1</v>
          </cell>
          <cell r="H992" t="str">
            <v>nivel 2</v>
          </cell>
        </row>
        <row r="995">
          <cell r="B995" t="str">
            <v>13-01-100</v>
          </cell>
          <cell r="C995" t="str">
            <v>SILLETERIA SIN ESPALDAR EN GRADERIAS SEGUNDO PISO</v>
          </cell>
        </row>
        <row r="996">
          <cell r="A996" t="str">
            <v>13-01-100</v>
          </cell>
          <cell r="B996" t="str">
            <v>UN</v>
          </cell>
          <cell r="G996">
            <v>74</v>
          </cell>
          <cell r="H996" t="str">
            <v>UN</v>
          </cell>
        </row>
        <row r="998">
          <cell r="B998">
            <v>74</v>
          </cell>
          <cell r="G998">
            <v>74</v>
          </cell>
          <cell r="H998" t="str">
            <v>graderias segundo piso</v>
          </cell>
        </row>
        <row r="1001">
          <cell r="B1001" t="str">
            <v>13-03-010</v>
          </cell>
          <cell r="C1001" t="str">
            <v>TAZA DE SANITARIO PARA FLUXOMETRO REF. BALTICO DE CORONA O EQUIVALENTE + ASIENTO SANITARIO INSTITUCIONAL ABIERTO COLOR BLANCO</v>
          </cell>
        </row>
        <row r="1002">
          <cell r="A1002" t="str">
            <v>13-03-010</v>
          </cell>
          <cell r="B1002" t="str">
            <v>UN</v>
          </cell>
          <cell r="G1002">
            <v>13</v>
          </cell>
          <cell r="H1002" t="str">
            <v>UN</v>
          </cell>
        </row>
        <row r="1004">
          <cell r="B1004">
            <v>9</v>
          </cell>
          <cell r="G1004">
            <v>9</v>
          </cell>
          <cell r="H1004" t="str">
            <v>nivel 1</v>
          </cell>
        </row>
        <row r="1005">
          <cell r="B1005">
            <v>4</v>
          </cell>
          <cell r="G1005">
            <v>4</v>
          </cell>
          <cell r="H1005" t="str">
            <v>nivel 2</v>
          </cell>
        </row>
        <row r="1008">
          <cell r="B1008" t="str">
            <v>13-03-012</v>
          </cell>
          <cell r="C1008" t="str">
            <v>SANITARIO REF. AQUAJET DE CORONA O EQUIVALENTE + ASIENTO SANITARIO INSTITUCIONAL ABIERTO COLOR BLANCO + GRIFERIA</v>
          </cell>
        </row>
        <row r="1009">
          <cell r="A1009" t="str">
            <v>13-03-012</v>
          </cell>
          <cell r="B1009" t="str">
            <v>UN</v>
          </cell>
          <cell r="G1009">
            <v>6</v>
          </cell>
          <cell r="H1009" t="str">
            <v>UN</v>
          </cell>
        </row>
        <row r="1011">
          <cell r="B1011">
            <v>2</v>
          </cell>
          <cell r="G1011">
            <v>2</v>
          </cell>
          <cell r="H1011" t="str">
            <v>nivel 1</v>
          </cell>
        </row>
        <row r="1012">
          <cell r="B1012">
            <v>4</v>
          </cell>
          <cell r="G1012">
            <v>4</v>
          </cell>
          <cell r="H1012" t="str">
            <v>nivel 2</v>
          </cell>
        </row>
        <row r="1015">
          <cell r="B1015" t="str">
            <v>13-03-020</v>
          </cell>
          <cell r="C1015" t="str">
            <v>ORINAL GRANDE PARA FLUXOMETRO DE CORONA O EQUIVALENTE COLOR BLANCO. INCLUYE GRAPAS PARA COLGAR Y DESAGUE SIFON</v>
          </cell>
        </row>
        <row r="1016">
          <cell r="A1016" t="str">
            <v>13-03-020</v>
          </cell>
          <cell r="B1016" t="str">
            <v>UN</v>
          </cell>
          <cell r="G1016">
            <v>5</v>
          </cell>
          <cell r="H1016" t="str">
            <v>UN</v>
          </cell>
        </row>
        <row r="1018">
          <cell r="B1018">
            <v>3</v>
          </cell>
          <cell r="G1018">
            <v>3</v>
          </cell>
          <cell r="H1018" t="str">
            <v>nivel 1</v>
          </cell>
        </row>
        <row r="1019">
          <cell r="B1019">
            <v>2</v>
          </cell>
          <cell r="G1019">
            <v>2</v>
          </cell>
          <cell r="H1019" t="str">
            <v>nivel 2</v>
          </cell>
        </row>
        <row r="1022">
          <cell r="B1022" t="str">
            <v>13-03-030</v>
          </cell>
          <cell r="C1022" t="str">
            <v>LAVAMANOS DE SOBREPONER REF. SAN LORENZO DE CORONA O EQUIVALENTE. INCLUYE ABASTOS, SIFON Y DESAGUE SENCILLO</v>
          </cell>
        </row>
        <row r="1023">
          <cell r="A1023" t="str">
            <v>13-03-030</v>
          </cell>
          <cell r="B1023" t="str">
            <v>UN</v>
          </cell>
          <cell r="G1023">
            <v>12</v>
          </cell>
          <cell r="H1023" t="str">
            <v>UN</v>
          </cell>
        </row>
        <row r="1025">
          <cell r="B1025">
            <v>6</v>
          </cell>
          <cell r="G1025">
            <v>6</v>
          </cell>
          <cell r="H1025" t="str">
            <v>nivel 1</v>
          </cell>
        </row>
        <row r="1026">
          <cell r="B1026">
            <v>6</v>
          </cell>
          <cell r="G1026">
            <v>6</v>
          </cell>
          <cell r="H1026" t="str">
            <v>nivel 2</v>
          </cell>
        </row>
        <row r="1029">
          <cell r="B1029" t="str">
            <v>13-03-040</v>
          </cell>
          <cell r="C1029" t="str">
            <v>LAVAMANOS DE COLGAR REF. FREE DE CORONA O EQUIVALENTE. INCLUYE ABASTOS, SIFON, DESAGUE SENCILLO Y SISTEMA PARA COLGAR</v>
          </cell>
        </row>
        <row r="1030">
          <cell r="A1030" t="str">
            <v>13-03-040</v>
          </cell>
          <cell r="B1030" t="str">
            <v>UN</v>
          </cell>
          <cell r="G1030">
            <v>6</v>
          </cell>
          <cell r="H1030" t="str">
            <v>UN</v>
          </cell>
        </row>
        <row r="1032">
          <cell r="B1032">
            <v>6</v>
          </cell>
          <cell r="G1032">
            <v>6</v>
          </cell>
          <cell r="H1032" t="str">
            <v>nivel 1</v>
          </cell>
        </row>
        <row r="1033">
          <cell r="B1033">
            <v>0</v>
          </cell>
          <cell r="G1033">
            <v>0</v>
          </cell>
          <cell r="H1033" t="str">
            <v>nivel 2</v>
          </cell>
        </row>
        <row r="1036">
          <cell r="B1036" t="str">
            <v>13-04-010</v>
          </cell>
          <cell r="C1036" t="str">
            <v>FLUXOMETRO ELECTRONICO CON SISTEMA DE INSTALACION DE VALVULA ANTIVANDALICA DE GRIVAL O EQUIVALENTE PARA SANITARIOS</v>
          </cell>
        </row>
        <row r="1037">
          <cell r="A1037" t="str">
            <v>13-04-010</v>
          </cell>
          <cell r="B1037" t="str">
            <v>UN</v>
          </cell>
          <cell r="G1037">
            <v>13</v>
          </cell>
          <cell r="H1037" t="str">
            <v>UN</v>
          </cell>
          <cell r="J1037" t="str">
            <v>igual a sanitario fluxometro</v>
          </cell>
        </row>
        <row r="1039">
          <cell r="B1039">
            <v>9</v>
          </cell>
          <cell r="G1039">
            <v>9</v>
          </cell>
          <cell r="H1039" t="str">
            <v>nivel 1</v>
          </cell>
        </row>
        <row r="1040">
          <cell r="B1040">
            <v>4</v>
          </cell>
          <cell r="G1040">
            <v>4</v>
          </cell>
          <cell r="H1040" t="str">
            <v>nivel 2</v>
          </cell>
        </row>
        <row r="1043">
          <cell r="B1043" t="str">
            <v>13-04-020</v>
          </cell>
          <cell r="C1043" t="str">
            <v>FLUXOMETRO ELECTRONICO CON SISTEMA DE INSTALACION DE VALVULA ANTIVANDALICA DE GRIVAL O EQUIVALENTE PARA ORINALES</v>
          </cell>
        </row>
        <row r="1044">
          <cell r="A1044" t="str">
            <v>13-04-020</v>
          </cell>
          <cell r="B1044" t="str">
            <v>UN</v>
          </cell>
          <cell r="G1044">
            <v>5</v>
          </cell>
          <cell r="H1044" t="str">
            <v>UN</v>
          </cell>
          <cell r="J1044" t="str">
            <v>igual a orinal fluxometro</v>
          </cell>
        </row>
        <row r="1046">
          <cell r="B1046">
            <v>3</v>
          </cell>
          <cell r="G1046">
            <v>3</v>
          </cell>
          <cell r="H1046" t="str">
            <v>nivel 1</v>
          </cell>
        </row>
        <row r="1047">
          <cell r="B1047">
            <v>2</v>
          </cell>
          <cell r="G1047">
            <v>2</v>
          </cell>
          <cell r="H1047" t="str">
            <v>nivel 2</v>
          </cell>
        </row>
        <row r="1050">
          <cell r="B1050" t="str">
            <v>13-04-030</v>
          </cell>
          <cell r="C1050" t="str">
            <v>GRIFERIA PARA LAVAMANOS ANTIVANDALICA DE PUSH DE GRIVAL O EQUIVALENTE. INCLUYE ABASTOS.</v>
          </cell>
        </row>
        <row r="1051">
          <cell r="A1051" t="str">
            <v>13-04-030</v>
          </cell>
          <cell r="B1051" t="str">
            <v>UN</v>
          </cell>
          <cell r="G1051">
            <v>18</v>
          </cell>
          <cell r="H1051" t="str">
            <v>UN</v>
          </cell>
          <cell r="J1051" t="str">
            <v>igual a lavamanos de colgar y sobreponer</v>
          </cell>
        </row>
        <row r="1053">
          <cell r="B1053">
            <v>12</v>
          </cell>
          <cell r="G1053">
            <v>12</v>
          </cell>
          <cell r="H1053" t="str">
            <v>nivel 1</v>
          </cell>
        </row>
        <row r="1054">
          <cell r="B1054">
            <v>6</v>
          </cell>
          <cell r="G1054">
            <v>6</v>
          </cell>
          <cell r="H1054" t="str">
            <v>nivel 2</v>
          </cell>
        </row>
        <row r="1057">
          <cell r="B1057" t="str">
            <v>13-04-040</v>
          </cell>
          <cell r="C1057" t="str">
            <v>GRIFERIA PARA DUCHAS REF. ANTIVANDALICA CON REGADERA EMPOTRADA DE GRIVAL O EQUIVALENTE.</v>
          </cell>
        </row>
        <row r="1058">
          <cell r="A1058" t="str">
            <v>13-04-040</v>
          </cell>
          <cell r="B1058" t="str">
            <v>UN</v>
          </cell>
          <cell r="G1058">
            <v>2</v>
          </cell>
          <cell r="H1058" t="str">
            <v>UN</v>
          </cell>
        </row>
        <row r="1060">
          <cell r="B1060">
            <v>2</v>
          </cell>
          <cell r="G1060">
            <v>2</v>
          </cell>
          <cell r="H1060" t="str">
            <v>nivel 1</v>
          </cell>
        </row>
        <row r="1061">
          <cell r="B1061">
            <v>0</v>
          </cell>
          <cell r="G1061">
            <v>0</v>
          </cell>
          <cell r="H1061" t="str">
            <v>nivel 2</v>
          </cell>
        </row>
        <row r="1064">
          <cell r="B1064" t="str">
            <v>13-04-050</v>
          </cell>
          <cell r="C1064" t="str">
            <v>GRIFERIA PARA LAVAPLATOS REF. GALAXIA DE GRIVAL O EQUIVALENTE.</v>
          </cell>
        </row>
        <row r="1065">
          <cell r="A1065" t="str">
            <v>13-04-050</v>
          </cell>
          <cell r="B1065" t="str">
            <v>UN</v>
          </cell>
          <cell r="G1065">
            <v>1</v>
          </cell>
          <cell r="H1065" t="str">
            <v>UN</v>
          </cell>
          <cell r="J1065" t="str">
            <v>meson café</v>
          </cell>
        </row>
        <row r="1067">
          <cell r="B1067">
            <v>1</v>
          </cell>
          <cell r="G1067">
            <v>1</v>
          </cell>
          <cell r="H1067" t="str">
            <v>nivel 1</v>
          </cell>
        </row>
        <row r="1068">
          <cell r="B1068">
            <v>0</v>
          </cell>
          <cell r="G1068">
            <v>0</v>
          </cell>
          <cell r="H1068" t="str">
            <v>nivel 2</v>
          </cell>
        </row>
        <row r="1071">
          <cell r="B1071" t="str">
            <v>13-05-010</v>
          </cell>
          <cell r="C1071" t="str">
            <v>DISPENSADORES DE PAPEL HIGIENICO EN ACERO INOXIDABLE DE SOCODA O EQUIVALENTE.</v>
          </cell>
        </row>
        <row r="1072">
          <cell r="A1072" t="str">
            <v>13-05-010</v>
          </cell>
          <cell r="B1072" t="str">
            <v>UN</v>
          </cell>
          <cell r="G1072">
            <v>19</v>
          </cell>
          <cell r="H1072" t="str">
            <v>UN</v>
          </cell>
          <cell r="J1072" t="str">
            <v>igual a cant sanitarios</v>
          </cell>
        </row>
        <row r="1074">
          <cell r="B1074">
            <v>11</v>
          </cell>
          <cell r="G1074">
            <v>11</v>
          </cell>
          <cell r="H1074" t="str">
            <v>nivel 1</v>
          </cell>
        </row>
        <row r="1075">
          <cell r="B1075">
            <v>8</v>
          </cell>
          <cell r="G1075">
            <v>8</v>
          </cell>
          <cell r="H1075" t="str">
            <v>nivel 2</v>
          </cell>
        </row>
        <row r="1078">
          <cell r="B1078" t="str">
            <v>13-05-020</v>
          </cell>
          <cell r="C1078" t="str">
            <v>DISPENSADORES DE TOALLAS DE PAPEL EN ACERO INOXIDABLE DE SOCODA O EQUIVALENTE.</v>
          </cell>
        </row>
        <row r="1079">
          <cell r="A1079" t="str">
            <v>13-05-020</v>
          </cell>
          <cell r="B1079" t="str">
            <v>UN</v>
          </cell>
          <cell r="G1079">
            <v>14</v>
          </cell>
          <cell r="H1079" t="str">
            <v>UN</v>
          </cell>
        </row>
        <row r="1081">
          <cell r="B1081">
            <v>10</v>
          </cell>
          <cell r="G1081">
            <v>10</v>
          </cell>
          <cell r="H1081" t="str">
            <v>nivel 1</v>
          </cell>
        </row>
        <row r="1082">
          <cell r="B1082">
            <v>4</v>
          </cell>
          <cell r="G1082">
            <v>4</v>
          </cell>
          <cell r="H1082" t="str">
            <v>nivel 2</v>
          </cell>
        </row>
        <row r="1085">
          <cell r="B1085" t="str">
            <v>13-05-030</v>
          </cell>
          <cell r="C1085" t="str">
            <v>DISPENSADORES DE JABON EN ACERO INOXIDABLE DE SOCODA O EQUIVALENTE.</v>
          </cell>
        </row>
        <row r="1086">
          <cell r="A1086" t="str">
            <v>13-05-030</v>
          </cell>
          <cell r="B1086" t="str">
            <v>UN</v>
          </cell>
          <cell r="G1086">
            <v>14</v>
          </cell>
          <cell r="H1086" t="str">
            <v>UN</v>
          </cell>
        </row>
        <row r="1088">
          <cell r="B1088">
            <v>10</v>
          </cell>
          <cell r="G1088">
            <v>10</v>
          </cell>
          <cell r="H1088" t="str">
            <v>nivel 1</v>
          </cell>
        </row>
        <row r="1089">
          <cell r="B1089">
            <v>4</v>
          </cell>
          <cell r="G1089">
            <v>4</v>
          </cell>
          <cell r="H1089" t="str">
            <v>nivel 2</v>
          </cell>
        </row>
        <row r="1092">
          <cell r="B1092" t="str">
            <v>13-05-040</v>
          </cell>
          <cell r="C1092" t="str">
            <v>BARRAS DE SEGURIDAD 18" EN ACERO INOXIDABLE DE GRIVAL O EQUIVALENTE.</v>
          </cell>
        </row>
        <row r="1093">
          <cell r="A1093" t="str">
            <v>13-05-040</v>
          </cell>
          <cell r="B1093" t="str">
            <v>UN</v>
          </cell>
          <cell r="G1093">
            <v>1</v>
          </cell>
          <cell r="H1093" t="str">
            <v>UN</v>
          </cell>
        </row>
        <row r="1095">
          <cell r="B1095">
            <v>1</v>
          </cell>
          <cell r="G1095">
            <v>1</v>
          </cell>
          <cell r="H1095" t="str">
            <v>nivel 1</v>
          </cell>
        </row>
        <row r="1096">
          <cell r="B1096">
            <v>0</v>
          </cell>
          <cell r="G1096">
            <v>0</v>
          </cell>
          <cell r="H1096" t="str">
            <v>nivel 2</v>
          </cell>
        </row>
        <row r="1099">
          <cell r="B1099" t="str">
            <v>13-05-050</v>
          </cell>
          <cell r="C1099" t="str">
            <v>BARRAS DE SEGURIDAD 30" EN ACERO INOXIDABLE DE GRIVAL O EQUIVALENTE.</v>
          </cell>
        </row>
        <row r="1100">
          <cell r="A1100" t="str">
            <v>13-05-050</v>
          </cell>
          <cell r="B1100" t="str">
            <v>UN</v>
          </cell>
          <cell r="G1100">
            <v>1</v>
          </cell>
          <cell r="H1100" t="str">
            <v>UN</v>
          </cell>
        </row>
        <row r="1102">
          <cell r="B1102">
            <v>1</v>
          </cell>
          <cell r="G1102">
            <v>1</v>
          </cell>
          <cell r="H1102" t="str">
            <v>nivel 1</v>
          </cell>
        </row>
        <row r="1103">
          <cell r="B1103">
            <v>0</v>
          </cell>
          <cell r="G1103">
            <v>0</v>
          </cell>
          <cell r="H1103" t="str">
            <v>nivel 2</v>
          </cell>
        </row>
        <row r="1106">
          <cell r="B1106" t="str">
            <v>13-05-060</v>
          </cell>
          <cell r="C1106" t="str">
            <v>REJILLAS DE PISO EN ALUMINIO Ø 4"</v>
          </cell>
        </row>
        <row r="1107">
          <cell r="A1107" t="str">
            <v>13-05-060</v>
          </cell>
          <cell r="B1107" t="str">
            <v>UN</v>
          </cell>
          <cell r="G1107">
            <v>19</v>
          </cell>
          <cell r="H1107" t="str">
            <v>UN</v>
          </cell>
        </row>
        <row r="1109">
          <cell r="B1109">
            <v>14</v>
          </cell>
          <cell r="G1109">
            <v>14</v>
          </cell>
          <cell r="H1109" t="str">
            <v>nivel 1</v>
          </cell>
        </row>
        <row r="1110">
          <cell r="B1110">
            <v>5</v>
          </cell>
          <cell r="G1110">
            <v>5</v>
          </cell>
          <cell r="H1110" t="str">
            <v>nivel 2</v>
          </cell>
        </row>
        <row r="1113">
          <cell r="B1113" t="str">
            <v>13-05-070</v>
          </cell>
          <cell r="C1113" t="str">
            <v>ESPEJOS 5 MM. CALIDAD PELDAR O EQUIVALENTE. INCLUYE ANCLAJES A MURO</v>
          </cell>
        </row>
        <row r="1114">
          <cell r="A1114" t="str">
            <v>13-05-070</v>
          </cell>
          <cell r="B1114" t="str">
            <v>M2</v>
          </cell>
          <cell r="G1114">
            <v>12</v>
          </cell>
          <cell r="H1114" t="str">
            <v>M2</v>
          </cell>
        </row>
        <row r="1116">
          <cell r="H1116" t="str">
            <v>nivel 1</v>
          </cell>
        </row>
        <row r="1117">
          <cell r="B1117">
            <v>1</v>
          </cell>
          <cell r="C1117">
            <v>1.94</v>
          </cell>
          <cell r="E1117">
            <v>0.7</v>
          </cell>
          <cell r="G1117">
            <v>1.3579999999999999</v>
          </cell>
        </row>
        <row r="1118">
          <cell r="B1118">
            <v>1</v>
          </cell>
          <cell r="C1118">
            <v>1.79</v>
          </cell>
          <cell r="E1118">
            <v>0.7</v>
          </cell>
          <cell r="G1118">
            <v>1.2529999999999999</v>
          </cell>
        </row>
        <row r="1119">
          <cell r="B1119">
            <v>6</v>
          </cell>
          <cell r="C1119">
            <v>0.6</v>
          </cell>
          <cell r="E1119">
            <v>0.7</v>
          </cell>
          <cell r="G1119">
            <v>2.5199999999999996</v>
          </cell>
        </row>
        <row r="1120">
          <cell r="B1120">
            <v>2</v>
          </cell>
          <cell r="C1120">
            <v>1.4</v>
          </cell>
          <cell r="E1120">
            <v>0.7</v>
          </cell>
          <cell r="G1120">
            <v>1.9599999999999997</v>
          </cell>
        </row>
        <row r="1122">
          <cell r="H1122" t="str">
            <v>nivel 2</v>
          </cell>
        </row>
        <row r="1123">
          <cell r="B1123">
            <v>2</v>
          </cell>
          <cell r="C1123">
            <v>2</v>
          </cell>
          <cell r="E1123">
            <v>0.7</v>
          </cell>
          <cell r="G1123">
            <v>2.8</v>
          </cell>
        </row>
        <row r="1124">
          <cell r="B1124">
            <v>2</v>
          </cell>
          <cell r="C1124">
            <v>0.8</v>
          </cell>
          <cell r="E1124">
            <v>0.7</v>
          </cell>
          <cell r="G1124">
            <v>1.1199999999999999</v>
          </cell>
        </row>
        <row r="1127">
          <cell r="B1127" t="str">
            <v>13-05-080</v>
          </cell>
          <cell r="C1127" t="str">
            <v>DIVISIONES EN ACERO INOXIDABLE TIPO SOCODA O EQUIVALENTE</v>
          </cell>
        </row>
        <row r="1128">
          <cell r="A1128" t="str">
            <v>13-05-080</v>
          </cell>
          <cell r="B1128" t="str">
            <v>M2</v>
          </cell>
          <cell r="G1128">
            <v>41</v>
          </cell>
          <cell r="H1128" t="str">
            <v>M2</v>
          </cell>
        </row>
        <row r="1130">
          <cell r="H1130" t="str">
            <v>nivel 1</v>
          </cell>
        </row>
        <row r="1131">
          <cell r="B1131">
            <v>1</v>
          </cell>
          <cell r="C1131">
            <v>7.3100000000000005</v>
          </cell>
          <cell r="E1131">
            <v>1.8</v>
          </cell>
          <cell r="G1131">
            <v>13.158000000000001</v>
          </cell>
        </row>
        <row r="1132">
          <cell r="B1132">
            <v>1</v>
          </cell>
          <cell r="C1132">
            <v>0.5</v>
          </cell>
          <cell r="E1132">
            <v>0.96</v>
          </cell>
          <cell r="G1132">
            <v>0.48</v>
          </cell>
        </row>
        <row r="1134">
          <cell r="H1134" t="str">
            <v>nivel 2</v>
          </cell>
        </row>
        <row r="1135">
          <cell r="B1135">
            <v>1</v>
          </cell>
          <cell r="C1135">
            <v>7.82</v>
          </cell>
          <cell r="E1135">
            <v>1.8</v>
          </cell>
          <cell r="G1135">
            <v>14.076000000000001</v>
          </cell>
        </row>
        <row r="1136">
          <cell r="B1136">
            <v>1</v>
          </cell>
          <cell r="C1136">
            <v>6.5399999999999991</v>
          </cell>
          <cell r="E1136">
            <v>1.8</v>
          </cell>
          <cell r="G1136">
            <v>11.771999999999998</v>
          </cell>
        </row>
        <row r="1137">
          <cell r="B1137">
            <v>1</v>
          </cell>
          <cell r="C1137">
            <v>1</v>
          </cell>
          <cell r="E1137">
            <v>0.96</v>
          </cell>
          <cell r="G1137">
            <v>0.96</v>
          </cell>
        </row>
      </sheetData>
      <sheetData sheetId="9"/>
      <sheetData sheetId="10"/>
      <sheetData sheetId="11"/>
      <sheetData sheetId="12"/>
      <sheetData sheetId="13"/>
      <sheetData sheetId="14">
        <row r="1">
          <cell r="L1">
            <v>0.16</v>
          </cell>
        </row>
      </sheetData>
      <sheetData sheetId="15"/>
      <sheetData sheetId="16"/>
      <sheetData sheetId="17">
        <row r="1">
          <cell r="E1">
            <v>2700404427.2070532</v>
          </cell>
        </row>
      </sheetData>
      <sheetData sheetId="18"/>
      <sheetData sheetId="19"/>
      <sheetData sheetId="20">
        <row r="4">
          <cell r="B4" t="str">
            <v>CALCULO DE CANTIDADES DE OBRA</v>
          </cell>
        </row>
      </sheetData>
      <sheetData sheetId="21"/>
      <sheetData sheetId="22"/>
      <sheetData sheetId="23"/>
      <sheetData sheetId="24"/>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Versión_Final_Telecomun"/>
      <sheetName val="Versión_Final_EAAB"/>
      <sheetName val="Versión_Final_IDU"/>
      <sheetName val="Mano_de_Obra"/>
      <sheetName val="Presupuestos_Daños_IDU"/>
      <sheetName val="Versión_Final_Telecomun1"/>
      <sheetName val="Versión_Final_EAAB1"/>
      <sheetName val="Versión_Final_IDU1"/>
      <sheetName val="Mano_de_Obra1"/>
      <sheetName val="Presupuestos_Daños_IDU1"/>
      <sheetName val="Versión_Final_Telecomun2"/>
      <sheetName val="Versión_Final_EAAB2"/>
      <sheetName val="Versión_Final_IDU2"/>
      <sheetName val="Mano_de_Obra2"/>
      <sheetName val="Presupuestos_Daños_IDU2"/>
      <sheetName val="Versión_Final_Telecomun3"/>
      <sheetName val="Versión_Final_EAAB3"/>
      <sheetName val="Versión_Final_IDU3"/>
      <sheetName val="Mano_de_Obra3"/>
      <sheetName val="Presupuestos_Daños_IDU3"/>
      <sheetName val="Versión_Final_Telecomun4"/>
      <sheetName val="Versión_Final_EAAB4"/>
      <sheetName val="Versión_Final_IDU4"/>
      <sheetName val="Mano_de_Obra4"/>
      <sheetName val="Presupuestos_Daños_IDU4"/>
      <sheetName val="Versión_Final_Telecomun5"/>
      <sheetName val="Versión_Final_EAAB5"/>
      <sheetName val="Versión_Final_IDU5"/>
      <sheetName val="Mano_de_Obra5"/>
      <sheetName val="Presupuestos_Daños_IDU5"/>
      <sheetName val="Versión_Final_Telecomun8"/>
      <sheetName val="Versión_Final_EAAB8"/>
      <sheetName val="Versión_Final_IDU8"/>
      <sheetName val="Mano_de_Obra8"/>
      <sheetName val="Presupuestos_Daños_IDU8"/>
      <sheetName val="Versión_Final_Telecomun6"/>
      <sheetName val="Versión_Final_EAAB6"/>
      <sheetName val="Versión_Final_IDU6"/>
      <sheetName val="Mano_de_Obra6"/>
      <sheetName val="Presupuestos_Daños_IDU6"/>
      <sheetName val="Versión_Final_Telecomun7"/>
      <sheetName val="Versión_Final_EAAB7"/>
      <sheetName val="Versión_Final_IDU7"/>
      <sheetName val="Mano_de_Obra7"/>
      <sheetName val="Presupuestos_Daños_IDU7"/>
      <sheetName val="Versión_Final_Telecomun9"/>
      <sheetName val="Versión_Final_EAAB9"/>
      <sheetName val="Versión_Final_IDU9"/>
      <sheetName val="Mano_de_Obra9"/>
      <sheetName val="Presupuestos_Daños_IDU9"/>
      <sheetName val="Versión_Final_Telecomun11"/>
      <sheetName val="Versión_Final_EAAB11"/>
      <sheetName val="Versión_Final_IDU11"/>
      <sheetName val="Mano_de_Obra11"/>
      <sheetName val="Presupuestos_Daños_IDU11"/>
      <sheetName val="Versión_Final_Telecomun10"/>
      <sheetName val="Versión_Final_EAAB10"/>
      <sheetName val="Versión_Final_IDU10"/>
      <sheetName val="Mano_de_Obra10"/>
      <sheetName val="Presupuestos_Daños_IDU10"/>
      <sheetName val="9.4"/>
      <sheetName val="5094-2003"/>
      <sheetName val="resumen"/>
      <sheetName val="A. P. U."/>
      <sheetName val="Ppto completo"/>
      <sheetName val="apu"/>
      <sheetName val="Auxiliares"/>
      <sheetName val="CO Teatro"/>
      <sheetName val="Insumos"/>
      <sheetName val="AIU"/>
      <sheetName val="9_4"/>
      <sheetName val="9_45"/>
      <sheetName val="9_41"/>
      <sheetName val="9_44"/>
      <sheetName val="9_42"/>
      <sheetName val="9_43"/>
      <sheetName val="9_46"/>
      <sheetName val="9_47"/>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sheetData sheetId="82"/>
      <sheetData sheetId="83"/>
      <sheetData sheetId="84"/>
      <sheetData sheetId="85"/>
      <sheetData sheetId="86"/>
      <sheetData sheetId="87"/>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 val="Lista_de_actividades_Zona_1_"/>
      <sheetName val="Cuadro_Comparativo_"/>
      <sheetName val="A_P_U"/>
      <sheetName val="Lista_de_actividades_Zona_1_1"/>
      <sheetName val="Cuadro_Comparativo_1"/>
      <sheetName val="A_P_U1"/>
      <sheetName val="Lista_de_actividades_Zona_1_2"/>
      <sheetName val="Cuadro_Comparativo_2"/>
      <sheetName val="A_P_U2"/>
      <sheetName val="Lista_de_actividades_Zona_1_3"/>
      <sheetName val="Cuadro_Comparativo_3"/>
      <sheetName val="A_P_U3"/>
      <sheetName val="Lista_de_actividades_Zona_1_4"/>
      <sheetName val="Cuadro_Comparativo_4"/>
      <sheetName val="A_P_U4"/>
      <sheetName val="Lista_de_actividades_Zona_1_5"/>
      <sheetName val="Cuadro_Comparativo_5"/>
      <sheetName val="A_P_U5"/>
      <sheetName val="Lista_de_actividades_Zona_1_8"/>
      <sheetName val="Cuadro_Comparativo_8"/>
      <sheetName val="A_P_U8"/>
      <sheetName val="Lista_de_actividades_Zona_1_6"/>
      <sheetName val="Cuadro_Comparativo_6"/>
      <sheetName val="A_P_U6"/>
      <sheetName val="Lista_de_actividades_Zona_1_7"/>
      <sheetName val="Cuadro_Comparativo_7"/>
      <sheetName val="A_P_U7"/>
      <sheetName val="Lista_de_actividades_Zona_1_9"/>
      <sheetName val="Cuadro_Comparativo_9"/>
      <sheetName val="A_P_U9"/>
      <sheetName val="Circuitos"/>
      <sheetName val="Paral. 1"/>
      <sheetName val="Paral. 2"/>
      <sheetName val="Paral. 3"/>
      <sheetName val="Paral.4"/>
      <sheetName val="Coloc. e Interc. Tapones"/>
      <sheetName val="Cambio de Valv."/>
      <sheetName val="Interc de Hidr."/>
      <sheetName val="Interc.tapones"/>
      <sheetName val="Interc.válv."/>
      <sheetName val="Varios."/>
    </sheetNames>
    <sheetDataSet>
      <sheetData sheetId="0" refreshError="1"/>
      <sheetData sheetId="1" refreshError="1"/>
      <sheetData sheetId="2" refreshError="1"/>
      <sheetData sheetId="3" refreshError="1"/>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 sheetId="32" refreshError="1"/>
      <sheetData sheetId="33" refreshError="1"/>
      <sheetData sheetId="34"/>
      <sheetData sheetId="35"/>
      <sheetData sheetId="36"/>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s>
    <sheetDataSet>
      <sheetData sheetId="0"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Presupuesto"/>
      <sheetName val="AUI"/>
      <sheetName val="Cronograma"/>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sheetName val="Cercha"/>
      <sheetName val="PRECIOS (2)"/>
      <sheetName val="Base 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 val="RESUMEN_PRESUPUESTO"/>
      <sheetName val="Consolidado_T2"/>
      <sheetName val="Mz_Av_15-Tv_18_-_CN"/>
      <sheetName val="Mz_Tv_18-Tv_19_-_CN"/>
      <sheetName val="Mz_Tv_19-Tv_19A_-_CN"/>
      <sheetName val="Mz_Tv_19A-Tv_20_-_CN"/>
      <sheetName val="Mz_Tv_20-Tv_21_-_CN"/>
      <sheetName val="Mz_Tv_21-Av_19_-_CN"/>
      <sheetName val="Mz_Av_15-Tv_17_-_CS"/>
      <sheetName val="Mz_Tv_17-Tv_19_-_CS"/>
      <sheetName val="Mz_Tv_19-Tv_19A_-_CS"/>
      <sheetName val="Mz_Tv_19A-Tv_20_-_CS"/>
      <sheetName val="Mz_Tv_20-Tv_23_-_CS"/>
      <sheetName val="Mz_Tv_23-Av_19_-_CS"/>
      <sheetName val="Separador_T2"/>
      <sheetName val="TARIFAS_MINTRANSPORTE"/>
      <sheetName val="TARIFAS_DIARIO_OF_2007"/>
      <sheetName val="COSTOS_OFICINA"/>
      <sheetName val="COSTOS_CAMPAMENTO"/>
      <sheetName val="RESUMEN_PRESUPUESTO1"/>
      <sheetName val="Consolidado_T21"/>
      <sheetName val="Mz_Av_15-Tv_18_-_CN1"/>
      <sheetName val="Mz_Tv_18-Tv_19_-_CN1"/>
      <sheetName val="Mz_Tv_19-Tv_19A_-_CN1"/>
      <sheetName val="Mz_Tv_19A-Tv_20_-_CN1"/>
      <sheetName val="Mz_Tv_20-Tv_21_-_CN1"/>
      <sheetName val="Mz_Tv_21-Av_19_-_CN1"/>
      <sheetName val="Mz_Av_15-Tv_17_-_CS1"/>
      <sheetName val="Mz_Tv_17-Tv_19_-_CS1"/>
      <sheetName val="Mz_Tv_19-Tv_19A_-_CS1"/>
      <sheetName val="Mz_Tv_19A-Tv_20_-_CS1"/>
      <sheetName val="Mz_Tv_20-Tv_23_-_CS1"/>
      <sheetName val="Mz_Tv_23-Av_19_-_CS1"/>
      <sheetName val="Separador_T21"/>
      <sheetName val="TARIFAS_MINTRANSPORTE1"/>
      <sheetName val="TARIFAS_DIARIO_OF_20071"/>
      <sheetName val="COSTOS_OFICINA1"/>
      <sheetName val="COSTOS_CAMPAMENTO1"/>
      <sheetName val="RESUMEN_PRESUPUESTO2"/>
      <sheetName val="Consolidado_T22"/>
      <sheetName val="Mz_Av_15-Tv_18_-_CN2"/>
      <sheetName val="Mz_Tv_18-Tv_19_-_CN2"/>
      <sheetName val="Mz_Tv_19-Tv_19A_-_CN2"/>
      <sheetName val="Mz_Tv_19A-Tv_20_-_CN2"/>
      <sheetName val="Mz_Tv_20-Tv_21_-_CN2"/>
      <sheetName val="Mz_Tv_21-Av_19_-_CN2"/>
      <sheetName val="Mz_Av_15-Tv_17_-_CS2"/>
      <sheetName val="Mz_Tv_17-Tv_19_-_CS2"/>
      <sheetName val="Mz_Tv_19-Tv_19A_-_CS2"/>
      <sheetName val="Mz_Tv_19A-Tv_20_-_CS2"/>
      <sheetName val="Mz_Tv_20-Tv_23_-_CS2"/>
      <sheetName val="Mz_Tv_23-Av_19_-_CS2"/>
      <sheetName val="Separador_T22"/>
      <sheetName val="TARIFAS_MINTRANSPORTE2"/>
      <sheetName val="TARIFAS_DIARIO_OF_20072"/>
      <sheetName val="COSTOS_OFICINA2"/>
      <sheetName val="COSTOS_CAMPAMENTO2"/>
      <sheetName val="RESUMEN_PRESUPUESTO3"/>
      <sheetName val="Consolidado_T23"/>
      <sheetName val="Mz_Av_15-Tv_18_-_CN3"/>
      <sheetName val="Mz_Tv_18-Tv_19_-_CN3"/>
      <sheetName val="Mz_Tv_19-Tv_19A_-_CN3"/>
      <sheetName val="Mz_Tv_19A-Tv_20_-_CN3"/>
      <sheetName val="Mz_Tv_20-Tv_21_-_CN3"/>
      <sheetName val="Mz_Tv_21-Av_19_-_CN3"/>
      <sheetName val="Mz_Av_15-Tv_17_-_CS3"/>
      <sheetName val="Mz_Tv_17-Tv_19_-_CS3"/>
      <sheetName val="Mz_Tv_19-Tv_19A_-_CS3"/>
      <sheetName val="Mz_Tv_19A-Tv_20_-_CS3"/>
      <sheetName val="Mz_Tv_20-Tv_23_-_CS3"/>
      <sheetName val="Mz_Tv_23-Av_19_-_CS3"/>
      <sheetName val="Separador_T23"/>
      <sheetName val="TARIFAS_MINTRANSPORTE3"/>
      <sheetName val="TARIFAS_DIARIO_OF_20073"/>
      <sheetName val="COSTOS_OFICINA3"/>
      <sheetName val="COSTOS_CAMPAMENTO3"/>
      <sheetName val="RESUMEN_PRESUPUESTO4"/>
      <sheetName val="Consolidado_T24"/>
      <sheetName val="Mz_Av_15-Tv_18_-_CN4"/>
      <sheetName val="Mz_Tv_18-Tv_19_-_CN4"/>
      <sheetName val="Mz_Tv_19-Tv_19A_-_CN4"/>
      <sheetName val="Mz_Tv_19A-Tv_20_-_CN4"/>
      <sheetName val="Mz_Tv_20-Tv_21_-_CN4"/>
      <sheetName val="Mz_Tv_21-Av_19_-_CN4"/>
      <sheetName val="Mz_Av_15-Tv_17_-_CS4"/>
      <sheetName val="Mz_Tv_17-Tv_19_-_CS4"/>
      <sheetName val="Mz_Tv_19-Tv_19A_-_CS4"/>
      <sheetName val="Mz_Tv_19A-Tv_20_-_CS4"/>
      <sheetName val="Mz_Tv_20-Tv_23_-_CS4"/>
      <sheetName val="Mz_Tv_23-Av_19_-_CS4"/>
      <sheetName val="Separador_T24"/>
      <sheetName val="TARIFAS_MINTRANSPORTE4"/>
      <sheetName val="TARIFAS_DIARIO_OF_20074"/>
      <sheetName val="COSTOS_OFICINA4"/>
      <sheetName val="COSTOS_CAMPAMENTO4"/>
      <sheetName val="RESUMEN_PRESUPUESTO5"/>
      <sheetName val="Consolidado_T25"/>
      <sheetName val="Mz_Av_15-Tv_18_-_CN5"/>
      <sheetName val="Mz_Tv_18-Tv_19_-_CN5"/>
      <sheetName val="Mz_Tv_19-Tv_19A_-_CN5"/>
      <sheetName val="Mz_Tv_19A-Tv_20_-_CN5"/>
      <sheetName val="Mz_Tv_20-Tv_21_-_CN5"/>
      <sheetName val="Mz_Tv_21-Av_19_-_CN5"/>
      <sheetName val="Mz_Av_15-Tv_17_-_CS5"/>
      <sheetName val="Mz_Tv_17-Tv_19_-_CS5"/>
      <sheetName val="Mz_Tv_19-Tv_19A_-_CS5"/>
      <sheetName val="Mz_Tv_19A-Tv_20_-_CS5"/>
      <sheetName val="Mz_Tv_20-Tv_23_-_CS5"/>
      <sheetName val="Mz_Tv_23-Av_19_-_CS5"/>
      <sheetName val="Separador_T25"/>
      <sheetName val="TARIFAS_MINTRANSPORTE5"/>
      <sheetName val="TARIFAS_DIARIO_OF_20075"/>
      <sheetName val="COSTOS_OFICINA5"/>
      <sheetName val="COSTOS_CAMPAMENTO5"/>
      <sheetName val="RESUMEN_PRESUPUESTO8"/>
      <sheetName val="Consolidado_T28"/>
      <sheetName val="Mz_Av_15-Tv_18_-_CN8"/>
      <sheetName val="Mz_Tv_18-Tv_19_-_CN8"/>
      <sheetName val="Mz_Tv_19-Tv_19A_-_CN8"/>
      <sheetName val="Mz_Tv_19A-Tv_20_-_CN8"/>
      <sheetName val="Mz_Tv_20-Tv_21_-_CN8"/>
      <sheetName val="Mz_Tv_21-Av_19_-_CN8"/>
      <sheetName val="Mz_Av_15-Tv_17_-_CS8"/>
      <sheetName val="Mz_Tv_17-Tv_19_-_CS8"/>
      <sheetName val="Mz_Tv_19-Tv_19A_-_CS8"/>
      <sheetName val="Mz_Tv_19A-Tv_20_-_CS8"/>
      <sheetName val="Mz_Tv_20-Tv_23_-_CS8"/>
      <sheetName val="Mz_Tv_23-Av_19_-_CS8"/>
      <sheetName val="Separador_T28"/>
      <sheetName val="TARIFAS_MINTRANSPORTE8"/>
      <sheetName val="TARIFAS_DIARIO_OF_20078"/>
      <sheetName val="COSTOS_OFICINA8"/>
      <sheetName val="COSTOS_CAMPAMENTO8"/>
      <sheetName val="RESUMEN_PRESUPUESTO6"/>
      <sheetName val="Consolidado_T26"/>
      <sheetName val="Mz_Av_15-Tv_18_-_CN6"/>
      <sheetName val="Mz_Tv_18-Tv_19_-_CN6"/>
      <sheetName val="Mz_Tv_19-Tv_19A_-_CN6"/>
      <sheetName val="Mz_Tv_19A-Tv_20_-_CN6"/>
      <sheetName val="Mz_Tv_20-Tv_21_-_CN6"/>
      <sheetName val="Mz_Tv_21-Av_19_-_CN6"/>
      <sheetName val="Mz_Av_15-Tv_17_-_CS6"/>
      <sheetName val="Mz_Tv_17-Tv_19_-_CS6"/>
      <sheetName val="Mz_Tv_19-Tv_19A_-_CS6"/>
      <sheetName val="Mz_Tv_19A-Tv_20_-_CS6"/>
      <sheetName val="Mz_Tv_20-Tv_23_-_CS6"/>
      <sheetName val="Mz_Tv_23-Av_19_-_CS6"/>
      <sheetName val="Separador_T26"/>
      <sheetName val="TARIFAS_MINTRANSPORTE6"/>
      <sheetName val="TARIFAS_DIARIO_OF_20076"/>
      <sheetName val="COSTOS_OFICINA6"/>
      <sheetName val="COSTOS_CAMPAMENTO6"/>
      <sheetName val="RESUMEN_PRESUPUESTO7"/>
      <sheetName val="Consolidado_T27"/>
      <sheetName val="Mz_Av_15-Tv_18_-_CN7"/>
      <sheetName val="Mz_Tv_18-Tv_19_-_CN7"/>
      <sheetName val="Mz_Tv_19-Tv_19A_-_CN7"/>
      <sheetName val="Mz_Tv_19A-Tv_20_-_CN7"/>
      <sheetName val="Mz_Tv_20-Tv_21_-_CN7"/>
      <sheetName val="Mz_Tv_21-Av_19_-_CN7"/>
      <sheetName val="Mz_Av_15-Tv_17_-_CS7"/>
      <sheetName val="Mz_Tv_17-Tv_19_-_CS7"/>
      <sheetName val="Mz_Tv_19-Tv_19A_-_CS7"/>
      <sheetName val="Mz_Tv_19A-Tv_20_-_CS7"/>
      <sheetName val="Mz_Tv_20-Tv_23_-_CS7"/>
      <sheetName val="Mz_Tv_23-Av_19_-_CS7"/>
      <sheetName val="Separador_T27"/>
      <sheetName val="TARIFAS_MINTRANSPORTE7"/>
      <sheetName val="TARIFAS_DIARIO_OF_20077"/>
      <sheetName val="COSTOS_OFICINA7"/>
      <sheetName val="COSTOS_CAMPAMENTO7"/>
      <sheetName val="RESUMEN_PRESUPUESTO9"/>
      <sheetName val="Consolidado_T29"/>
      <sheetName val="Mz_Av_15-Tv_18_-_CN9"/>
      <sheetName val="Mz_Tv_18-Tv_19_-_CN9"/>
      <sheetName val="Mz_Tv_19-Tv_19A_-_CN9"/>
      <sheetName val="Mz_Tv_19A-Tv_20_-_CN9"/>
      <sheetName val="Mz_Tv_20-Tv_21_-_CN9"/>
      <sheetName val="Mz_Tv_21-Av_19_-_CN9"/>
      <sheetName val="Mz_Av_15-Tv_17_-_CS9"/>
      <sheetName val="Mz_Tv_17-Tv_19_-_CS9"/>
      <sheetName val="Mz_Tv_19-Tv_19A_-_CS9"/>
      <sheetName val="Mz_Tv_19A-Tv_20_-_CS9"/>
      <sheetName val="Mz_Tv_20-Tv_23_-_CS9"/>
      <sheetName val="Mz_Tv_23-Av_19_-_CS9"/>
      <sheetName val="Separador_T29"/>
      <sheetName val="TARIFAS_MINTRANSPORTE9"/>
      <sheetName val="TARIFAS_DIARIO_OF_20079"/>
      <sheetName val="COSTOS_OFICINA9"/>
      <sheetName val="COSTOS_CAMPAMENTO9"/>
      <sheetName val="RESUMEN_PRESUPUESTO11"/>
      <sheetName val="Consolidado_T211"/>
      <sheetName val="Mz_Av_15-Tv_18_-_CN11"/>
      <sheetName val="Mz_Tv_18-Tv_19_-_CN11"/>
      <sheetName val="Mz_Tv_19-Tv_19A_-_CN11"/>
      <sheetName val="Mz_Tv_19A-Tv_20_-_CN11"/>
      <sheetName val="Mz_Tv_20-Tv_21_-_CN11"/>
      <sheetName val="Mz_Tv_21-Av_19_-_CN11"/>
      <sheetName val="Mz_Av_15-Tv_17_-_CS11"/>
      <sheetName val="Mz_Tv_17-Tv_19_-_CS11"/>
      <sheetName val="Mz_Tv_19-Tv_19A_-_CS11"/>
      <sheetName val="Mz_Tv_19A-Tv_20_-_CS11"/>
      <sheetName val="Mz_Tv_20-Tv_23_-_CS11"/>
      <sheetName val="Mz_Tv_23-Av_19_-_CS11"/>
      <sheetName val="Separador_T211"/>
      <sheetName val="TARIFAS_MINTRANSPORTE11"/>
      <sheetName val="TARIFAS_DIARIO_OF_200711"/>
      <sheetName val="COSTOS_OFICINA11"/>
      <sheetName val="COSTOS_CAMPAMENTO11"/>
      <sheetName val="RESUMEN_PRESUPUESTO10"/>
      <sheetName val="Consolidado_T210"/>
      <sheetName val="Mz_Av_15-Tv_18_-_CN10"/>
      <sheetName val="Mz_Tv_18-Tv_19_-_CN10"/>
      <sheetName val="Mz_Tv_19-Tv_19A_-_CN10"/>
      <sheetName val="Mz_Tv_19A-Tv_20_-_CN10"/>
      <sheetName val="Mz_Tv_20-Tv_21_-_CN10"/>
      <sheetName val="Mz_Tv_21-Av_19_-_CN10"/>
      <sheetName val="Mz_Av_15-Tv_17_-_CS10"/>
      <sheetName val="Mz_Tv_17-Tv_19_-_CS10"/>
      <sheetName val="Mz_Tv_19-Tv_19A_-_CS10"/>
      <sheetName val="Mz_Tv_19A-Tv_20_-_CS10"/>
      <sheetName val="Mz_Tv_20-Tv_23_-_CS10"/>
      <sheetName val="Mz_Tv_23-Av_19_-_CS10"/>
      <sheetName val="Separador_T210"/>
      <sheetName val="TARIFAS_MINTRANSPORTE10"/>
      <sheetName val="TARIFAS_DIARIO_OF_200710"/>
      <sheetName val="COSTOS_OFICINA10"/>
      <sheetName val="COSTOS_CAMPAMENTO10"/>
      <sheetName val="Base Datos"/>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3">
          <cell r="B3" t="str">
            <v>INARE LTDA</v>
          </cell>
        </row>
        <row r="6">
          <cell r="B6" t="str">
            <v>ARQ. SANDRA CAICEDO</v>
          </cell>
        </row>
      </sheetData>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materiales"/>
      <sheetName val="ManoObra"/>
      <sheetName val="Distanc"/>
    </sheetNames>
    <sheetDataSet>
      <sheetData sheetId="0" refreshError="1"/>
      <sheetData sheetId="1" refreshError="1"/>
      <sheetData sheetId="2" refreshError="1"/>
      <sheetData sheetId="3"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 val="TarifaMT_(2)"/>
      <sheetName val="ANALISIS_PREV"/>
      <sheetName val="CONSULTORÍA_"/>
      <sheetName val="INTERVE_"/>
      <sheetName val="SUPERV_"/>
      <sheetName val="COSTEO_TOTAL_OBRA"/>
      <sheetName val="Componente_minimo"/>
      <sheetName val="Ensayos_Laboratorio"/>
      <sheetName val="proyecc_desembol"/>
      <sheetName val="PLAN_CAR-"/>
      <sheetName val="F_M__VIA"/>
      <sheetName val="TABLA_Honorarios"/>
      <sheetName val="TarifaMT_(2)1"/>
      <sheetName val="ANALISIS_PREV1"/>
      <sheetName val="CONSULTORÍA_1"/>
      <sheetName val="INTERVE_1"/>
      <sheetName val="SUPERV_1"/>
      <sheetName val="COSTEO_TOTAL_OBRA1"/>
      <sheetName val="Componente_minimo1"/>
      <sheetName val="Ensayos_Laboratorio1"/>
      <sheetName val="proyecc_desembol1"/>
      <sheetName val="PLAN_CAR-1"/>
      <sheetName val="F_M__VIA1"/>
      <sheetName val="TABLA_Honorarios1"/>
      <sheetName val="TarifaMT_(2)2"/>
      <sheetName val="ANALISIS_PREV2"/>
      <sheetName val="CONSULTORÍA_2"/>
      <sheetName val="INTERVE_2"/>
      <sheetName val="SUPERV_2"/>
      <sheetName val="COSTEO_TOTAL_OBRA2"/>
      <sheetName val="Componente_minimo2"/>
      <sheetName val="Ensayos_Laboratorio2"/>
      <sheetName val="proyecc_desembol2"/>
      <sheetName val="PLAN_CAR-2"/>
      <sheetName val="F_M__VIA2"/>
      <sheetName val="TABLA_Honorarios2"/>
      <sheetName val="TarifaMT_(2)3"/>
      <sheetName val="ANALISIS_PREV3"/>
      <sheetName val="CONSULTORÍA_3"/>
      <sheetName val="INTERVE_3"/>
      <sheetName val="SUPERV_3"/>
      <sheetName val="COSTEO_TOTAL_OBRA3"/>
      <sheetName val="Componente_minimo3"/>
      <sheetName val="Ensayos_Laboratorio3"/>
      <sheetName val="proyecc_desembol3"/>
      <sheetName val="PLAN_CAR-3"/>
      <sheetName val="F_M__VIA3"/>
      <sheetName val="TABLA_Honorarios3"/>
      <sheetName val="TarifaMT_(2)4"/>
      <sheetName val="ANALISIS_PREV4"/>
      <sheetName val="CONSULTORÍA_4"/>
      <sheetName val="INTERVE_4"/>
      <sheetName val="SUPERV_4"/>
      <sheetName val="COSTEO_TOTAL_OBRA4"/>
      <sheetName val="Componente_minimo4"/>
      <sheetName val="Ensayos_Laboratorio4"/>
      <sheetName val="proyecc_desembol4"/>
      <sheetName val="PLAN_CAR-4"/>
      <sheetName val="F_M__VIA4"/>
      <sheetName val="TABLA_Honorarios4"/>
      <sheetName val="TarifaMT_(2)5"/>
      <sheetName val="ANALISIS_PREV5"/>
      <sheetName val="CONSULTORÍA_5"/>
      <sheetName val="INTERVE_5"/>
      <sheetName val="SUPERV_5"/>
      <sheetName val="COSTEO_TOTAL_OBRA5"/>
      <sheetName val="Componente_minimo5"/>
      <sheetName val="Ensayos_Laboratorio5"/>
      <sheetName val="proyecc_desembol5"/>
      <sheetName val="PLAN_CAR-5"/>
      <sheetName val="F_M__VIA5"/>
      <sheetName val="TABLA_Honorarios5"/>
      <sheetName val="TarifaMT_(2)8"/>
      <sheetName val="ANALISIS_PREV8"/>
      <sheetName val="CONSULTORÍA_8"/>
      <sheetName val="INTERVE_8"/>
      <sheetName val="SUPERV_8"/>
      <sheetName val="COSTEO_TOTAL_OBRA8"/>
      <sheetName val="Componente_minimo8"/>
      <sheetName val="Ensayos_Laboratorio8"/>
      <sheetName val="proyecc_desembol8"/>
      <sheetName val="PLAN_CAR-8"/>
      <sheetName val="F_M__VIA8"/>
      <sheetName val="TABLA_Honorarios8"/>
      <sheetName val="TarifaMT_(2)6"/>
      <sheetName val="ANALISIS_PREV6"/>
      <sheetName val="CONSULTORÍA_6"/>
      <sheetName val="INTERVE_6"/>
      <sheetName val="SUPERV_6"/>
      <sheetName val="COSTEO_TOTAL_OBRA6"/>
      <sheetName val="Componente_minimo6"/>
      <sheetName val="Ensayos_Laboratorio6"/>
      <sheetName val="proyecc_desembol6"/>
      <sheetName val="PLAN_CAR-6"/>
      <sheetName val="F_M__VIA6"/>
      <sheetName val="TABLA_Honorarios6"/>
      <sheetName val="TarifaMT_(2)7"/>
      <sheetName val="ANALISIS_PREV7"/>
      <sheetName val="CONSULTORÍA_7"/>
      <sheetName val="INTERVE_7"/>
      <sheetName val="SUPERV_7"/>
      <sheetName val="COSTEO_TOTAL_OBRA7"/>
      <sheetName val="Componente_minimo7"/>
      <sheetName val="Ensayos_Laboratorio7"/>
      <sheetName val="proyecc_desembol7"/>
      <sheetName val="PLAN_CAR-7"/>
      <sheetName val="F_M__VIA7"/>
      <sheetName val="TABLA_Honorarios7"/>
      <sheetName val="TarifaMT_(2)9"/>
      <sheetName val="ANALISIS_PREV9"/>
      <sheetName val="CONSULTORÍA_9"/>
      <sheetName val="INTERVE_9"/>
      <sheetName val="SUPERV_9"/>
      <sheetName val="COSTEO_TOTAL_OBRA9"/>
      <sheetName val="Componente_minimo9"/>
      <sheetName val="Ensayos_Laboratorio9"/>
      <sheetName val="proyecc_desembol9"/>
      <sheetName val="PLAN_CAR-9"/>
      <sheetName val="F_M__VIA9"/>
      <sheetName val="TABLA_Honorarios9"/>
      <sheetName val="TarifaMT_(2)10"/>
      <sheetName val="ANALISIS_PREV10"/>
      <sheetName val="CONSULTORÍA_10"/>
      <sheetName val="INTERVE_10"/>
      <sheetName val="SUPERV_10"/>
      <sheetName val="COSTEO_TOTAL_OBRA10"/>
      <sheetName val="Componente_minimo10"/>
      <sheetName val="Ensayos_Laboratorio10"/>
      <sheetName val="proyecc_desembol10"/>
      <sheetName val="PLAN_CAR-10"/>
      <sheetName val="F_M__VIA10"/>
      <sheetName val="TABLA_Honorarios10"/>
      <sheetName val="Equipo"/>
      <sheetName val="materiales"/>
      <sheetName val="ManoObra"/>
      <sheetName val="Distanc"/>
      <sheetName val="PORTADA"/>
      <sheetName val="macro"/>
      <sheetName val="OCUPACIÓN"/>
      <sheetName val="Hoja2"/>
      <sheetName val="Datos"/>
    </sheetNames>
    <sheetDataSet>
      <sheetData sheetId="0" refreshError="1"/>
      <sheetData sheetId="1" refreshError="1"/>
      <sheetData sheetId="2" refreshError="1"/>
      <sheetData sheetId="3" refreshError="1"/>
      <sheetData sheetId="4"/>
      <sheetData sheetId="5">
        <row r="11">
          <cell r="G11">
            <v>1162336.32</v>
          </cell>
        </row>
      </sheetData>
      <sheetData sheetId="6">
        <row r="46">
          <cell r="H46">
            <v>6658336</v>
          </cell>
        </row>
      </sheetData>
      <sheetData sheetId="7">
        <row r="27">
          <cell r="G27">
            <v>8058900</v>
          </cell>
        </row>
      </sheetData>
      <sheetData sheetId="8">
        <row r="15">
          <cell r="G15">
            <v>6072000</v>
          </cell>
        </row>
      </sheetData>
      <sheetData sheetId="9" refreshError="1"/>
      <sheetData sheetId="10">
        <row r="7">
          <cell r="D7" t="e">
            <v>#REF!</v>
          </cell>
        </row>
        <row r="33">
          <cell r="D33" t="e">
            <v>#REF!</v>
          </cell>
        </row>
        <row r="37">
          <cell r="D37" t="e">
            <v>#REF!</v>
          </cell>
        </row>
      </sheetData>
      <sheetData sheetId="11" refreshError="1"/>
      <sheetData sheetId="12" refreshError="1"/>
      <sheetData sheetId="13" refreshError="1"/>
      <sheetData sheetId="14" refreshError="1"/>
      <sheetData sheetId="15" refreshError="1"/>
      <sheetData sheetId="16">
        <row r="23">
          <cell r="D23">
            <v>7264602</v>
          </cell>
        </row>
      </sheetData>
      <sheetData sheetId="17" refreshError="1"/>
      <sheetData sheetId="18" refreshError="1"/>
      <sheetData sheetId="19"/>
      <sheetData sheetId="20">
        <row r="11">
          <cell r="G11">
            <v>1162336.32</v>
          </cell>
        </row>
      </sheetData>
      <sheetData sheetId="21">
        <row r="46">
          <cell r="H46">
            <v>6658336</v>
          </cell>
        </row>
      </sheetData>
      <sheetData sheetId="22">
        <row r="27">
          <cell r="G27">
            <v>8058900</v>
          </cell>
        </row>
      </sheetData>
      <sheetData sheetId="23">
        <row r="15">
          <cell r="G15">
            <v>6072000</v>
          </cell>
        </row>
      </sheetData>
      <sheetData sheetId="24">
        <row r="7">
          <cell r="D7" t="e">
            <v>#REF!</v>
          </cell>
        </row>
      </sheetData>
      <sheetData sheetId="25"/>
      <sheetData sheetId="26"/>
      <sheetData sheetId="27"/>
      <sheetData sheetId="28">
        <row r="23">
          <cell r="D23">
            <v>7264602</v>
          </cell>
        </row>
      </sheetData>
      <sheetData sheetId="29"/>
      <sheetData sheetId="30"/>
      <sheetData sheetId="31"/>
      <sheetData sheetId="32">
        <row r="11">
          <cell r="G11">
            <v>1162336.32</v>
          </cell>
        </row>
      </sheetData>
      <sheetData sheetId="33">
        <row r="46">
          <cell r="H46">
            <v>6658336</v>
          </cell>
        </row>
      </sheetData>
      <sheetData sheetId="34">
        <row r="27">
          <cell r="G27">
            <v>8058900</v>
          </cell>
        </row>
      </sheetData>
      <sheetData sheetId="35">
        <row r="15">
          <cell r="G15">
            <v>6072000</v>
          </cell>
        </row>
      </sheetData>
      <sheetData sheetId="36">
        <row r="7">
          <cell r="D7" t="e">
            <v>#REF!</v>
          </cell>
        </row>
      </sheetData>
      <sheetData sheetId="37"/>
      <sheetData sheetId="38"/>
      <sheetData sheetId="39"/>
      <sheetData sheetId="40">
        <row r="23">
          <cell r="D23">
            <v>7264602</v>
          </cell>
        </row>
      </sheetData>
      <sheetData sheetId="41"/>
      <sheetData sheetId="42"/>
      <sheetData sheetId="43"/>
      <sheetData sheetId="44">
        <row r="11">
          <cell r="G11">
            <v>1162336.32</v>
          </cell>
        </row>
      </sheetData>
      <sheetData sheetId="45">
        <row r="46">
          <cell r="H46">
            <v>6658336</v>
          </cell>
        </row>
      </sheetData>
      <sheetData sheetId="46">
        <row r="27">
          <cell r="G27">
            <v>8058900</v>
          </cell>
        </row>
      </sheetData>
      <sheetData sheetId="47">
        <row r="15">
          <cell r="G15">
            <v>6072000</v>
          </cell>
        </row>
      </sheetData>
      <sheetData sheetId="48">
        <row r="7">
          <cell r="D7" t="e">
            <v>#REF!</v>
          </cell>
        </row>
      </sheetData>
      <sheetData sheetId="49"/>
      <sheetData sheetId="50"/>
      <sheetData sheetId="51"/>
      <sheetData sheetId="52">
        <row r="23">
          <cell r="D23">
            <v>7264602</v>
          </cell>
        </row>
      </sheetData>
      <sheetData sheetId="53"/>
      <sheetData sheetId="54"/>
      <sheetData sheetId="55"/>
      <sheetData sheetId="56">
        <row r="11">
          <cell r="G11">
            <v>1162336.32</v>
          </cell>
        </row>
      </sheetData>
      <sheetData sheetId="57">
        <row r="46">
          <cell r="H46">
            <v>6658336</v>
          </cell>
        </row>
      </sheetData>
      <sheetData sheetId="58">
        <row r="27">
          <cell r="G27">
            <v>8058900</v>
          </cell>
        </row>
      </sheetData>
      <sheetData sheetId="59">
        <row r="15">
          <cell r="G15">
            <v>6072000</v>
          </cell>
        </row>
      </sheetData>
      <sheetData sheetId="60">
        <row r="7">
          <cell r="D7" t="e">
            <v>#REF!</v>
          </cell>
        </row>
      </sheetData>
      <sheetData sheetId="61"/>
      <sheetData sheetId="62"/>
      <sheetData sheetId="63"/>
      <sheetData sheetId="64">
        <row r="23">
          <cell r="D23">
            <v>7264602</v>
          </cell>
        </row>
      </sheetData>
      <sheetData sheetId="65"/>
      <sheetData sheetId="66"/>
      <sheetData sheetId="67"/>
      <sheetData sheetId="68">
        <row r="11">
          <cell r="G11">
            <v>1162336.32</v>
          </cell>
        </row>
      </sheetData>
      <sheetData sheetId="69">
        <row r="46">
          <cell r="H46">
            <v>6658336</v>
          </cell>
        </row>
      </sheetData>
      <sheetData sheetId="70">
        <row r="27">
          <cell r="G27">
            <v>8058900</v>
          </cell>
        </row>
      </sheetData>
      <sheetData sheetId="71">
        <row r="15">
          <cell r="G15">
            <v>6072000</v>
          </cell>
        </row>
      </sheetData>
      <sheetData sheetId="72">
        <row r="7">
          <cell r="D7" t="e">
            <v>#REF!</v>
          </cell>
        </row>
      </sheetData>
      <sheetData sheetId="73"/>
      <sheetData sheetId="74"/>
      <sheetData sheetId="75"/>
      <sheetData sheetId="76">
        <row r="23">
          <cell r="D23">
            <v>7264602</v>
          </cell>
        </row>
      </sheetData>
      <sheetData sheetId="77"/>
      <sheetData sheetId="78"/>
      <sheetData sheetId="79"/>
      <sheetData sheetId="80">
        <row r="11">
          <cell r="G11">
            <v>1162336.32</v>
          </cell>
        </row>
      </sheetData>
      <sheetData sheetId="81">
        <row r="46">
          <cell r="H46">
            <v>6658336</v>
          </cell>
        </row>
      </sheetData>
      <sheetData sheetId="82">
        <row r="27">
          <cell r="G27">
            <v>8058900</v>
          </cell>
        </row>
      </sheetData>
      <sheetData sheetId="83">
        <row r="15">
          <cell r="G15">
            <v>6072000</v>
          </cell>
        </row>
      </sheetData>
      <sheetData sheetId="84">
        <row r="7">
          <cell r="D7" t="e">
            <v>#REF!</v>
          </cell>
        </row>
      </sheetData>
      <sheetData sheetId="85"/>
      <sheetData sheetId="86"/>
      <sheetData sheetId="87"/>
      <sheetData sheetId="88">
        <row r="23">
          <cell r="D23">
            <v>7264602</v>
          </cell>
        </row>
      </sheetData>
      <sheetData sheetId="89"/>
      <sheetData sheetId="90"/>
      <sheetData sheetId="91"/>
      <sheetData sheetId="92">
        <row r="11">
          <cell r="G11">
            <v>1162336.32</v>
          </cell>
        </row>
      </sheetData>
      <sheetData sheetId="93">
        <row r="46">
          <cell r="H46">
            <v>6658336</v>
          </cell>
        </row>
      </sheetData>
      <sheetData sheetId="94">
        <row r="27">
          <cell r="G27">
            <v>8058900</v>
          </cell>
        </row>
      </sheetData>
      <sheetData sheetId="95">
        <row r="15">
          <cell r="G15">
            <v>6072000</v>
          </cell>
        </row>
      </sheetData>
      <sheetData sheetId="96">
        <row r="7">
          <cell r="D7" t="e">
            <v>#REF!</v>
          </cell>
        </row>
      </sheetData>
      <sheetData sheetId="97"/>
      <sheetData sheetId="98"/>
      <sheetData sheetId="99"/>
      <sheetData sheetId="100">
        <row r="23">
          <cell r="D23">
            <v>7264602</v>
          </cell>
        </row>
      </sheetData>
      <sheetData sheetId="101"/>
      <sheetData sheetId="102"/>
      <sheetData sheetId="103"/>
      <sheetData sheetId="104">
        <row r="11">
          <cell r="G11">
            <v>1162336.32</v>
          </cell>
        </row>
      </sheetData>
      <sheetData sheetId="105">
        <row r="46">
          <cell r="H46">
            <v>6658336</v>
          </cell>
        </row>
      </sheetData>
      <sheetData sheetId="106">
        <row r="27">
          <cell r="G27">
            <v>8058900</v>
          </cell>
        </row>
      </sheetData>
      <sheetData sheetId="107">
        <row r="15">
          <cell r="G15">
            <v>6072000</v>
          </cell>
        </row>
      </sheetData>
      <sheetData sheetId="108">
        <row r="7">
          <cell r="D7" t="e">
            <v>#REF!</v>
          </cell>
        </row>
      </sheetData>
      <sheetData sheetId="109"/>
      <sheetData sheetId="110"/>
      <sheetData sheetId="111"/>
      <sheetData sheetId="112">
        <row r="23">
          <cell r="D23">
            <v>7264602</v>
          </cell>
        </row>
      </sheetData>
      <sheetData sheetId="113"/>
      <sheetData sheetId="114"/>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sheetData sheetId="128">
        <row r="11">
          <cell r="G11">
            <v>1162336.32</v>
          </cell>
        </row>
      </sheetData>
      <sheetData sheetId="129">
        <row r="46">
          <cell r="H46">
            <v>6658336</v>
          </cell>
        </row>
      </sheetData>
      <sheetData sheetId="130">
        <row r="27">
          <cell r="G27">
            <v>8058900</v>
          </cell>
        </row>
      </sheetData>
      <sheetData sheetId="131">
        <row r="15">
          <cell r="G15">
            <v>6072000</v>
          </cell>
        </row>
      </sheetData>
      <sheetData sheetId="132">
        <row r="7">
          <cell r="D7" t="e">
            <v>#REF!</v>
          </cell>
        </row>
      </sheetData>
      <sheetData sheetId="133"/>
      <sheetData sheetId="134"/>
      <sheetData sheetId="135"/>
      <sheetData sheetId="136">
        <row r="23">
          <cell r="D23">
            <v>7264602</v>
          </cell>
        </row>
      </sheetData>
      <sheetData sheetId="137"/>
      <sheetData sheetId="138"/>
      <sheetData sheetId="139"/>
      <sheetData sheetId="140">
        <row r="11">
          <cell r="G11">
            <v>1162336.32</v>
          </cell>
        </row>
      </sheetData>
      <sheetData sheetId="141">
        <row r="46">
          <cell r="H46">
            <v>6658336</v>
          </cell>
        </row>
      </sheetData>
      <sheetData sheetId="142">
        <row r="27">
          <cell r="G27">
            <v>8058900</v>
          </cell>
        </row>
      </sheetData>
      <sheetData sheetId="143">
        <row r="15">
          <cell r="G15">
            <v>6072000</v>
          </cell>
        </row>
      </sheetData>
      <sheetData sheetId="144">
        <row r="7">
          <cell r="D7" t="e">
            <v>#REF!</v>
          </cell>
        </row>
      </sheetData>
      <sheetData sheetId="145"/>
      <sheetData sheetId="146"/>
      <sheetData sheetId="147"/>
      <sheetData sheetId="148">
        <row r="23">
          <cell r="D23">
            <v>7264602</v>
          </cell>
        </row>
      </sheetData>
      <sheetData sheetId="149"/>
      <sheetData sheetId="150"/>
      <sheetData sheetId="151" refreshError="1"/>
      <sheetData sheetId="152" refreshError="1"/>
      <sheetData sheetId="153" refreshError="1"/>
      <sheetData sheetId="154" refreshError="1"/>
      <sheetData sheetId="155" refreshError="1"/>
      <sheetData sheetId="156">
        <row r="7">
          <cell r="D7" t="str">
            <v>ANTONIO</v>
          </cell>
        </row>
      </sheetData>
      <sheetData sheetId="157"/>
      <sheetData sheetId="158"/>
      <sheetData sheetId="159"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 val="Evaluación_Financiera"/>
      <sheetName val="Factorcarga_y_pérdidas"/>
      <sheetName val="Cálculo_FCC"/>
      <sheetName val="S_E_y_trafo"/>
      <sheetName val="Módulo_Línea_B__sencilla"/>
      <sheetName val="Módulo_Barraje_Tipo_2"/>
      <sheetName val="Módulo_Común_Tipo2"/>
      <sheetName val="Costo_Subestación"/>
      <sheetName val="Costo_línea_AT"/>
      <sheetName val="Costos_RED_MT_y_BT"/>
      <sheetName val="Cálculo_pérdidas"/>
      <sheetName val="Cond__económico"/>
      <sheetName val="Costos_Red"/>
      <sheetName val="Costos_Conductores"/>
      <sheetName val="Evaluación_Financiera1"/>
      <sheetName val="Factorcarga_y_pérdidas1"/>
      <sheetName val="Cálculo_FCC1"/>
      <sheetName val="S_E_y_trafo1"/>
      <sheetName val="Módulo_Línea_B__sencilla1"/>
      <sheetName val="Módulo_Barraje_Tipo_21"/>
      <sheetName val="Módulo_Común_Tipo21"/>
      <sheetName val="Costo_Subestación1"/>
      <sheetName val="Costo_línea_AT1"/>
      <sheetName val="Costos_RED_MT_y_BT1"/>
      <sheetName val="Cálculo_pérdidas1"/>
      <sheetName val="Cond__económico1"/>
      <sheetName val="Costos_Red1"/>
      <sheetName val="Costos_Conductores1"/>
      <sheetName val="Evaluación_Financiera2"/>
      <sheetName val="Factorcarga_y_pérdidas2"/>
      <sheetName val="Cálculo_FCC2"/>
      <sheetName val="S_E_y_trafo2"/>
      <sheetName val="Módulo_Línea_B__sencilla2"/>
      <sheetName val="Módulo_Barraje_Tipo_22"/>
      <sheetName val="Módulo_Común_Tipo22"/>
      <sheetName val="Costo_Subestación2"/>
      <sheetName val="Costo_línea_AT2"/>
      <sheetName val="Costos_RED_MT_y_BT2"/>
      <sheetName val="Cálculo_pérdidas2"/>
      <sheetName val="Cond__económico2"/>
      <sheetName val="Costos_Red2"/>
      <sheetName val="Costos_Conductores2"/>
      <sheetName val="Evaluación_Financiera3"/>
      <sheetName val="Factorcarga_y_pérdidas3"/>
      <sheetName val="Cálculo_FCC3"/>
      <sheetName val="S_E_y_trafo3"/>
      <sheetName val="Módulo_Línea_B__sencilla3"/>
      <sheetName val="Módulo_Barraje_Tipo_23"/>
      <sheetName val="Módulo_Común_Tipo23"/>
      <sheetName val="Costo_Subestación3"/>
      <sheetName val="Costo_línea_AT3"/>
      <sheetName val="Costos_RED_MT_y_BT3"/>
      <sheetName val="Cálculo_pérdidas3"/>
      <sheetName val="Cond__económico3"/>
      <sheetName val="Costos_Red3"/>
      <sheetName val="Costos_Conductores3"/>
      <sheetName val="COSTEO TOTAL OBRA"/>
      <sheetName val="Cargabilidad económica5"/>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refreshError="1"/>
      <sheetData sheetId="83"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 val="BASES"/>
      <sheetName val="MC SF GAVIONES"/>
      <sheetName val="PESOS"/>
      <sheetName val="civ_roma"/>
      <sheetName val="Sheet1"/>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s>
    <sheetDataSet>
      <sheetData sheetId="0"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Gerencia"/>
      <sheetName val="PAPSO"/>
      <sheetName val="Cadena de valor"/>
      <sheetName val="AIU"/>
      <sheetName val="Interventoria"/>
      <sheetName val="Ensayos interv."/>
      <sheetName val="PMA"/>
      <sheetName val="FM"/>
      <sheetName val="FACTOR P 1,70"/>
      <sheetName val="FACTOR P 1,85"/>
      <sheetName val="Est. mercado"/>
      <sheetName val="variables_formulación"/>
      <sheetName val="APU"/>
      <sheetName val="MCC"/>
      <sheetName val="Apoyo a la supervision"/>
      <sheetName val="Licencias ambientales"/>
      <sheetName val="PMT"/>
      <sheetName val="insumos_equipos_m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row r="4">
          <cell r="D4" t="str">
            <v>CONSTRUCCION DE LA SEGUNDA ETAPA DEL BARRIO RESILIENTE BOSQUES DEL VERGEL: DEL MUNICIPIO DE NOCAIMA DEPARTAMENTO DE CUNDINAMARCA</v>
          </cell>
        </row>
        <row r="22">
          <cell r="D22" t="str">
            <v xml:space="preserve">ING. CIVIL </v>
          </cell>
        </row>
        <row r="23">
          <cell r="D23" t="str">
            <v>MP N°.25202-129424_CND</v>
          </cell>
        </row>
      </sheetData>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 val="AIU_Nuevo"/>
      <sheetName val="ANALISIS_DE_AIU"/>
      <sheetName val="Cuadro_Resumen"/>
      <sheetName val="Resumen_m2"/>
      <sheetName val="Datos_entrada"/>
      <sheetName val="Hoja_Base"/>
      <sheetName val="Mort_1-3"/>
      <sheetName val="Mort_1-3_Imper"/>
      <sheetName val="Mort_1-4"/>
      <sheetName val="Mort_1-4_Imper"/>
      <sheetName val="Mort_1-5"/>
      <sheetName val="Mort_1-7"/>
      <sheetName val="Concr_1,500"/>
      <sheetName val="Concr_2,000"/>
      <sheetName val="Concr_2,500"/>
      <sheetName val="Concr_3,000"/>
      <sheetName val="Concr_3,500"/>
      <sheetName val="Concr_4,000_"/>
      <sheetName val="_Acero_60000_Refuerzo_"/>
      <sheetName val="_Malla_Electrosoldada_"/>
      <sheetName val="P_Eléctrico"/>
      <sheetName val="P_Agua_Fria"/>
      <sheetName val="P_Sanitario"/>
      <sheetName val="Granito_pulido_"/>
      <sheetName val="Marcos_puerta"/>
      <sheetName val="Marcos_ventana"/>
      <sheetName val="1,1,1_Campamt"/>
      <sheetName val="1,1,2_Alquiler_Campameto"/>
      <sheetName val="1,1,3_Limpieza"/>
      <sheetName val="1,1,4_Localización_y_replanteo"/>
      <sheetName val="1,1,6_Cerramiento_Lona"/>
      <sheetName val="1,1,7_Locali_Manual"/>
      <sheetName val="1,2,1_Provicional_agua"/>
      <sheetName val="1,2,2_Provicional_luz"/>
      <sheetName val="1,3,1_Desmonte_cubierta"/>
      <sheetName val="1,3,2_Demoliciòn_muro"/>
      <sheetName val="1,3,3__Dm_enchape"/>
      <sheetName val="1,3,4_Dm_cimiento"/>
      <sheetName val="1,3,5_Dm_Vig-colum"/>
      <sheetName val="1,3,6_Demolicion_placa"/>
      <sheetName val="1,3,7__Dm_Aparatos"/>
      <sheetName val="1,4,2_Traslado_postes"/>
      <sheetName val="1,4,3_Arb_5"/>
      <sheetName val="1,4,4_Arb_10"/>
      <sheetName val="1,4,5_Arb_15"/>
      <sheetName val="1,4,6_Arb_20"/>
      <sheetName val="1,4,7_Arb_+20"/>
      <sheetName val="1,4,8_Traslado_Arb"/>
      <sheetName val="2,1,1_Exc_Mec"/>
      <sheetName val="2,1,2_Exc_Man"/>
      <sheetName val="2,1,3_Exc_M_Sub_base"/>
      <sheetName val="2,1,5_Relleno_M_Común"/>
      <sheetName val="2,1,6__Rellenos_M_Selec"/>
      <sheetName val="2,1,7__Sub_base_Recebo_"/>
      <sheetName val="2,1,8_Geotextil_NT"/>
      <sheetName val="2,1,9_Geotextil_Tejido"/>
      <sheetName val="2,1,10_Relleno_Recebo"/>
      <sheetName val="2,2,1_Concr_pobre"/>
      <sheetName val="2,2,2_Concr_Ciclopeo"/>
      <sheetName val="2,2,3_Muros_de_contencion"/>
      <sheetName val="2,2,4_Concreto_Zapatas"/>
      <sheetName val="2,2,5_Vigas_de_cimentación"/>
      <sheetName val="2,2,6,1_Pilotes_0,30"/>
      <sheetName val="2,2,6,2_Pilotes_0,40"/>
      <sheetName val="2,2,6,3_Pilotes_0,60"/>
      <sheetName val="2,2,6,4_Pilotes_0,80"/>
      <sheetName val="2,2,6,5_Pilotes_0,90_"/>
      <sheetName val="2,2,7_Dados_en_concreto"/>
      <sheetName val="2,2,8_Placa_Flotante_0,60"/>
      <sheetName val="2,2,9_Placas_cont=_0,1"/>
      <sheetName val="2,2,10_Placas_cont=_0,125"/>
      <sheetName val="2,2,11_Placas_cont=_0,15"/>
      <sheetName val="2,3,1_Acero_37000_"/>
      <sheetName val="2,3,2_Acero_60000_Refuerzo"/>
      <sheetName val="2,3,3_Malla_Electrosoldada"/>
      <sheetName val="2,4,1_Gaviones"/>
      <sheetName val="2,4,2_Cajon_aislamiento_vigas"/>
      <sheetName val="2,4,3_Icopor_Aislante_ciment__"/>
      <sheetName val="2,4,4_Pañete_Taludes_"/>
      <sheetName val="3,1,1_Novafort_A_LL__4&quot;_110mm_"/>
      <sheetName val="3,1,2_Novafort_A_LL_6&quot;_160mm__"/>
      <sheetName val="3,1,3_Novafort_A_LL_8&quot;200_mm___"/>
      <sheetName val="3,1,4_Novafort_10&quot;A_LL__255mm_"/>
      <sheetName val="3,1,5_Novafort_A_LL_12&quot;_315mm__"/>
      <sheetName val="3,1,6__Acc__Novafort__A_LL"/>
      <sheetName val="3,2,1_Novafort_A_N__4&quot;_110_"/>
      <sheetName val="3,2,2_Novafort_A_N_6&quot;_160m_"/>
      <sheetName val="3,2,3_Novafort_A_N__8&quot;200_mm"/>
      <sheetName val="3,2,4_Novafort_10&quot;A_N__255_mm"/>
      <sheetName val="3,2,5_Novafort_A_N_12&quot;_315mm"/>
      <sheetName val="3,2,6__Acc__Novafort__A_N_"/>
      <sheetName val="3,3,1_Tuberia_drenaje_PVC_4&quot;"/>
      <sheetName val="3,3,2_Tuberia_drenaje_PVC_4&quot;"/>
      <sheetName val="3,3,3_Accesorio_drenaje_PVC_3&quot;"/>
      <sheetName val="3,3,4_Accesorio_drenaje_PVC_4&quot;"/>
      <sheetName val="3,3,5_Filtros_Escorrentias"/>
      <sheetName val="3,4,1_Caja_inspección_0,60_"/>
      <sheetName val="3,4,2_Caja_inspección_0,80"/>
      <sheetName val="3,4,3_Caja_inspección_1,00"/>
      <sheetName val="3,4,6_Carcamo"/>
      <sheetName val="3,4,7_Trampa_de_grasas"/>
      <sheetName val="3,4,8_Pozo_Septico"/>
      <sheetName val="3,5,1_Exc_Man_"/>
      <sheetName val="3,5,2_Exc_en_recebo_comp_"/>
      <sheetName val="3,5,3__Relleno_M_seleccionado"/>
      <sheetName val="3,5,4_Relleno_M_Común_"/>
      <sheetName val="3,5,5_Retiro_sobrantes"/>
      <sheetName val="3,3,6_POZO_INFILTRACIÓN"/>
      <sheetName val="3,4,4_Caja_Distribuciòn_0,40__"/>
      <sheetName val="3,4,9_Caja_discipadora"/>
      <sheetName val="3,6,2_Cabezal_descarga"/>
      <sheetName val="4,1,1_Columnas"/>
      <sheetName val="4,1,2_Pantalla_en_concreto"/>
      <sheetName val="4,1,3_Muros"/>
      <sheetName val="4,2,1_Vigas_aéreas"/>
      <sheetName val="4,2,2_Viga_canal"/>
      <sheetName val="4,2,3__Vigas_Prefabricadas"/>
      <sheetName val="4,3,1_Placa_alig__Caseton_60"/>
      <sheetName val="4,3,2_Caseton_50_cm"/>
      <sheetName val="4,3,3_Caseton_45_cm"/>
      <sheetName val="4,3,4_Caseton_40_cm_"/>
      <sheetName val="4,3,6_Placa_maciza_0,20"/>
      <sheetName val="4,3,7_Placa_maciza_0,125"/>
      <sheetName val="4,3,8_Placa_maciza_0,10"/>
      <sheetName val="4,3,9_Placa_maciza_0,15"/>
      <sheetName val="4,4,1_Escalera"/>
      <sheetName val="4,4,2_Rampas"/>
      <sheetName val="4,4,3_POZO_CONCRETO_20_M3"/>
      <sheetName val="4,4,4_POZO_CONCRETO"/>
      <sheetName val="4,4,5_Graderias_en_concreto"/>
      <sheetName val="4,5,1_Acero_37000__"/>
      <sheetName val="4,5,2_Acero_60000_est"/>
      <sheetName val="4,5,3_Malla_Electrosoldada_est"/>
      <sheetName val="4,6,1,1_Est_Cubierta"/>
      <sheetName val="4,6,2,3_Cerrchas__Metàlica"/>
      <sheetName val="4,6,2,4_Perfil_"/>
      <sheetName val="4,6,2,5_Templete"/>
      <sheetName val="5,1,1_Bloq_Conc_Estruc_0,12"/>
      <sheetName val="5,1,2_Bloque_concreto_divisorio"/>
      <sheetName val="5,1,3_Bloq_tipo_piedra"/>
      <sheetName val="5,1,5__Calados_en_Concreto"/>
      <sheetName val="5,1,6_Bloq_Conc_Estruc_014"/>
      <sheetName val="5,1,7_Bloq_Conc_Estruc_019"/>
      <sheetName val="5,2,1_Ladrillo_común"/>
      <sheetName val="5,2,2_Ladrillo_estructural"/>
      <sheetName val="5,2,3_Ladrillo_común_sobrecimie"/>
      <sheetName val="5,2,4_Ladrillo_Prensado_portant"/>
      <sheetName val="5,2,6_Muro_en_bloque_No_4"/>
      <sheetName val="5,3,1_Enchape_ladrillo_arcilla"/>
      <sheetName val="5,3,3_Alfagias_ladrillo_arcilla"/>
      <sheetName val="5,3,4_Remate_ladrillo_arcilla"/>
      <sheetName val="5,4,1_Grouting-Concreto_fluido"/>
      <sheetName val="5,4,2_Remates"/>
      <sheetName val="5,5,1_Anclajes_Epoxicos"/>
      <sheetName val="5,5,2_Acero_37000_mamp"/>
      <sheetName val="5,5,3_Malla_Electrosoldada_"/>
      <sheetName val="5,5,4_Grafiles_6_mm"/>
      <sheetName val="5,6,1_Instalaciòn_carpint__Meta"/>
      <sheetName val="6,1,1_Alfajias"/>
      <sheetName val="6,1,2_Dinteles"/>
      <sheetName val="6,1,3_Remates_sobre_mamposteria"/>
      <sheetName val="6_1_8_Pergolas"/>
      <sheetName val="6_1_9_Gargolas"/>
      <sheetName val="6,1,10_Gradas_en_Concreto"/>
      <sheetName val="6,1,11_PLAQUETAS"/>
      <sheetName val="6,1,15_Bordillos_ducha_y_aseo"/>
      <sheetName val="6,1,17_Carcamo"/>
      <sheetName val="6,1,18_Cañuela_Per"/>
      <sheetName val="6,2,1_Mesones_en_concreto"/>
      <sheetName val="6,2,2_Mesones_lavamanos"/>
      <sheetName val="6,2,3_Mesones_laboratorios"/>
      <sheetName val="6,2,5_Bancas_Concreto"/>
      <sheetName val="6,2,8_Alfajias_2"/>
      <sheetName val="7,1,1,1_Acometida_PVC-P_2&quot;"/>
      <sheetName val="7,1,1,2_Accesorio_PVC-P_2&quot;_"/>
      <sheetName val="7,1,1,5_Bajantes_A_N___PVC_3&quot;"/>
      <sheetName val="7,1,1,6_Bajantes_A_N_4&quot;"/>
      <sheetName val="7,1,2,1_Tuberia_H_G__1&quot;"/>
      <sheetName val="7,1,2,2__Accesorio_H_G__1&quot;_"/>
      <sheetName val="7,1,2,3_Flotador_1"/>
      <sheetName val="7,1,2,4_Tanque_Plastico"/>
      <sheetName val="7,1,3,1_Tuberia_H_G__1&quot;cuarto_"/>
      <sheetName val="7,1,3,2__Accesorio_H_G_1&quot;cuarto"/>
      <sheetName val="7,1,3,3__Registro_R__W__1&quot;"/>
      <sheetName val="7,1,3,4__Cheque_Helber_1&quot;"/>
      <sheetName val="7,1,3,7__Tanque_Subterrraneo"/>
      <sheetName val="7,1,4,1_Tuberia_H_G__1_1_2&quot;"/>
      <sheetName val="7,1,4,2__Accesorio_H_G_1_1_2&quot;"/>
      <sheetName val="7,1,4,3__Registro_R__W__1__1_2&quot;"/>
      <sheetName val="7,1,4,4__Cheque__Helber_1_1_2&quot;"/>
      <sheetName val="7,1,5,1_Registro_1_2&quot;"/>
      <sheetName val="7,1,5,2_Registro_3_4"/>
      <sheetName val="7,1,5,3_Registro_1_"/>
      <sheetName val="7,1,5,4_Registro_114"/>
      <sheetName val="7,1,5,5_Registro_1_12"/>
      <sheetName val="7,1,5,6_Registro_2_"/>
      <sheetName val="7,1,5,8_Caja_registro_"/>
      <sheetName val="7,1,6,1_Acometida_media"/>
      <sheetName val="7,1,6,2_Acometida_1PL"/>
      <sheetName val="7,1,6,3_Registro_PD_media"/>
      <sheetName val="7,1,6,4_Acometida_1_14"/>
      <sheetName val="7,1,6,5_Tuberia_1_12"/>
      <sheetName val="7,1,6,6_Acometida_2"/>
      <sheetName val="7,1,6,7_Tubo_UZ_2&quot;"/>
      <sheetName val="7,1,6,8_Acometida_1_12"/>
      <sheetName val="7,1,6,9_Tuberia_UZ_3&quot;"/>
      <sheetName val="7,1,6,10_Accesorio_UZ__2&quot;"/>
      <sheetName val="7,1,6,11_Accesorio_UZ_3&quot;"/>
      <sheetName val="7,1,7,1_Tuberia_H_G__1_2&quot;"/>
      <sheetName val="7,1,7,2__Accesorio_H_G_1_2&quot;"/>
      <sheetName val="7,1,7,3_Registro_Corte_1_2&quot;_"/>
      <sheetName val="7,1,7,4_Registro_1_2&quot;"/>
      <sheetName val="7,1,7,5_Caja_para_medidor"/>
      <sheetName val="7,1,8,1_P_Agua_Fria_Lavamanos"/>
      <sheetName val="7,1,8,2_Punto__Agua_Fria_1_1_2&quot;"/>
      <sheetName val="7,1,8,3_P_Agua_Fria_Sanitarios"/>
      <sheetName val="7,1,8,4_P_Agua_Fria_Orinales"/>
      <sheetName val="7,1,8,5_P_Agua_Fria_pocetas_lab"/>
      <sheetName val="7,1,8,6_P_Agua_Fria_Ducha"/>
      <sheetName val="7,1,8,7_P_Agua_Fria_Pocetas"/>
      <sheetName val="7,1,8,8_Llave__Manguera_1_2&quot;"/>
      <sheetName val="7,1,8,10__Tapòn_H_G_1_2&quot;"/>
      <sheetName val="7,1,8,11__Tapòn_P_V_C_1_2&quot;_"/>
      <sheetName val="7,1,8,12__Camara_aire_H_G_1_2&quot;"/>
      <sheetName val="7,1,8,13__Camara_aire_P_V_C_P_"/>
      <sheetName val="7,1,9,1_P_Sanitario_lavamanos"/>
      <sheetName val="7,1,9,3_P_Sanitario_Sanit"/>
      <sheetName val="7,1,9,4_P_Sanitario_Orinales"/>
      <sheetName val="7,1,9,5__P_Sifòn_PVC-S_4&quot;"/>
      <sheetName val="7,1,9,6__P_Sifòn_PVC-S_2&quot;_"/>
      <sheetName val="7,1,9,7_P_Sanitario_Pocetas"/>
      <sheetName val="7,1,9,9_P_Sanitario_sifon"/>
      <sheetName val="7,1,10,1_Acomet_sanit"/>
      <sheetName val="7,1,10,2_Pto_3&quot;"/>
      <sheetName val="7,1,10,2_Punto_Vent_3&quot;"/>
      <sheetName val="7,1,10,3__Sanit_2"/>
      <sheetName val="6,1,19_Carcamo_IDRD_Tipo_5"/>
      <sheetName val="7,1,10,4_Sanit_3"/>
      <sheetName val="7,1,10,5_4pLG_S"/>
      <sheetName val="7,1,11,1_Acomet_lluvia"/>
      <sheetName val="7,1,11,2_Acomet_lluvia_2"/>
      <sheetName val="7,1,11,3_3plg"/>
      <sheetName val="7,1,11,5_Bajante_PVC_"/>
      <sheetName val="7,1,11,6_Accesorios_PVC"/>
      <sheetName val="7,1,12,1_Instalaciòn_Lavamanos"/>
      <sheetName val="7,1,12,2_Instalaciòn_Sanitario_"/>
      <sheetName val="7,1,12,8_Llave__Manguera_1_2_"/>
      <sheetName val="7,1,12,9_Acoflex_lav_sant_"/>
      <sheetName val="7,1,14_Lavado_Tanque"/>
      <sheetName val="7,1,15_Desinfecciòn_tanque"/>
      <sheetName val="7,1,16,2_Bomba"/>
      <sheetName val="7,2,1,1_Punto_de_gas"/>
      <sheetName val="7,2,1,2_Preinstalación_gas"/>
      <sheetName val="7,2,1,3_Tuberia__tipo_L_1_2&quot;"/>
      <sheetName val="7,2,1,4_Tuberia__tipo_L_1&quot;"/>
      <sheetName val="7,2,1,5__Registro_bola_1&quot;_"/>
      <sheetName val="7,2,1,7__Rejilla_vent__plastica"/>
      <sheetName val="9,1,1_Pañete_impermeabilizado"/>
      <sheetName val="9,1,2_Pañete_muros_interiores"/>
      <sheetName val="9,1,3_Pañete_Exteriores"/>
      <sheetName val="9,2,1_Pañete_bajo_placa"/>
      <sheetName val="10,1,1_base_mueble_concreto"/>
      <sheetName val="10,1,3_Alistado_pisos"/>
      <sheetName val="10,1,4_Mortero_afinado"/>
      <sheetName val="10,1,6_Acabado_Escobeado"/>
      <sheetName val="10,2,1,3_Ceramica_0,20_x_0,20_"/>
      <sheetName val="10,2,2,3_Piso_tablòn_ges_0,30_"/>
      <sheetName val="10,2,4,1_Baldosin_granito"/>
      <sheetName val="10,2,4,3_gravilla_m2"/>
      <sheetName val="10,3,1,1_Tablòn_cuarto_26"/>
      <sheetName val="10,3,2,1_Guardaescoba"/>
      <sheetName val="10,3,2,3_Media_Caña"/>
      <sheetName val="10,3,2,5_Gravilla_"/>
      <sheetName val="10,3,2,6_Granito"/>
      <sheetName val="10,4,2_Escalera_en_Granito"/>
      <sheetName val="10,5,3_Cenefas_Gravilla_"/>
      <sheetName val="11,1,1_Afinado_Mortero"/>
      <sheetName val="11,1,2_Media_Caña"/>
      <sheetName val="11,1,3_Afinado_Viga_canales"/>
      <sheetName val="11,1,4_foil_aluminio"/>
      <sheetName val="11,2,2,1_Caballete"/>
      <sheetName val="11,2,2,2_remate"/>
      <sheetName val="11,2,3,1_Domo_acrílico"/>
      <sheetName val="11,2,3,2_Acrilico_transparente"/>
      <sheetName val="11,2,3,3_Teja_trapezoidal_Plast"/>
      <sheetName val="11,2,4,1__teja_acero"/>
      <sheetName val="11,2,4,2_Tejaluz"/>
      <sheetName val="11,2,5,1_Teja_Barro"/>
      <sheetName val="11,2,5,2_Limahoyas"/>
      <sheetName val="11,3,1_Canal_Lámina"/>
      <sheetName val="11,3,2_Flashing"/>
      <sheetName val="11,3,3_Tragante_5x3"/>
      <sheetName val="11,3,4_Tragante_6x4"/>
      <sheetName val="11,3,5_Canal_PVC"/>
      <sheetName val="12,1,1_Ventanas_aluminio_"/>
      <sheetName val="12,1,2_Ventanas_aluminio_reja"/>
      <sheetName val="12,1,3_Puerta_aluminio_sencillo"/>
      <sheetName val="12,1,4_Puert_Alum_dob_reja"/>
      <sheetName val="12,1,5_Puerta_aluminio_doble"/>
      <sheetName val="12,1,6_Puert_baños"/>
      <sheetName val="12,1,7_PERGOLAS_ALUM"/>
      <sheetName val="12,1,8_Puertas_discapacitados"/>
      <sheetName val="12,1,9_BARANDA_EN_ALUMINIO"/>
      <sheetName val="12,2,1,1_Marcos_puerta"/>
      <sheetName val="12,2,1,2_Puerta_Sencilla"/>
      <sheetName val="12,2,1,3_Ventana"/>
      <sheetName val="12,2,1,5_Puertas_Emtamborada"/>
      <sheetName val="12,2,2,1_Pasamanos_"/>
      <sheetName val="12,2,2,2_Pasamanos"/>
      <sheetName val="12,2,2,3_Baranda_Malla"/>
      <sheetName val="_12,2,2,4_Cerramiento_acrílilco"/>
      <sheetName val="12,2,3,1_Rejas_en_varilla_cuadr"/>
      <sheetName val="12,2,3,2_Rejas_ventana"/>
      <sheetName val="12,2,3,3_Rejas_Puerta_baño"/>
      <sheetName val="12,2,3,4_Reja_Ventilación"/>
      <sheetName val="12,2,4,1_CORTASOL"/>
      <sheetName val="12,2,4,4_Ventana_Malla"/>
      <sheetName val="_12,2,2,5_Baranda_M80"/>
      <sheetName val="14,1,1_Ceramica_20_"/>
      <sheetName val="15,1,3_Lampara_Fluorecente_2x32"/>
      <sheetName val="16,1,3_Sanitarios_tanque"/>
      <sheetName val="16,1,4_Orinal_"/>
      <sheetName val="16,1,5_Lavamanos_Sobreponer"/>
      <sheetName val="16,1,7_Lavamanos_de_colgar"/>
      <sheetName val="16,1,8_Sanit_Disc"/>
      <sheetName val="16,1,9_Duchas"/>
      <sheetName val="16,1,11_POCETA"/>
      <sheetName val="16,2,1_Pocetas_Aseo"/>
      <sheetName val="16,2,5_Llave_Terminal"/>
      <sheetName val="16,2,6_Incrustaciones"/>
      <sheetName val="16,2,7_Barras_disc"/>
      <sheetName val="17,2,1_Puerta_Vidrio"/>
      <sheetName val="17,2,2_Puerta_PVC_Baterias"/>
      <sheetName val="17,2,3_Divisiones_0,06"/>
      <sheetName val="17,2,4_Divisiones_baños_"/>
      <sheetName val="18,1,1_pintura_koraza"/>
      <sheetName val="18,1,2_pintura_plastica"/>
      <sheetName val="18,1,3_Vinilo_con_estuco"/>
      <sheetName val="18,1,4_Vinilo_sin_estuco_"/>
      <sheetName val="18,1,5_Vinilo_Cielos_"/>
      <sheetName val="19,1,1_Cerraduras"/>
      <sheetName val="19,4,1_Espejo"/>
      <sheetName val="19,4,2_Vidrio_Crudo"/>
      <sheetName val="20,1,2_Exc_Man"/>
      <sheetName val="20,1,5_Subbase_recebo"/>
      <sheetName val="20,2,1_Andenes"/>
      <sheetName val="20,2,2_Sardinel"/>
      <sheetName val="20,2,4_Banca"/>
      <sheetName val="20,2,5_Adoquin"/>
      <sheetName val="20,3,1_Solado_esp=_0,05"/>
      <sheetName val="20,3,2_Concreto_Ciclopeo_"/>
      <sheetName val="20,3,3_Vigas_de_Amarre"/>
      <sheetName val="20,3,5__Cerramiento_Malla_Esla"/>
      <sheetName val="20,3,6__Muros_de_contencion_"/>
      <sheetName val="20,4,1_Mov_Tierras"/>
      <sheetName val="20,2,13_Escalinatas"/>
      <sheetName val="20,2,6_Adoquin_Arcilla"/>
      <sheetName val="20,2,7_Loseta_A-50"/>
      <sheetName val="20,4,2_Pradización"/>
      <sheetName val="20_2_10_Bordillo_A-80"/>
      <sheetName val="20,4,4_Arborización"/>
      <sheetName val="20,5,1_Gaviones_en_piedra"/>
      <sheetName val="20,5,2_PERGOLA__METALICA"/>
      <sheetName val="20,5,3__Acero_37000__Ext_"/>
      <sheetName val="20,5,4_Acero_60000_psi"/>
      <sheetName val="20,5,5_Malla_Electrosoldada__"/>
      <sheetName val="21,1,1_Lavada_ladrillo_"/>
      <sheetName val="21,1,3_Aseo"/>
      <sheetName val="21,1,4_Retiro_Escombros"/>
      <sheetName val="Pasamanos_"/>
      <sheetName val="AIU_Nuevo1"/>
      <sheetName val="ANALISIS_DE_AIU1"/>
      <sheetName val="Cuadro_Resumen1"/>
      <sheetName val="Resumen_m21"/>
      <sheetName val="Datos_entrada1"/>
      <sheetName val="Hoja_Base1"/>
      <sheetName val="Mort_1-31"/>
      <sheetName val="Mort_1-3_Imper1"/>
      <sheetName val="Mort_1-41"/>
      <sheetName val="Mort_1-4_Imper1"/>
      <sheetName val="Mort_1-51"/>
      <sheetName val="Mort_1-71"/>
      <sheetName val="Concr_1,5001"/>
      <sheetName val="Concr_2,0001"/>
      <sheetName val="Concr_2,5001"/>
      <sheetName val="Concr_3,0001"/>
      <sheetName val="Concr_3,5001"/>
      <sheetName val="Concr_4,000_1"/>
      <sheetName val="_Acero_60000_Refuerzo_1"/>
      <sheetName val="_Malla_Electrosoldada_1"/>
      <sheetName val="P_Eléctrico1"/>
      <sheetName val="P_Agua_Fria1"/>
      <sheetName val="P_Sanitario1"/>
      <sheetName val="Granito_pulido_1"/>
      <sheetName val="Marcos_puerta1"/>
      <sheetName val="Marcos_ventana1"/>
      <sheetName val="1,1,1_Campamt1"/>
      <sheetName val="1,1,2_Alquiler_Campameto1"/>
      <sheetName val="1,1,3_Limpieza1"/>
      <sheetName val="1,1,4_Localización_y_replanteo1"/>
      <sheetName val="1,1,6_Cerramiento_Lona1"/>
      <sheetName val="1,1,7_Locali_Manual1"/>
      <sheetName val="1,2,1_Provicional_agua1"/>
      <sheetName val="1,2,2_Provicional_luz1"/>
      <sheetName val="1,3,1_Desmonte_cubierta1"/>
      <sheetName val="1,3,2_Demoliciòn_muro1"/>
      <sheetName val="1,3,3__Dm_enchape1"/>
      <sheetName val="1,3,4_Dm_cimiento1"/>
      <sheetName val="1,3,5_Dm_Vig-colum1"/>
      <sheetName val="1,3,6_Demolicion_placa1"/>
      <sheetName val="1,3,7__Dm_Aparatos1"/>
      <sheetName val="1,4,2_Traslado_postes1"/>
      <sheetName val="1,4,3_Arb_51"/>
      <sheetName val="1,4,4_Arb_101"/>
      <sheetName val="1,4,5_Arb_151"/>
      <sheetName val="1,4,6_Arb_201"/>
      <sheetName val="1,4,7_Arb_+201"/>
      <sheetName val="1,4,8_Traslado_Arb1"/>
      <sheetName val="2,1,1_Exc_Mec1"/>
      <sheetName val="2,1,2_Exc_Man1"/>
      <sheetName val="2,1,3_Exc_M_Sub_base1"/>
      <sheetName val="2,1,5_Relleno_M_Común1"/>
      <sheetName val="2,1,6__Rellenos_M_Selec1"/>
      <sheetName val="2,1,7__Sub_base_Recebo_1"/>
      <sheetName val="2,1,8_Geotextil_NT1"/>
      <sheetName val="2,1,9_Geotextil_Tejido1"/>
      <sheetName val="2,1,10_Relleno_Recebo1"/>
      <sheetName val="2,2,1_Concr_pobre1"/>
      <sheetName val="2,2,2_Concr_Ciclopeo1"/>
      <sheetName val="2,2,3_Muros_de_contencion1"/>
      <sheetName val="2,2,4_Concreto_Zapatas1"/>
      <sheetName val="2,2,5_Vigas_de_cimentación1"/>
      <sheetName val="2,2,6,1_Pilotes_0,301"/>
      <sheetName val="2,2,6,2_Pilotes_0,401"/>
      <sheetName val="2,2,6,3_Pilotes_0,601"/>
      <sheetName val="2,2,6,4_Pilotes_0,801"/>
      <sheetName val="2,2,6,5_Pilotes_0,90_1"/>
      <sheetName val="2,2,7_Dados_en_concreto1"/>
      <sheetName val="2,2,8_Placa_Flotante_0,601"/>
      <sheetName val="2,2,9_Placas_cont=_0,11"/>
      <sheetName val="2,2,10_Placas_cont=_0,1251"/>
      <sheetName val="2,2,11_Placas_cont=_0,151"/>
      <sheetName val="2,3,1_Acero_37000_1"/>
      <sheetName val="2,3,2_Acero_60000_Refuerzo1"/>
      <sheetName val="2,3,3_Malla_Electrosoldada1"/>
      <sheetName val="2,4,1_Gaviones1"/>
      <sheetName val="2,4,2_Cajon_aislamiento_vigas1"/>
      <sheetName val="2,4,3_Icopor_Aislante_ciment__1"/>
      <sheetName val="2,4,4_Pañete_Taludes_1"/>
      <sheetName val="3,1,1_Novafort_A_LL__4&quot;_110mm_1"/>
      <sheetName val="3,1,2_Novafort_A_LL_6&quot;_160mm__1"/>
      <sheetName val="3,1,3_Novafort_A_LL_8&quot;200_mm__1"/>
      <sheetName val="3,1,4_Novafort_10&quot;A_LL__255mm_1"/>
      <sheetName val="3,1,5_Novafort_A_LL_12&quot;_315mm_1"/>
      <sheetName val="3,1,6__Acc__Novafort__A_LL1"/>
      <sheetName val="3,2,1_Novafort_A_N__4&quot;_110_1"/>
      <sheetName val="3,2,2_Novafort_A_N_6&quot;_160m_1"/>
      <sheetName val="3,2,3_Novafort_A_N__8&quot;200_mm1"/>
      <sheetName val="3,2,4_Novafort_10&quot;A_N__255_mm1"/>
      <sheetName val="3,2,5_Novafort_A_N_12&quot;_315mm1"/>
      <sheetName val="3,2,6__Acc__Novafort__A_N_1"/>
      <sheetName val="3,3,1_Tuberia_drenaje_PVC_4&quot;1"/>
      <sheetName val="3,3,2_Tuberia_drenaje_PVC_4&quot;1"/>
      <sheetName val="3,3,3_Accesorio_drenaje_PVC_3&quot;1"/>
      <sheetName val="3,3,4_Accesorio_drenaje_PVC_4&quot;1"/>
      <sheetName val="3,3,5_Filtros_Escorrentias1"/>
      <sheetName val="3,4,1_Caja_inspección_0,60_1"/>
      <sheetName val="3,4,2_Caja_inspección_0,801"/>
      <sheetName val="3,4,3_Caja_inspección_1,001"/>
      <sheetName val="3,4,6_Carcamo1"/>
      <sheetName val="3,4,7_Trampa_de_grasas1"/>
      <sheetName val="3,4,8_Pozo_Septico1"/>
      <sheetName val="3,5,1_Exc_Man_1"/>
      <sheetName val="3,5,2_Exc_en_recebo_comp_1"/>
      <sheetName val="3,5,3__Relleno_M_seleccionado1"/>
      <sheetName val="3,5,4_Relleno_M_Común_1"/>
      <sheetName val="3,5,5_Retiro_sobrantes1"/>
      <sheetName val="3,3,6_POZO_INFILTRACIÓN1"/>
      <sheetName val="3,4,4_Caja_Distribuciòn_0,40__1"/>
      <sheetName val="3,4,9_Caja_discipadora1"/>
      <sheetName val="3,6,2_Cabezal_descarga1"/>
      <sheetName val="4,1,1_Columnas1"/>
      <sheetName val="4,1,2_Pantalla_en_concreto1"/>
      <sheetName val="4,1,3_Muros1"/>
      <sheetName val="4,2,1_Vigas_aéreas1"/>
      <sheetName val="4,2,2_Viga_canal1"/>
      <sheetName val="4,2,3__Vigas_Prefabricadas1"/>
      <sheetName val="4,3,1_Placa_alig__Caseton_601"/>
      <sheetName val="4,3,2_Caseton_50_cm1"/>
      <sheetName val="4,3,3_Caseton_45_cm1"/>
      <sheetName val="4,3,4_Caseton_40_cm_1"/>
      <sheetName val="4,3,6_Placa_maciza_0,201"/>
      <sheetName val="4,3,7_Placa_maciza_0,1251"/>
      <sheetName val="4,3,8_Placa_maciza_0,101"/>
      <sheetName val="4,3,9_Placa_maciza_0,151"/>
      <sheetName val="4,4,1_Escalera1"/>
      <sheetName val="4,4,2_Rampas1"/>
      <sheetName val="4,4,3_POZO_CONCRETO_20_M31"/>
      <sheetName val="4,4,4_POZO_CONCRETO1"/>
      <sheetName val="4,4,5_Graderias_en_concreto1"/>
      <sheetName val="4,5,1_Acero_37000__1"/>
      <sheetName val="4,5,2_Acero_60000_est1"/>
      <sheetName val="4,5,3_Malla_Electrosoldada_est1"/>
      <sheetName val="4,6,1,1_Est_Cubierta1"/>
      <sheetName val="4,6,2,3_Cerrchas__Metàlica1"/>
      <sheetName val="4,6,2,4_Perfil_1"/>
      <sheetName val="4,6,2,5_Templete1"/>
      <sheetName val="5,1,1_Bloq_Conc_Estruc_0,121"/>
      <sheetName val="5,1,2_Bloque_concreto_divisori1"/>
      <sheetName val="5,1,3_Bloq_tipo_piedra1"/>
      <sheetName val="5,1,5__Calados_en_Concreto1"/>
      <sheetName val="5,1,6_Bloq_Conc_Estruc_0141"/>
      <sheetName val="5,1,7_Bloq_Conc_Estruc_0191"/>
      <sheetName val="5,2,1_Ladrillo_común1"/>
      <sheetName val="5,2,2_Ladrillo_estructural1"/>
      <sheetName val="5,2,3_Ladrillo_común_sobrecimi1"/>
      <sheetName val="5,2,4_Ladrillo_Prensado_portan1"/>
      <sheetName val="5,2,6_Muro_en_bloque_No_41"/>
      <sheetName val="5,3,1_Enchape_ladrillo_arcilla1"/>
      <sheetName val="5,3,3_Alfagias_ladrillo_arcill1"/>
      <sheetName val="5,3,4_Remate_ladrillo_arcilla1"/>
      <sheetName val="5,4,1_Grouting-Concreto_fluido1"/>
      <sheetName val="5,4,2_Remates1"/>
      <sheetName val="5,5,1_Anclajes_Epoxicos1"/>
      <sheetName val="5,5,2_Acero_37000_mamp1"/>
      <sheetName val="5,5,3_Malla_Electrosoldada_1"/>
      <sheetName val="5,5,4_Grafiles_6_mm1"/>
      <sheetName val="5,6,1_Instalaciòn_carpint__Met1"/>
      <sheetName val="6,1,1_Alfajias1"/>
      <sheetName val="6,1,2_Dinteles1"/>
      <sheetName val="6,1,3_Remates_sobre_mamposteri1"/>
      <sheetName val="6_1_8_Pergolas1"/>
      <sheetName val="6_1_9_Gargolas1"/>
      <sheetName val="6,1,10_Gradas_en_Concreto1"/>
      <sheetName val="6,1,11_PLAQUETAS1"/>
      <sheetName val="6,1,15_Bordillos_ducha_y_aseo1"/>
      <sheetName val="6,1,17_Carcamo1"/>
      <sheetName val="6,1,18_Cañuela_Per1"/>
      <sheetName val="6,2,1_Mesones_en_concreto1"/>
      <sheetName val="6,2,2_Mesones_lavamanos1"/>
      <sheetName val="6,2,3_Mesones_laboratorios1"/>
      <sheetName val="6,2,5_Bancas_Concreto1"/>
      <sheetName val="6,2,8_Alfajias_21"/>
      <sheetName val="7,1,1,1_Acometida_PVC-P_2&quot;1"/>
      <sheetName val="7,1,1,2_Accesorio_PVC-P_2&quot;_1"/>
      <sheetName val="7,1,1,5_Bajantes_A_N___PVC_3&quot;1"/>
      <sheetName val="7,1,1,6_Bajantes_A_N_4&quot;1"/>
      <sheetName val="7,1,2,1_Tuberia_H_G__1&quot;1"/>
      <sheetName val="7,1,2,2__Accesorio_H_G__1&quot;_1"/>
      <sheetName val="7,1,2,3_Flotador_11"/>
      <sheetName val="7,1,2,4_Tanque_Plastico1"/>
      <sheetName val="7,1,3,1_Tuberia_H_G__1&quot;cuarto_1"/>
      <sheetName val="7,1,3,2__Accesorio_H_G_1&quot;cuart1"/>
      <sheetName val="7,1,3,3__Registro_R__W__1&quot;1"/>
      <sheetName val="7,1,3,4__Cheque_Helber_1&quot;1"/>
      <sheetName val="7,1,3,7__Tanque_Subterrraneo1"/>
      <sheetName val="7,1,4,1_Tuberia_H_G__1_1_2&quot;1"/>
      <sheetName val="7,1,4,2__Accesorio_H_G_1_1_2&quot;1"/>
      <sheetName val="7,1,4,3__Registro_R__W__1__1_21"/>
      <sheetName val="7,1,4,4__Cheque__Helber_1_1_2&quot;1"/>
      <sheetName val="7,1,5,1_Registro_1_2&quot;1"/>
      <sheetName val="7,1,5,2_Registro_3_41"/>
      <sheetName val="7,1,5,3_Registro_1_1"/>
      <sheetName val="7,1,5,4_Registro_1141"/>
      <sheetName val="7,1,5,5_Registro_1_121"/>
      <sheetName val="7,1,5,6_Registro_2_1"/>
      <sheetName val="7,1,5,8_Caja_registro_1"/>
      <sheetName val="7,1,6,1_Acometida_media1"/>
      <sheetName val="7,1,6,2_Acometida_1PL1"/>
      <sheetName val="7,1,6,3_Registro_PD_media1"/>
      <sheetName val="7,1,6,4_Acometida_1_141"/>
      <sheetName val="7,1,6,5_Tuberia_1_121"/>
      <sheetName val="7,1,6,6_Acometida_21"/>
      <sheetName val="7,1,6,7_Tubo_UZ_2&quot;1"/>
      <sheetName val="7,1,6,8_Acometida_1_121"/>
      <sheetName val="7,1,6,9_Tuberia_UZ_3&quot;1"/>
      <sheetName val="7,1,6,10_Accesorio_UZ__2&quot;1"/>
      <sheetName val="7,1,6,11_Accesorio_UZ_3&quot;1"/>
      <sheetName val="7,1,7,1_Tuberia_H_G__1_2&quot;1"/>
      <sheetName val="7,1,7,2__Accesorio_H_G_1_2&quot;1"/>
      <sheetName val="7,1,7,3_Registro_Corte_1_2&quot;_1"/>
      <sheetName val="7,1,7,4_Registro_1_2&quot;1"/>
      <sheetName val="7,1,7,5_Caja_para_medidor1"/>
      <sheetName val="7,1,8,1_P_Agua_Fria_Lavamanos1"/>
      <sheetName val="7,1,8,2_Punto__Agua_Fria_1_1_21"/>
      <sheetName val="7,1,8,3_P_Agua_Fria_Sanitarios1"/>
      <sheetName val="7,1,8,4_P_Agua_Fria_Orinales1"/>
      <sheetName val="7,1,8,5_P_Agua_Fria_pocetas_la1"/>
      <sheetName val="7,1,8,6_P_Agua_Fria_Ducha1"/>
      <sheetName val="7,1,8,7_P_Agua_Fria_Pocetas1"/>
      <sheetName val="7,1,8,8_Llave__Manguera_1_2&quot;1"/>
      <sheetName val="7,1,8,10__Tapòn_H_G_1_2&quot;1"/>
      <sheetName val="7,1,8,11__Tapòn_P_V_C_1_2&quot;_1"/>
      <sheetName val="7,1,8,12__Camara_aire_H_G_1_2&quot;1"/>
      <sheetName val="7,1,8,13__Camara_aire_P_V_C_P_1"/>
      <sheetName val="7,1,9,1_P_Sanitario_lavamanos1"/>
      <sheetName val="7,1,9,3_P_Sanitario_Sanit1"/>
      <sheetName val="7,1,9,4_P_Sanitario_Orinales1"/>
      <sheetName val="7,1,9,5__P_Sifòn_PVC-S_4&quot;1"/>
      <sheetName val="7,1,9,6__P_Sifòn_PVC-S_2&quot;_1"/>
      <sheetName val="7,1,9,7_P_Sanitario_Pocetas1"/>
      <sheetName val="7,1,9,9_P_Sanitario_sifon1"/>
      <sheetName val="7,1,10,1_Acomet_sanit1"/>
      <sheetName val="7,1,10,2_Pto_3&quot;1"/>
      <sheetName val="7,1,10,2_Punto_Vent_3&quot;1"/>
      <sheetName val="7,1,10,3__Sanit_21"/>
      <sheetName val="6,1,19_Carcamo_IDRD_Tipo_51"/>
      <sheetName val="7,1,10,4_Sanit_31"/>
      <sheetName val="7,1,10,5_4pLG_S1"/>
      <sheetName val="7,1,11,1_Acomet_lluvia1"/>
      <sheetName val="7,1,11,2_Acomet_lluvia_21"/>
      <sheetName val="7,1,11,3_3plg1"/>
      <sheetName val="7,1,11,5_Bajante_PVC_1"/>
      <sheetName val="7,1,11,6_Accesorios_PVC1"/>
      <sheetName val="7,1,12,1_Instalaciòn_Lavamanos1"/>
      <sheetName val="7,1,12,2_Instalaciòn_Sanitario1"/>
      <sheetName val="7,1,12,8_Llave__Manguera_1_2_1"/>
      <sheetName val="7,1,12,9_Acoflex_lav_sant_1"/>
      <sheetName val="7,1,14_Lavado_Tanque1"/>
      <sheetName val="7,1,15_Desinfecciòn_tanque1"/>
      <sheetName val="7,1,16,2_Bomba1"/>
      <sheetName val="7,2,1,1_Punto_de_gas1"/>
      <sheetName val="7,2,1,2_Preinstalación_gas1"/>
      <sheetName val="7,2,1,3_Tuberia__tipo_L_1_2&quot;1"/>
      <sheetName val="7,2,1,4_Tuberia__tipo_L_1&quot;1"/>
      <sheetName val="7,2,1,5__Registro_bola_1&quot;_1"/>
      <sheetName val="7,2,1,7__Rejilla_vent__plastic1"/>
      <sheetName val="9,1,1_Pañete_impermeabilizado1"/>
      <sheetName val="9,1,2_Pañete_muros_interiores1"/>
      <sheetName val="9,1,3_Pañete_Exteriores1"/>
      <sheetName val="9,2,1_Pañete_bajo_placa1"/>
      <sheetName val="10,1,1_base_mueble_concreto1"/>
      <sheetName val="10,1,3_Alistado_pisos1"/>
      <sheetName val="10,1,4_Mortero_afinado1"/>
      <sheetName val="10,1,6_Acabado_Escobeado1"/>
      <sheetName val="10,2,1,3_Ceramica_0,20_x_0,20_1"/>
      <sheetName val="10,2,2,3_Piso_tablòn_ges_0,30_1"/>
      <sheetName val="10,2,4,1_Baldosin_granito1"/>
      <sheetName val="10,2,4,3_gravilla_m21"/>
      <sheetName val="10,3,1,1_Tablòn_cuarto_261"/>
      <sheetName val="10,3,2,1_Guardaescoba1"/>
      <sheetName val="10,3,2,3_Media_Caña1"/>
      <sheetName val="10,3,2,5_Gravilla_1"/>
      <sheetName val="10,3,2,6_Granito1"/>
      <sheetName val="10,4,2_Escalera_en_Granito1"/>
      <sheetName val="10,5,3_Cenefas_Gravilla_1"/>
      <sheetName val="11,1,1_Afinado_Mortero1"/>
      <sheetName val="11,1,2_Media_Caña1"/>
      <sheetName val="11,1,3_Afinado_Viga_canales1"/>
      <sheetName val="11,1,4_foil_aluminio1"/>
      <sheetName val="11,2,2,1_Caballete1"/>
      <sheetName val="11,2,2,2_remate1"/>
      <sheetName val="11,2,3,1_Domo_acrílico1"/>
      <sheetName val="11,2,3,2_Acrilico_transparente1"/>
      <sheetName val="11,2,3,3_Teja_trapezoidal_Plas1"/>
      <sheetName val="11,2,4,1__teja_acero1"/>
      <sheetName val="11,2,4,2_Tejaluz1"/>
      <sheetName val="11,2,5,1_Teja_Barro1"/>
      <sheetName val="11,2,5,2_Limahoyas1"/>
      <sheetName val="11,3,1_Canal_Lámina1"/>
      <sheetName val="11,3,2_Flashing1"/>
      <sheetName val="11,3,3_Tragante_5x31"/>
      <sheetName val="11,3,4_Tragante_6x41"/>
      <sheetName val="11,3,5_Canal_PVC1"/>
      <sheetName val="12,1,1_Ventanas_aluminio_1"/>
      <sheetName val="12,1,2_Ventanas_aluminio_reja1"/>
      <sheetName val="12,1,3_Puerta_aluminio_sencill1"/>
      <sheetName val="12,1,4_Puert_Alum_dob_reja1"/>
      <sheetName val="12,1,5_Puerta_aluminio_doble1"/>
      <sheetName val="12,1,6_Puert_baños1"/>
      <sheetName val="12,1,7_PERGOLAS_ALUM1"/>
      <sheetName val="12,1,8_Puertas_discapacitados1"/>
      <sheetName val="12,1,9_BARANDA_EN_ALUMINIO1"/>
      <sheetName val="12,2,1,1_Marcos_puerta1"/>
      <sheetName val="12,2,1,2_Puerta_Sencilla1"/>
      <sheetName val="12,2,1,3_Ventana1"/>
      <sheetName val="12,2,1,5_Puertas_Emtamborada1"/>
      <sheetName val="12,2,2,1_Pasamanos_1"/>
      <sheetName val="12,2,2,2_Pasamanos1"/>
      <sheetName val="12,2,2,3_Baranda_Malla1"/>
      <sheetName val="_12,2,2,4_Cerramiento_acrílilc1"/>
      <sheetName val="12,2,3,1_Rejas_en_varilla_cuad1"/>
      <sheetName val="12,2,3,2_Rejas_ventana1"/>
      <sheetName val="12,2,3,3_Rejas_Puerta_baño1"/>
      <sheetName val="12,2,3,4_Reja_Ventilación1"/>
      <sheetName val="12,2,4,1_CORTASOL1"/>
      <sheetName val="12,2,4,4_Ventana_Malla1"/>
      <sheetName val="_12,2,2,5_Baranda_M801"/>
      <sheetName val="14,1,1_Ceramica_20_1"/>
      <sheetName val="15,1,3_Lampara_Fluorecente_2x31"/>
      <sheetName val="16,1,3_Sanitarios_tanque1"/>
      <sheetName val="16,1,4_Orinal_1"/>
      <sheetName val="16,1,5_Lavamanos_Sobreponer1"/>
      <sheetName val="16,1,7_Lavamanos_de_colgar1"/>
      <sheetName val="16,1,8_Sanit_Disc1"/>
      <sheetName val="16,1,9_Duchas1"/>
      <sheetName val="16,1,11_POCETA1"/>
      <sheetName val="16,2,1_Pocetas_Aseo1"/>
      <sheetName val="16,2,5_Llave_Terminal1"/>
      <sheetName val="16,2,6_Incrustaciones1"/>
      <sheetName val="16,2,7_Barras_disc1"/>
      <sheetName val="17,2,1_Puerta_Vidrio1"/>
      <sheetName val="17,2,2_Puerta_PVC_Baterias1"/>
      <sheetName val="17,2,3_Divisiones_0,061"/>
      <sheetName val="17,2,4_Divisiones_baños_1"/>
      <sheetName val="18,1,1_pintura_koraza1"/>
      <sheetName val="18,1,2_pintura_plastica1"/>
      <sheetName val="18,1,3_Vinilo_con_estuco1"/>
      <sheetName val="18,1,4_Vinilo_sin_estuco_1"/>
      <sheetName val="18,1,5_Vinilo_Cielos_1"/>
      <sheetName val="19,1,1_Cerraduras1"/>
      <sheetName val="19,4,1_Espejo1"/>
      <sheetName val="19,4,2_Vidrio_Crudo1"/>
      <sheetName val="20,1,2_Exc_Man1"/>
      <sheetName val="20,1,5_Subbase_recebo1"/>
      <sheetName val="20,2,1_Andenes1"/>
      <sheetName val="20,2,2_Sardinel1"/>
      <sheetName val="20,2,4_Banca1"/>
      <sheetName val="20,2,5_Adoquin1"/>
      <sheetName val="20,3,1_Solado_esp=_0,051"/>
      <sheetName val="20,3,2_Concreto_Ciclopeo_1"/>
      <sheetName val="20,3,3_Vigas_de_Amarre1"/>
      <sheetName val="20,3,5__Cerramiento_Malla_Esla1"/>
      <sheetName val="20,3,6__Muros_de_contencion_1"/>
      <sheetName val="20,4,1_Mov_Tierras1"/>
      <sheetName val="20,2,13_Escalinatas1"/>
      <sheetName val="20,2,6_Adoquin_Arcilla1"/>
      <sheetName val="20,2,7_Loseta_A-501"/>
      <sheetName val="20,4,2_Pradización1"/>
      <sheetName val="20_2_10_Bordillo_A-801"/>
      <sheetName val="20,4,4_Arborización1"/>
      <sheetName val="20,5,1_Gaviones_en_piedra1"/>
      <sheetName val="20,5,2_PERGOLA__METALICA1"/>
      <sheetName val="20,5,3__Acero_37000__Ext_1"/>
      <sheetName val="20,5,4_Acero_60000_psi1"/>
      <sheetName val="20,5,5_Malla_Electrosoldada__1"/>
      <sheetName val="21,1,1_Lavada_ladrillo_1"/>
      <sheetName val="21,1,3_Aseo1"/>
      <sheetName val="21,1,4_Retiro_Escombros1"/>
      <sheetName val="Pasamanos_1"/>
      <sheetName val="AIU_Nuevo2"/>
      <sheetName val="ANALISIS_DE_AIU2"/>
      <sheetName val="Cuadro_Resumen2"/>
      <sheetName val="Resumen_m22"/>
      <sheetName val="Datos_entrada2"/>
      <sheetName val="Hoja_Base2"/>
      <sheetName val="Mort_1-32"/>
      <sheetName val="Mort_1-3_Imper2"/>
      <sheetName val="Mort_1-42"/>
      <sheetName val="Mort_1-4_Imper2"/>
      <sheetName val="Mort_1-52"/>
      <sheetName val="Mort_1-72"/>
      <sheetName val="Concr_1,5002"/>
      <sheetName val="Concr_2,0002"/>
      <sheetName val="Concr_2,5002"/>
      <sheetName val="Concr_3,0002"/>
      <sheetName val="Concr_3,5002"/>
      <sheetName val="Concr_4,000_2"/>
      <sheetName val="_Acero_60000_Refuerzo_2"/>
      <sheetName val="_Malla_Electrosoldada_2"/>
      <sheetName val="P_Eléctrico2"/>
      <sheetName val="P_Agua_Fria2"/>
      <sheetName val="P_Sanitario2"/>
      <sheetName val="Granito_pulido_2"/>
      <sheetName val="Marcos_puerta2"/>
      <sheetName val="Marcos_ventana2"/>
      <sheetName val="1,1,1_Campamt2"/>
      <sheetName val="1,1,2_Alquiler_Campameto2"/>
      <sheetName val="1,1,3_Limpieza2"/>
      <sheetName val="1,1,4_Localización_y_replanteo2"/>
      <sheetName val="1,1,6_Cerramiento_Lona2"/>
      <sheetName val="1,1,7_Locali_Manual2"/>
      <sheetName val="1,2,1_Provicional_agua2"/>
      <sheetName val="1,2,2_Provicional_luz2"/>
      <sheetName val="1,3,1_Desmonte_cubierta2"/>
      <sheetName val="1,3,2_Demoliciòn_muro2"/>
      <sheetName val="1,3,3__Dm_enchape2"/>
      <sheetName val="1,3,4_Dm_cimiento2"/>
      <sheetName val="1,3,5_Dm_Vig-colum2"/>
      <sheetName val="1,3,6_Demolicion_placa2"/>
      <sheetName val="1,3,7__Dm_Aparatos2"/>
      <sheetName val="1,4,2_Traslado_postes2"/>
      <sheetName val="1,4,3_Arb_52"/>
      <sheetName val="1,4,4_Arb_102"/>
      <sheetName val="1,4,5_Arb_152"/>
      <sheetName val="1,4,6_Arb_202"/>
      <sheetName val="1,4,7_Arb_+202"/>
      <sheetName val="1,4,8_Traslado_Arb2"/>
      <sheetName val="2,1,1_Exc_Mec2"/>
      <sheetName val="2,1,2_Exc_Man2"/>
      <sheetName val="2,1,3_Exc_M_Sub_base2"/>
      <sheetName val="2,1,5_Relleno_M_Común2"/>
      <sheetName val="2,1,6__Rellenos_M_Selec2"/>
      <sheetName val="2,1,7__Sub_base_Recebo_2"/>
      <sheetName val="2,1,8_Geotextil_NT2"/>
      <sheetName val="2,1,9_Geotextil_Tejido2"/>
      <sheetName val="2,1,10_Relleno_Recebo2"/>
      <sheetName val="2,2,1_Concr_pobre2"/>
      <sheetName val="2,2,2_Concr_Ciclopeo2"/>
      <sheetName val="2,2,3_Muros_de_contencion2"/>
      <sheetName val="2,2,4_Concreto_Zapatas2"/>
      <sheetName val="2,2,5_Vigas_de_cimentación2"/>
      <sheetName val="2,2,6,1_Pilotes_0,302"/>
      <sheetName val="2,2,6,2_Pilotes_0,402"/>
      <sheetName val="2,2,6,3_Pilotes_0,602"/>
      <sheetName val="2,2,6,4_Pilotes_0,802"/>
      <sheetName val="2,2,6,5_Pilotes_0,90_2"/>
      <sheetName val="2,2,7_Dados_en_concreto2"/>
      <sheetName val="2,2,8_Placa_Flotante_0,602"/>
      <sheetName val="2,2,9_Placas_cont=_0,12"/>
      <sheetName val="2,2,10_Placas_cont=_0,1252"/>
      <sheetName val="2,2,11_Placas_cont=_0,152"/>
      <sheetName val="2,3,1_Acero_37000_2"/>
      <sheetName val="2,3,2_Acero_60000_Refuerzo2"/>
      <sheetName val="2,3,3_Malla_Electrosoldada2"/>
      <sheetName val="2,4,1_Gaviones2"/>
      <sheetName val="2,4,2_Cajon_aislamiento_vigas2"/>
      <sheetName val="2,4,3_Icopor_Aislante_ciment__2"/>
      <sheetName val="2,4,4_Pañete_Taludes_2"/>
      <sheetName val="3,1,1_Novafort_A_LL__4&quot;_110mm_2"/>
      <sheetName val="3,1,2_Novafort_A_LL_6&quot;_160mm__2"/>
      <sheetName val="3,1,3_Novafort_A_LL_8&quot;200_mm__2"/>
      <sheetName val="3,1,4_Novafort_10&quot;A_LL__255mm_2"/>
      <sheetName val="3,1,5_Novafort_A_LL_12&quot;_315mm_2"/>
      <sheetName val="3,1,6__Acc__Novafort__A_LL2"/>
      <sheetName val="3,2,1_Novafort_A_N__4&quot;_110_2"/>
      <sheetName val="3,2,2_Novafort_A_N_6&quot;_160m_2"/>
      <sheetName val="3,2,3_Novafort_A_N__8&quot;200_mm2"/>
      <sheetName val="3,2,4_Novafort_10&quot;A_N__255_mm2"/>
      <sheetName val="3,2,5_Novafort_A_N_12&quot;_315mm2"/>
      <sheetName val="3,2,6__Acc__Novafort__A_N_2"/>
      <sheetName val="3,3,1_Tuberia_drenaje_PVC_4&quot;2"/>
      <sheetName val="3,3,2_Tuberia_drenaje_PVC_4&quot;2"/>
      <sheetName val="3,3,3_Accesorio_drenaje_PVC_3&quot;2"/>
      <sheetName val="3,3,4_Accesorio_drenaje_PVC_4&quot;2"/>
      <sheetName val="3,3,5_Filtros_Escorrentias2"/>
      <sheetName val="3,4,1_Caja_inspección_0,60_2"/>
      <sheetName val="3,4,2_Caja_inspección_0,802"/>
      <sheetName val="3,4,3_Caja_inspección_1,002"/>
      <sheetName val="3,4,6_Carcamo2"/>
      <sheetName val="3,4,7_Trampa_de_grasas2"/>
      <sheetName val="3,4,8_Pozo_Septico2"/>
      <sheetName val="3,5,1_Exc_Man_2"/>
      <sheetName val="3,5,2_Exc_en_recebo_comp_2"/>
      <sheetName val="3,5,3__Relleno_M_seleccionado2"/>
      <sheetName val="3,5,4_Relleno_M_Común_2"/>
      <sheetName val="3,5,5_Retiro_sobrantes2"/>
      <sheetName val="3,3,6_POZO_INFILTRACIÓN2"/>
      <sheetName val="3,4,4_Caja_Distribuciòn_0,40__2"/>
      <sheetName val="3,4,9_Caja_discipadora2"/>
      <sheetName val="3,6,2_Cabezal_descarga2"/>
      <sheetName val="4,1,1_Columnas2"/>
      <sheetName val="4,1,2_Pantalla_en_concreto2"/>
      <sheetName val="4,1,3_Muros2"/>
      <sheetName val="4,2,1_Vigas_aéreas2"/>
      <sheetName val="4,2,2_Viga_canal2"/>
      <sheetName val="4,2,3__Vigas_Prefabricadas2"/>
      <sheetName val="4,3,1_Placa_alig__Caseton_602"/>
      <sheetName val="4,3,2_Caseton_50_cm2"/>
      <sheetName val="4,3,3_Caseton_45_cm2"/>
      <sheetName val="4,3,4_Caseton_40_cm_2"/>
      <sheetName val="4,3,6_Placa_maciza_0,202"/>
      <sheetName val="4,3,7_Placa_maciza_0,1252"/>
      <sheetName val="4,3,8_Placa_maciza_0,102"/>
      <sheetName val="4,3,9_Placa_maciza_0,152"/>
      <sheetName val="4,4,1_Escalera2"/>
      <sheetName val="4,4,2_Rampas2"/>
      <sheetName val="4,4,3_POZO_CONCRETO_20_M32"/>
      <sheetName val="4,4,4_POZO_CONCRETO2"/>
      <sheetName val="4,4,5_Graderias_en_concreto2"/>
      <sheetName val="4,5,1_Acero_37000__2"/>
      <sheetName val="4,5,2_Acero_60000_est2"/>
      <sheetName val="4,5,3_Malla_Electrosoldada_est2"/>
      <sheetName val="4,6,1,1_Est_Cubierta2"/>
      <sheetName val="4,6,2,3_Cerrchas__Metàlica2"/>
      <sheetName val="4,6,2,4_Perfil_2"/>
      <sheetName val="4,6,2,5_Templete2"/>
      <sheetName val="5,1,1_Bloq_Conc_Estruc_0,122"/>
      <sheetName val="5,1,2_Bloque_concreto_divisori2"/>
      <sheetName val="5,1,3_Bloq_tipo_piedra2"/>
      <sheetName val="5,1,5__Calados_en_Concreto2"/>
      <sheetName val="5,1,6_Bloq_Conc_Estruc_0142"/>
      <sheetName val="5,1,7_Bloq_Conc_Estruc_0192"/>
      <sheetName val="5,2,1_Ladrillo_común2"/>
      <sheetName val="5,2,2_Ladrillo_estructural2"/>
      <sheetName val="5,2,3_Ladrillo_común_sobrecimi2"/>
      <sheetName val="5,2,4_Ladrillo_Prensado_portan2"/>
      <sheetName val="5,2,6_Muro_en_bloque_No_42"/>
      <sheetName val="5,3,1_Enchape_ladrillo_arcilla2"/>
      <sheetName val="5,3,3_Alfagias_ladrillo_arcill2"/>
      <sheetName val="5,3,4_Remate_ladrillo_arcilla2"/>
      <sheetName val="5,4,1_Grouting-Concreto_fluido2"/>
      <sheetName val="5,4,2_Remates2"/>
      <sheetName val="5,5,1_Anclajes_Epoxicos2"/>
      <sheetName val="5,5,2_Acero_37000_mamp2"/>
      <sheetName val="5,5,3_Malla_Electrosoldada_2"/>
      <sheetName val="5,5,4_Grafiles_6_mm2"/>
      <sheetName val="5,6,1_Instalaciòn_carpint__Met2"/>
      <sheetName val="6,1,1_Alfajias2"/>
      <sheetName val="6,1,2_Dinteles2"/>
      <sheetName val="6,1,3_Remates_sobre_mamposteri2"/>
      <sheetName val="6_1_8_Pergolas2"/>
      <sheetName val="6_1_9_Gargolas2"/>
      <sheetName val="6,1,10_Gradas_en_Concreto2"/>
      <sheetName val="6,1,11_PLAQUETAS2"/>
      <sheetName val="6,1,15_Bordillos_ducha_y_aseo2"/>
      <sheetName val="6,1,17_Carcamo2"/>
      <sheetName val="6,1,18_Cañuela_Per2"/>
      <sheetName val="6,2,1_Mesones_en_concreto2"/>
      <sheetName val="6,2,2_Mesones_lavamanos2"/>
      <sheetName val="6,2,3_Mesones_laboratorios2"/>
      <sheetName val="6,2,5_Bancas_Concreto2"/>
      <sheetName val="6,2,8_Alfajias_22"/>
      <sheetName val="7,1,1,1_Acometida_PVC-P_2&quot;2"/>
      <sheetName val="7,1,1,2_Accesorio_PVC-P_2&quot;_2"/>
      <sheetName val="7,1,1,5_Bajantes_A_N___PVC_3&quot;2"/>
      <sheetName val="7,1,1,6_Bajantes_A_N_4&quot;2"/>
      <sheetName val="7,1,2,1_Tuberia_H_G__1&quot;2"/>
      <sheetName val="7,1,2,2__Accesorio_H_G__1&quot;_2"/>
      <sheetName val="7,1,2,3_Flotador_12"/>
      <sheetName val="7,1,2,4_Tanque_Plastico2"/>
      <sheetName val="7,1,3,1_Tuberia_H_G__1&quot;cuarto_2"/>
      <sheetName val="7,1,3,2__Accesorio_H_G_1&quot;cuart2"/>
      <sheetName val="7,1,3,3__Registro_R__W__1&quot;2"/>
      <sheetName val="7,1,3,4__Cheque_Helber_1&quot;2"/>
      <sheetName val="7,1,3,7__Tanque_Subterrraneo2"/>
      <sheetName val="7,1,4,1_Tuberia_H_G__1_1_2&quot;2"/>
      <sheetName val="7,1,4,2__Accesorio_H_G_1_1_2&quot;2"/>
      <sheetName val="7,1,4,3__Registro_R__W__1__1_22"/>
      <sheetName val="7,1,4,4__Cheque__Helber_1_1_2&quot;2"/>
      <sheetName val="7,1,5,1_Registro_1_2&quot;2"/>
      <sheetName val="7,1,5,2_Registro_3_42"/>
      <sheetName val="7,1,5,3_Registro_1_2"/>
      <sheetName val="7,1,5,4_Registro_1142"/>
      <sheetName val="7,1,5,5_Registro_1_122"/>
      <sheetName val="7,1,5,6_Registro_2_2"/>
      <sheetName val="7,1,5,8_Caja_registro_2"/>
      <sheetName val="7,1,6,1_Acometida_media2"/>
      <sheetName val="7,1,6,2_Acometida_1PL2"/>
      <sheetName val="7,1,6,3_Registro_PD_media2"/>
      <sheetName val="7,1,6,4_Acometida_1_142"/>
      <sheetName val="7,1,6,5_Tuberia_1_122"/>
      <sheetName val="7,1,6,6_Acometida_22"/>
      <sheetName val="7,1,6,7_Tubo_UZ_2&quot;2"/>
      <sheetName val="7,1,6,8_Acometida_1_122"/>
      <sheetName val="7,1,6,9_Tuberia_UZ_3&quot;2"/>
      <sheetName val="7,1,6,10_Accesorio_UZ__2&quot;2"/>
      <sheetName val="7,1,6,11_Accesorio_UZ_3&quot;2"/>
      <sheetName val="7,1,7,1_Tuberia_H_G__1_2&quot;2"/>
      <sheetName val="7,1,7,2__Accesorio_H_G_1_2&quot;2"/>
      <sheetName val="7,1,7,3_Registro_Corte_1_2&quot;_2"/>
      <sheetName val="7,1,7,4_Registro_1_2&quot;2"/>
      <sheetName val="7,1,7,5_Caja_para_medidor2"/>
      <sheetName val="7,1,8,1_P_Agua_Fria_Lavamanos2"/>
      <sheetName val="7,1,8,2_Punto__Agua_Fria_1_1_22"/>
      <sheetName val="7,1,8,3_P_Agua_Fria_Sanitarios2"/>
      <sheetName val="7,1,8,4_P_Agua_Fria_Orinales2"/>
      <sheetName val="7,1,8,5_P_Agua_Fria_pocetas_la2"/>
      <sheetName val="7,1,8,6_P_Agua_Fria_Ducha2"/>
      <sheetName val="7,1,8,7_P_Agua_Fria_Pocetas2"/>
      <sheetName val="7,1,8,8_Llave__Manguera_1_2&quot;2"/>
      <sheetName val="7,1,8,10__Tapòn_H_G_1_2&quot;2"/>
      <sheetName val="7,1,8,11__Tapòn_P_V_C_1_2&quot;_2"/>
      <sheetName val="7,1,8,12__Camara_aire_H_G_1_2&quot;2"/>
      <sheetName val="7,1,8,13__Camara_aire_P_V_C_P_2"/>
      <sheetName val="7,1,9,1_P_Sanitario_lavamanos2"/>
      <sheetName val="7,1,9,3_P_Sanitario_Sanit2"/>
      <sheetName val="7,1,9,4_P_Sanitario_Orinales2"/>
      <sheetName val="7,1,9,5__P_Sifòn_PVC-S_4&quot;2"/>
      <sheetName val="7,1,9,6__P_Sifòn_PVC-S_2&quot;_2"/>
      <sheetName val="7,1,9,7_P_Sanitario_Pocetas2"/>
      <sheetName val="7,1,9,9_P_Sanitario_sifon2"/>
      <sheetName val="7,1,10,1_Acomet_sanit2"/>
      <sheetName val="7,1,10,2_Pto_3&quot;2"/>
      <sheetName val="7,1,10,2_Punto_Vent_3&quot;2"/>
      <sheetName val="7,1,10,3__Sanit_22"/>
      <sheetName val="6,1,19_Carcamo_IDRD_Tipo_52"/>
      <sheetName val="7,1,10,4_Sanit_32"/>
      <sheetName val="7,1,10,5_4pLG_S2"/>
      <sheetName val="7,1,11,1_Acomet_lluvia2"/>
      <sheetName val="7,1,11,2_Acomet_lluvia_22"/>
      <sheetName val="7,1,11,3_3plg2"/>
      <sheetName val="7,1,11,5_Bajante_PVC_2"/>
      <sheetName val="7,1,11,6_Accesorios_PVC2"/>
      <sheetName val="7,1,12,1_Instalaciòn_Lavamanos2"/>
      <sheetName val="7,1,12,2_Instalaciòn_Sanitario2"/>
      <sheetName val="7,1,12,8_Llave__Manguera_1_2_2"/>
      <sheetName val="7,1,12,9_Acoflex_lav_sant_2"/>
      <sheetName val="7,1,14_Lavado_Tanque2"/>
      <sheetName val="7,1,15_Desinfecciòn_tanque2"/>
      <sheetName val="7,1,16,2_Bomba2"/>
      <sheetName val="7,2,1,1_Punto_de_gas2"/>
      <sheetName val="7,2,1,2_Preinstalación_gas2"/>
      <sheetName val="7,2,1,3_Tuberia__tipo_L_1_2&quot;2"/>
      <sheetName val="7,2,1,4_Tuberia__tipo_L_1&quot;2"/>
      <sheetName val="7,2,1,5__Registro_bola_1&quot;_2"/>
      <sheetName val="7,2,1,7__Rejilla_vent__plastic2"/>
      <sheetName val="9,1,1_Pañete_impermeabilizado2"/>
      <sheetName val="9,1,2_Pañete_muros_interiores2"/>
      <sheetName val="9,1,3_Pañete_Exteriores2"/>
      <sheetName val="9,2,1_Pañete_bajo_placa2"/>
      <sheetName val="10,1,1_base_mueble_concreto2"/>
      <sheetName val="10,1,3_Alistado_pisos2"/>
      <sheetName val="10,1,4_Mortero_afinado2"/>
      <sheetName val="10,1,6_Acabado_Escobeado2"/>
      <sheetName val="10,2,1,3_Ceramica_0,20_x_0,20_2"/>
      <sheetName val="10,2,2,3_Piso_tablòn_ges_0,30_2"/>
      <sheetName val="10,2,4,1_Baldosin_granito2"/>
      <sheetName val="10,2,4,3_gravilla_m22"/>
      <sheetName val="10,3,1,1_Tablòn_cuarto_262"/>
      <sheetName val="10,3,2,1_Guardaescoba2"/>
      <sheetName val="10,3,2,3_Media_Caña2"/>
      <sheetName val="10,3,2,5_Gravilla_2"/>
      <sheetName val="10,3,2,6_Granito2"/>
      <sheetName val="10,4,2_Escalera_en_Granito2"/>
      <sheetName val="10,5,3_Cenefas_Gravilla_2"/>
      <sheetName val="11,1,1_Afinado_Mortero2"/>
      <sheetName val="11,1,2_Media_Caña2"/>
      <sheetName val="11,1,3_Afinado_Viga_canales2"/>
      <sheetName val="11,1,4_foil_aluminio2"/>
      <sheetName val="11,2,2,1_Caballete2"/>
      <sheetName val="11,2,2,2_remate2"/>
      <sheetName val="11,2,3,1_Domo_acrílico2"/>
      <sheetName val="11,2,3,2_Acrilico_transparente2"/>
      <sheetName val="11,2,3,3_Teja_trapezoidal_Plas2"/>
      <sheetName val="11,2,4,1__teja_acero2"/>
      <sheetName val="11,2,4,2_Tejaluz2"/>
      <sheetName val="11,2,5,1_Teja_Barro2"/>
      <sheetName val="11,2,5,2_Limahoyas2"/>
      <sheetName val="11,3,1_Canal_Lámina2"/>
      <sheetName val="11,3,2_Flashing2"/>
      <sheetName val="11,3,3_Tragante_5x32"/>
      <sheetName val="11,3,4_Tragante_6x42"/>
      <sheetName val="11,3,5_Canal_PVC2"/>
      <sheetName val="12,1,1_Ventanas_aluminio_2"/>
      <sheetName val="12,1,2_Ventanas_aluminio_reja2"/>
      <sheetName val="12,1,3_Puerta_aluminio_sencill2"/>
      <sheetName val="12,1,4_Puert_Alum_dob_reja2"/>
      <sheetName val="12,1,5_Puerta_aluminio_doble2"/>
      <sheetName val="12,1,6_Puert_baños2"/>
      <sheetName val="12,1,7_PERGOLAS_ALUM2"/>
      <sheetName val="12,1,8_Puertas_discapacitados2"/>
      <sheetName val="12,1,9_BARANDA_EN_ALUMINIO2"/>
      <sheetName val="12,2,1,1_Marcos_puerta2"/>
      <sheetName val="12,2,1,2_Puerta_Sencilla2"/>
      <sheetName val="12,2,1,3_Ventana2"/>
      <sheetName val="12,2,1,5_Puertas_Emtamborada2"/>
      <sheetName val="12,2,2,1_Pasamanos_2"/>
      <sheetName val="12,2,2,2_Pasamanos2"/>
      <sheetName val="12,2,2,3_Baranda_Malla2"/>
      <sheetName val="_12,2,2,4_Cerramiento_acrílilc2"/>
      <sheetName val="12,2,3,1_Rejas_en_varilla_cuad2"/>
      <sheetName val="12,2,3,2_Rejas_ventana2"/>
      <sheetName val="12,2,3,3_Rejas_Puerta_baño2"/>
      <sheetName val="12,2,3,4_Reja_Ventilación2"/>
      <sheetName val="12,2,4,1_CORTASOL2"/>
      <sheetName val="12,2,4,4_Ventana_Malla2"/>
      <sheetName val="_12,2,2,5_Baranda_M802"/>
      <sheetName val="14,1,1_Ceramica_20_2"/>
      <sheetName val="15,1,3_Lampara_Fluorecente_2x33"/>
      <sheetName val="16,1,3_Sanitarios_tanque2"/>
      <sheetName val="16,1,4_Orinal_2"/>
      <sheetName val="16,1,5_Lavamanos_Sobreponer2"/>
      <sheetName val="16,1,7_Lavamanos_de_colgar2"/>
      <sheetName val="16,1,8_Sanit_Disc2"/>
      <sheetName val="16,1,9_Duchas2"/>
      <sheetName val="16,1,11_POCETA2"/>
      <sheetName val="16,2,1_Pocetas_Aseo2"/>
      <sheetName val="16,2,5_Llave_Terminal2"/>
      <sheetName val="16,2,6_Incrustaciones2"/>
      <sheetName val="16,2,7_Barras_disc2"/>
      <sheetName val="17,2,1_Puerta_Vidrio2"/>
      <sheetName val="17,2,2_Puerta_PVC_Baterias2"/>
      <sheetName val="17,2,3_Divisiones_0,062"/>
      <sheetName val="17,2,4_Divisiones_baños_2"/>
      <sheetName val="18,1,1_pintura_koraza2"/>
      <sheetName val="18,1,2_pintura_plastica2"/>
      <sheetName val="18,1,3_Vinilo_con_estuco2"/>
      <sheetName val="18,1,4_Vinilo_sin_estuco_2"/>
      <sheetName val="18,1,5_Vinilo_Cielos_2"/>
      <sheetName val="19,1,1_Cerraduras2"/>
      <sheetName val="19,4,1_Espejo2"/>
      <sheetName val="19,4,2_Vidrio_Crudo2"/>
      <sheetName val="20,1,2_Exc_Man2"/>
      <sheetName val="20,1,5_Subbase_recebo2"/>
      <sheetName val="20,2,1_Andenes2"/>
      <sheetName val="20,2,2_Sardinel2"/>
      <sheetName val="20,2,4_Banca2"/>
      <sheetName val="20,2,5_Adoquin2"/>
      <sheetName val="20,3,1_Solado_esp=_0,052"/>
      <sheetName val="20,3,2_Concreto_Ciclopeo_2"/>
      <sheetName val="20,3,3_Vigas_de_Amarre2"/>
      <sheetName val="20,3,5__Cerramiento_Malla_Esla2"/>
      <sheetName val="20,3,6__Muros_de_contencion_2"/>
      <sheetName val="20,4,1_Mov_Tierras2"/>
      <sheetName val="20,2,13_Escalinatas2"/>
      <sheetName val="20,2,6_Adoquin_Arcilla2"/>
      <sheetName val="20,2,7_Loseta_A-502"/>
      <sheetName val="20,4,2_Pradización2"/>
      <sheetName val="20_2_10_Bordillo_A-802"/>
      <sheetName val="20,4,4_Arborización2"/>
      <sheetName val="20,5,1_Gaviones_en_piedra2"/>
      <sheetName val="20,5,2_PERGOLA__METALICA2"/>
      <sheetName val="20,5,3__Acero_37000__Ext_2"/>
      <sheetName val="20,5,4_Acero_60000_psi2"/>
      <sheetName val="20,5,5_Malla_Electrosoldada__2"/>
      <sheetName val="21,1,1_Lavada_ladrillo_2"/>
      <sheetName val="21,1,3_Aseo2"/>
      <sheetName val="21,1,4_Retiro_Escombros2"/>
      <sheetName val="Pasamanos_2"/>
      <sheetName val="AIU_Nuevo3"/>
      <sheetName val="ANALISIS_DE_AIU3"/>
      <sheetName val="Cuadro_Resumen3"/>
      <sheetName val="Resumen_m23"/>
      <sheetName val="Datos_entrada3"/>
      <sheetName val="Hoja_Base3"/>
      <sheetName val="Mort_1-33"/>
      <sheetName val="Mort_1-3_Imper3"/>
      <sheetName val="Mort_1-43"/>
      <sheetName val="Mort_1-4_Imper3"/>
      <sheetName val="Mort_1-53"/>
      <sheetName val="Mort_1-73"/>
      <sheetName val="Concr_1,5003"/>
      <sheetName val="Concr_2,0003"/>
      <sheetName val="Concr_2,5003"/>
      <sheetName val="Concr_3,0003"/>
      <sheetName val="Concr_3,5003"/>
      <sheetName val="Concr_4,000_3"/>
      <sheetName val="_Acero_60000_Refuerzo_3"/>
      <sheetName val="_Malla_Electrosoldada_3"/>
      <sheetName val="P_Eléctrico3"/>
      <sheetName val="P_Agua_Fria3"/>
      <sheetName val="P_Sanitario3"/>
      <sheetName val="Granito_pulido_3"/>
      <sheetName val="Marcos_puerta3"/>
      <sheetName val="Marcos_ventana3"/>
      <sheetName val="1,1,1_Campamt3"/>
      <sheetName val="1,1,2_Alquiler_Campameto3"/>
      <sheetName val="1,1,3_Limpieza3"/>
      <sheetName val="1,1,4_Localización_y_replanteo3"/>
      <sheetName val="1,1,6_Cerramiento_Lona3"/>
      <sheetName val="1,1,7_Locali_Manual3"/>
      <sheetName val="1,2,1_Provicional_agua3"/>
      <sheetName val="1,2,2_Provicional_luz3"/>
      <sheetName val="1,3,1_Desmonte_cubierta3"/>
      <sheetName val="1,3,2_Demoliciòn_muro3"/>
      <sheetName val="1,3,3__Dm_enchape3"/>
      <sheetName val="1,3,4_Dm_cimiento3"/>
      <sheetName val="1,3,5_Dm_Vig-colum3"/>
      <sheetName val="1,3,6_Demolicion_placa3"/>
      <sheetName val="1,3,7__Dm_Aparatos3"/>
      <sheetName val="1,4,2_Traslado_postes3"/>
      <sheetName val="1,4,3_Arb_53"/>
      <sheetName val="1,4,4_Arb_103"/>
      <sheetName val="1,4,5_Arb_153"/>
      <sheetName val="1,4,6_Arb_203"/>
      <sheetName val="1,4,7_Arb_+203"/>
      <sheetName val="1,4,8_Traslado_Arb3"/>
      <sheetName val="2,1,1_Exc_Mec3"/>
      <sheetName val="2,1,2_Exc_Man3"/>
      <sheetName val="2,1,3_Exc_M_Sub_base3"/>
      <sheetName val="2,1,5_Relleno_M_Común3"/>
      <sheetName val="2,1,6__Rellenos_M_Selec3"/>
      <sheetName val="2,1,7__Sub_base_Recebo_3"/>
      <sheetName val="2,1,8_Geotextil_NT3"/>
      <sheetName val="2,1,9_Geotextil_Tejido3"/>
      <sheetName val="2,1,10_Relleno_Recebo3"/>
      <sheetName val="2,2,1_Concr_pobre3"/>
      <sheetName val="2,2,2_Concr_Ciclopeo3"/>
      <sheetName val="2,2,3_Muros_de_contencion3"/>
      <sheetName val="2,2,4_Concreto_Zapatas3"/>
      <sheetName val="2,2,5_Vigas_de_cimentación3"/>
      <sheetName val="2,2,6,1_Pilotes_0,303"/>
      <sheetName val="2,2,6,2_Pilotes_0,403"/>
      <sheetName val="2,2,6,3_Pilotes_0,603"/>
      <sheetName val="2,2,6,4_Pilotes_0,803"/>
      <sheetName val="2,2,6,5_Pilotes_0,90_3"/>
      <sheetName val="2,2,7_Dados_en_concreto3"/>
      <sheetName val="2,2,8_Placa_Flotante_0,603"/>
      <sheetName val="2,2,9_Placas_cont=_0,13"/>
      <sheetName val="2,2,10_Placas_cont=_0,1253"/>
      <sheetName val="2,2,11_Placas_cont=_0,153"/>
      <sheetName val="2,3,1_Acero_37000_3"/>
      <sheetName val="2,3,2_Acero_60000_Refuerzo3"/>
      <sheetName val="2,3,3_Malla_Electrosoldada3"/>
      <sheetName val="2,4,1_Gaviones3"/>
      <sheetName val="2,4,2_Cajon_aislamiento_vigas3"/>
      <sheetName val="2,4,3_Icopor_Aislante_ciment__3"/>
      <sheetName val="2,4,4_Pañete_Taludes_3"/>
      <sheetName val="3,1,1_Novafort_A_LL__4&quot;_110mm_3"/>
      <sheetName val="3,1,2_Novafort_A_LL_6&quot;_160mm__3"/>
      <sheetName val="3,1,3_Novafort_A_LL_8&quot;200_mm__3"/>
      <sheetName val="3,1,4_Novafort_10&quot;A_LL__255mm_3"/>
      <sheetName val="3,1,5_Novafort_A_LL_12&quot;_315mm_3"/>
      <sheetName val="3,1,6__Acc__Novafort__A_LL3"/>
      <sheetName val="3,2,1_Novafort_A_N__4&quot;_110_3"/>
      <sheetName val="3,2,2_Novafort_A_N_6&quot;_160m_3"/>
      <sheetName val="3,2,3_Novafort_A_N__8&quot;200_mm3"/>
      <sheetName val="3,2,4_Novafort_10&quot;A_N__255_mm3"/>
      <sheetName val="3,2,5_Novafort_A_N_12&quot;_315mm3"/>
      <sheetName val="3,2,6__Acc__Novafort__A_N_3"/>
      <sheetName val="3,3,1_Tuberia_drenaje_PVC_4&quot;3"/>
      <sheetName val="3,3,2_Tuberia_drenaje_PVC_4&quot;3"/>
      <sheetName val="3,3,3_Accesorio_drenaje_PVC_3&quot;3"/>
      <sheetName val="3,3,4_Accesorio_drenaje_PVC_4&quot;3"/>
      <sheetName val="3,3,5_Filtros_Escorrentias3"/>
      <sheetName val="3,4,1_Caja_inspección_0,60_3"/>
      <sheetName val="3,4,2_Caja_inspección_0,803"/>
      <sheetName val="3,4,3_Caja_inspección_1,003"/>
      <sheetName val="3,4,6_Carcamo3"/>
      <sheetName val="3,4,7_Trampa_de_grasas3"/>
      <sheetName val="3,4,8_Pozo_Septico3"/>
      <sheetName val="3,5,1_Exc_Man_3"/>
      <sheetName val="3,5,2_Exc_en_recebo_comp_3"/>
      <sheetName val="3,5,3__Relleno_M_seleccionado3"/>
      <sheetName val="3,5,4_Relleno_M_Común_3"/>
      <sheetName val="3,5,5_Retiro_sobrantes3"/>
      <sheetName val="3,3,6_POZO_INFILTRACIÓN3"/>
      <sheetName val="3,4,4_Caja_Distribuciòn_0,40__3"/>
      <sheetName val="3,4,9_Caja_discipadora3"/>
      <sheetName val="3,6,2_Cabezal_descarga3"/>
      <sheetName val="4,1,1_Columnas3"/>
      <sheetName val="4,1,2_Pantalla_en_concreto3"/>
      <sheetName val="4,1,3_Muros3"/>
      <sheetName val="4,2,1_Vigas_aéreas3"/>
      <sheetName val="4,2,2_Viga_canal3"/>
      <sheetName val="4,2,3__Vigas_Prefabricadas3"/>
      <sheetName val="4,3,1_Placa_alig__Caseton_603"/>
      <sheetName val="4,3,2_Caseton_50_cm3"/>
      <sheetName val="4,3,3_Caseton_45_cm3"/>
      <sheetName val="4,3,4_Caseton_40_cm_3"/>
      <sheetName val="4,3,6_Placa_maciza_0,203"/>
      <sheetName val="4,3,7_Placa_maciza_0,1253"/>
      <sheetName val="4,3,8_Placa_maciza_0,103"/>
      <sheetName val="4,3,9_Placa_maciza_0,153"/>
      <sheetName val="4,4,1_Escalera3"/>
      <sheetName val="4,4,2_Rampas3"/>
      <sheetName val="4,4,3_POZO_CONCRETO_20_M33"/>
      <sheetName val="4,4,4_POZO_CONCRETO3"/>
      <sheetName val="4,4,5_Graderias_en_concreto3"/>
      <sheetName val="4,5,1_Acero_37000__3"/>
      <sheetName val="4,5,2_Acero_60000_est3"/>
      <sheetName val="4,5,3_Malla_Electrosoldada_est3"/>
      <sheetName val="4,6,1,1_Est_Cubierta3"/>
      <sheetName val="4,6,2,3_Cerrchas__Metàlica3"/>
      <sheetName val="4,6,2,4_Perfil_3"/>
      <sheetName val="4,6,2,5_Templete3"/>
      <sheetName val="5,1,1_Bloq_Conc_Estruc_0,123"/>
      <sheetName val="5,1,2_Bloque_concreto_divisori3"/>
      <sheetName val="5,1,3_Bloq_tipo_piedra3"/>
      <sheetName val="5,1,5__Calados_en_Concreto3"/>
      <sheetName val="5,1,6_Bloq_Conc_Estruc_0143"/>
      <sheetName val="5,1,7_Bloq_Conc_Estruc_0193"/>
      <sheetName val="5,2,1_Ladrillo_común3"/>
      <sheetName val="5,2,2_Ladrillo_estructural3"/>
      <sheetName val="5,2,3_Ladrillo_común_sobrecimi3"/>
      <sheetName val="5,2,4_Ladrillo_Prensado_portan3"/>
      <sheetName val="5,2,6_Muro_en_bloque_No_43"/>
      <sheetName val="5,3,1_Enchape_ladrillo_arcilla3"/>
      <sheetName val="5,3,3_Alfagias_ladrillo_arcill3"/>
      <sheetName val="5,3,4_Remate_ladrillo_arcilla3"/>
      <sheetName val="5,4,1_Grouting-Concreto_fluido3"/>
      <sheetName val="5,4,2_Remates3"/>
      <sheetName val="5,5,1_Anclajes_Epoxicos3"/>
      <sheetName val="5,5,2_Acero_37000_mamp3"/>
      <sheetName val="5,5,3_Malla_Electrosoldada_3"/>
      <sheetName val="5,5,4_Grafiles_6_mm3"/>
      <sheetName val="5,6,1_Instalaciòn_carpint__Met3"/>
      <sheetName val="6,1,1_Alfajias3"/>
      <sheetName val="6,1,2_Dinteles3"/>
      <sheetName val="6,1,3_Remates_sobre_mamposteri3"/>
      <sheetName val="6_1_8_Pergolas3"/>
      <sheetName val="6_1_9_Gargolas3"/>
      <sheetName val="6,1,10_Gradas_en_Concreto3"/>
      <sheetName val="6,1,11_PLAQUETAS3"/>
      <sheetName val="6,1,15_Bordillos_ducha_y_aseo3"/>
      <sheetName val="6,1,17_Carcamo3"/>
      <sheetName val="6,1,18_Cañuela_Per3"/>
      <sheetName val="6,2,1_Mesones_en_concreto3"/>
      <sheetName val="6,2,2_Mesones_lavamanos3"/>
      <sheetName val="6,2,3_Mesones_laboratorios3"/>
      <sheetName val="6,2,5_Bancas_Concreto3"/>
      <sheetName val="6,2,8_Alfajias_23"/>
      <sheetName val="7,1,1,1_Acometida_PVC-P_2&quot;3"/>
      <sheetName val="7,1,1,2_Accesorio_PVC-P_2&quot;_3"/>
      <sheetName val="7,1,1,5_Bajantes_A_N___PVC_3&quot;3"/>
      <sheetName val="7,1,1,6_Bajantes_A_N_4&quot;3"/>
      <sheetName val="7,1,2,1_Tuberia_H_G__1&quot;3"/>
      <sheetName val="7,1,2,2__Accesorio_H_G__1&quot;_3"/>
      <sheetName val="7,1,2,3_Flotador_13"/>
      <sheetName val="7,1,2,4_Tanque_Plastico3"/>
      <sheetName val="7,1,3,1_Tuberia_H_G__1&quot;cuarto_3"/>
      <sheetName val="7,1,3,2__Accesorio_H_G_1&quot;cuart3"/>
      <sheetName val="7,1,3,3__Registro_R__W__1&quot;3"/>
      <sheetName val="7,1,3,4__Cheque_Helber_1&quot;3"/>
      <sheetName val="7,1,3,7__Tanque_Subterrraneo3"/>
      <sheetName val="7,1,4,1_Tuberia_H_G__1_1_2&quot;3"/>
      <sheetName val="7,1,4,2__Accesorio_H_G_1_1_2&quot;3"/>
      <sheetName val="7,1,4,3__Registro_R__W__1__1_23"/>
      <sheetName val="7,1,4,4__Cheque__Helber_1_1_2&quot;3"/>
      <sheetName val="7,1,5,1_Registro_1_2&quot;3"/>
      <sheetName val="7,1,5,2_Registro_3_43"/>
      <sheetName val="7,1,5,3_Registro_1_3"/>
      <sheetName val="7,1,5,4_Registro_1143"/>
      <sheetName val="7,1,5,5_Registro_1_123"/>
      <sheetName val="7,1,5,6_Registro_2_3"/>
      <sheetName val="7,1,5,8_Caja_registro_3"/>
      <sheetName val="7,1,6,1_Acometida_media3"/>
      <sheetName val="7,1,6,2_Acometida_1PL3"/>
      <sheetName val="7,1,6,3_Registro_PD_media3"/>
      <sheetName val="7,1,6,4_Acometida_1_143"/>
      <sheetName val="7,1,6,5_Tuberia_1_123"/>
      <sheetName val="7,1,6,6_Acometida_23"/>
      <sheetName val="7,1,6,7_Tubo_UZ_2&quot;3"/>
      <sheetName val="7,1,6,8_Acometida_1_123"/>
      <sheetName val="7,1,6,9_Tuberia_UZ_3&quot;3"/>
      <sheetName val="7,1,6,10_Accesorio_UZ__2&quot;3"/>
      <sheetName val="7,1,6,11_Accesorio_UZ_3&quot;3"/>
      <sheetName val="7,1,7,1_Tuberia_H_G__1_2&quot;3"/>
      <sheetName val="7,1,7,2__Accesorio_H_G_1_2&quot;3"/>
      <sheetName val="7,1,7,3_Registro_Corte_1_2&quot;_3"/>
      <sheetName val="7,1,7,4_Registro_1_2&quot;3"/>
      <sheetName val="7,1,7,5_Caja_para_medidor3"/>
      <sheetName val="7,1,8,1_P_Agua_Fria_Lavamanos3"/>
      <sheetName val="7,1,8,2_Punto__Agua_Fria_1_1_23"/>
      <sheetName val="7,1,8,3_P_Agua_Fria_Sanitarios3"/>
      <sheetName val="7,1,8,4_P_Agua_Fria_Orinales3"/>
      <sheetName val="7,1,8,5_P_Agua_Fria_pocetas_la3"/>
      <sheetName val="7,1,8,6_P_Agua_Fria_Ducha3"/>
      <sheetName val="7,1,8,7_P_Agua_Fria_Pocetas3"/>
      <sheetName val="7,1,8,8_Llave__Manguera_1_2&quot;3"/>
      <sheetName val="7,1,8,10__Tapòn_H_G_1_2&quot;3"/>
      <sheetName val="7,1,8,11__Tapòn_P_V_C_1_2&quot;_3"/>
      <sheetName val="7,1,8,12__Camara_aire_H_G_1_2&quot;3"/>
      <sheetName val="7,1,8,13__Camara_aire_P_V_C_P_3"/>
      <sheetName val="7,1,9,1_P_Sanitario_lavamanos3"/>
      <sheetName val="7,1,9,3_P_Sanitario_Sanit3"/>
      <sheetName val="7,1,9,4_P_Sanitario_Orinales3"/>
      <sheetName val="7,1,9,5__P_Sifòn_PVC-S_4&quot;3"/>
      <sheetName val="7,1,9,6__P_Sifòn_PVC-S_2&quot;_3"/>
      <sheetName val="7,1,9,7_P_Sanitario_Pocetas3"/>
      <sheetName val="7,1,9,9_P_Sanitario_sifon3"/>
      <sheetName val="7,1,10,1_Acomet_sanit3"/>
      <sheetName val="7,1,10,2_Pto_3&quot;3"/>
      <sheetName val="7,1,10,2_Punto_Vent_3&quot;3"/>
      <sheetName val="7,1,10,3__Sanit_23"/>
      <sheetName val="6,1,19_Carcamo_IDRD_Tipo_53"/>
      <sheetName val="7,1,10,4_Sanit_33"/>
      <sheetName val="7,1,10,5_4pLG_S3"/>
      <sheetName val="7,1,11,1_Acomet_lluvia3"/>
      <sheetName val="7,1,11,2_Acomet_lluvia_23"/>
      <sheetName val="7,1,11,3_3plg3"/>
      <sheetName val="7,1,11,5_Bajante_PVC_3"/>
      <sheetName val="7,1,11,6_Accesorios_PVC3"/>
      <sheetName val="7,1,12,1_Instalaciòn_Lavamanos3"/>
      <sheetName val="7,1,12,2_Instalaciòn_Sanitario3"/>
      <sheetName val="7,1,12,8_Llave__Manguera_1_2_3"/>
      <sheetName val="7,1,12,9_Acoflex_lav_sant_3"/>
      <sheetName val="7,1,14_Lavado_Tanque3"/>
      <sheetName val="7,1,15_Desinfecciòn_tanque3"/>
      <sheetName val="7,1,16,2_Bomba3"/>
      <sheetName val="7,2,1,1_Punto_de_gas3"/>
      <sheetName val="7,2,1,2_Preinstalación_gas3"/>
      <sheetName val="7,2,1,3_Tuberia__tipo_L_1_2&quot;3"/>
      <sheetName val="7,2,1,4_Tuberia__tipo_L_1&quot;3"/>
      <sheetName val="7,2,1,5__Registro_bola_1&quot;_3"/>
      <sheetName val="7,2,1,7__Rejilla_vent__plastic3"/>
      <sheetName val="9,1,1_Pañete_impermeabilizado3"/>
      <sheetName val="9,1,2_Pañete_muros_interiores3"/>
      <sheetName val="9,1,3_Pañete_Exteriores3"/>
      <sheetName val="9,2,1_Pañete_bajo_placa3"/>
      <sheetName val="10,1,1_base_mueble_concreto3"/>
      <sheetName val="10,1,3_Alistado_pisos3"/>
      <sheetName val="10,1,4_Mortero_afinado3"/>
      <sheetName val="10,1,6_Acabado_Escobeado3"/>
      <sheetName val="10,2,1,3_Ceramica_0,20_x_0,20_3"/>
      <sheetName val="10,2,2,3_Piso_tablòn_ges_0,30_3"/>
      <sheetName val="10,2,4,1_Baldosin_granito3"/>
      <sheetName val="10,2,4,3_gravilla_m23"/>
      <sheetName val="10,3,1,1_Tablòn_cuarto_263"/>
      <sheetName val="10,3,2,1_Guardaescoba3"/>
      <sheetName val="10,3,2,3_Media_Caña3"/>
      <sheetName val="10,3,2,5_Gravilla_3"/>
      <sheetName val="10,3,2,6_Granito3"/>
      <sheetName val="10,4,2_Escalera_en_Granito3"/>
      <sheetName val="10,5,3_Cenefas_Gravilla_3"/>
      <sheetName val="11,1,1_Afinado_Mortero3"/>
      <sheetName val="11,1,2_Media_Caña3"/>
      <sheetName val="11,1,3_Afinado_Viga_canales3"/>
      <sheetName val="11,1,4_foil_aluminio3"/>
      <sheetName val="11,2,2,1_Caballete3"/>
      <sheetName val="11,2,2,2_remate3"/>
      <sheetName val="11,2,3,1_Domo_acrílico3"/>
      <sheetName val="11,2,3,2_Acrilico_transparente3"/>
      <sheetName val="11,2,3,3_Teja_trapezoidal_Plas3"/>
      <sheetName val="11,2,4,1__teja_acero3"/>
      <sheetName val="11,2,4,2_Tejaluz3"/>
      <sheetName val="11,2,5,1_Teja_Barro3"/>
      <sheetName val="11,2,5,2_Limahoyas3"/>
      <sheetName val="11,3,1_Canal_Lámina3"/>
      <sheetName val="11,3,2_Flashing3"/>
      <sheetName val="11,3,3_Tragante_5x33"/>
      <sheetName val="11,3,4_Tragante_6x43"/>
      <sheetName val="11,3,5_Canal_PVC3"/>
      <sheetName val="12,1,1_Ventanas_aluminio_3"/>
      <sheetName val="12,1,2_Ventanas_aluminio_reja3"/>
      <sheetName val="12,1,3_Puerta_aluminio_sencill3"/>
      <sheetName val="12,1,4_Puert_Alum_dob_reja3"/>
      <sheetName val="12,1,5_Puerta_aluminio_doble3"/>
      <sheetName val="12,1,6_Puert_baños3"/>
      <sheetName val="12,1,7_PERGOLAS_ALUM3"/>
      <sheetName val="12,1,8_Puertas_discapacitados3"/>
      <sheetName val="12,1,9_BARANDA_EN_ALUMINIO3"/>
      <sheetName val="12,2,1,1_Marcos_puerta3"/>
      <sheetName val="12,2,1,2_Puerta_Sencilla3"/>
      <sheetName val="12,2,1,3_Ventana3"/>
      <sheetName val="12,2,1,5_Puertas_Emtamborada3"/>
      <sheetName val="12,2,2,1_Pasamanos_3"/>
      <sheetName val="12,2,2,2_Pasamanos3"/>
      <sheetName val="12,2,2,3_Baranda_Malla3"/>
      <sheetName val="_12,2,2,4_Cerramiento_acrílilc3"/>
      <sheetName val="12,2,3,1_Rejas_en_varilla_cuad3"/>
      <sheetName val="12,2,3,2_Rejas_ventana3"/>
      <sheetName val="12,2,3,3_Rejas_Puerta_baño3"/>
      <sheetName val="12,2,3,4_Reja_Ventilación3"/>
      <sheetName val="12,2,4,1_CORTASOL3"/>
      <sheetName val="12,2,4,4_Ventana_Malla3"/>
      <sheetName val="_12,2,2,5_Baranda_M803"/>
      <sheetName val="14,1,1_Ceramica_20_3"/>
      <sheetName val="15,1,3_Lampara_Fluorecente_2x34"/>
      <sheetName val="16,1,3_Sanitarios_tanque3"/>
      <sheetName val="16,1,4_Orinal_3"/>
      <sheetName val="16,1,5_Lavamanos_Sobreponer3"/>
      <sheetName val="16,1,7_Lavamanos_de_colgar3"/>
      <sheetName val="16,1,8_Sanit_Disc3"/>
      <sheetName val="16,1,9_Duchas3"/>
      <sheetName val="16,1,11_POCETA3"/>
      <sheetName val="16,2,1_Pocetas_Aseo3"/>
      <sheetName val="16,2,5_Llave_Terminal3"/>
      <sheetName val="16,2,6_Incrustaciones3"/>
      <sheetName val="16,2,7_Barras_disc3"/>
      <sheetName val="17,2,1_Puerta_Vidrio3"/>
      <sheetName val="17,2,2_Puerta_PVC_Baterias3"/>
      <sheetName val="17,2,3_Divisiones_0,063"/>
      <sheetName val="17,2,4_Divisiones_baños_3"/>
      <sheetName val="18,1,1_pintura_koraza3"/>
      <sheetName val="18,1,2_pintura_plastica3"/>
      <sheetName val="18,1,3_Vinilo_con_estuco3"/>
      <sheetName val="18,1,4_Vinilo_sin_estuco_3"/>
      <sheetName val="18,1,5_Vinilo_Cielos_3"/>
      <sheetName val="19,1,1_Cerraduras3"/>
      <sheetName val="19,4,1_Espejo3"/>
      <sheetName val="19,4,2_Vidrio_Crudo3"/>
      <sheetName val="20,1,2_Exc_Man3"/>
      <sheetName val="20,1,5_Subbase_recebo3"/>
      <sheetName val="20,2,1_Andenes3"/>
      <sheetName val="20,2,2_Sardinel3"/>
      <sheetName val="20,2,4_Banca3"/>
      <sheetName val="20,2,5_Adoquin3"/>
      <sheetName val="20,3,1_Solado_esp=_0,053"/>
      <sheetName val="20,3,2_Concreto_Ciclopeo_3"/>
      <sheetName val="20,3,3_Vigas_de_Amarre3"/>
      <sheetName val="20,3,5__Cerramiento_Malla_Esla3"/>
      <sheetName val="20,3,6__Muros_de_contencion_3"/>
      <sheetName val="20,4,1_Mov_Tierras3"/>
      <sheetName val="20,2,13_Escalinatas3"/>
      <sheetName val="20,2,6_Adoquin_Arcilla3"/>
      <sheetName val="20,2,7_Loseta_A-503"/>
      <sheetName val="20,4,2_Pradización3"/>
      <sheetName val="20_2_10_Bordillo_A-803"/>
      <sheetName val="20,4,4_Arborización3"/>
      <sheetName val="20,5,1_Gaviones_en_piedra3"/>
      <sheetName val="20,5,2_PERGOLA__METALICA3"/>
      <sheetName val="20,5,3__Acero_37000__Ext_3"/>
      <sheetName val="20,5,4_Acero_60000_psi3"/>
      <sheetName val="20,5,5_Malla_Electrosoldada__3"/>
      <sheetName val="21,1,1_Lavada_ladrillo_3"/>
      <sheetName val="21,1,3_Aseo3"/>
      <sheetName val="21,1,4_Retiro_Escombros3"/>
      <sheetName val="Pasamanos_3"/>
      <sheetName val="AIU_Nuevo4"/>
      <sheetName val="ANALISIS_DE_AIU4"/>
      <sheetName val="Cuadro_Resumen4"/>
      <sheetName val="Resumen_m24"/>
      <sheetName val="Datos_entrada4"/>
      <sheetName val="Hoja_Base4"/>
      <sheetName val="Mort_1-34"/>
      <sheetName val="Mort_1-3_Imper4"/>
      <sheetName val="Mort_1-44"/>
      <sheetName val="Mort_1-4_Imper4"/>
      <sheetName val="Mort_1-54"/>
      <sheetName val="Mort_1-74"/>
      <sheetName val="Concr_1,5004"/>
      <sheetName val="Concr_2,0004"/>
      <sheetName val="Concr_2,5004"/>
      <sheetName val="Concr_3,0004"/>
      <sheetName val="Concr_3,5004"/>
      <sheetName val="Concr_4,000_4"/>
      <sheetName val="_Acero_60000_Refuerzo_4"/>
      <sheetName val="_Malla_Electrosoldada_4"/>
      <sheetName val="P_Eléctrico4"/>
      <sheetName val="P_Agua_Fria4"/>
      <sheetName val="P_Sanitario4"/>
      <sheetName val="Granito_pulido_4"/>
      <sheetName val="Marcos_puerta4"/>
      <sheetName val="Marcos_ventana4"/>
      <sheetName val="1,1,1_Campamt4"/>
      <sheetName val="1,1,2_Alquiler_Campameto4"/>
      <sheetName val="1,1,3_Limpieza4"/>
      <sheetName val="1,1,4_Localización_y_replanteo4"/>
      <sheetName val="1,1,6_Cerramiento_Lona4"/>
      <sheetName val="1,1,7_Locali_Manual4"/>
      <sheetName val="1,2,1_Provicional_agua4"/>
      <sheetName val="1,2,2_Provicional_luz4"/>
      <sheetName val="1,3,1_Desmonte_cubierta4"/>
      <sheetName val="1,3,2_Demoliciòn_muro4"/>
      <sheetName val="1,3,3__Dm_enchape4"/>
      <sheetName val="1,3,4_Dm_cimiento4"/>
      <sheetName val="1,3,5_Dm_Vig-colum4"/>
      <sheetName val="1,3,6_Demolicion_placa4"/>
      <sheetName val="1,3,7__Dm_Aparatos4"/>
      <sheetName val="1,4,2_Traslado_postes4"/>
      <sheetName val="1,4,3_Arb_54"/>
      <sheetName val="1,4,4_Arb_104"/>
      <sheetName val="1,4,5_Arb_154"/>
      <sheetName val="1,4,6_Arb_204"/>
      <sheetName val="1,4,7_Arb_+204"/>
      <sheetName val="1,4,8_Traslado_Arb4"/>
      <sheetName val="2,1,1_Exc_Mec4"/>
      <sheetName val="2,1,2_Exc_Man4"/>
      <sheetName val="2,1,3_Exc_M_Sub_base4"/>
      <sheetName val="2,1,5_Relleno_M_Común4"/>
      <sheetName val="2,1,6__Rellenos_M_Selec4"/>
      <sheetName val="2,1,7__Sub_base_Recebo_4"/>
      <sheetName val="2,1,8_Geotextil_NT4"/>
      <sheetName val="2,1,9_Geotextil_Tejido4"/>
      <sheetName val="2,1,10_Relleno_Recebo4"/>
      <sheetName val="2,2,1_Concr_pobre4"/>
      <sheetName val="2,2,2_Concr_Ciclopeo4"/>
      <sheetName val="2,2,3_Muros_de_contencion4"/>
      <sheetName val="2,2,4_Concreto_Zapatas4"/>
      <sheetName val="2,2,5_Vigas_de_cimentación4"/>
      <sheetName val="2,2,6,1_Pilotes_0,304"/>
      <sheetName val="2,2,6,2_Pilotes_0,404"/>
      <sheetName val="2,2,6,3_Pilotes_0,604"/>
      <sheetName val="2,2,6,4_Pilotes_0,804"/>
      <sheetName val="2,2,6,5_Pilotes_0,90_4"/>
      <sheetName val="2,2,7_Dados_en_concreto4"/>
      <sheetName val="2,2,8_Placa_Flotante_0,604"/>
      <sheetName val="2,2,9_Placas_cont=_0,14"/>
      <sheetName val="2,2,10_Placas_cont=_0,1254"/>
      <sheetName val="2,2,11_Placas_cont=_0,154"/>
      <sheetName val="2,3,1_Acero_37000_4"/>
      <sheetName val="2,3,2_Acero_60000_Refuerzo4"/>
      <sheetName val="2,3,3_Malla_Electrosoldada4"/>
      <sheetName val="2,4,1_Gaviones4"/>
      <sheetName val="2,4,2_Cajon_aislamiento_vigas4"/>
      <sheetName val="2,4,3_Icopor_Aislante_ciment__4"/>
      <sheetName val="2,4,4_Pañete_Taludes_4"/>
      <sheetName val="3,1,1_Novafort_A_LL__4&quot;_110mm_4"/>
      <sheetName val="3,1,2_Novafort_A_LL_6&quot;_160mm__4"/>
      <sheetName val="3,1,3_Novafort_A_LL_8&quot;200_mm__4"/>
      <sheetName val="3,1,4_Novafort_10&quot;A_LL__255mm_4"/>
      <sheetName val="3,1,5_Novafort_A_LL_12&quot;_315mm_4"/>
      <sheetName val="3,1,6__Acc__Novafort__A_LL4"/>
      <sheetName val="3,2,1_Novafort_A_N__4&quot;_110_4"/>
      <sheetName val="3,2,2_Novafort_A_N_6&quot;_160m_4"/>
      <sheetName val="3,2,3_Novafort_A_N__8&quot;200_mm4"/>
      <sheetName val="3,2,4_Novafort_10&quot;A_N__255_mm4"/>
      <sheetName val="3,2,5_Novafort_A_N_12&quot;_315mm4"/>
      <sheetName val="3,2,6__Acc__Novafort__A_N_4"/>
      <sheetName val="3,3,1_Tuberia_drenaje_PVC_4&quot;4"/>
      <sheetName val="3,3,2_Tuberia_drenaje_PVC_4&quot;4"/>
      <sheetName val="3,3,3_Accesorio_drenaje_PVC_3&quot;4"/>
      <sheetName val="3,3,4_Accesorio_drenaje_PVC_4&quot;4"/>
      <sheetName val="3,3,5_Filtros_Escorrentias4"/>
      <sheetName val="3,4,1_Caja_inspección_0,60_4"/>
      <sheetName val="3,4,2_Caja_inspección_0,804"/>
      <sheetName val="3,4,3_Caja_inspección_1,004"/>
      <sheetName val="3,4,6_Carcamo4"/>
      <sheetName val="3,4,7_Trampa_de_grasas4"/>
      <sheetName val="3,4,8_Pozo_Septico4"/>
      <sheetName val="3,5,1_Exc_Man_4"/>
      <sheetName val="3,5,2_Exc_en_recebo_comp_4"/>
      <sheetName val="3,5,3__Relleno_M_seleccionado4"/>
      <sheetName val="3,5,4_Relleno_M_Común_4"/>
      <sheetName val="3,5,5_Retiro_sobrantes4"/>
      <sheetName val="3,3,6_POZO_INFILTRACIÓN4"/>
      <sheetName val="3,4,4_Caja_Distribuciòn_0,40__4"/>
      <sheetName val="3,4,9_Caja_discipadora4"/>
      <sheetName val="3,6,2_Cabezal_descarga4"/>
      <sheetName val="4,1,1_Columnas4"/>
      <sheetName val="4,1,2_Pantalla_en_concreto4"/>
      <sheetName val="4,1,3_Muros4"/>
      <sheetName val="4,2,1_Vigas_aéreas4"/>
      <sheetName val="4,2,2_Viga_canal4"/>
      <sheetName val="4,2,3__Vigas_Prefabricadas4"/>
      <sheetName val="4,3,1_Placa_alig__Caseton_604"/>
      <sheetName val="4,3,2_Caseton_50_cm4"/>
      <sheetName val="4,3,3_Caseton_45_cm4"/>
      <sheetName val="4,3,4_Caseton_40_cm_4"/>
      <sheetName val="4,3,6_Placa_maciza_0,204"/>
      <sheetName val="4,3,7_Placa_maciza_0,1254"/>
      <sheetName val="4,3,8_Placa_maciza_0,104"/>
      <sheetName val="4,3,9_Placa_maciza_0,154"/>
      <sheetName val="4,4,1_Escalera4"/>
      <sheetName val="4,4,2_Rampas4"/>
      <sheetName val="4,4,3_POZO_CONCRETO_20_M34"/>
      <sheetName val="4,4,4_POZO_CONCRETO4"/>
      <sheetName val="4,4,5_Graderias_en_concreto4"/>
      <sheetName val="4,5,1_Acero_37000__4"/>
      <sheetName val="4,5,2_Acero_60000_est4"/>
      <sheetName val="4,5,3_Malla_Electrosoldada_est4"/>
      <sheetName val="4,6,1,1_Est_Cubierta4"/>
      <sheetName val="4,6,2,3_Cerrchas__Metàlica4"/>
      <sheetName val="4,6,2,4_Perfil_4"/>
      <sheetName val="4,6,2,5_Templete4"/>
      <sheetName val="5,1,1_Bloq_Conc_Estruc_0,124"/>
      <sheetName val="5,1,2_Bloque_concreto_divisori4"/>
      <sheetName val="5,1,3_Bloq_tipo_piedra4"/>
      <sheetName val="5,1,5__Calados_en_Concreto4"/>
      <sheetName val="5,1,6_Bloq_Conc_Estruc_0144"/>
      <sheetName val="5,1,7_Bloq_Conc_Estruc_0194"/>
      <sheetName val="5,2,1_Ladrillo_común4"/>
      <sheetName val="5,2,2_Ladrillo_estructural4"/>
      <sheetName val="5,2,3_Ladrillo_común_sobrecimi4"/>
      <sheetName val="5,2,4_Ladrillo_Prensado_portan4"/>
      <sheetName val="5,2,6_Muro_en_bloque_No_44"/>
      <sheetName val="5,3,1_Enchape_ladrillo_arcilla4"/>
      <sheetName val="5,3,3_Alfagias_ladrillo_arcill4"/>
      <sheetName val="5,3,4_Remate_ladrillo_arcilla4"/>
      <sheetName val="5,4,1_Grouting-Concreto_fluido4"/>
      <sheetName val="5,4,2_Remates4"/>
      <sheetName val="5,5,1_Anclajes_Epoxicos4"/>
      <sheetName val="5,5,2_Acero_37000_mamp4"/>
      <sheetName val="5,5,3_Malla_Electrosoldada_4"/>
      <sheetName val="5,5,4_Grafiles_6_mm4"/>
      <sheetName val="5,6,1_Instalaciòn_carpint__Met4"/>
      <sheetName val="6,1,1_Alfajias4"/>
      <sheetName val="6,1,2_Dinteles4"/>
      <sheetName val="6,1,3_Remates_sobre_mamposteri4"/>
      <sheetName val="6_1_8_Pergolas4"/>
      <sheetName val="6_1_9_Gargolas4"/>
      <sheetName val="6,1,10_Gradas_en_Concreto4"/>
      <sheetName val="6,1,11_PLAQUETAS4"/>
      <sheetName val="6,1,15_Bordillos_ducha_y_aseo4"/>
      <sheetName val="6,1,17_Carcamo4"/>
      <sheetName val="6,1,18_Cañuela_Per4"/>
      <sheetName val="6,2,1_Mesones_en_concreto4"/>
      <sheetName val="6,2,2_Mesones_lavamanos4"/>
      <sheetName val="6,2,3_Mesones_laboratorios4"/>
      <sheetName val="6,2,5_Bancas_Concreto4"/>
      <sheetName val="6,2,8_Alfajias_24"/>
      <sheetName val="7,1,1,1_Acometida_PVC-P_2&quot;4"/>
      <sheetName val="7,1,1,2_Accesorio_PVC-P_2&quot;_4"/>
      <sheetName val="7,1,1,5_Bajantes_A_N___PVC_3&quot;4"/>
      <sheetName val="7,1,1,6_Bajantes_A_N_4&quot;4"/>
      <sheetName val="7,1,2,1_Tuberia_H_G__1&quot;4"/>
      <sheetName val="7,1,2,2__Accesorio_H_G__1&quot;_4"/>
      <sheetName val="7,1,2,3_Flotador_14"/>
      <sheetName val="7,1,2,4_Tanque_Plastico4"/>
      <sheetName val="7,1,3,1_Tuberia_H_G__1&quot;cuarto_4"/>
      <sheetName val="7,1,3,2__Accesorio_H_G_1&quot;cuart4"/>
      <sheetName val="7,1,3,3__Registro_R__W__1&quot;4"/>
      <sheetName val="7,1,3,4__Cheque_Helber_1&quot;4"/>
      <sheetName val="7,1,3,7__Tanque_Subterrraneo4"/>
      <sheetName val="7,1,4,1_Tuberia_H_G__1_1_2&quot;4"/>
      <sheetName val="7,1,4,2__Accesorio_H_G_1_1_2&quot;4"/>
      <sheetName val="7,1,4,3__Registro_R__W__1__1_24"/>
      <sheetName val="7,1,4,4__Cheque__Helber_1_1_2&quot;4"/>
      <sheetName val="7,1,5,1_Registro_1_2&quot;4"/>
      <sheetName val="7,1,5,2_Registro_3_44"/>
      <sheetName val="7,1,5,3_Registro_1_4"/>
      <sheetName val="7,1,5,4_Registro_1144"/>
      <sheetName val="7,1,5,5_Registro_1_124"/>
      <sheetName val="7,1,5,6_Registro_2_4"/>
      <sheetName val="7,1,5,8_Caja_registro_4"/>
      <sheetName val="7,1,6,1_Acometida_media4"/>
      <sheetName val="7,1,6,2_Acometida_1PL4"/>
      <sheetName val="7,1,6,3_Registro_PD_media4"/>
      <sheetName val="7,1,6,4_Acometida_1_144"/>
      <sheetName val="7,1,6,5_Tuberia_1_124"/>
      <sheetName val="7,1,6,6_Acometida_24"/>
      <sheetName val="7,1,6,7_Tubo_UZ_2&quot;4"/>
      <sheetName val="7,1,6,8_Acometida_1_124"/>
      <sheetName val="7,1,6,9_Tuberia_UZ_3&quot;4"/>
      <sheetName val="7,1,6,10_Accesorio_UZ__2&quot;4"/>
      <sheetName val="7,1,6,11_Accesorio_UZ_3&quot;4"/>
      <sheetName val="7,1,7,1_Tuberia_H_G__1_2&quot;4"/>
      <sheetName val="7,1,7,2__Accesorio_H_G_1_2&quot;4"/>
      <sheetName val="7,1,7,3_Registro_Corte_1_2&quot;_4"/>
      <sheetName val="7,1,7,4_Registro_1_2&quot;4"/>
      <sheetName val="7,1,7,5_Caja_para_medidor4"/>
      <sheetName val="7,1,8,1_P_Agua_Fria_Lavamanos4"/>
      <sheetName val="7,1,8,2_Punto__Agua_Fria_1_1_24"/>
      <sheetName val="7,1,8,3_P_Agua_Fria_Sanitarios4"/>
      <sheetName val="7,1,8,4_P_Agua_Fria_Orinales4"/>
      <sheetName val="7,1,8,5_P_Agua_Fria_pocetas_la4"/>
      <sheetName val="7,1,8,6_P_Agua_Fria_Ducha4"/>
      <sheetName val="7,1,8,7_P_Agua_Fria_Pocetas4"/>
      <sheetName val="7,1,8,8_Llave__Manguera_1_2&quot;4"/>
      <sheetName val="7,1,8,10__Tapòn_H_G_1_2&quot;4"/>
      <sheetName val="7,1,8,11__Tapòn_P_V_C_1_2&quot;_4"/>
      <sheetName val="7,1,8,12__Camara_aire_H_G_1_2&quot;4"/>
      <sheetName val="7,1,8,13__Camara_aire_P_V_C_P_4"/>
      <sheetName val="7,1,9,1_P_Sanitario_lavamanos4"/>
      <sheetName val="7,1,9,3_P_Sanitario_Sanit4"/>
      <sheetName val="7,1,9,4_P_Sanitario_Orinales4"/>
      <sheetName val="7,1,9,5__P_Sifòn_PVC-S_4&quot;4"/>
      <sheetName val="7,1,9,6__P_Sifòn_PVC-S_2&quot;_4"/>
      <sheetName val="7,1,9,7_P_Sanitario_Pocetas4"/>
      <sheetName val="7,1,9,9_P_Sanitario_sifon4"/>
      <sheetName val="7,1,10,1_Acomet_sanit4"/>
      <sheetName val="7,1,10,2_Pto_3&quot;4"/>
      <sheetName val="7,1,10,2_Punto_Vent_3&quot;4"/>
      <sheetName val="7,1,10,3__Sanit_24"/>
      <sheetName val="6,1,19_Carcamo_IDRD_Tipo_54"/>
      <sheetName val="7,1,10,4_Sanit_34"/>
      <sheetName val="7,1,10,5_4pLG_S4"/>
      <sheetName val="7,1,11,1_Acomet_lluvia4"/>
      <sheetName val="7,1,11,2_Acomet_lluvia_24"/>
      <sheetName val="7,1,11,3_3plg4"/>
      <sheetName val="7,1,11,5_Bajante_PVC_4"/>
      <sheetName val="7,1,11,6_Accesorios_PVC4"/>
      <sheetName val="7,1,12,1_Instalaciòn_Lavamanos4"/>
      <sheetName val="7,1,12,2_Instalaciòn_Sanitario4"/>
      <sheetName val="7,1,12,8_Llave__Manguera_1_2_4"/>
      <sheetName val="7,1,12,9_Acoflex_lav_sant_4"/>
      <sheetName val="7,1,14_Lavado_Tanque4"/>
      <sheetName val="7,1,15_Desinfecciòn_tanque4"/>
      <sheetName val="7,1,16,2_Bomba4"/>
      <sheetName val="7,2,1,1_Punto_de_gas4"/>
      <sheetName val="7,2,1,2_Preinstalación_gas4"/>
      <sheetName val="7,2,1,3_Tuberia__tipo_L_1_2&quot;4"/>
      <sheetName val="7,2,1,4_Tuberia__tipo_L_1&quot;4"/>
      <sheetName val="7,2,1,5__Registro_bola_1&quot;_4"/>
      <sheetName val="7,2,1,7__Rejilla_vent__plastic4"/>
      <sheetName val="9,1,1_Pañete_impermeabilizado4"/>
      <sheetName val="9,1,2_Pañete_muros_interiores4"/>
      <sheetName val="9,1,3_Pañete_Exteriores4"/>
      <sheetName val="9,2,1_Pañete_bajo_placa4"/>
      <sheetName val="10,1,1_base_mueble_concreto4"/>
      <sheetName val="10,1,3_Alistado_pisos4"/>
      <sheetName val="10,1,4_Mortero_afinado4"/>
      <sheetName val="10,1,6_Acabado_Escobeado4"/>
      <sheetName val="10,2,1,3_Ceramica_0,20_x_0,20_4"/>
      <sheetName val="10,2,2,3_Piso_tablòn_ges_0,30_4"/>
      <sheetName val="10,2,4,1_Baldosin_granito4"/>
      <sheetName val="10,2,4,3_gravilla_m24"/>
      <sheetName val="10,3,1,1_Tablòn_cuarto_264"/>
      <sheetName val="10,3,2,1_Guardaescoba4"/>
      <sheetName val="10,3,2,3_Media_Caña4"/>
      <sheetName val="10,3,2,5_Gravilla_4"/>
      <sheetName val="10,3,2,6_Granito4"/>
      <sheetName val="10,4,2_Escalera_en_Granito4"/>
      <sheetName val="10,5,3_Cenefas_Gravilla_4"/>
      <sheetName val="11,1,1_Afinado_Mortero4"/>
      <sheetName val="11,1,2_Media_Caña4"/>
      <sheetName val="11,1,3_Afinado_Viga_canales4"/>
      <sheetName val="11,1,4_foil_aluminio4"/>
      <sheetName val="11,2,2,1_Caballete4"/>
      <sheetName val="11,2,2,2_remate4"/>
      <sheetName val="11,2,3,1_Domo_acrílico4"/>
      <sheetName val="11,2,3,2_Acrilico_transparente4"/>
      <sheetName val="11,2,3,3_Teja_trapezoidal_Plas4"/>
      <sheetName val="11,2,4,1__teja_acero4"/>
      <sheetName val="11,2,4,2_Tejaluz4"/>
      <sheetName val="11,2,5,1_Teja_Barro4"/>
      <sheetName val="11,2,5,2_Limahoyas4"/>
      <sheetName val="11,3,1_Canal_Lámina4"/>
      <sheetName val="11,3,2_Flashing4"/>
      <sheetName val="11,3,3_Tragante_5x34"/>
      <sheetName val="11,3,4_Tragante_6x44"/>
      <sheetName val="11,3,5_Canal_PVC4"/>
      <sheetName val="12,1,1_Ventanas_aluminio_4"/>
      <sheetName val="12,1,2_Ventanas_aluminio_reja4"/>
      <sheetName val="12,1,3_Puerta_aluminio_sencill4"/>
      <sheetName val="12,1,4_Puert_Alum_dob_reja4"/>
      <sheetName val="12,1,5_Puerta_aluminio_doble4"/>
      <sheetName val="12,1,6_Puert_baños4"/>
      <sheetName val="12,1,7_PERGOLAS_ALUM4"/>
      <sheetName val="12,1,8_Puertas_discapacitados4"/>
      <sheetName val="12,1,9_BARANDA_EN_ALUMINIO4"/>
      <sheetName val="12,2,1,1_Marcos_puerta4"/>
      <sheetName val="12,2,1,2_Puerta_Sencilla4"/>
      <sheetName val="12,2,1,3_Ventana4"/>
      <sheetName val="12,2,1,5_Puertas_Emtamborada4"/>
      <sheetName val="12,2,2,1_Pasamanos_4"/>
      <sheetName val="12,2,2,2_Pasamanos4"/>
      <sheetName val="12,2,2,3_Baranda_Malla4"/>
      <sheetName val="_12,2,2,4_Cerramiento_acrílilc4"/>
      <sheetName val="12,2,3,1_Rejas_en_varilla_cuad4"/>
      <sheetName val="12,2,3,2_Rejas_ventana4"/>
      <sheetName val="12,2,3,3_Rejas_Puerta_baño4"/>
      <sheetName val="12,2,3,4_Reja_Ventilación4"/>
      <sheetName val="12,2,4,1_CORTASOL4"/>
      <sheetName val="12,2,4,4_Ventana_Malla4"/>
      <sheetName val="_12,2,2,5_Baranda_M804"/>
      <sheetName val="14,1,1_Ceramica_20_4"/>
      <sheetName val="15,1,3_Lampara_Fluorecente_2x35"/>
      <sheetName val="16,1,3_Sanitarios_tanque4"/>
      <sheetName val="16,1,4_Orinal_4"/>
      <sheetName val="16,1,5_Lavamanos_Sobreponer4"/>
      <sheetName val="16,1,7_Lavamanos_de_colgar4"/>
      <sheetName val="16,1,8_Sanit_Disc4"/>
      <sheetName val="16,1,9_Duchas4"/>
      <sheetName val="16,1,11_POCETA4"/>
      <sheetName val="16,2,1_Pocetas_Aseo4"/>
      <sheetName val="16,2,5_Llave_Terminal4"/>
      <sheetName val="16,2,6_Incrustaciones4"/>
      <sheetName val="16,2,7_Barras_disc4"/>
      <sheetName val="17,2,1_Puerta_Vidrio4"/>
      <sheetName val="17,2,2_Puerta_PVC_Baterias4"/>
      <sheetName val="17,2,3_Divisiones_0,064"/>
      <sheetName val="17,2,4_Divisiones_baños_4"/>
      <sheetName val="18,1,1_pintura_koraza4"/>
      <sheetName val="18,1,2_pintura_plastica4"/>
      <sheetName val="18,1,3_Vinilo_con_estuco4"/>
      <sheetName val="18,1,4_Vinilo_sin_estuco_4"/>
      <sheetName val="18,1,5_Vinilo_Cielos_4"/>
      <sheetName val="19,1,1_Cerraduras4"/>
      <sheetName val="19,4,1_Espejo4"/>
      <sheetName val="19,4,2_Vidrio_Crudo4"/>
      <sheetName val="20,1,2_Exc_Man4"/>
      <sheetName val="20,1,5_Subbase_recebo4"/>
      <sheetName val="20,2,1_Andenes4"/>
      <sheetName val="20,2,2_Sardinel4"/>
      <sheetName val="20,2,4_Banca4"/>
      <sheetName val="20,2,5_Adoquin4"/>
      <sheetName val="20,3,1_Solado_esp=_0,054"/>
      <sheetName val="20,3,2_Concreto_Ciclopeo_4"/>
      <sheetName val="20,3,3_Vigas_de_Amarre4"/>
      <sheetName val="20,3,5__Cerramiento_Malla_Esla4"/>
      <sheetName val="20,3,6__Muros_de_contencion_4"/>
      <sheetName val="20,4,1_Mov_Tierras4"/>
      <sheetName val="20,2,13_Escalinatas4"/>
      <sheetName val="20,2,6_Adoquin_Arcilla4"/>
      <sheetName val="20,2,7_Loseta_A-504"/>
      <sheetName val="20,4,2_Pradización4"/>
      <sheetName val="20_2_10_Bordillo_A-804"/>
      <sheetName val="20,4,4_Arborización4"/>
      <sheetName val="20,5,1_Gaviones_en_piedra4"/>
      <sheetName val="20,5,2_PERGOLA__METALICA4"/>
      <sheetName val="20,5,3__Acero_37000__Ext_4"/>
      <sheetName val="20,5,4_Acero_60000_psi4"/>
      <sheetName val="20,5,5_Malla_Electrosoldada__4"/>
      <sheetName val="21,1,1_Lavada_ladrillo_4"/>
      <sheetName val="21,1,3_Aseo4"/>
      <sheetName val="21,1,4_Retiro_Escombros4"/>
      <sheetName val="Pasamanos_4"/>
      <sheetName val="AIU_Nuevo5"/>
      <sheetName val="ANALISIS_DE_AIU5"/>
      <sheetName val="Cuadro_Resumen5"/>
      <sheetName val="Resumen_m25"/>
      <sheetName val="Datos_entrada5"/>
      <sheetName val="Hoja_Base5"/>
      <sheetName val="Mort_1-35"/>
      <sheetName val="Mort_1-3_Imper5"/>
      <sheetName val="Mort_1-45"/>
      <sheetName val="Mort_1-4_Imper5"/>
      <sheetName val="Mort_1-55"/>
      <sheetName val="Mort_1-75"/>
      <sheetName val="Concr_1,5005"/>
      <sheetName val="Concr_2,0005"/>
      <sheetName val="Concr_2,5005"/>
      <sheetName val="Concr_3,0005"/>
      <sheetName val="Concr_3,5005"/>
      <sheetName val="Concr_4,000_5"/>
      <sheetName val="_Acero_60000_Refuerzo_5"/>
      <sheetName val="_Malla_Electrosoldada_5"/>
      <sheetName val="P_Eléctrico5"/>
      <sheetName val="P_Agua_Fria5"/>
      <sheetName val="P_Sanitario5"/>
      <sheetName val="Granito_pulido_5"/>
      <sheetName val="Marcos_puerta5"/>
      <sheetName val="Marcos_ventana5"/>
      <sheetName val="1,1,1_Campamt5"/>
      <sheetName val="1,1,2_Alquiler_Campameto5"/>
      <sheetName val="1,1,3_Limpieza5"/>
      <sheetName val="1,1,4_Localización_y_replanteo5"/>
      <sheetName val="1,1,6_Cerramiento_Lona5"/>
      <sheetName val="1,1,7_Locali_Manual5"/>
      <sheetName val="1,2,1_Provicional_agua5"/>
      <sheetName val="1,2,2_Provicional_luz5"/>
      <sheetName val="1,3,1_Desmonte_cubierta5"/>
      <sheetName val="1,3,2_Demoliciòn_muro5"/>
      <sheetName val="1,3,3__Dm_enchape5"/>
      <sheetName val="1,3,4_Dm_cimiento5"/>
      <sheetName val="1,3,5_Dm_Vig-colum5"/>
      <sheetName val="1,3,6_Demolicion_placa5"/>
      <sheetName val="1,3,7__Dm_Aparatos5"/>
      <sheetName val="1,4,2_Traslado_postes5"/>
      <sheetName val="1,4,3_Arb_55"/>
      <sheetName val="1,4,4_Arb_105"/>
      <sheetName val="1,4,5_Arb_155"/>
      <sheetName val="1,4,6_Arb_205"/>
      <sheetName val="1,4,7_Arb_+205"/>
      <sheetName val="1,4,8_Traslado_Arb5"/>
      <sheetName val="2,1,1_Exc_Mec5"/>
      <sheetName val="2,1,2_Exc_Man5"/>
      <sheetName val="2,1,3_Exc_M_Sub_base5"/>
      <sheetName val="2,1,5_Relleno_M_Común5"/>
      <sheetName val="2,1,6__Rellenos_M_Selec5"/>
      <sheetName val="2,1,7__Sub_base_Recebo_5"/>
      <sheetName val="2,1,8_Geotextil_NT5"/>
      <sheetName val="2,1,9_Geotextil_Tejido5"/>
      <sheetName val="2,1,10_Relleno_Recebo5"/>
      <sheetName val="2,2,1_Concr_pobre5"/>
      <sheetName val="2,2,2_Concr_Ciclopeo5"/>
      <sheetName val="2,2,3_Muros_de_contencion5"/>
      <sheetName val="2,2,4_Concreto_Zapatas5"/>
      <sheetName val="2,2,5_Vigas_de_cimentación5"/>
      <sheetName val="2,2,6,1_Pilotes_0,305"/>
      <sheetName val="2,2,6,2_Pilotes_0,405"/>
      <sheetName val="2,2,6,3_Pilotes_0,605"/>
      <sheetName val="2,2,6,4_Pilotes_0,805"/>
      <sheetName val="2,2,6,5_Pilotes_0,90_5"/>
      <sheetName val="2,2,7_Dados_en_concreto5"/>
      <sheetName val="2,2,8_Placa_Flotante_0,605"/>
      <sheetName val="2,2,9_Placas_cont=_0,15"/>
      <sheetName val="2,2,10_Placas_cont=_0,1255"/>
      <sheetName val="2,2,11_Placas_cont=_0,155"/>
      <sheetName val="2,3,1_Acero_37000_5"/>
      <sheetName val="2,3,2_Acero_60000_Refuerzo5"/>
      <sheetName val="2,3,3_Malla_Electrosoldada5"/>
      <sheetName val="2,4,1_Gaviones5"/>
      <sheetName val="2,4,2_Cajon_aislamiento_vigas5"/>
      <sheetName val="2,4,3_Icopor_Aislante_ciment__5"/>
      <sheetName val="2,4,4_Pañete_Taludes_5"/>
      <sheetName val="3,1,1_Novafort_A_LL__4&quot;_110mm_5"/>
      <sheetName val="3,1,2_Novafort_A_LL_6&quot;_160mm__5"/>
      <sheetName val="3,1,3_Novafort_A_LL_8&quot;200_mm__5"/>
      <sheetName val="3,1,4_Novafort_10&quot;A_LL__255mm_5"/>
      <sheetName val="3,1,5_Novafort_A_LL_12&quot;_315mm_5"/>
      <sheetName val="3,1,6__Acc__Novafort__A_LL5"/>
      <sheetName val="3,2,1_Novafort_A_N__4&quot;_110_5"/>
      <sheetName val="3,2,2_Novafort_A_N_6&quot;_160m_5"/>
      <sheetName val="3,2,3_Novafort_A_N__8&quot;200_mm5"/>
      <sheetName val="3,2,4_Novafort_10&quot;A_N__255_mm5"/>
      <sheetName val="3,2,5_Novafort_A_N_12&quot;_315mm5"/>
      <sheetName val="3,2,6__Acc__Novafort__A_N_5"/>
      <sheetName val="3,3,1_Tuberia_drenaje_PVC_4&quot;5"/>
      <sheetName val="3,3,2_Tuberia_drenaje_PVC_4&quot;5"/>
      <sheetName val="3,3,3_Accesorio_drenaje_PVC_3&quot;5"/>
      <sheetName val="3,3,4_Accesorio_drenaje_PVC_4&quot;5"/>
      <sheetName val="3,3,5_Filtros_Escorrentias5"/>
      <sheetName val="3,4,1_Caja_inspección_0,60_5"/>
      <sheetName val="3,4,2_Caja_inspección_0,805"/>
      <sheetName val="3,4,3_Caja_inspección_1,005"/>
      <sheetName val="3,4,6_Carcamo5"/>
      <sheetName val="3,4,7_Trampa_de_grasas5"/>
      <sheetName val="3,4,8_Pozo_Septico5"/>
      <sheetName val="3,5,1_Exc_Man_5"/>
      <sheetName val="3,5,2_Exc_en_recebo_comp_5"/>
      <sheetName val="3,5,3__Relleno_M_seleccionado5"/>
      <sheetName val="3,5,4_Relleno_M_Común_5"/>
      <sheetName val="3,5,5_Retiro_sobrantes5"/>
      <sheetName val="3,3,6_POZO_INFILTRACIÓN5"/>
      <sheetName val="3,4,4_Caja_Distribuciòn_0,40__5"/>
      <sheetName val="3,4,9_Caja_discipadora5"/>
      <sheetName val="3,6,2_Cabezal_descarga5"/>
      <sheetName val="4,1,1_Columnas5"/>
      <sheetName val="4,1,2_Pantalla_en_concreto5"/>
      <sheetName val="4,1,3_Muros5"/>
      <sheetName val="4,2,1_Vigas_aéreas5"/>
      <sheetName val="4,2,2_Viga_canal5"/>
      <sheetName val="4,2,3__Vigas_Prefabricadas5"/>
      <sheetName val="4,3,1_Placa_alig__Caseton_605"/>
      <sheetName val="4,3,2_Caseton_50_cm5"/>
      <sheetName val="4,3,3_Caseton_45_cm5"/>
      <sheetName val="4,3,4_Caseton_40_cm_5"/>
      <sheetName val="4,3,6_Placa_maciza_0,205"/>
      <sheetName val="4,3,7_Placa_maciza_0,1255"/>
      <sheetName val="4,3,8_Placa_maciza_0,105"/>
      <sheetName val="4,3,9_Placa_maciza_0,155"/>
      <sheetName val="4,4,1_Escalera5"/>
      <sheetName val="4,4,2_Rampas5"/>
      <sheetName val="4,4,3_POZO_CONCRETO_20_M35"/>
      <sheetName val="4,4,4_POZO_CONCRETO5"/>
      <sheetName val="4,4,5_Graderias_en_concreto5"/>
      <sheetName val="4,5,1_Acero_37000__5"/>
      <sheetName val="4,5,2_Acero_60000_est5"/>
      <sheetName val="4,5,3_Malla_Electrosoldada_est5"/>
      <sheetName val="4,6,1,1_Est_Cubierta5"/>
      <sheetName val="4,6,2,3_Cerrchas__Metàlica5"/>
      <sheetName val="4,6,2,4_Perfil_5"/>
      <sheetName val="4,6,2,5_Templete5"/>
      <sheetName val="5,1,1_Bloq_Conc_Estruc_0,125"/>
      <sheetName val="5,1,2_Bloque_concreto_divisori5"/>
      <sheetName val="5,1,3_Bloq_tipo_piedra5"/>
      <sheetName val="5,1,5__Calados_en_Concreto5"/>
      <sheetName val="5,1,6_Bloq_Conc_Estruc_0145"/>
      <sheetName val="5,1,7_Bloq_Conc_Estruc_0195"/>
      <sheetName val="5,2,1_Ladrillo_común5"/>
      <sheetName val="5,2,2_Ladrillo_estructural5"/>
      <sheetName val="5,2,3_Ladrillo_común_sobrecimi5"/>
      <sheetName val="5,2,4_Ladrillo_Prensado_portan5"/>
      <sheetName val="5,2,6_Muro_en_bloque_No_45"/>
      <sheetName val="5,3,1_Enchape_ladrillo_arcilla5"/>
      <sheetName val="5,3,3_Alfagias_ladrillo_arcill5"/>
      <sheetName val="5,3,4_Remate_ladrillo_arcilla5"/>
      <sheetName val="5,4,1_Grouting-Concreto_fluido5"/>
      <sheetName val="5,4,2_Remates5"/>
      <sheetName val="5,5,1_Anclajes_Epoxicos5"/>
      <sheetName val="5,5,2_Acero_37000_mamp5"/>
      <sheetName val="5,5,3_Malla_Electrosoldada_5"/>
      <sheetName val="5,5,4_Grafiles_6_mm5"/>
      <sheetName val="5,6,1_Instalaciòn_carpint__Met5"/>
      <sheetName val="6,1,1_Alfajias5"/>
      <sheetName val="6,1,2_Dinteles5"/>
      <sheetName val="6,1,3_Remates_sobre_mamposteri5"/>
      <sheetName val="6_1_8_Pergolas5"/>
      <sheetName val="6_1_9_Gargolas5"/>
      <sheetName val="6,1,10_Gradas_en_Concreto5"/>
      <sheetName val="6,1,11_PLAQUETAS5"/>
      <sheetName val="6,1,15_Bordillos_ducha_y_aseo5"/>
      <sheetName val="6,1,17_Carcamo5"/>
      <sheetName val="6,1,18_Cañuela_Per5"/>
      <sheetName val="6,2,1_Mesones_en_concreto5"/>
      <sheetName val="6,2,2_Mesones_lavamanos5"/>
      <sheetName val="6,2,3_Mesones_laboratorios5"/>
      <sheetName val="6,2,5_Bancas_Concreto5"/>
      <sheetName val="6,2,8_Alfajias_25"/>
      <sheetName val="7,1,1,1_Acometida_PVC-P_2&quot;5"/>
      <sheetName val="7,1,1,2_Accesorio_PVC-P_2&quot;_5"/>
      <sheetName val="7,1,1,5_Bajantes_A_N___PVC_3&quot;5"/>
      <sheetName val="7,1,1,6_Bajantes_A_N_4&quot;5"/>
      <sheetName val="7,1,2,1_Tuberia_H_G__1&quot;5"/>
      <sheetName val="7,1,2,2__Accesorio_H_G__1&quot;_5"/>
      <sheetName val="7,1,2,3_Flotador_15"/>
      <sheetName val="7,1,2,4_Tanque_Plastico5"/>
      <sheetName val="7,1,3,1_Tuberia_H_G__1&quot;cuarto_5"/>
      <sheetName val="7,1,3,2__Accesorio_H_G_1&quot;cuart5"/>
      <sheetName val="7,1,3,3__Registro_R__W__1&quot;5"/>
      <sheetName val="7,1,3,4__Cheque_Helber_1&quot;5"/>
      <sheetName val="7,1,3,7__Tanque_Subterrraneo5"/>
      <sheetName val="7,1,4,1_Tuberia_H_G__1_1_2&quot;5"/>
      <sheetName val="7,1,4,2__Accesorio_H_G_1_1_2&quot;5"/>
      <sheetName val="7,1,4,3__Registro_R__W__1__1_25"/>
      <sheetName val="7,1,4,4__Cheque__Helber_1_1_2&quot;5"/>
      <sheetName val="7,1,5,1_Registro_1_2&quot;5"/>
      <sheetName val="7,1,5,2_Registro_3_45"/>
      <sheetName val="7,1,5,3_Registro_1_5"/>
      <sheetName val="7,1,5,4_Registro_1145"/>
      <sheetName val="7,1,5,5_Registro_1_125"/>
      <sheetName val="7,1,5,6_Registro_2_5"/>
      <sheetName val="7,1,5,8_Caja_registro_5"/>
      <sheetName val="7,1,6,1_Acometida_media5"/>
      <sheetName val="7,1,6,2_Acometida_1PL5"/>
      <sheetName val="7,1,6,3_Registro_PD_media5"/>
      <sheetName val="7,1,6,4_Acometida_1_145"/>
      <sheetName val="7,1,6,5_Tuberia_1_125"/>
      <sheetName val="7,1,6,6_Acometida_25"/>
      <sheetName val="7,1,6,7_Tubo_UZ_2&quot;5"/>
      <sheetName val="7,1,6,8_Acometida_1_125"/>
      <sheetName val="7,1,6,9_Tuberia_UZ_3&quot;5"/>
      <sheetName val="7,1,6,10_Accesorio_UZ__2&quot;5"/>
      <sheetName val="7,1,6,11_Accesorio_UZ_3&quot;5"/>
      <sheetName val="7,1,7,1_Tuberia_H_G__1_2&quot;5"/>
      <sheetName val="7,1,7,2__Accesorio_H_G_1_2&quot;5"/>
      <sheetName val="7,1,7,3_Registro_Corte_1_2&quot;_5"/>
      <sheetName val="7,1,7,4_Registro_1_2&quot;5"/>
      <sheetName val="7,1,7,5_Caja_para_medidor5"/>
      <sheetName val="7,1,8,1_P_Agua_Fria_Lavamanos5"/>
      <sheetName val="7,1,8,2_Punto__Agua_Fria_1_1_25"/>
      <sheetName val="7,1,8,3_P_Agua_Fria_Sanitarios5"/>
      <sheetName val="7,1,8,4_P_Agua_Fria_Orinales5"/>
      <sheetName val="7,1,8,5_P_Agua_Fria_pocetas_la5"/>
      <sheetName val="7,1,8,6_P_Agua_Fria_Ducha5"/>
      <sheetName val="7,1,8,7_P_Agua_Fria_Pocetas5"/>
      <sheetName val="7,1,8,8_Llave__Manguera_1_2&quot;5"/>
      <sheetName val="7,1,8,10__Tapòn_H_G_1_2&quot;5"/>
      <sheetName val="7,1,8,11__Tapòn_P_V_C_1_2&quot;_5"/>
      <sheetName val="7,1,8,12__Camara_aire_H_G_1_2&quot;5"/>
      <sheetName val="7,1,8,13__Camara_aire_P_V_C_P_5"/>
      <sheetName val="7,1,9,1_P_Sanitario_lavamanos5"/>
      <sheetName val="7,1,9,3_P_Sanitario_Sanit5"/>
      <sheetName val="7,1,9,4_P_Sanitario_Orinales5"/>
      <sheetName val="7,1,9,5__P_Sifòn_PVC-S_4&quot;5"/>
      <sheetName val="7,1,9,6__P_Sifòn_PVC-S_2&quot;_5"/>
      <sheetName val="7,1,9,7_P_Sanitario_Pocetas5"/>
      <sheetName val="7,1,9,9_P_Sanitario_sifon5"/>
      <sheetName val="7,1,10,1_Acomet_sanit5"/>
      <sheetName val="7,1,10,2_Pto_3&quot;5"/>
      <sheetName val="7,1,10,2_Punto_Vent_3&quot;5"/>
      <sheetName val="7,1,10,3__Sanit_25"/>
      <sheetName val="6,1,19_Carcamo_IDRD_Tipo_55"/>
      <sheetName val="7,1,10,4_Sanit_35"/>
      <sheetName val="7,1,10,5_4pLG_S5"/>
      <sheetName val="7,1,11,1_Acomet_lluvia5"/>
      <sheetName val="7,1,11,2_Acomet_lluvia_25"/>
      <sheetName val="7,1,11,3_3plg5"/>
      <sheetName val="7,1,11,5_Bajante_PVC_5"/>
      <sheetName val="7,1,11,6_Accesorios_PVC5"/>
      <sheetName val="7,1,12,1_Instalaciòn_Lavamanos5"/>
      <sheetName val="7,1,12,2_Instalaciòn_Sanitario5"/>
      <sheetName val="7,1,12,8_Llave__Manguera_1_2_5"/>
      <sheetName val="7,1,12,9_Acoflex_lav_sant_5"/>
      <sheetName val="7,1,14_Lavado_Tanque5"/>
      <sheetName val="7,1,15_Desinfecciòn_tanque5"/>
      <sheetName val="7,1,16,2_Bomba5"/>
      <sheetName val="7,2,1,1_Punto_de_gas5"/>
      <sheetName val="7,2,1,2_Preinstalación_gas5"/>
      <sheetName val="7,2,1,3_Tuberia__tipo_L_1_2&quot;5"/>
      <sheetName val="7,2,1,4_Tuberia__tipo_L_1&quot;5"/>
      <sheetName val="7,2,1,5__Registro_bola_1&quot;_5"/>
      <sheetName val="7,2,1,7__Rejilla_vent__plastic5"/>
      <sheetName val="9,1,1_Pañete_impermeabilizado5"/>
      <sheetName val="9,1,2_Pañete_muros_interiores5"/>
      <sheetName val="9,1,3_Pañete_Exteriores5"/>
      <sheetName val="9,2,1_Pañete_bajo_placa5"/>
      <sheetName val="10,1,1_base_mueble_concreto5"/>
      <sheetName val="10,1,3_Alistado_pisos5"/>
      <sheetName val="10,1,4_Mortero_afinado5"/>
      <sheetName val="10,1,6_Acabado_Escobeado5"/>
      <sheetName val="10,2,1,3_Ceramica_0,20_x_0,20_5"/>
      <sheetName val="10,2,2,3_Piso_tablòn_ges_0,30_5"/>
      <sheetName val="10,2,4,1_Baldosin_granito5"/>
      <sheetName val="10,2,4,3_gravilla_m25"/>
      <sheetName val="10,3,1,1_Tablòn_cuarto_265"/>
      <sheetName val="10,3,2,1_Guardaescoba5"/>
      <sheetName val="10,3,2,3_Media_Caña5"/>
      <sheetName val="10,3,2,5_Gravilla_5"/>
      <sheetName val="10,3,2,6_Granito5"/>
      <sheetName val="10,4,2_Escalera_en_Granito5"/>
      <sheetName val="10,5,3_Cenefas_Gravilla_5"/>
      <sheetName val="11,1,1_Afinado_Mortero5"/>
      <sheetName val="11,1,2_Media_Caña5"/>
      <sheetName val="11,1,3_Afinado_Viga_canales5"/>
      <sheetName val="11,1,4_foil_aluminio5"/>
      <sheetName val="11,2,2,1_Caballete5"/>
      <sheetName val="11,2,2,2_remate5"/>
      <sheetName val="11,2,3,1_Domo_acrílico5"/>
      <sheetName val="11,2,3,2_Acrilico_transparente5"/>
      <sheetName val="11,2,3,3_Teja_trapezoidal_Plas5"/>
      <sheetName val="11,2,4,1__teja_acero5"/>
      <sheetName val="11,2,4,2_Tejaluz5"/>
      <sheetName val="11,2,5,1_Teja_Barro5"/>
      <sheetName val="11,2,5,2_Limahoyas5"/>
      <sheetName val="11,3,1_Canal_Lámina5"/>
      <sheetName val="11,3,2_Flashing5"/>
      <sheetName val="11,3,3_Tragante_5x35"/>
      <sheetName val="11,3,4_Tragante_6x45"/>
      <sheetName val="11,3,5_Canal_PVC5"/>
      <sheetName val="12,1,1_Ventanas_aluminio_5"/>
      <sheetName val="12,1,2_Ventanas_aluminio_reja5"/>
      <sheetName val="12,1,3_Puerta_aluminio_sencill5"/>
      <sheetName val="12,1,4_Puert_Alum_dob_reja5"/>
      <sheetName val="12,1,5_Puerta_aluminio_doble5"/>
      <sheetName val="12,1,6_Puert_baños5"/>
      <sheetName val="12,1,7_PERGOLAS_ALUM5"/>
      <sheetName val="12,1,8_Puertas_discapacitados5"/>
      <sheetName val="12,1,9_BARANDA_EN_ALUMINIO5"/>
      <sheetName val="12,2,1,1_Marcos_puerta5"/>
      <sheetName val="12,2,1,2_Puerta_Sencilla5"/>
      <sheetName val="12,2,1,3_Ventana5"/>
      <sheetName val="12,2,1,5_Puertas_Emtamborada5"/>
      <sheetName val="12,2,2,1_Pasamanos_5"/>
      <sheetName val="12,2,2,2_Pasamanos5"/>
      <sheetName val="12,2,2,3_Baranda_Malla5"/>
      <sheetName val="_12,2,2,4_Cerramiento_acrílilc5"/>
      <sheetName val="12,2,3,1_Rejas_en_varilla_cuad5"/>
      <sheetName val="12,2,3,2_Rejas_ventana5"/>
      <sheetName val="12,2,3,3_Rejas_Puerta_baño5"/>
      <sheetName val="12,2,3,4_Reja_Ventilación5"/>
      <sheetName val="12,2,4,1_CORTASOL5"/>
      <sheetName val="12,2,4,4_Ventana_Malla5"/>
      <sheetName val="_12,2,2,5_Baranda_M805"/>
      <sheetName val="14,1,1_Ceramica_20_5"/>
      <sheetName val="15,1,3_Lampara_Fluorecente_2x36"/>
      <sheetName val="16,1,3_Sanitarios_tanque5"/>
      <sheetName val="16,1,4_Orinal_5"/>
      <sheetName val="16,1,5_Lavamanos_Sobreponer5"/>
      <sheetName val="16,1,7_Lavamanos_de_colgar5"/>
      <sheetName val="16,1,8_Sanit_Disc5"/>
      <sheetName val="16,1,9_Duchas5"/>
      <sheetName val="16,1,11_POCETA5"/>
      <sheetName val="16,2,1_Pocetas_Aseo5"/>
      <sheetName val="16,2,5_Llave_Terminal5"/>
      <sheetName val="16,2,6_Incrustaciones5"/>
      <sheetName val="16,2,7_Barras_disc5"/>
      <sheetName val="17,2,1_Puerta_Vidrio5"/>
      <sheetName val="17,2,2_Puerta_PVC_Baterias5"/>
      <sheetName val="17,2,3_Divisiones_0,065"/>
      <sheetName val="17,2,4_Divisiones_baños_5"/>
      <sheetName val="18,1,1_pintura_koraza5"/>
      <sheetName val="18,1,2_pintura_plastica5"/>
      <sheetName val="18,1,3_Vinilo_con_estuco5"/>
      <sheetName val="18,1,4_Vinilo_sin_estuco_5"/>
      <sheetName val="18,1,5_Vinilo_Cielos_5"/>
      <sheetName val="19,1,1_Cerraduras5"/>
      <sheetName val="19,4,1_Espejo5"/>
      <sheetName val="19,4,2_Vidrio_Crudo5"/>
      <sheetName val="20,1,2_Exc_Man5"/>
      <sheetName val="20,1,5_Subbase_recebo5"/>
      <sheetName val="20,2,1_Andenes5"/>
      <sheetName val="20,2,2_Sardinel5"/>
      <sheetName val="20,2,4_Banca5"/>
      <sheetName val="20,2,5_Adoquin5"/>
      <sheetName val="20,3,1_Solado_esp=_0,055"/>
      <sheetName val="20,3,2_Concreto_Ciclopeo_5"/>
      <sheetName val="20,3,3_Vigas_de_Amarre5"/>
      <sheetName val="20,3,5__Cerramiento_Malla_Esla5"/>
      <sheetName val="20,3,6__Muros_de_contencion_5"/>
      <sheetName val="20,4,1_Mov_Tierras5"/>
      <sheetName val="20,2,13_Escalinatas5"/>
      <sheetName val="20,2,6_Adoquin_Arcilla5"/>
      <sheetName val="20,2,7_Loseta_A-505"/>
      <sheetName val="20,4,2_Pradización5"/>
      <sheetName val="20_2_10_Bordillo_A-805"/>
      <sheetName val="20,4,4_Arborización5"/>
      <sheetName val="20,5,1_Gaviones_en_piedra5"/>
      <sheetName val="20,5,2_PERGOLA__METALICA5"/>
      <sheetName val="20,5,3__Acero_37000__Ext_5"/>
      <sheetName val="20,5,4_Acero_60000_psi5"/>
      <sheetName val="20,5,5_Malla_Electrosoldada__5"/>
      <sheetName val="21,1,1_Lavada_ladrillo_5"/>
      <sheetName val="21,1,3_Aseo5"/>
      <sheetName val="21,1,4_Retiro_Escombros5"/>
      <sheetName val="Pasamanos_5"/>
      <sheetName val="AIU_Nuevo8"/>
      <sheetName val="ANALISIS_DE_AIU8"/>
      <sheetName val="Cuadro_Resumen8"/>
      <sheetName val="Resumen_m28"/>
      <sheetName val="Datos_entrada8"/>
      <sheetName val="Hoja_Base8"/>
      <sheetName val="Mort_1-38"/>
      <sheetName val="Mort_1-3_Imper8"/>
      <sheetName val="Mort_1-48"/>
      <sheetName val="Mort_1-4_Imper8"/>
      <sheetName val="Mort_1-58"/>
      <sheetName val="Mort_1-78"/>
      <sheetName val="Concr_1,5008"/>
      <sheetName val="Concr_2,0008"/>
      <sheetName val="Concr_2,5008"/>
      <sheetName val="Concr_3,0008"/>
      <sheetName val="Concr_3,5008"/>
      <sheetName val="Concr_4,000_8"/>
      <sheetName val="_Acero_60000_Refuerzo_8"/>
      <sheetName val="_Malla_Electrosoldada_8"/>
      <sheetName val="P_Eléctrico8"/>
      <sheetName val="P_Agua_Fria8"/>
      <sheetName val="P_Sanitario8"/>
      <sheetName val="Granito_pulido_8"/>
      <sheetName val="Marcos_puerta8"/>
      <sheetName val="Marcos_ventana8"/>
      <sheetName val="1,1,1_Campamt8"/>
      <sheetName val="1,1,2_Alquiler_Campameto8"/>
      <sheetName val="1,1,3_Limpieza8"/>
      <sheetName val="1,1,4_Localización_y_replanteo8"/>
      <sheetName val="1,1,6_Cerramiento_Lona8"/>
      <sheetName val="1,1,7_Locali_Manual8"/>
      <sheetName val="1,2,1_Provicional_agua8"/>
      <sheetName val="1,2,2_Provicional_luz8"/>
      <sheetName val="1,3,1_Desmonte_cubierta8"/>
      <sheetName val="1,3,2_Demoliciòn_muro8"/>
      <sheetName val="1,3,3__Dm_enchape8"/>
      <sheetName val="1,3,4_Dm_cimiento8"/>
      <sheetName val="1,3,5_Dm_Vig-colum8"/>
      <sheetName val="1,3,6_Demolicion_placa8"/>
      <sheetName val="1,3,7__Dm_Aparatos8"/>
      <sheetName val="1,4,2_Traslado_postes8"/>
      <sheetName val="1,4,3_Arb_58"/>
      <sheetName val="1,4,4_Arb_108"/>
      <sheetName val="1,4,5_Arb_158"/>
      <sheetName val="1,4,6_Arb_208"/>
      <sheetName val="1,4,7_Arb_+208"/>
      <sheetName val="1,4,8_Traslado_Arb8"/>
      <sheetName val="2,1,1_Exc_Mec8"/>
      <sheetName val="2,1,2_Exc_Man8"/>
      <sheetName val="2,1,3_Exc_M_Sub_base8"/>
      <sheetName val="2,1,5_Relleno_M_Común8"/>
      <sheetName val="2,1,6__Rellenos_M_Selec8"/>
      <sheetName val="2,1,7__Sub_base_Recebo_8"/>
      <sheetName val="2,1,8_Geotextil_NT8"/>
      <sheetName val="2,1,9_Geotextil_Tejido8"/>
      <sheetName val="2,1,10_Relleno_Recebo8"/>
      <sheetName val="2,2,1_Concr_pobre8"/>
      <sheetName val="2,2,2_Concr_Ciclopeo8"/>
      <sheetName val="2,2,3_Muros_de_contencion8"/>
      <sheetName val="2,2,4_Concreto_Zapatas8"/>
      <sheetName val="2,2,5_Vigas_de_cimentación8"/>
      <sheetName val="2,2,6,1_Pilotes_0,308"/>
      <sheetName val="2,2,6,2_Pilotes_0,408"/>
      <sheetName val="2,2,6,3_Pilotes_0,608"/>
      <sheetName val="2,2,6,4_Pilotes_0,808"/>
      <sheetName val="2,2,6,5_Pilotes_0,90_8"/>
      <sheetName val="2,2,7_Dados_en_concreto8"/>
      <sheetName val="2,2,8_Placa_Flotante_0,608"/>
      <sheetName val="2,2,9_Placas_cont=_0,18"/>
      <sheetName val="2,2,10_Placas_cont=_0,1258"/>
      <sheetName val="2,2,11_Placas_cont=_0,158"/>
      <sheetName val="2,3,1_Acero_37000_8"/>
      <sheetName val="2,3,2_Acero_60000_Refuerzo8"/>
      <sheetName val="2,3,3_Malla_Electrosoldada8"/>
      <sheetName val="2,4,1_Gaviones8"/>
      <sheetName val="2,4,2_Cajon_aislamiento_vigas8"/>
      <sheetName val="2,4,3_Icopor_Aislante_ciment__8"/>
      <sheetName val="2,4,4_Pañete_Taludes_8"/>
      <sheetName val="3,1,1_Novafort_A_LL__4&quot;_110mm_8"/>
      <sheetName val="3,1,2_Novafort_A_LL_6&quot;_160mm__8"/>
      <sheetName val="3,1,3_Novafort_A_LL_8&quot;200_mm__8"/>
      <sheetName val="3,1,4_Novafort_10&quot;A_LL__255mm_8"/>
      <sheetName val="3,1,5_Novafort_A_LL_12&quot;_315mm_8"/>
      <sheetName val="3,1,6__Acc__Novafort__A_LL8"/>
      <sheetName val="3,2,1_Novafort_A_N__4&quot;_110_8"/>
      <sheetName val="3,2,2_Novafort_A_N_6&quot;_160m_8"/>
      <sheetName val="3,2,3_Novafort_A_N__8&quot;200_mm8"/>
      <sheetName val="3,2,4_Novafort_10&quot;A_N__255_mm8"/>
      <sheetName val="3,2,5_Novafort_A_N_12&quot;_315mm8"/>
      <sheetName val="3,2,6__Acc__Novafort__A_N_8"/>
      <sheetName val="3,3,1_Tuberia_drenaje_PVC_4&quot;8"/>
      <sheetName val="3,3,2_Tuberia_drenaje_PVC_4&quot;8"/>
      <sheetName val="3,3,3_Accesorio_drenaje_PVC_3&quot;8"/>
      <sheetName val="3,3,4_Accesorio_drenaje_PVC_4&quot;8"/>
      <sheetName val="3,3,5_Filtros_Escorrentias8"/>
      <sheetName val="3,4,1_Caja_inspección_0,60_8"/>
      <sheetName val="3,4,2_Caja_inspección_0,808"/>
      <sheetName val="3,4,3_Caja_inspección_1,008"/>
      <sheetName val="3,4,6_Carcamo8"/>
      <sheetName val="3,4,7_Trampa_de_grasas8"/>
      <sheetName val="3,4,8_Pozo_Septico8"/>
      <sheetName val="3,5,1_Exc_Man_8"/>
      <sheetName val="3,5,2_Exc_en_recebo_comp_8"/>
      <sheetName val="3,5,3__Relleno_M_seleccionado8"/>
      <sheetName val="3,5,4_Relleno_M_Común_8"/>
      <sheetName val="3,5,5_Retiro_sobrantes8"/>
      <sheetName val="3,3,6_POZO_INFILTRACIÓN8"/>
      <sheetName val="3,4,4_Caja_Distribuciòn_0,40__8"/>
      <sheetName val="3,4,9_Caja_discipadora8"/>
      <sheetName val="3,6,2_Cabezal_descarga8"/>
      <sheetName val="4,1,1_Columnas8"/>
      <sheetName val="4,1,2_Pantalla_en_concreto8"/>
      <sheetName val="4,1,3_Muros8"/>
      <sheetName val="4,2,1_Vigas_aéreas8"/>
      <sheetName val="4,2,2_Viga_canal8"/>
      <sheetName val="4,2,3__Vigas_Prefabricadas8"/>
      <sheetName val="4,3,1_Placa_alig__Caseton_608"/>
      <sheetName val="4,3,2_Caseton_50_cm8"/>
      <sheetName val="4,3,3_Caseton_45_cm8"/>
      <sheetName val="4,3,4_Caseton_40_cm_8"/>
      <sheetName val="4,3,6_Placa_maciza_0,208"/>
      <sheetName val="4,3,7_Placa_maciza_0,1258"/>
      <sheetName val="4,3,8_Placa_maciza_0,108"/>
      <sheetName val="4,3,9_Placa_maciza_0,158"/>
      <sheetName val="4,4,1_Escalera8"/>
      <sheetName val="4,4,2_Rampas8"/>
      <sheetName val="4,4,3_POZO_CONCRETO_20_M38"/>
      <sheetName val="4,4,4_POZO_CONCRETO8"/>
      <sheetName val="4,4,5_Graderias_en_concreto8"/>
      <sheetName val="4,5,1_Acero_37000__8"/>
      <sheetName val="4,5,2_Acero_60000_est8"/>
      <sheetName val="4,5,3_Malla_Electrosoldada_est8"/>
      <sheetName val="4,6,1,1_Est_Cubierta8"/>
      <sheetName val="4,6,2,3_Cerrchas__Metàlica8"/>
      <sheetName val="4,6,2,4_Perfil_8"/>
      <sheetName val="4,6,2,5_Templete8"/>
      <sheetName val="5,1,1_Bloq_Conc_Estruc_0,128"/>
      <sheetName val="5,1,2_Bloque_concreto_divisori8"/>
      <sheetName val="5,1,3_Bloq_tipo_piedra8"/>
      <sheetName val="5,1,5__Calados_en_Concreto8"/>
      <sheetName val="5,1,6_Bloq_Conc_Estruc_0148"/>
      <sheetName val="5,1,7_Bloq_Conc_Estruc_0198"/>
      <sheetName val="5,2,1_Ladrillo_común8"/>
      <sheetName val="5,2,2_Ladrillo_estructural8"/>
      <sheetName val="5,2,3_Ladrillo_común_sobrecimi8"/>
      <sheetName val="5,2,4_Ladrillo_Prensado_portan8"/>
      <sheetName val="5,2,6_Muro_en_bloque_No_48"/>
      <sheetName val="5,3,1_Enchape_ladrillo_arcilla8"/>
      <sheetName val="5,3,3_Alfagias_ladrillo_arcill8"/>
      <sheetName val="5,3,4_Remate_ladrillo_arcilla8"/>
      <sheetName val="5,4,1_Grouting-Concreto_fluido8"/>
      <sheetName val="5,4,2_Remates8"/>
      <sheetName val="5,5,1_Anclajes_Epoxicos8"/>
      <sheetName val="5,5,2_Acero_37000_mamp8"/>
      <sheetName val="5,5,3_Malla_Electrosoldada_8"/>
      <sheetName val="5,5,4_Grafiles_6_mm8"/>
      <sheetName val="5,6,1_Instalaciòn_carpint__Met8"/>
      <sheetName val="6,1,1_Alfajias8"/>
      <sheetName val="6,1,2_Dinteles8"/>
      <sheetName val="6,1,3_Remates_sobre_mamposteri8"/>
      <sheetName val="6_1_8_Pergolas8"/>
      <sheetName val="6_1_9_Gargolas8"/>
      <sheetName val="6,1,10_Gradas_en_Concreto8"/>
      <sheetName val="6,1,11_PLAQUETAS8"/>
      <sheetName val="6,1,15_Bordillos_ducha_y_aseo8"/>
      <sheetName val="6,1,17_Carcamo8"/>
      <sheetName val="6,1,18_Cañuela_Per8"/>
      <sheetName val="6,2,1_Mesones_en_concreto8"/>
      <sheetName val="6,2,2_Mesones_lavamanos8"/>
      <sheetName val="6,2,3_Mesones_laboratorios8"/>
      <sheetName val="6,2,5_Bancas_Concreto8"/>
      <sheetName val="6,2,8_Alfajias_28"/>
      <sheetName val="7,1,1,1_Acometida_PVC-P_2&quot;8"/>
      <sheetName val="7,1,1,2_Accesorio_PVC-P_2&quot;_8"/>
      <sheetName val="7,1,1,5_Bajantes_A_N___PVC_3&quot;8"/>
      <sheetName val="7,1,1,6_Bajantes_A_N_4&quot;8"/>
      <sheetName val="7,1,2,1_Tuberia_H_G__1&quot;8"/>
      <sheetName val="7,1,2,2__Accesorio_H_G__1&quot;_8"/>
      <sheetName val="7,1,2,3_Flotador_18"/>
      <sheetName val="7,1,2,4_Tanque_Plastico8"/>
      <sheetName val="7,1,3,1_Tuberia_H_G__1&quot;cuarto_8"/>
      <sheetName val="7,1,3,2__Accesorio_H_G_1&quot;cuart8"/>
      <sheetName val="7,1,3,3__Registro_R__W__1&quot;8"/>
      <sheetName val="7,1,3,4__Cheque_Helber_1&quot;8"/>
      <sheetName val="7,1,3,7__Tanque_Subterrraneo8"/>
      <sheetName val="7,1,4,1_Tuberia_H_G__1_1_2&quot;8"/>
      <sheetName val="7,1,4,2__Accesorio_H_G_1_1_2&quot;8"/>
      <sheetName val="7,1,4,3__Registro_R__W__1__1_28"/>
      <sheetName val="7,1,4,4__Cheque__Helber_1_1_2&quot;8"/>
      <sheetName val="7,1,5,1_Registro_1_2&quot;8"/>
      <sheetName val="7,1,5,2_Registro_3_48"/>
      <sheetName val="7,1,5,3_Registro_1_8"/>
      <sheetName val="7,1,5,4_Registro_1148"/>
      <sheetName val="7,1,5,5_Registro_1_128"/>
      <sheetName val="7,1,5,6_Registro_2_8"/>
      <sheetName val="7,1,5,8_Caja_registro_8"/>
      <sheetName val="7,1,6,1_Acometida_media8"/>
      <sheetName val="7,1,6,2_Acometida_1PL8"/>
      <sheetName val="7,1,6,3_Registro_PD_media8"/>
      <sheetName val="7,1,6,4_Acometida_1_148"/>
      <sheetName val="7,1,6,5_Tuberia_1_128"/>
      <sheetName val="7,1,6,6_Acometida_28"/>
      <sheetName val="7,1,6,7_Tubo_UZ_2&quot;8"/>
      <sheetName val="7,1,6,8_Acometida_1_128"/>
      <sheetName val="7,1,6,9_Tuberia_UZ_3&quot;8"/>
      <sheetName val="7,1,6,10_Accesorio_UZ__2&quot;8"/>
      <sheetName val="7,1,6,11_Accesorio_UZ_3&quot;8"/>
      <sheetName val="7,1,7,1_Tuberia_H_G__1_2&quot;8"/>
      <sheetName val="7,1,7,2__Accesorio_H_G_1_2&quot;8"/>
      <sheetName val="7,1,7,3_Registro_Corte_1_2&quot;_8"/>
      <sheetName val="7,1,7,4_Registro_1_2&quot;8"/>
      <sheetName val="7,1,7,5_Caja_para_medidor8"/>
      <sheetName val="7,1,8,1_P_Agua_Fria_Lavamanos8"/>
      <sheetName val="7,1,8,2_Punto__Agua_Fria_1_1_28"/>
      <sheetName val="7,1,8,3_P_Agua_Fria_Sanitarios8"/>
      <sheetName val="7,1,8,4_P_Agua_Fria_Orinales8"/>
      <sheetName val="7,1,8,5_P_Agua_Fria_pocetas_la8"/>
      <sheetName val="7,1,8,6_P_Agua_Fria_Ducha8"/>
      <sheetName val="7,1,8,7_P_Agua_Fria_Pocetas8"/>
      <sheetName val="7,1,8,8_Llave__Manguera_1_2&quot;8"/>
      <sheetName val="7,1,8,10__Tapòn_H_G_1_2&quot;8"/>
      <sheetName val="7,1,8,11__Tapòn_P_V_C_1_2&quot;_8"/>
      <sheetName val="7,1,8,12__Camara_aire_H_G_1_2&quot;8"/>
      <sheetName val="7,1,8,13__Camara_aire_P_V_C_P_8"/>
      <sheetName val="7,1,9,1_P_Sanitario_lavamanos8"/>
      <sheetName val="7,1,9,3_P_Sanitario_Sanit8"/>
      <sheetName val="7,1,9,4_P_Sanitario_Orinales8"/>
      <sheetName val="7,1,9,5__P_Sifòn_PVC-S_4&quot;8"/>
      <sheetName val="7,1,9,6__P_Sifòn_PVC-S_2&quot;_8"/>
      <sheetName val="7,1,9,7_P_Sanitario_Pocetas8"/>
      <sheetName val="7,1,9,9_P_Sanitario_sifon8"/>
      <sheetName val="7,1,10,1_Acomet_sanit8"/>
      <sheetName val="7,1,10,2_Pto_3&quot;8"/>
      <sheetName val="7,1,10,2_Punto_Vent_3&quot;8"/>
      <sheetName val="7,1,10,3__Sanit_28"/>
      <sheetName val="6,1,19_Carcamo_IDRD_Tipo_58"/>
      <sheetName val="7,1,10,4_Sanit_38"/>
      <sheetName val="7,1,10,5_4pLG_S8"/>
      <sheetName val="7,1,11,1_Acomet_lluvia8"/>
      <sheetName val="7,1,11,2_Acomet_lluvia_28"/>
      <sheetName val="7,1,11,3_3plg8"/>
      <sheetName val="7,1,11,5_Bajante_PVC_8"/>
      <sheetName val="7,1,11,6_Accesorios_PVC8"/>
      <sheetName val="7,1,12,1_Instalaciòn_Lavamanos8"/>
      <sheetName val="7,1,12,2_Instalaciòn_Sanitario8"/>
      <sheetName val="7,1,12,8_Llave__Manguera_1_2_8"/>
      <sheetName val="7,1,12,9_Acoflex_lav_sant_8"/>
      <sheetName val="7,1,14_Lavado_Tanque8"/>
      <sheetName val="7,1,15_Desinfecciòn_tanque8"/>
      <sheetName val="7,1,16,2_Bomba8"/>
      <sheetName val="7,2,1,1_Punto_de_gas8"/>
      <sheetName val="7,2,1,2_Preinstalación_gas8"/>
      <sheetName val="7,2,1,3_Tuberia__tipo_L_1_2&quot;8"/>
      <sheetName val="7,2,1,4_Tuberia__tipo_L_1&quot;8"/>
      <sheetName val="7,2,1,5__Registro_bola_1&quot;_8"/>
      <sheetName val="7,2,1,7__Rejilla_vent__plastic8"/>
      <sheetName val="9,1,1_Pañete_impermeabilizado8"/>
      <sheetName val="9,1,2_Pañete_muros_interiores8"/>
      <sheetName val="9,1,3_Pañete_Exteriores8"/>
      <sheetName val="9,2,1_Pañete_bajo_placa8"/>
      <sheetName val="10,1,1_base_mueble_concreto8"/>
      <sheetName val="10,1,3_Alistado_pisos8"/>
      <sheetName val="10,1,4_Mortero_afinado8"/>
      <sheetName val="10,1,6_Acabado_Escobeado8"/>
      <sheetName val="10,2,1,3_Ceramica_0,20_x_0,20_8"/>
      <sheetName val="10,2,2,3_Piso_tablòn_ges_0,30_8"/>
      <sheetName val="10,2,4,1_Baldosin_granito8"/>
      <sheetName val="10,2,4,3_gravilla_m28"/>
      <sheetName val="10,3,1,1_Tablòn_cuarto_268"/>
      <sheetName val="10,3,2,1_Guardaescoba8"/>
      <sheetName val="10,3,2,3_Media_Caña8"/>
      <sheetName val="10,3,2,5_Gravilla_8"/>
      <sheetName val="10,3,2,6_Granito8"/>
      <sheetName val="10,4,2_Escalera_en_Granito8"/>
      <sheetName val="10,5,3_Cenefas_Gravilla_8"/>
      <sheetName val="11,1,1_Afinado_Mortero8"/>
      <sheetName val="11,1,2_Media_Caña8"/>
      <sheetName val="11,1,3_Afinado_Viga_canales8"/>
      <sheetName val="11,1,4_foil_aluminio8"/>
      <sheetName val="11,2,2,1_Caballete8"/>
      <sheetName val="11,2,2,2_remate8"/>
      <sheetName val="11,2,3,1_Domo_acrílico8"/>
      <sheetName val="11,2,3,2_Acrilico_transparente8"/>
      <sheetName val="11,2,3,3_Teja_trapezoidal_Plas8"/>
      <sheetName val="11,2,4,1__teja_acero8"/>
      <sheetName val="11,2,4,2_Tejaluz8"/>
      <sheetName val="11,2,5,1_Teja_Barro8"/>
      <sheetName val="11,2,5,2_Limahoyas8"/>
      <sheetName val="11,3,1_Canal_Lámina8"/>
      <sheetName val="11,3,2_Flashing8"/>
      <sheetName val="11,3,3_Tragante_5x38"/>
      <sheetName val="11,3,4_Tragante_6x48"/>
      <sheetName val="11,3,5_Canal_PVC8"/>
      <sheetName val="12,1,1_Ventanas_aluminio_8"/>
      <sheetName val="12,1,2_Ventanas_aluminio_reja8"/>
      <sheetName val="12,1,3_Puerta_aluminio_sencill8"/>
      <sheetName val="12,1,4_Puert_Alum_dob_reja8"/>
      <sheetName val="12,1,5_Puerta_aluminio_doble8"/>
      <sheetName val="12,1,6_Puert_baños8"/>
      <sheetName val="12,1,7_PERGOLAS_ALUM8"/>
      <sheetName val="12,1,8_Puertas_discapacitados8"/>
      <sheetName val="12,1,9_BARANDA_EN_ALUMINIO8"/>
      <sheetName val="12,2,1,1_Marcos_puerta8"/>
      <sheetName val="12,2,1,2_Puerta_Sencilla8"/>
      <sheetName val="12,2,1,3_Ventana8"/>
      <sheetName val="12,2,1,5_Puertas_Emtamborada8"/>
      <sheetName val="12,2,2,1_Pasamanos_8"/>
      <sheetName val="12,2,2,2_Pasamanos8"/>
      <sheetName val="12,2,2,3_Baranda_Malla8"/>
      <sheetName val="_12,2,2,4_Cerramiento_acrílilc8"/>
      <sheetName val="12,2,3,1_Rejas_en_varilla_cuad8"/>
      <sheetName val="12,2,3,2_Rejas_ventana8"/>
      <sheetName val="12,2,3,3_Rejas_Puerta_baño8"/>
      <sheetName val="12,2,3,4_Reja_Ventilación8"/>
      <sheetName val="12,2,4,1_CORTASOL8"/>
      <sheetName val="12,2,4,4_Ventana_Malla8"/>
      <sheetName val="_12,2,2,5_Baranda_M808"/>
      <sheetName val="14,1,1_Ceramica_20_8"/>
      <sheetName val="15,1,3_Lampara_Fluorecente_2x39"/>
      <sheetName val="16,1,3_Sanitarios_tanque8"/>
      <sheetName val="16,1,4_Orinal_8"/>
      <sheetName val="16,1,5_Lavamanos_Sobreponer8"/>
      <sheetName val="16,1,7_Lavamanos_de_colgar8"/>
      <sheetName val="16,1,8_Sanit_Disc8"/>
      <sheetName val="16,1,9_Duchas8"/>
      <sheetName val="16,1,11_POCETA8"/>
      <sheetName val="16,2,1_Pocetas_Aseo8"/>
      <sheetName val="16,2,5_Llave_Terminal8"/>
      <sheetName val="16,2,6_Incrustaciones8"/>
      <sheetName val="16,2,7_Barras_disc8"/>
      <sheetName val="17,2,1_Puerta_Vidrio8"/>
      <sheetName val="17,2,2_Puerta_PVC_Baterias8"/>
      <sheetName val="17,2,3_Divisiones_0,068"/>
      <sheetName val="17,2,4_Divisiones_baños_8"/>
      <sheetName val="18,1,1_pintura_koraza8"/>
      <sheetName val="18,1,2_pintura_plastica8"/>
      <sheetName val="18,1,3_Vinilo_con_estuco8"/>
      <sheetName val="18,1,4_Vinilo_sin_estuco_8"/>
      <sheetName val="18,1,5_Vinilo_Cielos_8"/>
      <sheetName val="19,1,1_Cerraduras8"/>
      <sheetName val="19,4,1_Espejo8"/>
      <sheetName val="19,4,2_Vidrio_Crudo8"/>
      <sheetName val="20,1,2_Exc_Man8"/>
      <sheetName val="20,1,5_Subbase_recebo8"/>
      <sheetName val="20,2,1_Andenes8"/>
      <sheetName val="20,2,2_Sardinel8"/>
      <sheetName val="20,2,4_Banca8"/>
      <sheetName val="20,2,5_Adoquin8"/>
      <sheetName val="20,3,1_Solado_esp=_0,058"/>
      <sheetName val="20,3,2_Concreto_Ciclopeo_8"/>
      <sheetName val="20,3,3_Vigas_de_Amarre8"/>
      <sheetName val="20,3,5__Cerramiento_Malla_Esla8"/>
      <sheetName val="20,3,6__Muros_de_contencion_8"/>
      <sheetName val="20,4,1_Mov_Tierras8"/>
      <sheetName val="20,2,13_Escalinatas8"/>
      <sheetName val="20,2,6_Adoquin_Arcilla8"/>
      <sheetName val="20,2,7_Loseta_A-508"/>
      <sheetName val="20,4,2_Pradización8"/>
      <sheetName val="20_2_10_Bordillo_A-808"/>
      <sheetName val="20,4,4_Arborización8"/>
      <sheetName val="20,5,1_Gaviones_en_piedra8"/>
      <sheetName val="20,5,2_PERGOLA__METALICA8"/>
      <sheetName val="20,5,3__Acero_37000__Ext_8"/>
      <sheetName val="20,5,4_Acero_60000_psi8"/>
      <sheetName val="20,5,5_Malla_Electrosoldada__8"/>
      <sheetName val="21,1,1_Lavada_ladrillo_8"/>
      <sheetName val="21,1,3_Aseo8"/>
      <sheetName val="21,1,4_Retiro_Escombros8"/>
      <sheetName val="Pasamanos_8"/>
      <sheetName val="AIU_Nuevo6"/>
      <sheetName val="ANALISIS_DE_AIU6"/>
      <sheetName val="Cuadro_Resumen6"/>
      <sheetName val="Resumen_m26"/>
      <sheetName val="Datos_entrada6"/>
      <sheetName val="Hoja_Base6"/>
      <sheetName val="Mort_1-36"/>
      <sheetName val="Mort_1-3_Imper6"/>
      <sheetName val="Mort_1-46"/>
      <sheetName val="Mort_1-4_Imper6"/>
      <sheetName val="Mort_1-56"/>
      <sheetName val="Mort_1-76"/>
      <sheetName val="Concr_1,5006"/>
      <sheetName val="Concr_2,0006"/>
      <sheetName val="Concr_2,5006"/>
      <sheetName val="Concr_3,0006"/>
      <sheetName val="Concr_3,5006"/>
      <sheetName val="Concr_4,000_6"/>
      <sheetName val="_Acero_60000_Refuerzo_6"/>
      <sheetName val="_Malla_Electrosoldada_6"/>
      <sheetName val="P_Eléctrico6"/>
      <sheetName val="P_Agua_Fria6"/>
      <sheetName val="P_Sanitario6"/>
      <sheetName val="Granito_pulido_6"/>
      <sheetName val="Marcos_puerta6"/>
      <sheetName val="Marcos_ventana6"/>
      <sheetName val="1,1,1_Campamt6"/>
      <sheetName val="1,1,2_Alquiler_Campameto6"/>
      <sheetName val="1,1,3_Limpieza6"/>
      <sheetName val="1,1,4_Localización_y_replanteo6"/>
      <sheetName val="1,1,6_Cerramiento_Lona6"/>
      <sheetName val="1,1,7_Locali_Manual6"/>
      <sheetName val="1,2,1_Provicional_agua6"/>
      <sheetName val="1,2,2_Provicional_luz6"/>
      <sheetName val="1,3,1_Desmonte_cubierta6"/>
      <sheetName val="1,3,2_Demoliciòn_muro6"/>
      <sheetName val="1,3,3__Dm_enchape6"/>
      <sheetName val="1,3,4_Dm_cimiento6"/>
      <sheetName val="1,3,5_Dm_Vig-colum6"/>
      <sheetName val="1,3,6_Demolicion_placa6"/>
      <sheetName val="1,3,7__Dm_Aparatos6"/>
      <sheetName val="1,4,2_Traslado_postes6"/>
      <sheetName val="1,4,3_Arb_56"/>
      <sheetName val="1,4,4_Arb_106"/>
      <sheetName val="1,4,5_Arb_156"/>
      <sheetName val="1,4,6_Arb_206"/>
      <sheetName val="1,4,7_Arb_+206"/>
      <sheetName val="1,4,8_Traslado_Arb6"/>
      <sheetName val="2,1,1_Exc_Mec6"/>
      <sheetName val="2,1,2_Exc_Man6"/>
      <sheetName val="2,1,3_Exc_M_Sub_base6"/>
      <sheetName val="2,1,5_Relleno_M_Común6"/>
      <sheetName val="2,1,6__Rellenos_M_Selec6"/>
      <sheetName val="2,1,7__Sub_base_Recebo_6"/>
      <sheetName val="2,1,8_Geotextil_NT6"/>
      <sheetName val="2,1,9_Geotextil_Tejido6"/>
      <sheetName val="2,1,10_Relleno_Recebo6"/>
      <sheetName val="2,2,1_Concr_pobre6"/>
      <sheetName val="2,2,2_Concr_Ciclopeo6"/>
      <sheetName val="2,2,3_Muros_de_contencion6"/>
      <sheetName val="2,2,4_Concreto_Zapatas6"/>
      <sheetName val="2,2,5_Vigas_de_cimentación6"/>
      <sheetName val="2,2,6,1_Pilotes_0,306"/>
      <sheetName val="2,2,6,2_Pilotes_0,406"/>
      <sheetName val="2,2,6,3_Pilotes_0,606"/>
      <sheetName val="2,2,6,4_Pilotes_0,806"/>
      <sheetName val="2,2,6,5_Pilotes_0,90_6"/>
      <sheetName val="2,2,7_Dados_en_concreto6"/>
      <sheetName val="2,2,8_Placa_Flotante_0,606"/>
      <sheetName val="2,2,9_Placas_cont=_0,16"/>
      <sheetName val="2,2,10_Placas_cont=_0,1256"/>
      <sheetName val="2,2,11_Placas_cont=_0,156"/>
      <sheetName val="2,3,1_Acero_37000_6"/>
      <sheetName val="2,3,2_Acero_60000_Refuerzo6"/>
      <sheetName val="2,3,3_Malla_Electrosoldada6"/>
      <sheetName val="2,4,1_Gaviones6"/>
      <sheetName val="2,4,2_Cajon_aislamiento_vigas6"/>
      <sheetName val="2,4,3_Icopor_Aislante_ciment__6"/>
      <sheetName val="2,4,4_Pañete_Taludes_6"/>
      <sheetName val="3,1,1_Novafort_A_LL__4&quot;_110mm_6"/>
      <sheetName val="3,1,2_Novafort_A_LL_6&quot;_160mm__6"/>
      <sheetName val="3,1,3_Novafort_A_LL_8&quot;200_mm__6"/>
      <sheetName val="3,1,4_Novafort_10&quot;A_LL__255mm_6"/>
      <sheetName val="3,1,5_Novafort_A_LL_12&quot;_315mm_6"/>
      <sheetName val="3,1,6__Acc__Novafort__A_LL6"/>
      <sheetName val="3,2,1_Novafort_A_N__4&quot;_110_6"/>
      <sheetName val="3,2,2_Novafort_A_N_6&quot;_160m_6"/>
      <sheetName val="3,2,3_Novafort_A_N__8&quot;200_mm6"/>
      <sheetName val="3,2,4_Novafort_10&quot;A_N__255_mm6"/>
      <sheetName val="3,2,5_Novafort_A_N_12&quot;_315mm6"/>
      <sheetName val="3,2,6__Acc__Novafort__A_N_6"/>
      <sheetName val="3,3,1_Tuberia_drenaje_PVC_4&quot;6"/>
      <sheetName val="3,3,2_Tuberia_drenaje_PVC_4&quot;6"/>
      <sheetName val="3,3,3_Accesorio_drenaje_PVC_3&quot;6"/>
      <sheetName val="3,3,4_Accesorio_drenaje_PVC_4&quot;6"/>
      <sheetName val="3,3,5_Filtros_Escorrentias6"/>
      <sheetName val="3,4,1_Caja_inspección_0,60_6"/>
      <sheetName val="3,4,2_Caja_inspección_0,806"/>
      <sheetName val="3,4,3_Caja_inspección_1,006"/>
      <sheetName val="3,4,6_Carcamo6"/>
      <sheetName val="3,4,7_Trampa_de_grasas6"/>
      <sheetName val="3,4,8_Pozo_Septico6"/>
      <sheetName val="3,5,1_Exc_Man_6"/>
      <sheetName val="3,5,2_Exc_en_recebo_comp_6"/>
      <sheetName val="3,5,3__Relleno_M_seleccionado6"/>
      <sheetName val="3,5,4_Relleno_M_Común_6"/>
      <sheetName val="3,5,5_Retiro_sobrantes6"/>
      <sheetName val="3,3,6_POZO_INFILTRACIÓN6"/>
      <sheetName val="3,4,4_Caja_Distribuciòn_0,40__6"/>
      <sheetName val="3,4,9_Caja_discipadora6"/>
      <sheetName val="3,6,2_Cabezal_descarga6"/>
      <sheetName val="4,1,1_Columnas6"/>
      <sheetName val="4,1,2_Pantalla_en_concreto6"/>
      <sheetName val="4,1,3_Muros6"/>
      <sheetName val="4,2,1_Vigas_aéreas6"/>
      <sheetName val="4,2,2_Viga_canal6"/>
      <sheetName val="4,2,3__Vigas_Prefabricadas6"/>
      <sheetName val="4,3,1_Placa_alig__Caseton_606"/>
      <sheetName val="4,3,2_Caseton_50_cm6"/>
      <sheetName val="4,3,3_Caseton_45_cm6"/>
      <sheetName val="4,3,4_Caseton_40_cm_6"/>
      <sheetName val="4,3,6_Placa_maciza_0,206"/>
      <sheetName val="4,3,7_Placa_maciza_0,1256"/>
      <sheetName val="4,3,8_Placa_maciza_0,106"/>
      <sheetName val="4,3,9_Placa_maciza_0,156"/>
      <sheetName val="4,4,1_Escalera6"/>
      <sheetName val="4,4,2_Rampas6"/>
      <sheetName val="4,4,3_POZO_CONCRETO_20_M36"/>
      <sheetName val="4,4,4_POZO_CONCRETO6"/>
      <sheetName val="4,4,5_Graderias_en_concreto6"/>
      <sheetName val="4,5,1_Acero_37000__6"/>
      <sheetName val="4,5,2_Acero_60000_est6"/>
      <sheetName val="4,5,3_Malla_Electrosoldada_est6"/>
      <sheetName val="4,6,1,1_Est_Cubierta6"/>
      <sheetName val="4,6,2,3_Cerrchas__Metàlica6"/>
      <sheetName val="4,6,2,4_Perfil_6"/>
      <sheetName val="4,6,2,5_Templete6"/>
      <sheetName val="5,1,1_Bloq_Conc_Estruc_0,126"/>
      <sheetName val="5,1,2_Bloque_concreto_divisori6"/>
      <sheetName val="5,1,3_Bloq_tipo_piedra6"/>
      <sheetName val="5,1,5__Calados_en_Concreto6"/>
      <sheetName val="5,1,6_Bloq_Conc_Estruc_0146"/>
      <sheetName val="5,1,7_Bloq_Conc_Estruc_0196"/>
      <sheetName val="5,2,1_Ladrillo_común6"/>
      <sheetName val="5,2,2_Ladrillo_estructural6"/>
      <sheetName val="5,2,3_Ladrillo_común_sobrecimi6"/>
      <sheetName val="5,2,4_Ladrillo_Prensado_portan6"/>
      <sheetName val="5,2,6_Muro_en_bloque_No_46"/>
      <sheetName val="5,3,1_Enchape_ladrillo_arcilla6"/>
      <sheetName val="5,3,3_Alfagias_ladrillo_arcill6"/>
      <sheetName val="5,3,4_Remate_ladrillo_arcilla6"/>
      <sheetName val="5,4,1_Grouting-Concreto_fluido6"/>
      <sheetName val="5,4,2_Remates6"/>
      <sheetName val="5,5,1_Anclajes_Epoxicos6"/>
      <sheetName val="5,5,2_Acero_37000_mamp6"/>
      <sheetName val="5,5,3_Malla_Electrosoldada_6"/>
      <sheetName val="5,5,4_Grafiles_6_mm6"/>
      <sheetName val="5,6,1_Instalaciòn_carpint__Met6"/>
      <sheetName val="6,1,1_Alfajias6"/>
      <sheetName val="6,1,2_Dinteles6"/>
      <sheetName val="6,1,3_Remates_sobre_mamposteri6"/>
      <sheetName val="6_1_8_Pergolas6"/>
      <sheetName val="6_1_9_Gargolas6"/>
      <sheetName val="6,1,10_Gradas_en_Concreto6"/>
      <sheetName val="6,1,11_PLAQUETAS6"/>
      <sheetName val="6,1,15_Bordillos_ducha_y_aseo6"/>
      <sheetName val="6,1,17_Carcamo6"/>
      <sheetName val="6,1,18_Cañuela_Per6"/>
      <sheetName val="6,2,1_Mesones_en_concreto6"/>
      <sheetName val="6,2,2_Mesones_lavamanos6"/>
      <sheetName val="6,2,3_Mesones_laboratorios6"/>
      <sheetName val="6,2,5_Bancas_Concreto6"/>
      <sheetName val="6,2,8_Alfajias_26"/>
      <sheetName val="7,1,1,1_Acometida_PVC-P_2&quot;6"/>
      <sheetName val="7,1,1,2_Accesorio_PVC-P_2&quot;_6"/>
      <sheetName val="7,1,1,5_Bajantes_A_N___PVC_3&quot;6"/>
      <sheetName val="7,1,1,6_Bajantes_A_N_4&quot;6"/>
      <sheetName val="7,1,2,1_Tuberia_H_G__1&quot;6"/>
      <sheetName val="7,1,2,2__Accesorio_H_G__1&quot;_6"/>
      <sheetName val="7,1,2,3_Flotador_16"/>
      <sheetName val="7,1,2,4_Tanque_Plastico6"/>
      <sheetName val="7,1,3,1_Tuberia_H_G__1&quot;cuarto_6"/>
      <sheetName val="7,1,3,2__Accesorio_H_G_1&quot;cuart6"/>
      <sheetName val="7,1,3,3__Registro_R__W__1&quot;6"/>
      <sheetName val="7,1,3,4__Cheque_Helber_1&quot;6"/>
      <sheetName val="7,1,3,7__Tanque_Subterrraneo6"/>
      <sheetName val="7,1,4,1_Tuberia_H_G__1_1_2&quot;6"/>
      <sheetName val="7,1,4,2__Accesorio_H_G_1_1_2&quot;6"/>
      <sheetName val="7,1,4,3__Registro_R__W__1__1_26"/>
      <sheetName val="7,1,4,4__Cheque__Helber_1_1_2&quot;6"/>
      <sheetName val="7,1,5,1_Registro_1_2&quot;6"/>
      <sheetName val="7,1,5,2_Registro_3_46"/>
      <sheetName val="7,1,5,3_Registro_1_6"/>
      <sheetName val="7,1,5,4_Registro_1146"/>
      <sheetName val="7,1,5,5_Registro_1_126"/>
      <sheetName val="7,1,5,6_Registro_2_6"/>
      <sheetName val="7,1,5,8_Caja_registro_6"/>
      <sheetName val="7,1,6,1_Acometida_media6"/>
      <sheetName val="7,1,6,2_Acometida_1PL6"/>
      <sheetName val="7,1,6,3_Registro_PD_media6"/>
      <sheetName val="7,1,6,4_Acometida_1_146"/>
      <sheetName val="7,1,6,5_Tuberia_1_126"/>
      <sheetName val="7,1,6,6_Acometida_26"/>
      <sheetName val="7,1,6,7_Tubo_UZ_2&quot;6"/>
      <sheetName val="7,1,6,8_Acometida_1_126"/>
      <sheetName val="7,1,6,9_Tuberia_UZ_3&quot;6"/>
      <sheetName val="7,1,6,10_Accesorio_UZ__2&quot;6"/>
      <sheetName val="7,1,6,11_Accesorio_UZ_3&quot;6"/>
      <sheetName val="7,1,7,1_Tuberia_H_G__1_2&quot;6"/>
      <sheetName val="7,1,7,2__Accesorio_H_G_1_2&quot;6"/>
      <sheetName val="7,1,7,3_Registro_Corte_1_2&quot;_6"/>
      <sheetName val="7,1,7,4_Registro_1_2&quot;6"/>
      <sheetName val="7,1,7,5_Caja_para_medidor6"/>
      <sheetName val="7,1,8,1_P_Agua_Fria_Lavamanos6"/>
      <sheetName val="7,1,8,2_Punto__Agua_Fria_1_1_26"/>
      <sheetName val="7,1,8,3_P_Agua_Fria_Sanitarios6"/>
      <sheetName val="7,1,8,4_P_Agua_Fria_Orinales6"/>
      <sheetName val="7,1,8,5_P_Agua_Fria_pocetas_la6"/>
      <sheetName val="7,1,8,6_P_Agua_Fria_Ducha6"/>
      <sheetName val="7,1,8,7_P_Agua_Fria_Pocetas6"/>
      <sheetName val="7,1,8,8_Llave__Manguera_1_2&quot;6"/>
      <sheetName val="7,1,8,10__Tapòn_H_G_1_2&quot;6"/>
      <sheetName val="7,1,8,11__Tapòn_P_V_C_1_2&quot;_6"/>
      <sheetName val="7,1,8,12__Camara_aire_H_G_1_2&quot;6"/>
      <sheetName val="7,1,8,13__Camara_aire_P_V_C_P_6"/>
      <sheetName val="7,1,9,1_P_Sanitario_lavamanos6"/>
      <sheetName val="7,1,9,3_P_Sanitario_Sanit6"/>
      <sheetName val="7,1,9,4_P_Sanitario_Orinales6"/>
      <sheetName val="7,1,9,5__P_Sifòn_PVC-S_4&quot;6"/>
      <sheetName val="7,1,9,6__P_Sifòn_PVC-S_2&quot;_6"/>
      <sheetName val="7,1,9,7_P_Sanitario_Pocetas6"/>
      <sheetName val="7,1,9,9_P_Sanitario_sifon6"/>
      <sheetName val="7,1,10,1_Acomet_sanit6"/>
      <sheetName val="7,1,10,2_Pto_3&quot;6"/>
      <sheetName val="7,1,10,2_Punto_Vent_3&quot;6"/>
      <sheetName val="7,1,10,3__Sanit_26"/>
      <sheetName val="6,1,19_Carcamo_IDRD_Tipo_56"/>
      <sheetName val="7,1,10,4_Sanit_36"/>
      <sheetName val="7,1,10,5_4pLG_S6"/>
      <sheetName val="7,1,11,1_Acomet_lluvia6"/>
      <sheetName val="7,1,11,2_Acomet_lluvia_26"/>
      <sheetName val="7,1,11,3_3plg6"/>
      <sheetName val="7,1,11,5_Bajante_PVC_6"/>
      <sheetName val="7,1,11,6_Accesorios_PVC6"/>
      <sheetName val="7,1,12,1_Instalaciòn_Lavamanos6"/>
      <sheetName val="7,1,12,2_Instalaciòn_Sanitario6"/>
      <sheetName val="7,1,12,8_Llave__Manguera_1_2_6"/>
      <sheetName val="7,1,12,9_Acoflex_lav_sant_6"/>
      <sheetName val="7,1,14_Lavado_Tanque6"/>
      <sheetName val="7,1,15_Desinfecciòn_tanque6"/>
      <sheetName val="7,1,16,2_Bomba6"/>
      <sheetName val="7,2,1,1_Punto_de_gas6"/>
      <sheetName val="7,2,1,2_Preinstalación_gas6"/>
      <sheetName val="7,2,1,3_Tuberia__tipo_L_1_2&quot;6"/>
      <sheetName val="7,2,1,4_Tuberia__tipo_L_1&quot;6"/>
      <sheetName val="7,2,1,5__Registro_bola_1&quot;_6"/>
      <sheetName val="7,2,1,7__Rejilla_vent__plastic6"/>
      <sheetName val="9,1,1_Pañete_impermeabilizado6"/>
      <sheetName val="9,1,2_Pañete_muros_interiores6"/>
      <sheetName val="9,1,3_Pañete_Exteriores6"/>
      <sheetName val="9,2,1_Pañete_bajo_placa6"/>
      <sheetName val="10,1,1_base_mueble_concreto6"/>
      <sheetName val="10,1,3_Alistado_pisos6"/>
      <sheetName val="10,1,4_Mortero_afinado6"/>
      <sheetName val="10,1,6_Acabado_Escobeado6"/>
      <sheetName val="10,2,1,3_Ceramica_0,20_x_0,20_6"/>
      <sheetName val="10,2,2,3_Piso_tablòn_ges_0,30_6"/>
      <sheetName val="10,2,4,1_Baldosin_granito6"/>
      <sheetName val="10,2,4,3_gravilla_m26"/>
      <sheetName val="10,3,1,1_Tablòn_cuarto_266"/>
      <sheetName val="10,3,2,1_Guardaescoba6"/>
      <sheetName val="10,3,2,3_Media_Caña6"/>
      <sheetName val="10,3,2,5_Gravilla_6"/>
      <sheetName val="10,3,2,6_Granito6"/>
      <sheetName val="10,4,2_Escalera_en_Granito6"/>
      <sheetName val="10,5,3_Cenefas_Gravilla_6"/>
      <sheetName val="11,1,1_Afinado_Mortero6"/>
      <sheetName val="11,1,2_Media_Caña6"/>
      <sheetName val="11,1,3_Afinado_Viga_canales6"/>
      <sheetName val="11,1,4_foil_aluminio6"/>
      <sheetName val="11,2,2,1_Caballete6"/>
      <sheetName val="11,2,2,2_remate6"/>
      <sheetName val="11,2,3,1_Domo_acrílico6"/>
      <sheetName val="11,2,3,2_Acrilico_transparente6"/>
      <sheetName val="11,2,3,3_Teja_trapezoidal_Plas6"/>
      <sheetName val="11,2,4,1__teja_acero6"/>
      <sheetName val="11,2,4,2_Tejaluz6"/>
      <sheetName val="11,2,5,1_Teja_Barro6"/>
      <sheetName val="11,2,5,2_Limahoyas6"/>
      <sheetName val="11,3,1_Canal_Lámina6"/>
      <sheetName val="11,3,2_Flashing6"/>
      <sheetName val="11,3,3_Tragante_5x36"/>
      <sheetName val="11,3,4_Tragante_6x46"/>
      <sheetName val="11,3,5_Canal_PVC6"/>
      <sheetName val="12,1,1_Ventanas_aluminio_6"/>
      <sheetName val="12,1,2_Ventanas_aluminio_reja6"/>
      <sheetName val="12,1,3_Puerta_aluminio_sencill6"/>
      <sheetName val="12,1,4_Puert_Alum_dob_reja6"/>
      <sheetName val="12,1,5_Puerta_aluminio_doble6"/>
      <sheetName val="12,1,6_Puert_baños6"/>
      <sheetName val="12,1,7_PERGOLAS_ALUM6"/>
      <sheetName val="12,1,8_Puertas_discapacitados6"/>
      <sheetName val="12,1,9_BARANDA_EN_ALUMINIO6"/>
      <sheetName val="12,2,1,1_Marcos_puerta6"/>
      <sheetName val="12,2,1,2_Puerta_Sencilla6"/>
      <sheetName val="12,2,1,3_Ventana6"/>
      <sheetName val="12,2,1,5_Puertas_Emtamborada6"/>
      <sheetName val="12,2,2,1_Pasamanos_6"/>
      <sheetName val="12,2,2,2_Pasamanos6"/>
      <sheetName val="12,2,2,3_Baranda_Malla6"/>
      <sheetName val="_12,2,2,4_Cerramiento_acrílilc6"/>
      <sheetName val="12,2,3,1_Rejas_en_varilla_cuad6"/>
      <sheetName val="12,2,3,2_Rejas_ventana6"/>
      <sheetName val="12,2,3,3_Rejas_Puerta_baño6"/>
      <sheetName val="12,2,3,4_Reja_Ventilación6"/>
      <sheetName val="12,2,4,1_CORTASOL6"/>
      <sheetName val="12,2,4,4_Ventana_Malla6"/>
      <sheetName val="_12,2,2,5_Baranda_M806"/>
      <sheetName val="14,1,1_Ceramica_20_6"/>
      <sheetName val="15,1,3_Lampara_Fluorecente_2x37"/>
      <sheetName val="16,1,3_Sanitarios_tanque6"/>
      <sheetName val="16,1,4_Orinal_6"/>
      <sheetName val="16,1,5_Lavamanos_Sobreponer6"/>
      <sheetName val="16,1,7_Lavamanos_de_colgar6"/>
      <sheetName val="16,1,8_Sanit_Disc6"/>
      <sheetName val="16,1,9_Duchas6"/>
      <sheetName val="16,1,11_POCETA6"/>
      <sheetName val="16,2,1_Pocetas_Aseo6"/>
      <sheetName val="16,2,5_Llave_Terminal6"/>
      <sheetName val="16,2,6_Incrustaciones6"/>
      <sheetName val="16,2,7_Barras_disc6"/>
      <sheetName val="17,2,1_Puerta_Vidrio6"/>
      <sheetName val="17,2,2_Puerta_PVC_Baterias6"/>
      <sheetName val="17,2,3_Divisiones_0,066"/>
      <sheetName val="17,2,4_Divisiones_baños_6"/>
      <sheetName val="18,1,1_pintura_koraza6"/>
      <sheetName val="18,1,2_pintura_plastica6"/>
      <sheetName val="18,1,3_Vinilo_con_estuco6"/>
      <sheetName val="18,1,4_Vinilo_sin_estuco_6"/>
      <sheetName val="18,1,5_Vinilo_Cielos_6"/>
      <sheetName val="19,1,1_Cerraduras6"/>
      <sheetName val="19,4,1_Espejo6"/>
      <sheetName val="19,4,2_Vidrio_Crudo6"/>
      <sheetName val="20,1,2_Exc_Man6"/>
      <sheetName val="20,1,5_Subbase_recebo6"/>
      <sheetName val="20,2,1_Andenes6"/>
      <sheetName val="20,2,2_Sardinel6"/>
      <sheetName val="20,2,4_Banca6"/>
      <sheetName val="20,2,5_Adoquin6"/>
      <sheetName val="20,3,1_Solado_esp=_0,056"/>
      <sheetName val="20,3,2_Concreto_Ciclopeo_6"/>
      <sheetName val="20,3,3_Vigas_de_Amarre6"/>
      <sheetName val="20,3,5__Cerramiento_Malla_Esla6"/>
      <sheetName val="20,3,6__Muros_de_contencion_6"/>
      <sheetName val="20,4,1_Mov_Tierras6"/>
      <sheetName val="20,2,13_Escalinatas6"/>
      <sheetName val="20,2,6_Adoquin_Arcilla6"/>
      <sheetName val="20,2,7_Loseta_A-506"/>
      <sheetName val="20,4,2_Pradización6"/>
      <sheetName val="20_2_10_Bordillo_A-806"/>
      <sheetName val="20,4,4_Arborización6"/>
      <sheetName val="20,5,1_Gaviones_en_piedra6"/>
      <sheetName val="20,5,2_PERGOLA__METALICA6"/>
      <sheetName val="20,5,3__Acero_37000__Ext_6"/>
      <sheetName val="20,5,4_Acero_60000_psi6"/>
      <sheetName val="20,5,5_Malla_Electrosoldada__6"/>
      <sheetName val="21,1,1_Lavada_ladrillo_6"/>
      <sheetName val="21,1,3_Aseo6"/>
      <sheetName val="21,1,4_Retiro_Escombros6"/>
      <sheetName val="Pasamanos_6"/>
      <sheetName val="AIU_Nuevo7"/>
      <sheetName val="ANALISIS_DE_AIU7"/>
      <sheetName val="Cuadro_Resumen7"/>
      <sheetName val="Resumen_m27"/>
      <sheetName val="Datos_entrada7"/>
      <sheetName val="Hoja_Base7"/>
      <sheetName val="Mort_1-37"/>
      <sheetName val="Mort_1-3_Imper7"/>
      <sheetName val="Mort_1-47"/>
      <sheetName val="Mort_1-4_Imper7"/>
      <sheetName val="Mort_1-57"/>
      <sheetName val="Mort_1-77"/>
      <sheetName val="Concr_1,5007"/>
      <sheetName val="Concr_2,0007"/>
      <sheetName val="Concr_2,5007"/>
      <sheetName val="Concr_3,0007"/>
      <sheetName val="Concr_3,5007"/>
      <sheetName val="Concr_4,000_7"/>
      <sheetName val="_Acero_60000_Refuerzo_7"/>
      <sheetName val="_Malla_Electrosoldada_7"/>
      <sheetName val="P_Eléctrico7"/>
      <sheetName val="P_Agua_Fria7"/>
      <sheetName val="P_Sanitario7"/>
      <sheetName val="Granito_pulido_7"/>
      <sheetName val="Marcos_puerta7"/>
      <sheetName val="Marcos_ventana7"/>
      <sheetName val="1,1,1_Campamt7"/>
      <sheetName val="1,1,2_Alquiler_Campameto7"/>
      <sheetName val="1,1,3_Limpieza7"/>
      <sheetName val="1,1,4_Localización_y_replanteo7"/>
      <sheetName val="1,1,6_Cerramiento_Lona7"/>
      <sheetName val="1,1,7_Locali_Manual7"/>
      <sheetName val="1,2,1_Provicional_agua7"/>
      <sheetName val="1,2,2_Provicional_luz7"/>
      <sheetName val="1,3,1_Desmonte_cubierta7"/>
      <sheetName val="1,3,2_Demoliciòn_muro7"/>
      <sheetName val="1,3,3__Dm_enchape7"/>
      <sheetName val="1,3,4_Dm_cimiento7"/>
      <sheetName val="1,3,5_Dm_Vig-colum7"/>
      <sheetName val="1,3,6_Demolicion_placa7"/>
      <sheetName val="1,3,7__Dm_Aparatos7"/>
      <sheetName val="1,4,2_Traslado_postes7"/>
      <sheetName val="1,4,3_Arb_57"/>
      <sheetName val="1,4,4_Arb_107"/>
      <sheetName val="1,4,5_Arb_157"/>
      <sheetName val="1,4,6_Arb_207"/>
      <sheetName val="1,4,7_Arb_+207"/>
      <sheetName val="1,4,8_Traslado_Arb7"/>
      <sheetName val="2,1,1_Exc_Mec7"/>
      <sheetName val="2,1,2_Exc_Man7"/>
      <sheetName val="2,1,3_Exc_M_Sub_base7"/>
      <sheetName val="2,1,5_Relleno_M_Común7"/>
      <sheetName val="2,1,6__Rellenos_M_Selec7"/>
      <sheetName val="2,1,7__Sub_base_Recebo_7"/>
      <sheetName val="2,1,8_Geotextil_NT7"/>
      <sheetName val="2,1,9_Geotextil_Tejido7"/>
      <sheetName val="2,1,10_Relleno_Recebo7"/>
      <sheetName val="2,2,1_Concr_pobre7"/>
      <sheetName val="2,2,2_Concr_Ciclopeo7"/>
      <sheetName val="2,2,3_Muros_de_contencion7"/>
      <sheetName val="2,2,4_Concreto_Zapatas7"/>
      <sheetName val="2,2,5_Vigas_de_cimentación7"/>
      <sheetName val="2,2,6,1_Pilotes_0,307"/>
      <sheetName val="2,2,6,2_Pilotes_0,407"/>
      <sheetName val="2,2,6,3_Pilotes_0,607"/>
      <sheetName val="2,2,6,4_Pilotes_0,807"/>
      <sheetName val="2,2,6,5_Pilotes_0,90_7"/>
      <sheetName val="2,2,7_Dados_en_concreto7"/>
      <sheetName val="2,2,8_Placa_Flotante_0,607"/>
      <sheetName val="2,2,9_Placas_cont=_0,17"/>
      <sheetName val="2,2,10_Placas_cont=_0,1257"/>
      <sheetName val="2,2,11_Placas_cont=_0,157"/>
      <sheetName val="2,3,1_Acero_37000_7"/>
      <sheetName val="2,3,2_Acero_60000_Refuerzo7"/>
      <sheetName val="2,3,3_Malla_Electrosoldada7"/>
      <sheetName val="2,4,1_Gaviones7"/>
      <sheetName val="2,4,2_Cajon_aislamiento_vigas7"/>
      <sheetName val="2,4,3_Icopor_Aislante_ciment__7"/>
      <sheetName val="2,4,4_Pañete_Taludes_7"/>
      <sheetName val="3,1,1_Novafort_A_LL__4&quot;_110mm_7"/>
      <sheetName val="3,1,2_Novafort_A_LL_6&quot;_160mm__7"/>
      <sheetName val="3,1,3_Novafort_A_LL_8&quot;200_mm__7"/>
      <sheetName val="3,1,4_Novafort_10&quot;A_LL__255mm_7"/>
      <sheetName val="3,1,5_Novafort_A_LL_12&quot;_315mm_7"/>
      <sheetName val="3,1,6__Acc__Novafort__A_LL7"/>
      <sheetName val="3,2,1_Novafort_A_N__4&quot;_110_7"/>
      <sheetName val="3,2,2_Novafort_A_N_6&quot;_160m_7"/>
      <sheetName val="3,2,3_Novafort_A_N__8&quot;200_mm7"/>
      <sheetName val="3,2,4_Novafort_10&quot;A_N__255_mm7"/>
      <sheetName val="3,2,5_Novafort_A_N_12&quot;_315mm7"/>
      <sheetName val="3,2,6__Acc__Novafort__A_N_7"/>
      <sheetName val="3,3,1_Tuberia_drenaje_PVC_4&quot;7"/>
      <sheetName val="3,3,2_Tuberia_drenaje_PVC_4&quot;7"/>
      <sheetName val="3,3,3_Accesorio_drenaje_PVC_3&quot;7"/>
      <sheetName val="3,3,4_Accesorio_drenaje_PVC_4&quot;7"/>
      <sheetName val="3,3,5_Filtros_Escorrentias7"/>
      <sheetName val="3,4,1_Caja_inspección_0,60_7"/>
      <sheetName val="3,4,2_Caja_inspección_0,807"/>
      <sheetName val="3,4,3_Caja_inspección_1,007"/>
      <sheetName val="3,4,6_Carcamo7"/>
      <sheetName val="3,4,7_Trampa_de_grasas7"/>
      <sheetName val="3,4,8_Pozo_Septico7"/>
      <sheetName val="3,5,1_Exc_Man_7"/>
      <sheetName val="3,5,2_Exc_en_recebo_comp_7"/>
      <sheetName val="3,5,3__Relleno_M_seleccionado7"/>
      <sheetName val="3,5,4_Relleno_M_Común_7"/>
      <sheetName val="3,5,5_Retiro_sobrantes7"/>
      <sheetName val="3,3,6_POZO_INFILTRACIÓN7"/>
      <sheetName val="3,4,4_Caja_Distribuciòn_0,40__7"/>
      <sheetName val="3,4,9_Caja_discipadora7"/>
      <sheetName val="3,6,2_Cabezal_descarga7"/>
      <sheetName val="4,1,1_Columnas7"/>
      <sheetName val="4,1,2_Pantalla_en_concreto7"/>
      <sheetName val="4,1,3_Muros7"/>
      <sheetName val="4,2,1_Vigas_aéreas7"/>
      <sheetName val="4,2,2_Viga_canal7"/>
      <sheetName val="4,2,3__Vigas_Prefabricadas7"/>
      <sheetName val="4,3,1_Placa_alig__Caseton_607"/>
      <sheetName val="4,3,2_Caseton_50_cm7"/>
      <sheetName val="4,3,3_Caseton_45_cm7"/>
      <sheetName val="4,3,4_Caseton_40_cm_7"/>
      <sheetName val="4,3,6_Placa_maciza_0,207"/>
      <sheetName val="4,3,7_Placa_maciza_0,1257"/>
      <sheetName val="4,3,8_Placa_maciza_0,107"/>
      <sheetName val="4,3,9_Placa_maciza_0,157"/>
      <sheetName val="4,4,1_Escalera7"/>
      <sheetName val="4,4,2_Rampas7"/>
      <sheetName val="4,4,3_POZO_CONCRETO_20_M37"/>
      <sheetName val="4,4,4_POZO_CONCRETO7"/>
      <sheetName val="4,4,5_Graderias_en_concreto7"/>
      <sheetName val="4,5,1_Acero_37000__7"/>
      <sheetName val="4,5,2_Acero_60000_est7"/>
      <sheetName val="4,5,3_Malla_Electrosoldada_est7"/>
      <sheetName val="4,6,1,1_Est_Cubierta7"/>
      <sheetName val="4,6,2,3_Cerrchas__Metàlica7"/>
      <sheetName val="4,6,2,4_Perfil_7"/>
      <sheetName val="4,6,2,5_Templete7"/>
      <sheetName val="5,1,1_Bloq_Conc_Estruc_0,127"/>
      <sheetName val="5,1,2_Bloque_concreto_divisori7"/>
      <sheetName val="5,1,3_Bloq_tipo_piedra7"/>
      <sheetName val="5,1,5__Calados_en_Concreto7"/>
      <sheetName val="5,1,6_Bloq_Conc_Estruc_0147"/>
      <sheetName val="5,1,7_Bloq_Conc_Estruc_0197"/>
      <sheetName val="5,2,1_Ladrillo_común7"/>
      <sheetName val="5,2,2_Ladrillo_estructural7"/>
      <sheetName val="5,2,3_Ladrillo_común_sobrecimi7"/>
      <sheetName val="5,2,4_Ladrillo_Prensado_portan7"/>
      <sheetName val="5,2,6_Muro_en_bloque_No_47"/>
      <sheetName val="5,3,1_Enchape_ladrillo_arcilla7"/>
      <sheetName val="5,3,3_Alfagias_ladrillo_arcill7"/>
      <sheetName val="5,3,4_Remate_ladrillo_arcilla7"/>
      <sheetName val="5,4,1_Grouting-Concreto_fluido7"/>
      <sheetName val="5,4,2_Remates7"/>
      <sheetName val="5,5,1_Anclajes_Epoxicos7"/>
      <sheetName val="5,5,2_Acero_37000_mamp7"/>
      <sheetName val="5,5,3_Malla_Electrosoldada_7"/>
      <sheetName val="5,5,4_Grafiles_6_mm7"/>
      <sheetName val="5,6,1_Instalaciòn_carpint__Met7"/>
      <sheetName val="6,1,1_Alfajias7"/>
      <sheetName val="6,1,2_Dinteles7"/>
      <sheetName val="6,1,3_Remates_sobre_mamposteri7"/>
      <sheetName val="6_1_8_Pergolas7"/>
      <sheetName val="6_1_9_Gargolas7"/>
      <sheetName val="6,1,10_Gradas_en_Concreto7"/>
      <sheetName val="6,1,11_PLAQUETAS7"/>
      <sheetName val="6,1,15_Bordillos_ducha_y_aseo7"/>
      <sheetName val="6,1,17_Carcamo7"/>
      <sheetName val="6,1,18_Cañuela_Per7"/>
      <sheetName val="6,2,1_Mesones_en_concreto7"/>
      <sheetName val="6,2,2_Mesones_lavamanos7"/>
      <sheetName val="6,2,3_Mesones_laboratorios7"/>
      <sheetName val="6,2,5_Bancas_Concreto7"/>
      <sheetName val="6,2,8_Alfajias_27"/>
      <sheetName val="7,1,1,1_Acometida_PVC-P_2&quot;7"/>
      <sheetName val="7,1,1,2_Accesorio_PVC-P_2&quot;_7"/>
      <sheetName val="7,1,1,5_Bajantes_A_N___PVC_3&quot;7"/>
      <sheetName val="7,1,1,6_Bajantes_A_N_4&quot;7"/>
      <sheetName val="7,1,2,1_Tuberia_H_G__1&quot;7"/>
      <sheetName val="7,1,2,2__Accesorio_H_G__1&quot;_7"/>
      <sheetName val="7,1,2,3_Flotador_17"/>
      <sheetName val="7,1,2,4_Tanque_Plastico7"/>
      <sheetName val="7,1,3,1_Tuberia_H_G__1&quot;cuarto_7"/>
      <sheetName val="7,1,3,2__Accesorio_H_G_1&quot;cuart7"/>
      <sheetName val="7,1,3,3__Registro_R__W__1&quot;7"/>
      <sheetName val="7,1,3,4__Cheque_Helber_1&quot;7"/>
      <sheetName val="7,1,3,7__Tanque_Subterrraneo7"/>
      <sheetName val="7,1,4,1_Tuberia_H_G__1_1_2&quot;7"/>
      <sheetName val="7,1,4,2__Accesorio_H_G_1_1_2&quot;7"/>
      <sheetName val="7,1,4,3__Registro_R__W__1__1_27"/>
      <sheetName val="7,1,4,4__Cheque__Helber_1_1_2&quot;7"/>
      <sheetName val="7,1,5,1_Registro_1_2&quot;7"/>
      <sheetName val="7,1,5,2_Registro_3_47"/>
      <sheetName val="7,1,5,3_Registro_1_7"/>
      <sheetName val="7,1,5,4_Registro_1147"/>
      <sheetName val="7,1,5,5_Registro_1_127"/>
      <sheetName val="7,1,5,6_Registro_2_7"/>
      <sheetName val="7,1,5,8_Caja_registro_7"/>
      <sheetName val="7,1,6,1_Acometida_media7"/>
      <sheetName val="7,1,6,2_Acometida_1PL7"/>
      <sheetName val="7,1,6,3_Registro_PD_media7"/>
      <sheetName val="7,1,6,4_Acometida_1_147"/>
      <sheetName val="7,1,6,5_Tuberia_1_127"/>
      <sheetName val="7,1,6,6_Acometida_27"/>
      <sheetName val="7,1,6,7_Tubo_UZ_2&quot;7"/>
      <sheetName val="7,1,6,8_Acometida_1_127"/>
      <sheetName val="7,1,6,9_Tuberia_UZ_3&quot;7"/>
      <sheetName val="7,1,6,10_Accesorio_UZ__2&quot;7"/>
      <sheetName val="7,1,6,11_Accesorio_UZ_3&quot;7"/>
      <sheetName val="7,1,7,1_Tuberia_H_G__1_2&quot;7"/>
      <sheetName val="7,1,7,2__Accesorio_H_G_1_2&quot;7"/>
      <sheetName val="7,1,7,3_Registro_Corte_1_2&quot;_7"/>
      <sheetName val="7,1,7,4_Registro_1_2&quot;7"/>
      <sheetName val="7,1,7,5_Caja_para_medidor7"/>
      <sheetName val="7,1,8,1_P_Agua_Fria_Lavamanos7"/>
      <sheetName val="7,1,8,2_Punto__Agua_Fria_1_1_27"/>
      <sheetName val="7,1,8,3_P_Agua_Fria_Sanitarios7"/>
      <sheetName val="7,1,8,4_P_Agua_Fria_Orinales7"/>
      <sheetName val="7,1,8,5_P_Agua_Fria_pocetas_la7"/>
      <sheetName val="7,1,8,6_P_Agua_Fria_Ducha7"/>
      <sheetName val="7,1,8,7_P_Agua_Fria_Pocetas7"/>
      <sheetName val="7,1,8,8_Llave__Manguera_1_2&quot;7"/>
      <sheetName val="7,1,8,10__Tapòn_H_G_1_2&quot;7"/>
      <sheetName val="7,1,8,11__Tapòn_P_V_C_1_2&quot;_7"/>
      <sheetName val="7,1,8,12__Camara_aire_H_G_1_2&quot;7"/>
      <sheetName val="7,1,8,13__Camara_aire_P_V_C_P_7"/>
      <sheetName val="7,1,9,1_P_Sanitario_lavamanos7"/>
      <sheetName val="7,1,9,3_P_Sanitario_Sanit7"/>
      <sheetName val="7,1,9,4_P_Sanitario_Orinales7"/>
      <sheetName val="7,1,9,5__P_Sifòn_PVC-S_4&quot;7"/>
      <sheetName val="7,1,9,6__P_Sifòn_PVC-S_2&quot;_7"/>
      <sheetName val="7,1,9,7_P_Sanitario_Pocetas7"/>
      <sheetName val="7,1,9,9_P_Sanitario_sifon7"/>
      <sheetName val="7,1,10,1_Acomet_sanit7"/>
      <sheetName val="7,1,10,2_Pto_3&quot;7"/>
      <sheetName val="7,1,10,2_Punto_Vent_3&quot;7"/>
      <sheetName val="7,1,10,3__Sanit_27"/>
      <sheetName val="6,1,19_Carcamo_IDRD_Tipo_57"/>
      <sheetName val="7,1,10,4_Sanit_37"/>
      <sheetName val="7,1,10,5_4pLG_S7"/>
      <sheetName val="7,1,11,1_Acomet_lluvia7"/>
      <sheetName val="7,1,11,2_Acomet_lluvia_27"/>
      <sheetName val="7,1,11,3_3plg7"/>
      <sheetName val="7,1,11,5_Bajante_PVC_7"/>
      <sheetName val="7,1,11,6_Accesorios_PVC7"/>
      <sheetName val="7,1,12,1_Instalaciòn_Lavamanos7"/>
      <sheetName val="7,1,12,2_Instalaciòn_Sanitario7"/>
      <sheetName val="7,1,12,8_Llave__Manguera_1_2_7"/>
      <sheetName val="7,1,12,9_Acoflex_lav_sant_7"/>
      <sheetName val="7,1,14_Lavado_Tanque7"/>
      <sheetName val="7,1,15_Desinfecciòn_tanque7"/>
      <sheetName val="7,1,16,2_Bomba7"/>
      <sheetName val="7,2,1,1_Punto_de_gas7"/>
      <sheetName val="7,2,1,2_Preinstalación_gas7"/>
      <sheetName val="7,2,1,3_Tuberia__tipo_L_1_2&quot;7"/>
      <sheetName val="7,2,1,4_Tuberia__tipo_L_1&quot;7"/>
      <sheetName val="7,2,1,5__Registro_bola_1&quot;_7"/>
      <sheetName val="7,2,1,7__Rejilla_vent__plastic7"/>
      <sheetName val="9,1,1_Pañete_impermeabilizado7"/>
      <sheetName val="9,1,2_Pañete_muros_interiores7"/>
      <sheetName val="9,1,3_Pañete_Exteriores7"/>
      <sheetName val="9,2,1_Pañete_bajo_placa7"/>
      <sheetName val="10,1,1_base_mueble_concreto7"/>
      <sheetName val="10,1,3_Alistado_pisos7"/>
      <sheetName val="10,1,4_Mortero_afinado7"/>
      <sheetName val="10,1,6_Acabado_Escobeado7"/>
      <sheetName val="10,2,1,3_Ceramica_0,20_x_0,20_7"/>
      <sheetName val="10,2,2,3_Piso_tablòn_ges_0,30_7"/>
      <sheetName val="10,2,4,1_Baldosin_granito7"/>
      <sheetName val="10,2,4,3_gravilla_m27"/>
      <sheetName val="10,3,1,1_Tablòn_cuarto_267"/>
      <sheetName val="10,3,2,1_Guardaescoba7"/>
      <sheetName val="10,3,2,3_Media_Caña7"/>
      <sheetName val="10,3,2,5_Gravilla_7"/>
      <sheetName val="10,3,2,6_Granito7"/>
      <sheetName val="10,4,2_Escalera_en_Granito7"/>
      <sheetName val="10,5,3_Cenefas_Gravilla_7"/>
      <sheetName val="11,1,1_Afinado_Mortero7"/>
      <sheetName val="11,1,2_Media_Caña7"/>
      <sheetName val="11,1,3_Afinado_Viga_canales7"/>
      <sheetName val="11,1,4_foil_aluminio7"/>
      <sheetName val="11,2,2,1_Caballete7"/>
      <sheetName val="11,2,2,2_remate7"/>
      <sheetName val="11,2,3,1_Domo_acrílico7"/>
      <sheetName val="11,2,3,2_Acrilico_transparente7"/>
      <sheetName val="11,2,3,3_Teja_trapezoidal_Plas7"/>
      <sheetName val="11,2,4,1__teja_acero7"/>
      <sheetName val="11,2,4,2_Tejaluz7"/>
      <sheetName val="11,2,5,1_Teja_Barro7"/>
      <sheetName val="11,2,5,2_Limahoyas7"/>
      <sheetName val="11,3,1_Canal_Lámina7"/>
      <sheetName val="11,3,2_Flashing7"/>
      <sheetName val="11,3,3_Tragante_5x37"/>
      <sheetName val="11,3,4_Tragante_6x47"/>
      <sheetName val="11,3,5_Canal_PVC7"/>
      <sheetName val="12,1,1_Ventanas_aluminio_7"/>
      <sheetName val="12,1,2_Ventanas_aluminio_reja7"/>
      <sheetName val="12,1,3_Puerta_aluminio_sencill7"/>
      <sheetName val="12,1,4_Puert_Alum_dob_reja7"/>
      <sheetName val="12,1,5_Puerta_aluminio_doble7"/>
      <sheetName val="12,1,6_Puert_baños7"/>
      <sheetName val="12,1,7_PERGOLAS_ALUM7"/>
      <sheetName val="12,1,8_Puertas_discapacitados7"/>
      <sheetName val="12,1,9_BARANDA_EN_ALUMINIO7"/>
      <sheetName val="12,2,1,1_Marcos_puerta7"/>
      <sheetName val="12,2,1,2_Puerta_Sencilla7"/>
      <sheetName val="12,2,1,3_Ventana7"/>
      <sheetName val="12,2,1,5_Puertas_Emtamborada7"/>
      <sheetName val="12,2,2,1_Pasamanos_7"/>
      <sheetName val="12,2,2,2_Pasamanos7"/>
      <sheetName val="12,2,2,3_Baranda_Malla7"/>
      <sheetName val="_12,2,2,4_Cerramiento_acrílilc7"/>
      <sheetName val="12,2,3,1_Rejas_en_varilla_cuad7"/>
      <sheetName val="12,2,3,2_Rejas_ventana7"/>
      <sheetName val="12,2,3,3_Rejas_Puerta_baño7"/>
      <sheetName val="12,2,3,4_Reja_Ventilación7"/>
      <sheetName val="12,2,4,1_CORTASOL7"/>
      <sheetName val="12,2,4,4_Ventana_Malla7"/>
      <sheetName val="_12,2,2,5_Baranda_M807"/>
      <sheetName val="14,1,1_Ceramica_20_7"/>
      <sheetName val="15,1,3_Lampara_Fluorecente_2x38"/>
      <sheetName val="16,1,3_Sanitarios_tanque7"/>
      <sheetName val="16,1,4_Orinal_7"/>
      <sheetName val="16,1,5_Lavamanos_Sobreponer7"/>
      <sheetName val="16,1,7_Lavamanos_de_colgar7"/>
      <sheetName val="16,1,8_Sanit_Disc7"/>
      <sheetName val="16,1,9_Duchas7"/>
      <sheetName val="16,1,11_POCETA7"/>
      <sheetName val="16,2,1_Pocetas_Aseo7"/>
      <sheetName val="16,2,5_Llave_Terminal7"/>
      <sheetName val="16,2,6_Incrustaciones7"/>
      <sheetName val="16,2,7_Barras_disc7"/>
      <sheetName val="17,2,1_Puerta_Vidrio7"/>
      <sheetName val="17,2,2_Puerta_PVC_Baterias7"/>
      <sheetName val="17,2,3_Divisiones_0,067"/>
      <sheetName val="17,2,4_Divisiones_baños_7"/>
      <sheetName val="18,1,1_pintura_koraza7"/>
      <sheetName val="18,1,2_pintura_plastica7"/>
      <sheetName val="18,1,3_Vinilo_con_estuco7"/>
      <sheetName val="18,1,4_Vinilo_sin_estuco_7"/>
      <sheetName val="18,1,5_Vinilo_Cielos_7"/>
      <sheetName val="19,1,1_Cerraduras7"/>
      <sheetName val="19,4,1_Espejo7"/>
      <sheetName val="19,4,2_Vidrio_Crudo7"/>
      <sheetName val="20,1,2_Exc_Man7"/>
      <sheetName val="20,1,5_Subbase_recebo7"/>
      <sheetName val="20,2,1_Andenes7"/>
      <sheetName val="20,2,2_Sardinel7"/>
      <sheetName val="20,2,4_Banca7"/>
      <sheetName val="20,2,5_Adoquin7"/>
      <sheetName val="20,3,1_Solado_esp=_0,057"/>
      <sheetName val="20,3,2_Concreto_Ciclopeo_7"/>
      <sheetName val="20,3,3_Vigas_de_Amarre7"/>
      <sheetName val="20,3,5__Cerramiento_Malla_Esla7"/>
      <sheetName val="20,3,6__Muros_de_contencion_7"/>
      <sheetName val="20,4,1_Mov_Tierras7"/>
      <sheetName val="20,2,13_Escalinatas7"/>
      <sheetName val="20,2,6_Adoquin_Arcilla7"/>
      <sheetName val="20,2,7_Loseta_A-507"/>
      <sheetName val="20,4,2_Pradización7"/>
      <sheetName val="20_2_10_Bordillo_A-807"/>
      <sheetName val="20,4,4_Arborización7"/>
      <sheetName val="20,5,1_Gaviones_en_piedra7"/>
      <sheetName val="20,5,2_PERGOLA__METALICA7"/>
      <sheetName val="20,5,3__Acero_37000__Ext_7"/>
      <sheetName val="20,5,4_Acero_60000_psi7"/>
      <sheetName val="20,5,5_Malla_Electrosoldada__7"/>
      <sheetName val="21,1,1_Lavada_ladrillo_7"/>
      <sheetName val="21,1,3_Aseo7"/>
      <sheetName val="21,1,4_Retiro_Escombros7"/>
      <sheetName val="Pasamanos_7"/>
      <sheetName val="AIU_Nuevo9"/>
      <sheetName val="ANALISIS_DE_AIU9"/>
      <sheetName val="Cuadro_Resumen9"/>
      <sheetName val="Resumen_m29"/>
      <sheetName val="Datos_entrada9"/>
      <sheetName val="Hoja_Base9"/>
      <sheetName val="Mort_1-39"/>
      <sheetName val="Mort_1-3_Imper9"/>
      <sheetName val="Mort_1-49"/>
      <sheetName val="Mort_1-4_Imper9"/>
      <sheetName val="Mort_1-59"/>
      <sheetName val="Mort_1-79"/>
      <sheetName val="Concr_1,5009"/>
      <sheetName val="Concr_2,0009"/>
      <sheetName val="Concr_2,5009"/>
      <sheetName val="Concr_3,0009"/>
      <sheetName val="Concr_3,5009"/>
      <sheetName val="Concr_4,000_9"/>
      <sheetName val="_Acero_60000_Refuerzo_9"/>
      <sheetName val="_Malla_Electrosoldada_9"/>
      <sheetName val="P_Eléctrico9"/>
      <sheetName val="P_Agua_Fria9"/>
      <sheetName val="P_Sanitario9"/>
      <sheetName val="Granito_pulido_9"/>
      <sheetName val="Marcos_puerta9"/>
      <sheetName val="Marcos_ventana9"/>
      <sheetName val="1,1,1_Campamt9"/>
      <sheetName val="1,1,2_Alquiler_Campameto9"/>
      <sheetName val="1,1,3_Limpieza9"/>
      <sheetName val="1,1,4_Localización_y_replanteo9"/>
      <sheetName val="1,1,6_Cerramiento_Lona9"/>
      <sheetName val="1,1,7_Locali_Manual9"/>
      <sheetName val="1,2,1_Provicional_agua9"/>
      <sheetName val="1,2,2_Provicional_luz9"/>
      <sheetName val="1,3,1_Desmonte_cubierta9"/>
      <sheetName val="1,3,2_Demoliciòn_muro9"/>
      <sheetName val="1,3,3__Dm_enchape9"/>
      <sheetName val="1,3,4_Dm_cimiento9"/>
      <sheetName val="1,3,5_Dm_Vig-colum9"/>
      <sheetName val="1,3,6_Demolicion_placa9"/>
      <sheetName val="1,3,7__Dm_Aparatos9"/>
      <sheetName val="1,4,2_Traslado_postes9"/>
      <sheetName val="1,4,3_Arb_59"/>
      <sheetName val="1,4,4_Arb_109"/>
      <sheetName val="1,4,5_Arb_159"/>
      <sheetName val="1,4,6_Arb_209"/>
      <sheetName val="1,4,7_Arb_+209"/>
      <sheetName val="1,4,8_Traslado_Arb9"/>
      <sheetName val="2,1,1_Exc_Mec9"/>
      <sheetName val="2,1,2_Exc_Man9"/>
      <sheetName val="2,1,3_Exc_M_Sub_base9"/>
      <sheetName val="2,1,5_Relleno_M_Común9"/>
      <sheetName val="2,1,6__Rellenos_M_Selec9"/>
      <sheetName val="2,1,7__Sub_base_Recebo_9"/>
      <sheetName val="2,1,8_Geotextil_NT9"/>
      <sheetName val="2,1,9_Geotextil_Tejido9"/>
      <sheetName val="2,1,10_Relleno_Recebo9"/>
      <sheetName val="2,2,1_Concr_pobre9"/>
      <sheetName val="2,2,2_Concr_Ciclopeo9"/>
      <sheetName val="2,2,3_Muros_de_contencion9"/>
      <sheetName val="2,2,4_Concreto_Zapatas9"/>
      <sheetName val="2,2,5_Vigas_de_cimentación9"/>
      <sheetName val="2,2,6,1_Pilotes_0,309"/>
      <sheetName val="2,2,6,2_Pilotes_0,409"/>
      <sheetName val="2,2,6,3_Pilotes_0,609"/>
      <sheetName val="2,2,6,4_Pilotes_0,809"/>
      <sheetName val="2,2,6,5_Pilotes_0,90_9"/>
      <sheetName val="2,2,7_Dados_en_concreto9"/>
      <sheetName val="2,2,8_Placa_Flotante_0,609"/>
      <sheetName val="2,2,9_Placas_cont=_0,19"/>
      <sheetName val="2,2,10_Placas_cont=_0,1259"/>
      <sheetName val="2,2,11_Placas_cont=_0,159"/>
      <sheetName val="2,3,1_Acero_37000_9"/>
      <sheetName val="2,3,2_Acero_60000_Refuerzo9"/>
      <sheetName val="2,3,3_Malla_Electrosoldada9"/>
      <sheetName val="2,4,1_Gaviones9"/>
      <sheetName val="2,4,2_Cajon_aislamiento_vigas9"/>
      <sheetName val="2,4,3_Icopor_Aislante_ciment__9"/>
      <sheetName val="2,4,4_Pañete_Taludes_9"/>
      <sheetName val="3,1,1_Novafort_A_LL__4&quot;_110mm_9"/>
      <sheetName val="3,1,2_Novafort_A_LL_6&quot;_160mm__9"/>
      <sheetName val="3,1,3_Novafort_A_LL_8&quot;200_mm__9"/>
      <sheetName val="3,1,4_Novafort_10&quot;A_LL__255mm_9"/>
      <sheetName val="3,1,5_Novafort_A_LL_12&quot;_315mm_9"/>
      <sheetName val="3,1,6__Acc__Novafort__A_LL9"/>
      <sheetName val="3,2,1_Novafort_A_N__4&quot;_110_9"/>
      <sheetName val="3,2,2_Novafort_A_N_6&quot;_160m_9"/>
      <sheetName val="3,2,3_Novafort_A_N__8&quot;200_mm9"/>
      <sheetName val="3,2,4_Novafort_10&quot;A_N__255_mm9"/>
      <sheetName val="3,2,5_Novafort_A_N_12&quot;_315mm9"/>
      <sheetName val="3,2,6__Acc__Novafort__A_N_9"/>
      <sheetName val="3,3,1_Tuberia_drenaje_PVC_4&quot;9"/>
      <sheetName val="3,3,2_Tuberia_drenaje_PVC_4&quot;9"/>
      <sheetName val="3,3,3_Accesorio_drenaje_PVC_3&quot;9"/>
      <sheetName val="3,3,4_Accesorio_drenaje_PVC_4&quot;9"/>
      <sheetName val="3,3,5_Filtros_Escorrentias9"/>
      <sheetName val="3,4,1_Caja_inspección_0,60_9"/>
      <sheetName val="3,4,2_Caja_inspección_0,809"/>
      <sheetName val="3,4,3_Caja_inspección_1,009"/>
      <sheetName val="3,4,6_Carcamo9"/>
      <sheetName val="3,4,7_Trampa_de_grasas9"/>
      <sheetName val="3,4,8_Pozo_Septico9"/>
      <sheetName val="3,5,1_Exc_Man_9"/>
      <sheetName val="3,5,2_Exc_en_recebo_comp_9"/>
      <sheetName val="3,5,3__Relleno_M_seleccionado9"/>
      <sheetName val="3,5,4_Relleno_M_Común_9"/>
      <sheetName val="3,5,5_Retiro_sobrantes9"/>
      <sheetName val="3,3,6_POZO_INFILTRACIÓN9"/>
      <sheetName val="3,4,4_Caja_Distribuciòn_0,40__9"/>
      <sheetName val="3,4,9_Caja_discipadora9"/>
      <sheetName val="3,6,2_Cabezal_descarga9"/>
      <sheetName val="4,1,1_Columnas9"/>
      <sheetName val="4,1,2_Pantalla_en_concreto9"/>
      <sheetName val="4,1,3_Muros9"/>
      <sheetName val="4,2,1_Vigas_aéreas9"/>
      <sheetName val="4,2,2_Viga_canal9"/>
      <sheetName val="4,2,3__Vigas_Prefabricadas9"/>
      <sheetName val="4,3,1_Placa_alig__Caseton_609"/>
      <sheetName val="4,3,2_Caseton_50_cm9"/>
      <sheetName val="4,3,3_Caseton_45_cm9"/>
      <sheetName val="4,3,4_Caseton_40_cm_9"/>
      <sheetName val="4,3,6_Placa_maciza_0,209"/>
      <sheetName val="4,3,7_Placa_maciza_0,1259"/>
      <sheetName val="4,3,8_Placa_maciza_0,109"/>
      <sheetName val="4,3,9_Placa_maciza_0,159"/>
      <sheetName val="4,4,1_Escalera9"/>
      <sheetName val="4,4,2_Rampas9"/>
      <sheetName val="4,4,3_POZO_CONCRETO_20_M39"/>
      <sheetName val="4,4,4_POZO_CONCRETO9"/>
      <sheetName val="4,4,5_Graderias_en_concreto9"/>
      <sheetName val="4,5,1_Acero_37000__9"/>
      <sheetName val="4,5,2_Acero_60000_est9"/>
      <sheetName val="4,5,3_Malla_Electrosoldada_est9"/>
      <sheetName val="4,6,1,1_Est_Cubierta9"/>
      <sheetName val="4,6,2,3_Cerrchas__Metàlica9"/>
      <sheetName val="4,6,2,4_Perfil_9"/>
      <sheetName val="4,6,2,5_Templete9"/>
      <sheetName val="5,1,1_Bloq_Conc_Estruc_0,129"/>
      <sheetName val="5,1,2_Bloque_concreto_divisori9"/>
      <sheetName val="5,1,3_Bloq_tipo_piedra9"/>
      <sheetName val="5,1,5__Calados_en_Concreto9"/>
      <sheetName val="5,1,6_Bloq_Conc_Estruc_0149"/>
      <sheetName val="5,1,7_Bloq_Conc_Estruc_0199"/>
      <sheetName val="5,2,1_Ladrillo_común9"/>
      <sheetName val="5,2,2_Ladrillo_estructural9"/>
      <sheetName val="5,2,3_Ladrillo_común_sobrecimi9"/>
      <sheetName val="5,2,4_Ladrillo_Prensado_portan9"/>
      <sheetName val="5,2,6_Muro_en_bloque_No_49"/>
      <sheetName val="5,3,1_Enchape_ladrillo_arcilla9"/>
      <sheetName val="5,3,3_Alfagias_ladrillo_arcill9"/>
      <sheetName val="5,3,4_Remate_ladrillo_arcilla9"/>
      <sheetName val="5,4,1_Grouting-Concreto_fluido9"/>
      <sheetName val="5,4,2_Remates9"/>
      <sheetName val="5,5,1_Anclajes_Epoxicos9"/>
      <sheetName val="5,5,2_Acero_37000_mamp9"/>
      <sheetName val="5,5,3_Malla_Electrosoldada_9"/>
      <sheetName val="5,5,4_Grafiles_6_mm9"/>
      <sheetName val="5,6,1_Instalaciòn_carpint__Met9"/>
      <sheetName val="6,1,1_Alfajias9"/>
      <sheetName val="6,1,2_Dinteles9"/>
      <sheetName val="6,1,3_Remates_sobre_mamposteri9"/>
      <sheetName val="6_1_8_Pergolas9"/>
      <sheetName val="6_1_9_Gargolas9"/>
      <sheetName val="6,1,10_Gradas_en_Concreto9"/>
      <sheetName val="6,1,11_PLAQUETAS9"/>
      <sheetName val="6,1,15_Bordillos_ducha_y_aseo9"/>
      <sheetName val="6,1,17_Carcamo9"/>
      <sheetName val="6,1,18_Cañuela_Per9"/>
      <sheetName val="6,2,1_Mesones_en_concreto9"/>
      <sheetName val="6,2,2_Mesones_lavamanos9"/>
      <sheetName val="6,2,3_Mesones_laboratorios9"/>
      <sheetName val="6,2,5_Bancas_Concreto9"/>
      <sheetName val="6,2,8_Alfajias_29"/>
      <sheetName val="7,1,1,1_Acometida_PVC-P_2&quot;9"/>
      <sheetName val="7,1,1,2_Accesorio_PVC-P_2&quot;_9"/>
      <sheetName val="7,1,1,5_Bajantes_A_N___PVC_3&quot;9"/>
      <sheetName val="7,1,1,6_Bajantes_A_N_4&quot;9"/>
      <sheetName val="7,1,2,1_Tuberia_H_G__1&quot;9"/>
      <sheetName val="7,1,2,2__Accesorio_H_G__1&quot;_9"/>
      <sheetName val="7,1,2,3_Flotador_19"/>
      <sheetName val="7,1,2,4_Tanque_Plastico9"/>
      <sheetName val="7,1,3,1_Tuberia_H_G__1&quot;cuarto_9"/>
      <sheetName val="7,1,3,2__Accesorio_H_G_1&quot;cuart9"/>
      <sheetName val="7,1,3,3__Registro_R__W__1&quot;9"/>
      <sheetName val="7,1,3,4__Cheque_Helber_1&quot;9"/>
      <sheetName val="7,1,3,7__Tanque_Subterrraneo9"/>
      <sheetName val="7,1,4,1_Tuberia_H_G__1_1_2&quot;9"/>
      <sheetName val="7,1,4,2__Accesorio_H_G_1_1_2&quot;9"/>
      <sheetName val="7,1,4,3__Registro_R__W__1__1_29"/>
      <sheetName val="7,1,4,4__Cheque__Helber_1_1_2&quot;9"/>
      <sheetName val="7,1,5,1_Registro_1_2&quot;9"/>
      <sheetName val="7,1,5,2_Registro_3_49"/>
      <sheetName val="7,1,5,3_Registro_1_9"/>
      <sheetName val="7,1,5,4_Registro_1149"/>
      <sheetName val="7,1,5,5_Registro_1_129"/>
      <sheetName val="7,1,5,6_Registro_2_9"/>
      <sheetName val="7,1,5,8_Caja_registro_9"/>
      <sheetName val="7,1,6,1_Acometida_media9"/>
      <sheetName val="7,1,6,2_Acometida_1PL9"/>
      <sheetName val="7,1,6,3_Registro_PD_media9"/>
      <sheetName val="7,1,6,4_Acometida_1_149"/>
      <sheetName val="7,1,6,5_Tuberia_1_129"/>
      <sheetName val="7,1,6,6_Acometida_29"/>
      <sheetName val="7,1,6,7_Tubo_UZ_2&quot;9"/>
      <sheetName val="7,1,6,8_Acometida_1_129"/>
      <sheetName val="7,1,6,9_Tuberia_UZ_3&quot;9"/>
      <sheetName val="7,1,6,10_Accesorio_UZ__2&quot;9"/>
      <sheetName val="7,1,6,11_Accesorio_UZ_3&quot;9"/>
      <sheetName val="7,1,7,1_Tuberia_H_G__1_2&quot;9"/>
      <sheetName val="7,1,7,2__Accesorio_H_G_1_2&quot;9"/>
      <sheetName val="7,1,7,3_Registro_Corte_1_2&quot;_9"/>
      <sheetName val="7,1,7,4_Registro_1_2&quot;9"/>
      <sheetName val="7,1,7,5_Caja_para_medidor9"/>
      <sheetName val="7,1,8,1_P_Agua_Fria_Lavamanos9"/>
      <sheetName val="7,1,8,2_Punto__Agua_Fria_1_1_29"/>
      <sheetName val="7,1,8,3_P_Agua_Fria_Sanitarios9"/>
      <sheetName val="7,1,8,4_P_Agua_Fria_Orinales9"/>
      <sheetName val="7,1,8,5_P_Agua_Fria_pocetas_la9"/>
      <sheetName val="7,1,8,6_P_Agua_Fria_Ducha9"/>
      <sheetName val="7,1,8,7_P_Agua_Fria_Pocetas9"/>
      <sheetName val="7,1,8,8_Llave__Manguera_1_2&quot;9"/>
      <sheetName val="7,1,8,10__Tapòn_H_G_1_2&quot;9"/>
      <sheetName val="7,1,8,11__Tapòn_P_V_C_1_2&quot;_9"/>
      <sheetName val="7,1,8,12__Camara_aire_H_G_1_2&quot;9"/>
      <sheetName val="7,1,8,13__Camara_aire_P_V_C_P_9"/>
      <sheetName val="7,1,9,1_P_Sanitario_lavamanos9"/>
      <sheetName val="7,1,9,3_P_Sanitario_Sanit9"/>
      <sheetName val="7,1,9,4_P_Sanitario_Orinales9"/>
      <sheetName val="7,1,9,5__P_Sifòn_PVC-S_4&quot;9"/>
      <sheetName val="7,1,9,6__P_Sifòn_PVC-S_2&quot;_9"/>
      <sheetName val="7,1,9,7_P_Sanitario_Pocetas9"/>
      <sheetName val="7,1,9,9_P_Sanitario_sifon9"/>
      <sheetName val="7,1,10,1_Acomet_sanit9"/>
      <sheetName val="7,1,10,2_Pto_3&quot;9"/>
      <sheetName val="7,1,10,2_Punto_Vent_3&quot;9"/>
      <sheetName val="7,1,10,3__Sanit_29"/>
      <sheetName val="6,1,19_Carcamo_IDRD_Tipo_59"/>
      <sheetName val="7,1,10,4_Sanit_39"/>
      <sheetName val="7,1,10,5_4pLG_S9"/>
      <sheetName val="7,1,11,1_Acomet_lluvia9"/>
      <sheetName val="7,1,11,2_Acomet_lluvia_29"/>
      <sheetName val="7,1,11,3_3plg9"/>
      <sheetName val="7,1,11,5_Bajante_PVC_9"/>
      <sheetName val="7,1,11,6_Accesorios_PVC9"/>
      <sheetName val="7,1,12,1_Instalaciòn_Lavamanos9"/>
      <sheetName val="7,1,12,2_Instalaciòn_Sanitario9"/>
      <sheetName val="7,1,12,8_Llave__Manguera_1_2_9"/>
      <sheetName val="7,1,12,9_Acoflex_lav_sant_9"/>
      <sheetName val="7,1,14_Lavado_Tanque9"/>
      <sheetName val="7,1,15_Desinfecciòn_tanque9"/>
      <sheetName val="7,1,16,2_Bomba9"/>
      <sheetName val="7,2,1,1_Punto_de_gas9"/>
      <sheetName val="7,2,1,2_Preinstalación_gas9"/>
      <sheetName val="7,2,1,3_Tuberia__tipo_L_1_2&quot;9"/>
      <sheetName val="7,2,1,4_Tuberia__tipo_L_1&quot;9"/>
      <sheetName val="7,2,1,5__Registro_bola_1&quot;_9"/>
      <sheetName val="7,2,1,7__Rejilla_vent__plastic9"/>
      <sheetName val="9,1,1_Pañete_impermeabilizado9"/>
      <sheetName val="9,1,2_Pañete_muros_interiores9"/>
      <sheetName val="9,1,3_Pañete_Exteriores9"/>
      <sheetName val="9,2,1_Pañete_bajo_placa9"/>
      <sheetName val="10,1,1_base_mueble_concreto9"/>
      <sheetName val="10,1,3_Alistado_pisos9"/>
      <sheetName val="10,1,4_Mortero_afinado9"/>
      <sheetName val="10,1,6_Acabado_Escobeado9"/>
      <sheetName val="10,2,1,3_Ceramica_0,20_x_0,20_9"/>
      <sheetName val="10,2,2,3_Piso_tablòn_ges_0,30_9"/>
      <sheetName val="10,2,4,1_Baldosin_granito9"/>
      <sheetName val="10,2,4,3_gravilla_m29"/>
      <sheetName val="10,3,1,1_Tablòn_cuarto_269"/>
      <sheetName val="10,3,2,1_Guardaescoba9"/>
      <sheetName val="10,3,2,3_Media_Caña9"/>
      <sheetName val="10,3,2,5_Gravilla_9"/>
      <sheetName val="10,3,2,6_Granito9"/>
      <sheetName val="10,4,2_Escalera_en_Granito9"/>
      <sheetName val="10,5,3_Cenefas_Gravilla_9"/>
      <sheetName val="11,1,1_Afinado_Mortero9"/>
      <sheetName val="11,1,2_Media_Caña9"/>
      <sheetName val="11,1,3_Afinado_Viga_canales9"/>
      <sheetName val="11,1,4_foil_aluminio9"/>
      <sheetName val="11,2,2,1_Caballete9"/>
      <sheetName val="11,2,2,2_remate9"/>
      <sheetName val="11,2,3,1_Domo_acrílico9"/>
      <sheetName val="11,2,3,2_Acrilico_transparente9"/>
      <sheetName val="11,2,3,3_Teja_trapezoidal_Plas9"/>
      <sheetName val="11,2,4,1__teja_acero9"/>
      <sheetName val="11,2,4,2_Tejaluz9"/>
      <sheetName val="11,2,5,1_Teja_Barro9"/>
      <sheetName val="11,2,5,2_Limahoyas9"/>
      <sheetName val="11,3,1_Canal_Lámina9"/>
      <sheetName val="11,3,2_Flashing9"/>
      <sheetName val="11,3,3_Tragante_5x39"/>
      <sheetName val="11,3,4_Tragante_6x49"/>
      <sheetName val="11,3,5_Canal_PVC9"/>
      <sheetName val="12,1,1_Ventanas_aluminio_9"/>
      <sheetName val="12,1,2_Ventanas_aluminio_reja9"/>
      <sheetName val="12,1,3_Puerta_aluminio_sencill9"/>
      <sheetName val="12,1,4_Puert_Alum_dob_reja9"/>
      <sheetName val="12,1,5_Puerta_aluminio_doble9"/>
      <sheetName val="12,1,6_Puert_baños9"/>
      <sheetName val="12,1,7_PERGOLAS_ALUM9"/>
      <sheetName val="12,1,8_Puertas_discapacitados9"/>
      <sheetName val="12,1,9_BARANDA_EN_ALUMINIO9"/>
      <sheetName val="12,2,1,1_Marcos_puerta9"/>
      <sheetName val="12,2,1,2_Puerta_Sencilla9"/>
      <sheetName val="12,2,1,3_Ventana9"/>
      <sheetName val="12,2,1,5_Puertas_Emtamborada9"/>
      <sheetName val="12,2,2,1_Pasamanos_9"/>
      <sheetName val="12,2,2,2_Pasamanos9"/>
      <sheetName val="12,2,2,3_Baranda_Malla9"/>
      <sheetName val="_12,2,2,4_Cerramiento_acrílilc9"/>
      <sheetName val="12,2,3,1_Rejas_en_varilla_cuad9"/>
      <sheetName val="12,2,3,2_Rejas_ventana9"/>
      <sheetName val="12,2,3,3_Rejas_Puerta_baño9"/>
      <sheetName val="12,2,3,4_Reja_Ventilación9"/>
      <sheetName val="12,2,4,1_CORTASOL9"/>
      <sheetName val="12,2,4,4_Ventana_Malla9"/>
      <sheetName val="_12,2,2,5_Baranda_M809"/>
      <sheetName val="14,1,1_Ceramica_20_9"/>
      <sheetName val="15,1,3_Lampara_Fluorecente_2x10"/>
      <sheetName val="16,1,3_Sanitarios_tanque9"/>
      <sheetName val="16,1,4_Orinal_9"/>
      <sheetName val="16,1,5_Lavamanos_Sobreponer9"/>
      <sheetName val="16,1,7_Lavamanos_de_colgar9"/>
      <sheetName val="16,1,8_Sanit_Disc9"/>
      <sheetName val="16,1,9_Duchas9"/>
      <sheetName val="16,1,11_POCETA9"/>
      <sheetName val="16,2,1_Pocetas_Aseo9"/>
      <sheetName val="16,2,5_Llave_Terminal9"/>
      <sheetName val="16,2,6_Incrustaciones9"/>
      <sheetName val="16,2,7_Barras_disc9"/>
      <sheetName val="17,2,1_Puerta_Vidrio9"/>
      <sheetName val="17,2,2_Puerta_PVC_Baterias9"/>
      <sheetName val="17,2,3_Divisiones_0,069"/>
      <sheetName val="17,2,4_Divisiones_baños_9"/>
      <sheetName val="18,1,1_pintura_koraza9"/>
      <sheetName val="18,1,2_pintura_plastica9"/>
      <sheetName val="18,1,3_Vinilo_con_estuco9"/>
      <sheetName val="18,1,4_Vinilo_sin_estuco_9"/>
      <sheetName val="18,1,5_Vinilo_Cielos_9"/>
      <sheetName val="19,1,1_Cerraduras9"/>
      <sheetName val="19,4,1_Espejo9"/>
      <sheetName val="19,4,2_Vidrio_Crudo9"/>
      <sheetName val="20,1,2_Exc_Man9"/>
      <sheetName val="20,1,5_Subbase_recebo9"/>
      <sheetName val="20,2,1_Andenes9"/>
      <sheetName val="20,2,2_Sardinel9"/>
      <sheetName val="20,2,4_Banca9"/>
      <sheetName val="20,2,5_Adoquin9"/>
      <sheetName val="20,3,1_Solado_esp=_0,059"/>
      <sheetName val="20,3,2_Concreto_Ciclopeo_9"/>
      <sheetName val="20,3,3_Vigas_de_Amarre9"/>
      <sheetName val="20,3,5__Cerramiento_Malla_Esla9"/>
      <sheetName val="20,3,6__Muros_de_contencion_9"/>
      <sheetName val="20,4,1_Mov_Tierras9"/>
      <sheetName val="20,2,13_Escalinatas9"/>
      <sheetName val="20,2,6_Adoquin_Arcilla9"/>
      <sheetName val="20,2,7_Loseta_A-509"/>
      <sheetName val="20,4,2_Pradización9"/>
      <sheetName val="20_2_10_Bordillo_A-809"/>
      <sheetName val="20,4,4_Arborización9"/>
      <sheetName val="20,5,1_Gaviones_en_piedra9"/>
      <sheetName val="20,5,2_PERGOLA__METALICA9"/>
      <sheetName val="20,5,3__Acero_37000__Ext_9"/>
      <sheetName val="20,5,4_Acero_60000_psi9"/>
      <sheetName val="20,5,5_Malla_Electrosoldada__9"/>
      <sheetName val="21,1,1_Lavada_ladrillo_9"/>
      <sheetName val="21,1,3_Aseo9"/>
      <sheetName val="21,1,4_Retiro_Escombros9"/>
      <sheetName val="Pasamanos_9"/>
      <sheetName val="M.Med_Arq"/>
      <sheetName val="AIU"/>
      <sheetName val="Pres_cu;tural"/>
      <sheetName val="1_Preliminares"/>
      <sheetName val="2_Cimentación_Est.Met"/>
      <sheetName val="3_Mampost"/>
      <sheetName val="Apus_Pisos"/>
      <sheetName val="Apu Enchapes"/>
      <sheetName val="Apus_Elec Bloq A"/>
      <sheetName val="Apus_Elec Bloq B"/>
      <sheetName val="Apus_Cub_CM"/>
      <sheetName val="Apu_Hidro"/>
      <sheetName val="Apus_Dotación_Pintura"/>
      <sheetName val="Equipo_Trans "/>
      <sheetName val="M.Obra"/>
      <sheetName val="Pres_cultural"/>
      <sheetName val="REC-COD,"/>
      <sheetName val="MEMORIAS "/>
      <sheetName val="TARIFAS"/>
    </sheetNames>
    <sheetDataSet>
      <sheetData sheetId="0">
        <row r="10">
          <cell r="A10">
            <v>1</v>
          </cell>
        </row>
      </sheetData>
      <sheetData sheetId="1">
        <row r="15">
          <cell r="A15" t="str">
            <v>Cargador tipo Cat - 904</v>
          </cell>
        </row>
      </sheetData>
      <sheetData sheetId="2">
        <row r="10">
          <cell r="A10">
            <v>1</v>
          </cell>
        </row>
      </sheetData>
      <sheetData sheetId="3">
        <row r="11">
          <cell r="A11" t="str">
            <v>A.C.P.M.</v>
          </cell>
        </row>
      </sheetData>
      <sheetData sheetId="4">
        <row r="8">
          <cell r="D8" t="str">
            <v>P. ALBAÑILERIA</v>
          </cell>
        </row>
      </sheetData>
      <sheetData sheetId="5">
        <row r="10">
          <cell r="A10">
            <v>1</v>
          </cell>
        </row>
      </sheetData>
      <sheetData sheetId="6">
        <row r="8">
          <cell r="D8" t="str">
            <v>P. ALBAÑILERIA</v>
          </cell>
        </row>
      </sheetData>
      <sheetData sheetId="7">
        <row r="15">
          <cell r="A15" t="str">
            <v>Cargador tipo Cat - 904</v>
          </cell>
        </row>
      </sheetData>
      <sheetData sheetId="8">
        <row r="11">
          <cell r="A11" t="str">
            <v>A.C.P.M.</v>
          </cell>
        </row>
      </sheetData>
      <sheetData sheetId="9">
        <row r="11">
          <cell r="A11" t="str">
            <v>A.C.P.M.</v>
          </cell>
        </row>
      </sheetData>
      <sheetData sheetId="10">
        <row r="8">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sheetData>
      <sheetData sheetId="11">
        <row r="10">
          <cell r="A10">
            <v>1</v>
          </cell>
        </row>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515000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82219.749999999985</v>
          </cell>
          <cell r="C15">
            <v>0</v>
          </cell>
          <cell r="D15">
            <v>0</v>
          </cell>
          <cell r="E15">
            <v>0</v>
          </cell>
          <cell r="F15">
            <v>30436.499999999996</v>
          </cell>
          <cell r="G15">
            <v>0</v>
          </cell>
          <cell r="H15">
            <v>0</v>
          </cell>
          <cell r="I15">
            <v>0</v>
          </cell>
        </row>
        <row r="16">
          <cell r="A16" t="str">
            <v>P. INSTALACIONES BASICA</v>
          </cell>
          <cell r="B16">
            <v>90441.725000000006</v>
          </cell>
          <cell r="C16">
            <v>0</v>
          </cell>
          <cell r="D16">
            <v>0</v>
          </cell>
          <cell r="E16">
            <v>0</v>
          </cell>
          <cell r="F16">
            <v>33480.15</v>
          </cell>
          <cell r="G16">
            <v>0</v>
          </cell>
          <cell r="H16">
            <v>0</v>
          </cell>
          <cell r="I16">
            <v>0</v>
          </cell>
        </row>
        <row r="17">
          <cell r="A17" t="str">
            <v>1.1.7</v>
          </cell>
          <cell r="B17" t="str">
            <v>DEMOLICION Y RETIRO DE ESCOMBROS</v>
          </cell>
          <cell r="C17">
            <v>0</v>
          </cell>
          <cell r="D17">
            <v>0</v>
          </cell>
          <cell r="E17">
            <v>0</v>
          </cell>
          <cell r="F17">
            <v>0</v>
          </cell>
          <cell r="G17">
            <v>0</v>
          </cell>
          <cell r="H17">
            <v>0</v>
          </cell>
          <cell r="I17">
            <v>0</v>
          </cell>
        </row>
        <row r="18">
          <cell r="A18" t="str">
            <v>1.1.7</v>
          </cell>
          <cell r="B18" t="str">
            <v>VALLA INFORMATIVA</v>
          </cell>
          <cell r="C18">
            <v>0</v>
          </cell>
          <cell r="D18">
            <v>0</v>
          </cell>
          <cell r="E18">
            <v>0</v>
          </cell>
          <cell r="F18">
            <v>0</v>
          </cell>
          <cell r="G18">
            <v>0</v>
          </cell>
          <cell r="H18">
            <v>0</v>
          </cell>
          <cell r="I18">
            <v>0</v>
          </cell>
        </row>
        <row r="19">
          <cell r="A19" t="str">
            <v>P. PINTURA</v>
          </cell>
          <cell r="B19">
            <v>94552.71249999998</v>
          </cell>
          <cell r="C19">
            <v>0</v>
          </cell>
          <cell r="D19">
            <v>0</v>
          </cell>
          <cell r="E19">
            <v>0</v>
          </cell>
          <cell r="F19">
            <v>35001.974999999999</v>
          </cell>
          <cell r="G19">
            <v>0</v>
          </cell>
          <cell r="H19">
            <v>0</v>
          </cell>
          <cell r="I19">
            <v>0</v>
          </cell>
        </row>
        <row r="20">
          <cell r="A20" t="str">
            <v>P. CARPINTERIA</v>
          </cell>
          <cell r="B20">
            <v>98663.699999999983</v>
          </cell>
          <cell r="C20">
            <v>0</v>
          </cell>
          <cell r="D20">
            <v>0</v>
          </cell>
          <cell r="E20">
            <v>0</v>
          </cell>
          <cell r="F20">
            <v>36523.799999999996</v>
          </cell>
          <cell r="G20">
            <v>0</v>
          </cell>
          <cell r="H20">
            <v>0</v>
          </cell>
          <cell r="I20">
            <v>0</v>
          </cell>
        </row>
        <row r="21">
          <cell r="A21" t="str">
            <v>P. CABLEADO ESTRUCTURADO</v>
          </cell>
          <cell r="B21">
            <v>109352.26749999999</v>
          </cell>
          <cell r="C21">
            <v>0</v>
          </cell>
          <cell r="D21">
            <v>0</v>
          </cell>
          <cell r="E21">
            <v>0</v>
          </cell>
          <cell r="F21">
            <v>40480.544999999998</v>
          </cell>
          <cell r="G21">
            <v>0</v>
          </cell>
          <cell r="H21">
            <v>0</v>
          </cell>
          <cell r="I21">
            <v>0</v>
          </cell>
        </row>
        <row r="22">
          <cell r="A22">
            <v>0</v>
          </cell>
          <cell r="B22">
            <v>0</v>
          </cell>
          <cell r="C22">
            <v>0</v>
          </cell>
          <cell r="D22">
            <v>0</v>
          </cell>
          <cell r="E22">
            <v>0</v>
          </cell>
          <cell r="F22">
            <v>0</v>
          </cell>
          <cell r="G22" t="str">
            <v>Vlr actualizado</v>
          </cell>
          <cell r="H22" t="str">
            <v>% Actualización</v>
          </cell>
          <cell r="I22" t="str">
            <v>Vlr Actual</v>
          </cell>
        </row>
        <row r="23">
          <cell r="A23" t="str">
            <v>Excavaciones</v>
          </cell>
          <cell r="B23">
            <v>0</v>
          </cell>
          <cell r="C23">
            <v>0</v>
          </cell>
          <cell r="D23">
            <v>0</v>
          </cell>
          <cell r="E23">
            <v>3</v>
          </cell>
          <cell r="F23" t="str">
            <v>Ayudante</v>
          </cell>
          <cell r="G23">
            <v>91309.5</v>
          </cell>
          <cell r="H23">
            <v>0</v>
          </cell>
          <cell r="I23">
            <v>91309.499999999985</v>
          </cell>
        </row>
        <row r="24">
          <cell r="A24" t="str">
            <v>Rellenos de excavación</v>
          </cell>
          <cell r="B24">
            <v>0</v>
          </cell>
          <cell r="C24">
            <v>0</v>
          </cell>
          <cell r="D24">
            <v>0</v>
          </cell>
          <cell r="E24">
            <v>1</v>
          </cell>
          <cell r="F24" t="str">
            <v>Ayudante</v>
          </cell>
          <cell r="G24">
            <v>30436.5</v>
          </cell>
          <cell r="H24">
            <v>0</v>
          </cell>
          <cell r="I24">
            <v>30436.499999999996</v>
          </cell>
        </row>
        <row r="25">
          <cell r="A25" t="str">
            <v>Enchapes y acabados</v>
          </cell>
          <cell r="B25">
            <v>1</v>
          </cell>
          <cell r="C25" t="str">
            <v>oficial</v>
          </cell>
          <cell r="D25">
            <v>0</v>
          </cell>
          <cell r="E25">
            <v>1</v>
          </cell>
          <cell r="F25" t="str">
            <v>Ayudante</v>
          </cell>
          <cell r="G25">
            <v>112656.25</v>
          </cell>
          <cell r="H25">
            <v>0</v>
          </cell>
          <cell r="I25">
            <v>112656.24999999999</v>
          </cell>
        </row>
        <row r="26">
          <cell r="A26" t="str">
            <v>Cuadrilla Demoliciones</v>
          </cell>
          <cell r="B26">
            <v>0</v>
          </cell>
          <cell r="C26">
            <v>0</v>
          </cell>
          <cell r="D26">
            <v>0</v>
          </cell>
          <cell r="E26">
            <v>2</v>
          </cell>
          <cell r="F26" t="str">
            <v>Ayudante</v>
          </cell>
          <cell r="G26">
            <v>60873</v>
          </cell>
          <cell r="H26">
            <v>0</v>
          </cell>
          <cell r="I26">
            <v>60872.999999999993</v>
          </cell>
        </row>
        <row r="27">
          <cell r="A27" t="str">
            <v>Excavaciones en roca</v>
          </cell>
          <cell r="B27">
            <v>1</v>
          </cell>
          <cell r="C27" t="str">
            <v>Oficial</v>
          </cell>
          <cell r="D27" t="str">
            <v>+</v>
          </cell>
          <cell r="E27">
            <v>3</v>
          </cell>
          <cell r="F27" t="str">
            <v>Ayudante</v>
          </cell>
          <cell r="G27">
            <v>173529.25</v>
          </cell>
          <cell r="H27">
            <v>0</v>
          </cell>
          <cell r="I27">
            <v>173529.24999999997</v>
          </cell>
        </row>
        <row r="28">
          <cell r="A28" t="str">
            <v>Albañilería</v>
          </cell>
          <cell r="B28">
            <v>2</v>
          </cell>
          <cell r="C28" t="str">
            <v>Oficial</v>
          </cell>
          <cell r="D28" t="str">
            <v>+</v>
          </cell>
          <cell r="E28">
            <v>1</v>
          </cell>
          <cell r="F28" t="str">
            <v>Ayudante</v>
          </cell>
          <cell r="G28">
            <v>194876</v>
          </cell>
          <cell r="H28">
            <v>0</v>
          </cell>
          <cell r="I28">
            <v>194875.99999999997</v>
          </cell>
        </row>
        <row r="29">
          <cell r="A29" t="str">
            <v>Estructuras</v>
          </cell>
          <cell r="B29">
            <v>2</v>
          </cell>
          <cell r="C29" t="str">
            <v>Oficial</v>
          </cell>
          <cell r="D29" t="str">
            <v>+</v>
          </cell>
          <cell r="E29">
            <v>3</v>
          </cell>
          <cell r="F29" t="str">
            <v>Ayudante</v>
          </cell>
          <cell r="G29">
            <v>255749</v>
          </cell>
          <cell r="H29">
            <v>0</v>
          </cell>
          <cell r="I29">
            <v>255748.99999999994</v>
          </cell>
        </row>
        <row r="30">
          <cell r="A30" t="str">
            <v>Topografía</v>
          </cell>
          <cell r="B30">
            <v>1</v>
          </cell>
          <cell r="C30" t="str">
            <v>Oficial</v>
          </cell>
          <cell r="D30" t="str">
            <v>+</v>
          </cell>
          <cell r="E30">
            <v>3</v>
          </cell>
          <cell r="F30" t="str">
            <v>Ayudante</v>
          </cell>
          <cell r="G30">
            <v>190882.18</v>
          </cell>
          <cell r="H30">
            <v>0</v>
          </cell>
          <cell r="I30">
            <v>190882.17500000002</v>
          </cell>
        </row>
        <row r="31">
          <cell r="A31" t="str">
            <v>Instalaciones</v>
          </cell>
          <cell r="B31">
            <v>2</v>
          </cell>
          <cell r="C31" t="str">
            <v>Oficial</v>
          </cell>
          <cell r="D31" t="str">
            <v>+</v>
          </cell>
          <cell r="E31">
            <v>2</v>
          </cell>
          <cell r="F31" t="str">
            <v>Ayudante</v>
          </cell>
          <cell r="G31">
            <v>247843.75</v>
          </cell>
          <cell r="H31">
            <v>0</v>
          </cell>
          <cell r="I31">
            <v>247843.75</v>
          </cell>
        </row>
        <row r="32">
          <cell r="A32" t="str">
            <v>Cuadrilla 1 - 4</v>
          </cell>
          <cell r="B32">
            <v>1</v>
          </cell>
          <cell r="C32" t="str">
            <v>Oficial</v>
          </cell>
          <cell r="D32" t="str">
            <v>+</v>
          </cell>
          <cell r="E32">
            <v>4</v>
          </cell>
          <cell r="F32" t="str">
            <v>Ayudante</v>
          </cell>
          <cell r="G32">
            <v>244758.9</v>
          </cell>
          <cell r="H32">
            <v>0</v>
          </cell>
          <cell r="I32">
            <v>244758.89999999997</v>
          </cell>
        </row>
        <row r="33">
          <cell r="A33" t="str">
            <v>Cuadrilla 1 - 1</v>
          </cell>
          <cell r="B33">
            <v>1</v>
          </cell>
          <cell r="C33" t="str">
            <v>Oficial</v>
          </cell>
          <cell r="D33" t="str">
            <v>+</v>
          </cell>
          <cell r="E33">
            <v>1</v>
          </cell>
          <cell r="F33" t="str">
            <v>Ayudante</v>
          </cell>
          <cell r="G33">
            <v>135187.5</v>
          </cell>
          <cell r="H33">
            <v>0</v>
          </cell>
          <cell r="I33">
            <v>135187.49999999997</v>
          </cell>
        </row>
        <row r="34">
          <cell r="A34" t="str">
            <v>Cuadrilla 1 - 3</v>
          </cell>
          <cell r="B34">
            <v>1</v>
          </cell>
          <cell r="C34" t="str">
            <v>Oficial</v>
          </cell>
          <cell r="D34" t="str">
            <v>+</v>
          </cell>
          <cell r="E34">
            <v>3</v>
          </cell>
          <cell r="F34" t="str">
            <v>Ayudante</v>
          </cell>
          <cell r="G34">
            <v>173529.25</v>
          </cell>
          <cell r="H34">
            <v>0</v>
          </cell>
          <cell r="I34">
            <v>173529.24999999997</v>
          </cell>
        </row>
        <row r="35">
          <cell r="A35" t="str">
            <v>Cuadrilla 1 - 6</v>
          </cell>
          <cell r="B35">
            <v>1</v>
          </cell>
          <cell r="C35" t="str">
            <v>Oficial</v>
          </cell>
          <cell r="D35" t="str">
            <v>+</v>
          </cell>
          <cell r="E35">
            <v>6</v>
          </cell>
          <cell r="F35" t="str">
            <v>Ayudante</v>
          </cell>
          <cell r="G35">
            <v>264838.75</v>
          </cell>
          <cell r="H35">
            <v>0</v>
          </cell>
          <cell r="I35">
            <v>264838.74999999994</v>
          </cell>
        </row>
        <row r="36">
          <cell r="A36" t="str">
            <v>Cuadrilla Hidraúlico y Sanitario</v>
          </cell>
          <cell r="B36">
            <v>1</v>
          </cell>
          <cell r="C36" t="str">
            <v>Oficial</v>
          </cell>
          <cell r="D36" t="str">
            <v>+</v>
          </cell>
          <cell r="E36">
            <v>1</v>
          </cell>
          <cell r="F36" t="str">
            <v>Ayudante</v>
          </cell>
          <cell r="G36">
            <v>123921.88</v>
          </cell>
          <cell r="H36">
            <v>0</v>
          </cell>
          <cell r="I36">
            <v>123921.875</v>
          </cell>
        </row>
        <row r="37">
          <cell r="A37" t="str">
            <v>Cuadrilla Carpinteria metálica</v>
          </cell>
          <cell r="B37">
            <v>1</v>
          </cell>
          <cell r="C37" t="str">
            <v>Oficial</v>
          </cell>
          <cell r="D37" t="str">
            <v>+</v>
          </cell>
          <cell r="E37">
            <v>1</v>
          </cell>
          <cell r="F37" t="str">
            <v>Ayudante</v>
          </cell>
          <cell r="G37">
            <v>135187.49999999997</v>
          </cell>
          <cell r="H37">
            <v>0</v>
          </cell>
          <cell r="I37">
            <v>129554.68749999997</v>
          </cell>
        </row>
        <row r="38">
          <cell r="A38" t="str">
            <v>Cuadrilla  Eléctrico</v>
          </cell>
          <cell r="B38">
            <v>1</v>
          </cell>
          <cell r="C38" t="str">
            <v xml:space="preserve">Oficial </v>
          </cell>
          <cell r="D38" t="str">
            <v>+</v>
          </cell>
          <cell r="E38">
            <v>1</v>
          </cell>
          <cell r="F38" t="str">
            <v>Ayudante</v>
          </cell>
          <cell r="G38">
            <v>149832.8125</v>
          </cell>
          <cell r="H38">
            <v>0</v>
          </cell>
          <cell r="I38">
            <v>149832.8125</v>
          </cell>
        </row>
        <row r="39">
          <cell r="A39" t="str">
            <v>Carpintería</v>
          </cell>
          <cell r="B39">
            <v>1</v>
          </cell>
          <cell r="C39" t="str">
            <v>Oficial</v>
          </cell>
          <cell r="D39" t="str">
            <v>+</v>
          </cell>
          <cell r="E39">
            <v>2</v>
          </cell>
          <cell r="F39" t="str">
            <v>Ayudante</v>
          </cell>
          <cell r="G39">
            <v>171711.3</v>
          </cell>
          <cell r="H39">
            <v>0</v>
          </cell>
          <cell r="I39">
            <v>171711.3</v>
          </cell>
        </row>
        <row r="40">
          <cell r="A40" t="str">
            <v>Pintura</v>
          </cell>
          <cell r="B40">
            <v>2</v>
          </cell>
          <cell r="C40" t="str">
            <v>Oficial</v>
          </cell>
          <cell r="D40" t="str">
            <v>+</v>
          </cell>
          <cell r="E40">
            <v>1</v>
          </cell>
          <cell r="F40" t="str">
            <v>Ayudante</v>
          </cell>
          <cell r="G40">
            <v>224107.4</v>
          </cell>
          <cell r="H40">
            <v>0</v>
          </cell>
          <cell r="I40">
            <v>224107.39999999997</v>
          </cell>
        </row>
        <row r="41">
          <cell r="A41" t="str">
            <v>Mampostería</v>
          </cell>
          <cell r="B41">
            <v>2</v>
          </cell>
          <cell r="C41" t="str">
            <v>Oficial</v>
          </cell>
          <cell r="D41" t="str">
            <v>+</v>
          </cell>
          <cell r="E41">
            <v>1</v>
          </cell>
          <cell r="F41" t="str">
            <v>Ayudante</v>
          </cell>
          <cell r="G41">
            <v>194876</v>
          </cell>
          <cell r="H41">
            <v>0</v>
          </cell>
          <cell r="I41">
            <v>194875.99999999997</v>
          </cell>
        </row>
        <row r="42">
          <cell r="A42" t="str">
            <v>Vías</v>
          </cell>
          <cell r="B42">
            <v>3</v>
          </cell>
          <cell r="C42" t="str">
            <v>Oficial</v>
          </cell>
          <cell r="D42" t="str">
            <v>+</v>
          </cell>
          <cell r="E42">
            <v>4</v>
          </cell>
          <cell r="F42" t="str">
            <v>Ayudante</v>
          </cell>
          <cell r="G42">
            <v>423666.04</v>
          </cell>
          <cell r="H42">
            <v>0</v>
          </cell>
          <cell r="I42">
            <v>423666.03749999998</v>
          </cell>
        </row>
        <row r="43">
          <cell r="A43" t="str">
            <v>Cuadrilla Carpinteria Aluminio</v>
          </cell>
          <cell r="B43">
            <v>2</v>
          </cell>
          <cell r="C43" t="str">
            <v>Oficial</v>
          </cell>
          <cell r="D43" t="str">
            <v>+</v>
          </cell>
          <cell r="E43">
            <v>2</v>
          </cell>
          <cell r="F43" t="str">
            <v>Ayudante</v>
          </cell>
          <cell r="G43">
            <v>270375</v>
          </cell>
          <cell r="H43">
            <v>0</v>
          </cell>
          <cell r="I43">
            <v>270374.99999999994</v>
          </cell>
        </row>
        <row r="44">
          <cell r="A44" t="str">
            <v>Cuadrilla instalaciones a  gas</v>
          </cell>
          <cell r="B44">
            <v>2</v>
          </cell>
          <cell r="C44" t="str">
            <v>Oficiales</v>
          </cell>
          <cell r="D44">
            <v>0</v>
          </cell>
          <cell r="E44">
            <v>0</v>
          </cell>
          <cell r="F44">
            <v>0</v>
          </cell>
          <cell r="G44">
            <v>218704.54</v>
          </cell>
          <cell r="H44">
            <v>0</v>
          </cell>
          <cell r="I44">
            <v>218704.53499999997</v>
          </cell>
        </row>
        <row r="45">
          <cell r="A45" t="str">
            <v>Ingeniero</v>
          </cell>
          <cell r="B45">
            <v>0</v>
          </cell>
          <cell r="C45">
            <v>0</v>
          </cell>
          <cell r="D45">
            <v>0</v>
          </cell>
          <cell r="E45">
            <v>0</v>
          </cell>
          <cell r="F45">
            <v>0</v>
          </cell>
          <cell r="G45">
            <v>250000</v>
          </cell>
          <cell r="H45">
            <v>0</v>
          </cell>
          <cell r="I45">
            <v>250000</v>
          </cell>
        </row>
        <row r="46">
          <cell r="A46" t="str">
            <v>Tramitador</v>
          </cell>
          <cell r="B46">
            <v>0</v>
          </cell>
          <cell r="C46">
            <v>0</v>
          </cell>
          <cell r="D46">
            <v>0</v>
          </cell>
          <cell r="E46">
            <v>0</v>
          </cell>
          <cell r="F46">
            <v>0</v>
          </cell>
          <cell r="G46">
            <v>120000</v>
          </cell>
          <cell r="H46">
            <v>0</v>
          </cell>
          <cell r="I46">
            <v>120000</v>
          </cell>
        </row>
        <row r="47">
          <cell r="A47" t="str">
            <v>2.2.2</v>
          </cell>
          <cell r="B47" t="str">
            <v>CONCRETO CICLÓPEO (60% concreto y 40% rajón)</v>
          </cell>
          <cell r="C47" t="str">
            <v>M3</v>
          </cell>
          <cell r="D47">
            <v>0</v>
          </cell>
          <cell r="E47">
            <v>0</v>
          </cell>
          <cell r="F47">
            <v>0</v>
          </cell>
          <cell r="G47">
            <v>0</v>
          </cell>
        </row>
        <row r="48">
          <cell r="A48" t="str">
            <v>2.2.3</v>
          </cell>
          <cell r="B48" t="str">
            <v>MUROS DE CONTENCIÓN</v>
          </cell>
          <cell r="C48" t="str">
            <v>M3</v>
          </cell>
          <cell r="D48">
            <v>0</v>
          </cell>
          <cell r="E48">
            <v>0</v>
          </cell>
          <cell r="F48">
            <v>0</v>
          </cell>
          <cell r="G48">
            <v>0</v>
          </cell>
        </row>
        <row r="49">
          <cell r="A49" t="str">
            <v>2.2.4</v>
          </cell>
          <cell r="B49" t="str">
            <v>CONCRETO PARA ZAPATAS</v>
          </cell>
          <cell r="C49" t="str">
            <v>M3</v>
          </cell>
          <cell r="D49">
            <v>0</v>
          </cell>
          <cell r="E49">
            <v>0</v>
          </cell>
          <cell r="F49">
            <v>0</v>
          </cell>
          <cell r="G49">
            <v>0</v>
          </cell>
        </row>
        <row r="50">
          <cell r="A50" t="str">
            <v>2.2.5</v>
          </cell>
          <cell r="B50" t="str">
            <v>VIGAS DE CIMENTACIÓN</v>
          </cell>
          <cell r="C50" t="str">
            <v>M3</v>
          </cell>
          <cell r="D50">
            <v>0</v>
          </cell>
          <cell r="E50">
            <v>0</v>
          </cell>
          <cell r="F50">
            <v>0</v>
          </cell>
          <cell r="G50">
            <v>0</v>
          </cell>
        </row>
        <row r="51">
          <cell r="A51" t="str">
            <v>2.2.6</v>
          </cell>
          <cell r="B51" t="str">
            <v>PILOTES</v>
          </cell>
          <cell r="C51">
            <v>0</v>
          </cell>
          <cell r="D51">
            <v>0</v>
          </cell>
          <cell r="E51">
            <v>0</v>
          </cell>
          <cell r="F51">
            <v>0</v>
          </cell>
          <cell r="G51">
            <v>0</v>
          </cell>
        </row>
        <row r="52">
          <cell r="A52" t="str">
            <v>2.2.6.1</v>
          </cell>
          <cell r="B52" t="str">
            <v>PILOTES PREEXCAVADOS DE 0,30 mts</v>
          </cell>
          <cell r="C52" t="str">
            <v>ML</v>
          </cell>
          <cell r="D52">
            <v>0</v>
          </cell>
          <cell r="E52">
            <v>0</v>
          </cell>
          <cell r="F52">
            <v>0</v>
          </cell>
          <cell r="G52">
            <v>0</v>
          </cell>
        </row>
        <row r="53">
          <cell r="A53" t="str">
            <v>2.2.6.2</v>
          </cell>
          <cell r="B53" t="str">
            <v>PILOTES PREEXCAVADOS DE 0,40 mts</v>
          </cell>
          <cell r="C53" t="str">
            <v>ML</v>
          </cell>
          <cell r="D53">
            <v>0</v>
          </cell>
          <cell r="E53">
            <v>0</v>
          </cell>
          <cell r="F53">
            <v>0</v>
          </cell>
          <cell r="G53">
            <v>0</v>
          </cell>
        </row>
        <row r="54">
          <cell r="A54" t="str">
            <v>2.2.6.3</v>
          </cell>
          <cell r="B54" t="str">
            <v>PILOTES PREEXCAVADOS DE 0,60 mts</v>
          </cell>
          <cell r="C54" t="str">
            <v>ML</v>
          </cell>
          <cell r="D54">
            <v>0</v>
          </cell>
          <cell r="E54">
            <v>0</v>
          </cell>
          <cell r="F54">
            <v>0</v>
          </cell>
          <cell r="G54">
            <v>0</v>
          </cell>
        </row>
        <row r="55">
          <cell r="A55" t="str">
            <v>2.2.6.4</v>
          </cell>
          <cell r="B55" t="str">
            <v>PILOTES PREEXCAVADOS DE 0,80 mts</v>
          </cell>
          <cell r="C55" t="str">
            <v>ML</v>
          </cell>
          <cell r="D55">
            <v>0</v>
          </cell>
          <cell r="E55">
            <v>0</v>
          </cell>
          <cell r="F55">
            <v>0</v>
          </cell>
          <cell r="G55">
            <v>0</v>
          </cell>
        </row>
        <row r="56">
          <cell r="A56" t="str">
            <v>2.2.6.5</v>
          </cell>
          <cell r="B56" t="str">
            <v>PILOTES PREEXCAVADOS DE 0,90 MTS</v>
          </cell>
          <cell r="C56" t="str">
            <v>ML</v>
          </cell>
          <cell r="D56">
            <v>0</v>
          </cell>
          <cell r="E56">
            <v>0</v>
          </cell>
          <cell r="F56">
            <v>0</v>
          </cell>
          <cell r="G56">
            <v>0</v>
          </cell>
        </row>
        <row r="57">
          <cell r="A57" t="str">
            <v>2.2.7</v>
          </cell>
          <cell r="B57" t="str">
            <v>DADOS EN CONCRETO</v>
          </cell>
          <cell r="C57" t="str">
            <v>M3</v>
          </cell>
          <cell r="D57">
            <v>0</v>
          </cell>
          <cell r="E57">
            <v>0</v>
          </cell>
          <cell r="F57">
            <v>0</v>
          </cell>
          <cell r="G57">
            <v>0</v>
          </cell>
        </row>
        <row r="58">
          <cell r="A58" t="str">
            <v>2.2.8</v>
          </cell>
          <cell r="B58" t="str">
            <v>LOSA DE CIMENTACIÓN ALIGERADA h= 0,60</v>
          </cell>
          <cell r="C58" t="str">
            <v>M2</v>
          </cell>
          <cell r="D58">
            <v>0</v>
          </cell>
          <cell r="E58">
            <v>0</v>
          </cell>
          <cell r="F58">
            <v>0</v>
          </cell>
          <cell r="G58">
            <v>0</v>
          </cell>
        </row>
        <row r="59">
          <cell r="A59" t="str">
            <v>2.2.9</v>
          </cell>
          <cell r="B59" t="str">
            <v>PLACAS DE CONTRAPISO E = 0,10 M</v>
          </cell>
          <cell r="C59" t="str">
            <v>M2</v>
          </cell>
          <cell r="D59">
            <v>0</v>
          </cell>
          <cell r="E59">
            <v>0</v>
          </cell>
          <cell r="F59">
            <v>0</v>
          </cell>
          <cell r="G59">
            <v>0</v>
          </cell>
        </row>
        <row r="60">
          <cell r="A60" t="str">
            <v>2.2.10</v>
          </cell>
          <cell r="B60" t="str">
            <v>PLACAS DE CONTRAPISO E = 0,125 M</v>
          </cell>
          <cell r="C60" t="str">
            <v>M2</v>
          </cell>
          <cell r="D60">
            <v>0</v>
          </cell>
          <cell r="E60">
            <v>0</v>
          </cell>
          <cell r="F60">
            <v>0</v>
          </cell>
          <cell r="G60">
            <v>0</v>
          </cell>
        </row>
        <row r="61">
          <cell r="A61" t="str">
            <v>2.2.11</v>
          </cell>
          <cell r="B61" t="str">
            <v>PLACAS DE CONTRAPISO E = 0,15 M</v>
          </cell>
          <cell r="C61" t="str">
            <v>M2</v>
          </cell>
          <cell r="D61">
            <v>0</v>
          </cell>
          <cell r="E61">
            <v>0</v>
          </cell>
          <cell r="F61">
            <v>0</v>
          </cell>
          <cell r="G61">
            <v>0</v>
          </cell>
        </row>
        <row r="62">
          <cell r="A62" t="str">
            <v>2.3</v>
          </cell>
          <cell r="B62" t="str">
            <v>REFUERZOS DE CIMENTACIÓN</v>
          </cell>
          <cell r="C62">
            <v>0</v>
          </cell>
          <cell r="D62">
            <v>0</v>
          </cell>
          <cell r="E62">
            <v>0</v>
          </cell>
          <cell r="F62">
            <v>0</v>
          </cell>
          <cell r="G62">
            <v>0</v>
          </cell>
        </row>
        <row r="63">
          <cell r="A63" t="str">
            <v>2.3.1</v>
          </cell>
          <cell r="B63" t="str">
            <v xml:space="preserve">ACERO DE REFUERZO 37000 </v>
          </cell>
          <cell r="C63" t="str">
            <v>KG</v>
          </cell>
          <cell r="D63">
            <v>0</v>
          </cell>
          <cell r="E63">
            <v>0</v>
          </cell>
          <cell r="F63">
            <v>0</v>
          </cell>
          <cell r="G63">
            <v>0</v>
          </cell>
        </row>
        <row r="64">
          <cell r="A64" t="str">
            <v>2.3.2</v>
          </cell>
          <cell r="B64" t="str">
            <v xml:space="preserve">ACERO DE REFUERZO 60000 </v>
          </cell>
          <cell r="C64" t="str">
            <v>KG</v>
          </cell>
          <cell r="D64">
            <v>0</v>
          </cell>
          <cell r="E64">
            <v>0</v>
          </cell>
          <cell r="F64">
            <v>0</v>
          </cell>
          <cell r="G64">
            <v>0</v>
          </cell>
        </row>
        <row r="65">
          <cell r="A65" t="str">
            <v>2.3.3</v>
          </cell>
          <cell r="B65" t="str">
            <v>MALLAS ELECTROSOLDADAS</v>
          </cell>
          <cell r="C65" t="str">
            <v>KG</v>
          </cell>
          <cell r="D65">
            <v>0</v>
          </cell>
          <cell r="E65">
            <v>0</v>
          </cell>
          <cell r="F65">
            <v>0</v>
          </cell>
          <cell r="G65">
            <v>0</v>
          </cell>
        </row>
        <row r="66">
          <cell r="A66" t="str">
            <v>2.4</v>
          </cell>
          <cell r="B66" t="str">
            <v>VARIOS</v>
          </cell>
          <cell r="C66">
            <v>0</v>
          </cell>
          <cell r="D66">
            <v>0</v>
          </cell>
          <cell r="E66">
            <v>0</v>
          </cell>
          <cell r="F66">
            <v>0</v>
          </cell>
          <cell r="G66">
            <v>0</v>
          </cell>
        </row>
        <row r="67">
          <cell r="A67" t="str">
            <v>2.4.1</v>
          </cell>
          <cell r="B67" t="str">
            <v>GAVIONES EN PIEDRA</v>
          </cell>
          <cell r="C67" t="str">
            <v>M3</v>
          </cell>
          <cell r="D67">
            <v>0</v>
          </cell>
          <cell r="E67">
            <v>0</v>
          </cell>
          <cell r="F67">
            <v>0</v>
          </cell>
          <cell r="G67">
            <v>0</v>
          </cell>
        </row>
        <row r="68">
          <cell r="A68" t="str">
            <v>2.4.4</v>
          </cell>
          <cell r="B68" t="str">
            <v>PAÑETES TALUDES EXCAVACIÓN</v>
          </cell>
          <cell r="C68" t="str">
            <v>M2</v>
          </cell>
          <cell r="D68">
            <v>0</v>
          </cell>
          <cell r="E68">
            <v>0</v>
          </cell>
          <cell r="F68">
            <v>0</v>
          </cell>
          <cell r="G68">
            <v>0</v>
          </cell>
        </row>
        <row r="69">
          <cell r="G69">
            <v>0</v>
          </cell>
        </row>
        <row r="70">
          <cell r="A70">
            <v>3</v>
          </cell>
          <cell r="B70" t="str">
            <v>PLACA CANCHA MULTIPLE</v>
          </cell>
          <cell r="C70">
            <v>0</v>
          </cell>
          <cell r="D70">
            <v>0</v>
          </cell>
          <cell r="E70">
            <v>0</v>
          </cell>
          <cell r="F70">
            <v>0</v>
          </cell>
          <cell r="G70">
            <v>0</v>
          </cell>
        </row>
        <row r="71">
          <cell r="A71" t="str">
            <v>3.1</v>
          </cell>
          <cell r="B71" t="str">
            <v>OBRA CIVIL</v>
          </cell>
          <cell r="C71">
            <v>0</v>
          </cell>
          <cell r="D71">
            <v>0</v>
          </cell>
          <cell r="E71">
            <v>0</v>
          </cell>
          <cell r="F71">
            <v>0</v>
          </cell>
          <cell r="G71">
            <v>0</v>
          </cell>
        </row>
        <row r="72">
          <cell r="A72" t="str">
            <v>3.1.1</v>
          </cell>
          <cell r="B72" t="str">
            <v>IMPRIMACION</v>
          </cell>
          <cell r="C72" t="str">
            <v>M2</v>
          </cell>
          <cell r="D72">
            <v>0</v>
          </cell>
          <cell r="E72">
            <v>0</v>
          </cell>
          <cell r="F72">
            <v>0</v>
          </cell>
          <cell r="G72">
            <v>0</v>
          </cell>
        </row>
        <row r="73">
          <cell r="A73">
            <v>0</v>
          </cell>
          <cell r="B73">
            <v>0</v>
          </cell>
          <cell r="C73">
            <v>0</v>
          </cell>
          <cell r="D73">
            <v>0</v>
          </cell>
          <cell r="E73">
            <v>0</v>
          </cell>
          <cell r="F73">
            <v>0</v>
          </cell>
          <cell r="G73">
            <v>0</v>
          </cell>
        </row>
        <row r="74">
          <cell r="A74" t="str">
            <v>3.1.2</v>
          </cell>
          <cell r="B74" t="str">
            <v>PLACA DE CONTRAPISO PARA CANCHA EN CONCRETO e=00cm</v>
          </cell>
          <cell r="C74" t="str">
            <v>M2</v>
          </cell>
          <cell r="D74">
            <v>0</v>
          </cell>
          <cell r="E74">
            <v>0</v>
          </cell>
          <cell r="F74">
            <v>0</v>
          </cell>
          <cell r="G74">
            <v>0</v>
          </cell>
        </row>
        <row r="75">
          <cell r="A75" t="str">
            <v>3.1.3</v>
          </cell>
          <cell r="B75">
            <v>0</v>
          </cell>
          <cell r="C75">
            <v>0</v>
          </cell>
          <cell r="D75">
            <v>0</v>
          </cell>
          <cell r="E75">
            <v>0</v>
          </cell>
          <cell r="F75">
            <v>0</v>
          </cell>
          <cell r="G75">
            <v>0</v>
          </cell>
        </row>
        <row r="76">
          <cell r="A76">
            <v>0</v>
          </cell>
          <cell r="B76">
            <v>0</v>
          </cell>
          <cell r="C76">
            <v>0</v>
          </cell>
          <cell r="D76">
            <v>0</v>
          </cell>
          <cell r="E76">
            <v>0</v>
          </cell>
          <cell r="F76">
            <v>0</v>
          </cell>
          <cell r="G76">
            <v>0</v>
          </cell>
        </row>
        <row r="77">
          <cell r="A77" t="str">
            <v>3.1.4</v>
          </cell>
          <cell r="B77">
            <v>0</v>
          </cell>
          <cell r="C77">
            <v>0</v>
          </cell>
          <cell r="D77">
            <v>0</v>
          </cell>
          <cell r="E77">
            <v>0</v>
          </cell>
          <cell r="F77">
            <v>0</v>
          </cell>
          <cell r="G77">
            <v>0</v>
          </cell>
        </row>
      </sheetData>
      <sheetData sheetId="12">
        <row r="10">
          <cell r="A10">
            <v>1</v>
          </cell>
        </row>
        <row r="18">
          <cell r="A18" t="str">
            <v>1.1.7</v>
          </cell>
        </row>
        <row r="19">
          <cell r="A19" t="str">
            <v>Volqueta c/operario y combustible 5,5m3 max 30 Km</v>
          </cell>
        </row>
        <row r="20">
          <cell r="A20" t="str">
            <v>Camión 4 Toneladas</v>
          </cell>
        </row>
        <row r="21">
          <cell r="A21" t="str">
            <v>Camión 8 Toneladas</v>
          </cell>
        </row>
        <row r="22">
          <cell r="A22" t="str">
            <v>Cama-baja</v>
          </cell>
        </row>
        <row r="23">
          <cell r="A23" t="str">
            <v>Campero</v>
          </cell>
        </row>
        <row r="24">
          <cell r="A24" t="str">
            <v>Chalupa</v>
          </cell>
        </row>
        <row r="25">
          <cell r="A25" t="str">
            <v>Transporte elementos prefabricados</v>
          </cell>
        </row>
        <row r="26">
          <cell r="A26" t="str">
            <v>Volqueta c/operario y combustible 6m3 max  70 Km</v>
          </cell>
        </row>
        <row r="27">
          <cell r="A27">
            <v>0</v>
          </cell>
        </row>
        <row r="28">
          <cell r="A28">
            <v>0</v>
          </cell>
        </row>
        <row r="29">
          <cell r="A29">
            <v>0</v>
          </cell>
        </row>
        <row r="30">
          <cell r="A30">
            <v>0</v>
          </cell>
        </row>
      </sheetData>
      <sheetData sheetId="13">
        <row r="15">
          <cell r="A15" t="str">
            <v>Cargador tipo Cat - 904</v>
          </cell>
        </row>
        <row r="16">
          <cell r="A16" t="str">
            <v>Compresor</v>
          </cell>
        </row>
        <row r="17">
          <cell r="A17" t="str">
            <v>1.1.7</v>
          </cell>
        </row>
        <row r="18">
          <cell r="A18" t="str">
            <v>1.1.7</v>
          </cell>
        </row>
        <row r="19">
          <cell r="A19" t="str">
            <v>Compresor 2 martillos 185 PCM</v>
          </cell>
        </row>
        <row r="20">
          <cell r="A20" t="str">
            <v>Cortadora para metal</v>
          </cell>
        </row>
        <row r="21">
          <cell r="A21" t="str">
            <v>Equipo de topografía</v>
          </cell>
        </row>
        <row r="22">
          <cell r="A22" t="str">
            <v>Equipo de Soldadura</v>
          </cell>
        </row>
        <row r="23">
          <cell r="A23" t="str">
            <v>Figuradora</v>
          </cell>
        </row>
        <row r="24">
          <cell r="A24" t="str">
            <v>Pulidora</v>
          </cell>
        </row>
        <row r="25">
          <cell r="A25" t="str">
            <v>Pulidora pisos incluye piedras y ceras</v>
          </cell>
        </row>
        <row r="26">
          <cell r="A26" t="str">
            <v>Formaleta</v>
          </cell>
        </row>
        <row r="27">
          <cell r="A27" t="str">
            <v>Formaleta entrepiso por 4 semanas M2</v>
          </cell>
        </row>
        <row r="28">
          <cell r="A28" t="str">
            <v>Formaleta entrepiso M2</v>
          </cell>
        </row>
        <row r="29">
          <cell r="A29" t="str">
            <v>Herramienta Eléctrica</v>
          </cell>
        </row>
        <row r="30">
          <cell r="A30" t="str">
            <v>Herramienta menor</v>
          </cell>
        </row>
        <row r="31">
          <cell r="A31" t="str">
            <v>Mezcladora a gasolina</v>
          </cell>
        </row>
        <row r="32">
          <cell r="A32" t="str">
            <v>Motosierra profesional</v>
          </cell>
        </row>
        <row r="33">
          <cell r="A33" t="str">
            <v>Andamio metálico</v>
          </cell>
        </row>
        <row r="34">
          <cell r="A34" t="str">
            <v xml:space="preserve">Paral metálico </v>
          </cell>
        </row>
        <row r="35">
          <cell r="A35" t="str">
            <v>Paral telescopico</v>
          </cell>
        </row>
        <row r="36">
          <cell r="A36" t="str">
            <v>Poleas y Cuerdas</v>
          </cell>
        </row>
        <row r="37">
          <cell r="A37" t="str">
            <v>Rana</v>
          </cell>
        </row>
        <row r="38">
          <cell r="A38" t="str">
            <v>Retroexcavadora orugas tipo 320 pala 1,2 m3</v>
          </cell>
        </row>
        <row r="39">
          <cell r="A39" t="str">
            <v>Retroexcavadora llantas Tipo Cat 428</v>
          </cell>
        </row>
        <row r="40">
          <cell r="A40" t="str">
            <v>Tanque de agua</v>
          </cell>
        </row>
        <row r="41">
          <cell r="A41" t="str">
            <v>Taladro Industrial</v>
          </cell>
        </row>
        <row r="42">
          <cell r="A42" t="str">
            <v>Vibrocompactador a gasolina</v>
          </cell>
        </row>
        <row r="43">
          <cell r="A43" t="str">
            <v>Vibrador electrico concreto 110</v>
          </cell>
        </row>
        <row r="44">
          <cell r="A44" t="str">
            <v>Vibrador a gasolina</v>
          </cell>
        </row>
        <row r="45">
          <cell r="A45" t="str">
            <v>Volqueta (6m3/Operario y combustible)</v>
          </cell>
        </row>
        <row r="46">
          <cell r="A46" t="str">
            <v>Pluma (incluye operario, andamio y equipo de seguridad)</v>
          </cell>
        </row>
        <row r="47">
          <cell r="A47" t="str">
            <v>Carretilla tipo bogue</v>
          </cell>
        </row>
        <row r="48">
          <cell r="A48" t="str">
            <v>Equipo entrepiso (incluye, formaleta, parales y cercha metálica)</v>
          </cell>
        </row>
        <row r="49">
          <cell r="A49" t="str">
            <v>Cortadora ladrillo, incluye disco</v>
          </cell>
        </row>
        <row r="50">
          <cell r="A50" t="str">
            <v>Kit pintura (rodillo, brocha, lija, espatula)</v>
          </cell>
        </row>
        <row r="51">
          <cell r="A51" t="str">
            <v>Equipo perforador de pilotes d = 0,30 mts</v>
          </cell>
        </row>
        <row r="52">
          <cell r="A52" t="str">
            <v xml:space="preserve">Equipo perforador de pilotes d = 0,40 mts </v>
          </cell>
        </row>
        <row r="53">
          <cell r="A53" t="str">
            <v xml:space="preserve">Equipo perforador de pilotes d = 0,60 mts </v>
          </cell>
        </row>
        <row r="54">
          <cell r="A54" t="str">
            <v>Equipo perforador de pilotes d = 0,80 mts</v>
          </cell>
        </row>
        <row r="55">
          <cell r="A55" t="str">
            <v xml:space="preserve">Equipo perforador de pilotes d = 0,90 mts </v>
          </cell>
        </row>
        <row r="56">
          <cell r="A56" t="str">
            <v>Soplete (incluye cilindro gas)</v>
          </cell>
        </row>
        <row r="57">
          <cell r="A57" t="str">
            <v>Motobomba</v>
          </cell>
        </row>
        <row r="58">
          <cell r="A58" t="str">
            <v>Canguro</v>
          </cell>
        </row>
        <row r="59">
          <cell r="A59" t="str">
            <v>Pulidora incluye piedras para pulido</v>
          </cell>
        </row>
        <row r="60">
          <cell r="A60" t="str">
            <v>Cortadora de ladrillo incluye disco</v>
          </cell>
        </row>
        <row r="61">
          <cell r="A61" t="str">
            <v>Broca tusteno de 1/4"</v>
          </cell>
        </row>
        <row r="62">
          <cell r="A62" t="str">
            <v>Broca tusteno de 3/8"</v>
          </cell>
        </row>
        <row r="63">
          <cell r="A63" t="str">
            <v>Broca tusteno de 1/2"</v>
          </cell>
        </row>
        <row r="64">
          <cell r="A64" t="str">
            <v>Broca tusteno de 5/8"</v>
          </cell>
        </row>
        <row r="65">
          <cell r="A65" t="str">
            <v xml:space="preserve">Grua </v>
          </cell>
        </row>
      </sheetData>
      <sheetData sheetId="14">
        <row r="11">
          <cell r="A11" t="str">
            <v>A.C.P.M.</v>
          </cell>
        </row>
      </sheetData>
      <sheetData sheetId="15"/>
      <sheetData sheetId="16"/>
      <sheetData sheetId="17">
        <row r="10">
          <cell r="A10" t="str">
            <v>INTERVENTOR:</v>
          </cell>
        </row>
      </sheetData>
      <sheetData sheetId="18">
        <row r="10">
          <cell r="A10" t="str">
            <v>INTERVENTOR:</v>
          </cell>
        </row>
      </sheetData>
      <sheetData sheetId="19"/>
      <sheetData sheetId="20"/>
      <sheetData sheetId="21"/>
      <sheetData sheetId="22">
        <row r="12">
          <cell r="A12" t="str">
            <v>PRESUPUESTADOR:</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ow r="19">
          <cell r="I19">
            <v>31084.2</v>
          </cell>
        </row>
      </sheetData>
      <sheetData sheetId="41"/>
      <sheetData sheetId="42"/>
      <sheetData sheetId="43"/>
      <sheetData sheetId="44"/>
      <sheetData sheetId="45"/>
      <sheetData sheetId="46"/>
      <sheetData sheetId="47"/>
      <sheetData sheetId="48"/>
      <sheetData sheetId="49"/>
      <sheetData sheetId="50"/>
      <sheetData sheetId="51"/>
      <sheetData sheetId="52"/>
      <sheetData sheetId="53">
        <row r="15">
          <cell r="A15" t="str">
            <v>Cargador tipo Cat - 904</v>
          </cell>
        </row>
      </sheetData>
      <sheetData sheetId="54">
        <row r="12">
          <cell r="A12" t="str">
            <v>COSTOS DE TRANSPORTE</v>
          </cell>
        </row>
      </sheetData>
      <sheetData sheetId="55">
        <row r="12">
          <cell r="A12" t="str">
            <v>COSTOS DE TRANSPORTE</v>
          </cell>
        </row>
      </sheetData>
      <sheetData sheetId="56">
        <row r="11">
          <cell r="A11" t="str">
            <v>A.C.P.M.</v>
          </cell>
        </row>
      </sheetData>
      <sheetData sheetId="57">
        <row r="11">
          <cell r="A11" t="str">
            <v>A.C.P.M.</v>
          </cell>
        </row>
      </sheetData>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row r="19">
          <cell r="I19">
            <v>31084.2</v>
          </cell>
        </row>
      </sheetData>
      <sheetData sheetId="72">
        <row r="19">
          <cell r="I19">
            <v>31084.2</v>
          </cell>
        </row>
      </sheetData>
      <sheetData sheetId="73">
        <row r="19">
          <cell r="I19">
            <v>31084.2</v>
          </cell>
        </row>
      </sheetData>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row r="19">
          <cell r="I19">
            <v>31084.2</v>
          </cell>
        </row>
      </sheetData>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row r="8">
          <cell r="D8" t="str">
            <v>P. ALBAÑILERIA</v>
          </cell>
        </row>
      </sheetData>
      <sheetData sheetId="450"/>
      <sheetData sheetId="451"/>
      <sheetData sheetId="452"/>
      <sheetData sheetId="453"/>
      <sheetData sheetId="454">
        <row r="10">
          <cell r="A10" t="str">
            <v>INTERVENTOR:</v>
          </cell>
        </row>
      </sheetData>
      <sheetData sheetId="455">
        <row r="10">
          <cell r="A10" t="str">
            <v>INTERVENTOR:</v>
          </cell>
        </row>
      </sheetData>
      <sheetData sheetId="456"/>
      <sheetData sheetId="457"/>
      <sheetData sheetId="458"/>
      <sheetData sheetId="459"/>
      <sheetData sheetId="460">
        <row r="12">
          <cell r="A12" t="str">
            <v>PRESUPUESTADOR:</v>
          </cell>
        </row>
      </sheetData>
      <sheetData sheetId="461"/>
      <sheetData sheetId="462"/>
      <sheetData sheetId="463"/>
      <sheetData sheetId="464"/>
      <sheetData sheetId="465"/>
      <sheetData sheetId="466">
        <row r="8">
          <cell r="D8" t="str">
            <v>P. ALBAÑILERIA</v>
          </cell>
        </row>
      </sheetData>
      <sheetData sheetId="467"/>
      <sheetData sheetId="468"/>
      <sheetData sheetId="469"/>
      <sheetData sheetId="470"/>
      <sheetData sheetId="471">
        <row r="10">
          <cell r="A10" t="str">
            <v>INTERVENTOR:</v>
          </cell>
        </row>
      </sheetData>
      <sheetData sheetId="472">
        <row r="10">
          <cell r="A10" t="str">
            <v>INTERVENTOR:</v>
          </cell>
        </row>
      </sheetData>
      <sheetData sheetId="473"/>
      <sheetData sheetId="474"/>
      <sheetData sheetId="475"/>
      <sheetData sheetId="476">
        <row r="12">
          <cell r="A12" t="str">
            <v>PRESUPUESTADOR:</v>
          </cell>
        </row>
      </sheetData>
      <sheetData sheetId="477"/>
      <sheetData sheetId="478"/>
      <sheetData sheetId="479"/>
      <sheetData sheetId="480"/>
      <sheetData sheetId="481"/>
      <sheetData sheetId="482"/>
      <sheetData sheetId="483"/>
      <sheetData sheetId="484"/>
      <sheetData sheetId="485">
        <row r="8">
          <cell r="D8" t="str">
            <v>P. ALBAÑILERIA</v>
          </cell>
        </row>
      </sheetData>
      <sheetData sheetId="486"/>
      <sheetData sheetId="487"/>
      <sheetData sheetId="488"/>
      <sheetData sheetId="489"/>
      <sheetData sheetId="490">
        <row r="10">
          <cell r="A10" t="str">
            <v>INTERVENTOR:</v>
          </cell>
        </row>
      </sheetData>
      <sheetData sheetId="491">
        <row r="10">
          <cell r="A10" t="str">
            <v>INTERVENTOR:</v>
          </cell>
        </row>
      </sheetData>
      <sheetData sheetId="492"/>
      <sheetData sheetId="493"/>
      <sheetData sheetId="494"/>
      <sheetData sheetId="495">
        <row r="12">
          <cell r="A12" t="str">
            <v>PRESUPUESTADOR:</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row r="19">
          <cell r="I19">
            <v>31084.2</v>
          </cell>
        </row>
      </sheetData>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row r="19">
          <cell r="I19">
            <v>31084.2</v>
          </cell>
        </row>
      </sheetData>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row r="19">
          <cell r="I19">
            <v>31084.2</v>
          </cell>
        </row>
      </sheetData>
      <sheetData sheetId="545">
        <row r="19">
          <cell r="I19">
            <v>31084.2</v>
          </cell>
        </row>
      </sheetData>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row r="19">
          <cell r="I19">
            <v>31084.2</v>
          </cell>
        </row>
      </sheetData>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row r="19">
          <cell r="I19">
            <v>31084.2</v>
          </cell>
        </row>
      </sheetData>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row r="8">
          <cell r="D8" t="str">
            <v>P. ALBAÑILERIA</v>
          </cell>
        </row>
      </sheetData>
      <sheetData sheetId="854">
        <row r="10">
          <cell r="A10">
            <v>1</v>
          </cell>
        </row>
      </sheetData>
      <sheetData sheetId="855">
        <row r="8">
          <cell r="D8" t="str">
            <v>P. ALBAÑILERIA</v>
          </cell>
        </row>
      </sheetData>
      <sheetData sheetId="856">
        <row r="15">
          <cell r="A15" t="str">
            <v>Cargador tipo Cat - 904</v>
          </cell>
        </row>
      </sheetData>
      <sheetData sheetId="857">
        <row r="11">
          <cell r="A11" t="str">
            <v>A.C.P.M.</v>
          </cell>
        </row>
      </sheetData>
      <sheetData sheetId="858"/>
      <sheetData sheetId="859"/>
      <sheetData sheetId="860">
        <row r="10">
          <cell r="A10" t="str">
            <v>INTERVENTOR:</v>
          </cell>
        </row>
      </sheetData>
      <sheetData sheetId="861">
        <row r="10">
          <cell r="A10" t="str">
            <v>INTERVENTOR:</v>
          </cell>
        </row>
      </sheetData>
      <sheetData sheetId="862"/>
      <sheetData sheetId="863"/>
      <sheetData sheetId="864"/>
      <sheetData sheetId="865">
        <row r="12">
          <cell r="A12" t="str">
            <v>PRESUPUESTADOR:</v>
          </cell>
        </row>
      </sheetData>
      <sheetData sheetId="866"/>
      <sheetData sheetId="867"/>
      <sheetData sheetId="868"/>
      <sheetData sheetId="869"/>
      <sheetData sheetId="870"/>
      <sheetData sheetId="871">
        <row r="8">
          <cell r="D8" t="str">
            <v>P. ALBAÑILERIA</v>
          </cell>
        </row>
      </sheetData>
      <sheetData sheetId="872"/>
      <sheetData sheetId="873"/>
      <sheetData sheetId="874"/>
      <sheetData sheetId="875"/>
      <sheetData sheetId="876">
        <row r="10">
          <cell r="A10" t="str">
            <v>INTERVENTOR:</v>
          </cell>
        </row>
      </sheetData>
      <sheetData sheetId="877">
        <row r="10">
          <cell r="A10" t="str">
            <v>INTERVENTOR:</v>
          </cell>
        </row>
      </sheetData>
      <sheetData sheetId="878"/>
      <sheetData sheetId="879"/>
      <sheetData sheetId="880"/>
      <sheetData sheetId="881">
        <row r="12">
          <cell r="A12" t="str">
            <v>PRESUPUESTADOR:</v>
          </cell>
        </row>
      </sheetData>
      <sheetData sheetId="882"/>
      <sheetData sheetId="883">
        <row r="19">
          <cell r="I19">
            <v>31084.2</v>
          </cell>
        </row>
      </sheetData>
      <sheetData sheetId="884"/>
      <sheetData sheetId="885"/>
      <sheetData sheetId="886"/>
      <sheetData sheetId="887"/>
      <sheetData sheetId="888"/>
      <sheetData sheetId="889"/>
      <sheetData sheetId="890"/>
      <sheetData sheetId="891"/>
      <sheetData sheetId="892"/>
      <sheetData sheetId="893"/>
      <sheetData sheetId="894"/>
      <sheetData sheetId="895"/>
      <sheetData sheetId="896">
        <row r="15">
          <cell r="A15" t="str">
            <v>Cargador tipo Cat - 904</v>
          </cell>
        </row>
      </sheetData>
      <sheetData sheetId="897">
        <row r="12">
          <cell r="A12" t="str">
            <v>COSTOS DE TRANSPORTE</v>
          </cell>
        </row>
      </sheetData>
      <sheetData sheetId="898">
        <row r="12">
          <cell r="A12" t="str">
            <v>COSTOS DE TRANSPORTE</v>
          </cell>
        </row>
      </sheetData>
      <sheetData sheetId="899">
        <row r="11">
          <cell r="A11" t="str">
            <v>A.C.P.M.</v>
          </cell>
        </row>
      </sheetData>
      <sheetData sheetId="900">
        <row r="11">
          <cell r="A11" t="str">
            <v>A.C.P.M.</v>
          </cell>
        </row>
      </sheetData>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row r="19">
          <cell r="I19">
            <v>31084.2</v>
          </cell>
        </row>
      </sheetData>
      <sheetData sheetId="916">
        <row r="19">
          <cell r="I19">
            <v>31084.2</v>
          </cell>
        </row>
      </sheetData>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row r="19">
          <cell r="I19">
            <v>31084.2</v>
          </cell>
        </row>
      </sheetData>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row r="19">
          <cell r="I19">
            <v>31084.2</v>
          </cell>
        </row>
      </sheetData>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row r="8">
          <cell r="D8" t="str">
            <v>P. ALBAÑILERIA</v>
          </cell>
        </row>
      </sheetData>
      <sheetData sheetId="1226"/>
      <sheetData sheetId="1227"/>
      <sheetData sheetId="1228"/>
      <sheetData sheetId="1229"/>
      <sheetData sheetId="1230">
        <row r="10">
          <cell r="A10" t="str">
            <v>INTERVENTOR:</v>
          </cell>
        </row>
      </sheetData>
      <sheetData sheetId="1231">
        <row r="10">
          <cell r="A10" t="str">
            <v>INTERVENTOR:</v>
          </cell>
        </row>
      </sheetData>
      <sheetData sheetId="1232"/>
      <sheetData sheetId="1233"/>
      <sheetData sheetId="1234"/>
      <sheetData sheetId="1235">
        <row r="12">
          <cell r="A12" t="str">
            <v>PRESUPUESTADOR:</v>
          </cell>
        </row>
      </sheetData>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row r="19">
          <cell r="I19">
            <v>31084.2</v>
          </cell>
        </row>
      </sheetData>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row r="19">
          <cell r="I19">
            <v>31084.2</v>
          </cell>
        </row>
      </sheetData>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row r="19">
          <cell r="I19">
            <v>31084.2</v>
          </cell>
        </row>
      </sheetData>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row r="19">
          <cell r="I19">
            <v>31084.2</v>
          </cell>
        </row>
      </sheetData>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row r="19">
          <cell r="I19">
            <v>31084.2</v>
          </cell>
        </row>
      </sheetData>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row r="19">
          <cell r="I19">
            <v>31084.2</v>
          </cell>
        </row>
      </sheetData>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row r="19">
          <cell r="I19">
            <v>31084.2</v>
          </cell>
        </row>
      </sheetData>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row r="19">
          <cell r="I19">
            <v>31084.2</v>
          </cell>
        </row>
      </sheetData>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row r="19">
          <cell r="I19">
            <v>31084.2</v>
          </cell>
        </row>
      </sheetData>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row r="19">
          <cell r="I19">
            <v>31084.2</v>
          </cell>
        </row>
      </sheetData>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row r="19">
          <cell r="I19">
            <v>31084.2</v>
          </cell>
        </row>
      </sheetData>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row r="19">
          <cell r="I19">
            <v>31084.2</v>
          </cell>
        </row>
      </sheetData>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row r="19">
          <cell r="I19">
            <v>31084.2</v>
          </cell>
        </row>
      </sheetData>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row r="19">
          <cell r="I19">
            <v>31084.2</v>
          </cell>
        </row>
      </sheetData>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row r="8">
          <cell r="D8" t="str">
            <v>P. ALBAÑILERIA</v>
          </cell>
        </row>
      </sheetData>
      <sheetData sheetId="2336"/>
      <sheetData sheetId="2337"/>
      <sheetData sheetId="2338"/>
      <sheetData sheetId="2339"/>
      <sheetData sheetId="2340">
        <row r="10">
          <cell r="A10" t="str">
            <v>INTERVENTOR:</v>
          </cell>
        </row>
      </sheetData>
      <sheetData sheetId="2341">
        <row r="10">
          <cell r="A10" t="str">
            <v>INTERVENTOR:</v>
          </cell>
        </row>
      </sheetData>
      <sheetData sheetId="2342"/>
      <sheetData sheetId="2343"/>
      <sheetData sheetId="2344"/>
      <sheetData sheetId="2345">
        <row r="12">
          <cell r="A12" t="str">
            <v>PRESUPUESTADOR:</v>
          </cell>
        </row>
      </sheetData>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row r="19">
          <cell r="I19">
            <v>31084.2</v>
          </cell>
        </row>
      </sheetData>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row r="19">
          <cell r="I19">
            <v>31084.2</v>
          </cell>
        </row>
      </sheetData>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row r="19">
          <cell r="I19">
            <v>31084.2</v>
          </cell>
        </row>
      </sheetData>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row r="19">
          <cell r="I19">
            <v>31084.2</v>
          </cell>
        </row>
      </sheetData>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row r="19">
          <cell r="I19">
            <v>31084.2</v>
          </cell>
        </row>
      </sheetData>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row r="19">
          <cell r="I19">
            <v>31084.2</v>
          </cell>
        </row>
      </sheetData>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row r="19">
          <cell r="I19">
            <v>31084.2</v>
          </cell>
        </row>
      </sheetData>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row r="19">
          <cell r="I19">
            <v>31084.2</v>
          </cell>
        </row>
      </sheetData>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row r="19">
          <cell r="I19">
            <v>31084.2</v>
          </cell>
        </row>
      </sheetData>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row r="19">
          <cell r="I19">
            <v>31084.2</v>
          </cell>
        </row>
      </sheetData>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row r="19">
          <cell r="I19">
            <v>31084.2</v>
          </cell>
        </row>
      </sheetData>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row r="8">
          <cell r="D8" t="str">
            <v>P. ALBAÑILERIA</v>
          </cell>
        </row>
      </sheetData>
      <sheetData sheetId="3784"/>
      <sheetData sheetId="3785"/>
      <sheetData sheetId="3786"/>
      <sheetData sheetId="3787"/>
      <sheetData sheetId="3788">
        <row r="10">
          <cell r="A10" t="str">
            <v>INTERVENTOR:</v>
          </cell>
        </row>
      </sheetData>
      <sheetData sheetId="3789">
        <row r="10">
          <cell r="A10" t="str">
            <v>INTERVENTOR:</v>
          </cell>
        </row>
      </sheetData>
      <sheetData sheetId="3790"/>
      <sheetData sheetId="3791"/>
      <sheetData sheetId="3792"/>
      <sheetData sheetId="3793">
        <row r="12">
          <cell r="A12" t="str">
            <v>PRESUPUESTADOR:</v>
          </cell>
        </row>
      </sheetData>
      <sheetData sheetId="3794"/>
      <sheetData sheetId="3795"/>
      <sheetData sheetId="3796"/>
      <sheetData sheetId="3797"/>
      <sheetData sheetId="3798"/>
      <sheetData sheetId="3799">
        <row r="8">
          <cell r="D8" t="str">
            <v>P. ALBAÑILERIA</v>
          </cell>
        </row>
      </sheetData>
      <sheetData sheetId="3800"/>
      <sheetData sheetId="3801"/>
      <sheetData sheetId="3802"/>
      <sheetData sheetId="3803"/>
      <sheetData sheetId="3804">
        <row r="10">
          <cell r="A10" t="str">
            <v>INTERVENTOR:</v>
          </cell>
        </row>
      </sheetData>
      <sheetData sheetId="3805">
        <row r="10">
          <cell r="A10" t="str">
            <v>INTERVENTOR:</v>
          </cell>
        </row>
      </sheetData>
      <sheetData sheetId="3806"/>
      <sheetData sheetId="3807"/>
      <sheetData sheetId="3808"/>
      <sheetData sheetId="3809">
        <row r="12">
          <cell r="A12" t="str">
            <v>PRESUPUESTADOR:</v>
          </cell>
        </row>
      </sheetData>
      <sheetData sheetId="3810"/>
      <sheetData sheetId="3811"/>
      <sheetData sheetId="3812"/>
      <sheetData sheetId="3813"/>
      <sheetData sheetId="3814"/>
      <sheetData sheetId="3815">
        <row r="8">
          <cell r="D8" t="str">
            <v>P. ALBAÑILERIA</v>
          </cell>
        </row>
      </sheetData>
      <sheetData sheetId="3816"/>
      <sheetData sheetId="3817"/>
      <sheetData sheetId="3818"/>
      <sheetData sheetId="3819"/>
      <sheetData sheetId="3820">
        <row r="10">
          <cell r="A10" t="str">
            <v>INTERVENTOR:</v>
          </cell>
        </row>
      </sheetData>
      <sheetData sheetId="3821">
        <row r="10">
          <cell r="A10" t="str">
            <v>INTERVENTOR:</v>
          </cell>
        </row>
      </sheetData>
      <sheetData sheetId="3822"/>
      <sheetData sheetId="3823"/>
      <sheetData sheetId="3824"/>
      <sheetData sheetId="3825">
        <row r="12">
          <cell r="A12" t="str">
            <v>PRESUPUESTADOR:</v>
          </cell>
        </row>
      </sheetData>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row r="19">
          <cell r="I19">
            <v>31084.2</v>
          </cell>
        </row>
      </sheetData>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row r="19">
          <cell r="I19">
            <v>31084.2</v>
          </cell>
        </row>
      </sheetData>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row r="19">
          <cell r="I19">
            <v>31084.2</v>
          </cell>
        </row>
      </sheetData>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row r="19">
          <cell r="I19">
            <v>31084.2</v>
          </cell>
        </row>
      </sheetData>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row r="19">
          <cell r="I19">
            <v>31084.2</v>
          </cell>
        </row>
      </sheetData>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row r="8">
          <cell r="D8" t="str">
            <v>P. ALBAÑILERIA</v>
          </cell>
        </row>
      </sheetData>
      <sheetData sheetId="4186"/>
      <sheetData sheetId="4187"/>
      <sheetData sheetId="4188"/>
      <sheetData sheetId="4189"/>
      <sheetData sheetId="4190">
        <row r="10">
          <cell r="A10" t="str">
            <v>INTERVENTOR:</v>
          </cell>
        </row>
      </sheetData>
      <sheetData sheetId="4191">
        <row r="10">
          <cell r="A10" t="str">
            <v>INTERVENTOR:</v>
          </cell>
        </row>
      </sheetData>
      <sheetData sheetId="4192"/>
      <sheetData sheetId="4193"/>
      <sheetData sheetId="4194"/>
      <sheetData sheetId="4195">
        <row r="12">
          <cell r="A12" t="str">
            <v>PRESUPUESTADOR:</v>
          </cell>
        </row>
      </sheetData>
      <sheetData sheetId="4196"/>
      <sheetData sheetId="4197"/>
      <sheetData sheetId="4198"/>
      <sheetData sheetId="4199" refreshError="1"/>
      <sheetData sheetId="4200" refreshError="1"/>
      <sheetData sheetId="4201"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IABILIDAD"/>
      <sheetName val="Estudio de prefac y fact."/>
      <sheetName val="ID-01A"/>
      <sheetName val="ID-01B"/>
      <sheetName val="ID-01C"/>
      <sheetName val="ID-01D"/>
      <sheetName val="ID-02"/>
      <sheetName val="ID-03"/>
      <sheetName val="ID-04 "/>
      <sheetName val="ID-05"/>
      <sheetName val="ID-06"/>
      <sheetName val="ID-07 "/>
      <sheetName val="PE-01"/>
      <sheetName val="PE-02(A)"/>
      <sheetName val="PE-03"/>
      <sheetName val="PE-04"/>
      <sheetName val="PE-05(A)"/>
      <sheetName val="PE-05(B)"/>
      <sheetName val="PE-06"/>
      <sheetName val="PE-07(A)"/>
      <sheetName val="PE-08 (A)"/>
      <sheetName val="PE-08(B)"/>
      <sheetName val="PE-09(1)"/>
      <sheetName val="PE-10"/>
      <sheetName val="FS-02"/>
      <sheetName val="FS-01"/>
      <sheetName val="FF-01"/>
      <sheetName val="FS-03"/>
      <sheetName val="FF-01 PRESUPUESTO D Y C "/>
      <sheetName val="PRESUPUESTO COMPONENTE DISENO"/>
      <sheetName val="PRESUPUESTO COMPO inter"/>
      <sheetName val="FICHA-EBI"/>
      <sheetName val="FICHA- EBI"/>
      <sheetName val="Presupuesto consultoria"/>
      <sheetName val="Presupuesto de obra"/>
      <sheetName val="UNITARIOS"/>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unitario"/>
      <sheetName val="Informacion"/>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1.1.1"/>
      <sheetName val="E1.1.2"/>
      <sheetName val="E1.1.3"/>
      <sheetName val="E1.1.4"/>
      <sheetName val="E1.1.5"/>
      <sheetName val="E1.1.6"/>
      <sheetName val="E1.1.7"/>
      <sheetName val="E1.1.8"/>
      <sheetName val="E1.1.9"/>
      <sheetName val="E1.1.10"/>
      <sheetName val="E1.1.11"/>
      <sheetName val="E1.2.1"/>
      <sheetName val="E1.2.2"/>
      <sheetName val="E1.3.1"/>
      <sheetName val="E1.3.2"/>
      <sheetName val="E1.3.3"/>
      <sheetName val="E1.3.4"/>
      <sheetName val="E1.3.5"/>
      <sheetName val="E1.3.6"/>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ow r="13">
          <cell r="B13" t="str">
            <v>E1</v>
          </cell>
          <cell r="C13" t="str">
            <v>INSTALACIONES ELÉCTRICAS E ILUMINACIÓN EXTERIORES</v>
          </cell>
          <cell r="D13">
            <v>0</v>
          </cell>
          <cell r="E13">
            <v>0</v>
          </cell>
        </row>
        <row r="14">
          <cell r="B14" t="str">
            <v>E1.1</v>
          </cell>
          <cell r="C14" t="str">
            <v>INSTALACIONES ELÉCTRICAS</v>
          </cell>
          <cell r="D14">
            <v>0</v>
          </cell>
          <cell r="E14">
            <v>0</v>
          </cell>
        </row>
        <row r="15">
          <cell r="B15" t="str">
            <v>E1.1.1</v>
          </cell>
          <cell r="C15" t="str">
            <v xml:space="preserve">TABLERO PARCIAL 12 CIRCUITOS INCLUYE BREAKER </v>
          </cell>
          <cell r="D15">
            <v>0</v>
          </cell>
          <cell r="E15" t="str">
            <v>UN</v>
          </cell>
        </row>
        <row r="16">
          <cell r="B16" t="str">
            <v>E1.1.2</v>
          </cell>
          <cell r="C16" t="str">
            <v xml:space="preserve">BAJANTE CON TUBO CONDUIT METALICO 1" L=6 m </v>
          </cell>
          <cell r="D16">
            <v>0</v>
          </cell>
          <cell r="E16" t="str">
            <v>UN</v>
          </cell>
        </row>
        <row r="17">
          <cell r="B17" t="str">
            <v>E1.1.3</v>
          </cell>
          <cell r="C17" t="str">
            <v>ACOMETIDA PARCIAL 2No10+1No12 DUCTO PVC 3/4"</v>
          </cell>
          <cell r="D17">
            <v>0</v>
          </cell>
          <cell r="E17" t="str">
            <v>ML</v>
          </cell>
        </row>
        <row r="18">
          <cell r="B18" t="str">
            <v>E1.1.4</v>
          </cell>
          <cell r="C18" t="str">
            <v>ACOMETIDA PARCIAL 3 No8+1 No14 DUCTO 1`` PVC</v>
          </cell>
          <cell r="D18">
            <v>0</v>
          </cell>
          <cell r="E18" t="str">
            <v>ML</v>
          </cell>
        </row>
        <row r="19">
          <cell r="B19" t="str">
            <v>E1.1.5</v>
          </cell>
          <cell r="C19" t="str">
            <v>ACOMETIDA PARCIAL 3 No6+1 No12 DUCTO 1`` PVC</v>
          </cell>
          <cell r="D19">
            <v>0</v>
          </cell>
          <cell r="E19" t="str">
            <v>ML</v>
          </cell>
        </row>
        <row r="20">
          <cell r="B20" t="str">
            <v>E1.1.6</v>
          </cell>
          <cell r="C20" t="str">
            <v xml:space="preserve">PUESTA A TIERRA TERMINAL DE BAJA TENSIÓN </v>
          </cell>
          <cell r="D20">
            <v>0</v>
          </cell>
          <cell r="E20" t="str">
            <v>UN</v>
          </cell>
        </row>
        <row r="21">
          <cell r="B21" t="str">
            <v>E1.1.7</v>
          </cell>
          <cell r="C21" t="str">
            <v>POSTE DE CONCRETO 10 M x 750 KG REFORZADO</v>
          </cell>
          <cell r="D21">
            <v>0</v>
          </cell>
          <cell r="E21" t="str">
            <v>UN</v>
          </cell>
        </row>
        <row r="22">
          <cell r="B22" t="str">
            <v>E1.1.8</v>
          </cell>
          <cell r="C22" t="str">
            <v>SUMINISTRO E INSTALACION ESTRUCTURA TIPO LA 321M</v>
          </cell>
          <cell r="D22">
            <v>0</v>
          </cell>
          <cell r="E22" t="str">
            <v>UN</v>
          </cell>
        </row>
        <row r="23">
          <cell r="B23" t="str">
            <v>E1.1.9</v>
          </cell>
          <cell r="C23" t="str">
            <v>CABLE CUADRUPLEX AL 3x35MM+1x50MM (3x2+1x1/0)</v>
          </cell>
          <cell r="D23">
            <v>0</v>
          </cell>
          <cell r="E23" t="str">
            <v>ML</v>
          </cell>
        </row>
        <row r="24">
          <cell r="B24" t="str">
            <v>E1.1.10</v>
          </cell>
          <cell r="C24" t="str">
            <v xml:space="preserve">CONTROL PARA ALUMBRADO PÚBLICO INSTALACIÓN EN POSTE </v>
          </cell>
          <cell r="D24">
            <v>0</v>
          </cell>
          <cell r="E24" t="str">
            <v>UN</v>
          </cell>
        </row>
        <row r="25">
          <cell r="B25" t="str">
            <v>E1.1.11</v>
          </cell>
          <cell r="C25" t="str">
            <v>CAJA DE 57 X 27 X 16 CMS ( NORMA CODENSA PARA CONTADOR TRIFÁSICO) INSTALADA EN POSTE. CONTIENE INTERRUPTOR TERMOMAGNÉTICO TRIPOLAR TIPO INDUSTRIAL 3 X BO A, 600V. INCLUYE BARRAJES DE PUESTA A TIERRA Y NEUTRO.</v>
          </cell>
          <cell r="D25">
            <v>0</v>
          </cell>
          <cell r="E25" t="str">
            <v>UN</v>
          </cell>
        </row>
        <row r="26">
          <cell r="B26" t="str">
            <v>E1.2</v>
          </cell>
          <cell r="C26" t="str">
            <v xml:space="preserve">CANALIZACIONES </v>
          </cell>
          <cell r="D26">
            <v>0</v>
          </cell>
          <cell r="E26" t="str">
            <v>UN</v>
          </cell>
        </row>
        <row r="27">
          <cell r="B27" t="str">
            <v>E1.2.1</v>
          </cell>
          <cell r="C27" t="str">
            <v xml:space="preserve">CAJA DE INSPECCIÓN PARA ALUMBRADO PÚBLICO CS 274 NORMA CODENSA. INCLUYE BASE, MUROS, PAÑETE, MARCO Y TAPA. </v>
          </cell>
          <cell r="D27">
            <v>0</v>
          </cell>
          <cell r="E27" t="str">
            <v>UN</v>
          </cell>
        </row>
        <row r="28">
          <cell r="B28" t="str">
            <v>E1.2.2</v>
          </cell>
          <cell r="C28" t="str">
            <v>CANALIZACIONES ZANJA Y RELLENOS PARA DUCTOS PVC DE 2Ø3" ZONA VERDE</v>
          </cell>
          <cell r="D28">
            <v>0</v>
          </cell>
          <cell r="E28" t="str">
            <v>ML</v>
          </cell>
        </row>
        <row r="29">
          <cell r="B29" t="str">
            <v>E1.3</v>
          </cell>
          <cell r="C29" t="str">
            <v xml:space="preserve">LUMINARIAS </v>
          </cell>
          <cell r="D29">
            <v>0</v>
          </cell>
          <cell r="E29">
            <v>0</v>
          </cell>
        </row>
        <row r="30">
          <cell r="B30" t="str">
            <v>E1.3.1</v>
          </cell>
          <cell r="C30" t="str">
            <v xml:space="preserve">SUMINISTRO, TRANSPORTE E INSTALACIÓN LUMINARIA LED MPG-1E 30 W </v>
          </cell>
          <cell r="D30">
            <v>0</v>
          </cell>
          <cell r="E30" t="str">
            <v>UN</v>
          </cell>
        </row>
        <row r="31">
          <cell r="B31" t="str">
            <v>E1.3.2</v>
          </cell>
          <cell r="C31" t="str">
            <v xml:space="preserve">SUMINISTRO, TRANSPORTE E INSTALACIÓN PROYECTOR LED KS-6 300 W </v>
          </cell>
          <cell r="D31">
            <v>0</v>
          </cell>
          <cell r="E31" t="str">
            <v>UN</v>
          </cell>
        </row>
        <row r="32">
          <cell r="B32" t="str">
            <v>E1.3.3</v>
          </cell>
          <cell r="C32" t="str">
            <v>SUMINISTRO MASTIL TIPO FARIO O SIMILAR DE 14 METROS</v>
          </cell>
          <cell r="D32">
            <v>0</v>
          </cell>
          <cell r="E32" t="str">
            <v>UN</v>
          </cell>
        </row>
        <row r="33">
          <cell r="B33" t="str">
            <v>E1.3.4</v>
          </cell>
          <cell r="C33" t="str">
            <v>SUMINISTRO MASTIL TIPO TAO O SIMILAR DE 6,5 METROS CON TRES BRAZOS DE 1 METRO</v>
          </cell>
          <cell r="D33">
            <v>0</v>
          </cell>
          <cell r="E33" t="str">
            <v>UN</v>
          </cell>
        </row>
        <row r="34">
          <cell r="B34" t="str">
            <v>E1.3.5</v>
          </cell>
          <cell r="C34" t="str">
            <v>SUMINISTRO MASTIL TIPO TAO O SIMILAR DE 6,5 METROS CON DOBLE BRAZO DE 1 METRO</v>
          </cell>
          <cell r="D34">
            <v>0</v>
          </cell>
          <cell r="E34" t="str">
            <v>UN</v>
          </cell>
        </row>
        <row r="35">
          <cell r="B35" t="str">
            <v>E1.3.6</v>
          </cell>
          <cell r="C35" t="str">
            <v>SUMINISTRO MASTIL TIPO TAO O SIMILAR DE 6,5 METROS CON BRAZO SENCILLO DE 1 METRO</v>
          </cell>
          <cell r="D35">
            <v>0</v>
          </cell>
          <cell r="E35" t="str">
            <v>UN</v>
          </cell>
        </row>
        <row r="36">
          <cell r="B36" t="str">
            <v>VALOR DEL PROYECTO CONSTRUCCIÓN (OBRA + DISEÑOS + CERTIFICACIONES) AJUSTADO AL PESO</v>
          </cell>
          <cell r="C36">
            <v>0</v>
          </cell>
          <cell r="D36">
            <v>0</v>
          </cell>
          <cell r="E36">
            <v>0</v>
          </cell>
        </row>
      </sheetData>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COMPONENTES"/>
      <sheetName val="INSUMOS"/>
      <sheetName val="XComponentes"/>
      <sheetName val="XActividades"/>
      <sheetName val="PRESUPUESTO (2)"/>
      <sheetName val="PRESUPUESTO (3)"/>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1 Caja inspección 0,60 "/>
      <sheetName val="3,4,4 Caja Distribuciòn 0,40  "/>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5,1 Acero 37000  "/>
      <sheetName val="4,5,2 Acero 60000 est"/>
      <sheetName val="4,5,3 Malla Electrosoldada est"/>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Cubierta placa"/>
      <sheetName val="11,2,5,1 Teja Barro"/>
      <sheetName val="11,2,5,2 Limahoyas"/>
      <sheetName val="11,3,1 Canal Lámina"/>
      <sheetName val="11,3,2 Flashing"/>
      <sheetName val="11,3,3 Tragante 5x3"/>
      <sheetName val="11,3,4 Tragante 6x4"/>
      <sheetName val="11,3,5 Canal PVC"/>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0">
          <cell r="A10" t="str">
            <v>Descripción</v>
          </cell>
        </row>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Abrazadera metálica 1 1/4"</v>
          </cell>
        </row>
        <row r="18">
          <cell r="A18" t="str">
            <v>Abrazadera metálica 1"</v>
          </cell>
        </row>
        <row r="19">
          <cell r="A19" t="str">
            <v>Abrazadera metálica 2"</v>
          </cell>
        </row>
        <row r="20">
          <cell r="A20" t="str">
            <v xml:space="preserve">Accesorio novafort </v>
          </cell>
        </row>
        <row r="21">
          <cell r="A21" t="str">
            <v>Accesorio PVCP-RDE 2" UZ</v>
          </cell>
        </row>
        <row r="22">
          <cell r="A22" t="str">
            <v>Accesorio PVCP-RDE 3" UZ</v>
          </cell>
        </row>
        <row r="23">
          <cell r="A23" t="str">
            <v>Accesorios - H.G. 1/2"</v>
          </cell>
        </row>
        <row r="24">
          <cell r="A24" t="str">
            <v>Accesorios - Y de 3"</v>
          </cell>
        </row>
        <row r="25">
          <cell r="A25" t="str">
            <v>Accesorios - Y de 4"</v>
          </cell>
        </row>
        <row r="26">
          <cell r="A26" t="str">
            <v>Accesorios PVC</v>
          </cell>
        </row>
        <row r="27">
          <cell r="A27" t="str">
            <v>Accesorios PVC-P 1 1/2"</v>
          </cell>
        </row>
        <row r="28">
          <cell r="A28" t="str">
            <v>Accesorios PVC-P 1 1/4"</v>
          </cell>
        </row>
        <row r="29">
          <cell r="A29" t="str">
            <v>Accesorios PVC-P 1"</v>
          </cell>
        </row>
        <row r="30">
          <cell r="A30" t="str">
            <v>Accesorios PVC-P 1/2"</v>
          </cell>
        </row>
        <row r="31">
          <cell r="A31" t="str">
            <v>Accesorios PVC-P 3/4"</v>
          </cell>
        </row>
        <row r="32">
          <cell r="A32" t="str">
            <v>Acero 37,000 p.s.i. 1/4"</v>
          </cell>
        </row>
        <row r="33">
          <cell r="A33" t="str">
            <v xml:space="preserve">Acero 60,000 p.s.i. </v>
          </cell>
        </row>
        <row r="34">
          <cell r="A34" t="str">
            <v>Acero de refuerzo 60000 PSI</v>
          </cell>
        </row>
        <row r="35">
          <cell r="A35" t="str">
            <v xml:space="preserve">Acero figurado 37,000 </v>
          </cell>
        </row>
        <row r="36">
          <cell r="A36" t="str">
            <v>Acero figurado 60,000 p.s.i. 1/2"</v>
          </cell>
        </row>
        <row r="37">
          <cell r="A37" t="str">
            <v>Acido muriatico</v>
          </cell>
        </row>
        <row r="38">
          <cell r="A38" t="str">
            <v xml:space="preserve">Acoflex plastico de 1/2" x  50 cms Lavamanos </v>
          </cell>
        </row>
        <row r="39">
          <cell r="A39" t="str">
            <v>Acoflex plastico de 1/2" x 7/8" de 50 cms. Sanitario</v>
          </cell>
        </row>
        <row r="40">
          <cell r="A40" t="str">
            <v>Acrilico transparente 2 mm, protección UV</v>
          </cell>
        </row>
        <row r="41">
          <cell r="A41" t="str">
            <v>Ad.Terminal cond.1"</v>
          </cell>
        </row>
        <row r="42">
          <cell r="A42" t="str">
            <v>Ad.Terminal cond.1/2"</v>
          </cell>
        </row>
        <row r="43">
          <cell r="A43" t="str">
            <v>Ad.Terminal cond.3/4"</v>
          </cell>
        </row>
        <row r="44">
          <cell r="A44" t="str">
            <v>Adaptador bajante rectangular PVC - Aguas Lluvias</v>
          </cell>
        </row>
        <row r="45">
          <cell r="A45" t="str">
            <v>Adaptador bajante rectangular PVC - alcantarillado</v>
          </cell>
        </row>
        <row r="46">
          <cell r="A46" t="str">
            <v>Adaptador conduit de 1/2"</v>
          </cell>
        </row>
        <row r="47">
          <cell r="A47" t="str">
            <v>Adaptador hembra PE AL PE 1216 - 1/2"</v>
          </cell>
        </row>
        <row r="48">
          <cell r="A48" t="str">
            <v>Adaptador hembra PE AL PE 1216 - 3/4"</v>
          </cell>
        </row>
        <row r="49">
          <cell r="A49" t="str">
            <v>Adaptador macho PE AL PE 1216 - 1/2"</v>
          </cell>
        </row>
        <row r="50">
          <cell r="A50" t="str">
            <v>Adaptador macho PE AL PE 1216 - 3/4"</v>
          </cell>
        </row>
        <row r="51">
          <cell r="A51" t="str">
            <v>Adaptador macho PVC de 1 1/2"</v>
          </cell>
        </row>
        <row r="52">
          <cell r="A52" t="str">
            <v>Adaptador macho PVC de 1"</v>
          </cell>
        </row>
        <row r="53">
          <cell r="A53" t="str">
            <v>Adaptador macho PVC de 1/2"</v>
          </cell>
        </row>
        <row r="54">
          <cell r="A54" t="str">
            <v>Adaptador macho PVC de 2 plg</v>
          </cell>
        </row>
        <row r="55">
          <cell r="A55" t="str">
            <v>Adoquín peatonal Santa Fe</v>
          </cell>
        </row>
        <row r="56">
          <cell r="A56" t="str">
            <v>Agua</v>
          </cell>
        </row>
        <row r="57">
          <cell r="A57" t="str">
            <v>Aislador de carrete en porcelana</v>
          </cell>
        </row>
        <row r="58">
          <cell r="A58" t="str">
            <v>Aislador de rosca para empalme</v>
          </cell>
        </row>
        <row r="59">
          <cell r="A59" t="str">
            <v>Aislador para percha BT</v>
          </cell>
        </row>
        <row r="60">
          <cell r="A60" t="str">
            <v>Aislador tipo pin</v>
          </cell>
        </row>
        <row r="61">
          <cell r="A61" t="str">
            <v>Alambre cobre THW 10 AWG</v>
          </cell>
        </row>
        <row r="62">
          <cell r="A62" t="str">
            <v>Alambre cobre THW 12 AWG</v>
          </cell>
        </row>
        <row r="63">
          <cell r="A63" t="str">
            <v>Alambre cobre THW 14 AWG</v>
          </cell>
        </row>
        <row r="64">
          <cell r="A64" t="str">
            <v>Alambre cobre THW 8 AWG</v>
          </cell>
        </row>
        <row r="65">
          <cell r="A65" t="str">
            <v>Alambre Cu desnudo AWG 10</v>
          </cell>
        </row>
        <row r="66">
          <cell r="A66" t="str">
            <v>Alambre Cu desnudo AWG 12</v>
          </cell>
        </row>
        <row r="67">
          <cell r="A67" t="str">
            <v>Alambre Cu desnudo AWG 14</v>
          </cell>
        </row>
        <row r="68">
          <cell r="A68" t="str">
            <v>Alambre de cobre No 10</v>
          </cell>
        </row>
        <row r="69">
          <cell r="A69" t="str">
            <v>Alambre de cobre No 12</v>
          </cell>
        </row>
        <row r="70">
          <cell r="A70" t="str">
            <v>Alambre de cobre No 14 desnudo</v>
          </cell>
        </row>
        <row r="71">
          <cell r="A71" t="str">
            <v>Alambre negro Cal. 18</v>
          </cell>
        </row>
        <row r="72">
          <cell r="A72" t="str">
            <v>Alambre Teléfono 2x22 estañado</v>
          </cell>
        </row>
        <row r="73">
          <cell r="A73" t="str">
            <v>Alicates</v>
          </cell>
        </row>
        <row r="74">
          <cell r="A74" t="str">
            <v>Alquiler Campamento 20 a 60 M2</v>
          </cell>
        </row>
        <row r="75">
          <cell r="A75" t="str">
            <v>Alumol Sika</v>
          </cell>
        </row>
        <row r="76">
          <cell r="A76" t="str">
            <v>Amarre plástico (zuncho)</v>
          </cell>
        </row>
        <row r="77">
          <cell r="A77" t="str">
            <v>Anclajes y abrazadera para bajantes aguas lluvias (3 - 4 plg)</v>
          </cell>
        </row>
        <row r="78">
          <cell r="A78" t="str">
            <v>Angulo 2 1/2" x 2 1/2" x 3/16"</v>
          </cell>
        </row>
        <row r="79">
          <cell r="A79" t="str">
            <v>Angulo 3/4 x 1/8</v>
          </cell>
        </row>
        <row r="80">
          <cell r="A80" t="str">
            <v>Angulo de cercha de 2" x 1"</v>
          </cell>
        </row>
        <row r="81">
          <cell r="A81" t="str">
            <v>Angulo de unión A-29</v>
          </cell>
        </row>
        <row r="82">
          <cell r="A82" t="str">
            <v>Anticorrosivo rojo claro PHLC</v>
          </cell>
        </row>
        <row r="83">
          <cell r="A83" t="str">
            <v xml:space="preserve">Antihumedad fachada </v>
          </cell>
        </row>
        <row r="84">
          <cell r="A84" t="str">
            <v>Arandela</v>
          </cell>
        </row>
        <row r="85">
          <cell r="A85" t="str">
            <v>Arbol especie local de 1,80 a 2,00 mts</v>
          </cell>
        </row>
        <row r="86">
          <cell r="A86" t="str">
            <v>Arena Amarilla Lavada</v>
          </cell>
        </row>
        <row r="87">
          <cell r="A87" t="str">
            <v>Arena Blanca</v>
          </cell>
        </row>
        <row r="88">
          <cell r="A88" t="str">
            <v>Arena de peña</v>
          </cell>
        </row>
        <row r="89">
          <cell r="A89" t="str">
            <v>Arena de rio</v>
          </cell>
        </row>
        <row r="90">
          <cell r="A90" t="str">
            <v>Arena de río (viaje 5 m3)</v>
          </cell>
        </row>
        <row r="91">
          <cell r="A91" t="str">
            <v xml:space="preserve">Arena lavada blanca </v>
          </cell>
        </row>
        <row r="92">
          <cell r="A92" t="str">
            <v>Arena lavada de pozo</v>
          </cell>
        </row>
        <row r="93">
          <cell r="A93" t="str">
            <v>Atornillador</v>
          </cell>
        </row>
        <row r="94">
          <cell r="A94" t="str">
            <v>Automático 3x100 Amp.</v>
          </cell>
        </row>
        <row r="95">
          <cell r="A95" t="str">
            <v>Automático 3x30, 3x40, 3x50 o 3x60 Amp.</v>
          </cell>
        </row>
        <row r="96">
          <cell r="A96" t="str">
            <v>Automático enchufable 1x20 Amp.</v>
          </cell>
        </row>
        <row r="97">
          <cell r="A97" t="str">
            <v>Automático enchufable 1x40 Amp.</v>
          </cell>
        </row>
        <row r="98">
          <cell r="A98" t="str">
            <v>Automático enchufable 2x20, 2x30, 2x40, 2x50 o 2x60 Amp.</v>
          </cell>
        </row>
        <row r="99">
          <cell r="A99" t="str">
            <v>Automático enchufable 2x70, 2x80 o 2x100 Amp.</v>
          </cell>
        </row>
        <row r="100">
          <cell r="A100" t="str">
            <v>Bajante PVC Rectangular</v>
          </cell>
        </row>
        <row r="101">
          <cell r="A101" t="str">
            <v xml:space="preserve">Baldosin cerámico blanco 20 x 20  Trafico 4 </v>
          </cell>
        </row>
        <row r="102">
          <cell r="A102" t="str">
            <v>Baldosin cerámico blanco 30 x 30</v>
          </cell>
        </row>
        <row r="103">
          <cell r="A103" t="str">
            <v>Baldosin cerámico cristanac corona 32,4 x 32,4</v>
          </cell>
        </row>
        <row r="104">
          <cell r="A104" t="str">
            <v>Baldosin cerámico Italia (30,5 x 30,5)</v>
          </cell>
        </row>
        <row r="105">
          <cell r="A105" t="str">
            <v>Baldosin cerámico pared  de 20 x 20 blanco primera</v>
          </cell>
        </row>
        <row r="106">
          <cell r="A106" t="str">
            <v>Baldosin cerámico pared Valencia 20,5 x 30,5</v>
          </cell>
        </row>
        <row r="107">
          <cell r="A107" t="str">
            <v>Baldosin de granito (30 x 30)</v>
          </cell>
        </row>
        <row r="108">
          <cell r="A108" t="str">
            <v>Barniz vitriflex</v>
          </cell>
        </row>
        <row r="109">
          <cell r="A109" t="str">
            <v>Barra  proyectante Franklin Brass, en acero Inoxidable de  1-1/4" 39 - 1/4" proyectante, capacidad mínima de 500 libras; incluye chazos y tornillos suminsitrados por el fabricante.</v>
          </cell>
        </row>
        <row r="110">
          <cell r="A110" t="str">
            <v>Barra discapacitados 18" (46 cm) cromo grival</v>
          </cell>
        </row>
        <row r="111">
          <cell r="A111" t="str">
            <v>Barra discapacitados 30" (76 cm) cromo grival; incluye chazos y tornillos, suministrados por el fabricante</v>
          </cell>
        </row>
        <row r="112">
          <cell r="A112" t="str">
            <v>Bentonita</v>
          </cell>
        </row>
        <row r="113">
          <cell r="A113" t="str">
            <v>Bisagra alum.Ext 2"</v>
          </cell>
        </row>
        <row r="114">
          <cell r="A114" t="str">
            <v>Bisagra alum.Ext 3"</v>
          </cell>
        </row>
        <row r="115">
          <cell r="A115" t="str">
            <v>Bisagra Metalisteria triple</v>
          </cell>
        </row>
        <row r="116">
          <cell r="A116" t="str">
            <v>Bloque calado sencillo 20 x 20</v>
          </cell>
        </row>
        <row r="117">
          <cell r="A117" t="str">
            <v>Bloque en concreto par muros estructurales de 0,09 x 19 x 39</v>
          </cell>
        </row>
        <row r="118">
          <cell r="A118" t="str">
            <v>Bloque en concreto para muros  tipo piedra de 12 x 20 X 40 cm.</v>
          </cell>
        </row>
        <row r="119">
          <cell r="A119" t="str">
            <v>Bloque en concreto para muros estructurales de 12  X 20 X 40</v>
          </cell>
        </row>
        <row r="120">
          <cell r="A120" t="str">
            <v>Bloque en concreto para muros no estructurales, lisos de  6 x 20 x 40</v>
          </cell>
        </row>
        <row r="121">
          <cell r="A121" t="str">
            <v>Bloque muro LN-14N</v>
          </cell>
        </row>
        <row r="122">
          <cell r="A122" t="str">
            <v>Bloque No.4</v>
          </cell>
        </row>
        <row r="123">
          <cell r="A123" t="str">
            <v>Bloque No.5</v>
          </cell>
        </row>
        <row r="124">
          <cell r="A124" t="str">
            <v>Bombillo de bajo consumo</v>
          </cell>
        </row>
        <row r="125">
          <cell r="A125" t="str">
            <v>Boquilla terminal EMT de 1"</v>
          </cell>
        </row>
        <row r="126">
          <cell r="A126" t="str">
            <v>Boquilla terminal EMT de 1-1/2"</v>
          </cell>
        </row>
        <row r="127">
          <cell r="A127" t="str">
            <v>Boquilla terminal EMT de 3/4"</v>
          </cell>
        </row>
        <row r="128">
          <cell r="A128" t="str">
            <v>Boquilla terminal PVC de 1"</v>
          </cell>
        </row>
        <row r="129">
          <cell r="A129" t="str">
            <v>Boquilla terminal PVC de 1/2"</v>
          </cell>
        </row>
        <row r="130">
          <cell r="A130" t="str">
            <v>Boquilla terminal PVC de 1-1/2"</v>
          </cell>
        </row>
        <row r="131">
          <cell r="A131" t="str">
            <v>Boquilla terminal PVC de 3/4"</v>
          </cell>
        </row>
        <row r="132">
          <cell r="A132" t="str">
            <v>Brazo para luminaria en poste</v>
          </cell>
        </row>
        <row r="133">
          <cell r="A133" t="str">
            <v>Breaker de riel bipolar  2 x 100A</v>
          </cell>
        </row>
        <row r="134">
          <cell r="A134" t="str">
            <v>Broca para concreto 1/2"</v>
          </cell>
        </row>
        <row r="135">
          <cell r="A135" t="str">
            <v>Broca para concreto 1/4"</v>
          </cell>
        </row>
        <row r="136">
          <cell r="A136" t="str">
            <v>Buje roscado  1" x 1 1/4"  PVC - Presión</v>
          </cell>
        </row>
        <row r="137">
          <cell r="A137" t="str">
            <v>Buje roscado  1" x 3/4"  PVC - Presión</v>
          </cell>
        </row>
        <row r="138">
          <cell r="A138" t="str">
            <v>Buje roscado  3/4" x 1/2" PVC - Presión</v>
          </cell>
        </row>
        <row r="139">
          <cell r="A139" t="str">
            <v>Caballete para cubierta bioclimatica, en acero y foil de aluminio de 0,70 x 2 mts</v>
          </cell>
        </row>
        <row r="140">
          <cell r="A140" t="str">
            <v>Cable ACSR 1/0</v>
          </cell>
        </row>
        <row r="141">
          <cell r="A141" t="str">
            <v>Cable ACSR 2/0</v>
          </cell>
        </row>
        <row r="142">
          <cell r="A142" t="str">
            <v>Cable antifraude 1x8+8</v>
          </cell>
        </row>
        <row r="143">
          <cell r="A143" t="str">
            <v>Cable antifraude 2x4+4</v>
          </cell>
        </row>
        <row r="144">
          <cell r="A144" t="str">
            <v>Cable antifraude 2x6+6</v>
          </cell>
        </row>
        <row r="145">
          <cell r="A145" t="str">
            <v>Cable antifraude 2x8+8</v>
          </cell>
        </row>
        <row r="146">
          <cell r="A146" t="str">
            <v>Cable antifraude 3x4+6</v>
          </cell>
        </row>
        <row r="147">
          <cell r="A147" t="str">
            <v>Cable antifraude 3x6+8</v>
          </cell>
        </row>
        <row r="148">
          <cell r="A148" t="str">
            <v>Cable antifraude 3x8+10</v>
          </cell>
        </row>
        <row r="149">
          <cell r="A149" t="str">
            <v>Cable de cobre No 2</v>
          </cell>
        </row>
        <row r="150">
          <cell r="A150" t="str">
            <v>Cable de cobre No 4</v>
          </cell>
        </row>
        <row r="151">
          <cell r="A151" t="str">
            <v>Cable de cobre No 6</v>
          </cell>
        </row>
        <row r="152">
          <cell r="A152" t="str">
            <v>Cable de cobre No 8</v>
          </cell>
        </row>
        <row r="153">
          <cell r="A153" t="str">
            <v xml:space="preserve">Cadena galvanizada 3/8" </v>
          </cell>
        </row>
        <row r="154">
          <cell r="A154" t="str">
            <v>Caja 2400</v>
          </cell>
        </row>
        <row r="155">
          <cell r="A155" t="str">
            <v>Caja 5800</v>
          </cell>
        </row>
        <row r="156">
          <cell r="A156" t="str">
            <v>Caja de un medidor Agua</v>
          </cell>
        </row>
        <row r="157">
          <cell r="A157" t="str">
            <v>Caja en mampostería de 30x30x30</v>
          </cell>
        </row>
        <row r="158">
          <cell r="A158" t="str">
            <v>Caja en mampostería doble</v>
          </cell>
        </row>
        <row r="159">
          <cell r="A159" t="str">
            <v>Caja en mampostería sencilla</v>
          </cell>
        </row>
        <row r="160">
          <cell r="A160" t="str">
            <v>Caja en mampostería tipo A.P.</v>
          </cell>
        </row>
        <row r="161">
          <cell r="A161" t="str">
            <v>Caja octagonal</v>
          </cell>
        </row>
        <row r="162">
          <cell r="A162" t="str">
            <v>Caja para 2 circuitos monofásica</v>
          </cell>
        </row>
        <row r="163">
          <cell r="A163" t="str">
            <v>Caja para 3 circuitos monofásica</v>
          </cell>
        </row>
        <row r="164">
          <cell r="A164" t="str">
            <v>Caja para 4 circuitos monofásica</v>
          </cell>
        </row>
        <row r="165">
          <cell r="A165" t="str">
            <v>Caja para 6 circuitos monofásica</v>
          </cell>
        </row>
        <row r="166">
          <cell r="A166" t="str">
            <v>Caja para 9 circuitos bifásica</v>
          </cell>
        </row>
        <row r="167">
          <cell r="A167" t="str">
            <v>Caja para contador energia</v>
          </cell>
        </row>
        <row r="168">
          <cell r="A168" t="str">
            <v>Caja para contador medición indirecta</v>
          </cell>
        </row>
        <row r="169">
          <cell r="A169" t="str">
            <v>Caja tapa registro europa de 15 x 15 blanca</v>
          </cell>
        </row>
        <row r="170">
          <cell r="A170" t="str">
            <v>Calado en concreto prefabricado de 0,40 x 0,40 x 0,20 mts (según diseño arquitectónico)</v>
          </cell>
        </row>
        <row r="171">
          <cell r="A171" t="str">
            <v>Canal PVC  Tipo Amazonas</v>
          </cell>
        </row>
        <row r="172">
          <cell r="A172" t="str">
            <v>Canaleta .8  L=2.40</v>
          </cell>
        </row>
        <row r="173">
          <cell r="A173" t="str">
            <v>Canaleta Metal C/Divis.10 x 4</v>
          </cell>
        </row>
        <row r="174">
          <cell r="A174" t="str">
            <v>Capacete 1"</v>
          </cell>
        </row>
        <row r="175">
          <cell r="A175" t="str">
            <v>Capacete 1-1/2"</v>
          </cell>
        </row>
        <row r="176">
          <cell r="A176" t="str">
            <v>Capacete 3/4"</v>
          </cell>
        </row>
        <row r="177">
          <cell r="A177" t="str">
            <v>Capacete de 1 1/2"</v>
          </cell>
        </row>
        <row r="178">
          <cell r="A178" t="str">
            <v>Capacete de 1 1/4"</v>
          </cell>
        </row>
        <row r="179">
          <cell r="A179" t="str">
            <v>Caseton de E = 0,52 m</v>
          </cell>
        </row>
        <row r="180">
          <cell r="A180" t="str">
            <v>Caseton de E = 0.40 m</v>
          </cell>
        </row>
        <row r="181">
          <cell r="A181" t="str">
            <v>Caseton de E = 0.42 m</v>
          </cell>
        </row>
        <row r="182">
          <cell r="A182" t="str">
            <v>Caseton de E = 0.45 m</v>
          </cell>
        </row>
        <row r="183">
          <cell r="A183" t="str">
            <v xml:space="preserve">Cemento blanco </v>
          </cell>
        </row>
        <row r="184">
          <cell r="A184" t="str">
            <v xml:space="preserve">Cemento gris </v>
          </cell>
        </row>
        <row r="185">
          <cell r="A185" t="str">
            <v>Cerco ordinario 3M</v>
          </cell>
        </row>
        <row r="186">
          <cell r="A186" t="str">
            <v>Cerradura de alcoba en poma metálica</v>
          </cell>
        </row>
        <row r="187">
          <cell r="A187" t="str">
            <v>Cerradura Gato doble cerrojo/210400</v>
          </cell>
        </row>
        <row r="188">
          <cell r="A188" t="str">
            <v>Cerradura Inafer C-998 Madera</v>
          </cell>
        </row>
        <row r="189">
          <cell r="A189" t="str">
            <v>Cerradura puerta discapacitados 63 AA - F30 B A &amp; A</v>
          </cell>
        </row>
        <row r="190">
          <cell r="A190" t="str">
            <v xml:space="preserve">Cerradura Schlage, cilindrica de manija Jupiter cromada mate Ref. </v>
          </cell>
        </row>
        <row r="191">
          <cell r="A191" t="str">
            <v>Cerradura Shlage Ref A30D - terraza, Georgia</v>
          </cell>
        </row>
        <row r="192">
          <cell r="A192" t="str">
            <v>Cerradura Shlage Ref B362 Doble cilindro</v>
          </cell>
        </row>
        <row r="193">
          <cell r="A193" t="str">
            <v>Cerradura YALE 170 1/4</v>
          </cell>
        </row>
        <row r="194">
          <cell r="A194" t="str">
            <v>Cerradura YALE doble pasador 987-1 1/4</v>
          </cell>
        </row>
        <row r="195">
          <cell r="A195" t="str">
            <v>Cesped - especie nativa</v>
          </cell>
        </row>
        <row r="196">
          <cell r="A196" t="str">
            <v xml:space="preserve">Chazo p/tornillo </v>
          </cell>
        </row>
        <row r="197">
          <cell r="A197" t="str">
            <v>Cheque red white roscado  3/4"; incluye accesorios</v>
          </cell>
        </row>
        <row r="198">
          <cell r="A198" t="str">
            <v>Cheque red white roscado de   1/2"; incluye accesorios</v>
          </cell>
        </row>
        <row r="199">
          <cell r="A199" t="str">
            <v>Cheque red white roscado de 1"; incluye accesorios</v>
          </cell>
        </row>
        <row r="200">
          <cell r="A200" t="str">
            <v>Cinta aislante</v>
          </cell>
        </row>
        <row r="201">
          <cell r="A201" t="str">
            <v>Cinta peligro</v>
          </cell>
        </row>
        <row r="202">
          <cell r="A202" t="str">
            <v xml:space="preserve">Cinta Teflón </v>
          </cell>
        </row>
        <row r="203">
          <cell r="A203" t="str">
            <v>Clavija de caucho 3 polos aérea</v>
          </cell>
        </row>
        <row r="204">
          <cell r="A204" t="str">
            <v>CLORO DESINFECTANTE</v>
          </cell>
        </row>
        <row r="205">
          <cell r="A205" t="str">
            <v>Codo 90º  CxC Sanitario 2"</v>
          </cell>
        </row>
        <row r="206">
          <cell r="A206" t="str">
            <v>Codo 90º  CxC Sanitario 3"</v>
          </cell>
        </row>
        <row r="207">
          <cell r="A207" t="str">
            <v>Codo 90º  CxC Sanitario 4"</v>
          </cell>
        </row>
        <row r="208">
          <cell r="A208" t="str">
            <v>Codo 90º 1/4 CxC 3"</v>
          </cell>
        </row>
        <row r="209">
          <cell r="A209" t="str">
            <v>Codo 90º 1/4 CxC 4"</v>
          </cell>
        </row>
        <row r="210">
          <cell r="A210" t="str">
            <v>Codo 90º Pres.PVC 1 1/2"</v>
          </cell>
        </row>
        <row r="211">
          <cell r="A211" t="str">
            <v>Codo 90º Pres.PVC 1"</v>
          </cell>
        </row>
        <row r="212">
          <cell r="A212" t="str">
            <v>Codo 90º Pres.PVC 1/2"</v>
          </cell>
        </row>
        <row r="213">
          <cell r="A213" t="str">
            <v>Codo 90º Pres.PVC 2"</v>
          </cell>
        </row>
        <row r="214">
          <cell r="A214" t="str">
            <v>Codo 90º Pres.PVC 3/4"</v>
          </cell>
        </row>
        <row r="215">
          <cell r="A215" t="str">
            <v>Codo bajante 90º PVC rectangular</v>
          </cell>
        </row>
        <row r="216">
          <cell r="A216" t="str">
            <v>Codo H.G: 1"</v>
          </cell>
        </row>
        <row r="217">
          <cell r="A217" t="str">
            <v>Codo H.G: 1. 1/2"</v>
          </cell>
        </row>
        <row r="218">
          <cell r="A218" t="str">
            <v>Codo H.G: 1/2"</v>
          </cell>
        </row>
        <row r="219">
          <cell r="A219" t="str">
            <v>Codo PVC-P 1/2"</v>
          </cell>
        </row>
        <row r="220">
          <cell r="A220" t="str">
            <v>Codo PVC-P 3/4"</v>
          </cell>
        </row>
        <row r="221">
          <cell r="A221" t="str">
            <v>Codo PVC-S  22,5º</v>
          </cell>
        </row>
        <row r="222">
          <cell r="A222" t="str">
            <v>Concreto de 2,000 p.s.i.</v>
          </cell>
        </row>
        <row r="223">
          <cell r="A223" t="str">
            <v>Concreto de 2,500 p.s.i.</v>
          </cell>
        </row>
        <row r="224">
          <cell r="A224" t="str">
            <v>Concreto de 3,000 p.s.i.</v>
          </cell>
        </row>
        <row r="225">
          <cell r="A225" t="str">
            <v>Concreto de 3,000 p.s.i., premezclado y  bombeado</v>
          </cell>
        </row>
        <row r="226">
          <cell r="A226" t="str">
            <v>Concreto de 3,500 p.s.i.</v>
          </cell>
        </row>
        <row r="227">
          <cell r="A227" t="str">
            <v>Concreto de 4,000 p.s.i.</v>
          </cell>
        </row>
        <row r="228">
          <cell r="A228" t="str">
            <v>Conector para varilla cooper weld</v>
          </cell>
        </row>
        <row r="229">
          <cell r="A229" t="str">
            <v>Contador electrónico bifásico</v>
          </cell>
        </row>
        <row r="230">
          <cell r="A230" t="str">
            <v>Contador electrónico Trifásico</v>
          </cell>
        </row>
        <row r="231">
          <cell r="A231" t="str">
            <v>Coraza PVC de 1/2"</v>
          </cell>
        </row>
        <row r="232">
          <cell r="A232" t="str">
            <v>Cortacircuito de cañuela</v>
          </cell>
        </row>
        <row r="233">
          <cell r="A233" t="str">
            <v>Cortafrío</v>
          </cell>
        </row>
        <row r="234">
          <cell r="A234" t="str">
            <v>Cruceta de 1.50</v>
          </cell>
        </row>
        <row r="235">
          <cell r="A235" t="str">
            <v>Curva conduit PVC 1"</v>
          </cell>
        </row>
        <row r="236">
          <cell r="A236" t="str">
            <v>Curva conduit PVC 1/2"</v>
          </cell>
        </row>
        <row r="237">
          <cell r="A237" t="str">
            <v>Curva conduit PVC 1-1/2"</v>
          </cell>
        </row>
        <row r="238">
          <cell r="A238" t="str">
            <v>Curva conduit PVC 3/4"</v>
          </cell>
        </row>
        <row r="239">
          <cell r="A239" t="str">
            <v>Curva galvanizada de 1 1/2"</v>
          </cell>
        </row>
        <row r="240">
          <cell r="A240" t="str">
            <v>Curva galvanizada de 1 1/4"</v>
          </cell>
        </row>
        <row r="241">
          <cell r="A241" t="str">
            <v>Curva galvanizada de 1"</v>
          </cell>
        </row>
        <row r="242">
          <cell r="A242" t="str">
            <v>Derivación luminaria con empalme y cable encauchetado</v>
          </cell>
        </row>
        <row r="243">
          <cell r="A243" t="str">
            <v>Desagüe automatico lavamanos</v>
          </cell>
        </row>
        <row r="244">
          <cell r="A244" t="str">
            <v>Detergentes, ácidos</v>
          </cell>
        </row>
        <row r="245">
          <cell r="A245" t="str">
            <v>Diagonal</v>
          </cell>
        </row>
        <row r="246">
          <cell r="A246" t="str">
            <v>Disolvente Thinner</v>
          </cell>
        </row>
        <row r="247">
          <cell r="A247" t="str">
            <v>Divisor Ref ALN - 546</v>
          </cell>
        </row>
        <row r="248">
          <cell r="A248" t="str">
            <v>Domo acrílico</v>
          </cell>
        </row>
        <row r="249">
          <cell r="A249" t="str">
            <v xml:space="preserve">Ducha  sencilla incluye accesorios </v>
          </cell>
        </row>
        <row r="250">
          <cell r="A250" t="str">
            <v>Durmiente abarco 4M</v>
          </cell>
        </row>
        <row r="251">
          <cell r="A251" t="str">
            <v>Durmiente ordinario 3 m</v>
          </cell>
        </row>
        <row r="252">
          <cell r="A252" t="str">
            <v>Empaque Triangular Caucho</v>
          </cell>
        </row>
        <row r="253">
          <cell r="A253" t="str">
            <v>Encauchetado 3x14</v>
          </cell>
        </row>
        <row r="254">
          <cell r="A254" t="str">
            <v>Enchape de mesón en madera Cedro</v>
          </cell>
        </row>
        <row r="255">
          <cell r="A255" t="str">
            <v>Encofroil MET- Desmoldante Cast Off</v>
          </cell>
        </row>
        <row r="256">
          <cell r="A256" t="str">
            <v>Escuadra metálica para anclaje</v>
          </cell>
        </row>
        <row r="257">
          <cell r="A257" t="str">
            <v>Esfumado 20,5 x 20,5</v>
          </cell>
        </row>
        <row r="258">
          <cell r="A258" t="str">
            <v>Esmalte epoxico Epoxibler 2 componentes</v>
          </cell>
        </row>
        <row r="259">
          <cell r="A259" t="str">
            <v>Esmalte mate supersintético</v>
          </cell>
        </row>
        <row r="260">
          <cell r="A260" t="str">
            <v>Esmalte sintético para señalización</v>
          </cell>
        </row>
        <row r="261">
          <cell r="A261" t="str">
            <v>Esmalte sintético Pintulux</v>
          </cell>
        </row>
        <row r="262">
          <cell r="A262" t="str">
            <v>Esmalte sobre reja</v>
          </cell>
        </row>
        <row r="263">
          <cell r="A263" t="str">
            <v>Espárrago para anclaje</v>
          </cell>
        </row>
        <row r="264">
          <cell r="A264" t="str">
            <v>Espejo biselado de 4 mm</v>
          </cell>
        </row>
        <row r="265">
          <cell r="A265" t="str">
            <v>Estaca madera para replanteo</v>
          </cell>
        </row>
        <row r="266">
          <cell r="A266" t="str">
            <v xml:space="preserve">Estuco </v>
          </cell>
        </row>
        <row r="267">
          <cell r="A267" t="str">
            <v xml:space="preserve">Falleba </v>
          </cell>
        </row>
        <row r="268">
          <cell r="A268" t="str">
            <v>Falleba con portacandado</v>
          </cell>
        </row>
        <row r="269">
          <cell r="A269" t="str">
            <v>Flotador 3/4 plg - bronce, incluye accesorios</v>
          </cell>
        </row>
        <row r="270">
          <cell r="A270" t="str">
            <v>Flotador mecánico 1" Incluye accesorios</v>
          </cell>
        </row>
        <row r="271">
          <cell r="A271" t="str">
            <v>Fluorescente 2x32 bajo consumo</v>
          </cell>
        </row>
        <row r="272">
          <cell r="A272" t="str">
            <v>Fotocelda para luminaria en poste</v>
          </cell>
        </row>
        <row r="273">
          <cell r="A273" t="str">
            <v xml:space="preserve">Gancho galvanizado con platina </v>
          </cell>
        </row>
        <row r="274">
          <cell r="A274" t="str">
            <v>Gancho para canaleta 90 madera</v>
          </cell>
        </row>
        <row r="275">
          <cell r="A275" t="str">
            <v>Gancho teja eternit 150mm</v>
          </cell>
        </row>
        <row r="276">
          <cell r="A276" t="str">
            <v>Gancho teja eternit 55mm</v>
          </cell>
        </row>
        <row r="277">
          <cell r="A277" t="str">
            <v>Gancho Tensor GalvanizadoTipo comercial 5/16 x 4 1/4"</v>
          </cell>
        </row>
        <row r="278">
          <cell r="A278" t="str">
            <v>Geotextil NT 1600</v>
          </cell>
        </row>
        <row r="279">
          <cell r="A279" t="str">
            <v>Geotextil Tejido 1700</v>
          </cell>
        </row>
        <row r="280">
          <cell r="A280" t="str">
            <v>Grafil 6 mm</v>
          </cell>
        </row>
        <row r="281">
          <cell r="A281" t="str">
            <v>Grafil 8 mm</v>
          </cell>
        </row>
        <row r="282">
          <cell r="A282" t="str">
            <v>Granito No.2</v>
          </cell>
        </row>
        <row r="283">
          <cell r="A283" t="str">
            <v>Granito Pulido para mesones</v>
          </cell>
        </row>
        <row r="284">
          <cell r="A284" t="str">
            <v>Gravilla de rio (viaje 5 m3)</v>
          </cell>
        </row>
        <row r="285">
          <cell r="A285" t="str">
            <v>Gravilla mona Nº 2</v>
          </cell>
        </row>
        <row r="286">
          <cell r="A286" t="str">
            <v>Griferia Lavaplatos sencilla metal cromo</v>
          </cell>
        </row>
        <row r="287">
          <cell r="A287" t="str">
            <v>Grúa</v>
          </cell>
        </row>
        <row r="288">
          <cell r="A288" t="str">
            <v>Guardaescoba granito  7 X 33</v>
          </cell>
        </row>
        <row r="289">
          <cell r="A289" t="str">
            <v>Guardaescoba granito pulido media caña; tipo alfa</v>
          </cell>
        </row>
        <row r="290">
          <cell r="A290" t="str">
            <v>Guaya 1/8"</v>
          </cell>
        </row>
        <row r="291">
          <cell r="A291" t="str">
            <v>Hebilla bandit 3/8"</v>
          </cell>
        </row>
        <row r="292">
          <cell r="A292" t="str">
            <v>Hidrosello Canal Amazonas</v>
          </cell>
        </row>
        <row r="293">
          <cell r="A293" t="str">
            <v>Hierro cuadrado 9 mm</v>
          </cell>
        </row>
        <row r="294">
          <cell r="A294" t="str">
            <v>Hoja puerta triplex 0,81</v>
          </cell>
        </row>
        <row r="295">
          <cell r="A295" t="str">
            <v>Hoja puerta triplex 4mm.(2x1). Entamborada. Estructura ancho=0.10 m., espesor 4cm.</v>
          </cell>
        </row>
        <row r="296">
          <cell r="A296" t="str">
            <v>Icopor</v>
          </cell>
        </row>
        <row r="297">
          <cell r="A297" t="str">
            <v>Instalación Acometidad Sanitaria - Baños inc Mat.</v>
          </cell>
        </row>
        <row r="298">
          <cell r="A298" t="str">
            <v>Interruptor doble</v>
          </cell>
        </row>
        <row r="299">
          <cell r="A299" t="str">
            <v>Interruptor sencillo</v>
          </cell>
        </row>
        <row r="300">
          <cell r="A300" t="str">
            <v>Interruptor sencillo + tomacorriente con polo a tierra</v>
          </cell>
        </row>
        <row r="301">
          <cell r="A301" t="str">
            <v>Interruptor triple</v>
          </cell>
        </row>
        <row r="302">
          <cell r="A302" t="str">
            <v>Juego conx. Tanque</v>
          </cell>
        </row>
        <row r="303">
          <cell r="A303" t="str">
            <v>Ladrillo prensado Santa Fe</v>
          </cell>
        </row>
        <row r="304">
          <cell r="A304" t="str">
            <v>Ladrillo rejilla</v>
          </cell>
        </row>
        <row r="305">
          <cell r="A305" t="str">
            <v>Ladrillo tolete común</v>
          </cell>
        </row>
        <row r="306">
          <cell r="A306" t="str">
            <v>Ladrillo tolete estructural, color según especificaciones arquitectónicas, propias del proyecto (visto 2 caras)</v>
          </cell>
        </row>
        <row r="307">
          <cell r="A307" t="str">
            <v>Ladrillo tolete recocido</v>
          </cell>
        </row>
        <row r="308">
          <cell r="A308" t="str">
            <v>Lamina Cold-Rolled Cal. 18 - M2</v>
          </cell>
        </row>
        <row r="309">
          <cell r="A309" t="str">
            <v>Lamina Cold-Rolled Cal. 20</v>
          </cell>
        </row>
        <row r="310">
          <cell r="A310" t="str">
            <v>Lamina Cold-Rolled Cal.18  1,2 x 2,4 m</v>
          </cell>
        </row>
        <row r="311">
          <cell r="A311" t="str">
            <v>Lámina galvanizada Cal 18</v>
          </cell>
        </row>
        <row r="312">
          <cell r="A312" t="str">
            <v>Lamina galvanizada cal.20</v>
          </cell>
        </row>
        <row r="313">
          <cell r="A313" t="str">
            <v>Lámina lisa Aluminio e=3mm</v>
          </cell>
        </row>
        <row r="314">
          <cell r="A314" t="str">
            <v>Lámpara fluorescente 2 x 32 - T 8</v>
          </cell>
        </row>
        <row r="315">
          <cell r="A315" t="str">
            <v xml:space="preserve">Lámpara Fluorescente 2 x 48" </v>
          </cell>
        </row>
        <row r="316">
          <cell r="A316" t="str">
            <v>Lavamanos  de colgar blanco</v>
          </cell>
        </row>
        <row r="317">
          <cell r="A317" t="str">
            <v>Lavamanos de sobreponer blanco</v>
          </cell>
        </row>
        <row r="318">
          <cell r="A318" t="str">
            <v>Lavaplatos de empotrar acero inoxidable 35x50</v>
          </cell>
        </row>
        <row r="319">
          <cell r="A319" t="str">
            <v>Limpiador PVC 1/8</v>
          </cell>
        </row>
        <row r="320">
          <cell r="A320" t="str">
            <v>Llave individual para lavamanos</v>
          </cell>
        </row>
        <row r="321">
          <cell r="A321" t="str">
            <v>Llave terminal 1/2" - cromada , incluye adaptadores</v>
          </cell>
        </row>
        <row r="322">
          <cell r="A322" t="str">
            <v>Lona Verde</v>
          </cell>
        </row>
        <row r="323">
          <cell r="A323" t="str">
            <v>Lubricante de silicona Canal y Bajante Amazonas</v>
          </cell>
        </row>
        <row r="324">
          <cell r="A324" t="str">
            <v>Luminaria de sodio cerrada 125W 208W</v>
          </cell>
        </row>
        <row r="325">
          <cell r="A325" t="str">
            <v>Luminaria de sodio cerrada 70W 208W</v>
          </cell>
        </row>
        <row r="326">
          <cell r="A326" t="str">
            <v>Malla con vena</v>
          </cell>
        </row>
        <row r="327">
          <cell r="A327" t="str">
            <v>Malla electrosoldada D 4 x 4 mm y Separación 15 x 25 cm</v>
          </cell>
        </row>
        <row r="328">
          <cell r="A328" t="str">
            <v>Malla Eslabonada galvanizada Cal 12 huecos de 1/12 x  1/2 plg</v>
          </cell>
        </row>
        <row r="329">
          <cell r="A329" t="str">
            <v>Malla para gaviones</v>
          </cell>
        </row>
        <row r="330">
          <cell r="A330" t="str">
            <v>Malla tipo gallinero</v>
          </cell>
        </row>
        <row r="331">
          <cell r="A331" t="str">
            <v xml:space="preserve">Mallas electrosoldadas </v>
          </cell>
        </row>
        <row r="332">
          <cell r="A332" t="str">
            <v>Manija</v>
          </cell>
        </row>
        <row r="333">
          <cell r="A333" t="str">
            <v xml:space="preserve">Manija para ventana de aluminio </v>
          </cell>
        </row>
        <row r="334">
          <cell r="A334" t="str">
            <v>Maniobra de corte</v>
          </cell>
        </row>
        <row r="335">
          <cell r="A335" t="str">
            <v>Manto Asfaltico con foil de aluminio</v>
          </cell>
        </row>
        <row r="336">
          <cell r="A336" t="str">
            <v>Marco para caja doble</v>
          </cell>
        </row>
        <row r="337">
          <cell r="A337" t="str">
            <v>Marco para caja sencilla</v>
          </cell>
        </row>
        <row r="338">
          <cell r="A338" t="str">
            <v>Marco puerta de seguridad Cal.18</v>
          </cell>
        </row>
        <row r="339">
          <cell r="A339" t="str">
            <v>Marco puerta lámina 1.00. Lám.Cal.18</v>
          </cell>
        </row>
        <row r="340">
          <cell r="A340" t="str">
            <v>Marco puerta lámina Cold rolled Cal 18</v>
          </cell>
        </row>
        <row r="341">
          <cell r="A341" t="str">
            <v>Marco ventana</v>
          </cell>
        </row>
        <row r="342">
          <cell r="A342" t="str">
            <v>Marco y tapa para caja de inspección de  0,30 x 0,30 mts</v>
          </cell>
        </row>
        <row r="343">
          <cell r="A343" t="str">
            <v>Marco y tapa para cámara de inspección CS274</v>
          </cell>
        </row>
        <row r="344">
          <cell r="A344" t="str">
            <v>Marco y tapa para cámara de inspección CS275</v>
          </cell>
        </row>
        <row r="345">
          <cell r="A345" t="str">
            <v>Marmolina</v>
          </cell>
        </row>
        <row r="346">
          <cell r="A346" t="str">
            <v>Medidor de agua 1/2"</v>
          </cell>
        </row>
        <row r="347">
          <cell r="A347" t="str">
            <v>Medidor de luz Trifásico</v>
          </cell>
        </row>
        <row r="348">
          <cell r="A348" t="str">
            <v>Mesón acero inoxidable Cal.16. Dim.(0.60 x 0.85).</v>
          </cell>
        </row>
        <row r="349">
          <cell r="A349" t="str">
            <v>Mesón acero inoxidable Cal.16. Dim.(0.76 x 1.02).</v>
          </cell>
        </row>
        <row r="350">
          <cell r="A350" t="str">
            <v>Mesón acero inoxidable Cal.16. Dim.(0.90 x 2.95).</v>
          </cell>
        </row>
        <row r="351">
          <cell r="A351" t="str">
            <v>Mesón acero inoxidable Cal.16. Dim.(1.30 x 4.15).</v>
          </cell>
        </row>
        <row r="352">
          <cell r="A352" t="str">
            <v>Mortero 1:3</v>
          </cell>
        </row>
        <row r="353">
          <cell r="A353" t="str">
            <v>Mortero 1:3 impermeabilizado</v>
          </cell>
        </row>
        <row r="354">
          <cell r="A354" t="str">
            <v>Mortero 1:4</v>
          </cell>
        </row>
        <row r="355">
          <cell r="A355" t="str">
            <v>Mortero 1:4 impermeabilizado</v>
          </cell>
        </row>
        <row r="356">
          <cell r="A356" t="str">
            <v>Mortero 1:5</v>
          </cell>
        </row>
        <row r="357">
          <cell r="A357" t="str">
            <v>Mortero 1:7</v>
          </cell>
        </row>
        <row r="358">
          <cell r="A358" t="str">
            <v>Mortero de pega 1:4 e=1,5 cm</v>
          </cell>
        </row>
        <row r="359">
          <cell r="A359" t="str">
            <v xml:space="preserve">Mortero de relleno 1:4 </v>
          </cell>
        </row>
        <row r="360">
          <cell r="A360" t="str">
            <v>Multiamperímetro</v>
          </cell>
        </row>
        <row r="361">
          <cell r="A361" t="str">
            <v>Niple H.G. 1/2 " x 0,10 m</v>
          </cell>
        </row>
        <row r="362">
          <cell r="A362" t="str">
            <v>Niple H.G. 1/2 " x 0,20 m</v>
          </cell>
        </row>
        <row r="363">
          <cell r="A363" t="str">
            <v>Orinal Mediano  blanco primera calidad,   incluye griferia tradicional cromo  tipo grival  o similar y accesorios</v>
          </cell>
        </row>
        <row r="364">
          <cell r="A364" t="str">
            <v>Pabmeril pliego</v>
          </cell>
        </row>
        <row r="365">
          <cell r="A365" t="str">
            <v>Paral de Madera 3m</v>
          </cell>
        </row>
        <row r="366">
          <cell r="A366" t="str">
            <v>Paral en tubo metalico seccion cuadra de 1 1/2" cal. 18</v>
          </cell>
        </row>
        <row r="367">
          <cell r="A367" t="str">
            <v>Pararayos</v>
          </cell>
        </row>
        <row r="368">
          <cell r="A368" t="str">
            <v>Pegacor blanco</v>
          </cell>
        </row>
        <row r="369">
          <cell r="A369" t="str">
            <v xml:space="preserve">Peinazo </v>
          </cell>
        </row>
        <row r="370">
          <cell r="A370" t="str">
            <v>Percha de 2 puestos BT</v>
          </cell>
        </row>
        <row r="371">
          <cell r="A371" t="str">
            <v>Percha de 3 puestos BT</v>
          </cell>
        </row>
        <row r="372">
          <cell r="A372" t="str">
            <v>Percha de 4 puestos BT</v>
          </cell>
        </row>
        <row r="373">
          <cell r="A373" t="str">
            <v>Percha galvanizada de 1 puesto</v>
          </cell>
        </row>
        <row r="374">
          <cell r="A374" t="str">
            <v>Perfil ALN 1101</v>
          </cell>
        </row>
        <row r="375">
          <cell r="A375" t="str">
            <v>Perfil ALN 1102</v>
          </cell>
        </row>
        <row r="376">
          <cell r="A376" t="str">
            <v>Perfil ALN 167</v>
          </cell>
        </row>
        <row r="377">
          <cell r="A377" t="str">
            <v>Perfil ALN 173</v>
          </cell>
        </row>
        <row r="378">
          <cell r="A378" t="str">
            <v>Perfil ALN 174</v>
          </cell>
        </row>
        <row r="379">
          <cell r="A379" t="str">
            <v>Perfil ALN 175</v>
          </cell>
        </row>
        <row r="380">
          <cell r="A380" t="str">
            <v>Perfil ALN 176</v>
          </cell>
        </row>
        <row r="381">
          <cell r="A381" t="str">
            <v>Perfil ALN 177</v>
          </cell>
        </row>
        <row r="382">
          <cell r="A382" t="str">
            <v>Perfil ALN 219</v>
          </cell>
        </row>
        <row r="383">
          <cell r="A383" t="str">
            <v>Perfil ALN 292</v>
          </cell>
        </row>
        <row r="384">
          <cell r="A384" t="str">
            <v>Perfil ALN 312</v>
          </cell>
        </row>
        <row r="385">
          <cell r="A385" t="str">
            <v>Perfil ALN 313</v>
          </cell>
        </row>
        <row r="386">
          <cell r="A386" t="str">
            <v>Perfil ALN 314</v>
          </cell>
        </row>
        <row r="387">
          <cell r="A387" t="str">
            <v>Perfil ALN 315</v>
          </cell>
        </row>
        <row r="388">
          <cell r="A388" t="str">
            <v>Perfil ALN 682</v>
          </cell>
        </row>
        <row r="389">
          <cell r="A389" t="str">
            <v>Perfil ALN 876</v>
          </cell>
        </row>
        <row r="390">
          <cell r="A390" t="str">
            <v>Perfil ALN 877</v>
          </cell>
        </row>
        <row r="391">
          <cell r="A391" t="str">
            <v>Perfil ALN 879</v>
          </cell>
        </row>
        <row r="392">
          <cell r="A392" t="str">
            <v>Perfil ALN 937</v>
          </cell>
        </row>
        <row r="393">
          <cell r="A393" t="str">
            <v>Perfil ALN-545</v>
          </cell>
        </row>
        <row r="394">
          <cell r="A394" t="str">
            <v>Perfil aluminio T094 de 3 x 1" (72 X 21 mm)</v>
          </cell>
        </row>
        <row r="395">
          <cell r="A395" t="str">
            <v>Perfil aluminio tubular 3 x 1" x 1/2"  T-095 - 1 aleta</v>
          </cell>
        </row>
        <row r="396">
          <cell r="A396" t="str">
            <v>Perfil aluminio tubular con aletas cuad. 1" doble aleta divisor  T-078.</v>
          </cell>
        </row>
        <row r="397">
          <cell r="A397" t="str">
            <v>Perfil ASTM A 500 grado C 60 x 40 x 2 MM</v>
          </cell>
        </row>
        <row r="398">
          <cell r="A398" t="str">
            <v>Perfil en aluminio 1/2" x 1/2"</v>
          </cell>
        </row>
        <row r="399">
          <cell r="A399" t="str">
            <v>Perfil para cubierta PHR C</v>
          </cell>
        </row>
        <row r="400">
          <cell r="A400" t="str">
            <v>Perfil PHR - PAG 160 X 60 - 1,5 MM</v>
          </cell>
        </row>
        <row r="401">
          <cell r="A401" t="str">
            <v>Perfil PHR C - 220 x 80  2,5 mm</v>
          </cell>
        </row>
        <row r="402">
          <cell r="A402" t="str">
            <v>Perfil T04</v>
          </cell>
        </row>
        <row r="403">
          <cell r="A403" t="str">
            <v>Perno 1/2" Alt.Vel..1 3/4"</v>
          </cell>
        </row>
        <row r="404">
          <cell r="A404" t="str">
            <v>Perno de expansión 3" x 3/8"</v>
          </cell>
        </row>
        <row r="405">
          <cell r="A405" t="str">
            <v>Pernos</v>
          </cell>
        </row>
        <row r="406">
          <cell r="A406" t="str">
            <v>Pernos 3x8"</v>
          </cell>
        </row>
        <row r="407">
          <cell r="A407" t="str">
            <v>Perros de 1/8"</v>
          </cell>
        </row>
        <row r="408">
          <cell r="A408" t="str">
            <v>Piedra media zonga</v>
          </cell>
        </row>
        <row r="409">
          <cell r="A409" t="str">
            <v>Pintura Koraza plastica</v>
          </cell>
        </row>
        <row r="410">
          <cell r="A410" t="str">
            <v xml:space="preserve">Pintura Wash Primer </v>
          </cell>
        </row>
        <row r="411">
          <cell r="A411" t="str">
            <v>Pirlan en madera para dilatación</v>
          </cell>
        </row>
        <row r="412">
          <cell r="A412" t="str">
            <v>Pisavidrio Ref ALN - 544</v>
          </cell>
        </row>
        <row r="413">
          <cell r="A413" t="str">
            <v>Pivote puerta metálica</v>
          </cell>
        </row>
        <row r="414">
          <cell r="A414" t="str">
            <v>Planchón - cedro macho (.15 x .04 x 3)</v>
          </cell>
        </row>
        <row r="415">
          <cell r="A415" t="str">
            <v>Planchón ordinario 4 metros</v>
          </cell>
        </row>
        <row r="416">
          <cell r="A416" t="str">
            <v>Platina  de 0,12 x 0,12 x 1/16" perforada</v>
          </cell>
        </row>
        <row r="417">
          <cell r="A417" t="str">
            <v>Platina 1 1/2"x 3/16</v>
          </cell>
        </row>
        <row r="418">
          <cell r="A418" t="str">
            <v>Platina 1"x 3/16"</v>
          </cell>
        </row>
        <row r="419">
          <cell r="A419" t="str">
            <v>Platina 3/16" de 0,06 x 0,13 mts</v>
          </cell>
        </row>
        <row r="420">
          <cell r="A420" t="str">
            <v>Platina anclaje muro de 0,12x0,12x1/16"</v>
          </cell>
        </row>
        <row r="421">
          <cell r="A421" t="str">
            <v>Platina para soporte abrazadera en U</v>
          </cell>
        </row>
        <row r="422">
          <cell r="A422" t="str">
            <v>Poceta para laboratorios en acero inoxidable de 0,50 x 0,35 mts. De empotrar con un hueco</v>
          </cell>
        </row>
        <row r="423">
          <cell r="A423" t="str">
            <v>Polietileno Cal 6</v>
          </cell>
        </row>
        <row r="424">
          <cell r="A424" t="str">
            <v xml:space="preserve">Portacandado </v>
          </cell>
        </row>
        <row r="425">
          <cell r="A425" t="str">
            <v>Poste en concreto de 10 metros 510 kl</v>
          </cell>
        </row>
        <row r="426">
          <cell r="A426" t="str">
            <v>Poste en concreto de 10 metros 750 kl</v>
          </cell>
        </row>
        <row r="427">
          <cell r="A427" t="str">
            <v>Poste en concreto de 12 metros 1050 kl</v>
          </cell>
        </row>
        <row r="428">
          <cell r="A428" t="str">
            <v>Poste en concreto de 12 metros 510 kl</v>
          </cell>
        </row>
        <row r="429">
          <cell r="A429" t="str">
            <v>Poste en concreto de 12 metros 750 kl</v>
          </cell>
        </row>
        <row r="430">
          <cell r="A430" t="str">
            <v>Poste en concreto de 8 metros Tipo AP</v>
          </cell>
        </row>
        <row r="431">
          <cell r="A431" t="str">
            <v>Pretales</v>
          </cell>
        </row>
        <row r="432">
          <cell r="A432" t="str">
            <v>Protector escalera (pirlan en bronce angosto)</v>
          </cell>
        </row>
        <row r="433">
          <cell r="A433" t="str">
            <v>Puentes de empalme</v>
          </cell>
        </row>
        <row r="434">
          <cell r="A434" t="str">
            <v>Puerta  Baños y duchas, en aluminio y lámina galvanizada Anolok</v>
          </cell>
        </row>
        <row r="435">
          <cell r="A435" t="str">
            <v xml:space="preserve">Puerta  para ducha, en vidrio,  incoloro, templado, de e = 6 mm, incluye herrajes y accesorios de h = 1,80 mts  y 0,65 mts </v>
          </cell>
        </row>
        <row r="436">
          <cell r="A436" t="str">
            <v>Puerta Baño Minusvalidos</v>
          </cell>
        </row>
        <row r="437">
          <cell r="A437" t="str">
            <v>Puerta económica Pizano 1.00. Triplex e=4mm.</v>
          </cell>
        </row>
        <row r="438">
          <cell r="A438" t="str">
            <v>Puerta sistema constructivo PVC de 0,62 x 1,60 m</v>
          </cell>
        </row>
        <row r="439">
          <cell r="A439" t="str">
            <v>Puntilla con cabeza 2"</v>
          </cell>
        </row>
        <row r="440">
          <cell r="A440" t="str">
            <v>Punto Agua fría PVC</v>
          </cell>
        </row>
        <row r="441">
          <cell r="A441" t="str">
            <v>Punto desagüe PVC 3" y  4"</v>
          </cell>
        </row>
        <row r="442">
          <cell r="A442" t="str">
            <v>Punto Eléctrico</v>
          </cell>
        </row>
        <row r="443">
          <cell r="A443" t="str">
            <v>Rajón, 4" a 15"</v>
          </cell>
        </row>
        <row r="444">
          <cell r="A444" t="str">
            <v xml:space="preserve">Recebo  </v>
          </cell>
        </row>
        <row r="445">
          <cell r="A445" t="str">
            <v>Recebo comun</v>
          </cell>
        </row>
        <row r="446">
          <cell r="A446" t="str">
            <v>Registro  de cortina R &amp; W 1 1/2" italiano; inlcuye accesorios</v>
          </cell>
        </row>
        <row r="447">
          <cell r="A447" t="str">
            <v>Registro de corte de 1/2"</v>
          </cell>
        </row>
        <row r="448">
          <cell r="A448" t="str">
            <v>Registro de cortina 1/2 R &amp; W italiano ; incluye accesorios</v>
          </cell>
        </row>
        <row r="449">
          <cell r="A449" t="str">
            <v>Registro de cortina R &amp; w 1 1/4" italiano; incluye accesorios</v>
          </cell>
        </row>
        <row r="450">
          <cell r="A450" t="str">
            <v>Registro de cortina R&amp;W italiano de   1"; incluye accesorios</v>
          </cell>
        </row>
        <row r="451">
          <cell r="A451" t="str">
            <v>Registro de cortina Roscado liviano  Ref. 272 A Red &amp; White 2"; incluye accesorios</v>
          </cell>
        </row>
        <row r="452">
          <cell r="A452" t="str">
            <v>Registro R&amp;W  de cortina de  3/4" italiano; inlcuye accesorios</v>
          </cell>
        </row>
        <row r="453">
          <cell r="A453" t="str">
            <v>Rejilla tragante  cupula aluminio 5x3"</v>
          </cell>
        </row>
        <row r="454">
          <cell r="A454" t="str">
            <v>Rejilla tragante  cupula aluminio 6x4"</v>
          </cell>
        </row>
        <row r="455">
          <cell r="A455" t="str">
            <v>Rejilla Ventilación plastica de 0,20 x 0,20 mts.</v>
          </cell>
        </row>
        <row r="456">
          <cell r="A456" t="str">
            <v>Remaches Pop</v>
          </cell>
        </row>
        <row r="457">
          <cell r="A457" t="str">
            <v>Remate  Lateral Superior para cubierta trapezoidal, en acero y con foil de aluminio de 0,24 x 2 mts</v>
          </cell>
        </row>
        <row r="458">
          <cell r="A458" t="str">
            <v>Repisa ordinaria 3 metros</v>
          </cell>
        </row>
        <row r="459">
          <cell r="A459" t="str">
            <v>Roseta de porcelana</v>
          </cell>
        </row>
        <row r="460">
          <cell r="A460" t="str">
            <v>Sanitario Acuacer</v>
          </cell>
        </row>
        <row r="461">
          <cell r="A461" t="str">
            <v>Sanitario institucional blanco, primeras; incluye griferia grival o similar y/o superior en calidad  y  accesorios</v>
          </cell>
        </row>
        <row r="462">
          <cell r="A462" t="str">
            <v>Sanitario para discapacitados, blanco primera calidad, incluye accesorios</v>
          </cell>
        </row>
        <row r="463">
          <cell r="A463" t="str">
            <v>Sellante de cobre de alta</v>
          </cell>
        </row>
        <row r="464">
          <cell r="A464" t="str">
            <v>SIFóN 135º PVC-S 3" C x E</v>
          </cell>
        </row>
        <row r="465">
          <cell r="A465" t="str">
            <v>SIFóN 135º PVC-S 4" C x E</v>
          </cell>
        </row>
        <row r="466">
          <cell r="A466" t="str">
            <v>SIFóN 180º PVC-S 2" Cx C</v>
          </cell>
        </row>
        <row r="467">
          <cell r="A467" t="str">
            <v xml:space="preserve">Sika Anchorfix-4 600 cc </v>
          </cell>
        </row>
        <row r="468">
          <cell r="A468" t="str">
            <v>Sika-1 Imp.Integral</v>
          </cell>
        </row>
        <row r="469">
          <cell r="A469" t="str">
            <v>Silicona liquida 300 ML</v>
          </cell>
        </row>
        <row r="470">
          <cell r="A470" t="str">
            <v>Silicona transparente</v>
          </cell>
        </row>
        <row r="471">
          <cell r="A471" t="str">
            <v>Sistema corredizo metálico</v>
          </cell>
        </row>
        <row r="472">
          <cell r="A472" t="str">
            <v>Soldadura 95-5, plata</v>
          </cell>
        </row>
        <row r="473">
          <cell r="A473" t="str">
            <v>Soldadura de estaño P/Cobre</v>
          </cell>
        </row>
        <row r="474">
          <cell r="A474" t="str">
            <v>Soldadura elect.004-3/23"</v>
          </cell>
        </row>
        <row r="475">
          <cell r="A475" t="str">
            <v>Soldadura PVC 1/8</v>
          </cell>
        </row>
        <row r="476">
          <cell r="A476" t="str">
            <v>Soldadura PVC liquida 1/4</v>
          </cell>
        </row>
        <row r="477">
          <cell r="A477" t="str">
            <v>Soporte  bajante PVC rectangular</v>
          </cell>
        </row>
        <row r="478">
          <cell r="A478" t="str">
            <v>Soporte Canal Amazonas</v>
          </cell>
        </row>
        <row r="479">
          <cell r="A479" t="str">
            <v>Soporte tipo U para tubo 1"</v>
          </cell>
        </row>
        <row r="480">
          <cell r="A480" t="str">
            <v>Soporte tipo U para tubo 1/2"</v>
          </cell>
        </row>
        <row r="481">
          <cell r="A481" t="str">
            <v>Soporte tipo U para tubo 3/4"</v>
          </cell>
        </row>
        <row r="482">
          <cell r="A482" t="str">
            <v>Subcontrato eléctrico</v>
          </cell>
        </row>
        <row r="483">
          <cell r="A483" t="str">
            <v>Suministro e instalación de Lavamanos de colgar blanco, primera calidad, incluye griferia y accesorios</v>
          </cell>
        </row>
        <row r="484">
          <cell r="A484" t="str">
            <v>Suplemento para caja 5800</v>
          </cell>
        </row>
        <row r="485">
          <cell r="A485" t="str">
            <v>T ventana</v>
          </cell>
        </row>
        <row r="486">
          <cell r="A486" t="str">
            <v>Tabla burra C Macho 0,28 - 3 mts</v>
          </cell>
        </row>
        <row r="487">
          <cell r="A487" t="str">
            <v>Tabla burra ordinario 0,30 - 3 mts</v>
          </cell>
        </row>
        <row r="488">
          <cell r="A488" t="str">
            <v>Tabla chapa-ordinario 0,10 - 3 mts</v>
          </cell>
        </row>
        <row r="489">
          <cell r="A489" t="str">
            <v>Tabla chapa-ordinario 0,30 - 3 mts</v>
          </cell>
        </row>
        <row r="490">
          <cell r="A490" t="str">
            <v>Tablemac (super T) 9 mm; 4 usos</v>
          </cell>
        </row>
        <row r="491">
          <cell r="A491" t="str">
            <v>Tablero 18 Circuitos con espacio para totalizador</v>
          </cell>
        </row>
        <row r="492">
          <cell r="A492" t="str">
            <v xml:space="preserve">Tablero bifasico TBC 24 circuitos </v>
          </cell>
        </row>
        <row r="493">
          <cell r="A493" t="str">
            <v>Tablero de 12 circuitos con puerta</v>
          </cell>
        </row>
        <row r="494">
          <cell r="A494" t="str">
            <v>Tablero de 18 circuitos con puerta</v>
          </cell>
        </row>
        <row r="495">
          <cell r="A495" t="str">
            <v>Tablero de 24 circuitos con puerta</v>
          </cell>
        </row>
        <row r="496">
          <cell r="A496" t="str">
            <v>Tablero de 36 circuitos con puerta</v>
          </cell>
        </row>
        <row r="497">
          <cell r="A497" t="str">
            <v>Tablero de 42 circuitos con puerta</v>
          </cell>
        </row>
        <row r="498">
          <cell r="A498" t="str">
            <v>Tablero en madera entamborada</v>
          </cell>
        </row>
        <row r="499">
          <cell r="A499" t="str">
            <v>Tablero TBP 16B con puerta y chapas plástico de 16 circuitos</v>
          </cell>
        </row>
        <row r="500">
          <cell r="A500" t="str">
            <v>Tablón  cuarto 26</v>
          </cell>
        </row>
        <row r="501">
          <cell r="A501" t="str">
            <v>Tablón Gres de 0,30 x 0,30</v>
          </cell>
        </row>
        <row r="502">
          <cell r="A502" t="str">
            <v>Taco terminal UNIP,HQP 30A</v>
          </cell>
        </row>
        <row r="503">
          <cell r="A503" t="str">
            <v>Tanque plástico 1000 lts</v>
          </cell>
        </row>
        <row r="504">
          <cell r="A504" t="str">
            <v>Tanque plástico 2000 lts</v>
          </cell>
        </row>
        <row r="505">
          <cell r="A505" t="str">
            <v>Tanque plástico 500 lts</v>
          </cell>
        </row>
        <row r="506">
          <cell r="A506" t="str">
            <v>Tanque plástico 5000 lts</v>
          </cell>
        </row>
        <row r="507">
          <cell r="A507" t="str">
            <v>Tapa ciega metálica para toma</v>
          </cell>
        </row>
        <row r="508">
          <cell r="A508" t="str">
            <v>Tapa Int Derecha Canal Amazonas</v>
          </cell>
        </row>
        <row r="509">
          <cell r="A509" t="str">
            <v>Tapa Int Izquierda Canal Amazonas</v>
          </cell>
        </row>
        <row r="510">
          <cell r="A510" t="str">
            <v>Tapa para caja A.P.</v>
          </cell>
        </row>
        <row r="511">
          <cell r="A511" t="str">
            <v>Tapa para caja de 30x30x5</v>
          </cell>
        </row>
        <row r="512">
          <cell r="A512" t="str">
            <v>Tapa para caja eléctrica</v>
          </cell>
        </row>
        <row r="513">
          <cell r="A513" t="str">
            <v>Tapa salida cordón caja octagonal</v>
          </cell>
        </row>
        <row r="514">
          <cell r="A514" t="str">
            <v>Tapaporos Nogal</v>
          </cell>
        </row>
        <row r="515">
          <cell r="A515" t="str">
            <v>Tapas 3x1"</v>
          </cell>
        </row>
        <row r="516">
          <cell r="A516" t="str">
            <v>TAPóN H.G. 1"</v>
          </cell>
        </row>
        <row r="517">
          <cell r="A517" t="str">
            <v>TAPóN H.G. 1/2"</v>
          </cell>
        </row>
        <row r="518">
          <cell r="A518" t="str">
            <v>TAPóN H.G. 3/4"</v>
          </cell>
        </row>
        <row r="519">
          <cell r="A519" t="str">
            <v>Tapon PVC 2" - Prueba</v>
          </cell>
        </row>
        <row r="520">
          <cell r="A520" t="str">
            <v>Tapon PVC 3" de prueba</v>
          </cell>
        </row>
        <row r="521">
          <cell r="A521" t="str">
            <v>Tapon PVC 4" - Prueba</v>
          </cell>
        </row>
        <row r="522">
          <cell r="A522" t="str">
            <v>Tapon PVC-P 1/2"</v>
          </cell>
        </row>
        <row r="523">
          <cell r="A523" t="str">
            <v>Tee 1 1/2" PVC - Presión</v>
          </cell>
        </row>
        <row r="524">
          <cell r="A524" t="str">
            <v>Tee 1 1/4 PVC - Presión</v>
          </cell>
        </row>
        <row r="525">
          <cell r="A525" t="str">
            <v>Tee 1" PVC - Presión</v>
          </cell>
        </row>
        <row r="526">
          <cell r="A526" t="str">
            <v>Tee 1/2" PVC - Presión</v>
          </cell>
        </row>
        <row r="527">
          <cell r="A527" t="str">
            <v>Tee 3/4"    PVC - Presión</v>
          </cell>
        </row>
        <row r="528">
          <cell r="A528" t="str">
            <v>Tee PVC-P 3/4" x 1/2"</v>
          </cell>
        </row>
        <row r="529">
          <cell r="A529" t="str">
            <v>Tee Sencilla 2" Sanitaria</v>
          </cell>
        </row>
        <row r="530">
          <cell r="A530" t="str">
            <v>Tee Sencilla 4" Sanitaria</v>
          </cell>
        </row>
        <row r="531">
          <cell r="A531" t="str">
            <v xml:space="preserve">Teflon </v>
          </cell>
        </row>
        <row r="532">
          <cell r="A532" t="str">
            <v xml:space="preserve">Teja Bioclimatica trapezoidal de e = 1,8 mm, con foil y lámina de acero, incluye traslapo </v>
          </cell>
        </row>
        <row r="533">
          <cell r="A533" t="str">
            <v xml:space="preserve">Teja Bioclimatica trapezoidal de e = 1,8 mm, Marina con foil y lámina de acero, incluye traslapo </v>
          </cell>
        </row>
        <row r="534">
          <cell r="A534" t="str">
            <v xml:space="preserve">Teja Bioclimatica trapezoidal de e = 1,9 mm, con foil y lámina de acero, incluye traslapo </v>
          </cell>
        </row>
        <row r="535">
          <cell r="A535" t="str">
            <v xml:space="preserve">Teja Bioclimatica trapezoidal de e = 1,9 mm, Marina con foil y lámina de acero, incluye traslapo </v>
          </cell>
        </row>
        <row r="536">
          <cell r="A536" t="str">
            <v xml:space="preserve">Teja Bioclimatica trapezoidal de e = 2,0 mm, con foil y lámina de acero, incluye traslapo </v>
          </cell>
        </row>
        <row r="537">
          <cell r="A537" t="str">
            <v xml:space="preserve">Teja Bioclimatica trapezoidal de e = 2,0 mm, Marina con foil y lámina de acero, incluye traslapo </v>
          </cell>
        </row>
        <row r="538">
          <cell r="A538" t="str">
            <v>Teja de asbesto cemento No.6</v>
          </cell>
        </row>
        <row r="539">
          <cell r="A539" t="str">
            <v>Teja de asbesto cemento No.8</v>
          </cell>
        </row>
        <row r="540">
          <cell r="A540" t="str">
            <v>Teja trapezoidal transparente en policarbonato tipo ajota de ajorver</v>
          </cell>
        </row>
        <row r="541">
          <cell r="A541" t="str">
            <v>Templete</v>
          </cell>
        </row>
        <row r="542">
          <cell r="A542" t="str">
            <v xml:space="preserve">Tensor para cable antifraude </v>
          </cell>
        </row>
        <row r="543">
          <cell r="A543" t="str">
            <v>Tierra negra fertilizada</v>
          </cell>
        </row>
        <row r="544">
          <cell r="A544" t="str">
            <v>Tintilla</v>
          </cell>
        </row>
        <row r="545">
          <cell r="A545" t="str">
            <v>Toma de caucho 3 polos aérea</v>
          </cell>
        </row>
        <row r="546">
          <cell r="A546" t="str">
            <v>Toma de T.V. para cable coaxial</v>
          </cell>
        </row>
        <row r="547">
          <cell r="A547" t="str">
            <v>Toma Doble GFCI</v>
          </cell>
        </row>
        <row r="548">
          <cell r="A548" t="str">
            <v>Toma doble tipo hospitalaria P.T.</v>
          </cell>
        </row>
        <row r="549">
          <cell r="A549" t="str">
            <v>Toma eléctrica doble 20A pata trabada</v>
          </cell>
        </row>
        <row r="550">
          <cell r="A550" t="str">
            <v xml:space="preserve">Toma eléctrica doble P.T. </v>
          </cell>
        </row>
        <row r="551">
          <cell r="A551" t="str">
            <v>Toma monofásica doble con polo</v>
          </cell>
        </row>
        <row r="552">
          <cell r="A552" t="str">
            <v>Toma monofásica GFCI</v>
          </cell>
        </row>
        <row r="553">
          <cell r="A553" t="str">
            <v>Toma telefónica</v>
          </cell>
        </row>
        <row r="554">
          <cell r="A554" t="str">
            <v xml:space="preserve">Toma Trifásica </v>
          </cell>
        </row>
        <row r="555">
          <cell r="A555" t="str">
            <v>Tornillo autoperforante fijador de correa para metal de12-14 x 3/4" - Acero</v>
          </cell>
        </row>
        <row r="556">
          <cell r="A556" t="str">
            <v>Tornillo expansivo AH - 1614 5/16 x 3 "</v>
          </cell>
        </row>
        <row r="557">
          <cell r="A557" t="str">
            <v>Tornillo expansivo HLC 10x80/48</v>
          </cell>
        </row>
        <row r="558">
          <cell r="A558" t="str">
            <v>Tornillo goloso</v>
          </cell>
        </row>
        <row r="559">
          <cell r="A559" t="str">
            <v>Tornillo goloso 1/8 x 1 1/4</v>
          </cell>
        </row>
        <row r="560">
          <cell r="A560" t="str">
            <v>Tornillo Inoxidable Canal y Bajante Amazonas</v>
          </cell>
        </row>
        <row r="561">
          <cell r="A561" t="str">
            <v>Tornillo Inoxidable Canal y Bajante PVC</v>
          </cell>
        </row>
        <row r="562">
          <cell r="A562" t="str">
            <v>Tornillo lámina D=3/8"</v>
          </cell>
        </row>
        <row r="563">
          <cell r="A563" t="str">
            <v>Tornillo teja en lámina de acero y foil</v>
          </cell>
        </row>
        <row r="564">
          <cell r="A564" t="str">
            <v>Tornillos 2"</v>
          </cell>
        </row>
        <row r="565">
          <cell r="A565" t="str">
            <v>Transformador de corriente 200/5 amp</v>
          </cell>
        </row>
        <row r="566">
          <cell r="A566" t="str">
            <v>Transformador en poste bifásico de 15 Kva</v>
          </cell>
        </row>
        <row r="567">
          <cell r="A567" t="str">
            <v>Transformador en poste bifásico de 30 Kva</v>
          </cell>
        </row>
        <row r="568">
          <cell r="A568" t="str">
            <v>Transformador en poste bifásico de 45 Kva</v>
          </cell>
        </row>
        <row r="569">
          <cell r="A569" t="str">
            <v>Transformador en poste trifásico de 15 Kva</v>
          </cell>
        </row>
        <row r="570">
          <cell r="A570" t="str">
            <v>Transformador en poste trifásico de 30 Kva</v>
          </cell>
        </row>
        <row r="571">
          <cell r="A571" t="str">
            <v>Triturado de máquina</v>
          </cell>
        </row>
        <row r="572">
          <cell r="A572" t="str">
            <v xml:space="preserve">Tuberia A.N. 2 plg </v>
          </cell>
        </row>
        <row r="573">
          <cell r="A573" t="str">
            <v>Tuberia A.N. 3 plg 2,3 mm</v>
          </cell>
        </row>
        <row r="574">
          <cell r="A574" t="str">
            <v>Tuberia A.N. Ø1 1/2"</v>
          </cell>
        </row>
        <row r="575">
          <cell r="A575" t="str">
            <v>Tuberia Galvanizada 1 1/2" 2,5 mm Cal 12</v>
          </cell>
        </row>
        <row r="576">
          <cell r="A576" t="str">
            <v>Tuberia novafort 10" 255 mm</v>
          </cell>
        </row>
        <row r="577">
          <cell r="A577" t="str">
            <v>Tuberia novafort 12" 315 mm</v>
          </cell>
        </row>
        <row r="578">
          <cell r="A578" t="str">
            <v>Tuberia novafort 4" 110 mm</v>
          </cell>
        </row>
        <row r="579">
          <cell r="A579" t="str">
            <v>Tuberia novafort 6" 160 mm</v>
          </cell>
        </row>
        <row r="580">
          <cell r="A580" t="str">
            <v>Tuberia novafort 8" 200 mm</v>
          </cell>
        </row>
        <row r="581">
          <cell r="A581" t="str">
            <v xml:space="preserve">Tuberia PE AL PE amarilla gas 1216 1/2" </v>
          </cell>
        </row>
        <row r="582">
          <cell r="A582" t="str">
            <v>Tubo A.N. 1 1/2 plg, 2 mm</v>
          </cell>
        </row>
        <row r="583">
          <cell r="A583" t="str">
            <v>Tubo A.N. 1 plg, 2 mm</v>
          </cell>
        </row>
        <row r="584">
          <cell r="A584" t="str">
            <v>Tubo conduit EMT 1"</v>
          </cell>
        </row>
        <row r="585">
          <cell r="A585" t="str">
            <v>Tubo conduit EMT 1-1/2"</v>
          </cell>
        </row>
        <row r="586">
          <cell r="A586" t="str">
            <v>Tubo conduit EMT 3/4"</v>
          </cell>
        </row>
        <row r="587">
          <cell r="A587" t="str">
            <v>Tubo conduit PVC 1"</v>
          </cell>
        </row>
        <row r="588">
          <cell r="A588" t="str">
            <v>Tubo conduit PVC 1/2"</v>
          </cell>
        </row>
        <row r="589">
          <cell r="A589" t="str">
            <v>Tubo conduit PVC 1-1/2"</v>
          </cell>
        </row>
        <row r="590">
          <cell r="A590" t="str">
            <v>Tubo conduit PVC 3/4"</v>
          </cell>
        </row>
        <row r="591">
          <cell r="A591" t="str">
            <v>Tubo cuadrado de 1/2 x 1/2 x 0,9</v>
          </cell>
        </row>
        <row r="592">
          <cell r="A592" t="str">
            <v>Tubo cuadrado de 1-1/2" x 1-1/2" cal. 20</v>
          </cell>
        </row>
        <row r="593">
          <cell r="A593" t="str">
            <v>Tubo Cuadrado de 3/4" x 3/4" cal. 20</v>
          </cell>
        </row>
        <row r="594">
          <cell r="A594" t="str">
            <v>Tubo de cobre de 1/2" tipo L</v>
          </cell>
        </row>
        <row r="595">
          <cell r="A595" t="str">
            <v>Tubo de cobre de 1" tipo L</v>
          </cell>
        </row>
        <row r="596">
          <cell r="A596" t="str">
            <v>Tubo Galvanizado de 1/2"</v>
          </cell>
        </row>
        <row r="597">
          <cell r="A597" t="str">
            <v>Tubo Galvanizado de 3/4</v>
          </cell>
        </row>
        <row r="598">
          <cell r="A598" t="str">
            <v>Tubo Galvanizado de 1"</v>
          </cell>
        </row>
        <row r="599">
          <cell r="A599" t="str">
            <v>Tubo Galvanizado de 1 1/4"</v>
          </cell>
        </row>
        <row r="600">
          <cell r="A600" t="str">
            <v>Tubo Galvanizado de 1 1/2"</v>
          </cell>
        </row>
        <row r="601">
          <cell r="A601" t="str">
            <v>Tubo Galvanizado de 2"</v>
          </cell>
        </row>
        <row r="602">
          <cell r="A602" t="str">
            <v>Tubo Galvanizado de 2 1/2"</v>
          </cell>
        </row>
        <row r="603">
          <cell r="A603" t="str">
            <v>Tubo pres/11 PVC 3/4"</v>
          </cell>
        </row>
        <row r="604">
          <cell r="A604" t="str">
            <v>Tubo pres/13,5 PVC 1"</v>
          </cell>
        </row>
        <row r="605">
          <cell r="A605" t="str">
            <v>Tubo pres/21 PVC 1 1/2"</v>
          </cell>
        </row>
        <row r="606">
          <cell r="A606" t="str">
            <v>Tubo pres/21 PVC 1 1/4</v>
          </cell>
        </row>
        <row r="607">
          <cell r="A607" t="str">
            <v>Tubo pres/21 PVC 2"</v>
          </cell>
        </row>
        <row r="608">
          <cell r="A608" t="str">
            <v>Tubo pres/9 PVC 1/2"</v>
          </cell>
        </row>
        <row r="609">
          <cell r="A609" t="str">
            <v>Tubo PVC de 2"       Lluvias</v>
          </cell>
        </row>
        <row r="610">
          <cell r="A610" t="str">
            <v>Tubo PVC de 3"       Lluvias</v>
          </cell>
        </row>
        <row r="611">
          <cell r="A611" t="str">
            <v>Tubo PVC de 4"       lluvias</v>
          </cell>
        </row>
        <row r="612">
          <cell r="A612" t="str">
            <v>Tubo PVCP- RDE 21 2 1/2" UZ</v>
          </cell>
        </row>
        <row r="613">
          <cell r="A613" t="str">
            <v>Tubo PVCP- RDE 21 2" UZ</v>
          </cell>
        </row>
        <row r="614">
          <cell r="A614" t="str">
            <v>Tubo PVCP- RDE 21 3" UZ</v>
          </cell>
        </row>
        <row r="615">
          <cell r="A615" t="str">
            <v>Tubo PVC-S     2"    Sanitaria</v>
          </cell>
        </row>
        <row r="616">
          <cell r="A616" t="str">
            <v>Tubo PVC-S     3"    Sanitaria</v>
          </cell>
        </row>
        <row r="617">
          <cell r="A617" t="str">
            <v>Tubo PVC-S     4"    Sanitaria</v>
          </cell>
        </row>
        <row r="618">
          <cell r="A618" t="str">
            <v>Tubo PVC-S;     6"</v>
          </cell>
        </row>
        <row r="619">
          <cell r="A619" t="str">
            <v>Tubo PVC-V      1 1/2"</v>
          </cell>
        </row>
        <row r="620">
          <cell r="A620" t="str">
            <v>Tubo PVC-V      2"</v>
          </cell>
        </row>
        <row r="621">
          <cell r="A621" t="str">
            <v>Tubo PVC-V     3"</v>
          </cell>
        </row>
        <row r="622">
          <cell r="A622" t="str">
            <v>Tubo PVC-V     4"</v>
          </cell>
        </row>
        <row r="623">
          <cell r="A623" t="str">
            <v>Tuercas de fijación</v>
          </cell>
        </row>
        <row r="624">
          <cell r="A624" t="str">
            <v>Unión bajante rectangular PVC</v>
          </cell>
        </row>
        <row r="625">
          <cell r="A625" t="str">
            <v>Unión canal a bajante Amazonas</v>
          </cell>
        </row>
        <row r="626">
          <cell r="A626" t="str">
            <v>Unión Canal amazonas</v>
          </cell>
        </row>
        <row r="627">
          <cell r="A627" t="str">
            <v>Unión EMT 1"</v>
          </cell>
        </row>
        <row r="628">
          <cell r="A628" t="str">
            <v>Unión EMT 1-1/2"</v>
          </cell>
        </row>
        <row r="629">
          <cell r="A629" t="str">
            <v>Unión EMT 3/4"</v>
          </cell>
        </row>
        <row r="630">
          <cell r="A630" t="str">
            <v>Unión PVC - P 3/4"</v>
          </cell>
        </row>
        <row r="631">
          <cell r="A631" t="str">
            <v>Unión PVC-P 1 1/2"</v>
          </cell>
        </row>
        <row r="632">
          <cell r="A632" t="str">
            <v>Unión PVC-P 1 1/4"</v>
          </cell>
        </row>
        <row r="633">
          <cell r="A633" t="str">
            <v>Unión PVC-P 1 plg</v>
          </cell>
        </row>
        <row r="634">
          <cell r="A634" t="str">
            <v>Unión PVC-P 1/2 plg</v>
          </cell>
        </row>
        <row r="635">
          <cell r="A635" t="str">
            <v>Unión PVC-P 2 plg</v>
          </cell>
        </row>
        <row r="636">
          <cell r="A636" t="str">
            <v>Unión PVC-S 2 plg</v>
          </cell>
        </row>
        <row r="637">
          <cell r="A637" t="str">
            <v>Unión PVC-S 3 plg</v>
          </cell>
        </row>
        <row r="638">
          <cell r="A638" t="str">
            <v>Unión PVC-S 4 plg</v>
          </cell>
        </row>
        <row r="639">
          <cell r="A639" t="str">
            <v>Unión PVC-S;    6"</v>
          </cell>
        </row>
        <row r="640">
          <cell r="A640" t="str">
            <v>Unión PVC-V     1 1/2"</v>
          </cell>
        </row>
        <row r="641">
          <cell r="A641" t="str">
            <v>Unión PVC-V     2"</v>
          </cell>
        </row>
        <row r="642">
          <cell r="A642" t="str">
            <v>Unión PVC-V    3"</v>
          </cell>
        </row>
        <row r="643">
          <cell r="A643" t="str">
            <v>Universal en PVC 1 1/2"</v>
          </cell>
        </row>
        <row r="644">
          <cell r="A644" t="str">
            <v>Universal en PVC 1"</v>
          </cell>
        </row>
        <row r="645">
          <cell r="A645" t="str">
            <v>Universal en PVC 1/2"</v>
          </cell>
        </row>
        <row r="646">
          <cell r="A646" t="str">
            <v>Universal en PVC 3/4"</v>
          </cell>
        </row>
        <row r="647">
          <cell r="A647" t="str">
            <v>Valvula - Cheque cortina HICC Helbert   3" ; incluye accesorios</v>
          </cell>
        </row>
        <row r="648">
          <cell r="A648" t="str">
            <v>Valvula - Cheque cortina HICC Helbert  1 1/2" ; incluye accesorios</v>
          </cell>
        </row>
        <row r="649">
          <cell r="A649" t="str">
            <v>Valvula - Cheque cortina HICC Helbert  1 1/4" ; incluye accesorios</v>
          </cell>
        </row>
        <row r="650">
          <cell r="A650" t="str">
            <v>Valvula - Cheque cortina HICC Helbert  2" ; incluye accesorios</v>
          </cell>
        </row>
        <row r="651">
          <cell r="A651" t="str">
            <v>Valvula de bola de 1" con bola de bronce y asiento en teflon</v>
          </cell>
        </row>
        <row r="652">
          <cell r="A652" t="str">
            <v>Valvula de bola de 1/2" con bola de bronce y asiento en teflon</v>
          </cell>
        </row>
        <row r="653">
          <cell r="A653" t="str">
            <v>Valvula pozuelo 1-1/2"  cobre</v>
          </cell>
        </row>
        <row r="654">
          <cell r="A654" t="str">
            <v>Vara de clavo</v>
          </cell>
        </row>
        <row r="655">
          <cell r="A655" t="str">
            <v>Varilla coopertweld de 2.40 mts x 5/8"</v>
          </cell>
        </row>
        <row r="656">
          <cell r="A656" t="str">
            <v>Varilla Coper Well 5/8" x 8'</v>
          </cell>
        </row>
        <row r="657">
          <cell r="A657" t="str">
            <v>Varilla cuadrada de 1/2"</v>
          </cell>
        </row>
        <row r="658">
          <cell r="A658" t="str">
            <v>Varilla de 5/8"</v>
          </cell>
        </row>
        <row r="659">
          <cell r="A659" t="str">
            <v>Varilla de 9 mm. Cuadrada</v>
          </cell>
        </row>
        <row r="660">
          <cell r="A660">
            <v>0</v>
          </cell>
        </row>
        <row r="661">
          <cell r="A661" t="str">
            <v>Varilla lisa de 1/2"</v>
          </cell>
        </row>
        <row r="662">
          <cell r="A662" t="str">
            <v>Ventana corrediza proyec.alum.Cal.18. Negra</v>
          </cell>
        </row>
        <row r="663">
          <cell r="A663" t="str">
            <v>Vidrio incoloro de 5mm pulido</v>
          </cell>
        </row>
        <row r="664">
          <cell r="A664" t="str">
            <v>Vinilo Color Tipo I</v>
          </cell>
        </row>
        <row r="665">
          <cell r="A665" t="str">
            <v>Visagra para elemento en aluminio</v>
          </cell>
        </row>
        <row r="666">
          <cell r="A666" t="str">
            <v>Wing Aluminio</v>
          </cell>
        </row>
        <row r="667">
          <cell r="A667" t="str">
            <v>Xipex Admix C-2000</v>
          </cell>
        </row>
        <row r="668">
          <cell r="A668" t="str">
            <v>Xipex concentrado -Gris</v>
          </cell>
        </row>
        <row r="669">
          <cell r="A669" t="str">
            <v>Yee sencilla PVC-S 2"</v>
          </cell>
        </row>
        <row r="670">
          <cell r="A670" t="str">
            <v>Yee sencilla PVC-S 3"</v>
          </cell>
        </row>
        <row r="671">
          <cell r="A671" t="str">
            <v>Yee sencilla PVC-S 4"</v>
          </cell>
        </row>
        <row r="672">
          <cell r="A672" t="str">
            <v>Zuncho metálico 3/8"</v>
          </cell>
        </row>
        <row r="673">
          <cell r="A673" t="str">
            <v>Medidor de agua 1/2"</v>
          </cell>
        </row>
        <row r="674">
          <cell r="A674" t="str">
            <v>Medidor de agua 1"</v>
          </cell>
        </row>
        <row r="675">
          <cell r="A675" t="str">
            <v>Medidor de agua 2"</v>
          </cell>
        </row>
        <row r="676">
          <cell r="A676" t="str">
            <v>Medidor de agua 3"</v>
          </cell>
        </row>
        <row r="677">
          <cell r="A677" t="str">
            <v>Medidor de agua 3/4"</v>
          </cell>
        </row>
        <row r="678">
          <cell r="A678" t="str">
            <v>Medidor de agua 4"</v>
          </cell>
        </row>
        <row r="679">
          <cell r="A679" t="str">
            <v>Medidor de agua 6"</v>
          </cell>
        </row>
        <row r="680">
          <cell r="A680" t="str">
            <v xml:space="preserve">rellenos en recebo compactado al 90% </v>
          </cell>
        </row>
        <row r="681">
          <cell r="A681" t="str">
            <v>muros en ladrillo tolete común para sobrecimiento de e = 0,12 m</v>
          </cell>
        </row>
        <row r="682">
          <cell r="A682" t="str">
            <v>Bomba centrífuga 1HP succión y descarga 1.1/2".motor monofásico</v>
          </cell>
        </row>
        <row r="683">
          <cell r="A683" t="str">
            <v>Valvula de pie con canastilla plástica 2"</v>
          </cell>
        </row>
        <row r="684">
          <cell r="A684" t="str">
            <v>Valvula de cheque hidro 1 1/2"</v>
          </cell>
        </row>
        <row r="685">
          <cell r="A685" t="str">
            <v>Valvula de cheque hidro 2"</v>
          </cell>
        </row>
        <row r="686">
          <cell r="A686">
            <v>0</v>
          </cell>
        </row>
        <row r="687">
          <cell r="A687" t="str">
            <v>Para Yacuanquer</v>
          </cell>
        </row>
        <row r="688">
          <cell r="A688" t="str">
            <v>Excavación Manual en material Comun</v>
          </cell>
        </row>
        <row r="689">
          <cell r="A689" t="str">
            <v>Rellenos en recebo compactado al 90%</v>
          </cell>
        </row>
        <row r="690">
          <cell r="A690" t="str">
            <v>Placa maciza e=0,075</v>
          </cell>
        </row>
        <row r="691">
          <cell r="A691" t="str">
            <v>Muros en loque divisorio Liso</v>
          </cell>
        </row>
        <row r="692">
          <cell r="A692" t="str">
            <v>Media caña en mortero de pendiente</v>
          </cell>
        </row>
        <row r="693">
          <cell r="A693" t="str">
            <v>Pañete impermeabilizado integralmente.</v>
          </cell>
        </row>
        <row r="694">
          <cell r="A694" t="str">
            <v>Afinado en mortero de pendiente</v>
          </cell>
        </row>
        <row r="695">
          <cell r="A695" t="str">
            <v>acero de refuerzo 37000</v>
          </cell>
        </row>
        <row r="696">
          <cell r="A696" t="str">
            <v>acero de refuerzo 60000</v>
          </cell>
        </row>
        <row r="697">
          <cell r="A697" t="str">
            <v>Hoja Puerta entamborada con rejilla de ventilación y mirilla a todo costo según detalle arquitectonico</v>
          </cell>
        </row>
        <row r="698">
          <cell r="A698" t="str">
            <v>Teja de Barro Santafé Cartabon 16x37cm</v>
          </cell>
        </row>
        <row r="699">
          <cell r="A699" t="str">
            <v>Teja de Barro  Santafé Española 18/16x40cm</v>
          </cell>
        </row>
        <row r="700">
          <cell r="A700" t="str">
            <v>Teja "S" de Barro Moore 28,5/15x46cm</v>
          </cell>
        </row>
        <row r="701">
          <cell r="A701" t="str">
            <v>Teja Plana de Barro Santafé 10x18cm</v>
          </cell>
        </row>
        <row r="702">
          <cell r="A702" t="str">
            <v>Listón M.H. Pino Ciprés</v>
          </cell>
        </row>
        <row r="703">
          <cell r="A703" t="str">
            <v>Listón M.H. Pino Romerón</v>
          </cell>
        </row>
        <row r="704">
          <cell r="A704" t="str">
            <v>Puerta Ventana en Madera Segun detalle Arquitectónico</v>
          </cell>
        </row>
        <row r="705">
          <cell r="A705" t="str">
            <v>Ventana en Madera Según detalle Arquitectónico</v>
          </cell>
        </row>
        <row r="706">
          <cell r="A706" t="str">
            <v>Puerta en madera Según detalle Arquitectónico</v>
          </cell>
        </row>
        <row r="707">
          <cell r="A707" t="str">
            <v>Suministro e insatalación de Banca exterior tipo IDU</v>
          </cell>
        </row>
        <row r="708">
          <cell r="A708" t="str">
            <v>Adoquin concreto 10x8x20</v>
          </cell>
        </row>
        <row r="709">
          <cell r="A709">
            <v>0</v>
          </cell>
        </row>
        <row r="710">
          <cell r="A710">
            <v>0</v>
          </cell>
        </row>
        <row r="711">
          <cell r="A711">
            <v>0</v>
          </cell>
        </row>
        <row r="712">
          <cell r="A712">
            <v>0</v>
          </cell>
        </row>
        <row r="713">
          <cell r="A713">
            <v>0</v>
          </cell>
        </row>
        <row r="714">
          <cell r="A714">
            <v>0</v>
          </cell>
        </row>
        <row r="715">
          <cell r="A715">
            <v>0</v>
          </cell>
        </row>
        <row r="716">
          <cell r="A716">
            <v>0</v>
          </cell>
        </row>
        <row r="717">
          <cell r="A717">
            <v>0</v>
          </cell>
        </row>
        <row r="718">
          <cell r="A718">
            <v>0</v>
          </cell>
        </row>
        <row r="719">
          <cell r="A719">
            <v>0</v>
          </cell>
        </row>
        <row r="720">
          <cell r="A720">
            <v>0</v>
          </cell>
        </row>
        <row r="721">
          <cell r="A721">
            <v>0</v>
          </cell>
        </row>
        <row r="722">
          <cell r="A722">
            <v>0</v>
          </cell>
        </row>
        <row r="723">
          <cell r="A723">
            <v>0</v>
          </cell>
        </row>
        <row r="724">
          <cell r="A724">
            <v>0</v>
          </cell>
        </row>
        <row r="725">
          <cell r="A725">
            <v>0</v>
          </cell>
        </row>
        <row r="726">
          <cell r="A726">
            <v>0</v>
          </cell>
        </row>
        <row r="727">
          <cell r="A727">
            <v>0</v>
          </cell>
        </row>
        <row r="728">
          <cell r="A728">
            <v>0</v>
          </cell>
        </row>
        <row r="729">
          <cell r="A729">
            <v>0</v>
          </cell>
        </row>
        <row r="730">
          <cell r="A730">
            <v>0</v>
          </cell>
        </row>
        <row r="731">
          <cell r="A731">
            <v>0</v>
          </cell>
        </row>
        <row r="732">
          <cell r="A732">
            <v>0</v>
          </cell>
        </row>
        <row r="733">
          <cell r="A733">
            <v>0</v>
          </cell>
        </row>
        <row r="734">
          <cell r="A734">
            <v>0</v>
          </cell>
        </row>
        <row r="735">
          <cell r="A735">
            <v>0</v>
          </cell>
        </row>
        <row r="736">
          <cell r="A736">
            <v>0</v>
          </cell>
        </row>
        <row r="737">
          <cell r="A737">
            <v>0</v>
          </cell>
        </row>
        <row r="738">
          <cell r="A738">
            <v>0</v>
          </cell>
        </row>
        <row r="739">
          <cell r="A739">
            <v>0</v>
          </cell>
        </row>
        <row r="740">
          <cell r="A740">
            <v>0</v>
          </cell>
        </row>
        <row r="741">
          <cell r="A741">
            <v>0</v>
          </cell>
        </row>
        <row r="742">
          <cell r="A742">
            <v>0</v>
          </cell>
        </row>
        <row r="743">
          <cell r="A743">
            <v>0</v>
          </cell>
        </row>
        <row r="744">
          <cell r="A744">
            <v>0</v>
          </cell>
        </row>
        <row r="745">
          <cell r="A745">
            <v>0</v>
          </cell>
        </row>
        <row r="746">
          <cell r="A746">
            <v>0</v>
          </cell>
        </row>
        <row r="747">
          <cell r="A747">
            <v>0</v>
          </cell>
        </row>
        <row r="748">
          <cell r="A748">
            <v>0</v>
          </cell>
        </row>
        <row r="749">
          <cell r="A749">
            <v>0</v>
          </cell>
        </row>
        <row r="750">
          <cell r="A750">
            <v>0</v>
          </cell>
        </row>
        <row r="751">
          <cell r="A751">
            <v>0</v>
          </cell>
        </row>
        <row r="752">
          <cell r="A752">
            <v>0</v>
          </cell>
        </row>
        <row r="753">
          <cell r="A753">
            <v>0</v>
          </cell>
        </row>
        <row r="754">
          <cell r="A754">
            <v>0</v>
          </cell>
        </row>
        <row r="755">
          <cell r="A755">
            <v>0</v>
          </cell>
        </row>
        <row r="756">
          <cell r="A756">
            <v>0</v>
          </cell>
        </row>
        <row r="757">
          <cell r="A757">
            <v>0</v>
          </cell>
        </row>
        <row r="758">
          <cell r="A758">
            <v>0</v>
          </cell>
        </row>
        <row r="759">
          <cell r="A759">
            <v>0</v>
          </cell>
        </row>
        <row r="760">
          <cell r="A760">
            <v>0</v>
          </cell>
        </row>
        <row r="761">
          <cell r="A761">
            <v>0</v>
          </cell>
        </row>
        <row r="762">
          <cell r="A762">
            <v>0</v>
          </cell>
        </row>
        <row r="763">
          <cell r="A763">
            <v>0</v>
          </cell>
        </row>
        <row r="764">
          <cell r="A764">
            <v>0</v>
          </cell>
        </row>
        <row r="765">
          <cell r="A765">
            <v>0</v>
          </cell>
        </row>
        <row r="766">
          <cell r="A766">
            <v>0</v>
          </cell>
        </row>
        <row r="767">
          <cell r="A767">
            <v>0</v>
          </cell>
        </row>
        <row r="768">
          <cell r="A768">
            <v>0</v>
          </cell>
        </row>
        <row r="769">
          <cell r="A769">
            <v>0</v>
          </cell>
        </row>
        <row r="770">
          <cell r="A770">
            <v>0</v>
          </cell>
        </row>
        <row r="771">
          <cell r="A771">
            <v>0</v>
          </cell>
        </row>
        <row r="772">
          <cell r="A772">
            <v>0</v>
          </cell>
        </row>
        <row r="773">
          <cell r="A773">
            <v>0</v>
          </cell>
        </row>
        <row r="774">
          <cell r="A774">
            <v>0</v>
          </cell>
        </row>
        <row r="775">
          <cell r="A775">
            <v>0</v>
          </cell>
        </row>
        <row r="776">
          <cell r="A776">
            <v>0</v>
          </cell>
        </row>
        <row r="777">
          <cell r="A777">
            <v>0</v>
          </cell>
        </row>
        <row r="778">
          <cell r="A778">
            <v>0</v>
          </cell>
        </row>
        <row r="779">
          <cell r="A779">
            <v>0</v>
          </cell>
        </row>
        <row r="780">
          <cell r="A780">
            <v>0</v>
          </cell>
        </row>
        <row r="781">
          <cell r="A781">
            <v>0</v>
          </cell>
        </row>
        <row r="782">
          <cell r="A782">
            <v>0</v>
          </cell>
        </row>
        <row r="783">
          <cell r="A783">
            <v>0</v>
          </cell>
        </row>
        <row r="784">
          <cell r="A784">
            <v>0</v>
          </cell>
        </row>
        <row r="785">
          <cell r="A785">
            <v>0</v>
          </cell>
        </row>
        <row r="786">
          <cell r="A786">
            <v>0</v>
          </cell>
        </row>
        <row r="787">
          <cell r="A787">
            <v>0</v>
          </cell>
        </row>
        <row r="788">
          <cell r="A788">
            <v>0</v>
          </cell>
        </row>
        <row r="789">
          <cell r="A789">
            <v>0</v>
          </cell>
        </row>
        <row r="790">
          <cell r="A790">
            <v>0</v>
          </cell>
        </row>
        <row r="791">
          <cell r="A791">
            <v>0</v>
          </cell>
        </row>
        <row r="792">
          <cell r="A792">
            <v>0</v>
          </cell>
        </row>
        <row r="793">
          <cell r="A793">
            <v>0</v>
          </cell>
        </row>
        <row r="794">
          <cell r="A794">
            <v>0</v>
          </cell>
        </row>
        <row r="795">
          <cell r="A795">
            <v>0</v>
          </cell>
        </row>
        <row r="796">
          <cell r="A796">
            <v>0</v>
          </cell>
        </row>
        <row r="797">
          <cell r="A797">
            <v>0</v>
          </cell>
        </row>
        <row r="798">
          <cell r="A798">
            <v>0</v>
          </cell>
        </row>
        <row r="799">
          <cell r="A799">
            <v>0</v>
          </cell>
        </row>
        <row r="800">
          <cell r="A800">
            <v>0</v>
          </cell>
        </row>
        <row r="801">
          <cell r="A801">
            <v>0</v>
          </cell>
        </row>
        <row r="802">
          <cell r="A802">
            <v>0</v>
          </cell>
        </row>
        <row r="803">
          <cell r="A803">
            <v>0</v>
          </cell>
        </row>
        <row r="804">
          <cell r="A804">
            <v>0</v>
          </cell>
        </row>
        <row r="805">
          <cell r="A805">
            <v>0</v>
          </cell>
        </row>
        <row r="806">
          <cell r="A806">
            <v>0</v>
          </cell>
        </row>
        <row r="807">
          <cell r="A807">
            <v>0</v>
          </cell>
        </row>
        <row r="808">
          <cell r="A808">
            <v>0</v>
          </cell>
        </row>
        <row r="809">
          <cell r="A809">
            <v>0</v>
          </cell>
        </row>
        <row r="810">
          <cell r="A810">
            <v>0</v>
          </cell>
        </row>
        <row r="811">
          <cell r="A811">
            <v>0</v>
          </cell>
        </row>
        <row r="812">
          <cell r="A812">
            <v>0</v>
          </cell>
        </row>
        <row r="813">
          <cell r="A813">
            <v>0</v>
          </cell>
        </row>
        <row r="814">
          <cell r="A814">
            <v>0</v>
          </cell>
        </row>
        <row r="815">
          <cell r="A815">
            <v>0</v>
          </cell>
        </row>
        <row r="816">
          <cell r="A816">
            <v>0</v>
          </cell>
        </row>
        <row r="817">
          <cell r="A817">
            <v>0</v>
          </cell>
        </row>
        <row r="818">
          <cell r="A818">
            <v>0</v>
          </cell>
        </row>
        <row r="819">
          <cell r="A819">
            <v>0</v>
          </cell>
        </row>
        <row r="820">
          <cell r="A820">
            <v>0</v>
          </cell>
        </row>
        <row r="821">
          <cell r="A821">
            <v>0</v>
          </cell>
        </row>
        <row r="822">
          <cell r="A822">
            <v>0</v>
          </cell>
        </row>
        <row r="823">
          <cell r="A823">
            <v>0</v>
          </cell>
        </row>
        <row r="824">
          <cell r="A824">
            <v>0</v>
          </cell>
        </row>
        <row r="825">
          <cell r="A825">
            <v>0</v>
          </cell>
        </row>
        <row r="826">
          <cell r="A826">
            <v>0</v>
          </cell>
        </row>
        <row r="827">
          <cell r="A827">
            <v>0</v>
          </cell>
        </row>
        <row r="828">
          <cell r="A828">
            <v>0</v>
          </cell>
        </row>
        <row r="829">
          <cell r="A829">
            <v>0</v>
          </cell>
        </row>
        <row r="830">
          <cell r="A830">
            <v>0</v>
          </cell>
        </row>
        <row r="831">
          <cell r="A831">
            <v>0</v>
          </cell>
        </row>
        <row r="832">
          <cell r="A832">
            <v>0</v>
          </cell>
        </row>
        <row r="833">
          <cell r="A833">
            <v>0</v>
          </cell>
        </row>
        <row r="834">
          <cell r="A834">
            <v>0</v>
          </cell>
        </row>
        <row r="835">
          <cell r="A835">
            <v>0</v>
          </cell>
        </row>
        <row r="836">
          <cell r="A836">
            <v>0</v>
          </cell>
        </row>
        <row r="837">
          <cell r="A837">
            <v>0</v>
          </cell>
        </row>
        <row r="838">
          <cell r="A838">
            <v>0</v>
          </cell>
        </row>
        <row r="839">
          <cell r="A839">
            <v>0</v>
          </cell>
        </row>
        <row r="840">
          <cell r="A840">
            <v>0</v>
          </cell>
        </row>
        <row r="841">
          <cell r="A841">
            <v>0</v>
          </cell>
        </row>
        <row r="842">
          <cell r="A842">
            <v>0</v>
          </cell>
        </row>
        <row r="843">
          <cell r="A843">
            <v>0</v>
          </cell>
        </row>
        <row r="844">
          <cell r="A844">
            <v>0</v>
          </cell>
        </row>
        <row r="845">
          <cell r="A845">
            <v>0</v>
          </cell>
        </row>
        <row r="846">
          <cell r="A846">
            <v>0</v>
          </cell>
        </row>
        <row r="847">
          <cell r="A847">
            <v>0</v>
          </cell>
        </row>
        <row r="848">
          <cell r="A848">
            <v>0</v>
          </cell>
        </row>
        <row r="849">
          <cell r="A849">
            <v>0</v>
          </cell>
        </row>
        <row r="850">
          <cell r="A850">
            <v>0</v>
          </cell>
        </row>
        <row r="851">
          <cell r="A851">
            <v>0</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row r="1001">
          <cell r="A1001">
            <v>0</v>
          </cell>
        </row>
        <row r="1002">
          <cell r="A1002">
            <v>0</v>
          </cell>
        </row>
        <row r="1003">
          <cell r="A1003">
            <v>0</v>
          </cell>
        </row>
        <row r="1004">
          <cell r="A1004">
            <v>0</v>
          </cell>
        </row>
        <row r="1005">
          <cell r="A1005">
            <v>0</v>
          </cell>
        </row>
        <row r="1006">
          <cell r="A1006">
            <v>0</v>
          </cell>
        </row>
        <row r="1007">
          <cell r="A1007">
            <v>0</v>
          </cell>
        </row>
        <row r="1008">
          <cell r="A1008">
            <v>0</v>
          </cell>
        </row>
        <row r="1009">
          <cell r="A1009">
            <v>0</v>
          </cell>
        </row>
        <row r="1010">
          <cell r="A1010">
            <v>0</v>
          </cell>
        </row>
        <row r="1011">
          <cell r="A1011">
            <v>0</v>
          </cell>
        </row>
        <row r="1012">
          <cell r="A1012">
            <v>0</v>
          </cell>
        </row>
        <row r="1013">
          <cell r="A1013">
            <v>0</v>
          </cell>
        </row>
        <row r="1014">
          <cell r="A1014">
            <v>0</v>
          </cell>
        </row>
        <row r="1015">
          <cell r="A1015">
            <v>0</v>
          </cell>
        </row>
        <row r="1016">
          <cell r="A1016">
            <v>0</v>
          </cell>
        </row>
        <row r="1017">
          <cell r="A1017">
            <v>0</v>
          </cell>
        </row>
        <row r="1018">
          <cell r="A1018">
            <v>0</v>
          </cell>
        </row>
        <row r="1019">
          <cell r="A1019">
            <v>0</v>
          </cell>
        </row>
        <row r="1020">
          <cell r="A1020">
            <v>0</v>
          </cell>
        </row>
        <row r="1021">
          <cell r="A1021">
            <v>0</v>
          </cell>
        </row>
        <row r="1022">
          <cell r="A1022">
            <v>0</v>
          </cell>
        </row>
        <row r="1023">
          <cell r="A1023">
            <v>0</v>
          </cell>
        </row>
        <row r="1024">
          <cell r="A1024">
            <v>0</v>
          </cell>
        </row>
        <row r="1025">
          <cell r="A1025">
            <v>0</v>
          </cell>
        </row>
        <row r="1026">
          <cell r="A1026">
            <v>0</v>
          </cell>
        </row>
        <row r="1027">
          <cell r="A1027">
            <v>0</v>
          </cell>
        </row>
        <row r="1028">
          <cell r="A1028">
            <v>0</v>
          </cell>
        </row>
        <row r="1029">
          <cell r="A1029">
            <v>0</v>
          </cell>
        </row>
        <row r="1030">
          <cell r="A1030">
            <v>0</v>
          </cell>
        </row>
        <row r="1031">
          <cell r="A1031">
            <v>0</v>
          </cell>
        </row>
        <row r="1032">
          <cell r="A1032">
            <v>0</v>
          </cell>
        </row>
        <row r="1033">
          <cell r="A1033">
            <v>0</v>
          </cell>
        </row>
        <row r="1034">
          <cell r="A1034">
            <v>0</v>
          </cell>
        </row>
        <row r="1035">
          <cell r="A1035">
            <v>0</v>
          </cell>
        </row>
        <row r="1036">
          <cell r="A1036">
            <v>0</v>
          </cell>
        </row>
        <row r="1037">
          <cell r="A1037">
            <v>0</v>
          </cell>
        </row>
        <row r="1038">
          <cell r="A1038">
            <v>0</v>
          </cell>
        </row>
        <row r="1039">
          <cell r="A1039">
            <v>0</v>
          </cell>
        </row>
      </sheetData>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Presupuesto (2)"/>
      <sheetName val="Datos"/>
      <sheetName val="Base Datos"/>
      <sheetName val="1.1"/>
      <sheetName val="1.2"/>
      <sheetName val="2.1"/>
      <sheetName val="2.2"/>
      <sheetName val="3.1"/>
      <sheetName val="3.2"/>
      <sheetName val="3.3"/>
      <sheetName val="3.4"/>
      <sheetName val="3.5"/>
      <sheetName val="3.6"/>
      <sheetName val="4.1"/>
      <sheetName val="5.1"/>
      <sheetName val="5.2"/>
      <sheetName val="5.3"/>
      <sheetName val="5.4"/>
      <sheetName val="6.1"/>
      <sheetName val="7.1"/>
      <sheetName val="C123"/>
      <sheetName val="M14"/>
      <sheetName val="Personalizar"/>
      <sheetName val="PRECIO.MAT"/>
      <sheetName val="JORNALES"/>
      <sheetName val="ATHE"/>
      <sheetName val="APU"/>
      <sheetName val="APUDETA."/>
    </sheetNames>
    <sheetDataSet>
      <sheetData sheetId="0" refreshError="1"/>
      <sheetData sheetId="1" refreshError="1"/>
      <sheetData sheetId="2" refreshError="1"/>
      <sheetData sheetId="3" refreshError="1">
        <row r="228">
          <cell r="B228" t="str">
            <v>HERRAMIENTA MENOR</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Resultados"/>
      <sheetName val="REVISIONES"/>
      <sheetName val="deuda"/>
      <sheetName val="Base Datos"/>
      <sheetName val="INSUMOS"/>
      <sheetName val="Insum"/>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REDUCIDO"/>
    </sheetNames>
    <sheetDataSet>
      <sheetData sheetId="0"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FF-01"/>
      <sheetName val="COSTOS"/>
      <sheetName val="UNIT."/>
      <sheetName val="FICHA_EBI_1_de_6_"/>
      <sheetName val="FICHA_EBI_2_de_6"/>
      <sheetName val="FICHA_EBI_3_de_6"/>
      <sheetName val="FICHA_EBI_4_DE_6"/>
      <sheetName val="FICHA_EBI_5_DE_6"/>
      <sheetName val="UNIT_"/>
      <sheetName val="FICHA_EBI_1_de_6_1"/>
      <sheetName val="FICHA_EBI_2_de_61"/>
      <sheetName val="FICHA_EBI_3_de_61"/>
      <sheetName val="FICHA_EBI_4_DE_61"/>
      <sheetName val="FICHA_EBI_5_DE_61"/>
      <sheetName val="UNIT_1"/>
      <sheetName val="FICHA_EBI_1_de_6_2"/>
      <sheetName val="FICHA_EBI_2_de_62"/>
      <sheetName val="FICHA_EBI_3_de_62"/>
      <sheetName val="FICHA_EBI_4_DE_62"/>
      <sheetName val="FICHA_EBI_5_DE_62"/>
      <sheetName val="UNIT_2"/>
      <sheetName val="FICHA_EBI_1_de_6_3"/>
      <sheetName val="FICHA_EBI_2_de_63"/>
      <sheetName val="FICHA_EBI_3_de_63"/>
      <sheetName val="FICHA_EBI_4_DE_63"/>
      <sheetName val="FICHA_EBI_5_DE_63"/>
      <sheetName val="UNIT_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mpilado"/>
      <sheetName val="Base Datos"/>
      <sheetName val="Presupuesto"/>
      <sheetName val="GUADUA"/>
      <sheetName val="C123"/>
      <sheetName val="M14"/>
      <sheetName val="1.1"/>
      <sheetName val="1,2"/>
      <sheetName val="1,3"/>
      <sheetName val="2,1"/>
      <sheetName val="2,2"/>
      <sheetName val="2,3"/>
      <sheetName val="3,1"/>
      <sheetName val="3,3"/>
      <sheetName val="4.1"/>
      <sheetName val="5,1"/>
      <sheetName val="5,2"/>
      <sheetName val="5,3"/>
      <sheetName val="6,1"/>
      <sheetName val="7,1"/>
      <sheetName val="7,2"/>
      <sheetName val="7,3"/>
      <sheetName val="8,1"/>
      <sheetName val="8,2"/>
      <sheetName val="9,1"/>
      <sheetName val="9,2"/>
      <sheetName val="9,3"/>
      <sheetName val="10,1"/>
    </sheetNames>
    <sheetDataSet>
      <sheetData sheetId="0"/>
      <sheetData sheetId="1">
        <row r="4">
          <cell r="B4" t="str">
            <v xml:space="preserve"> </v>
          </cell>
        </row>
      </sheetData>
      <sheetData sheetId="2">
        <row r="4">
          <cell r="B4" t="str">
            <v xml:space="preserve"> </v>
          </cell>
        </row>
        <row r="5">
          <cell r="B5" t="str">
            <v>VALOR</v>
          </cell>
          <cell r="C5" t="str">
            <v>NOMBRE</v>
          </cell>
        </row>
        <row r="7">
          <cell r="B7">
            <v>0.1</v>
          </cell>
          <cell r="C7" t="str">
            <v>ADMINISTRACION</v>
          </cell>
        </row>
        <row r="8">
          <cell r="B8">
            <v>0.05</v>
          </cell>
          <cell r="C8" t="str">
            <v>IMPREVISTOS</v>
          </cell>
        </row>
        <row r="9">
          <cell r="B9">
            <v>0</v>
          </cell>
          <cell r="C9" t="str">
            <v>UTILIDAD</v>
          </cell>
        </row>
        <row r="10">
          <cell r="B10">
            <v>0.15000000000000002</v>
          </cell>
          <cell r="C10" t="str">
            <v>AIU</v>
          </cell>
        </row>
        <row r="11">
          <cell r="B11">
            <v>0.93</v>
          </cell>
          <cell r="C11" t="str">
            <v>PREST SOCIALES</v>
          </cell>
        </row>
        <row r="12">
          <cell r="C12" t="str">
            <v>IVA</v>
          </cell>
        </row>
        <row r="19">
          <cell r="B19" t="str">
            <v>NOMBRE</v>
          </cell>
          <cell r="C19" t="str">
            <v>UNIDAD</v>
          </cell>
          <cell r="D19" t="str">
            <v>PRECIO</v>
          </cell>
        </row>
        <row r="20">
          <cell r="B20" t="str">
            <v>RETROEXCAVADORA</v>
          </cell>
          <cell r="C20" t="str">
            <v>HORA</v>
          </cell>
          <cell r="D20">
            <v>50000</v>
          </cell>
          <cell r="E20">
            <v>0</v>
          </cell>
          <cell r="F20">
            <v>0</v>
          </cell>
        </row>
        <row r="21">
          <cell r="B21" t="str">
            <v>BULLDOZER D6</v>
          </cell>
          <cell r="C21" t="str">
            <v>HORA</v>
          </cell>
          <cell r="D21">
            <v>45000</v>
          </cell>
          <cell r="E21">
            <v>0</v>
          </cell>
          <cell r="F21">
            <v>0</v>
          </cell>
        </row>
        <row r="22">
          <cell r="B22" t="str">
            <v>BULLDOZER D8</v>
          </cell>
          <cell r="C22" t="str">
            <v>HORA</v>
          </cell>
          <cell r="D22">
            <v>85000</v>
          </cell>
          <cell r="E22">
            <v>0</v>
          </cell>
          <cell r="F22">
            <v>0</v>
          </cell>
        </row>
        <row r="23">
          <cell r="B23" t="str">
            <v>MOTONIVELADORA</v>
          </cell>
          <cell r="C23" t="str">
            <v>HORA</v>
          </cell>
          <cell r="D23">
            <v>50000</v>
          </cell>
          <cell r="E23">
            <v>0</v>
          </cell>
          <cell r="F23">
            <v>0</v>
          </cell>
        </row>
        <row r="24">
          <cell r="B24" t="str">
            <v>VIBROCOMPACTADOR</v>
          </cell>
          <cell r="C24" t="str">
            <v>DIA</v>
          </cell>
          <cell r="D24">
            <v>35000</v>
          </cell>
          <cell r="E24">
            <v>0</v>
          </cell>
          <cell r="F24">
            <v>0</v>
          </cell>
        </row>
        <row r="25">
          <cell r="B25" t="str">
            <v>CARROTANQUE</v>
          </cell>
          <cell r="C25" t="str">
            <v>HORA</v>
          </cell>
          <cell r="E25">
            <v>0</v>
          </cell>
          <cell r="F25">
            <v>0</v>
          </cell>
        </row>
        <row r="26">
          <cell r="B26" t="str">
            <v>RETROCARGADOR</v>
          </cell>
          <cell r="C26" t="str">
            <v>HORA</v>
          </cell>
          <cell r="E26">
            <v>0</v>
          </cell>
          <cell r="F26">
            <v>0</v>
          </cell>
        </row>
        <row r="27">
          <cell r="B27" t="str">
            <v xml:space="preserve">VOLQUETA </v>
          </cell>
          <cell r="C27" t="str">
            <v>M3</v>
          </cell>
          <cell r="D27">
            <v>2500</v>
          </cell>
          <cell r="E27">
            <v>0</v>
          </cell>
          <cell r="F27">
            <v>0</v>
          </cell>
        </row>
        <row r="28">
          <cell r="B28" t="str">
            <v>VOLQUETA POR HORAS</v>
          </cell>
          <cell r="C28" t="str">
            <v>HORA</v>
          </cell>
          <cell r="D28">
            <v>400</v>
          </cell>
          <cell r="E28">
            <v>0</v>
          </cell>
          <cell r="F28">
            <v>0</v>
          </cell>
        </row>
        <row r="29">
          <cell r="B29" t="str">
            <v>MEZCLADORA</v>
          </cell>
          <cell r="C29" t="str">
            <v>HORA</v>
          </cell>
          <cell r="D29">
            <v>9000</v>
          </cell>
          <cell r="E29">
            <v>0</v>
          </cell>
          <cell r="F29">
            <v>0</v>
          </cell>
        </row>
        <row r="30">
          <cell r="B30" t="str">
            <v>VIBRADOR ELECTRICO</v>
          </cell>
          <cell r="C30" t="str">
            <v>d/M</v>
          </cell>
          <cell r="D30">
            <v>35000</v>
          </cell>
          <cell r="E30">
            <v>0</v>
          </cell>
          <cell r="F30">
            <v>0</v>
          </cell>
        </row>
        <row r="31">
          <cell r="B31" t="str">
            <v>EQ. DE PERFORACION</v>
          </cell>
          <cell r="C31" t="str">
            <v>HORA</v>
          </cell>
          <cell r="D31">
            <v>25000</v>
          </cell>
          <cell r="E31">
            <v>0</v>
          </cell>
          <cell r="F31">
            <v>0</v>
          </cell>
        </row>
        <row r="32">
          <cell r="B32" t="str">
            <v xml:space="preserve">ANDAMIO METALICO </v>
          </cell>
          <cell r="C32" t="str">
            <v>d/M</v>
          </cell>
          <cell r="D32">
            <v>800</v>
          </cell>
          <cell r="E32">
            <v>0</v>
          </cell>
          <cell r="F32">
            <v>0</v>
          </cell>
        </row>
        <row r="33">
          <cell r="B33" t="str">
            <v>COMPRESOR</v>
          </cell>
          <cell r="C33" t="str">
            <v>HORA</v>
          </cell>
          <cell r="D33">
            <v>5000</v>
          </cell>
          <cell r="E33">
            <v>0</v>
          </cell>
          <cell r="F33">
            <v>0</v>
          </cell>
        </row>
        <row r="34">
          <cell r="B34" t="str">
            <v>MOTOBOMA</v>
          </cell>
          <cell r="C34" t="str">
            <v>HORA</v>
          </cell>
          <cell r="D34">
            <v>20000</v>
          </cell>
          <cell r="E34">
            <v>0</v>
          </cell>
          <cell r="F34">
            <v>0</v>
          </cell>
        </row>
        <row r="35">
          <cell r="B35" t="str">
            <v>VOLQUETA</v>
          </cell>
          <cell r="C35" t="str">
            <v>M3/KM</v>
          </cell>
          <cell r="D35">
            <v>300</v>
          </cell>
          <cell r="E35">
            <v>0</v>
          </cell>
          <cell r="F35">
            <v>0</v>
          </cell>
        </row>
        <row r="36">
          <cell r="B36" t="str">
            <v>EQUIPO DE TOPOGRAFIA</v>
          </cell>
          <cell r="C36" t="str">
            <v>DIA</v>
          </cell>
          <cell r="D36">
            <v>80000</v>
          </cell>
          <cell r="E36">
            <v>0</v>
          </cell>
          <cell r="F36">
            <v>0</v>
          </cell>
        </row>
        <row r="37">
          <cell r="B37" t="str">
            <v>XXX</v>
          </cell>
          <cell r="C37" t="str">
            <v>HORA</v>
          </cell>
          <cell r="E37">
            <v>0</v>
          </cell>
          <cell r="F37">
            <v>0</v>
          </cell>
        </row>
        <row r="38">
          <cell r="B38" t="str">
            <v>XXX</v>
          </cell>
          <cell r="C38" t="str">
            <v>HORA</v>
          </cell>
          <cell r="E38">
            <v>0</v>
          </cell>
          <cell r="F38">
            <v>0</v>
          </cell>
        </row>
        <row r="39">
          <cell r="B39" t="str">
            <v>XXX</v>
          </cell>
          <cell r="C39" t="str">
            <v>HORA</v>
          </cell>
          <cell r="E39">
            <v>0</v>
          </cell>
          <cell r="F39">
            <v>0</v>
          </cell>
        </row>
        <row r="42">
          <cell r="B42" t="str">
            <v>NOMBRE</v>
          </cell>
          <cell r="C42" t="str">
            <v>UNIDAD</v>
          </cell>
          <cell r="D42" t="str">
            <v>PRECIO</v>
          </cell>
        </row>
        <row r="43">
          <cell r="B43" t="str">
            <v>ARENA</v>
          </cell>
          <cell r="C43" t="str">
            <v>M3</v>
          </cell>
          <cell r="D43">
            <v>9000</v>
          </cell>
          <cell r="E43">
            <v>0</v>
          </cell>
        </row>
        <row r="44">
          <cell r="B44" t="str">
            <v>TRITURADO</v>
          </cell>
          <cell r="C44" t="str">
            <v>M3</v>
          </cell>
          <cell r="D44">
            <v>65000</v>
          </cell>
          <cell r="E44">
            <v>0</v>
          </cell>
        </row>
        <row r="45">
          <cell r="B45" t="str">
            <v>CEMENTO</v>
          </cell>
          <cell r="C45" t="str">
            <v>KG</v>
          </cell>
          <cell r="D45">
            <v>450</v>
          </cell>
          <cell r="E45">
            <v>0</v>
          </cell>
        </row>
        <row r="46">
          <cell r="B46" t="str">
            <v>AGUA</v>
          </cell>
          <cell r="C46" t="str">
            <v>LT</v>
          </cell>
          <cell r="D46">
            <v>10</v>
          </cell>
          <cell r="E46">
            <v>0</v>
          </cell>
        </row>
        <row r="47">
          <cell r="B47" t="str">
            <v>BLOQUE DE CEMENTO H-10</v>
          </cell>
          <cell r="C47" t="str">
            <v>UND</v>
          </cell>
          <cell r="D47">
            <v>650</v>
          </cell>
          <cell r="E47">
            <v>0</v>
          </cell>
        </row>
        <row r="48">
          <cell r="B48" t="str">
            <v>BLOQUE MACIZO DE CEMENTO 0.1×0.2×0.4</v>
          </cell>
          <cell r="C48" t="str">
            <v>UND</v>
          </cell>
          <cell r="D48">
            <v>700</v>
          </cell>
          <cell r="E48">
            <v>0</v>
          </cell>
        </row>
        <row r="49">
          <cell r="B49" t="str">
            <v>FLANCHE a=0,5m  LAMINA LISA  ZINC CAL. 25</v>
          </cell>
          <cell r="C49" t="str">
            <v>ML</v>
          </cell>
          <cell r="D49">
            <v>3115</v>
          </cell>
          <cell r="E49">
            <v>0</v>
          </cell>
        </row>
        <row r="50">
          <cell r="B50" t="str">
            <v>ALAMBRE NEGRO</v>
          </cell>
          <cell r="C50" t="str">
            <v>KG</v>
          </cell>
          <cell r="D50">
            <v>2000</v>
          </cell>
          <cell r="E50">
            <v>0</v>
          </cell>
        </row>
        <row r="51">
          <cell r="B51" t="str">
            <v>PLATINA 1/4"* 4"</v>
          </cell>
          <cell r="C51" t="str">
            <v>ML</v>
          </cell>
          <cell r="D51">
            <v>5000</v>
          </cell>
          <cell r="E51">
            <v>0</v>
          </cell>
        </row>
        <row r="52">
          <cell r="B52" t="str">
            <v>TUBERIA PVC PRESION RDE 13.5  Ø=½"</v>
          </cell>
          <cell r="C52" t="str">
            <v>ML</v>
          </cell>
          <cell r="D52">
            <v>1000</v>
          </cell>
          <cell r="E52">
            <v>0</v>
          </cell>
        </row>
        <row r="53">
          <cell r="B53" t="str">
            <v>TUBERIA PVC PRESION RDE 21  Ø=3/4"</v>
          </cell>
          <cell r="C53" t="str">
            <v>ML</v>
          </cell>
          <cell r="D53">
            <v>1766</v>
          </cell>
          <cell r="E53">
            <v>0</v>
          </cell>
        </row>
        <row r="54">
          <cell r="B54" t="str">
            <v>TUBERIA PVC PRESION RDE 21  Ø=1"</v>
          </cell>
          <cell r="C54" t="str">
            <v>ML</v>
          </cell>
          <cell r="D54">
            <v>1850</v>
          </cell>
          <cell r="E54">
            <v>0</v>
          </cell>
        </row>
        <row r="55">
          <cell r="B55" t="str">
            <v>TUBERIA PVC PRESION RDE 21  Ø=1½"</v>
          </cell>
          <cell r="C55" t="str">
            <v>ML</v>
          </cell>
          <cell r="D55">
            <v>4267</v>
          </cell>
          <cell r="E55">
            <v>0</v>
          </cell>
        </row>
        <row r="56">
          <cell r="B56" t="str">
            <v>TUBERIA PVC PRESION RDE 26  Ø=3"</v>
          </cell>
          <cell r="C56" t="str">
            <v>ML</v>
          </cell>
          <cell r="D56">
            <v>14956</v>
          </cell>
          <cell r="E56">
            <v>0</v>
          </cell>
        </row>
        <row r="57">
          <cell r="B57" t="str">
            <v>ACCESORIOS PVC PRESION Ø=½"</v>
          </cell>
          <cell r="C57" t="str">
            <v>ML</v>
          </cell>
          <cell r="D57">
            <v>500</v>
          </cell>
          <cell r="E57">
            <v>0</v>
          </cell>
        </row>
        <row r="58">
          <cell r="B58" t="str">
            <v>TUBERIA PVC RDE 21  4"</v>
          </cell>
          <cell r="C58" t="str">
            <v>ML</v>
          </cell>
          <cell r="D58">
            <v>6000</v>
          </cell>
          <cell r="E58">
            <v>0</v>
          </cell>
        </row>
        <row r="59">
          <cell r="B59" t="str">
            <v>CODO 90° PVC PRESION Ø=½"</v>
          </cell>
          <cell r="C59" t="str">
            <v>UND</v>
          </cell>
          <cell r="D59">
            <v>300</v>
          </cell>
          <cell r="E59">
            <v>0</v>
          </cell>
        </row>
        <row r="60">
          <cell r="B60" t="str">
            <v>CODO 90° PVC PRESION Ø=3/4"</v>
          </cell>
          <cell r="C60" t="str">
            <v>UND</v>
          </cell>
          <cell r="D60">
            <v>420</v>
          </cell>
          <cell r="E60">
            <v>0</v>
          </cell>
        </row>
        <row r="61">
          <cell r="B61" t="str">
            <v>CODO 90° PVC PRESION Ø=1"</v>
          </cell>
          <cell r="C61" t="str">
            <v>UND</v>
          </cell>
          <cell r="D61">
            <v>800</v>
          </cell>
          <cell r="E61">
            <v>0</v>
          </cell>
        </row>
        <row r="62">
          <cell r="B62" t="str">
            <v>CODO 90° PVC PRESION Ø=1½"</v>
          </cell>
          <cell r="C62" t="str">
            <v>UND</v>
          </cell>
          <cell r="D62">
            <v>2900</v>
          </cell>
          <cell r="E62">
            <v>0</v>
          </cell>
        </row>
        <row r="63">
          <cell r="B63" t="str">
            <v>TEE PVC PRESION Ø=½"</v>
          </cell>
          <cell r="C63" t="str">
            <v>UND</v>
          </cell>
          <cell r="D63">
            <v>400</v>
          </cell>
          <cell r="E63">
            <v>0</v>
          </cell>
        </row>
        <row r="64">
          <cell r="B64" t="str">
            <v>REGISTRO DE 3/4" CORTE</v>
          </cell>
          <cell r="C64" t="str">
            <v>UND</v>
          </cell>
          <cell r="D64">
            <v>24200</v>
          </cell>
          <cell r="E64">
            <v>0</v>
          </cell>
        </row>
        <row r="65">
          <cell r="B65" t="str">
            <v>LIMPIADOR PVC</v>
          </cell>
          <cell r="C65" t="str">
            <v>¼ GAL</v>
          </cell>
          <cell r="D65">
            <v>14200</v>
          </cell>
          <cell r="E65">
            <v>0</v>
          </cell>
        </row>
        <row r="66">
          <cell r="B66" t="str">
            <v>SOLDADURA PVC</v>
          </cell>
          <cell r="C66" t="str">
            <v>¼ GAL</v>
          </cell>
          <cell r="D66">
            <v>32900</v>
          </cell>
          <cell r="E66">
            <v>0</v>
          </cell>
        </row>
        <row r="67">
          <cell r="B67" t="str">
            <v>CODO 90° PVC PRESION Ø=½"</v>
          </cell>
          <cell r="C67" t="str">
            <v>UND</v>
          </cell>
          <cell r="D67">
            <v>300</v>
          </cell>
          <cell r="E67">
            <v>0</v>
          </cell>
        </row>
        <row r="68">
          <cell r="B68" t="str">
            <v>REGISTRO DE INCORPORACION</v>
          </cell>
          <cell r="C68" t="str">
            <v>UND</v>
          </cell>
          <cell r="D68">
            <v>1500</v>
          </cell>
          <cell r="E68">
            <v>0</v>
          </cell>
        </row>
        <row r="69">
          <cell r="B69" t="str">
            <v>MANGUERA FLEXIBLE</v>
          </cell>
          <cell r="C69" t="str">
            <v>ML</v>
          </cell>
          <cell r="D69">
            <v>1500</v>
          </cell>
          <cell r="E69">
            <v>0</v>
          </cell>
        </row>
        <row r="70">
          <cell r="B70" t="str">
            <v>TUBO PVC SANITARIO Ø=2"</v>
          </cell>
          <cell r="C70" t="str">
            <v>ML</v>
          </cell>
          <cell r="D70">
            <v>3250</v>
          </cell>
          <cell r="E70">
            <v>0</v>
          </cell>
        </row>
        <row r="71">
          <cell r="B71" t="str">
            <v>TUBO PVC SANITARIO Ø=3"</v>
          </cell>
          <cell r="C71" t="str">
            <v>ML</v>
          </cell>
          <cell r="D71">
            <v>3251</v>
          </cell>
          <cell r="E71">
            <v>0</v>
          </cell>
        </row>
        <row r="72">
          <cell r="B72" t="str">
            <v>TUBO PVC SANITARIO Ø=4"</v>
          </cell>
          <cell r="C72" t="str">
            <v>ML</v>
          </cell>
          <cell r="D72">
            <v>7886</v>
          </cell>
          <cell r="E72">
            <v>0</v>
          </cell>
        </row>
        <row r="73">
          <cell r="B73" t="str">
            <v>CODO PVC-S 1/8 C*C Ø=2"</v>
          </cell>
          <cell r="C73" t="str">
            <v>UND</v>
          </cell>
          <cell r="D73">
            <v>1500</v>
          </cell>
          <cell r="E73">
            <v>0</v>
          </cell>
        </row>
        <row r="74">
          <cell r="B74" t="str">
            <v>CODO PVC-S 1/8 C*C Ø=4"</v>
          </cell>
          <cell r="C74" t="str">
            <v>UND</v>
          </cell>
          <cell r="D74">
            <v>9000</v>
          </cell>
        </row>
        <row r="75">
          <cell r="B75" t="str">
            <v>CODO PVC-S 1/8 C*C Ø=3"</v>
          </cell>
          <cell r="C75" t="str">
            <v>UND</v>
          </cell>
          <cell r="D75">
            <v>3000</v>
          </cell>
          <cell r="E75">
            <v>0</v>
          </cell>
        </row>
        <row r="77">
          <cell r="B77" t="str">
            <v>BUJE SOLDADO PVC-S Ø=4"×2"</v>
          </cell>
          <cell r="C77" t="str">
            <v>UND</v>
          </cell>
          <cell r="D77">
            <v>3818</v>
          </cell>
          <cell r="E77">
            <v>0</v>
          </cell>
        </row>
        <row r="78">
          <cell r="B78" t="str">
            <v>YEE PVC-S Ø=4"</v>
          </cell>
          <cell r="C78" t="str">
            <v>UND</v>
          </cell>
          <cell r="D78">
            <v>7800</v>
          </cell>
          <cell r="E78">
            <v>0</v>
          </cell>
        </row>
        <row r="79">
          <cell r="B79" t="str">
            <v>UNION PVC Ø=1/2"PRESION</v>
          </cell>
          <cell r="C79" t="str">
            <v>UND</v>
          </cell>
          <cell r="D79">
            <v>300</v>
          </cell>
          <cell r="E79">
            <v>0</v>
          </cell>
        </row>
        <row r="80">
          <cell r="B80" t="str">
            <v>UNION PVC-S Ø=3"</v>
          </cell>
          <cell r="C80" t="str">
            <v>UND</v>
          </cell>
          <cell r="D80">
            <v>2000</v>
          </cell>
          <cell r="E80">
            <v>0</v>
          </cell>
        </row>
        <row r="81">
          <cell r="B81" t="str">
            <v>UNION PVC-S Ø=4"</v>
          </cell>
          <cell r="C81" t="str">
            <v>UND</v>
          </cell>
          <cell r="D81">
            <v>2001</v>
          </cell>
          <cell r="E81">
            <v>0</v>
          </cell>
        </row>
        <row r="82">
          <cell r="B82" t="str">
            <v>ASFALTO SOLIDO</v>
          </cell>
          <cell r="C82" t="str">
            <v>KG</v>
          </cell>
          <cell r="D82">
            <v>200</v>
          </cell>
          <cell r="E82">
            <v>0</v>
          </cell>
        </row>
        <row r="83">
          <cell r="B83" t="str">
            <v>ACRILICO TRANSPARENTE</v>
          </cell>
          <cell r="C83" t="str">
            <v>M2</v>
          </cell>
          <cell r="D83">
            <v>60000</v>
          </cell>
          <cell r="E83">
            <v>0</v>
          </cell>
        </row>
        <row r="84">
          <cell r="B84" t="str">
            <v>ARMADURA METALICA</v>
          </cell>
          <cell r="C84" t="str">
            <v>ML</v>
          </cell>
          <cell r="D84">
            <v>22000</v>
          </cell>
          <cell r="E84">
            <v>0</v>
          </cell>
        </row>
        <row r="85">
          <cell r="B85" t="str">
            <v>PINTURA DE VINILO</v>
          </cell>
          <cell r="C85" t="str">
            <v>GAL</v>
          </cell>
          <cell r="D85">
            <v>38000</v>
          </cell>
          <cell r="E85">
            <v>0</v>
          </cell>
        </row>
        <row r="86">
          <cell r="B86" t="str">
            <v>HOJA METALICA Cal 20</v>
          </cell>
          <cell r="C86" t="str">
            <v>M2</v>
          </cell>
          <cell r="D86">
            <v>9500</v>
          </cell>
        </row>
        <row r="87">
          <cell r="B87" t="str">
            <v>LISTON DE MADERA 1½" × 3"</v>
          </cell>
          <cell r="C87" t="str">
            <v>ML</v>
          </cell>
          <cell r="D87">
            <v>1800</v>
          </cell>
        </row>
        <row r="88">
          <cell r="B88" t="str">
            <v>LISTON DE MADERA 2" × 4"</v>
          </cell>
          <cell r="C88" t="str">
            <v>ML</v>
          </cell>
          <cell r="D88">
            <v>2300</v>
          </cell>
        </row>
        <row r="89">
          <cell r="B89" t="str">
            <v>VIDRIO</v>
          </cell>
          <cell r="C89" t="str">
            <v>M2</v>
          </cell>
          <cell r="D89">
            <v>17500</v>
          </cell>
        </row>
        <row r="90">
          <cell r="B90" t="str">
            <v>TEJA ONDULADA ETERNIT Nº4 (1.2×0.9)</v>
          </cell>
          <cell r="C90" t="str">
            <v>M2</v>
          </cell>
          <cell r="D90">
            <v>18000</v>
          </cell>
        </row>
        <row r="91">
          <cell r="B91" t="str">
            <v>TEJA ONDULADA ETERNIT Nº6 (1.8×0.9)</v>
          </cell>
          <cell r="C91" t="str">
            <v>M2</v>
          </cell>
          <cell r="D91">
            <v>25000</v>
          </cell>
        </row>
        <row r="92">
          <cell r="B92" t="str">
            <v>TEJA ONDULADA ETERNIT Nº8 (2.4×0.9)</v>
          </cell>
          <cell r="C92" t="str">
            <v>M2</v>
          </cell>
          <cell r="D92">
            <v>35000</v>
          </cell>
        </row>
        <row r="93">
          <cell r="B93" t="str">
            <v>GANCHO TEJA DE FIBRO CEMENTO</v>
          </cell>
          <cell r="C93" t="str">
            <v>UND</v>
          </cell>
          <cell r="D93">
            <v>350</v>
          </cell>
        </row>
        <row r="94">
          <cell r="B94" t="str">
            <v>AMARRE ALAMBRE TEJA AC</v>
          </cell>
          <cell r="C94" t="str">
            <v>UND</v>
          </cell>
          <cell r="D94">
            <v>50</v>
          </cell>
        </row>
        <row r="95">
          <cell r="B95" t="str">
            <v>ESMALTE DOMESTICO</v>
          </cell>
          <cell r="C95" t="str">
            <v>GAL</v>
          </cell>
          <cell r="D95">
            <v>33700</v>
          </cell>
        </row>
        <row r="96">
          <cell r="B96" t="str">
            <v>TANQUE AJOVER 1000 LTS</v>
          </cell>
          <cell r="C96" t="str">
            <v>UND</v>
          </cell>
          <cell r="D96">
            <v>162500</v>
          </cell>
        </row>
        <row r="97">
          <cell r="B97" t="str">
            <v>TABLA ORDINARIA</v>
          </cell>
          <cell r="C97" t="str">
            <v>ML</v>
          </cell>
          <cell r="D97">
            <v>1500</v>
          </cell>
        </row>
        <row r="98">
          <cell r="B98" t="str">
            <v>PUNTILLAS 2"</v>
          </cell>
          <cell r="C98" t="str">
            <v>LB</v>
          </cell>
          <cell r="D98">
            <v>2000</v>
          </cell>
        </row>
        <row r="99">
          <cell r="B99" t="str">
            <v>PIEDRA BOLA</v>
          </cell>
          <cell r="C99" t="str">
            <v>M3</v>
          </cell>
          <cell r="D99">
            <v>40000</v>
          </cell>
        </row>
        <row r="100">
          <cell r="B100" t="str">
            <v>CABALLETE FIJO ETERNIT</v>
          </cell>
          <cell r="C100" t="str">
            <v>UN</v>
          </cell>
          <cell r="D100">
            <v>23100</v>
          </cell>
        </row>
        <row r="101">
          <cell r="B101" t="str">
            <v>BLOQUE ARCILLA H-5 [8 HUECOS]</v>
          </cell>
          <cell r="C101" t="str">
            <v>UND</v>
          </cell>
          <cell r="D101">
            <v>650</v>
          </cell>
        </row>
        <row r="102">
          <cell r="B102" t="str">
            <v>PINTURA EN ANTICORROSIVO</v>
          </cell>
          <cell r="C102" t="str">
            <v>GAL</v>
          </cell>
          <cell r="D102">
            <v>24800</v>
          </cell>
        </row>
        <row r="103">
          <cell r="B103" t="str">
            <v>CABALLETE FIJO ETERNIT</v>
          </cell>
          <cell r="C103" t="str">
            <v>ML</v>
          </cell>
          <cell r="D103">
            <v>23100</v>
          </cell>
        </row>
        <row r="104">
          <cell r="B104" t="str">
            <v>MARCO MET DE PUERTA CAL 20 e=12</v>
          </cell>
          <cell r="C104" t="str">
            <v>UND</v>
          </cell>
          <cell r="D104">
            <v>52325</v>
          </cell>
        </row>
        <row r="105">
          <cell r="B105" t="str">
            <v>CERRADURA ENTRADA APARTAMENTO</v>
          </cell>
          <cell r="C105" t="str">
            <v>UND</v>
          </cell>
          <cell r="D105">
            <v>38600</v>
          </cell>
        </row>
        <row r="106">
          <cell r="B106" t="str">
            <v>DILATACIONES</v>
          </cell>
          <cell r="C106" t="str">
            <v>ML</v>
          </cell>
          <cell r="D106">
            <v>950</v>
          </cell>
        </row>
        <row r="107">
          <cell r="B107" t="str">
            <v>JUEGO COMPL. 6 PIEZAS ASTROCOLOR</v>
          </cell>
          <cell r="C107" t="str">
            <v>UND</v>
          </cell>
          <cell r="D107">
            <v>41690</v>
          </cell>
        </row>
        <row r="108">
          <cell r="B108" t="str">
            <v>CABLE No 12</v>
          </cell>
          <cell r="C108" t="str">
            <v>ML</v>
          </cell>
          <cell r="D108">
            <v>230</v>
          </cell>
        </row>
        <row r="109">
          <cell r="B109" t="str">
            <v>TUBO CONDUIT TIPO LIVIANO</v>
          </cell>
          <cell r="C109" t="str">
            <v>ML</v>
          </cell>
          <cell r="D109">
            <v>500</v>
          </cell>
        </row>
        <row r="110">
          <cell r="B110" t="str">
            <v>VENTANA EN LAMINA CALIB 20 e= 0.12</v>
          </cell>
          <cell r="C110" t="str">
            <v>M2</v>
          </cell>
          <cell r="D110">
            <v>55000</v>
          </cell>
        </row>
        <row r="111">
          <cell r="B111" t="str">
            <v>LAVAPLATOS INOXIDABLE</v>
          </cell>
          <cell r="C111" t="str">
            <v>UND</v>
          </cell>
          <cell r="D111">
            <v>240500</v>
          </cell>
        </row>
        <row r="112">
          <cell r="B112" t="str">
            <v>MEZCLADOR</v>
          </cell>
          <cell r="C112" t="str">
            <v>UND</v>
          </cell>
          <cell r="D112">
            <v>19000</v>
          </cell>
        </row>
        <row r="113">
          <cell r="B113" t="str">
            <v>MANGUERA 1/2 X 1/2</v>
          </cell>
          <cell r="C113" t="str">
            <v>UND</v>
          </cell>
          <cell r="D113">
            <v>5000</v>
          </cell>
        </row>
        <row r="114">
          <cell r="B114" t="str">
            <v>PINTURA ESMALTE</v>
          </cell>
          <cell r="C114" t="str">
            <v>GAL</v>
          </cell>
          <cell r="D114">
            <v>39500</v>
          </cell>
        </row>
        <row r="115">
          <cell r="B115" t="str">
            <v>PINTURA BARNIZ</v>
          </cell>
          <cell r="C115" t="str">
            <v>GAL</v>
          </cell>
          <cell r="D115">
            <v>25000</v>
          </cell>
        </row>
        <row r="116">
          <cell r="B116" t="str">
            <v>CAL PROMICAL</v>
          </cell>
          <cell r="C116" t="str">
            <v>KG</v>
          </cell>
          <cell r="D116">
            <v>120</v>
          </cell>
        </row>
        <row r="117">
          <cell r="B117" t="str">
            <v>ESTUCO</v>
          </cell>
          <cell r="C117" t="str">
            <v>KG</v>
          </cell>
          <cell r="D117">
            <v>750</v>
          </cell>
        </row>
        <row r="118">
          <cell r="B118" t="str">
            <v>MURO EN BLOUE</v>
          </cell>
          <cell r="C118" t="str">
            <v>M2</v>
          </cell>
          <cell r="D118">
            <v>15800</v>
          </cell>
        </row>
        <row r="119">
          <cell r="B119" t="str">
            <v>DURMIENTES EN MADERA DE .06X.1</v>
          </cell>
          <cell r="C119" t="str">
            <v>ML</v>
          </cell>
          <cell r="D119">
            <v>2000</v>
          </cell>
        </row>
        <row r="120">
          <cell r="B120" t="str">
            <v>MACHIMBRE PARA PISO</v>
          </cell>
          <cell r="C120" t="str">
            <v>M2</v>
          </cell>
          <cell r="D120">
            <v>15000</v>
          </cell>
        </row>
        <row r="121">
          <cell r="B121" t="str">
            <v>PISO DUROPISO</v>
          </cell>
          <cell r="C121" t="str">
            <v>M2</v>
          </cell>
          <cell r="D121">
            <v>15260</v>
          </cell>
        </row>
        <row r="122">
          <cell r="B122" t="str">
            <v>DILATACIONES</v>
          </cell>
          <cell r="C122" t="str">
            <v>ML</v>
          </cell>
          <cell r="D122">
            <v>650</v>
          </cell>
        </row>
        <row r="123">
          <cell r="B123" t="str">
            <v xml:space="preserve">CONCRETO DE 1:2:3 </v>
          </cell>
          <cell r="C123" t="str">
            <v>M3</v>
          </cell>
          <cell r="D123">
            <v>312594</v>
          </cell>
        </row>
        <row r="124">
          <cell r="B124" t="str">
            <v>BREA</v>
          </cell>
          <cell r="C124" t="str">
            <v>KG</v>
          </cell>
          <cell r="D124">
            <v>650</v>
          </cell>
        </row>
        <row r="125">
          <cell r="B125" t="str">
            <v>HIERRO DE REFUERZO Ø=½"</v>
          </cell>
          <cell r="C125" t="str">
            <v>KG</v>
          </cell>
          <cell r="D125">
            <v>1400</v>
          </cell>
        </row>
        <row r="126">
          <cell r="B126" t="str">
            <v>HIERRO DE REFUERZO Ø=3/8"</v>
          </cell>
          <cell r="C126" t="str">
            <v>KG</v>
          </cell>
          <cell r="D126">
            <v>1500</v>
          </cell>
        </row>
        <row r="127">
          <cell r="B127" t="str">
            <v xml:space="preserve">SUB BASE GRANULAR </v>
          </cell>
          <cell r="C127" t="str">
            <v>M3</v>
          </cell>
          <cell r="D127">
            <v>32000</v>
          </cell>
        </row>
        <row r="128">
          <cell r="B128" t="str">
            <v>PEGO PARA LOSA</v>
          </cell>
          <cell r="C128" t="str">
            <v>KG</v>
          </cell>
          <cell r="D128">
            <v>770</v>
          </cell>
        </row>
        <row r="129">
          <cell r="B129" t="str">
            <v>ENCHAPE DE PISOS 0.30x0.30 TIPO PESADO</v>
          </cell>
          <cell r="C129" t="str">
            <v>M2</v>
          </cell>
          <cell r="D129">
            <v>19725</v>
          </cell>
        </row>
        <row r="130">
          <cell r="B130" t="str">
            <v>ENCHAPE DE MUROS</v>
          </cell>
          <cell r="C130" t="str">
            <v>M2</v>
          </cell>
          <cell r="D130">
            <v>15250</v>
          </cell>
        </row>
        <row r="131">
          <cell r="B131" t="str">
            <v>LAMPARA FLUORESCENTE SENCILLA</v>
          </cell>
          <cell r="C131" t="str">
            <v>UND</v>
          </cell>
          <cell r="D131">
            <v>24500</v>
          </cell>
        </row>
        <row r="132">
          <cell r="B132" t="str">
            <v>LAVAMANOS ACUACER</v>
          </cell>
          <cell r="C132" t="str">
            <v>UND</v>
          </cell>
          <cell r="D132">
            <v>17500</v>
          </cell>
        </row>
        <row r="133">
          <cell r="B133" t="str">
            <v>TUBO NOVAFORT 8"</v>
          </cell>
          <cell r="C133" t="str">
            <v>ML</v>
          </cell>
          <cell r="D133">
            <v>19243</v>
          </cell>
        </row>
        <row r="134">
          <cell r="B134" t="str">
            <v>MORTERO 1:4</v>
          </cell>
          <cell r="C134" t="str">
            <v>M3</v>
          </cell>
          <cell r="D134">
            <v>243618</v>
          </cell>
        </row>
        <row r="135">
          <cell r="B135" t="str">
            <v>KEROSENE</v>
          </cell>
          <cell r="C135" t="str">
            <v>GAL</v>
          </cell>
          <cell r="D135">
            <v>2000</v>
          </cell>
        </row>
        <row r="136">
          <cell r="B136" t="str">
            <v>MANTO IMPER. 3mm CON PINTURA PLACA</v>
          </cell>
          <cell r="C136" t="str">
            <v>M2</v>
          </cell>
          <cell r="D136">
            <v>13650</v>
          </cell>
        </row>
        <row r="137">
          <cell r="B137" t="str">
            <v>SANITARIO</v>
          </cell>
          <cell r="C137" t="str">
            <v>UND</v>
          </cell>
          <cell r="D137">
            <v>132810</v>
          </cell>
        </row>
        <row r="138">
          <cell r="B138" t="str">
            <v>UNION PVC-S Ø=4"</v>
          </cell>
          <cell r="C138" t="str">
            <v>UND</v>
          </cell>
          <cell r="D138">
            <v>3080</v>
          </cell>
        </row>
        <row r="139">
          <cell r="B139" t="str">
            <v>ADHESIVO</v>
          </cell>
          <cell r="C139" t="str">
            <v>GAL</v>
          </cell>
          <cell r="D139">
            <v>58000</v>
          </cell>
        </row>
        <row r="140">
          <cell r="B140" t="str">
            <v>ACONDICIONADOR</v>
          </cell>
          <cell r="C140" t="str">
            <v>GAL</v>
          </cell>
          <cell r="D140">
            <v>52812</v>
          </cell>
        </row>
        <row r="141">
          <cell r="B141" t="str">
            <v>CAJA DE INSPECCION  .6 X .6 m</v>
          </cell>
          <cell r="C141" t="str">
            <v>UND</v>
          </cell>
          <cell r="D141">
            <v>40000</v>
          </cell>
        </row>
        <row r="142">
          <cell r="B142" t="str">
            <v>TUBO VENTILACION Ø=4"</v>
          </cell>
          <cell r="C142" t="str">
            <v>ML</v>
          </cell>
          <cell r="D142">
            <v>6318</v>
          </cell>
        </row>
        <row r="143">
          <cell r="B143" t="str">
            <v>CODO 45° PVC-S 1/8 C×C Ø=4"</v>
          </cell>
          <cell r="C143" t="str">
            <v>UND</v>
          </cell>
          <cell r="D143">
            <v>5200</v>
          </cell>
        </row>
        <row r="144">
          <cell r="B144" t="str">
            <v>UNION DE REPARACION DE 10"</v>
          </cell>
          <cell r="C144" t="str">
            <v>UND</v>
          </cell>
          <cell r="D144">
            <v>262478</v>
          </cell>
        </row>
        <row r="145">
          <cell r="B145" t="str">
            <v>REDUCCION HF 10X6</v>
          </cell>
          <cell r="C145" t="str">
            <v>UND</v>
          </cell>
          <cell r="D145">
            <v>191400</v>
          </cell>
        </row>
        <row r="146">
          <cell r="B146" t="str">
            <v>VIGA AMARRE REF (.2mx.2m)</v>
          </cell>
          <cell r="C146" t="str">
            <v>ML</v>
          </cell>
          <cell r="D146">
            <v>25689</v>
          </cell>
        </row>
        <row r="147">
          <cell r="B147" t="str">
            <v>TEE PVC-S Ø=2"</v>
          </cell>
          <cell r="C147" t="str">
            <v>UND</v>
          </cell>
          <cell r="D147">
            <v>2200</v>
          </cell>
        </row>
        <row r="148">
          <cell r="B148" t="str">
            <v>UNION PVC-S Ø=2"</v>
          </cell>
          <cell r="C148" t="str">
            <v>UND</v>
          </cell>
          <cell r="D148">
            <v>2000</v>
          </cell>
        </row>
        <row r="149">
          <cell r="B149" t="str">
            <v>ADAPTADOR HEMBRA PVC-P Ø=3"</v>
          </cell>
          <cell r="C149" t="str">
            <v>UND</v>
          </cell>
          <cell r="D149">
            <v>11633</v>
          </cell>
        </row>
        <row r="150">
          <cell r="B150" t="str">
            <v>TAPON ROSCADO PVC PRESION Ø=3"</v>
          </cell>
          <cell r="C150" t="str">
            <v>UND</v>
          </cell>
          <cell r="D150">
            <v>11063</v>
          </cell>
        </row>
        <row r="151">
          <cell r="B151" t="str">
            <v xml:space="preserve">YEE SANITARIA 3" PVC  </v>
          </cell>
          <cell r="C151" t="str">
            <v>UND</v>
          </cell>
          <cell r="D151">
            <v>6900</v>
          </cell>
        </row>
        <row r="152">
          <cell r="B152" t="str">
            <v>CRUCETA 4X4X2X2 HF</v>
          </cell>
          <cell r="C152" t="str">
            <v>UND</v>
          </cell>
          <cell r="D152">
            <v>63800</v>
          </cell>
        </row>
        <row r="153">
          <cell r="B153" t="str">
            <v>CRUCETA DE 3X3X2X2 HF</v>
          </cell>
          <cell r="C153" t="str">
            <v>UND</v>
          </cell>
          <cell r="D153">
            <v>43384</v>
          </cell>
        </row>
        <row r="154">
          <cell r="B154" t="str">
            <v>TEJA ZINC 3m</v>
          </cell>
          <cell r="C154" t="str">
            <v>UND</v>
          </cell>
          <cell r="D154">
            <v>12500</v>
          </cell>
        </row>
        <row r="155">
          <cell r="B155" t="str">
            <v>REDUCCION 3X2 PVC P</v>
          </cell>
          <cell r="C155" t="str">
            <v>UND</v>
          </cell>
          <cell r="D155">
            <v>5172</v>
          </cell>
        </row>
        <row r="156">
          <cell r="B156" t="str">
            <v>CODO 3" 90 RADIO LARGO</v>
          </cell>
          <cell r="C156" t="str">
            <v>UND</v>
          </cell>
          <cell r="D156">
            <v>35637</v>
          </cell>
        </row>
        <row r="157">
          <cell r="B157" t="str">
            <v>TEE PVC PRESION Ø=½"</v>
          </cell>
          <cell r="C157" t="str">
            <v>UND</v>
          </cell>
          <cell r="D157">
            <v>350</v>
          </cell>
        </row>
        <row r="158">
          <cell r="B158" t="str">
            <v>CRUCETA 2X2X2X2 HF</v>
          </cell>
          <cell r="C158" t="str">
            <v>UND</v>
          </cell>
          <cell r="D158">
            <v>33176</v>
          </cell>
        </row>
        <row r="159">
          <cell r="B159" t="str">
            <v>TAPON PVC P 2"</v>
          </cell>
          <cell r="C159" t="str">
            <v>UND</v>
          </cell>
          <cell r="D159">
            <v>1664</v>
          </cell>
        </row>
        <row r="160">
          <cell r="B160" t="str">
            <v xml:space="preserve">DUCHAS SENCILLA  </v>
          </cell>
          <cell r="C160" t="str">
            <v>UND</v>
          </cell>
          <cell r="D160">
            <v>28500</v>
          </cell>
        </row>
        <row r="161">
          <cell r="B161" t="str">
            <v>LLAVES TERMINAL JARDIN PESADA SATINADA</v>
          </cell>
          <cell r="C161" t="str">
            <v>UND</v>
          </cell>
          <cell r="D161">
            <v>9620</v>
          </cell>
        </row>
        <row r="162">
          <cell r="B162" t="str">
            <v>CAJA DE REGISTRO</v>
          </cell>
          <cell r="C162" t="str">
            <v>UND</v>
          </cell>
          <cell r="D162">
            <v>19500</v>
          </cell>
        </row>
        <row r="163">
          <cell r="B163" t="str">
            <v>TAPA CAJA DE REGISTRO HF</v>
          </cell>
          <cell r="C163" t="str">
            <v>UND</v>
          </cell>
          <cell r="D163">
            <v>25000</v>
          </cell>
        </row>
        <row r="164">
          <cell r="B164" t="str">
            <v>EXCAVACIÓN MANUAL</v>
          </cell>
          <cell r="C164" t="str">
            <v>M3</v>
          </cell>
          <cell r="D164">
            <v>13029</v>
          </cell>
        </row>
        <row r="165">
          <cell r="B165" t="str">
            <v xml:space="preserve">CABALLETE </v>
          </cell>
          <cell r="C165" t="str">
            <v>UND</v>
          </cell>
          <cell r="D165">
            <v>9600</v>
          </cell>
        </row>
        <row r="166">
          <cell r="B166" t="str">
            <v>CEMENTO BLANCO</v>
          </cell>
          <cell r="C166" t="str">
            <v>KG</v>
          </cell>
          <cell r="D166">
            <v>550</v>
          </cell>
        </row>
        <row r="167">
          <cell r="B167" t="str">
            <v>LAVAMANOS SENCILLO CORONA</v>
          </cell>
          <cell r="C167" t="str">
            <v>UND</v>
          </cell>
          <cell r="D167">
            <v>45500</v>
          </cell>
        </row>
        <row r="168">
          <cell r="B168" t="str">
            <v>LLAVES PARA LAVAMANOS GRIFER</v>
          </cell>
          <cell r="C168" t="str">
            <v>UND</v>
          </cell>
          <cell r="D168">
            <v>11700</v>
          </cell>
        </row>
        <row r="169">
          <cell r="B169" t="str">
            <v xml:space="preserve">CURVAS 1/2 T.L </v>
          </cell>
          <cell r="C169" t="str">
            <v>UND</v>
          </cell>
          <cell r="D169">
            <v>100</v>
          </cell>
        </row>
        <row r="170">
          <cell r="B170" t="str">
            <v>CAJAS RECTANGULARES</v>
          </cell>
          <cell r="C170" t="str">
            <v>UND</v>
          </cell>
          <cell r="D170">
            <v>500</v>
          </cell>
        </row>
        <row r="171">
          <cell r="B171" t="str">
            <v>CAJAS OCTOGONALES</v>
          </cell>
          <cell r="C171" t="str">
            <v>UND</v>
          </cell>
          <cell r="D171">
            <v>500</v>
          </cell>
        </row>
        <row r="172">
          <cell r="B172" t="str">
            <v>APAGADOR SENCILLO LUMINEX</v>
          </cell>
          <cell r="C172" t="str">
            <v>UND</v>
          </cell>
          <cell r="D172">
            <v>2700</v>
          </cell>
        </row>
        <row r="173">
          <cell r="B173" t="str">
            <v>APAGADOR DOBLE LUMINEX</v>
          </cell>
          <cell r="C173" t="str">
            <v>UND</v>
          </cell>
          <cell r="D173">
            <v>3900</v>
          </cell>
        </row>
        <row r="174">
          <cell r="B174" t="str">
            <v>TOMA DOBLE</v>
          </cell>
          <cell r="C174" t="str">
            <v>UND</v>
          </cell>
          <cell r="D174">
            <v>3600</v>
          </cell>
        </row>
        <row r="175">
          <cell r="B175" t="str">
            <v>POLO A TIERRA LUMINEX</v>
          </cell>
          <cell r="C175" t="str">
            <v>UND</v>
          </cell>
          <cell r="D175">
            <v>3800</v>
          </cell>
        </row>
        <row r="176">
          <cell r="B176" t="str">
            <v>ACCESORIOS ELECTRICOS</v>
          </cell>
          <cell r="C176" t="str">
            <v>UND</v>
          </cell>
          <cell r="D176">
            <v>4500</v>
          </cell>
        </row>
        <row r="177">
          <cell r="B177" t="str">
            <v>CAJA CONTADOR</v>
          </cell>
          <cell r="C177" t="str">
            <v>UND</v>
          </cell>
          <cell r="D177">
            <v>16500</v>
          </cell>
        </row>
        <row r="178">
          <cell r="B178" t="str">
            <v>TABELON</v>
          </cell>
          <cell r="C178" t="str">
            <v>UND</v>
          </cell>
          <cell r="D178">
            <v>1800</v>
          </cell>
        </row>
        <row r="179">
          <cell r="B179" t="str">
            <v>RIEL IPN 100</v>
          </cell>
          <cell r="C179" t="str">
            <v>ML</v>
          </cell>
          <cell r="D179">
            <v>15250</v>
          </cell>
        </row>
        <row r="180">
          <cell r="B180" t="str">
            <v>ANGULO DE 1 ½"× 1/8"</v>
          </cell>
          <cell r="C180" t="str">
            <v>ML</v>
          </cell>
          <cell r="D180">
            <v>1850</v>
          </cell>
        </row>
        <row r="181">
          <cell r="B181" t="str">
            <v>REJA METALICA EN  TUBO 1 X 1</v>
          </cell>
          <cell r="C181" t="str">
            <v>ML</v>
          </cell>
          <cell r="D181">
            <v>35000</v>
          </cell>
        </row>
        <row r="182">
          <cell r="B182" t="str">
            <v>SOLDADURA 6013 1/8"</v>
          </cell>
          <cell r="C182" t="str">
            <v>KG</v>
          </cell>
          <cell r="D182">
            <v>6000</v>
          </cell>
        </row>
        <row r="183">
          <cell r="B183" t="str">
            <v>PINTURA PARA TABLERO X 1/4</v>
          </cell>
          <cell r="C183" t="str">
            <v>1/4 GAL</v>
          </cell>
          <cell r="D183">
            <v>25000</v>
          </cell>
        </row>
        <row r="184">
          <cell r="B184" t="str">
            <v>RELLENO EN MATERIAL COMUN</v>
          </cell>
          <cell r="C184" t="str">
            <v>M3</v>
          </cell>
          <cell r="D184">
            <v>9000</v>
          </cell>
        </row>
        <row r="185">
          <cell r="B185" t="str">
            <v xml:space="preserve">CANAL METALICA </v>
          </cell>
          <cell r="C185" t="str">
            <v>ML</v>
          </cell>
          <cell r="D185">
            <v>15000</v>
          </cell>
        </row>
        <row r="186">
          <cell r="B186" t="str">
            <v>BISAGRAS</v>
          </cell>
          <cell r="C186" t="str">
            <v>UND</v>
          </cell>
          <cell r="D186">
            <v>2000</v>
          </cell>
        </row>
        <row r="187">
          <cell r="B187" t="str">
            <v>ANCLAJES</v>
          </cell>
          <cell r="C187" t="str">
            <v>UND</v>
          </cell>
          <cell r="D187">
            <v>1000</v>
          </cell>
        </row>
        <row r="188">
          <cell r="B188" t="str">
            <v>CLOSET DE MADERA</v>
          </cell>
          <cell r="C188" t="str">
            <v>UND</v>
          </cell>
          <cell r="D188">
            <v>280000</v>
          </cell>
        </row>
        <row r="189">
          <cell r="B189" t="str">
            <v>LIMPIADOR LIQUIDO</v>
          </cell>
          <cell r="C189" t="str">
            <v>FRASCO</v>
          </cell>
          <cell r="D189">
            <v>3500</v>
          </cell>
        </row>
        <row r="190">
          <cell r="B190" t="str">
            <v>CABLE No 8</v>
          </cell>
          <cell r="C190" t="str">
            <v>ML</v>
          </cell>
          <cell r="D190">
            <v>800</v>
          </cell>
        </row>
        <row r="191">
          <cell r="B191" t="str">
            <v>TACOS 30 AMP</v>
          </cell>
          <cell r="C191" t="str">
            <v>UND</v>
          </cell>
          <cell r="D191">
            <v>4700</v>
          </cell>
        </row>
        <row r="192">
          <cell r="B192" t="str">
            <v>FLOTADOR 3/4</v>
          </cell>
          <cell r="C192" t="str">
            <v>UND</v>
          </cell>
          <cell r="D192">
            <v>15000</v>
          </cell>
        </row>
        <row r="193">
          <cell r="B193" t="str">
            <v>IMPERABILIZANTE SIKA 1</v>
          </cell>
          <cell r="C193" t="str">
            <v>GAL</v>
          </cell>
          <cell r="D193">
            <v>12000</v>
          </cell>
        </row>
        <row r="194">
          <cell r="B194" t="str">
            <v>LADRILLO H-10 8HUECOS</v>
          </cell>
          <cell r="C194" t="str">
            <v>UND</v>
          </cell>
          <cell r="D194">
            <v>750</v>
          </cell>
        </row>
        <row r="195">
          <cell r="B195" t="str">
            <v>LADRILLO H-15 6 HUECOS</v>
          </cell>
          <cell r="C195" t="str">
            <v>UND</v>
          </cell>
          <cell r="D195">
            <v>800</v>
          </cell>
        </row>
        <row r="196">
          <cell r="B196" t="str">
            <v>LADRILLO T-1</v>
          </cell>
          <cell r="C196" t="str">
            <v>UND</v>
          </cell>
          <cell r="D196">
            <v>200</v>
          </cell>
        </row>
        <row r="197">
          <cell r="B197" t="str">
            <v>HIERRO DE REFUERZO Ø=¼"</v>
          </cell>
          <cell r="C197" t="str">
            <v>KG</v>
          </cell>
          <cell r="D197">
            <v>1500</v>
          </cell>
        </row>
        <row r="198">
          <cell r="B198" t="str">
            <v>TUBO GALVANIZADO 2"</v>
          </cell>
          <cell r="C198" t="str">
            <v>ML</v>
          </cell>
          <cell r="D198">
            <v>12900</v>
          </cell>
        </row>
        <row r="199">
          <cell r="B199" t="str">
            <v>TUBO  PVC S 4"</v>
          </cell>
          <cell r="C199" t="str">
            <v>ML</v>
          </cell>
          <cell r="D199">
            <v>6000</v>
          </cell>
        </row>
        <row r="200">
          <cell r="B200" t="str">
            <v>TUBO PVC-S 2"</v>
          </cell>
          <cell r="C200" t="str">
            <v>ML</v>
          </cell>
          <cell r="D200">
            <v>3400</v>
          </cell>
        </row>
        <row r="201">
          <cell r="B201" t="str">
            <v>PINTURA SIKACOLOR</v>
          </cell>
          <cell r="C201" t="str">
            <v>GAL</v>
          </cell>
          <cell r="D201">
            <v>45000</v>
          </cell>
        </row>
        <row r="202">
          <cell r="B202" t="str">
            <v>CERRADURA ALUMN/SAT ALCOBA</v>
          </cell>
          <cell r="C202" t="str">
            <v>UND</v>
          </cell>
          <cell r="D202">
            <v>30000</v>
          </cell>
        </row>
        <row r="203">
          <cell r="B203" t="str">
            <v>PUERTA EN MADERA 1m×2m</v>
          </cell>
          <cell r="C203" t="str">
            <v>UND</v>
          </cell>
          <cell r="D203">
            <v>120000</v>
          </cell>
        </row>
        <row r="204">
          <cell r="B204" t="str">
            <v>CORREA DE ½ X 3/8</v>
          </cell>
          <cell r="C204" t="str">
            <v>ML</v>
          </cell>
          <cell r="D204">
            <v>10500</v>
          </cell>
        </row>
        <row r="205">
          <cell r="B205" t="str">
            <v>LAMINA DE ZINC</v>
          </cell>
          <cell r="C205" t="str">
            <v>M2</v>
          </cell>
          <cell r="D205">
            <v>3800</v>
          </cell>
        </row>
        <row r="206">
          <cell r="B206" t="str">
            <v>TUBO METALICO DE 4" X 2"</v>
          </cell>
          <cell r="C206" t="str">
            <v>ML</v>
          </cell>
          <cell r="D206">
            <v>23000</v>
          </cell>
        </row>
        <row r="207">
          <cell r="B207" t="str">
            <v>MALLA ESLABONADA h = 1,8 mt</v>
          </cell>
          <cell r="C207" t="str">
            <v>ML</v>
          </cell>
          <cell r="D207">
            <v>4000</v>
          </cell>
        </row>
        <row r="208">
          <cell r="B208" t="str">
            <v>PLATINA DE ½ X 3/16</v>
          </cell>
          <cell r="C208" t="str">
            <v>ML</v>
          </cell>
          <cell r="D208">
            <v>1000</v>
          </cell>
        </row>
        <row r="209">
          <cell r="B209" t="str">
            <v>ALAMBRE DE PUA MOTTO 300</v>
          </cell>
          <cell r="C209" t="str">
            <v>ML</v>
          </cell>
          <cell r="D209">
            <v>117</v>
          </cell>
        </row>
        <row r="210">
          <cell r="B210" t="str">
            <v>MALLA ESLABONADA cal. 12 2.5"×2.5"</v>
          </cell>
          <cell r="C210" t="str">
            <v>M2</v>
          </cell>
          <cell r="D210">
            <v>3900</v>
          </cell>
        </row>
        <row r="211">
          <cell r="B211" t="str">
            <v>ANGULO  DE 2" X 1/4"</v>
          </cell>
          <cell r="C211" t="str">
            <v>ML</v>
          </cell>
          <cell r="D211">
            <v>4890</v>
          </cell>
        </row>
        <row r="212">
          <cell r="B212" t="str">
            <v>CIMIENTO CONCR CICLOPEO (.4m×.4m)</v>
          </cell>
          <cell r="C212" t="str">
            <v>M3</v>
          </cell>
          <cell r="D212">
            <v>169947</v>
          </cell>
        </row>
        <row r="213">
          <cell r="B213" t="str">
            <v>TINNER</v>
          </cell>
          <cell r="C213" t="str">
            <v>LT</v>
          </cell>
          <cell r="D213">
            <v>2500</v>
          </cell>
        </row>
        <row r="214">
          <cell r="B214" t="str">
            <v>TUBO METALICO DE 3" X 2"</v>
          </cell>
          <cell r="C214" t="str">
            <v>ML</v>
          </cell>
          <cell r="D214">
            <v>18000</v>
          </cell>
        </row>
        <row r="215">
          <cell r="B215" t="str">
            <v>CIMIENTO CONCR CICLOPEO (0.3m×0.3m)</v>
          </cell>
          <cell r="C215" t="str">
            <v>M3</v>
          </cell>
          <cell r="D215">
            <v>169947</v>
          </cell>
        </row>
        <row r="216">
          <cell r="B216" t="str">
            <v>VIGA AMARRE REF (.15mx.2m)</v>
          </cell>
          <cell r="C216" t="str">
            <v>ML</v>
          </cell>
          <cell r="D216">
            <v>23532</v>
          </cell>
        </row>
        <row r="220">
          <cell r="C220" t="str">
            <v>UND</v>
          </cell>
          <cell r="D220">
            <v>84216</v>
          </cell>
        </row>
        <row r="221">
          <cell r="E221">
            <v>0</v>
          </cell>
        </row>
        <row r="223">
          <cell r="B223" t="str">
            <v>NOMBRE</v>
          </cell>
          <cell r="C223" t="str">
            <v>UNIDAD</v>
          </cell>
          <cell r="D223" t="str">
            <v>PRECIO</v>
          </cell>
        </row>
        <row r="224">
          <cell r="B224" t="str">
            <v>MAESTRO</v>
          </cell>
          <cell r="C224" t="str">
            <v>JORNAL</v>
          </cell>
          <cell r="D224">
            <v>30000</v>
          </cell>
          <cell r="E224">
            <v>0</v>
          </cell>
        </row>
        <row r="225">
          <cell r="B225" t="str">
            <v>OFICIAL</v>
          </cell>
          <cell r="C225" t="str">
            <v>JORNAL</v>
          </cell>
          <cell r="D225">
            <v>20000</v>
          </cell>
          <cell r="E225">
            <v>301852</v>
          </cell>
        </row>
        <row r="226">
          <cell r="B226" t="str">
            <v>OBRERO</v>
          </cell>
          <cell r="C226" t="str">
            <v>JORNAL</v>
          </cell>
          <cell r="D226">
            <v>13200</v>
          </cell>
          <cell r="E226">
            <v>196860</v>
          </cell>
        </row>
        <row r="227">
          <cell r="B227" t="str">
            <v>CUADRILLA DE TOPOGRAFIA 1×2×2</v>
          </cell>
          <cell r="C227" t="str">
            <v>DIA</v>
          </cell>
          <cell r="D227">
            <v>100000</v>
          </cell>
          <cell r="E227">
            <v>0</v>
          </cell>
        </row>
        <row r="228">
          <cell r="B228" t="str">
            <v>METALURGICO</v>
          </cell>
          <cell r="C228" t="str">
            <v>DIA</v>
          </cell>
          <cell r="D228">
            <v>60000</v>
          </cell>
          <cell r="E228">
            <v>0</v>
          </cell>
        </row>
        <row r="229">
          <cell r="B229" t="str">
            <v>TECNICO ELECTRICO</v>
          </cell>
          <cell r="C229" t="str">
            <v>DIA</v>
          </cell>
          <cell r="D229">
            <v>40000</v>
          </cell>
          <cell r="E229">
            <v>0</v>
          </cell>
        </row>
        <row r="230">
          <cell r="B230" t="str">
            <v>SOLDADOR ELECT</v>
          </cell>
          <cell r="C230" t="str">
            <v>DIA</v>
          </cell>
          <cell r="D230">
            <v>24360</v>
          </cell>
          <cell r="E230">
            <v>0</v>
          </cell>
        </row>
        <row r="231">
          <cell r="B231" t="str">
            <v>xxx</v>
          </cell>
          <cell r="E231">
            <v>0</v>
          </cell>
        </row>
        <row r="232">
          <cell r="B232" t="str">
            <v>xxx</v>
          </cell>
          <cell r="E232">
            <v>0</v>
          </cell>
        </row>
        <row r="233">
          <cell r="B233" t="str">
            <v>xxx</v>
          </cell>
          <cell r="E233">
            <v>0</v>
          </cell>
        </row>
        <row r="235">
          <cell r="B235" t="str">
            <v>NOMBRE</v>
          </cell>
          <cell r="C235" t="str">
            <v>UNIDAD</v>
          </cell>
          <cell r="D235" t="str">
            <v>PRECIO</v>
          </cell>
        </row>
        <row r="236">
          <cell r="B236" t="str">
            <v>HERRAMIENTA MENOR</v>
          </cell>
          <cell r="C236" t="str">
            <v>GLB</v>
          </cell>
          <cell r="D236">
            <v>1500</v>
          </cell>
          <cell r="E236">
            <v>49871.200000000004</v>
          </cell>
        </row>
        <row r="237">
          <cell r="B237" t="str">
            <v>FORMALETA</v>
          </cell>
          <cell r="C237" t="str">
            <v>GLB</v>
          </cell>
          <cell r="D237">
            <v>20000</v>
          </cell>
          <cell r="E237">
            <v>0</v>
          </cell>
        </row>
        <row r="238">
          <cell r="B238" t="str">
            <v>ESTACAS MADERA</v>
          </cell>
          <cell r="C238" t="str">
            <v>UND</v>
          </cell>
          <cell r="D238">
            <v>500</v>
          </cell>
          <cell r="E238">
            <v>0</v>
          </cell>
        </row>
        <row r="239">
          <cell r="B239" t="str">
            <v>BOMBA SUMERGIBLE</v>
          </cell>
          <cell r="C239" t="str">
            <v>UND</v>
          </cell>
          <cell r="D239">
            <v>2250000</v>
          </cell>
          <cell r="E239">
            <v>0</v>
          </cell>
        </row>
        <row r="240">
          <cell r="B240" t="str">
            <v>TEJA ACEROLIT</v>
          </cell>
          <cell r="C240" t="str">
            <v>UND</v>
          </cell>
          <cell r="D240">
            <v>15000</v>
          </cell>
          <cell r="E240">
            <v>0</v>
          </cell>
        </row>
        <row r="241">
          <cell r="B241" t="str">
            <v>PUERTA LAM DOB CAL 20 e=0.12 CON MARCO</v>
          </cell>
          <cell r="C241" t="str">
            <v>M2</v>
          </cell>
          <cell r="D241">
            <v>160000</v>
          </cell>
          <cell r="E241">
            <v>0</v>
          </cell>
        </row>
        <row r="242">
          <cell r="B242" t="str">
            <v>HERRAMIENTA M.</v>
          </cell>
          <cell r="C242" t="str">
            <v>GLB</v>
          </cell>
          <cell r="D242">
            <v>250</v>
          </cell>
          <cell r="E242">
            <v>0</v>
          </cell>
        </row>
        <row r="243">
          <cell r="B243" t="str">
            <v>HERRAMIENTAS MENOR</v>
          </cell>
          <cell r="C243" t="str">
            <v>GLB</v>
          </cell>
          <cell r="D243">
            <v>1000</v>
          </cell>
          <cell r="E243">
            <v>0</v>
          </cell>
        </row>
        <row r="244">
          <cell r="B244" t="str">
            <v>FORMALETA EN MADERA PULIDA</v>
          </cell>
          <cell r="C244" t="str">
            <v>ML</v>
          </cell>
          <cell r="D244">
            <v>1500</v>
          </cell>
          <cell r="E244">
            <v>0</v>
          </cell>
        </row>
        <row r="245">
          <cell r="B245" t="str">
            <v>FORMALETA METALICA 1×0.25</v>
          </cell>
          <cell r="C245" t="str">
            <v>DIA</v>
          </cell>
          <cell r="D245">
            <v>40</v>
          </cell>
          <cell r="E245">
            <v>0</v>
          </cell>
        </row>
        <row r="246">
          <cell r="B246" t="str">
            <v>TABLERO DE MADERA</v>
          </cell>
          <cell r="C246" t="str">
            <v>d/M</v>
          </cell>
          <cell r="D246">
            <v>70</v>
          </cell>
          <cell r="E246">
            <v>0</v>
          </cell>
        </row>
        <row r="247">
          <cell r="B247" t="str">
            <v>PARAL METALICO (TELESCOPICO)</v>
          </cell>
          <cell r="C247" t="str">
            <v>d/M</v>
          </cell>
          <cell r="D247">
            <v>90</v>
          </cell>
          <cell r="E247">
            <v>0</v>
          </cell>
          <cell r="F247" t="str">
            <v>3metros</v>
          </cell>
        </row>
        <row r="248">
          <cell r="B248" t="str">
            <v>CERCHA METALICA DE 3M</v>
          </cell>
          <cell r="C248" t="str">
            <v>d/M</v>
          </cell>
          <cell r="D248">
            <v>70</v>
          </cell>
          <cell r="E248">
            <v>0</v>
          </cell>
        </row>
        <row r="249">
          <cell r="B249" t="str">
            <v>FORMALETA METALICA 1×0.5 M-Und</v>
          </cell>
          <cell r="C249" t="str">
            <v>DIA</v>
          </cell>
          <cell r="D249">
            <v>60</v>
          </cell>
          <cell r="E249">
            <v>0</v>
          </cell>
        </row>
        <row r="250">
          <cell r="B250" t="str">
            <v>XXX</v>
          </cell>
          <cell r="E250">
            <v>0</v>
          </cell>
        </row>
        <row r="251">
          <cell r="B251" t="str">
            <v>XXX</v>
          </cell>
          <cell r="E251">
            <v>0</v>
          </cell>
        </row>
        <row r="252">
          <cell r="B252" t="str">
            <v>XXX</v>
          </cell>
          <cell r="E252">
            <v>0</v>
          </cell>
        </row>
        <row r="253">
          <cell r="B253" t="str">
            <v>XXX</v>
          </cell>
          <cell r="E253">
            <v>0</v>
          </cell>
        </row>
        <row r="254">
          <cell r="B254" t="str">
            <v>XXX</v>
          </cell>
          <cell r="E254">
            <v>0</v>
          </cell>
        </row>
        <row r="255">
          <cell r="B255" t="str">
            <v>XXX</v>
          </cell>
          <cell r="E255">
            <v>0</v>
          </cell>
        </row>
        <row r="256">
          <cell r="B256" t="str">
            <v>XXX</v>
          </cell>
          <cell r="E256">
            <v>0</v>
          </cell>
        </row>
        <row r="257">
          <cell r="B257" t="str">
            <v>XXX</v>
          </cell>
          <cell r="E257">
            <v>0</v>
          </cell>
        </row>
        <row r="258">
          <cell r="D258" t="str">
            <v xml:space="preserve">  </v>
          </cell>
        </row>
        <row r="259">
          <cell r="D259" t="str">
            <v xml:space="preserve">  </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LEXION EN X-X"/>
    </sheetNames>
    <sheetDataSet>
      <sheetData sheetId="0"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7. Obras Ext"/>
      <sheetName val="Hoja1"/>
      <sheetName val="APU 1."/>
    </sheetNames>
    <definedNames>
      <definedName name="ERR"/>
    </definedNames>
    <sheetDataSet>
      <sheetData sheetId="0">
        <row r="3391">
          <cell r="H3391">
            <v>182935.85</v>
          </cell>
        </row>
      </sheetData>
      <sheetData sheetId="1">
        <row r="53">
          <cell r="I53">
            <v>4332.2351111111111</v>
          </cell>
        </row>
      </sheetData>
      <sheetData sheetId="2"/>
      <sheetData sheetId="3"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CRETO 2000"/>
      <sheetName val="AD BASICO 4000 PSI"/>
      <sheetName val="7.30"/>
      <sheetName val="7.31"/>
      <sheetName val="7.32"/>
      <sheetName val="7.33"/>
      <sheetName val="7.34"/>
      <sheetName val="9.1"/>
      <sheetName val="geo 40"/>
      <sheetName val="valla"/>
      <sheetName val="MALLA"/>
      <sheetName val="POZO"/>
      <sheetName val="viga"/>
      <sheetName val="RELLENO"/>
      <sheetName val="acero"/>
      <sheetName val="RELLENO (2)"/>
      <sheetName val="recebo"/>
      <sheetName val="canal"/>
      <sheetName val="PROT GEO"/>
      <sheetName val="ARCILLA"/>
      <sheetName val="excavacion"/>
      <sheetName val="descapote"/>
      <sheetName val="asfalto"/>
      <sheetName val="imprimac"/>
      <sheetName val="localiz"/>
      <sheetName val="RETIRO"/>
      <sheetName val="placa"/>
      <sheetName val="BASE"/>
      <sheetName val="ZARANDEADO"/>
      <sheetName val="crudo"/>
      <sheetName val="placa 15"/>
      <sheetName val="tub 3&quot;"/>
      <sheetName val="tub 4&quot;"/>
      <sheetName val="valv"/>
      <sheetName val="chimenea"/>
      <sheetName val="escalera"/>
      <sheetName val="baranda"/>
      <sheetName val="caja"/>
      <sheetName val="SUB BASE"/>
      <sheetName val="pasamuro 4"/>
      <sheetName val="tub 6&quot;"/>
      <sheetName val="POZO S"/>
      <sheetName val="6.1"/>
      <sheetName val="6.2"/>
      <sheetName val="6.3"/>
      <sheetName val="6.4"/>
      <sheetName val="6.6"/>
      <sheetName val="6.7"/>
      <sheetName val="6.8"/>
      <sheetName val="6.10"/>
      <sheetName val="6.28"/>
      <sheetName val="AD BASICO 3000 PSI"/>
      <sheetName val="mortero"/>
      <sheetName val="campamento"/>
      <sheetName val="POZO- N.F."/>
      <sheetName val="MAN. DE AGUAS"/>
      <sheetName val="POZO SEPTICO CAS ADM"/>
      <sheetName val="BARANDA PRO"/>
      <sheetName val="ESCALERA GATO"/>
      <sheetName val="RELLENO TRANSP"/>
      <sheetName val="RECEBO COMP"/>
      <sheetName val="LOCALI Y REPLA"/>
      <sheetName val="DESCAPOTE1"/>
      <sheetName val="EXCA MEC"/>
      <sheetName val="RELLE ARCI"/>
      <sheetName val="GEOME 40MILS"/>
      <sheetName val="CAPA ARENA PROT GEO"/>
      <sheetName val="DREN MANE LIXI 3&quot;"/>
      <sheetName val="PLACA CHIMENEA"/>
      <sheetName val="CHIMENEA GASES"/>
      <sheetName val="TUB LIXIV POLI 4&quot;"/>
      <sheetName val="CAJA LIXV"/>
      <sheetName val="VALV 4&quot;"/>
      <sheetName val="PASAMURO"/>
      <sheetName val="RETIRO SOBRANT"/>
      <sheetName val="PROTEC TALUD"/>
      <sheetName val="ARENA XA TUBERIA"/>
      <sheetName val="POZO INSPEC"/>
      <sheetName val="ARO -TAPA"/>
      <sheetName val="ACERO REF"/>
      <sheetName val="RELLEN0 MAT EXCAV"/>
      <sheetName val="CRUDO 4&quot;"/>
      <sheetName val="PEDRAPLEN"/>
      <sheetName val="CONFO CALZA"/>
      <sheetName val="EXC MEC xa fallo"/>
      <sheetName val="BOMBA sume"/>
      <sheetName val="bomba impul"/>
      <sheetName val="TABLERO COTROL"/>
      <sheetName val="CRIBA"/>
      <sheetName val="COMPU LATE"/>
      <sheetName val="VERT SUTRO"/>
      <sheetName val="VERT TRIANG"/>
      <sheetName val="CAMP FIBRA"/>
      <sheetName val="BAFLE"/>
      <sheetName val="TUBE SANT 3&quot;"/>
      <sheetName val="ACOPLE 3&quot;"/>
      <sheetName val="VALV BOLA 3&quot;"/>
      <sheetName val="TUBE SANT 6&quot;"/>
      <sheetName val="TUBE SANT 4&quot;"/>
      <sheetName val="ACOPLE 4&quot;"/>
      <sheetName val="FILTRO 2&quot;-3&quot;"/>
      <sheetName val="TIERRA-ARENA"/>
      <sheetName val="HENO"/>
      <sheetName val="PLANTULAS"/>
      <sheetName val="MO"/>
      <sheetName val="MAT"/>
      <sheetName val="EQUIPOS"/>
      <sheetName val="Hoja7"/>
      <sheetName val="CONCRETO_2000"/>
      <sheetName val="AD_BASICO_4000_PSI"/>
      <sheetName val="7_30"/>
      <sheetName val="7_31"/>
      <sheetName val="7_32"/>
      <sheetName val="7_33"/>
      <sheetName val="7_34"/>
      <sheetName val="9_1"/>
      <sheetName val="geo_40"/>
      <sheetName val="RELLENO_(2)"/>
      <sheetName val="PROT_GEO"/>
      <sheetName val="placa_15"/>
      <sheetName val="tub_3&quot;"/>
      <sheetName val="tub_4&quot;"/>
      <sheetName val="SUB_BASE"/>
      <sheetName val="pasamuro_4"/>
      <sheetName val="tub_6&quot;"/>
      <sheetName val="POZO_S"/>
      <sheetName val="6_1"/>
      <sheetName val="6_2"/>
      <sheetName val="6_3"/>
      <sheetName val="6_4"/>
      <sheetName val="6_6"/>
      <sheetName val="6_7"/>
      <sheetName val="6_8"/>
      <sheetName val="6_10"/>
      <sheetName val="6_28"/>
      <sheetName val="AD_BASICO_3000_PSI"/>
      <sheetName val="POZO-_N_F_"/>
      <sheetName val="MAN__DE_AGUAS"/>
      <sheetName val="POZO_SEPTICO_CAS_ADM"/>
      <sheetName val="BARANDA_PRO"/>
      <sheetName val="ESCALERA_GATO"/>
      <sheetName val="RELLENO_TRANSP"/>
      <sheetName val="RECEBO_COMP"/>
      <sheetName val="LOCALI_Y_REPLA"/>
      <sheetName val="EXCA_MEC"/>
      <sheetName val="RELLE_ARCI"/>
      <sheetName val="GEOME_40MILS"/>
      <sheetName val="CAPA_ARENA_PROT_GEO"/>
      <sheetName val="DREN_MANE_LIXI_3&quot;"/>
      <sheetName val="PLACA_CHIMENEA"/>
      <sheetName val="CHIMENEA_GASES"/>
      <sheetName val="TUB_LIXIV_POLI_4&quot;"/>
      <sheetName val="CAJA_LIXV"/>
      <sheetName val="VALV_4&quot;"/>
      <sheetName val="RETIRO_SOBRANT"/>
      <sheetName val="PROTEC_TALUD"/>
      <sheetName val="ARENA_XA_TUBERIA"/>
      <sheetName val="POZO_INSPEC"/>
      <sheetName val="ARO_-TAPA"/>
      <sheetName val="ACERO_REF"/>
      <sheetName val="RELLEN0_MAT_EXCAV"/>
      <sheetName val="CRUDO_4&quot;"/>
      <sheetName val="CONFO_CALZA"/>
      <sheetName val="EXC_MEC_xa_fallo"/>
      <sheetName val="BOMBA_sume"/>
      <sheetName val="bomba_impul"/>
      <sheetName val="TABLERO_COTROL"/>
      <sheetName val="COMPU_LATE"/>
      <sheetName val="VERT_SUTRO"/>
      <sheetName val="VERT_TRIANG"/>
      <sheetName val="CAMP_FIBRA"/>
      <sheetName val="TUBE_SANT_3&quot;"/>
      <sheetName val="ACOPLE_3&quot;"/>
      <sheetName val="VALV_BOLA_3&quot;"/>
      <sheetName val="TUBE_SANT_6&quot;"/>
      <sheetName val="TUBE_SANT_4&quot;"/>
      <sheetName val="ACOPLE_4&quot;"/>
      <sheetName val="FILTRO_2&quot;-3&quot;"/>
      <sheetName val="CONCRETO_20001"/>
      <sheetName val="AD_BASICO_4000_PSI1"/>
      <sheetName val="7_301"/>
      <sheetName val="7_311"/>
      <sheetName val="7_321"/>
      <sheetName val="7_331"/>
      <sheetName val="7_341"/>
      <sheetName val="9_11"/>
      <sheetName val="geo_401"/>
      <sheetName val="RELLENO_(2)1"/>
      <sheetName val="PROT_GEO1"/>
      <sheetName val="placa_151"/>
      <sheetName val="tub_3&quot;1"/>
      <sheetName val="tub_4&quot;1"/>
      <sheetName val="SUB_BASE1"/>
      <sheetName val="pasamuro_41"/>
      <sheetName val="tub_6&quot;1"/>
      <sheetName val="POZO_S1"/>
      <sheetName val="6_11"/>
      <sheetName val="6_21"/>
      <sheetName val="6_31"/>
      <sheetName val="6_41"/>
      <sheetName val="6_61"/>
      <sheetName val="6_71"/>
      <sheetName val="6_81"/>
      <sheetName val="6_101"/>
      <sheetName val="6_281"/>
      <sheetName val="AD_BASICO_3000_PSI1"/>
      <sheetName val="POZO-_N_F_1"/>
      <sheetName val="MAN__DE_AGUAS1"/>
      <sheetName val="POZO_SEPTICO_CAS_ADM1"/>
      <sheetName val="BARANDA_PRO1"/>
      <sheetName val="ESCALERA_GATO1"/>
      <sheetName val="RELLENO_TRANSP1"/>
      <sheetName val="RECEBO_COMP1"/>
      <sheetName val="LOCALI_Y_REPLA1"/>
      <sheetName val="EXCA_MEC1"/>
      <sheetName val="RELLE_ARCI1"/>
      <sheetName val="GEOME_40MILS1"/>
      <sheetName val="CAPA_ARENA_PROT_GEO1"/>
      <sheetName val="DREN_MANE_LIXI_3&quot;1"/>
      <sheetName val="PLACA_CHIMENEA1"/>
      <sheetName val="CHIMENEA_GASES1"/>
      <sheetName val="TUB_LIXIV_POLI_4&quot;1"/>
      <sheetName val="CAJA_LIXV1"/>
      <sheetName val="VALV_4&quot;1"/>
      <sheetName val="RETIRO_SOBRANT1"/>
      <sheetName val="PROTEC_TALUD1"/>
      <sheetName val="ARENA_XA_TUBERIA1"/>
      <sheetName val="POZO_INSPEC1"/>
      <sheetName val="ARO_-TAPA1"/>
      <sheetName val="ACERO_REF1"/>
      <sheetName val="RELLEN0_MAT_EXCAV1"/>
      <sheetName val="CRUDO_4&quot;1"/>
      <sheetName val="CONFO_CALZA1"/>
      <sheetName val="EXC_MEC_xa_fallo1"/>
      <sheetName val="BOMBA_sume1"/>
      <sheetName val="bomba_impul1"/>
      <sheetName val="TABLERO_COTROL1"/>
      <sheetName val="COMPU_LATE1"/>
      <sheetName val="VERT_SUTRO1"/>
      <sheetName val="VERT_TRIANG1"/>
      <sheetName val="CAMP_FIBRA1"/>
      <sheetName val="TUBE_SANT_3&quot;1"/>
      <sheetName val="ACOPLE_3&quot;1"/>
      <sheetName val="VALV_BOLA_3&quot;1"/>
      <sheetName val="TUBE_SANT_6&quot;1"/>
      <sheetName val="TUBE_SANT_4&quot;1"/>
      <sheetName val="ACOPLE_4&quot;1"/>
      <sheetName val="FILTRO_2&quot;-3&quot;1"/>
      <sheetName val="CONCRETO_20002"/>
      <sheetName val="AD_BASICO_4000_PSI2"/>
      <sheetName val="7_302"/>
      <sheetName val="7_312"/>
      <sheetName val="7_322"/>
      <sheetName val="7_332"/>
      <sheetName val="7_342"/>
      <sheetName val="9_12"/>
      <sheetName val="geo_402"/>
      <sheetName val="RELLENO_(2)2"/>
      <sheetName val="PROT_GEO2"/>
      <sheetName val="placa_152"/>
      <sheetName val="tub_3&quot;2"/>
      <sheetName val="tub_4&quot;2"/>
      <sheetName val="SUB_BASE2"/>
      <sheetName val="pasamuro_42"/>
      <sheetName val="tub_6&quot;2"/>
      <sheetName val="POZO_S2"/>
      <sheetName val="6_12"/>
      <sheetName val="6_22"/>
      <sheetName val="6_32"/>
      <sheetName val="6_42"/>
      <sheetName val="6_62"/>
      <sheetName val="6_72"/>
      <sheetName val="6_82"/>
      <sheetName val="6_102"/>
      <sheetName val="6_282"/>
      <sheetName val="AD_BASICO_3000_PSI2"/>
      <sheetName val="POZO-_N_F_2"/>
      <sheetName val="MAN__DE_AGUAS2"/>
      <sheetName val="POZO_SEPTICO_CAS_ADM2"/>
      <sheetName val="BARANDA_PRO2"/>
      <sheetName val="ESCALERA_GATO2"/>
      <sheetName val="RELLENO_TRANSP2"/>
      <sheetName val="RECEBO_COMP2"/>
      <sheetName val="LOCALI_Y_REPLA2"/>
      <sheetName val="EXCA_MEC2"/>
      <sheetName val="RELLE_ARCI2"/>
      <sheetName val="GEOME_40MILS2"/>
      <sheetName val="CAPA_ARENA_PROT_GEO2"/>
      <sheetName val="DREN_MANE_LIXI_3&quot;2"/>
      <sheetName val="PLACA_CHIMENEA2"/>
      <sheetName val="CHIMENEA_GASES2"/>
      <sheetName val="TUB_LIXIV_POLI_4&quot;2"/>
      <sheetName val="CAJA_LIXV2"/>
      <sheetName val="VALV_4&quot;2"/>
      <sheetName val="RETIRO_SOBRANT2"/>
      <sheetName val="PROTEC_TALUD2"/>
      <sheetName val="ARENA_XA_TUBERIA2"/>
      <sheetName val="POZO_INSPEC2"/>
      <sheetName val="ARO_-TAPA2"/>
      <sheetName val="ACERO_REF2"/>
      <sheetName val="RELLEN0_MAT_EXCAV2"/>
      <sheetName val="CRUDO_4&quot;2"/>
      <sheetName val="CONFO_CALZA2"/>
      <sheetName val="EXC_MEC_xa_fallo2"/>
      <sheetName val="BOMBA_sume2"/>
      <sheetName val="bomba_impul2"/>
      <sheetName val="TABLERO_COTROL2"/>
      <sheetName val="COMPU_LATE2"/>
      <sheetName val="VERT_SUTRO2"/>
      <sheetName val="VERT_TRIANG2"/>
      <sheetName val="CAMP_FIBRA2"/>
      <sheetName val="TUBE_SANT_3&quot;2"/>
      <sheetName val="ACOPLE_3&quot;2"/>
      <sheetName val="VALV_BOLA_3&quot;2"/>
      <sheetName val="TUBE_SANT_6&quot;2"/>
      <sheetName val="TUBE_SANT_4&quot;2"/>
      <sheetName val="ACOPLE_4&quot;2"/>
      <sheetName val="FILTRO_2&quot;-3&quot;2"/>
      <sheetName val="CONCRETO_20003"/>
      <sheetName val="AD_BASICO_4000_PSI3"/>
      <sheetName val="7_303"/>
      <sheetName val="7_313"/>
      <sheetName val="7_323"/>
      <sheetName val="7_333"/>
      <sheetName val="7_343"/>
      <sheetName val="9_13"/>
      <sheetName val="geo_403"/>
      <sheetName val="RELLENO_(2)3"/>
      <sheetName val="PROT_GEO3"/>
      <sheetName val="placa_153"/>
      <sheetName val="tub_3&quot;3"/>
      <sheetName val="tub_4&quot;3"/>
      <sheetName val="SUB_BASE3"/>
      <sheetName val="pasamuro_43"/>
      <sheetName val="tub_6&quot;3"/>
      <sheetName val="POZO_S3"/>
      <sheetName val="6_13"/>
      <sheetName val="6_23"/>
      <sheetName val="6_33"/>
      <sheetName val="6_43"/>
      <sheetName val="6_63"/>
      <sheetName val="6_73"/>
      <sheetName val="6_83"/>
      <sheetName val="6_103"/>
      <sheetName val="6_283"/>
      <sheetName val="AD_BASICO_3000_PSI3"/>
      <sheetName val="POZO-_N_F_3"/>
      <sheetName val="MAN__DE_AGUAS3"/>
      <sheetName val="POZO_SEPTICO_CAS_ADM3"/>
      <sheetName val="BARANDA_PRO3"/>
      <sheetName val="ESCALERA_GATO3"/>
      <sheetName val="RELLENO_TRANSP3"/>
      <sheetName val="RECEBO_COMP3"/>
      <sheetName val="LOCALI_Y_REPLA3"/>
      <sheetName val="EXCA_MEC3"/>
      <sheetName val="RELLE_ARCI3"/>
      <sheetName val="GEOME_40MILS3"/>
      <sheetName val="CAPA_ARENA_PROT_GEO3"/>
      <sheetName val="DREN_MANE_LIXI_3&quot;3"/>
      <sheetName val="PLACA_CHIMENEA3"/>
      <sheetName val="CHIMENEA_GASES3"/>
      <sheetName val="TUB_LIXIV_POLI_4&quot;3"/>
      <sheetName val="CAJA_LIXV3"/>
      <sheetName val="VALV_4&quot;3"/>
      <sheetName val="RETIRO_SOBRANT3"/>
      <sheetName val="PROTEC_TALUD3"/>
      <sheetName val="ARENA_XA_TUBERIA3"/>
      <sheetName val="POZO_INSPEC3"/>
      <sheetName val="ARO_-TAPA3"/>
      <sheetName val="ACERO_REF3"/>
      <sheetName val="RELLEN0_MAT_EXCAV3"/>
      <sheetName val="CRUDO_4&quot;3"/>
      <sheetName val="CONFO_CALZA3"/>
      <sheetName val="EXC_MEC_xa_fallo3"/>
      <sheetName val="BOMBA_sume3"/>
      <sheetName val="bomba_impul3"/>
      <sheetName val="TABLERO_COTROL3"/>
      <sheetName val="COMPU_LATE3"/>
      <sheetName val="VERT_SUTRO3"/>
      <sheetName val="VERT_TRIANG3"/>
      <sheetName val="CAMP_FIBRA3"/>
      <sheetName val="TUBE_SANT_3&quot;3"/>
      <sheetName val="ACOPLE_3&quot;3"/>
      <sheetName val="VALV_BOLA_3&quot;3"/>
      <sheetName val="TUBE_SANT_6&quot;3"/>
      <sheetName val="TUBE_SANT_4&quot;3"/>
      <sheetName val="ACOPLE_4&quot;3"/>
      <sheetName val="FILTRO_2&quot;-3&quo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ow r="5">
          <cell r="D5" t="str">
            <v>AYUDANTE</v>
          </cell>
        </row>
        <row r="6">
          <cell r="D6" t="str">
            <v>OFICIAL</v>
          </cell>
        </row>
        <row r="7">
          <cell r="D7" t="str">
            <v>ORNAMENTADOR</v>
          </cell>
        </row>
        <row r="8">
          <cell r="D8" t="str">
            <v>RASTRILLERO</v>
          </cell>
        </row>
        <row r="9">
          <cell r="D9" t="str">
            <v>TOPOGRAFO</v>
          </cell>
        </row>
        <row r="10">
          <cell r="D10" t="str">
            <v>CADENERO 1</v>
          </cell>
        </row>
        <row r="11">
          <cell r="D11" t="str">
            <v>CADENERO 2</v>
          </cell>
        </row>
        <row r="12">
          <cell r="D12" t="str">
            <v>TECNICO INSTALADOR</v>
          </cell>
        </row>
        <row r="13">
          <cell r="D13" t="str">
            <v>AYUDANTE ESPECIALIZADO</v>
          </cell>
        </row>
        <row r="14">
          <cell r="D14" t="str">
            <v>TECNICO INSTALADOR BOMBA SUMERGIBLE</v>
          </cell>
        </row>
        <row r="15">
          <cell r="D15" t="str">
            <v>AUXILIAR TECNICO INSTALADOR</v>
          </cell>
        </row>
        <row r="16">
          <cell r="D16" t="str">
            <v>TECNICO ELECTRICO</v>
          </cell>
        </row>
        <row r="17">
          <cell r="D17" t="str">
            <v>AYUDANTE ELECTRICO</v>
          </cell>
        </row>
        <row r="19">
          <cell r="D19" t="str">
            <v>TECNICO INSTALDOR DE LA CAMPANA</v>
          </cell>
        </row>
        <row r="20">
          <cell r="D20" t="str">
            <v>AUXILIAR DEL TECNNICO DE LA CAMPANA</v>
          </cell>
        </row>
      </sheetData>
      <sheetData sheetId="105">
        <row r="17">
          <cell r="C17" t="str">
            <v xml:space="preserve">TABLA BLANDA DE 2.5X30X300 cm </v>
          </cell>
        </row>
      </sheetData>
      <sheetData sheetId="106">
        <row r="13">
          <cell r="C13">
            <v>0</v>
          </cell>
        </row>
        <row r="14">
          <cell r="C14" t="str">
            <v>MEZCLADORA</v>
          </cell>
        </row>
        <row r="15">
          <cell r="C15" t="str">
            <v>VIBRADOR DE CONCRETO</v>
          </cell>
        </row>
        <row r="16">
          <cell r="C16" t="str">
            <v>PLUMA</v>
          </cell>
        </row>
        <row r="17">
          <cell r="C17" t="str">
            <v>ANDAMIO 1 SECCION</v>
          </cell>
        </row>
        <row r="18">
          <cell r="C18" t="str">
            <v>ANDAMIO 3 SECCIONES</v>
          </cell>
        </row>
        <row r="19">
          <cell r="C19" t="str">
            <v>COMPACTADOR MANUAL TIPO RANA</v>
          </cell>
        </row>
        <row r="20">
          <cell r="C20" t="str">
            <v>EQUIPO DE SOLDADURA</v>
          </cell>
        </row>
        <row r="21">
          <cell r="C21" t="str">
            <v xml:space="preserve">RETROEXCAVADORA </v>
          </cell>
        </row>
        <row r="22">
          <cell r="C22" t="str">
            <v>MOTONIVELADORA</v>
          </cell>
        </row>
        <row r="23">
          <cell r="C23" t="str">
            <v>COMPACTADOR VIBRATORIO 10 TON</v>
          </cell>
        </row>
        <row r="24">
          <cell r="C24" t="str">
            <v>CARROTANQUE</v>
          </cell>
        </row>
        <row r="25">
          <cell r="C25" t="str">
            <v>COMPACTADOR VIBRATORIO</v>
          </cell>
        </row>
        <row r="26">
          <cell r="C26" t="str">
            <v>COMPACTADOR NEUMATICO</v>
          </cell>
        </row>
        <row r="27">
          <cell r="C27" t="str">
            <v>TERMINADORA DE ASFALTO</v>
          </cell>
        </row>
        <row r="28">
          <cell r="C28" t="str">
            <v>EQUIPO DE TOPOGRAFIA (ESTACION)</v>
          </cell>
        </row>
        <row r="29">
          <cell r="C29" t="str">
            <v>CARGADOR</v>
          </cell>
        </row>
        <row r="30">
          <cell r="C30" t="str">
            <v>CAMIONETA</v>
          </cell>
        </row>
        <row r="31">
          <cell r="C31" t="str">
            <v>PULIDORA / TALADRO</v>
          </cell>
        </row>
        <row r="32">
          <cell r="C32" t="str">
            <v>MOTOBOMBA DE 6.5 HP, 4"X4"</v>
          </cell>
        </row>
        <row r="33">
          <cell r="C33" t="str">
            <v>EQUIPO DE SOLDADURA PARA GEOMEMBRANA</v>
          </cell>
        </row>
        <row r="34">
          <cell r="C34" t="str">
            <v>FORMALETA METALICA CIRCULAR</v>
          </cell>
        </row>
      </sheetData>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MATERIAL"/>
      <sheetName val="PRESUPUESTO"/>
      <sheetName val="UNITARIOS"/>
      <sheetName val="TRANSPORTE"/>
      <sheetName val="MANO OBRA"/>
      <sheetName val="MEMORIAS"/>
      <sheetName val="MANO_OBRA"/>
      <sheetName val="MANO_OBRA1"/>
      <sheetName val="MANO_OBRA2"/>
      <sheetName val="A. P. U."/>
      <sheetName val="INS"/>
      <sheetName val="PPTO REDUCIDO"/>
      <sheetName val="PRECIO. MAT"/>
      <sheetName val="EQUIPOS"/>
      <sheetName val="MO"/>
      <sheetName val="MC SF GAVIONES"/>
    </sheetNames>
    <sheetDataSet>
      <sheetData sheetId="0" refreshError="1">
        <row r="2">
          <cell r="B2">
            <v>0</v>
          </cell>
          <cell r="C2" t="str">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1" refreshError="1">
        <row r="2">
          <cell r="B2">
            <v>0</v>
          </cell>
        </row>
        <row r="3">
          <cell r="B3" t="str">
            <v>ACCESORIOS ACERO INOXIDABLE</v>
          </cell>
        </row>
        <row r="4">
          <cell r="B4" t="str">
            <v>ABRAZADERAS 4"</v>
          </cell>
        </row>
        <row r="5">
          <cell r="B5" t="str">
            <v>ACCESORIO PVC P 1/2"</v>
          </cell>
        </row>
        <row r="6">
          <cell r="B6" t="str">
            <v>ACCESORIO PVC S 2"</v>
          </cell>
        </row>
        <row r="7">
          <cell r="B7" t="str">
            <v>ACCESORIO PVC S 3"</v>
          </cell>
        </row>
        <row r="8">
          <cell r="B8" t="str">
            <v>ACCESORIO PVC S 4"</v>
          </cell>
        </row>
        <row r="9">
          <cell r="B9" t="str">
            <v>ACCESORIOS</v>
          </cell>
        </row>
        <row r="10">
          <cell r="B10" t="str">
            <v>ACCESORIOS CONEXIÓN Y DERIVACION CABLE COAXIAL</v>
          </cell>
        </row>
        <row r="11">
          <cell r="B11" t="str">
            <v>Accesorios de conexion por atras SanitarioDO-TCDIC</v>
          </cell>
        </row>
        <row r="12">
          <cell r="B12" t="str">
            <v>ACCESORIOS DE CONEXIÓN Y SUJECION PARA CABLE AMTIFRAU</v>
          </cell>
        </row>
        <row r="13">
          <cell r="B13" t="str">
            <v>ACCESORIOS DE SUJECION</v>
          </cell>
        </row>
        <row r="14">
          <cell r="B14" t="str">
            <v>ACCESORIOS EMT</v>
          </cell>
        </row>
        <row r="15">
          <cell r="B15" t="str">
            <v xml:space="preserve">ACCESORIOS GALVANIZADOS PARA CONEXIÓN EQUIPO DE PRESION </v>
          </cell>
        </row>
        <row r="16">
          <cell r="B16" t="str">
            <v>ACCESORIOS CPVC-P 1/2" ( Codo , unión y tapón )</v>
          </cell>
        </row>
        <row r="17">
          <cell r="B17" t="str">
            <v>ACCESORIOS PVC P 21/2"</v>
          </cell>
        </row>
        <row r="18">
          <cell r="B18" t="str">
            <v>ACCESORIOS PVC-P 1 1/2" ( Codo , unión y tapón )</v>
          </cell>
        </row>
        <row r="19">
          <cell r="B19" t="str">
            <v>ACCESORIOS PVC-P 1 1/4" ( Codo , unión y tapón )</v>
          </cell>
        </row>
        <row r="20">
          <cell r="B20" t="str">
            <v>ACCESORIOS PVC-P 1/2" ( Codo , unión y tapón )</v>
          </cell>
        </row>
        <row r="21">
          <cell r="B21" t="str">
            <v>ACCESORIOS PVC-P 2" ( Codo , unión y tapón )</v>
          </cell>
        </row>
        <row r="22">
          <cell r="B22" t="str">
            <v>ACCESORIOS PVC-P 3/4" ( Codo, unión y tapón )</v>
          </cell>
        </row>
        <row r="23">
          <cell r="B23" t="str">
            <v>ACCESORIOS SUJECION TRANFORMADOR</v>
          </cell>
        </row>
        <row r="24">
          <cell r="B24" t="str">
            <v>ACERO 37.000 PSI</v>
          </cell>
        </row>
        <row r="25">
          <cell r="B25" t="str">
            <v xml:space="preserve">ACERO 60.000 PSI </v>
          </cell>
        </row>
        <row r="26">
          <cell r="B26" t="str">
            <v>ACERO ESTRUCTURAL ACESCO PHR Cal. 12</v>
          </cell>
        </row>
        <row r="27">
          <cell r="B27" t="str">
            <v>ACIDO FLORIDRICO</v>
          </cell>
        </row>
        <row r="28">
          <cell r="B28" t="str">
            <v>ACIDO NITRICO</v>
          </cell>
        </row>
        <row r="29">
          <cell r="B29" t="str">
            <v>ACONDICIONADOR NOVAFORT 250ML  Pavco</v>
          </cell>
        </row>
        <row r="30">
          <cell r="B30" t="str">
            <v>ACPM</v>
          </cell>
        </row>
        <row r="31">
          <cell r="B31" t="str">
            <v>ADAPTADOR CONDUIT PVC 1/2"</v>
          </cell>
        </row>
        <row r="32">
          <cell r="B32" t="str">
            <v>ADAPTADOR MACHO   3/4"</v>
          </cell>
        </row>
        <row r="33">
          <cell r="B33" t="str">
            <v>ADAPTADOR TERMINAL CONDUIT 3/4"</v>
          </cell>
        </row>
        <row r="34">
          <cell r="B34" t="str">
            <v>ADAPTADORES MACHO 1/2"</v>
          </cell>
        </row>
        <row r="35">
          <cell r="B35" t="str">
            <v>ADHESIVO EPOXICO G5 DE 651 ml</v>
          </cell>
        </row>
        <row r="36">
          <cell r="B36" t="str">
            <v>ADHESIVO NOVAFORT 310 ML  Pavco</v>
          </cell>
        </row>
        <row r="37">
          <cell r="B37" t="str">
            <v>AGUA</v>
          </cell>
        </row>
        <row r="38">
          <cell r="B38" t="str">
            <v>AISLADORES</v>
          </cell>
        </row>
        <row r="39">
          <cell r="B39" t="str">
            <v>AISLADORES DE PIN CON ESPIGO</v>
          </cell>
        </row>
        <row r="40">
          <cell r="B40" t="str">
            <v>AISLADORES DE RETENCION</v>
          </cell>
        </row>
        <row r="41">
          <cell r="B41" t="str">
            <v>AISLADORES EMISORES</v>
          </cell>
        </row>
        <row r="42">
          <cell r="B42" t="str">
            <v>ALAMBRE COBRE DESNUDO AWG  12</v>
          </cell>
        </row>
        <row r="43">
          <cell r="B43" t="str">
            <v>ALAMBRE COBRE THHN 12 AWG</v>
          </cell>
        </row>
        <row r="44">
          <cell r="B44" t="str">
            <v>ALAMBRE NEGRO       No.18</v>
          </cell>
        </row>
        <row r="45">
          <cell r="B45" t="str">
            <v>ALFACOLOR 3-15</v>
          </cell>
        </row>
        <row r="46">
          <cell r="B46" t="str">
            <v>ALFAJIAS CONCRETO     .25</v>
          </cell>
        </row>
        <row r="47">
          <cell r="B47" t="str">
            <v>ALUMINIO PARA CIELO RASO INC ESTRUCTURA</v>
          </cell>
        </row>
        <row r="48">
          <cell r="B48" t="str">
            <v>ALUMINIO PARA DIVISION BAÑO</v>
          </cell>
        </row>
        <row r="49">
          <cell r="B49" t="str">
            <v>AMPLIFICADOR TV CON 20 SALIDAS</v>
          </cell>
        </row>
        <row r="50">
          <cell r="B50" t="str">
            <v>ANCLAJE CAMISA DE 3/8"</v>
          </cell>
        </row>
        <row r="51">
          <cell r="B51" t="str">
            <v>ÁNGULO     1 x 1 x 1/8" de 6 mts</v>
          </cell>
        </row>
        <row r="52">
          <cell r="B52" t="str">
            <v>ÁNGULO     1 x 1 x 3/16" de 6 mts</v>
          </cell>
        </row>
        <row r="53">
          <cell r="B53" t="str">
            <v>ANGULO 1 1/2X3/16</v>
          </cell>
        </row>
        <row r="54">
          <cell r="B54" t="str">
            <v>ANGULO 1"X1/8"</v>
          </cell>
        </row>
        <row r="55">
          <cell r="B55" t="str">
            <v xml:space="preserve">ANGULO 2" * 2" * 1/8" </v>
          </cell>
        </row>
        <row r="56">
          <cell r="B56" t="str">
            <v xml:space="preserve">ANGULO 2" * 2" * 3/16" </v>
          </cell>
        </row>
        <row r="57">
          <cell r="B57" t="str">
            <v>ANGULO 3/4"</v>
          </cell>
        </row>
        <row r="58">
          <cell r="B58" t="str">
            <v>ANGULO DE 1"x1/8"</v>
          </cell>
        </row>
        <row r="59">
          <cell r="B59" t="str">
            <v>ANGULOS DE ENSAMBLE</v>
          </cell>
        </row>
        <row r="60">
          <cell r="B60" t="str">
            <v>ANGULOS EN ALUMINIO BLANCO DE 3m</v>
          </cell>
        </row>
        <row r="61">
          <cell r="B61" t="str">
            <v xml:space="preserve">ANTENA EXTERNA COMUNAL TV </v>
          </cell>
        </row>
        <row r="62">
          <cell r="B62" t="str">
            <v>ANTICORROSIVO</v>
          </cell>
        </row>
        <row r="63">
          <cell r="B63" t="str">
            <v xml:space="preserve">ANTICORROSIVO </v>
          </cell>
        </row>
        <row r="64">
          <cell r="B64" t="str">
            <v>ARENA DE RIO</v>
          </cell>
        </row>
        <row r="65">
          <cell r="B65" t="str">
            <v>ARENA LAVADA DE PEÑA</v>
          </cell>
        </row>
        <row r="66">
          <cell r="B66" t="str">
            <v>ARBOL</v>
          </cell>
        </row>
        <row r="67">
          <cell r="B67" t="str">
            <v>ASFALTO TIPO 190/220 200 kg</v>
          </cell>
        </row>
        <row r="68">
          <cell r="B68" t="str">
            <v>BALA DULUX 2X20W, REFLECTOR EN ALUMINIO BRILLADO. DIAMETRO 20,5 CMS, ACABADO BLANCO. INCLUYE 2 BOMBILLOS DULUX 20W ROSCA, LUZ 6500K</v>
          </cell>
        </row>
        <row r="69">
          <cell r="B69" t="str">
            <v>BALA FLUORESCENTE 2X26 CON BOMBILLOS AHORRADORES</v>
          </cell>
        </row>
        <row r="70">
          <cell r="B70" t="str">
            <v>BALDOSA EN GRANITO ALFA</v>
          </cell>
        </row>
        <row r="71">
          <cell r="B71" t="str">
            <v>BALDOSA PORCELANATICO</v>
          </cell>
        </row>
        <row r="72">
          <cell r="B72" t="str">
            <v>BARNIZ</v>
          </cell>
        </row>
        <row r="73">
          <cell r="B73" t="str">
            <v>BANDEJA PORTACABLES 60X8</v>
          </cell>
        </row>
        <row r="74">
          <cell r="B74" t="str">
            <v>BASE PARA FOTOCELDA CON SOPORTE</v>
          </cell>
        </row>
        <row r="75">
          <cell r="B75" t="str">
            <v>BISAGRAS</v>
          </cell>
        </row>
        <row r="76">
          <cell r="B76" t="str">
            <v>BISAGRAS PARA VENTANAS METALICAS</v>
          </cell>
        </row>
        <row r="77">
          <cell r="B77" t="str">
            <v>BISAGRAS PUERTAS COCINA</v>
          </cell>
        </row>
        <row r="78">
          <cell r="B78" t="str">
            <v>BISEL PARA VIDRIO ESPEJO</v>
          </cell>
        </row>
        <row r="79">
          <cell r="B79" t="str">
            <v>BLOQUE No. 3</v>
          </cell>
        </row>
        <row r="80">
          <cell r="B80" t="str">
            <v xml:space="preserve">BLOQUE No. 4 </v>
          </cell>
        </row>
        <row r="81">
          <cell r="B81" t="str">
            <v xml:space="preserve">BLOQUE No. 5 </v>
          </cell>
        </row>
        <row r="82">
          <cell r="B82" t="str">
            <v xml:space="preserve">Boca puerta en mármol,  incluye nariz redonda </v>
          </cell>
        </row>
        <row r="83">
          <cell r="B83" t="str">
            <v>BOQUILLA TERMINAL PVC 1"</v>
          </cell>
        </row>
        <row r="84">
          <cell r="B84" t="str">
            <v>BOSEL</v>
          </cell>
        </row>
        <row r="85">
          <cell r="B85" t="str">
            <v>BOMBAS PARA SISTEMA DE PLANTA TRATAMIENTO</v>
          </cell>
        </row>
        <row r="86">
          <cell r="B86" t="str">
            <v>BRAZO HIDRAULICO</v>
          </cell>
        </row>
        <row r="87">
          <cell r="B87" t="str">
            <v>BROCA DE 5/8"</v>
          </cell>
        </row>
        <row r="88">
          <cell r="B88" t="str">
            <v>BROCAS 1/2"</v>
          </cell>
        </row>
        <row r="89">
          <cell r="B89" t="str">
            <v>BROCAS 1/4"</v>
          </cell>
        </row>
        <row r="90">
          <cell r="B90" t="str">
            <v>BROCAS, GRAPAS, CHAZOS Y TORNILLOS</v>
          </cell>
        </row>
        <row r="91">
          <cell r="B91" t="str">
            <v>BUSHING 4"X2" A.C.</v>
          </cell>
        </row>
        <row r="92">
          <cell r="B92" t="str">
            <v>CABALLETE ETERNIT</v>
          </cell>
        </row>
        <row r="93">
          <cell r="B93" t="str">
            <v>CABALLETE THERMOACUSTICA DE 2.00X0.70</v>
          </cell>
        </row>
        <row r="94">
          <cell r="B94" t="str">
            <v>CABLE #4 COBRE DESNUDO</v>
          </cell>
        </row>
        <row r="95">
          <cell r="B95" t="str">
            <v>Cable 10 THWN/THHN Cu-AWG 600V</v>
          </cell>
        </row>
        <row r="96">
          <cell r="B96" t="str">
            <v>cable 2/0</v>
          </cell>
        </row>
        <row r="97">
          <cell r="B97" t="str">
            <v>Cable 8 THWN/THHN Cu-AWG 600V</v>
          </cell>
        </row>
        <row r="98">
          <cell r="B98" t="str">
            <v>CABLE ANTIFRAUDE #8</v>
          </cell>
        </row>
        <row r="99">
          <cell r="B99" t="str">
            <v xml:space="preserve">CABLE BLINDADO COAXIAL RG59 U TV </v>
          </cell>
        </row>
        <row r="100">
          <cell r="B100" t="str">
            <v>CABLE DUPLEX DE 2X16</v>
          </cell>
        </row>
        <row r="101">
          <cell r="B101" t="str">
            <v>Cable 12 THWN/THHN Cu-AWG 600V</v>
          </cell>
        </row>
        <row r="102">
          <cell r="B102" t="str">
            <v>Cable 14 THWN/THHN Cu-AWG 600V</v>
          </cell>
        </row>
        <row r="103">
          <cell r="B103" t="str">
            <v>Cable 8 THWN/THHN Cu-AWG 600V</v>
          </cell>
        </row>
        <row r="104">
          <cell r="B104" t="str">
            <v>CABLE ENCAUCHETADO 3#4+1#6 T</v>
          </cell>
        </row>
        <row r="105">
          <cell r="B105" t="str">
            <v>CABLE DE COBRE DESNUDO No.12 AWG</v>
          </cell>
        </row>
        <row r="106">
          <cell r="B106" t="str">
            <v>CABLE No. 12 T</v>
          </cell>
        </row>
        <row r="107">
          <cell r="B107" t="str">
            <v>CABLE PARA SEÑALES SISTEMA CONTRA INCENDIO  2 PARES (2X22AWG) NPLF AISLAMIENTO EN PVC DE ACUERDO A LAS NORMAS IEC189, IEC708</v>
          </cell>
        </row>
        <row r="108">
          <cell r="B108" t="str">
            <v>CABLE TELEFONICO 2 PARES</v>
          </cell>
        </row>
        <row r="109">
          <cell r="B109" t="str">
            <v>CAJA 2400</v>
          </cell>
        </row>
        <row r="110">
          <cell r="B110" t="str">
            <v>CAJA 5800</v>
          </cell>
        </row>
        <row r="111">
          <cell r="B111" t="str">
            <v>CAJA MEDIDOR ACUEDUCTO CON TAPA Y CERRADURA</v>
          </cell>
        </row>
        <row r="112">
          <cell r="B112" t="str">
            <v>CAJA MEDIDOR DE AGUA 60*28*14</v>
          </cell>
        </row>
        <row r="113">
          <cell r="B113" t="str">
            <v>CAJA MONOFASICA DE 4 CIRCUITOS CON TACOS</v>
          </cell>
        </row>
        <row r="114">
          <cell r="B114" t="str">
            <v>CAJA OCTOGONAL GALVANIZADA (CAJA EMP GALV.OCTAGONAL 4")</v>
          </cell>
        </row>
        <row r="115">
          <cell r="B115" t="str">
            <v>CAJA METALICA AMPLIFICADOR TV</v>
          </cell>
        </row>
        <row r="116">
          <cell r="B116" t="str">
            <v>CAJA SENCILLA CONDUIT (CAJA EMP GALV.RECTANG. 2X4")</v>
          </cell>
        </row>
        <row r="117">
          <cell r="B117" t="str">
            <v xml:space="preserve">CAJAS DE 20X25X10 CM PARA CONEXIÓN </v>
          </cell>
        </row>
        <row r="118">
          <cell r="B118" t="str">
            <v>CALENTADOR ELECTRICO 20 GL 120 V HACEB</v>
          </cell>
        </row>
        <row r="119">
          <cell r="B119" t="str">
            <v>CARBURO BLANCO</v>
          </cell>
        </row>
        <row r="120">
          <cell r="B120" t="str">
            <v>CAOLÍN</v>
          </cell>
        </row>
        <row r="121">
          <cell r="B121" t="str">
            <v>CAPACETE 1"</v>
          </cell>
        </row>
        <row r="122">
          <cell r="B122" t="str">
            <v>CASETÓN DE GUADUA h=0.42</v>
          </cell>
        </row>
        <row r="124">
          <cell r="B124" t="str">
            <v>CEDRO CAQUETA</v>
          </cell>
        </row>
        <row r="125">
          <cell r="B125" t="str">
            <v xml:space="preserve">CELDA METÁLICA -LÁMINA COLD-ROLLED PARA  TRANSFORMADOR </v>
          </cell>
        </row>
        <row r="126">
          <cell r="B126" t="str">
            <v>CEMENTO MARINO</v>
          </cell>
        </row>
        <row r="127">
          <cell r="B127" t="str">
            <v>CEMENTO BLANCO</v>
          </cell>
        </row>
        <row r="128">
          <cell r="B128" t="str">
            <v>CEMENTO GRIS</v>
          </cell>
        </row>
        <row r="129">
          <cell r="B129" t="str">
            <v xml:space="preserve">CERAMICA </v>
          </cell>
        </row>
        <row r="130">
          <cell r="B130" t="str">
            <v>CERRADURA INAFER</v>
          </cell>
        </row>
        <row r="131">
          <cell r="B131" t="str">
            <v>CERRADURA POMA MADERA ALCOBA</v>
          </cell>
        </row>
        <row r="132">
          <cell r="B132" t="str">
            <v>CERRADURA POMA PUERTAS</v>
          </cell>
        </row>
        <row r="133">
          <cell r="B133" t="str">
            <v>CENEFA EN MADERA DE 0.12 TINTADA</v>
          </cell>
        </row>
        <row r="134">
          <cell r="B134" t="str">
            <v>CERROJO EN ACERO INOXIDABLE</v>
          </cell>
        </row>
        <row r="135">
          <cell r="B135" t="str">
            <v>CERRADURA SCHLAGE BAÑO  A40S Cromado Mate</v>
          </cell>
        </row>
        <row r="136">
          <cell r="B136" t="str">
            <v>CHEQUE HORIZONTAL 1/2"</v>
          </cell>
        </row>
        <row r="137">
          <cell r="B137" t="str">
            <v>CHEQUE R&amp;W Roscado 3/4" Ref. 236</v>
          </cell>
        </row>
        <row r="138">
          <cell r="B138" t="str">
            <v>CIELO RASO Star Orion ( perfileria aluminio 1" )</v>
          </cell>
        </row>
        <row r="139">
          <cell r="B139" t="str">
            <v>CILINDRO DE GAS PROPANO</v>
          </cell>
        </row>
        <row r="140">
          <cell r="B140" t="str">
            <v>CINTA BANDIT 1/2" CON GRAPAS</v>
          </cell>
        </row>
        <row r="141">
          <cell r="B141" t="str">
            <v>CINTA PAPEL</v>
          </cell>
        </row>
        <row r="142">
          <cell r="B142" t="str">
            <v>CINTA TEFLÓN 10 m 1/2"</v>
          </cell>
        </row>
        <row r="143">
          <cell r="B143" t="str">
            <v>CLOSET</v>
          </cell>
        </row>
        <row r="144">
          <cell r="B144" t="str">
            <v>COCINA INTEGRAL</v>
          </cell>
        </row>
        <row r="145">
          <cell r="B145" t="str">
            <v>CODO 90° 1/4 CxC SANITARIO 3" Pavco</v>
          </cell>
        </row>
        <row r="146">
          <cell r="B146" t="str">
            <v>CODO 90° 1/4 CxC SANITARIO 4" Pavco</v>
          </cell>
        </row>
        <row r="147">
          <cell r="B147" t="str">
            <v>CODO 90° 1/4 CxE SANITARIO 2"</v>
          </cell>
        </row>
        <row r="148">
          <cell r="B148" t="str">
            <v>CODO 90° 4" EXTREMO BRIDADO</v>
          </cell>
        </row>
        <row r="149">
          <cell r="B149" t="str">
            <v>CODO 90° PRESIÓN PVC   3/4" Pavco</v>
          </cell>
        </row>
        <row r="150">
          <cell r="B150" t="str">
            <v>CODO 90° PRESIÓN PVC 1 1/2" Pavco</v>
          </cell>
        </row>
        <row r="151">
          <cell r="B151" t="str">
            <v>CODO PRESIÓN           1"</v>
          </cell>
        </row>
        <row r="152">
          <cell r="B152" t="str">
            <v>COMBO SANITARIO BLANCO AHORRADOR</v>
          </cell>
        </row>
        <row r="153">
          <cell r="B153" t="str">
            <v>CONCERTINA EN ACERO INOXIDABLE DE 18"</v>
          </cell>
        </row>
        <row r="154">
          <cell r="B154" t="str">
            <v>CONCRETO DE 1500 PSI</v>
          </cell>
        </row>
        <row r="155">
          <cell r="B155" t="str">
            <v>CONCRETO DE 2000 PSI</v>
          </cell>
        </row>
        <row r="156">
          <cell r="B156" t="str">
            <v>CONCRETO DE 2500 PSI</v>
          </cell>
        </row>
        <row r="157">
          <cell r="B157" t="str">
            <v>CONCRETO DE 3000 PSI</v>
          </cell>
        </row>
        <row r="158">
          <cell r="B158" t="str">
            <v>CONCRETO DE 3500 PSI</v>
          </cell>
        </row>
        <row r="159">
          <cell r="B159" t="str">
            <v>CONCRETO DE 4000 PSI</v>
          </cell>
        </row>
        <row r="160">
          <cell r="B160" t="str">
            <v>CONCRETO TREMIE TORNILLO DE 3000 PSI</v>
          </cell>
        </row>
        <row r="161">
          <cell r="B161" t="str">
            <v>CONCRETO TREMIE TORNILLO DE 4000 PSI</v>
          </cell>
        </row>
        <row r="162">
          <cell r="B162" t="str">
            <v>CONCRETO DE 3500 PSI BAJA PERMEABILIDAD</v>
          </cell>
        </row>
        <row r="163">
          <cell r="B163" t="str">
            <v>COPA ESMERIL</v>
          </cell>
        </row>
        <row r="164">
          <cell r="B164" t="str">
            <v>COPA SIERRA</v>
          </cell>
        </row>
        <row r="165">
          <cell r="B165" t="str">
            <v>CORREA EN MADERA</v>
          </cell>
        </row>
        <row r="166">
          <cell r="B166" t="str">
            <v>CORREA METALICA</v>
          </cell>
        </row>
        <row r="167">
          <cell r="B167" t="str">
            <v>CORTACIRCUITOS 15 KV-100 AMPERIOS-</v>
          </cell>
        </row>
        <row r="168">
          <cell r="B168" t="str">
            <v xml:space="preserve">Cortina corrida Automática tipo Blackout, h= 1.10 m </v>
          </cell>
        </row>
        <row r="169">
          <cell r="B169" t="str">
            <v>CURVA 90º PVC 1/2"</v>
          </cell>
        </row>
        <row r="170">
          <cell r="B170" t="str">
            <v>DESAGUE LAVAMANOS SENCILLO Gerfor GF-581084</v>
          </cell>
        </row>
        <row r="171">
          <cell r="B171" t="str">
            <v>DESAGUE ORINAL 1 1/2"</v>
          </cell>
        </row>
        <row r="172">
          <cell r="B172" t="str">
            <v>DESCARGADOR DE SOBRETENSION TIPO  LINEA 12 KV- 10 KA-</v>
          </cell>
        </row>
        <row r="173">
          <cell r="B173" t="str">
            <v xml:space="preserve">DESCARGADOR FRANKLIN DE 5 PUNTAS </v>
          </cell>
        </row>
        <row r="174">
          <cell r="B174" t="str">
            <v>DIAGONALES</v>
          </cell>
        </row>
        <row r="175">
          <cell r="B175" t="str">
            <v>DILATACION BRONCE</v>
          </cell>
        </row>
        <row r="176">
          <cell r="B176" t="str">
            <v>DILATACIÓN EN BRONCE PC13</v>
          </cell>
        </row>
        <row r="177">
          <cell r="B177" t="str">
            <v>DINTELES EN CONCRETO h=0.15m x 0.2m (2500 PSI Mezcla 1:3:3)</v>
          </cell>
        </row>
        <row r="178">
          <cell r="B178" t="str">
            <v>DISCO CORTE LADRILLO Y7O CONCRETO</v>
          </cell>
        </row>
        <row r="179">
          <cell r="B179" t="str">
            <v>DISCO PARA CORTE METAL</v>
          </cell>
        </row>
        <row r="180">
          <cell r="B180" t="str">
            <v>DISPENSADOR JABON</v>
          </cell>
        </row>
        <row r="181">
          <cell r="B181" t="str">
            <v>DUCHA Antivandalica Docol DO-17125106</v>
          </cell>
        </row>
        <row r="182">
          <cell r="B182" t="str">
            <v>DUCHA CON MEZCLADOR</v>
          </cell>
        </row>
        <row r="183">
          <cell r="B183" t="str">
            <v>DUCHA CON REGISTRO</v>
          </cell>
        </row>
        <row r="184">
          <cell r="B184" t="str">
            <v>DUCHA ELECTRICA</v>
          </cell>
        </row>
        <row r="185">
          <cell r="B185" t="str">
            <v>DURMIENTE ABARCO 4 m</v>
          </cell>
        </row>
        <row r="186">
          <cell r="B186" t="str">
            <v>DURMIENTE ORDINARIO DE 3 MTS</v>
          </cell>
        </row>
        <row r="187">
          <cell r="B187" t="str">
            <v>ELEMENTOS FIJACION MANTO</v>
          </cell>
        </row>
        <row r="188">
          <cell r="B188" t="str">
            <v>EMPAQUES</v>
          </cell>
        </row>
        <row r="189">
          <cell r="B189" t="str">
            <v>EMULSION ASFALTICA</v>
          </cell>
        </row>
        <row r="190">
          <cell r="B190" t="str">
            <v>ENCHAPE  DE 20X30</v>
          </cell>
        </row>
        <row r="191">
          <cell r="B191" t="str">
            <v>ENCHAPE CERAMICA BLANCO</v>
          </cell>
        </row>
        <row r="192">
          <cell r="B192" t="str">
            <v>Enchape paredes interiores Triplex Cedro Tintillad</v>
          </cell>
        </row>
        <row r="193">
          <cell r="B193" t="str">
            <v xml:space="preserve">EQUIPO AUTOMÁTICO PARA ALUMBRADO DE EMERGENCIA REFERENCIA ILURAM IL3-2H  </v>
          </cell>
        </row>
        <row r="194">
          <cell r="B194" t="str">
            <v xml:space="preserve">EQUIPO DE MEDICION  EN MEDIA TENSION </v>
          </cell>
        </row>
        <row r="195">
          <cell r="B195" t="str">
            <v>ESGRAFIADO PINTUCO 4 GALONES 30 KG</v>
          </cell>
        </row>
        <row r="196">
          <cell r="B196" t="str">
            <v>ESMALTE  Sobre lamina lineal Tipo pintulx anoloc verde bronce.</v>
          </cell>
        </row>
        <row r="197">
          <cell r="B197" t="str">
            <v>ESMALTE  Sobre lamina llena Tipo pintulx</v>
          </cell>
        </row>
        <row r="198">
          <cell r="B198" t="str">
            <v>ESMALTE ANTIHUMEDAD LAVABLE</v>
          </cell>
        </row>
        <row r="199">
          <cell r="B199" t="str">
            <v>ESMALTE SINTÉTICO PINTULUX</v>
          </cell>
        </row>
        <row r="200">
          <cell r="B200" t="str">
            <v>ESPEJO BORDE BISELADO DE 0.70X1.00</v>
          </cell>
        </row>
        <row r="201">
          <cell r="B201" t="str">
            <v>ESPEJO DE SEGURIDAD DE 40 CM</v>
          </cell>
        </row>
        <row r="202">
          <cell r="B202" t="str">
            <v>ESTACAS</v>
          </cell>
        </row>
        <row r="203">
          <cell r="B203" t="str">
            <v>ESTACIUON MANUAL DE APERTURA REF. BDS121/e SIEMENS o similar en marca reconocida</v>
          </cell>
        </row>
        <row r="204">
          <cell r="B204" t="str">
            <v>ESTRUCTURA CIELORASO DRYWALL(OMEGA-ANGULO-PARAL-TORNILLOS)</v>
          </cell>
        </row>
        <row r="205">
          <cell r="B205" t="str">
            <v>ESTRUCTURA CONEXIÓN RED TRENZADA CONJUNTO LA 320</v>
          </cell>
        </row>
        <row r="206">
          <cell r="B206" t="str">
            <v>ESTRUCTURA CONEXIÓN RED TRENZADA CONJUNTO LA 321</v>
          </cell>
        </row>
        <row r="207">
          <cell r="B207" t="str">
            <v>ESTRUCTURA CONEXIÓN RED TRENZADA CONJUNTO LA 324</v>
          </cell>
        </row>
        <row r="208">
          <cell r="B208" t="str">
            <v>ESQUINERO PLASTICO 2m</v>
          </cell>
        </row>
        <row r="209">
          <cell r="B209" t="str">
            <v>ESTUCO PLASTICO</v>
          </cell>
        </row>
        <row r="210">
          <cell r="B210" t="str">
            <v>ESTUFA CHALLENGER DE EMPOTRAR 4 PUESTOS ELECTRICA</v>
          </cell>
        </row>
        <row r="211">
          <cell r="B211" t="str">
            <v>ESTUFA DE EMPOTRAR MIXTA 4 PUESTOS</v>
          </cell>
        </row>
        <row r="212">
          <cell r="B212" t="str">
            <v>ESTUFA ELECTRICA 2 PUESTOS</v>
          </cell>
        </row>
        <row r="213">
          <cell r="B213" t="str">
            <v>EXTRAXTOR DE OLOR DE 20X20</v>
          </cell>
        </row>
        <row r="214">
          <cell r="B214" t="str">
            <v>Fachada Closet 4 Ptas Cedro ( Tintillado )</v>
          </cell>
        </row>
        <row r="215">
          <cell r="B215" t="str">
            <v>FIJADORES DE ALA</v>
          </cell>
        </row>
        <row r="216">
          <cell r="B216" t="str">
            <v>FILTRO AEROBICO CON ACC.</v>
          </cell>
        </row>
        <row r="217">
          <cell r="B217" t="str">
            <v>FILTRO DE DRENAJE 0.5 x 0.5 CON RELLENO EN GRAVILLA DE RIO 3/4" - 1" (SIN EXCAVACIÓN)</v>
          </cell>
        </row>
        <row r="218">
          <cell r="B218" t="str">
            <v>FORMALETA ENTREPISOS, con camilla</v>
          </cell>
        </row>
        <row r="219">
          <cell r="B219" t="str">
            <v>GANCHOS ANCLAJES TEJA THERMOACUSTICA</v>
          </cell>
        </row>
        <row r="220">
          <cell r="B220" t="str">
            <v>GANCHO TEJA ETERNIT 55 mm</v>
          </cell>
        </row>
        <row r="221">
          <cell r="B221" t="str">
            <v>GEOTEXTIL NO TEJIDO</v>
          </cell>
        </row>
        <row r="222">
          <cell r="B222" t="str">
            <v>GEOTEXTIL TR 4000</v>
          </cell>
        </row>
        <row r="223">
          <cell r="B223" t="str">
            <v>GRANITO TRAVERTINO</v>
          </cell>
        </row>
        <row r="224">
          <cell r="B224" t="str">
            <v xml:space="preserve">GRAVILLA </v>
          </cell>
        </row>
        <row r="225">
          <cell r="B225" t="str">
            <v>GRIFERIA AHORRADORA TIPO PUSH</v>
          </cell>
        </row>
        <row r="226">
          <cell r="B226" t="str">
            <v>GRIFERIA LAVAMANOS LINEA FENIX 4"</v>
          </cell>
        </row>
        <row r="227">
          <cell r="B227" t="str">
            <v>GUARDAESCOBA EN CERAMICA</v>
          </cell>
        </row>
        <row r="228">
          <cell r="B228" t="str">
            <v>GUARDAESCOBA EN GRANADILLO</v>
          </cell>
        </row>
        <row r="229">
          <cell r="B229" t="str">
            <v>GRIFERIA LAVAPLATOS GRIVAL LINEA AMARETO</v>
          </cell>
        </row>
        <row r="230">
          <cell r="B230" t="str">
            <v>GUARDAESCOBA PORCELANATO</v>
          </cell>
        </row>
        <row r="231">
          <cell r="B231" t="str">
            <v>IGAS GRIS - Masilla plastica 25210351</v>
          </cell>
        </row>
        <row r="232">
          <cell r="B232" t="str">
            <v>IMPRIMANTE DE VINILO</v>
          </cell>
        </row>
        <row r="233">
          <cell r="B233" t="str">
            <v>HERRAJES MUEBLES MADERA</v>
          </cell>
        </row>
        <row r="234">
          <cell r="B234" t="str">
            <v>Interior Closet en triplex cedro (Tintillado )</v>
          </cell>
        </row>
        <row r="235">
          <cell r="B235" t="str">
            <v>INTERRUPTOR CAJA MOLDEADA 3X40A / 25KA. CALIDAD MERLIN GERIN, SIEMENS O SUPERIOR</v>
          </cell>
        </row>
        <row r="236">
          <cell r="B236" t="str">
            <v>INTERRUPTOR CAJA MOLDEADA 3X80A / 50KA - 240V.</v>
          </cell>
        </row>
        <row r="237">
          <cell r="B237" t="str">
            <v>INTERRUPTOR DE TRANSFERENCIA TIPO SECCIONADOR TRIPOLAR</v>
          </cell>
        </row>
        <row r="238">
          <cell r="B238" t="str">
            <v xml:space="preserve">INTERRUPTOR DOBLE </v>
          </cell>
        </row>
        <row r="239">
          <cell r="B239" t="str">
            <v>INTERRUPTOR DOBLE CONMUTABLE</v>
          </cell>
        </row>
        <row r="240">
          <cell r="B240" t="str">
            <v>INTERRUPTOR ENCHUFABLE DE 2X20  A - 240 v - 10 ka</v>
          </cell>
        </row>
        <row r="241">
          <cell r="B241" t="str">
            <v>INTERRUPTOR ENCHUFABLE DE 2X30  A - 240 v - 10 ka</v>
          </cell>
        </row>
        <row r="242">
          <cell r="B242" t="str">
            <v xml:space="preserve">INTERRUPTOR SENCILLO </v>
          </cell>
        </row>
        <row r="243">
          <cell r="B243" t="str">
            <v>INTERRUPTOR SENCILLO CONMUTABLE CON LUZ PILOTO</v>
          </cell>
        </row>
        <row r="244">
          <cell r="B244" t="str">
            <v>INTERRUPTOR SENCILLOCON LUZ PILOTO</v>
          </cell>
        </row>
        <row r="245">
          <cell r="B245" t="str">
            <v>INTERRUPTORES ENCHUFABLES DE 1X15  A - 240 v - 10 ka</v>
          </cell>
        </row>
        <row r="246">
          <cell r="B246" t="str">
            <v>INTERRUPTORES ENCHUFABLES DE 1X20  A - 240 v - 10 kA</v>
          </cell>
        </row>
        <row r="247">
          <cell r="B247" t="str">
            <v>INTERRUPTORES ENCHUFABLES DE 3X30  A - 240 v - 10 ka</v>
          </cell>
        </row>
        <row r="248">
          <cell r="B248" t="str">
            <v>Jabonera - GRIVAL</v>
          </cell>
        </row>
        <row r="249">
          <cell r="B249" t="str">
            <v>Jabonera Ducha - GRIVAL</v>
          </cell>
        </row>
        <row r="250">
          <cell r="B250" t="str">
            <v>KORAZA Pintuco</v>
          </cell>
        </row>
        <row r="251">
          <cell r="B251" t="str">
            <v>LACA</v>
          </cell>
        </row>
        <row r="252">
          <cell r="B252" t="str">
            <v>LACA PARA MADERA</v>
          </cell>
        </row>
        <row r="253">
          <cell r="B253" t="str">
            <v>LADRILLO PORTANTE 12X29X9</v>
          </cell>
        </row>
        <row r="254">
          <cell r="B254" t="str">
            <v>Ladrillo Prensado</v>
          </cell>
        </row>
        <row r="255">
          <cell r="B255" t="str">
            <v>LADRILLO RECOCIDO</v>
          </cell>
        </row>
        <row r="256">
          <cell r="B256" t="str">
            <v>LADRILLO TOLETE COMUN RECOCIDO</v>
          </cell>
        </row>
        <row r="257">
          <cell r="B257" t="str">
            <v>LÁMINA COLD ROLLED Cal.16 (1.22x 2.44 )</v>
          </cell>
        </row>
        <row r="258">
          <cell r="B258" t="str">
            <v xml:space="preserve">LÁMINA COLD ROLLED Cal.18 </v>
          </cell>
        </row>
        <row r="259">
          <cell r="B259" t="str">
            <v>LÁMINA COLD ROLLED Cal.18 (1.22x 2.44 )</v>
          </cell>
        </row>
        <row r="260">
          <cell r="B260" t="str">
            <v>LÁMINA COLD ROLLED Cal.20 (1.00x 2.00 )</v>
          </cell>
        </row>
        <row r="261">
          <cell r="B261" t="str">
            <v>LÁMINA COLD ROLLED Cal.20 (1.22x 2.44 )</v>
          </cell>
        </row>
        <row r="262">
          <cell r="B262" t="str">
            <v>LAMINA DE ACRILICO DE 0.60X2.44 DE 1.80 mm</v>
          </cell>
        </row>
        <row r="263">
          <cell r="B263" t="str">
            <v>LAMINA COLABORANTE METALDECK 2" GRADO 40 CAL 22</v>
          </cell>
        </row>
        <row r="264">
          <cell r="B264" t="str">
            <v>LAMINA DE ACRILICO DE 1.20X1.80 DE 3.0 mm con color</v>
          </cell>
        </row>
        <row r="265">
          <cell r="B265" t="str">
            <v>LAMINA DE ACRILICO DE 1.20X1.80 DE 3.0 mm sin color</v>
          </cell>
        </row>
        <row r="266">
          <cell r="B266" t="str">
            <v>LAMINA DE ACRILICO DE 1.20X1.80 DE 3.00 mm</v>
          </cell>
        </row>
        <row r="267">
          <cell r="B267" t="str">
            <v>LAMINA DRY WALL 1.22X2.44</v>
          </cell>
        </row>
        <row r="268">
          <cell r="B268" t="str">
            <v>LAMINA EN ACRILICO DE 0.61X2,44 DE 1,8 mm</v>
          </cell>
        </row>
        <row r="269">
          <cell r="B269" t="str">
            <v>LAMINA GALVANIZADA DE 1.00X2.00 CAL  22</v>
          </cell>
        </row>
        <row r="270">
          <cell r="B270" t="str">
            <v>LAMINA GALVANIZADA DE 1.00X2.00 CAL  24</v>
          </cell>
        </row>
        <row r="271">
          <cell r="B271" t="str">
            <v>LAMINA GALVANIZADA DE 1.00X2.00 CAL  26</v>
          </cell>
        </row>
        <row r="272">
          <cell r="B272" t="str">
            <v>LAMINA GALVANIZADA DE 1.22X2.44 CAL  22</v>
          </cell>
        </row>
        <row r="273">
          <cell r="B273" t="str">
            <v>LAMINA SUPERBOARD 1.22X2.44</v>
          </cell>
        </row>
        <row r="274">
          <cell r="B274" t="str">
            <v>LIMATESA ETERNIT P7 L=1.14</v>
          </cell>
        </row>
        <row r="275">
          <cell r="B275" t="str">
            <v>LAMINAS DURACUSTIC</v>
          </cell>
        </row>
        <row r="276">
          <cell r="B276" t="str">
            <v>LAMINAS EN ACRILICO DE 60X60</v>
          </cell>
        </row>
        <row r="277">
          <cell r="B277" t="str">
            <v>LAMPARA DE 2x32</v>
          </cell>
        </row>
        <row r="278">
          <cell r="B278" t="str">
            <v xml:space="preserve">Lampara para luminaria - sodio 150 WATTS. </v>
          </cell>
        </row>
        <row r="279">
          <cell r="B279" t="str">
            <v>LAMPARA TIPO INCANDESCENTE DE 32 W</v>
          </cell>
        </row>
        <row r="280">
          <cell r="B280" t="str">
            <v>LAMPARA OJO DE BUEY</v>
          </cell>
        </row>
        <row r="281">
          <cell r="B281" t="str">
            <v>LAVAMANOS DE INCRUSTAR LINEA SAN LORENZO</v>
          </cell>
        </row>
        <row r="282">
          <cell r="B282" t="str">
            <v>LAVAPLATOS EN ACERO</v>
          </cell>
        </row>
        <row r="283">
          <cell r="B283" t="str">
            <v>LIJA</v>
          </cell>
        </row>
        <row r="284">
          <cell r="B284" t="str">
            <v xml:space="preserve">LIJA </v>
          </cell>
        </row>
        <row r="285">
          <cell r="B285" t="str">
            <v>LIMPIADOR PVC DE 1/4</v>
          </cell>
        </row>
        <row r="286">
          <cell r="B286" t="str">
            <v>LISTON ORDINARIO</v>
          </cell>
        </row>
        <row r="287">
          <cell r="B287" t="str">
            <v>LISTÓN CEDRO MACHO 5x2 cm.</v>
          </cell>
        </row>
        <row r="288">
          <cell r="B288" t="str">
            <v>LISTON EN OTOBO PARA CIELORRASO</v>
          </cell>
        </row>
        <row r="289">
          <cell r="B289" t="str">
            <v>LLAVE MANGUERA DE 1/2"</v>
          </cell>
        </row>
        <row r="290">
          <cell r="B290" t="str">
            <v>LLAVE PARA URINARIO</v>
          </cell>
        </row>
        <row r="291">
          <cell r="B291" t="str">
            <v>LOCKER METALICO DE 0.45X2.00</v>
          </cell>
        </row>
        <row r="292">
          <cell r="B292" t="str">
            <v>LOGO ACUEDUCTO EN ACERO DE 2.00X0.80</v>
          </cell>
        </row>
        <row r="293">
          <cell r="B293" t="str">
            <v>Luminaria abierta tipo INDULUX AA Sodio 400 WATTS.Pantalla de aluminio o policarbonato prismático, 633mmX482mm</v>
          </cell>
        </row>
        <row r="294">
          <cell r="B294" t="str">
            <v xml:space="preserve">Luminaria completa fluorescente  TMS028 2xTL-D36W HFS 20 CMx 120 cm 120 voltios. </v>
          </cell>
        </row>
        <row r="295">
          <cell r="B295" t="str">
            <v>Luminaria horizontal cerrada carcaza enteriza Sodio de alta presion  Potencia: 150W 208/220 Voltios . Incluye lampara y fotocelda</v>
          </cell>
        </row>
        <row r="296">
          <cell r="B296" t="str">
            <v>LUMINARIA HORIZONTAL CERRADA DE 150 VATIOS-BOMBILLO SODIO ALTA PRESION</v>
          </cell>
        </row>
        <row r="297">
          <cell r="B297" t="str">
            <v>LUMINARIA HORIZONTAL CERRADA DE 70 VATIOS-BOMBILLO SODIO ALTA PRESION</v>
          </cell>
        </row>
        <row r="298">
          <cell r="B298" t="str">
            <v xml:space="preserve">Luminaria tipo reflector ROY ALHPA Ref: QUIMBAYA 70 WATTS 208 V. </v>
          </cell>
        </row>
        <row r="299">
          <cell r="B299" t="str">
            <v>MADERA GRANADILLO</v>
          </cell>
        </row>
        <row r="300">
          <cell r="B300" t="str">
            <v xml:space="preserve">MALLA ELECTROSOLDADA </v>
          </cell>
        </row>
        <row r="301">
          <cell r="B301" t="str">
            <v>MALLA ELECTROSOLDADA M-084</v>
          </cell>
        </row>
        <row r="302">
          <cell r="B302" t="str">
            <v xml:space="preserve">MALLA ELECTROSOLDADA  6mm 15X15  6.00X2.35  42.20 KG </v>
          </cell>
        </row>
        <row r="303">
          <cell r="B303" t="str">
            <v>MALLA PROTECCION Ancho = 4 m</v>
          </cell>
        </row>
        <row r="304">
          <cell r="B304" t="str">
            <v>MALLA GALLINERO</v>
          </cell>
        </row>
        <row r="305">
          <cell r="B305" t="str">
            <v>MALLA ONDULADA CAL 10 DE 1 1/2" x 1 1/2"</v>
          </cell>
        </row>
        <row r="306">
          <cell r="B306" t="str">
            <v>MALLA ONDULADA Cal. 12 1 1/2" (Alambre galv.)</v>
          </cell>
        </row>
        <row r="307">
          <cell r="B307" t="str">
            <v>MALLA ONDULADA Cal. 8 1 3/4" (Alambre galv.)</v>
          </cell>
        </row>
        <row r="308">
          <cell r="B308" t="str">
            <v>MANGUERA FLEXIBLE DE CONEXIÓN</v>
          </cell>
        </row>
        <row r="309">
          <cell r="B309" t="str">
            <v>MANGUERAS DE LUCES TIPO AMERICANA</v>
          </cell>
        </row>
        <row r="310">
          <cell r="B310" t="str">
            <v>MANIJA VENTANA METALICA</v>
          </cell>
        </row>
        <row r="311">
          <cell r="B311" t="str">
            <v>MANIOBRA DE TRANSFORMADOR</v>
          </cell>
        </row>
        <row r="313">
          <cell r="B313" t="str">
            <v>MANTO ASFALTICO 10 M2</v>
          </cell>
        </row>
        <row r="314">
          <cell r="B314" t="str">
            <v>MARCO CAJA INSP. 40 x 40</v>
          </cell>
        </row>
        <row r="315">
          <cell r="B315" t="str">
            <v>MARCO CAJA INSP. 60 x 60</v>
          </cell>
        </row>
        <row r="316">
          <cell r="B316" t="str">
            <v>MARCO EN ACERO PARA TAPA CAJA CS 276</v>
          </cell>
        </row>
        <row r="317">
          <cell r="B317" t="str">
            <v>MARCO PUERTA MADERA</v>
          </cell>
        </row>
        <row r="318">
          <cell r="B318" t="str">
            <v>MARCO PUERTA METALICA</v>
          </cell>
        </row>
        <row r="319">
          <cell r="B319" t="str">
            <v>MARCO SENCILLO EN ANGULO EN ACERO A-37</v>
          </cell>
        </row>
        <row r="320">
          <cell r="B320" t="str">
            <v>MARCO VENTANA METALICA</v>
          </cell>
        </row>
        <row r="321">
          <cell r="B321" t="str">
            <v>MARCO Y CONTRAMARCO</v>
          </cell>
        </row>
        <row r="322">
          <cell r="B322" t="str">
            <v>MARCO Y TAPA EN ALFAJOR DE 0,30X0,30</v>
          </cell>
        </row>
        <row r="323">
          <cell r="B323" t="str">
            <v>MARMOLINA</v>
          </cell>
        </row>
        <row r="324">
          <cell r="B324" t="str">
            <v xml:space="preserve">MASILLA </v>
          </cell>
        </row>
        <row r="325">
          <cell r="B325" t="str">
            <v>MASTIL EN TUBO CONDUIT GALVANIZADO DE Ø1</v>
          </cell>
        </row>
        <row r="326">
          <cell r="B326" t="str">
            <v>MASTIQUE PARA JUNTAS</v>
          </cell>
        </row>
        <row r="327">
          <cell r="B327" t="str">
            <v>MATERIAL GRANULAR</v>
          </cell>
        </row>
        <row r="328">
          <cell r="B328" t="str">
            <v>MEDIDOR DE 1/2"</v>
          </cell>
        </row>
        <row r="329">
          <cell r="B329" t="str">
            <v>MEDIDOR DE AGUA      1/2"</v>
          </cell>
        </row>
        <row r="330">
          <cell r="B330" t="str">
            <v>MEDIDOR TRIFASICO TETRAFILAR 50(150)A 208-120V;</v>
          </cell>
        </row>
        <row r="331">
          <cell r="B331" t="str">
            <v>MEDIDORES DE 4"</v>
          </cell>
        </row>
        <row r="332">
          <cell r="B332" t="str">
            <v>MESON EN ACERO INOXIDABLE DE 60 cm CAL 20</v>
          </cell>
        </row>
        <row r="333">
          <cell r="B333" t="str">
            <v xml:space="preserve">MEZCLADOR LAVAPLATOS </v>
          </cell>
        </row>
        <row r="334">
          <cell r="B334" t="str">
            <v>MINISPLIT LG 18000 BTU</v>
          </cell>
        </row>
        <row r="335">
          <cell r="B335" t="str">
            <v>MORTERO 1:3 ( arena semilavada de peña )</v>
          </cell>
        </row>
        <row r="336">
          <cell r="B336" t="str">
            <v>MORTERO 1:4 ( arena semilavada )</v>
          </cell>
        </row>
        <row r="337">
          <cell r="B337" t="str">
            <v>MORTERO 1:3 IMPERMEABILIZADO</v>
          </cell>
        </row>
        <row r="338">
          <cell r="B338" t="str">
            <v>MORTERO 1:5</v>
          </cell>
        </row>
        <row r="339">
          <cell r="B339" t="str">
            <v>MURO EN LADRILLO TOLETE COMUN EN 0.125 CON PEGA DE MORTERO 1:5</v>
          </cell>
        </row>
        <row r="340">
          <cell r="B340" t="str">
            <v>NIPLE GALAVANIZADO DE 4" SH 40</v>
          </cell>
        </row>
        <row r="341">
          <cell r="B341" t="str">
            <v>ORINAL MEDIANO BLANCO PORCELANA</v>
          </cell>
        </row>
        <row r="342">
          <cell r="B342" t="str">
            <v>PABMERIL PLIEGO 9" x 11"</v>
          </cell>
        </row>
        <row r="343">
          <cell r="B343" t="str">
            <v>PARLANTE</v>
          </cell>
        </row>
        <row r="344">
          <cell r="B344" t="str">
            <v xml:space="preserve">PALETAS REFLECTIVAS DE SEÑALIZACION -CONOS-CINTA SEÑALI </v>
          </cell>
        </row>
        <row r="345">
          <cell r="B345" t="str">
            <v>PASTO</v>
          </cell>
        </row>
        <row r="346">
          <cell r="B346" t="str">
            <v>PEGACOR BLANCO</v>
          </cell>
        </row>
        <row r="347">
          <cell r="B347" t="str">
            <v>PEGACOR E-50</v>
          </cell>
        </row>
        <row r="348">
          <cell r="B348" t="str">
            <v>PEGANTE PARA GAS FUERZA MEDIA</v>
          </cell>
        </row>
        <row r="349">
          <cell r="B349" t="str">
            <v>PELICULA SAN BLASTING</v>
          </cell>
        </row>
        <row r="350">
          <cell r="B350" t="str">
            <v>Percha simple - GRIVAL</v>
          </cell>
        </row>
        <row r="351">
          <cell r="B351" t="str">
            <v>PERFIL ALN 173 DE 6 mts</v>
          </cell>
        </row>
        <row r="352">
          <cell r="B352" t="str">
            <v>PERFIL ALN 177 DE 6 mts</v>
          </cell>
        </row>
        <row r="353">
          <cell r="B353" t="str">
            <v>PERFIL ALN 292 DE 6 mts</v>
          </cell>
        </row>
        <row r="354">
          <cell r="B354" t="str">
            <v>PERFIL ESTRUCTURAL EN C 160*60 1.5mm</v>
          </cell>
        </row>
        <row r="355">
          <cell r="B355" t="str">
            <v>PIBOTES, RODACHINES, PARALES, OMEGAS</v>
          </cell>
        </row>
        <row r="356">
          <cell r="B356" t="str">
            <v>PIEDRA ESMERIL</v>
          </cell>
        </row>
        <row r="357">
          <cell r="B357" t="str">
            <v>PIEDRA MEDIA ZONGA</v>
          </cell>
        </row>
        <row r="358">
          <cell r="B358" t="str">
            <v>PIEDRA RAJON</v>
          </cell>
        </row>
        <row r="359">
          <cell r="B359" t="str">
            <v>PINTURA ACRILTEX</v>
          </cell>
        </row>
        <row r="360">
          <cell r="B360" t="str">
            <v>PINTURA Electrostatica (poliester gris )</v>
          </cell>
        </row>
        <row r="361">
          <cell r="B361" t="str">
            <v>PINTURA EPOXICA</v>
          </cell>
        </row>
        <row r="362">
          <cell r="B362" t="str">
            <v>PINTURA KORAZA</v>
          </cell>
        </row>
        <row r="363">
          <cell r="B363" t="str">
            <v>PINTURA BITUMINOSA</v>
          </cell>
        </row>
        <row r="364">
          <cell r="B364" t="str">
            <v>PINTURA VINILO TIPO 1</v>
          </cell>
        </row>
        <row r="365">
          <cell r="B365" t="str">
            <v>PISO EN CERAMICA DE 30X30</v>
          </cell>
        </row>
        <row r="366">
          <cell r="B366" t="str">
            <v>PISO EN MADERA GRANADILLO</v>
          </cell>
        </row>
        <row r="367">
          <cell r="B367" t="str">
            <v>PINTURA VINILO TIPO 2</v>
          </cell>
        </row>
        <row r="368">
          <cell r="B368" t="str">
            <v>PISO PORCELANATO</v>
          </cell>
        </row>
        <row r="369">
          <cell r="B369" t="str">
            <v>Porta rollos - GRIVAL Línea STYLO,</v>
          </cell>
        </row>
        <row r="370">
          <cell r="B370" t="str">
            <v>PLATINA DE  1/2" * 1/8</v>
          </cell>
        </row>
        <row r="371">
          <cell r="B371" t="str">
            <v xml:space="preserve">PLATINA DE  3/4" </v>
          </cell>
        </row>
        <row r="372">
          <cell r="B372" t="str">
            <v>PLATINA DE  3/4" X 1/8"</v>
          </cell>
        </row>
        <row r="373">
          <cell r="B373" t="str">
            <v>POLIETILENO No. 4</v>
          </cell>
        </row>
        <row r="374">
          <cell r="B374" t="str">
            <v>POLIETILENO No. 6</v>
          </cell>
        </row>
        <row r="375">
          <cell r="B375" t="str">
            <v>PRIMER ANTICORROSIVO</v>
          </cell>
        </row>
        <row r="376">
          <cell r="B376" t="str">
            <v>PUNTILLA 3/4"</v>
          </cell>
        </row>
        <row r="377">
          <cell r="B377" t="str">
            <v>PUNTILLA 1"</v>
          </cell>
        </row>
        <row r="378">
          <cell r="B378" t="str">
            <v>PUNTILLA 11/4"</v>
          </cell>
        </row>
        <row r="379">
          <cell r="B379" t="str">
            <v>PUNTILLA 11/2"</v>
          </cell>
        </row>
        <row r="380">
          <cell r="B380" t="str">
            <v>PUNTILLA 2"</v>
          </cell>
        </row>
        <row r="381">
          <cell r="B381" t="str">
            <v>PUNTILLA 21/2"</v>
          </cell>
        </row>
        <row r="386">
          <cell r="B386" t="str">
            <v>RECEBO B-200</v>
          </cell>
        </row>
        <row r="387">
          <cell r="B387" t="str">
            <v>RECEBO B-600</v>
          </cell>
        </row>
        <row r="388">
          <cell r="B388" t="str">
            <v>RECEBO COMÚN</v>
          </cell>
        </row>
        <row r="389">
          <cell r="B389" t="str">
            <v>RECEBO B-400</v>
          </cell>
        </row>
        <row r="390">
          <cell r="B390" t="str">
            <v>RED PARA ATERRIZAR SUBESTACION</v>
          </cell>
        </row>
        <row r="391">
          <cell r="B391" t="str">
            <v>RED TRENZADA CABLE 2X2+2</v>
          </cell>
        </row>
        <row r="392">
          <cell r="B392" t="str">
            <v>RED TRENZADA CABLE 3x1/0+1/0</v>
          </cell>
        </row>
        <row r="393">
          <cell r="B393" t="str">
            <v xml:space="preserve">REFLECTOR DE 250 VATIOS-SODIO ALTA PRESION -220 VOLTIOS-SODIO ALTA </v>
          </cell>
        </row>
        <row r="394">
          <cell r="B394" t="str">
            <v>REFLECTOR DE 400 W</v>
          </cell>
        </row>
        <row r="395">
          <cell r="B395" t="str">
            <v>REGISTRO DE 3/4"</v>
          </cell>
        </row>
        <row r="396">
          <cell r="B396" t="str">
            <v>REGISTRO DE BOLA 1/2"</v>
          </cell>
        </row>
        <row r="397">
          <cell r="B397" t="str">
            <v>REGISTRO P.D.  R&amp;W - 2 1/2 " ( de cortina )</v>
          </cell>
        </row>
        <row r="398">
          <cell r="B398" t="str">
            <v>REGISTRO R&amp;W - 1" ( de cortina ) Ref. 206</v>
          </cell>
        </row>
        <row r="399">
          <cell r="B399" t="str">
            <v>REGISTRO R&amp;W - 1/2" ( de cortina ) Ref. 206</v>
          </cell>
        </row>
        <row r="400">
          <cell r="B400" t="str">
            <v>REGISTRO R&amp;W - 3/4" ( de cortina ) Ref. 206</v>
          </cell>
        </row>
        <row r="401">
          <cell r="B401" t="str">
            <v xml:space="preserve">REJILLA Aluminio 3"x2" </v>
          </cell>
        </row>
        <row r="402">
          <cell r="B402" t="str">
            <v>REJILLA VENTILACION PLASTICA DE 25X25</v>
          </cell>
        </row>
        <row r="403">
          <cell r="B403" t="str">
            <v>Rejillas de piso en aluminio de 3x2 con sosco</v>
          </cell>
        </row>
        <row r="404">
          <cell r="B404" t="str">
            <v>RELLENO ARENA DE PEÑA</v>
          </cell>
        </row>
        <row r="405">
          <cell r="B405" t="str">
            <v>Repisa vidrio Baño Línea STYLO</v>
          </cell>
        </row>
        <row r="406">
          <cell r="B406" t="str">
            <v>REMOVEDOR PVC</v>
          </cell>
        </row>
        <row r="408">
          <cell r="B408" t="str">
            <v>REPISA ORDINARIO 3 m</v>
          </cell>
        </row>
        <row r="409">
          <cell r="B409" t="str">
            <v xml:space="preserve">ROCKTOP </v>
          </cell>
        </row>
        <row r="410">
          <cell r="B410" t="str">
            <v>SANITARIO LINEA MONTECARLO CON GRIFERIA</v>
          </cell>
        </row>
        <row r="411">
          <cell r="B411" t="str">
            <v xml:space="preserve">SECCIONADOR TRIPOLAR EN AIRE 400A-17,5 kV DE OPERACIÓN BAJO </v>
          </cell>
        </row>
        <row r="412">
          <cell r="B412" t="str">
            <v>SELLADOR</v>
          </cell>
        </row>
        <row r="413">
          <cell r="B413" t="str">
            <v>SELLADOR O CERA DE PISO</v>
          </cell>
        </row>
        <row r="414">
          <cell r="B414" t="str">
            <v>SELLADOR Y TINTILLA</v>
          </cell>
        </row>
        <row r="415">
          <cell r="B415" t="str">
            <v>SENSOR FOTOELECTRICO DETECTOR DE HUMO</v>
          </cell>
        </row>
        <row r="416">
          <cell r="B416" t="str">
            <v>SIFON LAVAMANOS plastico gerfor GF-580322</v>
          </cell>
        </row>
        <row r="417">
          <cell r="B417" t="str">
            <v>SIKA 1</v>
          </cell>
        </row>
        <row r="418">
          <cell r="B418" t="str">
            <v>SIKADUR 32</v>
          </cell>
        </row>
        <row r="419">
          <cell r="B419" t="str">
            <v xml:space="preserve">SIKAFLEX-1a cartu </v>
          </cell>
        </row>
        <row r="420">
          <cell r="B420" t="str">
            <v>SILICONA</v>
          </cell>
        </row>
        <row r="421">
          <cell r="B421" t="str">
            <v>SISTEMA DESINFECCION AGUA TRATADA</v>
          </cell>
        </row>
        <row r="422">
          <cell r="B422" t="str">
            <v>SISTEMA CONTROL ELECTRICO TODO INCLUIDO PARA LA PLANTA TRATAMIENTO</v>
          </cell>
        </row>
        <row r="423">
          <cell r="B423" t="str">
            <v>SOLDADOR PVC 1/4</v>
          </cell>
        </row>
        <row r="424">
          <cell r="B424" t="str">
            <v xml:space="preserve">SOLDADURA E - 70  </v>
          </cell>
        </row>
        <row r="425">
          <cell r="B425" t="str">
            <v>SOLDADURA ESTAÑO</v>
          </cell>
        </row>
        <row r="426">
          <cell r="B426" t="str">
            <v>SOLDADURA EXOTERMICA TIPO CADWELD o SIMILAR  de 90 GRAMOS</v>
          </cell>
        </row>
        <row r="427">
          <cell r="B427" t="str">
            <v>SOPORTE PARA TUBERIA DE 4"</v>
          </cell>
        </row>
        <row r="428">
          <cell r="B428" t="str">
            <v>SOPORTES LAVAMANOS</v>
          </cell>
        </row>
        <row r="429">
          <cell r="B429" t="str">
            <v>SOPORTES ORINAL</v>
          </cell>
        </row>
        <row r="430">
          <cell r="B430" t="str">
            <v>TABLA BURRA ORDINARIA 0.20 DE 3.0 MTS</v>
          </cell>
        </row>
        <row r="431">
          <cell r="B431" t="str">
            <v>TABLA BURRA ORDINARIA 0.30 DE 3.0 MTS</v>
          </cell>
        </row>
        <row r="432">
          <cell r="B432" t="str">
            <v>TABLA CHAPA ORDINARIA 0.25 DE 3.0 MTS</v>
          </cell>
        </row>
        <row r="433">
          <cell r="B433" t="str">
            <v>TABLA CHAPA ORDINARIA 0.20 DE 3.0 MTS</v>
          </cell>
        </row>
        <row r="434">
          <cell r="B434" t="str">
            <v>TABLA CHAPA ORDINARIA 0.15 DE 3.0 MTS</v>
          </cell>
        </row>
        <row r="437">
          <cell r="B437" t="str">
            <v xml:space="preserve">TABLERO DE 12 CIRCUITOS CON ESPACIO PARA TOTALIZADOR, PUERTA Y CHAPA  -208 V - 3F5H-60HZ </v>
          </cell>
        </row>
        <row r="438">
          <cell r="B438" t="str">
            <v>TABLERO DE 12 CTOS</v>
          </cell>
        </row>
        <row r="439">
          <cell r="B439" t="str">
            <v>TABLERO 24 CIRCUITOS, PUERTA Y CHAPA, ESP TOTALIZADOR</v>
          </cell>
        </row>
        <row r="440">
          <cell r="B440" t="str">
            <v xml:space="preserve">TABLERO 36 CIRCUITOS, PUERTA Y CHAPA, ESP TOTALIZADOR  </v>
          </cell>
        </row>
        <row r="441">
          <cell r="B441" t="str">
            <v>TABLERO TRIFASICO DE 6 CIRCUITOS</v>
          </cell>
        </row>
        <row r="442">
          <cell r="B442" t="str">
            <v>TABLETA GRES DE 25X25</v>
          </cell>
        </row>
        <row r="443">
          <cell r="B443" t="str">
            <v>TABLEX, LISTONES, PALOS</v>
          </cell>
        </row>
        <row r="444">
          <cell r="B444" t="str">
            <v>TABLÓN DE GRES  25X25</v>
          </cell>
        </row>
        <row r="445">
          <cell r="B445" t="str">
            <v>TABLON DE GRESS DE 33X33</v>
          </cell>
        </row>
        <row r="446">
          <cell r="B446" t="str">
            <v>TANQUE COLEMPAQUES 500 LT (incluye tapa y accesorios)</v>
          </cell>
        </row>
        <row r="447">
          <cell r="B447" t="str">
            <v>TABLERO MELAMINICO DE 1.83X2.44</v>
          </cell>
        </row>
        <row r="448">
          <cell r="B448" t="str">
            <v>TABLERO EN AMARILLO</v>
          </cell>
        </row>
        <row r="449">
          <cell r="B449" t="str">
            <v>TAPA CAJA INSP. 60 x 60</v>
          </cell>
        </row>
        <row r="450">
          <cell r="B450" t="str">
            <v>TABLETA MARMOL</v>
          </cell>
        </row>
        <row r="451">
          <cell r="B451" t="str">
            <v>TAPA CIEGA CON IMPACTO GALVANIZADA CUADRADA 4X4"</v>
          </cell>
        </row>
        <row r="452">
          <cell r="B452" t="str">
            <v>TAPA EN CONCRETO (4000 PSI)</v>
          </cell>
        </row>
        <row r="453">
          <cell r="B453" t="str">
            <v>TAPA EN CONCRETO CAJA CS 276</v>
          </cell>
        </row>
        <row r="454">
          <cell r="B454" t="str">
            <v>TAPA REGISTRO PLASTICO DE 20X20</v>
          </cell>
        </row>
        <row r="455">
          <cell r="B455" t="str">
            <v>TAPON GALVANIZADO MACHO DE 2"</v>
          </cell>
        </row>
        <row r="456">
          <cell r="B456" t="str">
            <v>TAPÓN SOLDADO PRESIÓN 1 1/2"</v>
          </cell>
        </row>
        <row r="457">
          <cell r="B457" t="str">
            <v>TAZA Institucional blanca Mancesa IC-IP41</v>
          </cell>
        </row>
        <row r="458">
          <cell r="B458" t="str">
            <v>TEE EN ALUMINIO BLANCO</v>
          </cell>
        </row>
        <row r="459">
          <cell r="B459" t="str">
            <v>TEE GALVANIZADA DE 4"</v>
          </cell>
        </row>
        <row r="460">
          <cell r="B460" t="str">
            <v>TEE PRESIÓN  1 1/2" Pavco</v>
          </cell>
        </row>
        <row r="461">
          <cell r="B461" t="str">
            <v>TEE PRESIÓN SOLDADA  1"</v>
          </cell>
        </row>
        <row r="462">
          <cell r="B462" t="str">
            <v>TEJA DE ZINC 0.80X2.43</v>
          </cell>
        </row>
        <row r="463">
          <cell r="B463" t="str">
            <v>TEJA CANALETA 90</v>
          </cell>
        </row>
        <row r="464">
          <cell r="B464" t="str">
            <v xml:space="preserve">TEJA DE BARRO </v>
          </cell>
        </row>
        <row r="465">
          <cell r="B465" t="str">
            <v>TEJA ONDULADA ETERNIT No. 6 DE 0.92X1.83</v>
          </cell>
        </row>
        <row r="466">
          <cell r="B466" t="str">
            <v>TEJA THERMOACUSTICA TRAPEZOIDAL  2.44X0.82</v>
          </cell>
        </row>
        <row r="467">
          <cell r="B467" t="str">
            <v>TELA ASFALTICA DE 15 M2</v>
          </cell>
        </row>
        <row r="468">
          <cell r="B468" t="str">
            <v>TELA VERDE CERRAMIENTO</v>
          </cell>
        </row>
        <row r="469">
          <cell r="B469" t="str">
            <v>TERMINAL PONCHAR 2 AWG</v>
          </cell>
        </row>
        <row r="470">
          <cell r="B470" t="str">
            <v xml:space="preserve">Terminal preformado uso interior 15 kV para cable 2 – 3/0 AWG; </v>
          </cell>
        </row>
        <row r="471">
          <cell r="B471" t="str">
            <v>Terminal Soldar/Ponchar barril largo para cable 8. Calidad 3M, Panduit o superior.</v>
          </cell>
        </row>
        <row r="472">
          <cell r="B472" t="str">
            <v>Thiner</v>
          </cell>
        </row>
        <row r="473">
          <cell r="B473" t="str">
            <v>TIERRA NEGRA</v>
          </cell>
        </row>
        <row r="474">
          <cell r="B474" t="str">
            <v>TINTILLA</v>
          </cell>
        </row>
        <row r="475">
          <cell r="B475" t="str">
            <v>TIRAS ALISTADO 3 x 3 x 3</v>
          </cell>
        </row>
        <row r="476">
          <cell r="B476" t="str">
            <v>TOMA BIFASICA 2P+T</v>
          </cell>
        </row>
        <row r="477">
          <cell r="B477" t="str">
            <v>TOMA CORRIENTE DOBLE</v>
          </cell>
        </row>
        <row r="478">
          <cell r="B478" t="str">
            <v>TOMA COAXIAL PARA TV TIPO AMERICANA</v>
          </cell>
        </row>
        <row r="479">
          <cell r="B479" t="str">
            <v>TOMA TV+TELEFONO</v>
          </cell>
        </row>
        <row r="480">
          <cell r="B480" t="str">
            <v>Toallero Barra - GRIVAL Línea STYLO,</v>
          </cell>
        </row>
        <row r="481">
          <cell r="B481" t="str">
            <v>Toallero Argolla - GRIVAL Línea STYLO</v>
          </cell>
        </row>
        <row r="482">
          <cell r="B482" t="str">
            <v xml:space="preserve">TORNILLOS </v>
          </cell>
        </row>
        <row r="483">
          <cell r="B483" t="str">
            <v>TRIPLEX FORMALETA DE 1.22X2.44 DE 18 mm</v>
          </cell>
        </row>
        <row r="490">
          <cell r="B490" t="str">
            <v>TUBERIA GALVANIZADA 2"</v>
          </cell>
        </row>
        <row r="491">
          <cell r="B491" t="str">
            <v>TUBERIA GALVANIZADA 2" DE 0.098</v>
          </cell>
        </row>
        <row r="492">
          <cell r="B492" t="str">
            <v>TUBERIA HIERRO DUCTIL DE 4" ESP 3.2 mm</v>
          </cell>
        </row>
        <row r="493">
          <cell r="B493" t="str">
            <v>TUBERIAS, VALVULAS, ACCESORIOS</v>
          </cell>
        </row>
        <row r="494">
          <cell r="B494" t="str">
            <v>TUBERIA NOVAFORT DE 6"</v>
          </cell>
        </row>
        <row r="495">
          <cell r="B495" t="str">
            <v>TUBERIA PEX AL PEX 1/2"</v>
          </cell>
        </row>
        <row r="496">
          <cell r="B496" t="str">
            <v>TUBERIA CONDUCCION AGUAS RESIDUALES INC ACCESORIOS</v>
          </cell>
        </row>
        <row r="497">
          <cell r="B497" t="str">
            <v>TUBERIA RECTANGULAR DE 3 1/2" X 1 1/2"</v>
          </cell>
        </row>
        <row r="498">
          <cell r="B498" t="str">
            <v>TUBO 4X8 EN COLD ROLLED CAL 18</v>
          </cell>
        </row>
        <row r="499">
          <cell r="B499" t="str">
            <v>TUBO alcantarillado  PVC   160 MM ( 6" ) Pavco</v>
          </cell>
        </row>
        <row r="500">
          <cell r="B500" t="str">
            <v>TUBO alcantarillado  PVC   160 MM ( 8" ) Pavco</v>
          </cell>
        </row>
        <row r="501">
          <cell r="B501" t="str">
            <v>TUBO alcantarillado PVC   110MM  ( 4") Pavco</v>
          </cell>
        </row>
        <row r="502">
          <cell r="B502" t="str">
            <v>TUBO alcantarillado PVC   250MM  ( 10") Pavco</v>
          </cell>
        </row>
        <row r="503">
          <cell r="B503" t="str">
            <v>TUBO CONDUIT EMT 1"</v>
          </cell>
        </row>
        <row r="504">
          <cell r="B504" t="str">
            <v>TUBO CONDUIT EMT1/2"</v>
          </cell>
        </row>
        <row r="505">
          <cell r="B505" t="str">
            <v>TUBO CONDUIT GALVANIZADO PESADO 1" CON UNIÓN</v>
          </cell>
        </row>
        <row r="506">
          <cell r="B506" t="str">
            <v>TUBO CONDUIT PVC 1"  3m</v>
          </cell>
        </row>
        <row r="507">
          <cell r="B507" t="str">
            <v>TUBO CONDUIT PVC 1/2" 3m</v>
          </cell>
        </row>
        <row r="508">
          <cell r="B508" t="str">
            <v>TUBO CONDUIT PVC 3/4" 3m</v>
          </cell>
        </row>
        <row r="509">
          <cell r="B509" t="str">
            <v>TUBO CUADRADO DE 1 1/2" x 1 1/2"</v>
          </cell>
        </row>
        <row r="510">
          <cell r="B510" t="str">
            <v>TUBO CPVC 1/2" DE 3 M</v>
          </cell>
        </row>
        <row r="511">
          <cell r="B511" t="str">
            <v>TUBO GALVANIZADO 2"  2.0mm</v>
          </cell>
        </row>
        <row r="512">
          <cell r="B512" t="str">
            <v>TUBO GALVANIZADO 3"  2.0mm</v>
          </cell>
        </row>
        <row r="513">
          <cell r="B513" t="str">
            <v xml:space="preserve">TUBO GALVANIZADO 3/4"  </v>
          </cell>
        </row>
        <row r="514">
          <cell r="B514" t="str">
            <v>TUBO NOVAFOR DE 4" PERFORADO</v>
          </cell>
        </row>
        <row r="515">
          <cell r="B515" t="str">
            <v>TUBO NOVAFORT 6"</v>
          </cell>
        </row>
        <row r="516">
          <cell r="B516" t="str">
            <v>TUBO PRESIÓN /13.5 PVC  1/2" Pavco</v>
          </cell>
        </row>
        <row r="517">
          <cell r="B517" t="str">
            <v>TUBO PRESIÓN /13.5 PVC  3/4" Pavco</v>
          </cell>
        </row>
        <row r="518">
          <cell r="B518" t="str">
            <v>TUBO PRESIÓN /21 PVC    1"</v>
          </cell>
        </row>
        <row r="519">
          <cell r="B519" t="str">
            <v>TUBO PRESIÓN /21 PVC    2" Pavco</v>
          </cell>
        </row>
        <row r="520">
          <cell r="B520" t="str">
            <v>TUBO PRESIÓN /21 PVC  1 1/2" Pavco</v>
          </cell>
        </row>
        <row r="521">
          <cell r="B521" t="str">
            <v>TUBO PRESIÓN /21 PVC  1 1/4" Pavco</v>
          </cell>
        </row>
        <row r="522">
          <cell r="B522" t="str">
            <v>TUBO PVC A.LL. 2" DE  6 MTS</v>
          </cell>
        </row>
        <row r="523">
          <cell r="B523" t="str">
            <v>TUBO PVC A.LL. 3" DE  6 MTS</v>
          </cell>
        </row>
        <row r="524">
          <cell r="B524" t="str">
            <v>TUBO PVC A.LL. 4" DE 6 MTS</v>
          </cell>
        </row>
        <row r="525">
          <cell r="B525" t="str">
            <v>TUBO PVC SANITARIO 2" DE 6 MTS</v>
          </cell>
        </row>
        <row r="526">
          <cell r="B526" t="str">
            <v>TUBO PVC SANITARIO 3" DE 6 MTS</v>
          </cell>
        </row>
        <row r="527">
          <cell r="B527" t="str">
            <v>TUBO PVC SANITARIO 4" DE 6 MTS</v>
          </cell>
        </row>
        <row r="528">
          <cell r="B528" t="str">
            <v>TUBOS PVC DB 1"</v>
          </cell>
        </row>
        <row r="529">
          <cell r="B529" t="str">
            <v xml:space="preserve">UNION  GALVANIZADA 2 1/2" </v>
          </cell>
        </row>
        <row r="530">
          <cell r="B530" t="str">
            <v>UNIÓN alcantarillado PVC  110MM ( 4" ) Pavco</v>
          </cell>
        </row>
        <row r="531">
          <cell r="B531" t="str">
            <v>UNIÓN alcantarillado PVC 160MM  ( 6") Pavco</v>
          </cell>
        </row>
        <row r="532">
          <cell r="B532" t="str">
            <v>UNIÓN alcantarillado PVC 160MM  ( 8") Pavco</v>
          </cell>
        </row>
        <row r="533">
          <cell r="B533" t="str">
            <v>UNIÓN alcantarillado PVC 250MM  ( 10") Pavco</v>
          </cell>
        </row>
        <row r="534">
          <cell r="B534" t="str">
            <v>UNIÓN GALVANIZADA      3"</v>
          </cell>
        </row>
        <row r="535">
          <cell r="B535" t="str">
            <v>UNION GALVANIZADA DE 1/2"</v>
          </cell>
        </row>
        <row r="536">
          <cell r="B536" t="str">
            <v>UNION GALVANIZADA DE 4" SH 40</v>
          </cell>
        </row>
        <row r="537">
          <cell r="B537" t="str">
            <v>UNIÓN SANITARIA  2" Pavco</v>
          </cell>
        </row>
        <row r="538">
          <cell r="B538" t="str">
            <v>UNIÓN SANITARIA 4" Pavco</v>
          </cell>
        </row>
        <row r="539">
          <cell r="B539" t="str">
            <v>UNIÓN SANITARIA 6" Pavco</v>
          </cell>
        </row>
        <row r="540">
          <cell r="B540" t="str">
            <v>UNIVERSAL GALVANIZADA 3/4"</v>
          </cell>
        </row>
        <row r="541">
          <cell r="B541" t="str">
            <v xml:space="preserve">VALVULA BETA COMPUERTA ELASTICA 4" </v>
          </cell>
        </row>
        <row r="542">
          <cell r="B542" t="str">
            <v>VALVULA DE CHEQUE OPERACIÓN HORIZONTAL 4" EXT BRIDADO</v>
          </cell>
        </row>
        <row r="543">
          <cell r="B543" t="str">
            <v>VALVULA DE CIERRE RAPIDO DE 4"</v>
          </cell>
        </row>
        <row r="544">
          <cell r="B544" t="str">
            <v>VALVULA DE COMPUERTA  VASTAGO NO ASCENTE EXTREMO BRIDA</v>
          </cell>
        </row>
        <row r="545">
          <cell r="B545" t="str">
            <v>VALVULA Descarga sanitario DO-01051300</v>
          </cell>
        </row>
        <row r="546">
          <cell r="B546" t="str">
            <v>VARA DE CLAVO</v>
          </cell>
        </row>
        <row r="547">
          <cell r="B547" t="str">
            <v>VARILLA CORRUGADA DE 1/2" DE 12 MTS</v>
          </cell>
        </row>
        <row r="548">
          <cell r="B548" t="str">
            <v>VARILLA CORRUGADA DE 1/2" DE 6 MTS</v>
          </cell>
        </row>
        <row r="549">
          <cell r="B549" t="str">
            <v>VARILLA CORRUGADA DE 3/8" DE 12 MTS</v>
          </cell>
        </row>
        <row r="550">
          <cell r="B550" t="str">
            <v>VARILLA CORRUGADA DE 5/8" DE 12 MTS</v>
          </cell>
        </row>
        <row r="551">
          <cell r="B551" t="str">
            <v>VARILLA CUADRADA DE 1/2"</v>
          </cell>
        </row>
        <row r="552">
          <cell r="B552" t="str">
            <v>VARILLA CUADRADA DE 3/8"</v>
          </cell>
        </row>
        <row r="553">
          <cell r="B553" t="str">
            <v>VARILLA DE COBRE-COBRE Ø5/8" X 2.40 m</v>
          </cell>
        </row>
        <row r="554">
          <cell r="B554" t="str">
            <v>VARILLA DE COBRE-COBRE Ø5/8" X 2.40 m COOPER WELL</v>
          </cell>
        </row>
        <row r="555">
          <cell r="B555" t="str">
            <v>VARILLA EN ACERO DE 3/8"</v>
          </cell>
        </row>
        <row r="556">
          <cell r="B556" t="str">
            <v>VARILLA EN ACERO DE 5/8"</v>
          </cell>
        </row>
        <row r="557">
          <cell r="B557" t="str">
            <v>VARILLA LISA DE 1/2" DE 6 MTS</v>
          </cell>
        </row>
        <row r="558">
          <cell r="B558" t="str">
            <v>VARILLA LISA DE 3/8" DE 6 MTS</v>
          </cell>
        </row>
        <row r="559">
          <cell r="B559" t="str">
            <v>VIDRIO TEMPLADO DE 10 mm</v>
          </cell>
        </row>
        <row r="560">
          <cell r="B560" t="str">
            <v>VIDRIO DE 4 mm</v>
          </cell>
        </row>
        <row r="561">
          <cell r="B561" t="str">
            <v>VIDRIO TEMPLADO DE 8 mm</v>
          </cell>
        </row>
        <row r="562">
          <cell r="B562" t="str">
            <v>VINILTEX Pintuco</v>
          </cell>
        </row>
        <row r="563">
          <cell r="B563" t="str">
            <v>Wash Primer A Pintura</v>
          </cell>
        </row>
        <row r="564">
          <cell r="B564" t="str">
            <v>WASH PRIMER ANTICORROSIVO</v>
          </cell>
        </row>
        <row r="565">
          <cell r="B565" t="str">
            <v>Wash Primer B Catalizador</v>
          </cell>
        </row>
        <row r="566">
          <cell r="B566" t="str">
            <v>WASH PRIMER PINTURA</v>
          </cell>
        </row>
        <row r="567">
          <cell r="B567" t="str">
            <v>WIN Aluminio x 6 mts</v>
          </cell>
        </row>
        <row r="568">
          <cell r="B568" t="str">
            <v>Xypes concentrado</v>
          </cell>
        </row>
        <row r="569">
          <cell r="B569" t="str">
            <v>Xypes Patch and Plug por 1.25 kg</v>
          </cell>
        </row>
        <row r="570">
          <cell r="B570" t="str">
            <v>YEE SANITARIA 2"  Pavco</v>
          </cell>
        </row>
        <row r="571">
          <cell r="B571" t="str">
            <v>YEE SANITARIA 4"  Pavco</v>
          </cell>
        </row>
        <row r="572">
          <cell r="B572" t="str">
            <v>YESO CORRIENTE VENCEDOR</v>
          </cell>
        </row>
        <row r="573">
          <cell r="B573" t="str">
            <v>ZÓCALO Baldosa grano de marmol 30x7 Fondo blanco</v>
          </cell>
        </row>
        <row r="574">
          <cell r="B574" t="str">
            <v>ZÓCALO en ceramica pompei color coral  30*7</v>
          </cell>
        </row>
      </sheetData>
      <sheetData sheetId="2">
        <row r="2">
          <cell r="B2">
            <v>0</v>
          </cell>
        </row>
      </sheetData>
      <sheetData sheetId="3">
        <row r="2">
          <cell r="B2">
            <v>0</v>
          </cell>
        </row>
      </sheetData>
      <sheetData sheetId="4"/>
      <sheetData sheetId="5"/>
      <sheetData sheetId="6"/>
      <sheetData sheetId="7"/>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DES"/>
      <sheetName val="Pres"/>
      <sheetName val="Datos"/>
      <sheetName val="Ba Da"/>
      <sheetName val="1.1"/>
      <sheetName val="1.2"/>
      <sheetName val="1,3"/>
      <sheetName val="2.1"/>
      <sheetName val="3.1"/>
      <sheetName val="3.2"/>
      <sheetName val="3.3"/>
      <sheetName val="3.4"/>
      <sheetName val="4.1"/>
      <sheetName val="4.2"/>
      <sheetName val="5.1"/>
      <sheetName val="5.2"/>
      <sheetName val="5.3"/>
      <sheetName val="5,4"/>
      <sheetName val="C123"/>
      <sheetName val="M14"/>
      <sheetName val="C124"/>
    </sheetNames>
    <sheetDataSet>
      <sheetData sheetId="0" refreshError="1"/>
      <sheetData sheetId="1" refreshError="1"/>
      <sheetData sheetId="2"/>
      <sheetData sheetId="3">
        <row r="46">
          <cell r="B46" t="str">
            <v>AGUA</v>
          </cell>
        </row>
        <row r="218">
          <cell r="B218" t="str">
            <v>OBRERO</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Av 68 con 64"/>
      <sheetName val="Presup Av 1o de mayo con 73a "/>
      <sheetName val="Presup Av 68 con 10"/>
      <sheetName val="Presup Clle 63 con 50"/>
      <sheetName val="Presup_Av_68_con_64"/>
      <sheetName val="Presup_Av_1o_de_mayo_con_73a_"/>
      <sheetName val="Presup_Av_68_con_10"/>
      <sheetName val="Presup_Clle_63_con_50"/>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 sheetId="4"/>
      <sheetData sheetId="5">
        <row r="17">
          <cell r="A17" t="str">
            <v>PRECIO TOPE IDU    COSTO DIRECTO VIGENTE</v>
          </cell>
        </row>
      </sheetData>
      <sheetData sheetId="6"/>
      <sheetData sheetId="7"/>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S OFICINA"/>
      <sheetName val="COSTOS CAMPAMENTO"/>
      <sheetName val="AIU"/>
      <sheetName val="FACTOR PRESTACIONAL 2009"/>
      <sheetName val="HISTORICO"/>
      <sheetName val="SALARIO CELADOR 2008"/>
      <sheetName val="TARIFAS REGISTRO DISTRITAL 2009"/>
      <sheetName val="Res-Accide-10"/>
      <sheetName val="EQUIPO"/>
      <sheetName val="MATERIAL"/>
      <sheetName val="Insumos"/>
      <sheetName val="Presup_Cancha"/>
      <sheetName val="APU"/>
      <sheetName val="DATOS"/>
      <sheetName val="Presup Av 1o de mayo con 73a "/>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Presupuesto remoción de derrumb"/>
      <sheetName val="Insum"/>
      <sheetName val="SKJ452"/>
      <sheetName val="ITA878"/>
      <sheetName val="AEA-944"/>
      <sheetName val="DUB-823"/>
      <sheetName val="GPI 526"/>
      <sheetName val="XXJ617"/>
      <sheetName val="SNG_855"/>
      <sheetName val="VEA 374"/>
      <sheetName val="HFB024"/>
      <sheetName val="PAJ825"/>
      <sheetName val="Indices"/>
      <sheetName val="COSTOS OFICINA"/>
      <sheetName val="COSTOS CAMPAMENTO"/>
      <sheetName val="320.1"/>
      <sheetName val="330.2"/>
      <sheetName val="700.1"/>
      <sheetName val="Presup Av 1o de mayo con 73a "/>
      <sheetName val="Tabla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Parámetros"/>
      <sheetName val="CálculoTarifasMR"/>
      <sheetName val="CostosMR"/>
      <sheetName val="CálculoTarifasMNR"/>
      <sheetName val="Tarifas"/>
      <sheetName val="Aplicación Tarifas GN"/>
      <sheetName val="Aplicación Tarifas GLP"/>
      <sheetName val="Gas200603"/>
      <sheetName val="CostosGas200603"/>
      <sheetName val="Cuenta típica MR"/>
      <sheetName val="Datos cuenta tipica"/>
      <sheetName val="comparacion energéticos residen"/>
      <sheetName val="Precios energeticos no resid"/>
      <sheetName val="Selección"/>
      <sheetName val="Análisis de precios"/>
    </sheetNames>
    <sheetDataSet>
      <sheetData sheetId="0" refreshError="1"/>
      <sheetData sheetId="1" refreshError="1"/>
      <sheetData sheetId="2" refreshError="1">
        <row r="1">
          <cell r="M1">
            <v>3.5314669999999999E-2</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
    </sheetNames>
    <sheetDataSet>
      <sheetData sheetId="0"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Datos"/>
      <sheetName val="Base Datos"/>
      <sheetName val="1.1"/>
      <sheetName val="1.2"/>
      <sheetName val="1.3"/>
      <sheetName val="2.1"/>
      <sheetName val="2.2"/>
      <sheetName val="3.1"/>
      <sheetName val="4.1"/>
      <sheetName val="5.1"/>
      <sheetName val="6.1"/>
      <sheetName val="C123"/>
      <sheetName val="M14"/>
      <sheetName val="Programación"/>
      <sheetName val="Flujo de Fondos"/>
    </sheetNames>
    <sheetDataSet>
      <sheetData sheetId="0" refreshError="1"/>
      <sheetData sheetId="1" refreshError="1"/>
      <sheetData sheetId="2" refreshError="1">
        <row r="4">
          <cell r="B4" t="str">
            <v xml:space="preserve"> </v>
          </cell>
        </row>
        <row r="5">
          <cell r="B5" t="str">
            <v>VALOR</v>
          </cell>
          <cell r="C5" t="str">
            <v>NOMBRE</v>
          </cell>
        </row>
        <row r="7">
          <cell r="B7">
            <v>0.1</v>
          </cell>
          <cell r="C7" t="str">
            <v>ADMINISTRACION</v>
          </cell>
        </row>
        <row r="8">
          <cell r="B8">
            <v>0.1</v>
          </cell>
          <cell r="C8" t="str">
            <v>IMPREVISTOS</v>
          </cell>
        </row>
        <row r="9">
          <cell r="B9">
            <v>0.08</v>
          </cell>
          <cell r="C9" t="str">
            <v>UTILIDAD</v>
          </cell>
        </row>
        <row r="10">
          <cell r="B10">
            <v>0.28000000000000003</v>
          </cell>
          <cell r="C10" t="str">
            <v>AIU</v>
          </cell>
        </row>
        <row r="11">
          <cell r="B11">
            <v>0.93</v>
          </cell>
          <cell r="C11" t="str">
            <v>PREST.</v>
          </cell>
        </row>
        <row r="12">
          <cell r="C12" t="str">
            <v>IVA</v>
          </cell>
        </row>
        <row r="19">
          <cell r="B19" t="str">
            <v>NOMBRE</v>
          </cell>
          <cell r="C19" t="str">
            <v>UNIDAD</v>
          </cell>
          <cell r="D19" t="str">
            <v>PRECIO</v>
          </cell>
        </row>
        <row r="20">
          <cell r="B20" t="str">
            <v>RETROEXCAVADORA</v>
          </cell>
          <cell r="C20" t="str">
            <v>HORA</v>
          </cell>
          <cell r="D20">
            <v>50000</v>
          </cell>
          <cell r="E20" t="e">
            <v>#REF!</v>
          </cell>
          <cell r="F20" t="e">
            <v>#REF!</v>
          </cell>
        </row>
        <row r="21">
          <cell r="B21" t="str">
            <v>BULLDOZER D6</v>
          </cell>
          <cell r="C21" t="str">
            <v>HORA</v>
          </cell>
          <cell r="D21">
            <v>45000</v>
          </cell>
          <cell r="E21" t="e">
            <v>#REF!</v>
          </cell>
          <cell r="F21" t="e">
            <v>#REF!</v>
          </cell>
        </row>
        <row r="22">
          <cell r="B22" t="str">
            <v>BULLDOZER D8</v>
          </cell>
          <cell r="C22" t="str">
            <v>HORA</v>
          </cell>
          <cell r="D22">
            <v>85000</v>
          </cell>
          <cell r="E22" t="e">
            <v>#REF!</v>
          </cell>
          <cell r="F22" t="e">
            <v>#REF!</v>
          </cell>
        </row>
        <row r="23">
          <cell r="B23" t="str">
            <v>MOTONIVELADORA</v>
          </cell>
          <cell r="C23" t="str">
            <v>HORA</v>
          </cell>
          <cell r="D23">
            <v>50000</v>
          </cell>
          <cell r="E23" t="e">
            <v>#REF!</v>
          </cell>
          <cell r="F23" t="e">
            <v>#REF!</v>
          </cell>
        </row>
        <row r="24">
          <cell r="B24" t="str">
            <v>VIBROCOMPACTADOR</v>
          </cell>
          <cell r="C24" t="str">
            <v>HORA</v>
          </cell>
          <cell r="D24">
            <v>35000</v>
          </cell>
          <cell r="E24" t="e">
            <v>#REF!</v>
          </cell>
          <cell r="F24" t="e">
            <v>#REF!</v>
          </cell>
        </row>
        <row r="25">
          <cell r="B25" t="str">
            <v>CARROTANQUE</v>
          </cell>
          <cell r="C25" t="str">
            <v>HORA</v>
          </cell>
          <cell r="E25" t="e">
            <v>#REF!</v>
          </cell>
          <cell r="F25" t="e">
            <v>#REF!</v>
          </cell>
        </row>
        <row r="26">
          <cell r="B26" t="str">
            <v>RETROCARGADOR</v>
          </cell>
          <cell r="C26" t="str">
            <v>HORA</v>
          </cell>
          <cell r="E26" t="e">
            <v>#REF!</v>
          </cell>
          <cell r="F26" t="e">
            <v>#REF!</v>
          </cell>
        </row>
        <row r="27">
          <cell r="B27" t="str">
            <v xml:space="preserve">VOLQUETA </v>
          </cell>
          <cell r="C27" t="str">
            <v>M3</v>
          </cell>
          <cell r="D27">
            <v>2500</v>
          </cell>
          <cell r="E27" t="e">
            <v>#REF!</v>
          </cell>
          <cell r="F27" t="e">
            <v>#REF!</v>
          </cell>
        </row>
        <row r="28">
          <cell r="B28" t="str">
            <v>VOLQUETA POR HORAS</v>
          </cell>
          <cell r="C28" t="str">
            <v>HORA</v>
          </cell>
          <cell r="D28">
            <v>400</v>
          </cell>
          <cell r="E28" t="e">
            <v>#REF!</v>
          </cell>
          <cell r="F28" t="e">
            <v>#REF!</v>
          </cell>
        </row>
        <row r="29">
          <cell r="B29" t="str">
            <v>MEZCLADORA</v>
          </cell>
          <cell r="C29" t="str">
            <v>HORA</v>
          </cell>
          <cell r="D29">
            <v>9000</v>
          </cell>
          <cell r="E29" t="e">
            <v>#REF!</v>
          </cell>
          <cell r="F29" t="e">
            <v>#REF!</v>
          </cell>
        </row>
        <row r="30">
          <cell r="B30" t="str">
            <v>VIBRADOR ELECTRICO</v>
          </cell>
          <cell r="C30" t="str">
            <v>d/M</v>
          </cell>
          <cell r="D30">
            <v>35000</v>
          </cell>
          <cell r="E30" t="e">
            <v>#REF!</v>
          </cell>
          <cell r="F30" t="e">
            <v>#REF!</v>
          </cell>
        </row>
        <row r="31">
          <cell r="B31" t="str">
            <v>EQ. DE PERFORACION</v>
          </cell>
          <cell r="C31" t="str">
            <v>HORA</v>
          </cell>
          <cell r="D31">
            <v>25000</v>
          </cell>
          <cell r="E31" t="e">
            <v>#REF!</v>
          </cell>
          <cell r="F31" t="e">
            <v>#REF!</v>
          </cell>
        </row>
        <row r="32">
          <cell r="B32" t="str">
            <v xml:space="preserve">ANDAMIO METALICO </v>
          </cell>
          <cell r="C32" t="str">
            <v>d/M</v>
          </cell>
          <cell r="D32">
            <v>800</v>
          </cell>
          <cell r="E32" t="e">
            <v>#REF!</v>
          </cell>
          <cell r="F32" t="e">
            <v>#REF!</v>
          </cell>
        </row>
        <row r="33">
          <cell r="B33" t="str">
            <v>COMPRESOR</v>
          </cell>
          <cell r="C33" t="str">
            <v>HORA</v>
          </cell>
          <cell r="D33">
            <v>5000</v>
          </cell>
          <cell r="E33" t="e">
            <v>#REF!</v>
          </cell>
          <cell r="F33" t="e">
            <v>#REF!</v>
          </cell>
        </row>
        <row r="34">
          <cell r="B34" t="str">
            <v>MOTOBOMA</v>
          </cell>
          <cell r="C34" t="str">
            <v>HORA</v>
          </cell>
          <cell r="D34">
            <v>20000</v>
          </cell>
          <cell r="E34" t="e">
            <v>#REF!</v>
          </cell>
          <cell r="F34" t="e">
            <v>#REF!</v>
          </cell>
        </row>
        <row r="35">
          <cell r="B35" t="str">
            <v>VOLQUETA</v>
          </cell>
          <cell r="C35" t="str">
            <v>M3/KM</v>
          </cell>
          <cell r="D35">
            <v>300</v>
          </cell>
          <cell r="E35" t="e">
            <v>#REF!</v>
          </cell>
          <cell r="F35" t="e">
            <v>#REF!</v>
          </cell>
        </row>
        <row r="36">
          <cell r="B36" t="str">
            <v>EQUIPO DE TOPOGRAFIA</v>
          </cell>
          <cell r="C36" t="str">
            <v>DIA</v>
          </cell>
          <cell r="D36">
            <v>80000</v>
          </cell>
          <cell r="E36" t="e">
            <v>#REF!</v>
          </cell>
          <cell r="F36" t="e">
            <v>#REF!</v>
          </cell>
        </row>
        <row r="37">
          <cell r="B37" t="str">
            <v>XXX</v>
          </cell>
          <cell r="C37" t="str">
            <v>HORA</v>
          </cell>
          <cell r="E37" t="e">
            <v>#REF!</v>
          </cell>
          <cell r="F37" t="e">
            <v>#REF!</v>
          </cell>
        </row>
        <row r="38">
          <cell r="B38" t="str">
            <v>XXX</v>
          </cell>
          <cell r="C38" t="str">
            <v>HORA</v>
          </cell>
          <cell r="E38" t="e">
            <v>#REF!</v>
          </cell>
          <cell r="F38" t="e">
            <v>#REF!</v>
          </cell>
        </row>
        <row r="39">
          <cell r="B39" t="str">
            <v>XXX</v>
          </cell>
          <cell r="C39" t="str">
            <v>HORA</v>
          </cell>
          <cell r="E39" t="e">
            <v>#REF!</v>
          </cell>
          <cell r="F39" t="e">
            <v>#REF!</v>
          </cell>
        </row>
        <row r="42">
          <cell r="B42" t="str">
            <v>NOMBRE</v>
          </cell>
          <cell r="C42" t="str">
            <v>UNIDAD</v>
          </cell>
          <cell r="D42" t="str">
            <v>PRECIO</v>
          </cell>
        </row>
        <row r="43">
          <cell r="B43" t="str">
            <v>ARENA</v>
          </cell>
          <cell r="C43" t="str">
            <v>M3</v>
          </cell>
          <cell r="D43">
            <v>9000</v>
          </cell>
          <cell r="E43" t="e">
            <v>#REF!</v>
          </cell>
        </row>
        <row r="44">
          <cell r="B44" t="str">
            <v>TRITURADO</v>
          </cell>
          <cell r="C44" t="str">
            <v>M3</v>
          </cell>
          <cell r="D44">
            <v>60000</v>
          </cell>
          <cell r="E44" t="e">
            <v>#REF!</v>
          </cell>
        </row>
        <row r="45">
          <cell r="B45" t="str">
            <v>CEMENTO</v>
          </cell>
          <cell r="C45" t="str">
            <v>KG</v>
          </cell>
          <cell r="D45">
            <v>400</v>
          </cell>
          <cell r="E45" t="e">
            <v>#REF!</v>
          </cell>
        </row>
        <row r="46">
          <cell r="B46" t="str">
            <v>AGUA</v>
          </cell>
          <cell r="C46" t="str">
            <v>LT</v>
          </cell>
          <cell r="D46">
            <v>10</v>
          </cell>
          <cell r="E46" t="e">
            <v>#REF!</v>
          </cell>
        </row>
        <row r="47">
          <cell r="B47" t="str">
            <v>LADRILLO TEMOSA 0.1×0.2×0.4</v>
          </cell>
          <cell r="C47" t="str">
            <v>UND</v>
          </cell>
          <cell r="D47">
            <v>700</v>
          </cell>
          <cell r="E47" t="e">
            <v>#REF!</v>
          </cell>
        </row>
        <row r="48">
          <cell r="B48" t="str">
            <v>BLOQUE MACIZO DE CEMENTO 0.1×0.2×0.4</v>
          </cell>
          <cell r="C48" t="str">
            <v>UND</v>
          </cell>
          <cell r="D48">
            <v>700</v>
          </cell>
          <cell r="E48" t="e">
            <v>#REF!</v>
          </cell>
        </row>
        <row r="49">
          <cell r="B49" t="str">
            <v>FLANCHE a=0,5m  LAMINA LISA  ZINC CAL. 25</v>
          </cell>
          <cell r="C49" t="str">
            <v>ML</v>
          </cell>
          <cell r="D49">
            <v>3115</v>
          </cell>
          <cell r="E49" t="e">
            <v>#REF!</v>
          </cell>
        </row>
        <row r="50">
          <cell r="B50" t="str">
            <v>ALAMBRE NEGRO</v>
          </cell>
          <cell r="C50" t="str">
            <v>KG</v>
          </cell>
          <cell r="D50">
            <v>1500</v>
          </cell>
          <cell r="E50" t="e">
            <v>#REF!</v>
          </cell>
        </row>
        <row r="51">
          <cell r="B51" t="str">
            <v>PLATINA 1/4"* 4"</v>
          </cell>
          <cell r="C51" t="str">
            <v>ML</v>
          </cell>
          <cell r="D51">
            <v>5000</v>
          </cell>
          <cell r="E51" t="e">
            <v>#REF!</v>
          </cell>
        </row>
        <row r="52">
          <cell r="B52" t="str">
            <v>TUBERIA PVC PRESION RDE 13.5  Ø=½"</v>
          </cell>
          <cell r="C52" t="str">
            <v>ML</v>
          </cell>
          <cell r="D52">
            <v>867</v>
          </cell>
          <cell r="E52" t="e">
            <v>#REF!</v>
          </cell>
        </row>
        <row r="53">
          <cell r="B53" t="str">
            <v>TUBERIA PVC PRESION RDE 21  Ø=3/4"</v>
          </cell>
          <cell r="C53" t="str">
            <v>ML</v>
          </cell>
          <cell r="D53">
            <v>1766</v>
          </cell>
          <cell r="E53" t="e">
            <v>#REF!</v>
          </cell>
        </row>
        <row r="54">
          <cell r="B54" t="str">
            <v>TUBERIA PVC PRESION RDE 21  Ø=1"</v>
          </cell>
          <cell r="C54" t="str">
            <v>ML</v>
          </cell>
          <cell r="D54">
            <v>1917</v>
          </cell>
          <cell r="E54" t="e">
            <v>#REF!</v>
          </cell>
        </row>
        <row r="55">
          <cell r="B55" t="str">
            <v>TUBERIA PVC PRESION RDE 21  Ø=1½"</v>
          </cell>
          <cell r="C55" t="str">
            <v>ML</v>
          </cell>
          <cell r="D55">
            <v>3668</v>
          </cell>
          <cell r="E55" t="e">
            <v>#REF!</v>
          </cell>
        </row>
        <row r="56">
          <cell r="B56" t="str">
            <v>TUBERIA PVC PRESION RDE 26  Ø=3"</v>
          </cell>
          <cell r="C56" t="str">
            <v>ML</v>
          </cell>
          <cell r="D56">
            <v>14956</v>
          </cell>
          <cell r="E56" t="e">
            <v>#REF!</v>
          </cell>
        </row>
        <row r="57">
          <cell r="B57" t="str">
            <v>ACCESORIOS PVC PRESION Ø=½"</v>
          </cell>
          <cell r="C57" t="str">
            <v>ML</v>
          </cell>
          <cell r="D57">
            <v>500</v>
          </cell>
          <cell r="E57" t="e">
            <v>#REF!</v>
          </cell>
        </row>
        <row r="58">
          <cell r="B58" t="str">
            <v>TUBERIA PVC RDE 21  4"</v>
          </cell>
          <cell r="C58" t="str">
            <v>ML</v>
          </cell>
          <cell r="D58">
            <v>6000</v>
          </cell>
          <cell r="E58" t="e">
            <v>#REF!</v>
          </cell>
        </row>
        <row r="59">
          <cell r="B59" t="str">
            <v>CODO 90° PVC PRESION Ø=½"</v>
          </cell>
          <cell r="C59" t="str">
            <v>UND</v>
          </cell>
          <cell r="D59">
            <v>300</v>
          </cell>
          <cell r="E59" t="e">
            <v>#REF!</v>
          </cell>
        </row>
        <row r="60">
          <cell r="B60" t="str">
            <v>CODO 90° PVC PRESION Ø=3/4"</v>
          </cell>
          <cell r="C60" t="str">
            <v>UND</v>
          </cell>
          <cell r="D60">
            <v>420</v>
          </cell>
          <cell r="E60" t="e">
            <v>#REF!</v>
          </cell>
        </row>
        <row r="61">
          <cell r="B61" t="str">
            <v>CODO 90° PVC PRESION Ø=1"</v>
          </cell>
          <cell r="C61" t="str">
            <v>UND</v>
          </cell>
          <cell r="D61">
            <v>800</v>
          </cell>
          <cell r="E61" t="e">
            <v>#REF!</v>
          </cell>
        </row>
        <row r="62">
          <cell r="B62" t="str">
            <v>CODO 90° PVC PRESION Ø=1½"</v>
          </cell>
          <cell r="C62" t="str">
            <v>UND</v>
          </cell>
          <cell r="D62">
            <v>2900</v>
          </cell>
          <cell r="E62" t="e">
            <v>#REF!</v>
          </cell>
        </row>
        <row r="63">
          <cell r="B63" t="str">
            <v>TEE PVC PRESION Ø=½"</v>
          </cell>
          <cell r="C63" t="str">
            <v>UND</v>
          </cell>
          <cell r="D63">
            <v>400</v>
          </cell>
          <cell r="E63" t="e">
            <v>#REF!</v>
          </cell>
        </row>
        <row r="64">
          <cell r="B64" t="str">
            <v>REGISTRO DE 3/4" CORTE</v>
          </cell>
          <cell r="C64" t="str">
            <v>UND</v>
          </cell>
          <cell r="D64">
            <v>24200</v>
          </cell>
          <cell r="E64" t="e">
            <v>#REF!</v>
          </cell>
        </row>
        <row r="65">
          <cell r="B65" t="str">
            <v>LIMPIADOR PVC</v>
          </cell>
          <cell r="C65" t="str">
            <v>¼ GAL</v>
          </cell>
          <cell r="D65">
            <v>14200</v>
          </cell>
          <cell r="E65" t="e">
            <v>#REF!</v>
          </cell>
        </row>
        <row r="66">
          <cell r="B66" t="str">
            <v>SOLDADURA PVC</v>
          </cell>
          <cell r="C66" t="str">
            <v>¼ GAL</v>
          </cell>
          <cell r="D66">
            <v>32900</v>
          </cell>
          <cell r="E66" t="e">
            <v>#REF!</v>
          </cell>
        </row>
        <row r="67">
          <cell r="B67" t="str">
            <v>CODO 90° PVC PRESION Ø=½"</v>
          </cell>
          <cell r="C67" t="str">
            <v>UND</v>
          </cell>
          <cell r="D67">
            <v>300</v>
          </cell>
          <cell r="E67" t="e">
            <v>#REF!</v>
          </cell>
        </row>
        <row r="68">
          <cell r="B68" t="str">
            <v>REGISTRO DE INCORPORACION</v>
          </cell>
          <cell r="C68" t="str">
            <v>UND</v>
          </cell>
          <cell r="D68">
            <v>1500</v>
          </cell>
          <cell r="E68" t="e">
            <v>#REF!</v>
          </cell>
        </row>
        <row r="69">
          <cell r="B69" t="str">
            <v>MANGUERA FLEXIBLE</v>
          </cell>
          <cell r="C69" t="str">
            <v>ML</v>
          </cell>
          <cell r="D69">
            <v>1500</v>
          </cell>
          <cell r="E69" t="e">
            <v>#REF!</v>
          </cell>
        </row>
        <row r="70">
          <cell r="B70" t="str">
            <v>TUBO PVC SANITARIO Ø=2"</v>
          </cell>
          <cell r="C70" t="str">
            <v>ML</v>
          </cell>
          <cell r="D70">
            <v>3250</v>
          </cell>
          <cell r="E70" t="e">
            <v>#REF!</v>
          </cell>
        </row>
        <row r="71">
          <cell r="B71" t="str">
            <v>TUBO PVC SANITARIO Ø=4"</v>
          </cell>
          <cell r="C71" t="str">
            <v>ML</v>
          </cell>
          <cell r="D71">
            <v>7886</v>
          </cell>
          <cell r="E71" t="e">
            <v>#REF!</v>
          </cell>
        </row>
        <row r="72">
          <cell r="B72" t="str">
            <v>CODO PVC-S 1/8 C*C Ø=2"</v>
          </cell>
          <cell r="C72" t="str">
            <v>UND</v>
          </cell>
          <cell r="D72">
            <v>1800</v>
          </cell>
          <cell r="E72" t="e">
            <v>#REF!</v>
          </cell>
        </row>
        <row r="73">
          <cell r="B73" t="str">
            <v>CODO PVC-S 1/8 C*C Ø=4"</v>
          </cell>
          <cell r="C73" t="str">
            <v>UND</v>
          </cell>
          <cell r="D73">
            <v>5900</v>
          </cell>
          <cell r="E73" t="e">
            <v>#REF!</v>
          </cell>
        </row>
        <row r="74">
          <cell r="B74" t="str">
            <v>BUJE SOLDADO PVC-S Ø=4"×2"</v>
          </cell>
          <cell r="C74" t="str">
            <v>UND</v>
          </cell>
          <cell r="D74">
            <v>3818</v>
          </cell>
          <cell r="E74" t="e">
            <v>#REF!</v>
          </cell>
        </row>
        <row r="75">
          <cell r="B75" t="str">
            <v>TEE PVC-S Ø=4"</v>
          </cell>
          <cell r="C75" t="str">
            <v>UND</v>
          </cell>
          <cell r="D75">
            <v>7800</v>
          </cell>
          <cell r="E75" t="e">
            <v>#REF!</v>
          </cell>
        </row>
        <row r="76">
          <cell r="B76" t="str">
            <v>UNION PVC-S Ø=1"</v>
          </cell>
          <cell r="C76" t="str">
            <v>UND</v>
          </cell>
          <cell r="D76">
            <v>1395</v>
          </cell>
          <cell r="E76" t="e">
            <v>#REF!</v>
          </cell>
        </row>
        <row r="77">
          <cell r="B77" t="str">
            <v>ASFALTO SOLIDO</v>
          </cell>
          <cell r="C77" t="str">
            <v>KG</v>
          </cell>
          <cell r="D77">
            <v>200</v>
          </cell>
          <cell r="E77" t="e">
            <v>#REF!</v>
          </cell>
        </row>
        <row r="78">
          <cell r="B78" t="str">
            <v>ACRILICO TRANSPARENTE</v>
          </cell>
          <cell r="C78" t="str">
            <v>M2</v>
          </cell>
          <cell r="D78">
            <v>60000</v>
          </cell>
          <cell r="E78" t="e">
            <v>#REF!</v>
          </cell>
        </row>
        <row r="79">
          <cell r="B79" t="str">
            <v>ARMADURA METALICA</v>
          </cell>
          <cell r="C79" t="str">
            <v>ML</v>
          </cell>
          <cell r="D79">
            <v>22000</v>
          </cell>
          <cell r="E79" t="e">
            <v>#REF!</v>
          </cell>
        </row>
        <row r="80">
          <cell r="B80" t="str">
            <v>PINTURA DE VINILO</v>
          </cell>
          <cell r="C80" t="str">
            <v>GAL</v>
          </cell>
          <cell r="D80">
            <v>33550</v>
          </cell>
          <cell r="E80" t="e">
            <v>#REF!</v>
          </cell>
        </row>
        <row r="81">
          <cell r="B81" t="str">
            <v>HOJA METALICA Cal 20</v>
          </cell>
          <cell r="C81" t="str">
            <v>M2</v>
          </cell>
          <cell r="D81">
            <v>9500</v>
          </cell>
        </row>
        <row r="82">
          <cell r="B82" t="str">
            <v>LISTON DE MADERA 1½" × 3"</v>
          </cell>
          <cell r="C82" t="str">
            <v>ML</v>
          </cell>
          <cell r="D82">
            <v>1800</v>
          </cell>
        </row>
        <row r="83">
          <cell r="B83" t="str">
            <v>LISTON DE MADERA 2" × 4"</v>
          </cell>
          <cell r="C83" t="str">
            <v>ML</v>
          </cell>
          <cell r="D83">
            <v>2300</v>
          </cell>
        </row>
        <row r="84">
          <cell r="B84" t="str">
            <v>VIDRIO</v>
          </cell>
          <cell r="C84" t="str">
            <v>M2</v>
          </cell>
          <cell r="D84">
            <v>17500</v>
          </cell>
        </row>
        <row r="85">
          <cell r="B85" t="str">
            <v>TEJA ETERNIT Nº4 (1.2×0.9)</v>
          </cell>
          <cell r="C85" t="str">
            <v>M2</v>
          </cell>
          <cell r="D85">
            <v>16566</v>
          </cell>
        </row>
        <row r="86">
          <cell r="B86" t="str">
            <v xml:space="preserve">TEJA ONDULADA ETERNIT Nº8  </v>
          </cell>
          <cell r="C86" t="str">
            <v>M2</v>
          </cell>
          <cell r="D86">
            <v>23000</v>
          </cell>
        </row>
        <row r="87">
          <cell r="B87" t="str">
            <v>GANCHO TEJA DE FIBRO CEMENTO</v>
          </cell>
          <cell r="C87" t="str">
            <v>UND</v>
          </cell>
          <cell r="D87">
            <v>350</v>
          </cell>
        </row>
        <row r="88">
          <cell r="B88" t="str">
            <v>AMARRE ALAMBRE TEJA AC</v>
          </cell>
          <cell r="C88" t="str">
            <v>UND</v>
          </cell>
          <cell r="D88">
            <v>50</v>
          </cell>
        </row>
        <row r="89">
          <cell r="B89" t="str">
            <v>ESMALTE DOMESTICO</v>
          </cell>
          <cell r="C89" t="str">
            <v>GAL</v>
          </cell>
          <cell r="D89">
            <v>33700</v>
          </cell>
        </row>
        <row r="90">
          <cell r="B90" t="str">
            <v>TABLA ORDINARIA</v>
          </cell>
          <cell r="C90" t="str">
            <v>ML</v>
          </cell>
          <cell r="D90">
            <v>1500</v>
          </cell>
        </row>
        <row r="91">
          <cell r="B91" t="str">
            <v>PUNTILLAS 2"</v>
          </cell>
          <cell r="C91" t="str">
            <v>LB</v>
          </cell>
          <cell r="D91">
            <v>2000</v>
          </cell>
        </row>
        <row r="92">
          <cell r="B92" t="str">
            <v>PIEDRA BOLA</v>
          </cell>
          <cell r="C92" t="str">
            <v>M3</v>
          </cell>
          <cell r="D92">
            <v>40000</v>
          </cell>
        </row>
        <row r="93">
          <cell r="B93" t="str">
            <v>CABALLETE FIJO ETERNIT</v>
          </cell>
          <cell r="C93" t="str">
            <v>UN</v>
          </cell>
          <cell r="D93">
            <v>23100</v>
          </cell>
        </row>
        <row r="94">
          <cell r="B94" t="str">
            <v xml:space="preserve">BLOQUE ARCILLA H-10  </v>
          </cell>
          <cell r="C94" t="str">
            <v>UND</v>
          </cell>
          <cell r="D94">
            <v>650</v>
          </cell>
        </row>
        <row r="95">
          <cell r="B95" t="str">
            <v>PINTURA EN ANTICORROSIVO</v>
          </cell>
          <cell r="C95" t="str">
            <v>GAL</v>
          </cell>
          <cell r="D95">
            <v>24800</v>
          </cell>
        </row>
        <row r="96">
          <cell r="B96" t="str">
            <v>CABALLETE FIJO ETERNIT</v>
          </cell>
          <cell r="C96" t="str">
            <v>ML</v>
          </cell>
          <cell r="D96">
            <v>23100</v>
          </cell>
        </row>
        <row r="97">
          <cell r="B97" t="str">
            <v>MARCO MET DE PUERTA CAL 20 e=12</v>
          </cell>
          <cell r="C97" t="str">
            <v>UND</v>
          </cell>
          <cell r="D97">
            <v>52325</v>
          </cell>
        </row>
        <row r="98">
          <cell r="B98" t="str">
            <v>CERRADURA ENTRADA APARTAMENTO</v>
          </cell>
          <cell r="C98" t="str">
            <v>UND</v>
          </cell>
          <cell r="D98">
            <v>38600</v>
          </cell>
        </row>
        <row r="99">
          <cell r="B99" t="str">
            <v>DILATACIONES</v>
          </cell>
          <cell r="C99" t="str">
            <v>ML</v>
          </cell>
          <cell r="D99">
            <v>950</v>
          </cell>
        </row>
        <row r="100">
          <cell r="B100" t="str">
            <v>JUEGO COMPL. 6 PIEZAS ASTROCOLOR</v>
          </cell>
          <cell r="C100" t="str">
            <v>UND</v>
          </cell>
          <cell r="D100">
            <v>41690</v>
          </cell>
        </row>
        <row r="101">
          <cell r="B101" t="str">
            <v>CABLE No 12</v>
          </cell>
          <cell r="C101" t="str">
            <v>ML</v>
          </cell>
          <cell r="D101">
            <v>230</v>
          </cell>
        </row>
        <row r="102">
          <cell r="B102" t="str">
            <v>TUBO CONDUIT TIPO LIVIANO</v>
          </cell>
          <cell r="C102" t="str">
            <v>ML</v>
          </cell>
          <cell r="D102">
            <v>500</v>
          </cell>
        </row>
        <row r="103">
          <cell r="B103" t="str">
            <v>VENTANA EN LAMINA CALIB 20 e= 0.12</v>
          </cell>
          <cell r="C103" t="str">
            <v>M2</v>
          </cell>
          <cell r="D103">
            <v>55000</v>
          </cell>
        </row>
        <row r="104">
          <cell r="B104" t="str">
            <v>LAVAPLATOS INOXIDABLE</v>
          </cell>
          <cell r="C104" t="str">
            <v>UND</v>
          </cell>
          <cell r="D104">
            <v>240500</v>
          </cell>
        </row>
        <row r="105">
          <cell r="B105" t="str">
            <v>MEZCLADOR</v>
          </cell>
          <cell r="C105" t="str">
            <v>UND</v>
          </cell>
          <cell r="D105">
            <v>19000</v>
          </cell>
        </row>
        <row r="106">
          <cell r="B106" t="str">
            <v>MANGUERA 1/2 X 1/2</v>
          </cell>
          <cell r="C106" t="str">
            <v>UND</v>
          </cell>
          <cell r="D106">
            <v>5000</v>
          </cell>
        </row>
        <row r="107">
          <cell r="B107" t="str">
            <v>PINTURA ESMALTE</v>
          </cell>
          <cell r="C107" t="str">
            <v>GAL</v>
          </cell>
          <cell r="D107">
            <v>39000</v>
          </cell>
        </row>
        <row r="108">
          <cell r="B108" t="str">
            <v>PINTURA BARNIZ</v>
          </cell>
          <cell r="C108" t="str">
            <v>GAL</v>
          </cell>
          <cell r="D108">
            <v>25000</v>
          </cell>
        </row>
        <row r="109">
          <cell r="B109" t="str">
            <v>CAL PROMICAL</v>
          </cell>
          <cell r="C109" t="str">
            <v>KG</v>
          </cell>
          <cell r="D109">
            <v>120</v>
          </cell>
        </row>
        <row r="110">
          <cell r="B110" t="str">
            <v>ESTUCO</v>
          </cell>
          <cell r="C110" t="str">
            <v>KG</v>
          </cell>
          <cell r="D110">
            <v>750</v>
          </cell>
        </row>
        <row r="111">
          <cell r="B111" t="str">
            <v>MURO EN BLOUE</v>
          </cell>
          <cell r="C111" t="str">
            <v>M2</v>
          </cell>
          <cell r="D111">
            <v>15800</v>
          </cell>
        </row>
        <row r="112">
          <cell r="B112" t="str">
            <v>DURMIENTES EN MADERA DE .06X.1</v>
          </cell>
          <cell r="C112" t="str">
            <v>ML</v>
          </cell>
          <cell r="D112">
            <v>2000</v>
          </cell>
        </row>
        <row r="113">
          <cell r="B113" t="str">
            <v>MACHIMBRE PARA PISO</v>
          </cell>
          <cell r="C113" t="str">
            <v>M2</v>
          </cell>
          <cell r="D113">
            <v>15000</v>
          </cell>
        </row>
        <row r="114">
          <cell r="B114" t="str">
            <v>PISO DUROPISO</v>
          </cell>
          <cell r="C114" t="str">
            <v>M2</v>
          </cell>
          <cell r="D114">
            <v>15260</v>
          </cell>
        </row>
        <row r="115">
          <cell r="B115" t="str">
            <v>DILATACIONES</v>
          </cell>
          <cell r="C115" t="str">
            <v>ML</v>
          </cell>
          <cell r="D115">
            <v>650</v>
          </cell>
        </row>
        <row r="116">
          <cell r="B116" t="str">
            <v xml:space="preserve">CONCRETO DE 1:2:3 </v>
          </cell>
          <cell r="C116" t="str">
            <v>M3</v>
          </cell>
          <cell r="D116" t="e">
            <v>#REF!</v>
          </cell>
        </row>
        <row r="117">
          <cell r="B117" t="str">
            <v>BREA</v>
          </cell>
          <cell r="C117" t="str">
            <v>KG</v>
          </cell>
          <cell r="D117">
            <v>650</v>
          </cell>
        </row>
        <row r="118">
          <cell r="B118" t="str">
            <v>HIERRO DE REFUERZO Ø=½"</v>
          </cell>
          <cell r="C118" t="str">
            <v>KG</v>
          </cell>
          <cell r="D118">
            <v>1200</v>
          </cell>
        </row>
        <row r="119">
          <cell r="B119" t="str">
            <v>HIERRO DE REFUERZO Ø=3/8"</v>
          </cell>
          <cell r="C119" t="str">
            <v>KG</v>
          </cell>
          <cell r="D119">
            <v>1100</v>
          </cell>
        </row>
        <row r="120">
          <cell r="B120" t="str">
            <v xml:space="preserve">SUB BASE GRANULAR </v>
          </cell>
          <cell r="C120" t="str">
            <v>M3</v>
          </cell>
          <cell r="D120">
            <v>32000</v>
          </cell>
        </row>
        <row r="121">
          <cell r="B121" t="str">
            <v>PEGO PARA LOSA</v>
          </cell>
          <cell r="C121" t="str">
            <v>KG</v>
          </cell>
          <cell r="D121">
            <v>770</v>
          </cell>
        </row>
        <row r="122">
          <cell r="B122" t="str">
            <v>ENCHAPE DE PISOS 0.30x0.30 TIPO PESADO</v>
          </cell>
          <cell r="C122" t="str">
            <v>M2</v>
          </cell>
          <cell r="D122">
            <v>19725</v>
          </cell>
        </row>
        <row r="123">
          <cell r="B123" t="str">
            <v>ENCHAPE DE MUROS</v>
          </cell>
          <cell r="C123" t="str">
            <v>M2</v>
          </cell>
          <cell r="D123">
            <v>15250</v>
          </cell>
        </row>
        <row r="124">
          <cell r="B124" t="str">
            <v>LAMPARA FLUORESCENTE SENCILLA</v>
          </cell>
          <cell r="C124" t="str">
            <v>UND</v>
          </cell>
          <cell r="D124">
            <v>24500</v>
          </cell>
        </row>
        <row r="125">
          <cell r="B125" t="str">
            <v>LAVAMANOS ACUACER</v>
          </cell>
          <cell r="C125" t="str">
            <v>UND</v>
          </cell>
          <cell r="D125">
            <v>17500</v>
          </cell>
        </row>
        <row r="126">
          <cell r="B126" t="str">
            <v>TUBO NOVAFORT 8"</v>
          </cell>
          <cell r="C126" t="str">
            <v>ML</v>
          </cell>
          <cell r="D126">
            <v>19243</v>
          </cell>
        </row>
        <row r="127">
          <cell r="B127" t="str">
            <v>MORTERO 1:4</v>
          </cell>
          <cell r="C127" t="str">
            <v>M3</v>
          </cell>
          <cell r="D127" t="e">
            <v>#REF!</v>
          </cell>
        </row>
        <row r="128">
          <cell r="B128" t="str">
            <v>KEROSENE</v>
          </cell>
          <cell r="C128" t="str">
            <v>GAL</v>
          </cell>
          <cell r="D128">
            <v>2000</v>
          </cell>
        </row>
        <row r="129">
          <cell r="B129" t="str">
            <v>MANTO IMPER. 3mm CON PINTURA PLACA</v>
          </cell>
          <cell r="C129" t="str">
            <v>M2</v>
          </cell>
          <cell r="D129">
            <v>13650</v>
          </cell>
        </row>
        <row r="130">
          <cell r="B130" t="str">
            <v>SANITARIO</v>
          </cell>
          <cell r="C130" t="str">
            <v>UND</v>
          </cell>
          <cell r="D130">
            <v>132810</v>
          </cell>
        </row>
        <row r="131">
          <cell r="B131" t="str">
            <v>UNION PVC-S Ø=4"</v>
          </cell>
          <cell r="C131" t="str">
            <v>UND</v>
          </cell>
          <cell r="D131">
            <v>3080</v>
          </cell>
        </row>
        <row r="132">
          <cell r="B132" t="str">
            <v>ADHESIVO</v>
          </cell>
          <cell r="C132" t="str">
            <v>GAL</v>
          </cell>
          <cell r="D132">
            <v>58000</v>
          </cell>
        </row>
        <row r="133">
          <cell r="B133" t="str">
            <v>ACONDICIONADOR</v>
          </cell>
          <cell r="C133" t="str">
            <v>GAL</v>
          </cell>
          <cell r="D133">
            <v>52812</v>
          </cell>
        </row>
        <row r="134">
          <cell r="B134" t="str">
            <v>CAJA DE INSPECCION  .6 X .6 m</v>
          </cell>
          <cell r="C134" t="str">
            <v>UND</v>
          </cell>
          <cell r="D134">
            <v>40000</v>
          </cell>
        </row>
        <row r="135">
          <cell r="B135" t="str">
            <v>TUBO VENTILACION Ø=4"</v>
          </cell>
          <cell r="C135" t="str">
            <v>ML</v>
          </cell>
          <cell r="D135">
            <v>6318</v>
          </cell>
        </row>
        <row r="136">
          <cell r="B136" t="str">
            <v>CODO 45° PVC-S 1/8 C×C Ø=4"</v>
          </cell>
          <cell r="C136" t="str">
            <v>UND</v>
          </cell>
          <cell r="D136">
            <v>5783</v>
          </cell>
        </row>
        <row r="137">
          <cell r="B137" t="str">
            <v>UNION DE REPARACION DE 10"</v>
          </cell>
          <cell r="C137" t="str">
            <v>UND</v>
          </cell>
          <cell r="D137">
            <v>262478</v>
          </cell>
        </row>
        <row r="138">
          <cell r="B138" t="str">
            <v>REDUCCION HF 10X6</v>
          </cell>
          <cell r="C138" t="str">
            <v>UND</v>
          </cell>
          <cell r="D138">
            <v>191400</v>
          </cell>
        </row>
        <row r="139">
          <cell r="B139" t="str">
            <v>VIGA AMARRE REF (.2mx.2m)</v>
          </cell>
          <cell r="C139" t="str">
            <v>ML</v>
          </cell>
          <cell r="D139">
            <v>25689</v>
          </cell>
        </row>
        <row r="140">
          <cell r="B140" t="str">
            <v>TEE PVC-S Ø=2"</v>
          </cell>
          <cell r="C140" t="str">
            <v>UND</v>
          </cell>
          <cell r="D140">
            <v>2200</v>
          </cell>
        </row>
        <row r="141">
          <cell r="B141" t="str">
            <v>UNION PVC-S Ø=2"</v>
          </cell>
          <cell r="C141" t="str">
            <v>UND</v>
          </cell>
          <cell r="D141">
            <v>2000</v>
          </cell>
        </row>
        <row r="142">
          <cell r="B142" t="str">
            <v>ADAPTADOR HEMBRA PVC-P Ø=3"</v>
          </cell>
          <cell r="C142" t="str">
            <v>UND</v>
          </cell>
          <cell r="D142">
            <v>11633</v>
          </cell>
        </row>
        <row r="143">
          <cell r="B143" t="str">
            <v>TAPON ROSCADO PVC PRESION Ø=3"</v>
          </cell>
          <cell r="C143" t="str">
            <v>UND</v>
          </cell>
          <cell r="D143">
            <v>11063</v>
          </cell>
        </row>
        <row r="144">
          <cell r="B144" t="str">
            <v>TEE 4X3X2 PVC P</v>
          </cell>
          <cell r="C144" t="str">
            <v>UND</v>
          </cell>
          <cell r="D144">
            <v>61375</v>
          </cell>
        </row>
        <row r="145">
          <cell r="B145" t="str">
            <v>CRUCETA 4X4X2X2 HF</v>
          </cell>
          <cell r="C145" t="str">
            <v>UND</v>
          </cell>
          <cell r="D145">
            <v>63800</v>
          </cell>
        </row>
        <row r="146">
          <cell r="B146" t="str">
            <v>CRUCETA DE 3X3X2X2 HF</v>
          </cell>
          <cell r="C146" t="str">
            <v>UND</v>
          </cell>
          <cell r="D146">
            <v>43384</v>
          </cell>
        </row>
        <row r="147">
          <cell r="B147" t="str">
            <v>TEJA ZINC 3m</v>
          </cell>
          <cell r="C147" t="str">
            <v>UND</v>
          </cell>
          <cell r="D147">
            <v>12500</v>
          </cell>
        </row>
        <row r="148">
          <cell r="B148" t="str">
            <v>REDUCCION 3X2 PVC P</v>
          </cell>
          <cell r="C148" t="str">
            <v>UND</v>
          </cell>
          <cell r="D148">
            <v>5172</v>
          </cell>
        </row>
        <row r="149">
          <cell r="B149" t="str">
            <v>CODO 3" 90 RADIO LARGO</v>
          </cell>
          <cell r="C149" t="str">
            <v>UND</v>
          </cell>
          <cell r="D149">
            <v>35637</v>
          </cell>
        </row>
        <row r="150">
          <cell r="B150" t="str">
            <v>TEE PVC PRESION Ø=½"</v>
          </cell>
          <cell r="C150" t="str">
            <v>UND</v>
          </cell>
          <cell r="D150">
            <v>350</v>
          </cell>
        </row>
        <row r="151">
          <cell r="B151" t="str">
            <v>CRUCETA 2X2X2X2 HF</v>
          </cell>
          <cell r="C151" t="str">
            <v>UND</v>
          </cell>
          <cell r="D151">
            <v>33176</v>
          </cell>
        </row>
        <row r="152">
          <cell r="B152" t="str">
            <v>TAPON PVC P 2"</v>
          </cell>
          <cell r="C152" t="str">
            <v>UND</v>
          </cell>
          <cell r="D152">
            <v>1664</v>
          </cell>
        </row>
        <row r="153">
          <cell r="B153" t="str">
            <v xml:space="preserve">DUCHAS SENCILLA  </v>
          </cell>
          <cell r="C153" t="str">
            <v>UND</v>
          </cell>
          <cell r="D153">
            <v>28500</v>
          </cell>
        </row>
        <row r="154">
          <cell r="B154" t="str">
            <v>LLAVES TERMINAL JARDIN PESADA SATINADA</v>
          </cell>
          <cell r="C154" t="str">
            <v>UND</v>
          </cell>
          <cell r="D154">
            <v>9620</v>
          </cell>
        </row>
        <row r="155">
          <cell r="B155" t="str">
            <v>CAJA DE REGISTRO</v>
          </cell>
          <cell r="C155" t="str">
            <v>UND</v>
          </cell>
          <cell r="D155">
            <v>19500</v>
          </cell>
        </row>
        <row r="156">
          <cell r="B156" t="str">
            <v>TAPA CAJA DE REGISTRO HF</v>
          </cell>
          <cell r="C156" t="str">
            <v>UND</v>
          </cell>
          <cell r="D156">
            <v>25000</v>
          </cell>
        </row>
        <row r="157">
          <cell r="B157" t="str">
            <v>EXCAVACIÓN MANUAL</v>
          </cell>
          <cell r="C157" t="str">
            <v>M3</v>
          </cell>
          <cell r="D157">
            <v>13029</v>
          </cell>
        </row>
        <row r="158">
          <cell r="B158" t="str">
            <v xml:space="preserve">CABALLETE </v>
          </cell>
          <cell r="C158" t="str">
            <v>UND</v>
          </cell>
          <cell r="D158">
            <v>9600</v>
          </cell>
        </row>
        <row r="159">
          <cell r="B159" t="str">
            <v>CEMENTO BLANCO</v>
          </cell>
          <cell r="C159" t="str">
            <v>KG</v>
          </cell>
          <cell r="D159">
            <v>550</v>
          </cell>
        </row>
        <row r="160">
          <cell r="B160" t="str">
            <v>LAVAMANOS SENCILLO CORONA</v>
          </cell>
          <cell r="C160" t="str">
            <v>UND</v>
          </cell>
          <cell r="D160">
            <v>45500</v>
          </cell>
        </row>
        <row r="161">
          <cell r="B161" t="str">
            <v>LLAVES PARA LAVAMANOS GRIFER</v>
          </cell>
          <cell r="C161" t="str">
            <v>UND</v>
          </cell>
          <cell r="D161">
            <v>11700</v>
          </cell>
        </row>
        <row r="162">
          <cell r="B162" t="str">
            <v xml:space="preserve">CURVAS 1/2 T.L </v>
          </cell>
          <cell r="C162" t="str">
            <v>UND</v>
          </cell>
          <cell r="D162">
            <v>100</v>
          </cell>
        </row>
        <row r="163">
          <cell r="B163" t="str">
            <v>CAJAS RECTANGULARES</v>
          </cell>
          <cell r="C163" t="str">
            <v>UND</v>
          </cell>
          <cell r="D163">
            <v>500</v>
          </cell>
        </row>
        <row r="164">
          <cell r="B164" t="str">
            <v>CAJAS OCTOGONALES</v>
          </cell>
          <cell r="C164" t="str">
            <v>UND</v>
          </cell>
          <cell r="D164">
            <v>500</v>
          </cell>
        </row>
        <row r="165">
          <cell r="B165" t="str">
            <v>APAGADOR SENCILLO LUMINEX</v>
          </cell>
          <cell r="C165" t="str">
            <v>UND</v>
          </cell>
          <cell r="D165">
            <v>2700</v>
          </cell>
        </row>
        <row r="166">
          <cell r="B166" t="str">
            <v>APAGADOR DOBLE LUMINEX</v>
          </cell>
          <cell r="C166" t="str">
            <v>UND</v>
          </cell>
          <cell r="D166">
            <v>3900</v>
          </cell>
        </row>
        <row r="167">
          <cell r="B167" t="str">
            <v>TOMA DOBLE</v>
          </cell>
          <cell r="C167" t="str">
            <v>UND</v>
          </cell>
          <cell r="D167">
            <v>3600</v>
          </cell>
        </row>
        <row r="168">
          <cell r="B168" t="str">
            <v>POLO A TIERRA LUMINEX</v>
          </cell>
          <cell r="C168" t="str">
            <v>UND</v>
          </cell>
          <cell r="D168">
            <v>3800</v>
          </cell>
        </row>
        <row r="169">
          <cell r="B169" t="str">
            <v>ACCESORIOS ELECTRICOS</v>
          </cell>
          <cell r="C169" t="str">
            <v>UND</v>
          </cell>
          <cell r="D169">
            <v>4500</v>
          </cell>
        </row>
        <row r="170">
          <cell r="B170" t="str">
            <v>CAJA CONTADOR</v>
          </cell>
          <cell r="C170" t="str">
            <v>UND</v>
          </cell>
          <cell r="D170">
            <v>16500</v>
          </cell>
        </row>
        <row r="171">
          <cell r="B171" t="str">
            <v>TABELON</v>
          </cell>
          <cell r="C171" t="str">
            <v>UND</v>
          </cell>
          <cell r="D171">
            <v>1800</v>
          </cell>
        </row>
        <row r="172">
          <cell r="B172" t="str">
            <v>RIEL IPN 100</v>
          </cell>
          <cell r="C172" t="str">
            <v>ML</v>
          </cell>
          <cell r="D172">
            <v>15250</v>
          </cell>
        </row>
        <row r="173">
          <cell r="B173" t="str">
            <v>ANGULO DE 1 ½"× 1/8"</v>
          </cell>
          <cell r="C173" t="str">
            <v>ML</v>
          </cell>
          <cell r="D173">
            <v>1850</v>
          </cell>
        </row>
        <row r="174">
          <cell r="B174" t="str">
            <v>REJA METALICA EN  TUBO 1 X 1</v>
          </cell>
          <cell r="C174" t="str">
            <v>ML</v>
          </cell>
          <cell r="D174">
            <v>35000</v>
          </cell>
        </row>
        <row r="175">
          <cell r="B175" t="str">
            <v>SOLDADURA 6013 1/8"</v>
          </cell>
          <cell r="C175" t="str">
            <v>KG</v>
          </cell>
          <cell r="D175">
            <v>6000</v>
          </cell>
        </row>
        <row r="176">
          <cell r="B176" t="str">
            <v>PINTURA PARA TABLERO X 1/4</v>
          </cell>
          <cell r="C176" t="str">
            <v>1/4 GAL</v>
          </cell>
          <cell r="D176">
            <v>25000</v>
          </cell>
        </row>
        <row r="177">
          <cell r="B177" t="str">
            <v>RELLENO EN MATERIAL COMUN</v>
          </cell>
          <cell r="C177" t="str">
            <v>M3</v>
          </cell>
          <cell r="D177">
            <v>9000</v>
          </cell>
        </row>
        <row r="178">
          <cell r="B178" t="str">
            <v xml:space="preserve">CANAL METALICA </v>
          </cell>
          <cell r="C178" t="str">
            <v>ML</v>
          </cell>
          <cell r="D178">
            <v>15000</v>
          </cell>
        </row>
        <row r="179">
          <cell r="B179" t="str">
            <v>BISAGRAS</v>
          </cell>
          <cell r="C179" t="str">
            <v>UND</v>
          </cell>
          <cell r="D179">
            <v>2000</v>
          </cell>
        </row>
        <row r="180">
          <cell r="B180" t="str">
            <v>ANCLAJES</v>
          </cell>
          <cell r="C180" t="str">
            <v>UND</v>
          </cell>
          <cell r="D180">
            <v>1000</v>
          </cell>
        </row>
        <row r="181">
          <cell r="B181" t="str">
            <v>CLOSET DE MADERA</v>
          </cell>
          <cell r="C181" t="str">
            <v>UND</v>
          </cell>
          <cell r="D181">
            <v>280000</v>
          </cell>
        </row>
        <row r="182">
          <cell r="B182" t="str">
            <v>LIMPIADOR LIQUIDO</v>
          </cell>
          <cell r="C182" t="str">
            <v>FRASCO</v>
          </cell>
          <cell r="D182">
            <v>3500</v>
          </cell>
        </row>
        <row r="183">
          <cell r="B183" t="str">
            <v>CABLE No 8</v>
          </cell>
          <cell r="C183" t="str">
            <v>ML</v>
          </cell>
          <cell r="D183">
            <v>800</v>
          </cell>
        </row>
        <row r="184">
          <cell r="B184" t="str">
            <v>TACOS 30 AMP</v>
          </cell>
          <cell r="C184" t="str">
            <v>UND</v>
          </cell>
          <cell r="D184">
            <v>4700</v>
          </cell>
        </row>
        <row r="185">
          <cell r="B185" t="str">
            <v>FLOTADOR 3/4</v>
          </cell>
          <cell r="C185" t="str">
            <v>UND</v>
          </cell>
          <cell r="D185">
            <v>15000</v>
          </cell>
        </row>
        <row r="186">
          <cell r="B186" t="str">
            <v>IMPERABILIZANTE SIKA 1</v>
          </cell>
          <cell r="C186" t="str">
            <v>GAL</v>
          </cell>
          <cell r="D186">
            <v>12000</v>
          </cell>
        </row>
        <row r="187">
          <cell r="B187" t="str">
            <v>LADRILLO H-10</v>
          </cell>
          <cell r="C187" t="str">
            <v>UND</v>
          </cell>
          <cell r="D187">
            <v>750</v>
          </cell>
        </row>
        <row r="188">
          <cell r="B188" t="str">
            <v>LADRILLO TOLETE</v>
          </cell>
          <cell r="C188" t="str">
            <v>UND</v>
          </cell>
          <cell r="D188">
            <v>200</v>
          </cell>
        </row>
        <row r="189">
          <cell r="B189" t="str">
            <v>HIERRO DE REFUERZO Ø=¼"</v>
          </cell>
          <cell r="C189" t="str">
            <v>KG</v>
          </cell>
          <cell r="D189">
            <v>1300</v>
          </cell>
        </row>
        <row r="190">
          <cell r="B190" t="str">
            <v>TUBO GALVANIZADO 2"</v>
          </cell>
          <cell r="C190" t="str">
            <v>ML</v>
          </cell>
          <cell r="D190">
            <v>12900</v>
          </cell>
        </row>
        <row r="191">
          <cell r="B191" t="str">
            <v>TUBO  PVC S 4"</v>
          </cell>
          <cell r="C191" t="str">
            <v>ML</v>
          </cell>
          <cell r="D191">
            <v>6000</v>
          </cell>
        </row>
        <row r="192">
          <cell r="B192" t="str">
            <v>TUBO PVC-S 2"</v>
          </cell>
          <cell r="C192" t="str">
            <v>ML</v>
          </cell>
          <cell r="D192">
            <v>3400</v>
          </cell>
        </row>
        <row r="193">
          <cell r="B193" t="str">
            <v>PINTURA SIKACOLOR</v>
          </cell>
          <cell r="C193" t="str">
            <v>GAL</v>
          </cell>
          <cell r="D193">
            <v>45000</v>
          </cell>
        </row>
        <row r="194">
          <cell r="B194" t="str">
            <v>CERRADURA ALUMN/SAT ALCOBA</v>
          </cell>
          <cell r="C194" t="str">
            <v>UND</v>
          </cell>
          <cell r="D194">
            <v>30000</v>
          </cell>
        </row>
        <row r="195">
          <cell r="B195" t="str">
            <v>PUERTA EN MADERA 1m×2m</v>
          </cell>
          <cell r="C195" t="str">
            <v>UND</v>
          </cell>
          <cell r="D195">
            <v>120000</v>
          </cell>
        </row>
        <row r="196">
          <cell r="B196" t="str">
            <v>CORREA DE ½ X 3/8</v>
          </cell>
          <cell r="C196" t="str">
            <v>ML</v>
          </cell>
          <cell r="D196">
            <v>10500</v>
          </cell>
        </row>
        <row r="197">
          <cell r="B197" t="str">
            <v>LAMINA DE ZINC</v>
          </cell>
          <cell r="C197" t="str">
            <v>M2</v>
          </cell>
          <cell r="D197">
            <v>3800</v>
          </cell>
        </row>
        <row r="198">
          <cell r="B198" t="str">
            <v>TUBO METALICO DE 4" X 2"</v>
          </cell>
          <cell r="C198" t="str">
            <v>ML</v>
          </cell>
          <cell r="D198">
            <v>23000</v>
          </cell>
        </row>
        <row r="199">
          <cell r="B199" t="str">
            <v>MALLA ESLABONADA h = 1,8 mt</v>
          </cell>
          <cell r="C199" t="str">
            <v>ML</v>
          </cell>
          <cell r="D199">
            <v>4000</v>
          </cell>
        </row>
        <row r="200">
          <cell r="B200" t="str">
            <v>PLATINA DE ½ X 3/16</v>
          </cell>
          <cell r="C200" t="str">
            <v>ML</v>
          </cell>
          <cell r="D200">
            <v>1000</v>
          </cell>
        </row>
        <row r="201">
          <cell r="B201" t="str">
            <v>ALAMBRE DE PUA MOTTO 300</v>
          </cell>
          <cell r="C201" t="str">
            <v>ML</v>
          </cell>
          <cell r="D201">
            <v>117</v>
          </cell>
        </row>
        <row r="202">
          <cell r="B202" t="str">
            <v>MALLA ESLABONADA cal. 12 2.5"×2.5"</v>
          </cell>
          <cell r="C202" t="str">
            <v>M2</v>
          </cell>
          <cell r="D202">
            <v>3900</v>
          </cell>
        </row>
        <row r="203">
          <cell r="B203" t="str">
            <v>ANGULO  DE 2" X 1/4"</v>
          </cell>
          <cell r="C203" t="str">
            <v>ML</v>
          </cell>
          <cell r="D203">
            <v>4890</v>
          </cell>
        </row>
        <row r="204">
          <cell r="B204" t="str">
            <v>CIMIENTO CONCR CICLOPEO (.4m×.4m)</v>
          </cell>
          <cell r="C204" t="str">
            <v>M3</v>
          </cell>
          <cell r="D204">
            <v>169947</v>
          </cell>
        </row>
        <row r="205">
          <cell r="B205" t="str">
            <v>TINNER</v>
          </cell>
          <cell r="C205" t="str">
            <v>LT</v>
          </cell>
          <cell r="D205">
            <v>2500</v>
          </cell>
        </row>
        <row r="206">
          <cell r="B206" t="str">
            <v>TUBO METALICO DE 3" X 2"</v>
          </cell>
          <cell r="C206" t="str">
            <v>ML</v>
          </cell>
          <cell r="D206">
            <v>18000</v>
          </cell>
        </row>
        <row r="207">
          <cell r="B207" t="str">
            <v>CIMIENTO CONCR CICLOPEO (0.3m×0.3m)</v>
          </cell>
          <cell r="C207" t="str">
            <v>M3</v>
          </cell>
          <cell r="D207">
            <v>169947</v>
          </cell>
        </row>
        <row r="208">
          <cell r="B208" t="str">
            <v>VIGA AMARRE REF (.15mx.2m)</v>
          </cell>
          <cell r="C208" t="str">
            <v>ML</v>
          </cell>
          <cell r="D208">
            <v>23532</v>
          </cell>
        </row>
        <row r="212">
          <cell r="C212" t="str">
            <v>UND</v>
          </cell>
          <cell r="D212">
            <v>84216</v>
          </cell>
        </row>
        <row r="213">
          <cell r="E213" t="e">
            <v>#REF!</v>
          </cell>
        </row>
        <row r="215">
          <cell r="B215" t="str">
            <v>NOMBRE</v>
          </cell>
          <cell r="C215" t="str">
            <v>UNIDAD</v>
          </cell>
          <cell r="D215" t="str">
            <v>PRECIO</v>
          </cell>
        </row>
        <row r="216">
          <cell r="B216" t="str">
            <v>MAESTRO</v>
          </cell>
          <cell r="C216" t="str">
            <v>JORNAL</v>
          </cell>
          <cell r="D216">
            <v>30000</v>
          </cell>
          <cell r="E216" t="e">
            <v>#REF!</v>
          </cell>
        </row>
        <row r="217">
          <cell r="B217" t="str">
            <v>OFICIAL</v>
          </cell>
          <cell r="C217" t="str">
            <v>JORNAL</v>
          </cell>
          <cell r="D217">
            <v>20000</v>
          </cell>
          <cell r="E217" t="e">
            <v>#REF!</v>
          </cell>
        </row>
        <row r="218">
          <cell r="B218" t="str">
            <v>OBRERO</v>
          </cell>
          <cell r="C218" t="str">
            <v>JORNAL</v>
          </cell>
          <cell r="D218">
            <v>13200</v>
          </cell>
          <cell r="E218" t="e">
            <v>#REF!</v>
          </cell>
        </row>
        <row r="219">
          <cell r="B219" t="str">
            <v>CUADRILLA DE TOPOGRAFIA 1×2×2</v>
          </cell>
          <cell r="C219" t="str">
            <v>DIA</v>
          </cell>
          <cell r="D219">
            <v>100000</v>
          </cell>
          <cell r="E219" t="e">
            <v>#REF!</v>
          </cell>
        </row>
        <row r="220">
          <cell r="B220" t="str">
            <v>METALURGICO</v>
          </cell>
          <cell r="C220" t="str">
            <v>DIA</v>
          </cell>
          <cell r="D220">
            <v>60000</v>
          </cell>
          <cell r="E220" t="e">
            <v>#REF!</v>
          </cell>
        </row>
        <row r="221">
          <cell r="B221" t="str">
            <v>TECNICO ELECTRICO</v>
          </cell>
          <cell r="C221" t="str">
            <v>DIA</v>
          </cell>
          <cell r="D221">
            <v>40000</v>
          </cell>
          <cell r="E221" t="e">
            <v>#REF!</v>
          </cell>
        </row>
        <row r="222">
          <cell r="B222" t="str">
            <v>SOLDADOR ELECT</v>
          </cell>
          <cell r="C222" t="str">
            <v>DIA</v>
          </cell>
          <cell r="D222">
            <v>24360</v>
          </cell>
          <cell r="E222" t="e">
            <v>#REF!</v>
          </cell>
        </row>
        <row r="223">
          <cell r="B223" t="str">
            <v>xxx</v>
          </cell>
          <cell r="E223" t="e">
            <v>#REF!</v>
          </cell>
        </row>
        <row r="224">
          <cell r="B224" t="str">
            <v>xxx</v>
          </cell>
          <cell r="E224" t="e">
            <v>#REF!</v>
          </cell>
        </row>
        <row r="225">
          <cell r="B225" t="str">
            <v>xxx</v>
          </cell>
          <cell r="E225" t="e">
            <v>#REF!</v>
          </cell>
        </row>
        <row r="227">
          <cell r="B227" t="str">
            <v>NOMBRE</v>
          </cell>
          <cell r="C227" t="str">
            <v>UNIDAD</v>
          </cell>
          <cell r="D227" t="str">
            <v>PRECIO</v>
          </cell>
        </row>
        <row r="228">
          <cell r="B228" t="str">
            <v>HERRAMIENTA MENOR</v>
          </cell>
          <cell r="C228" t="str">
            <v>GLB</v>
          </cell>
          <cell r="D228">
            <v>1500</v>
          </cell>
          <cell r="E228" t="e">
            <v>#REF!</v>
          </cell>
        </row>
        <row r="229">
          <cell r="B229" t="str">
            <v>FORMALETA</v>
          </cell>
          <cell r="C229" t="str">
            <v>GLB</v>
          </cell>
          <cell r="D229">
            <v>20000</v>
          </cell>
          <cell r="E229" t="e">
            <v>#REF!</v>
          </cell>
        </row>
        <row r="230">
          <cell r="B230" t="str">
            <v>ESTACAS MADERA</v>
          </cell>
          <cell r="C230" t="str">
            <v>UND</v>
          </cell>
          <cell r="D230">
            <v>500</v>
          </cell>
          <cell r="E230" t="e">
            <v>#REF!</v>
          </cell>
        </row>
        <row r="231">
          <cell r="B231" t="str">
            <v>BOMBA SUMERGIBLE</v>
          </cell>
          <cell r="C231" t="str">
            <v>UND</v>
          </cell>
          <cell r="D231">
            <v>2250000</v>
          </cell>
          <cell r="E231" t="e">
            <v>#REF!</v>
          </cell>
        </row>
        <row r="232">
          <cell r="B232" t="str">
            <v>TEJA ACEROLIT</v>
          </cell>
          <cell r="C232" t="str">
            <v>UND</v>
          </cell>
          <cell r="D232">
            <v>15000</v>
          </cell>
          <cell r="E232" t="e">
            <v>#REF!</v>
          </cell>
        </row>
        <row r="233">
          <cell r="B233" t="str">
            <v>PUERTA LAM DOB CAL 20 e=0.12 CON MARCO</v>
          </cell>
          <cell r="C233" t="str">
            <v>M2</v>
          </cell>
          <cell r="D233">
            <v>160000</v>
          </cell>
          <cell r="E233" t="e">
            <v>#REF!</v>
          </cell>
        </row>
        <row r="234">
          <cell r="B234" t="str">
            <v>HERRAMIENTA M.</v>
          </cell>
          <cell r="C234" t="str">
            <v>GLB</v>
          </cell>
          <cell r="D234">
            <v>250</v>
          </cell>
          <cell r="E234" t="e">
            <v>#REF!</v>
          </cell>
        </row>
        <row r="235">
          <cell r="B235" t="str">
            <v>HERRAMIENTAS MENOR</v>
          </cell>
          <cell r="C235" t="str">
            <v>GLB</v>
          </cell>
          <cell r="D235">
            <v>1000</v>
          </cell>
          <cell r="E235" t="e">
            <v>#REF!</v>
          </cell>
        </row>
        <row r="236">
          <cell r="B236" t="str">
            <v>FORMALETA EN MADERA PULIDA</v>
          </cell>
          <cell r="C236" t="str">
            <v>ML</v>
          </cell>
          <cell r="D236">
            <v>1500</v>
          </cell>
          <cell r="E236" t="e">
            <v>#REF!</v>
          </cell>
        </row>
        <row r="237">
          <cell r="B237" t="str">
            <v>FORMALETA METALICA 1×0.25</v>
          </cell>
          <cell r="C237" t="str">
            <v>DIA</v>
          </cell>
          <cell r="D237">
            <v>40</v>
          </cell>
          <cell r="E237" t="e">
            <v>#REF!</v>
          </cell>
        </row>
        <row r="238">
          <cell r="B238" t="str">
            <v>TABLERO DE MADERA</v>
          </cell>
          <cell r="C238" t="str">
            <v>d/M</v>
          </cell>
          <cell r="D238">
            <v>70</v>
          </cell>
          <cell r="E238" t="e">
            <v>#REF!</v>
          </cell>
        </row>
        <row r="239">
          <cell r="B239" t="str">
            <v>PARAL METALICO (TELESCOPICO)</v>
          </cell>
          <cell r="C239" t="str">
            <v>d/M</v>
          </cell>
          <cell r="D239">
            <v>90</v>
          </cell>
          <cell r="E239" t="e">
            <v>#REF!</v>
          </cell>
          <cell r="F239" t="str">
            <v>3metros</v>
          </cell>
        </row>
        <row r="240">
          <cell r="B240" t="str">
            <v>CERCHA METALICA DE 3M</v>
          </cell>
          <cell r="C240" t="str">
            <v>d/M</v>
          </cell>
          <cell r="D240">
            <v>70</v>
          </cell>
          <cell r="E240" t="e">
            <v>#REF!</v>
          </cell>
        </row>
        <row r="241">
          <cell r="B241" t="str">
            <v>FORMALETA METALICA 1×0.5 M-Und</v>
          </cell>
          <cell r="C241" t="str">
            <v>DIA</v>
          </cell>
          <cell r="D241">
            <v>60</v>
          </cell>
          <cell r="E241" t="e">
            <v>#REF!</v>
          </cell>
        </row>
        <row r="242">
          <cell r="B242" t="str">
            <v>XXX</v>
          </cell>
          <cell r="E242" t="e">
            <v>#REF!</v>
          </cell>
        </row>
        <row r="243">
          <cell r="B243" t="str">
            <v>XXX</v>
          </cell>
          <cell r="E243" t="e">
            <v>#REF!</v>
          </cell>
        </row>
        <row r="244">
          <cell r="B244" t="str">
            <v>XXX</v>
          </cell>
          <cell r="E244" t="e">
            <v>#REF!</v>
          </cell>
        </row>
        <row r="245">
          <cell r="B245" t="str">
            <v>XXX</v>
          </cell>
          <cell r="E245" t="e">
            <v>#REF!</v>
          </cell>
        </row>
        <row r="246">
          <cell r="B246" t="str">
            <v>XXX</v>
          </cell>
          <cell r="E246" t="e">
            <v>#REF!</v>
          </cell>
        </row>
        <row r="247">
          <cell r="B247" t="str">
            <v>XXX</v>
          </cell>
          <cell r="E247" t="e">
            <v>#REF!</v>
          </cell>
        </row>
        <row r="248">
          <cell r="B248" t="str">
            <v>XXX</v>
          </cell>
          <cell r="E248" t="e">
            <v>#REF!</v>
          </cell>
        </row>
        <row r="249">
          <cell r="B249" t="str">
            <v>XXX</v>
          </cell>
          <cell r="E249" t="e">
            <v>#REF!</v>
          </cell>
        </row>
        <row r="250">
          <cell r="D250" t="str">
            <v xml:space="preserve">  </v>
          </cell>
        </row>
        <row r="251">
          <cell r="D251" t="str">
            <v xml:space="preserve">  </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veyor Worksheet (MAP)"/>
      <sheetName val="Conveyor Worksheet (STX)"/>
      <sheetName val="Gundlach Crusher Worksheet"/>
      <sheetName val="McLahanan FB Worksheet"/>
      <sheetName val="Sterns Magnet Worksheet"/>
      <sheetName val="Ramsey Belt Scale"/>
      <sheetName val="Actual Data (MAP)"/>
      <sheetName val="Actual Data (STX)"/>
      <sheetName val="Aruba Maintenance Budget"/>
      <sheetName val="CDC-001"/>
      <sheetName val="SFC-002"/>
      <sheetName val="SSC-003"/>
      <sheetName val="RC-004"/>
      <sheetName val="STC-005"/>
      <sheetName val="SLC-006"/>
      <sheetName val="SLC-007"/>
      <sheetName val="SLC-008"/>
      <sheetName val="SLC-009"/>
      <sheetName val="Existing 1"/>
      <sheetName val="Existing 2"/>
      <sheetName val="FLUJOS"/>
    </sheetNames>
    <sheetDataSet>
      <sheetData sheetId="0" refreshError="1"/>
      <sheetData sheetId="1" refreshError="1"/>
      <sheetData sheetId="2" refreshError="1"/>
      <sheetData sheetId="3" refreshError="1"/>
      <sheetData sheetId="4" refreshError="1"/>
      <sheetData sheetId="5" refreshError="1"/>
      <sheetData sheetId="6">
        <row r="1">
          <cell r="B1" t="str">
            <v>Motor 480Volt</v>
          </cell>
          <cell r="E1" t="str">
            <v>Fluid Coupling</v>
          </cell>
        </row>
        <row r="2">
          <cell r="B2">
            <v>25</v>
          </cell>
          <cell r="C2">
            <v>937</v>
          </cell>
          <cell r="E2">
            <v>25</v>
          </cell>
          <cell r="F2">
            <v>0</v>
          </cell>
        </row>
        <row r="3">
          <cell r="B3">
            <v>30</v>
          </cell>
          <cell r="C3">
            <v>1113</v>
          </cell>
          <cell r="E3">
            <v>30</v>
          </cell>
          <cell r="F3">
            <v>0</v>
          </cell>
        </row>
        <row r="4">
          <cell r="B4">
            <v>40</v>
          </cell>
          <cell r="C4">
            <v>1296</v>
          </cell>
          <cell r="E4">
            <v>40</v>
          </cell>
          <cell r="F4">
            <v>0</v>
          </cell>
        </row>
        <row r="5">
          <cell r="B5">
            <v>75</v>
          </cell>
          <cell r="C5">
            <v>2952</v>
          </cell>
          <cell r="E5">
            <v>75</v>
          </cell>
          <cell r="F5">
            <v>3522</v>
          </cell>
        </row>
        <row r="6">
          <cell r="B6">
            <v>125</v>
          </cell>
          <cell r="C6">
            <v>4209</v>
          </cell>
          <cell r="E6">
            <v>125</v>
          </cell>
          <cell r="F6">
            <v>3522</v>
          </cell>
        </row>
        <row r="7">
          <cell r="B7">
            <v>150</v>
          </cell>
          <cell r="C7">
            <v>5789</v>
          </cell>
          <cell r="E7">
            <v>150</v>
          </cell>
          <cell r="F7">
            <v>3962</v>
          </cell>
        </row>
        <row r="8">
          <cell r="B8">
            <v>200</v>
          </cell>
          <cell r="C8">
            <v>6939</v>
          </cell>
          <cell r="E8">
            <v>200</v>
          </cell>
          <cell r="F8">
            <v>3962</v>
          </cell>
        </row>
        <row r="11">
          <cell r="B11" t="str">
            <v>Reducer</v>
          </cell>
        </row>
        <row r="12">
          <cell r="B12">
            <v>25</v>
          </cell>
          <cell r="C12">
            <v>9226</v>
          </cell>
        </row>
        <row r="13">
          <cell r="B13">
            <v>30</v>
          </cell>
          <cell r="C13">
            <v>9226</v>
          </cell>
        </row>
        <row r="14">
          <cell r="B14">
            <v>40</v>
          </cell>
          <cell r="C14">
            <v>20206</v>
          </cell>
        </row>
        <row r="15">
          <cell r="B15">
            <v>75</v>
          </cell>
          <cell r="C15">
            <v>20232</v>
          </cell>
        </row>
        <row r="16">
          <cell r="B16">
            <v>125</v>
          </cell>
          <cell r="C16">
            <v>20232</v>
          </cell>
        </row>
        <row r="17">
          <cell r="B17">
            <v>150</v>
          </cell>
          <cell r="C17">
            <v>20232</v>
          </cell>
        </row>
        <row r="18">
          <cell r="B18">
            <v>200</v>
          </cell>
          <cell r="C18">
            <v>31656</v>
          </cell>
        </row>
        <row r="31">
          <cell r="B31" t="str">
            <v>Pull Cords</v>
          </cell>
          <cell r="H31" t="str">
            <v>Troughing</v>
          </cell>
          <cell r="L31" t="str">
            <v>Return</v>
          </cell>
        </row>
        <row r="32">
          <cell r="B32">
            <v>100</v>
          </cell>
          <cell r="C32">
            <v>752</v>
          </cell>
          <cell r="H32">
            <v>100</v>
          </cell>
          <cell r="I32">
            <v>1406.25</v>
          </cell>
          <cell r="L32">
            <v>100</v>
          </cell>
          <cell r="M32">
            <v>225</v>
          </cell>
        </row>
        <row r="33">
          <cell r="B33">
            <v>200</v>
          </cell>
          <cell r="C33">
            <v>1128</v>
          </cell>
          <cell r="H33">
            <v>200</v>
          </cell>
          <cell r="I33">
            <v>2812.5</v>
          </cell>
          <cell r="L33">
            <v>200</v>
          </cell>
          <cell r="M33">
            <v>450</v>
          </cell>
        </row>
        <row r="34">
          <cell r="B34">
            <v>300</v>
          </cell>
          <cell r="C34">
            <v>1504</v>
          </cell>
          <cell r="H34">
            <v>300</v>
          </cell>
          <cell r="I34">
            <v>4218.75</v>
          </cell>
          <cell r="L34">
            <v>300</v>
          </cell>
          <cell r="M34">
            <v>675</v>
          </cell>
        </row>
        <row r="35">
          <cell r="B35">
            <v>400</v>
          </cell>
          <cell r="C35">
            <v>1880</v>
          </cell>
          <cell r="H35">
            <v>400</v>
          </cell>
          <cell r="I35">
            <v>5625</v>
          </cell>
          <cell r="L35">
            <v>400</v>
          </cell>
          <cell r="M35">
            <v>900</v>
          </cell>
        </row>
        <row r="36">
          <cell r="B36">
            <v>500</v>
          </cell>
          <cell r="C36">
            <v>2256</v>
          </cell>
          <cell r="H36">
            <v>500</v>
          </cell>
          <cell r="I36">
            <v>7031.25</v>
          </cell>
          <cell r="L36">
            <v>500</v>
          </cell>
          <cell r="M36">
            <v>1125</v>
          </cell>
        </row>
        <row r="37">
          <cell r="B37">
            <v>600</v>
          </cell>
          <cell r="C37">
            <v>2632</v>
          </cell>
          <cell r="H37">
            <v>600</v>
          </cell>
          <cell r="I37">
            <v>8437.5</v>
          </cell>
          <cell r="L37">
            <v>600</v>
          </cell>
          <cell r="M37">
            <v>1350</v>
          </cell>
        </row>
        <row r="38">
          <cell r="B38">
            <v>700</v>
          </cell>
          <cell r="C38">
            <v>3008</v>
          </cell>
          <cell r="H38">
            <v>700</v>
          </cell>
          <cell r="I38">
            <v>9843.75</v>
          </cell>
          <cell r="L38">
            <v>700</v>
          </cell>
          <cell r="M38">
            <v>1575</v>
          </cell>
        </row>
        <row r="39">
          <cell r="B39">
            <v>800</v>
          </cell>
          <cell r="C39">
            <v>3384</v>
          </cell>
          <cell r="H39">
            <v>800</v>
          </cell>
          <cell r="I39">
            <v>11250</v>
          </cell>
          <cell r="L39">
            <v>800</v>
          </cell>
          <cell r="M39">
            <v>1800</v>
          </cell>
        </row>
        <row r="40">
          <cell r="B40">
            <v>900</v>
          </cell>
          <cell r="C40">
            <v>3760</v>
          </cell>
          <cell r="H40">
            <v>900</v>
          </cell>
          <cell r="I40">
            <v>12656.25</v>
          </cell>
          <cell r="L40">
            <v>900</v>
          </cell>
          <cell r="M40">
            <v>2025</v>
          </cell>
        </row>
        <row r="41">
          <cell r="B41">
            <v>1000</v>
          </cell>
          <cell r="C41">
            <v>4136</v>
          </cell>
          <cell r="H41">
            <v>1000</v>
          </cell>
          <cell r="I41">
            <v>14062.5</v>
          </cell>
          <cell r="L41">
            <v>1000</v>
          </cell>
          <cell r="M41">
            <v>2250</v>
          </cell>
        </row>
        <row r="42">
          <cell r="B42">
            <v>1100</v>
          </cell>
          <cell r="C42">
            <v>4512</v>
          </cell>
          <cell r="H42">
            <v>1100</v>
          </cell>
          <cell r="I42">
            <v>15468.75</v>
          </cell>
          <cell r="L42">
            <v>1100</v>
          </cell>
          <cell r="M42">
            <v>2475</v>
          </cell>
        </row>
        <row r="43">
          <cell r="B43">
            <v>1200</v>
          </cell>
          <cell r="C43">
            <v>4888</v>
          </cell>
          <cell r="H43">
            <v>1200</v>
          </cell>
          <cell r="I43">
            <v>16875</v>
          </cell>
          <cell r="L43">
            <v>1200</v>
          </cell>
          <cell r="M43">
            <v>2700</v>
          </cell>
        </row>
        <row r="44">
          <cell r="B44">
            <v>1300</v>
          </cell>
          <cell r="C44">
            <v>5264</v>
          </cell>
          <cell r="H44">
            <v>1300</v>
          </cell>
          <cell r="I44">
            <v>18281.25</v>
          </cell>
          <cell r="L44">
            <v>1300</v>
          </cell>
          <cell r="M44">
            <v>2925</v>
          </cell>
        </row>
        <row r="45">
          <cell r="B45">
            <v>1400</v>
          </cell>
          <cell r="C45">
            <v>5640</v>
          </cell>
          <cell r="H45">
            <v>1400</v>
          </cell>
          <cell r="I45">
            <v>19687.5</v>
          </cell>
          <cell r="L45">
            <v>1400</v>
          </cell>
          <cell r="M45">
            <v>3150</v>
          </cell>
        </row>
        <row r="46">
          <cell r="B46">
            <v>1500</v>
          </cell>
          <cell r="C46">
            <v>6016</v>
          </cell>
          <cell r="H46">
            <v>1500</v>
          </cell>
          <cell r="I46">
            <v>21093.75</v>
          </cell>
          <cell r="L46">
            <v>1500</v>
          </cell>
          <cell r="M46">
            <v>3375</v>
          </cell>
        </row>
        <row r="47">
          <cell r="B47">
            <v>1600</v>
          </cell>
          <cell r="C47">
            <v>6392</v>
          </cell>
          <cell r="H47">
            <v>1600</v>
          </cell>
          <cell r="I47">
            <v>22500</v>
          </cell>
          <cell r="L47">
            <v>1600</v>
          </cell>
          <cell r="M47">
            <v>3600</v>
          </cell>
        </row>
        <row r="48">
          <cell r="B48">
            <v>1700</v>
          </cell>
          <cell r="C48">
            <v>6768</v>
          </cell>
          <cell r="H48">
            <v>1700</v>
          </cell>
          <cell r="I48">
            <v>23906.25</v>
          </cell>
          <cell r="L48">
            <v>1700</v>
          </cell>
          <cell r="M48">
            <v>3825</v>
          </cell>
        </row>
        <row r="49">
          <cell r="B49">
            <v>1800</v>
          </cell>
          <cell r="C49">
            <v>7144</v>
          </cell>
          <cell r="H49">
            <v>1800</v>
          </cell>
          <cell r="I49">
            <v>25312.5</v>
          </cell>
          <cell r="L49">
            <v>1800</v>
          </cell>
          <cell r="M49">
            <v>4050</v>
          </cell>
        </row>
        <row r="50">
          <cell r="B50">
            <v>1900</v>
          </cell>
          <cell r="C50">
            <v>7520</v>
          </cell>
          <cell r="H50">
            <v>1900</v>
          </cell>
          <cell r="I50">
            <v>26718.75</v>
          </cell>
          <cell r="L50">
            <v>1900</v>
          </cell>
          <cell r="M50">
            <v>4275</v>
          </cell>
        </row>
        <row r="51">
          <cell r="B51">
            <v>2000</v>
          </cell>
          <cell r="C51">
            <v>7896</v>
          </cell>
          <cell r="H51">
            <v>2000</v>
          </cell>
          <cell r="I51">
            <v>28125</v>
          </cell>
          <cell r="L51">
            <v>2000</v>
          </cell>
          <cell r="M51">
            <v>4500</v>
          </cell>
        </row>
        <row r="52">
          <cell r="B52">
            <v>2100</v>
          </cell>
          <cell r="C52">
            <v>8272</v>
          </cell>
          <cell r="H52">
            <v>2100</v>
          </cell>
          <cell r="I52">
            <v>29531.25</v>
          </cell>
          <cell r="L52">
            <v>2100</v>
          </cell>
          <cell r="M52">
            <v>4725</v>
          </cell>
        </row>
        <row r="53">
          <cell r="B53">
            <v>2200</v>
          </cell>
          <cell r="C53">
            <v>8648</v>
          </cell>
          <cell r="H53">
            <v>2200</v>
          </cell>
          <cell r="I53">
            <v>30937.5</v>
          </cell>
          <cell r="L53">
            <v>2200</v>
          </cell>
          <cell r="M53">
            <v>4950</v>
          </cell>
        </row>
        <row r="54">
          <cell r="B54">
            <v>2300</v>
          </cell>
          <cell r="C54">
            <v>9024</v>
          </cell>
          <cell r="H54">
            <v>2300</v>
          </cell>
          <cell r="I54">
            <v>32343.75</v>
          </cell>
          <cell r="L54">
            <v>2300</v>
          </cell>
          <cell r="M54">
            <v>5175</v>
          </cell>
        </row>
        <row r="55">
          <cell r="B55">
            <v>2400</v>
          </cell>
          <cell r="C55">
            <v>9400</v>
          </cell>
          <cell r="H55">
            <v>2400</v>
          </cell>
          <cell r="I55">
            <v>33750</v>
          </cell>
          <cell r="L55">
            <v>2400</v>
          </cell>
          <cell r="M55">
            <v>5400</v>
          </cell>
        </row>
        <row r="56">
          <cell r="B56">
            <v>2500</v>
          </cell>
          <cell r="C56">
            <v>9776</v>
          </cell>
          <cell r="H56">
            <v>2500</v>
          </cell>
          <cell r="I56">
            <v>35156.25</v>
          </cell>
          <cell r="L56">
            <v>2500</v>
          </cell>
          <cell r="M56">
            <v>5625</v>
          </cell>
        </row>
        <row r="57">
          <cell r="B57">
            <v>2600</v>
          </cell>
          <cell r="C57">
            <v>10152</v>
          </cell>
          <cell r="H57">
            <v>2600</v>
          </cell>
          <cell r="I57">
            <v>36562.5</v>
          </cell>
          <cell r="L57">
            <v>2600</v>
          </cell>
          <cell r="M57">
            <v>5850</v>
          </cell>
        </row>
        <row r="58">
          <cell r="B58">
            <v>2700</v>
          </cell>
          <cell r="C58">
            <v>10528</v>
          </cell>
          <cell r="H58">
            <v>2700</v>
          </cell>
          <cell r="I58">
            <v>37968.75</v>
          </cell>
          <cell r="L58">
            <v>2700</v>
          </cell>
          <cell r="M58">
            <v>6075</v>
          </cell>
        </row>
        <row r="59">
          <cell r="B59">
            <v>2800</v>
          </cell>
          <cell r="C59">
            <v>10904</v>
          </cell>
          <cell r="H59">
            <v>2800</v>
          </cell>
          <cell r="I59">
            <v>39375</v>
          </cell>
          <cell r="L59">
            <v>2800</v>
          </cell>
          <cell r="M59">
            <v>6300</v>
          </cell>
        </row>
        <row r="60">
          <cell r="B60">
            <v>2900</v>
          </cell>
          <cell r="C60">
            <v>11280</v>
          </cell>
          <cell r="H60">
            <v>2900</v>
          </cell>
          <cell r="I60">
            <v>40781.25</v>
          </cell>
          <cell r="L60">
            <v>2900</v>
          </cell>
          <cell r="M60">
            <v>6525</v>
          </cell>
        </row>
        <row r="61">
          <cell r="B61">
            <v>3000</v>
          </cell>
          <cell r="C61">
            <v>11656</v>
          </cell>
          <cell r="H61">
            <v>3000</v>
          </cell>
          <cell r="I61">
            <v>42187.5</v>
          </cell>
          <cell r="L61">
            <v>3000</v>
          </cell>
          <cell r="M61">
            <v>6750</v>
          </cell>
        </row>
        <row r="62">
          <cell r="B62">
            <v>3100</v>
          </cell>
          <cell r="C62">
            <v>12032</v>
          </cell>
          <cell r="H62">
            <v>3100</v>
          </cell>
          <cell r="I62">
            <v>43593.75</v>
          </cell>
          <cell r="L62">
            <v>3100</v>
          </cell>
          <cell r="M62">
            <v>6975</v>
          </cell>
        </row>
        <row r="63">
          <cell r="B63">
            <v>3200</v>
          </cell>
          <cell r="C63">
            <v>12408</v>
          </cell>
          <cell r="H63">
            <v>3200</v>
          </cell>
          <cell r="I63">
            <v>45000</v>
          </cell>
          <cell r="L63">
            <v>3200</v>
          </cell>
          <cell r="M63">
            <v>7200</v>
          </cell>
        </row>
        <row r="64">
          <cell r="B64">
            <v>3300</v>
          </cell>
          <cell r="C64">
            <v>12784</v>
          </cell>
          <cell r="H64">
            <v>3300</v>
          </cell>
          <cell r="I64">
            <v>46406.25</v>
          </cell>
          <cell r="L64">
            <v>3300</v>
          </cell>
          <cell r="M64">
            <v>7425</v>
          </cell>
        </row>
        <row r="65">
          <cell r="B65">
            <v>3400</v>
          </cell>
          <cell r="C65">
            <v>13160</v>
          </cell>
          <cell r="H65">
            <v>3400</v>
          </cell>
          <cell r="I65">
            <v>47812.5</v>
          </cell>
          <cell r="L65">
            <v>3400</v>
          </cell>
          <cell r="M65">
            <v>7650</v>
          </cell>
        </row>
        <row r="66">
          <cell r="B66">
            <v>3500</v>
          </cell>
          <cell r="C66">
            <v>13536</v>
          </cell>
          <cell r="H66">
            <v>3500</v>
          </cell>
          <cell r="I66">
            <v>49218.75</v>
          </cell>
          <cell r="L66">
            <v>3500</v>
          </cell>
          <cell r="M66">
            <v>7875</v>
          </cell>
        </row>
        <row r="67">
          <cell r="B67">
            <v>3600</v>
          </cell>
          <cell r="C67">
            <v>13912</v>
          </cell>
          <cell r="H67">
            <v>3600</v>
          </cell>
          <cell r="I67">
            <v>50625</v>
          </cell>
          <cell r="L67">
            <v>3600</v>
          </cell>
          <cell r="M67">
            <v>8100</v>
          </cell>
        </row>
        <row r="68">
          <cell r="B68">
            <v>3700</v>
          </cell>
          <cell r="C68">
            <v>14288</v>
          </cell>
          <cell r="H68">
            <v>3700</v>
          </cell>
          <cell r="I68">
            <v>52031.25</v>
          </cell>
          <cell r="L68">
            <v>3700</v>
          </cell>
          <cell r="M68">
            <v>8325</v>
          </cell>
        </row>
        <row r="69">
          <cell r="B69">
            <v>3800</v>
          </cell>
          <cell r="C69">
            <v>14664</v>
          </cell>
          <cell r="H69">
            <v>3800</v>
          </cell>
          <cell r="I69">
            <v>53437.5</v>
          </cell>
          <cell r="L69">
            <v>3800</v>
          </cell>
          <cell r="M69">
            <v>8550</v>
          </cell>
        </row>
        <row r="70">
          <cell r="B70">
            <v>3900</v>
          </cell>
          <cell r="C70">
            <v>15040</v>
          </cell>
          <cell r="H70">
            <v>3900</v>
          </cell>
          <cell r="I70">
            <v>54843.75</v>
          </cell>
          <cell r="L70">
            <v>3900</v>
          </cell>
          <cell r="M70">
            <v>8775</v>
          </cell>
        </row>
        <row r="71">
          <cell r="B71">
            <v>4000</v>
          </cell>
          <cell r="C71">
            <v>15416</v>
          </cell>
          <cell r="H71">
            <v>4000</v>
          </cell>
          <cell r="I71">
            <v>56250</v>
          </cell>
          <cell r="L71">
            <v>4000</v>
          </cell>
          <cell r="M71">
            <v>9000</v>
          </cell>
        </row>
        <row r="72">
          <cell r="B72">
            <v>4100</v>
          </cell>
          <cell r="C72">
            <v>15792</v>
          </cell>
          <cell r="H72">
            <v>4100</v>
          </cell>
          <cell r="I72">
            <v>57656.25</v>
          </cell>
          <cell r="L72">
            <v>4100</v>
          </cell>
          <cell r="M72">
            <v>9225</v>
          </cell>
        </row>
        <row r="73">
          <cell r="B73">
            <v>4200</v>
          </cell>
          <cell r="C73">
            <v>16168</v>
          </cell>
          <cell r="H73">
            <v>4200</v>
          </cell>
          <cell r="I73">
            <v>59062.5</v>
          </cell>
          <cell r="L73">
            <v>4200</v>
          </cell>
          <cell r="M73">
            <v>9450</v>
          </cell>
        </row>
        <row r="74">
          <cell r="B74">
            <v>4300</v>
          </cell>
          <cell r="C74">
            <v>16544</v>
          </cell>
          <cell r="H74">
            <v>4300</v>
          </cell>
          <cell r="I74">
            <v>60468.75</v>
          </cell>
          <cell r="L74">
            <v>4300</v>
          </cell>
          <cell r="M74">
            <v>9675</v>
          </cell>
        </row>
        <row r="75">
          <cell r="B75">
            <v>4400</v>
          </cell>
          <cell r="C75">
            <v>16920</v>
          </cell>
          <cell r="H75">
            <v>4400</v>
          </cell>
          <cell r="I75">
            <v>61875</v>
          </cell>
          <cell r="L75">
            <v>4400</v>
          </cell>
          <cell r="M75">
            <v>9900</v>
          </cell>
        </row>
        <row r="76">
          <cell r="B76">
            <v>4500</v>
          </cell>
          <cell r="C76">
            <v>17296</v>
          </cell>
          <cell r="H76">
            <v>4500</v>
          </cell>
          <cell r="I76">
            <v>63281.25</v>
          </cell>
          <cell r="L76">
            <v>4500</v>
          </cell>
          <cell r="M76">
            <v>10125</v>
          </cell>
        </row>
        <row r="77">
          <cell r="B77">
            <v>4600</v>
          </cell>
          <cell r="C77">
            <v>17672</v>
          </cell>
          <cell r="H77">
            <v>4600</v>
          </cell>
          <cell r="I77">
            <v>64687.5</v>
          </cell>
          <cell r="L77">
            <v>4600</v>
          </cell>
          <cell r="M77">
            <v>10350</v>
          </cell>
        </row>
        <row r="78">
          <cell r="B78">
            <v>4700</v>
          </cell>
          <cell r="C78">
            <v>18048</v>
          </cell>
          <cell r="H78">
            <v>4700</v>
          </cell>
          <cell r="I78">
            <v>66093.75</v>
          </cell>
          <cell r="L78">
            <v>4700</v>
          </cell>
          <cell r="M78">
            <v>10575</v>
          </cell>
        </row>
        <row r="79">
          <cell r="B79">
            <v>4800</v>
          </cell>
          <cell r="C79">
            <v>18424</v>
          </cell>
          <cell r="H79">
            <v>4800</v>
          </cell>
          <cell r="I79">
            <v>67500</v>
          </cell>
          <cell r="L79">
            <v>4800</v>
          </cell>
          <cell r="M79">
            <v>10800</v>
          </cell>
        </row>
        <row r="80">
          <cell r="B80">
            <v>4900</v>
          </cell>
          <cell r="C80">
            <v>18800</v>
          </cell>
          <cell r="H80">
            <v>4900</v>
          </cell>
          <cell r="I80">
            <v>68906.25</v>
          </cell>
          <cell r="L80">
            <v>4900</v>
          </cell>
          <cell r="M80">
            <v>11025</v>
          </cell>
        </row>
        <row r="81">
          <cell r="B81">
            <v>5000</v>
          </cell>
          <cell r="C81">
            <v>19176</v>
          </cell>
          <cell r="H81">
            <v>5000</v>
          </cell>
          <cell r="I81">
            <v>70312.5</v>
          </cell>
          <cell r="L81">
            <v>5000</v>
          </cell>
          <cell r="M81">
            <v>11250</v>
          </cell>
        </row>
        <row r="82">
          <cell r="B82">
            <v>5100</v>
          </cell>
          <cell r="C82">
            <v>19552</v>
          </cell>
          <cell r="H82">
            <v>5100</v>
          </cell>
          <cell r="I82">
            <v>71718.75</v>
          </cell>
          <cell r="L82">
            <v>5100</v>
          </cell>
          <cell r="M82">
            <v>11475</v>
          </cell>
        </row>
        <row r="83">
          <cell r="B83">
            <v>5200</v>
          </cell>
          <cell r="C83">
            <v>19928</v>
          </cell>
          <cell r="H83">
            <v>5200</v>
          </cell>
          <cell r="I83">
            <v>73125</v>
          </cell>
          <cell r="L83">
            <v>5200</v>
          </cell>
          <cell r="M83">
            <v>11700</v>
          </cell>
        </row>
        <row r="84">
          <cell r="B84">
            <v>5300</v>
          </cell>
          <cell r="C84">
            <v>20304</v>
          </cell>
          <cell r="H84">
            <v>5300</v>
          </cell>
          <cell r="I84">
            <v>74531.25</v>
          </cell>
          <cell r="L84">
            <v>5300</v>
          </cell>
          <cell r="M84">
            <v>11925</v>
          </cell>
        </row>
        <row r="85">
          <cell r="B85">
            <v>5400</v>
          </cell>
          <cell r="C85">
            <v>20680</v>
          </cell>
          <cell r="H85">
            <v>5400</v>
          </cell>
          <cell r="I85">
            <v>75937.5</v>
          </cell>
          <cell r="L85">
            <v>5400</v>
          </cell>
          <cell r="M85">
            <v>12150</v>
          </cell>
        </row>
        <row r="86">
          <cell r="B86">
            <v>5500</v>
          </cell>
          <cell r="C86">
            <v>21056</v>
          </cell>
          <cell r="H86">
            <v>5500</v>
          </cell>
          <cell r="I86">
            <v>77343.75</v>
          </cell>
          <cell r="L86">
            <v>5500</v>
          </cell>
          <cell r="M86">
            <v>12375</v>
          </cell>
        </row>
        <row r="87">
          <cell r="B87">
            <v>5600</v>
          </cell>
          <cell r="C87">
            <v>21432</v>
          </cell>
          <cell r="H87">
            <v>5600</v>
          </cell>
          <cell r="I87">
            <v>78750</v>
          </cell>
          <cell r="L87">
            <v>5600</v>
          </cell>
          <cell r="M87">
            <v>12600</v>
          </cell>
        </row>
        <row r="88">
          <cell r="B88">
            <v>5700</v>
          </cell>
          <cell r="C88">
            <v>21808</v>
          </cell>
          <cell r="H88">
            <v>5700</v>
          </cell>
          <cell r="I88">
            <v>80156.25</v>
          </cell>
          <cell r="L88">
            <v>5700</v>
          </cell>
          <cell r="M88">
            <v>12825</v>
          </cell>
        </row>
        <row r="89">
          <cell r="B89">
            <v>5800</v>
          </cell>
          <cell r="C89">
            <v>22184</v>
          </cell>
          <cell r="H89">
            <v>5800</v>
          </cell>
          <cell r="I89">
            <v>81562.5</v>
          </cell>
          <cell r="L89">
            <v>5800</v>
          </cell>
          <cell r="M89">
            <v>13050</v>
          </cell>
        </row>
        <row r="90">
          <cell r="B90">
            <v>5900</v>
          </cell>
          <cell r="C90">
            <v>22560</v>
          </cell>
          <cell r="H90">
            <v>5900</v>
          </cell>
          <cell r="I90">
            <v>82968.75</v>
          </cell>
          <cell r="L90">
            <v>5900</v>
          </cell>
          <cell r="M90">
            <v>13275</v>
          </cell>
        </row>
        <row r="91">
          <cell r="B91">
            <v>6000</v>
          </cell>
          <cell r="C91">
            <v>22936</v>
          </cell>
          <cell r="H91">
            <v>6000</v>
          </cell>
          <cell r="I91">
            <v>84375</v>
          </cell>
          <cell r="L91">
            <v>6000</v>
          </cell>
          <cell r="M91">
            <v>13500</v>
          </cell>
        </row>
        <row r="92">
          <cell r="B92">
            <v>6100</v>
          </cell>
          <cell r="C92">
            <v>23312</v>
          </cell>
          <cell r="H92">
            <v>6100</v>
          </cell>
          <cell r="I92">
            <v>85781.25</v>
          </cell>
          <cell r="L92">
            <v>6100</v>
          </cell>
          <cell r="M92">
            <v>13725</v>
          </cell>
        </row>
        <row r="93">
          <cell r="B93">
            <v>6200</v>
          </cell>
          <cell r="C93">
            <v>23688</v>
          </cell>
          <cell r="H93">
            <v>6200</v>
          </cell>
          <cell r="I93">
            <v>87187.5</v>
          </cell>
          <cell r="L93">
            <v>6200</v>
          </cell>
          <cell r="M93">
            <v>13950</v>
          </cell>
        </row>
        <row r="94">
          <cell r="B94">
            <v>6300</v>
          </cell>
          <cell r="C94">
            <v>24064</v>
          </cell>
          <cell r="H94">
            <v>6300</v>
          </cell>
          <cell r="I94">
            <v>88593.75</v>
          </cell>
          <cell r="L94">
            <v>6300</v>
          </cell>
          <cell r="M94">
            <v>14175</v>
          </cell>
        </row>
        <row r="95">
          <cell r="B95">
            <v>6400</v>
          </cell>
          <cell r="C95">
            <v>24440</v>
          </cell>
          <cell r="H95">
            <v>6400</v>
          </cell>
          <cell r="I95">
            <v>90000</v>
          </cell>
          <cell r="L95">
            <v>6400</v>
          </cell>
          <cell r="M95">
            <v>14400</v>
          </cell>
        </row>
        <row r="96">
          <cell r="B96">
            <v>6500</v>
          </cell>
          <cell r="C96">
            <v>24816</v>
          </cell>
          <cell r="H96">
            <v>6500</v>
          </cell>
          <cell r="I96">
            <v>91406.25</v>
          </cell>
          <cell r="L96">
            <v>6500</v>
          </cell>
          <cell r="M96">
            <v>14625</v>
          </cell>
        </row>
        <row r="97">
          <cell r="B97">
            <v>6600</v>
          </cell>
          <cell r="C97">
            <v>25192</v>
          </cell>
          <cell r="H97">
            <v>6600</v>
          </cell>
          <cell r="I97">
            <v>92812.5</v>
          </cell>
          <cell r="L97">
            <v>6600</v>
          </cell>
          <cell r="M97">
            <v>14850</v>
          </cell>
        </row>
        <row r="98">
          <cell r="B98">
            <v>6700</v>
          </cell>
          <cell r="C98">
            <v>25568</v>
          </cell>
          <cell r="H98">
            <v>6700</v>
          </cell>
          <cell r="I98">
            <v>94218.75</v>
          </cell>
          <cell r="L98">
            <v>6700</v>
          </cell>
          <cell r="M98">
            <v>15075</v>
          </cell>
        </row>
        <row r="99">
          <cell r="B99">
            <v>6800</v>
          </cell>
          <cell r="C99">
            <v>25944</v>
          </cell>
          <cell r="H99">
            <v>6800</v>
          </cell>
          <cell r="I99">
            <v>95625</v>
          </cell>
          <cell r="L99">
            <v>6800</v>
          </cell>
          <cell r="M99">
            <v>15300</v>
          </cell>
        </row>
        <row r="100">
          <cell r="B100">
            <v>6900</v>
          </cell>
          <cell r="C100">
            <v>26320</v>
          </cell>
          <cell r="H100">
            <v>6900</v>
          </cell>
          <cell r="I100">
            <v>97031.25</v>
          </cell>
          <cell r="L100">
            <v>6900</v>
          </cell>
          <cell r="M100">
            <v>15525</v>
          </cell>
        </row>
        <row r="101">
          <cell r="B101">
            <v>7000</v>
          </cell>
          <cell r="C101">
            <v>26696</v>
          </cell>
          <cell r="H101">
            <v>7000</v>
          </cell>
          <cell r="I101">
            <v>98437.5</v>
          </cell>
          <cell r="L101">
            <v>7000</v>
          </cell>
          <cell r="M101">
            <v>15750</v>
          </cell>
        </row>
        <row r="102">
          <cell r="B102">
            <v>7100</v>
          </cell>
          <cell r="C102">
            <v>27072</v>
          </cell>
          <cell r="H102">
            <v>7100</v>
          </cell>
          <cell r="I102">
            <v>99843.75</v>
          </cell>
          <cell r="L102">
            <v>7100</v>
          </cell>
          <cell r="M102">
            <v>15975</v>
          </cell>
        </row>
        <row r="103">
          <cell r="B103">
            <v>7200</v>
          </cell>
          <cell r="C103">
            <v>27448</v>
          </cell>
          <cell r="H103">
            <v>7200</v>
          </cell>
          <cell r="I103">
            <v>101250</v>
          </cell>
          <cell r="L103">
            <v>7200</v>
          </cell>
          <cell r="M103">
            <v>16200</v>
          </cell>
        </row>
        <row r="104">
          <cell r="B104">
            <v>7300</v>
          </cell>
          <cell r="C104">
            <v>27824</v>
          </cell>
          <cell r="H104">
            <v>7300</v>
          </cell>
          <cell r="I104">
            <v>102656.25</v>
          </cell>
          <cell r="L104">
            <v>7300</v>
          </cell>
          <cell r="M104">
            <v>16425</v>
          </cell>
        </row>
        <row r="105">
          <cell r="B105">
            <v>7400</v>
          </cell>
          <cell r="C105">
            <v>28200</v>
          </cell>
          <cell r="H105">
            <v>7400</v>
          </cell>
          <cell r="I105">
            <v>104062.5</v>
          </cell>
          <cell r="L105">
            <v>7400</v>
          </cell>
          <cell r="M105">
            <v>16650</v>
          </cell>
        </row>
        <row r="106">
          <cell r="B106">
            <v>7500</v>
          </cell>
          <cell r="C106">
            <v>28576</v>
          </cell>
          <cell r="H106">
            <v>7500</v>
          </cell>
          <cell r="I106">
            <v>105468.75</v>
          </cell>
          <cell r="L106">
            <v>7500</v>
          </cell>
          <cell r="M106">
            <v>16875</v>
          </cell>
        </row>
        <row r="107">
          <cell r="B107">
            <v>7600</v>
          </cell>
          <cell r="C107">
            <v>28952</v>
          </cell>
          <cell r="H107">
            <v>7600</v>
          </cell>
          <cell r="I107">
            <v>106875</v>
          </cell>
          <cell r="L107">
            <v>7600</v>
          </cell>
          <cell r="M107">
            <v>17100</v>
          </cell>
        </row>
        <row r="108">
          <cell r="B108">
            <v>7700</v>
          </cell>
          <cell r="C108">
            <v>29328</v>
          </cell>
          <cell r="H108">
            <v>7700</v>
          </cell>
          <cell r="I108">
            <v>108281.25</v>
          </cell>
          <cell r="L108">
            <v>7700</v>
          </cell>
          <cell r="M108">
            <v>17325</v>
          </cell>
        </row>
        <row r="109">
          <cell r="B109">
            <v>7800</v>
          </cell>
          <cell r="C109">
            <v>29704</v>
          </cell>
          <cell r="H109">
            <v>7800</v>
          </cell>
          <cell r="I109">
            <v>109687.5</v>
          </cell>
          <cell r="L109">
            <v>7800</v>
          </cell>
          <cell r="M109">
            <v>17550</v>
          </cell>
        </row>
        <row r="110">
          <cell r="B110">
            <v>7900</v>
          </cell>
          <cell r="C110">
            <v>30080</v>
          </cell>
          <cell r="H110">
            <v>7900</v>
          </cell>
          <cell r="I110">
            <v>111093.75</v>
          </cell>
          <cell r="L110">
            <v>7900</v>
          </cell>
          <cell r="M110">
            <v>17775</v>
          </cell>
        </row>
        <row r="111">
          <cell r="B111">
            <v>8000</v>
          </cell>
          <cell r="C111">
            <v>30456</v>
          </cell>
          <cell r="H111">
            <v>8000</v>
          </cell>
          <cell r="I111">
            <v>112500</v>
          </cell>
          <cell r="L111">
            <v>8000</v>
          </cell>
          <cell r="M111">
            <v>18000</v>
          </cell>
        </row>
        <row r="112">
          <cell r="B112">
            <v>8100</v>
          </cell>
          <cell r="C112">
            <v>30832</v>
          </cell>
          <cell r="H112">
            <v>8100</v>
          </cell>
          <cell r="I112">
            <v>113906.25</v>
          </cell>
          <cell r="L112">
            <v>8100</v>
          </cell>
          <cell r="M112">
            <v>18225</v>
          </cell>
        </row>
        <row r="113">
          <cell r="B113">
            <v>8200</v>
          </cell>
          <cell r="C113">
            <v>31208</v>
          </cell>
          <cell r="H113">
            <v>8200</v>
          </cell>
          <cell r="I113">
            <v>115312.5</v>
          </cell>
          <cell r="L113">
            <v>8200</v>
          </cell>
          <cell r="M113">
            <v>18450</v>
          </cell>
        </row>
        <row r="114">
          <cell r="B114">
            <v>8300</v>
          </cell>
          <cell r="C114">
            <v>31584</v>
          </cell>
          <cell r="H114">
            <v>8300</v>
          </cell>
          <cell r="I114">
            <v>116718.75</v>
          </cell>
          <cell r="L114">
            <v>8300</v>
          </cell>
          <cell r="M114">
            <v>18675</v>
          </cell>
        </row>
        <row r="115">
          <cell r="B115">
            <v>8400</v>
          </cell>
          <cell r="C115">
            <v>31960</v>
          </cell>
          <cell r="H115">
            <v>8400</v>
          </cell>
          <cell r="I115">
            <v>118125</v>
          </cell>
          <cell r="L115">
            <v>8400</v>
          </cell>
          <cell r="M115">
            <v>18900</v>
          </cell>
        </row>
        <row r="116">
          <cell r="B116">
            <v>8500</v>
          </cell>
          <cell r="C116">
            <v>32336</v>
          </cell>
          <cell r="H116">
            <v>8500</v>
          </cell>
          <cell r="I116">
            <v>119531.25</v>
          </cell>
          <cell r="L116">
            <v>8500</v>
          </cell>
          <cell r="M116">
            <v>19125</v>
          </cell>
        </row>
        <row r="117">
          <cell r="B117">
            <v>8600</v>
          </cell>
          <cell r="C117">
            <v>32712</v>
          </cell>
          <cell r="H117">
            <v>8600</v>
          </cell>
          <cell r="I117">
            <v>120937.5</v>
          </cell>
          <cell r="L117">
            <v>8600</v>
          </cell>
          <cell r="M117">
            <v>19350</v>
          </cell>
        </row>
        <row r="118">
          <cell r="B118">
            <v>8700</v>
          </cell>
          <cell r="C118">
            <v>33088</v>
          </cell>
          <cell r="H118">
            <v>8700</v>
          </cell>
          <cell r="I118">
            <v>122343.75</v>
          </cell>
          <cell r="L118">
            <v>8700</v>
          </cell>
          <cell r="M118">
            <v>19575</v>
          </cell>
        </row>
        <row r="119">
          <cell r="B119">
            <v>8800</v>
          </cell>
          <cell r="C119">
            <v>33464</v>
          </cell>
          <cell r="H119">
            <v>8800</v>
          </cell>
          <cell r="I119">
            <v>123750</v>
          </cell>
          <cell r="L119">
            <v>8800</v>
          </cell>
          <cell r="M119">
            <v>19800</v>
          </cell>
        </row>
        <row r="120">
          <cell r="B120">
            <v>8900</v>
          </cell>
          <cell r="C120">
            <v>33840</v>
          </cell>
          <cell r="H120">
            <v>8900</v>
          </cell>
          <cell r="I120">
            <v>125156.25</v>
          </cell>
          <cell r="L120">
            <v>8900</v>
          </cell>
          <cell r="M120">
            <v>20025</v>
          </cell>
        </row>
        <row r="121">
          <cell r="B121">
            <v>9000</v>
          </cell>
          <cell r="C121">
            <v>34216</v>
          </cell>
          <cell r="H121">
            <v>9000</v>
          </cell>
          <cell r="I121">
            <v>126562.5</v>
          </cell>
          <cell r="L121">
            <v>9000</v>
          </cell>
          <cell r="M121">
            <v>20250</v>
          </cell>
        </row>
        <row r="122">
          <cell r="B122">
            <v>9100</v>
          </cell>
          <cell r="C122">
            <v>34592</v>
          </cell>
          <cell r="H122">
            <v>9100</v>
          </cell>
          <cell r="I122">
            <v>127968.75</v>
          </cell>
          <cell r="L122">
            <v>9100</v>
          </cell>
          <cell r="M122">
            <v>20475</v>
          </cell>
        </row>
        <row r="123">
          <cell r="B123">
            <v>9200</v>
          </cell>
          <cell r="C123">
            <v>34968</v>
          </cell>
          <cell r="H123">
            <v>9200</v>
          </cell>
          <cell r="I123">
            <v>129375</v>
          </cell>
          <cell r="L123">
            <v>9200</v>
          </cell>
          <cell r="M123">
            <v>20700</v>
          </cell>
        </row>
        <row r="124">
          <cell r="B124">
            <v>9300</v>
          </cell>
          <cell r="C124">
            <v>35344</v>
          </cell>
          <cell r="H124">
            <v>9300</v>
          </cell>
          <cell r="I124">
            <v>130781.25</v>
          </cell>
          <cell r="L124">
            <v>9300</v>
          </cell>
          <cell r="M124">
            <v>20925</v>
          </cell>
        </row>
        <row r="125">
          <cell r="B125">
            <v>9400</v>
          </cell>
          <cell r="C125">
            <v>35720</v>
          </cell>
          <cell r="H125">
            <v>9400</v>
          </cell>
          <cell r="I125">
            <v>132187.5</v>
          </cell>
          <cell r="L125">
            <v>9400</v>
          </cell>
          <cell r="M125">
            <v>21150</v>
          </cell>
        </row>
        <row r="126">
          <cell r="B126">
            <v>9500</v>
          </cell>
          <cell r="C126">
            <v>36096</v>
          </cell>
          <cell r="H126">
            <v>9500</v>
          </cell>
          <cell r="I126">
            <v>133593.75</v>
          </cell>
          <cell r="L126">
            <v>9500</v>
          </cell>
          <cell r="M126">
            <v>21375</v>
          </cell>
        </row>
        <row r="127">
          <cell r="B127">
            <v>9600</v>
          </cell>
          <cell r="C127">
            <v>36472</v>
          </cell>
          <cell r="H127">
            <v>9600</v>
          </cell>
          <cell r="I127">
            <v>135000</v>
          </cell>
          <cell r="L127">
            <v>9600</v>
          </cell>
          <cell r="M127">
            <v>21600</v>
          </cell>
        </row>
        <row r="128">
          <cell r="B128">
            <v>9700</v>
          </cell>
          <cell r="C128">
            <v>36848</v>
          </cell>
          <cell r="H128">
            <v>9700</v>
          </cell>
          <cell r="I128">
            <v>136406.25</v>
          </cell>
          <cell r="L128">
            <v>9700</v>
          </cell>
          <cell r="M128">
            <v>21825</v>
          </cell>
        </row>
        <row r="129">
          <cell r="B129">
            <v>9800</v>
          </cell>
          <cell r="C129">
            <v>37224</v>
          </cell>
          <cell r="H129">
            <v>9800</v>
          </cell>
          <cell r="I129">
            <v>137812.5</v>
          </cell>
          <cell r="L129">
            <v>9800</v>
          </cell>
          <cell r="M129">
            <v>22050</v>
          </cell>
        </row>
        <row r="130">
          <cell r="B130">
            <v>9900</v>
          </cell>
          <cell r="C130">
            <v>37600</v>
          </cell>
          <cell r="H130">
            <v>9900</v>
          </cell>
          <cell r="I130">
            <v>139218.75</v>
          </cell>
          <cell r="L130">
            <v>9900</v>
          </cell>
          <cell r="M130">
            <v>22275</v>
          </cell>
        </row>
        <row r="131">
          <cell r="B131">
            <v>10000</v>
          </cell>
          <cell r="C131">
            <v>37976</v>
          </cell>
          <cell r="H131">
            <v>10000</v>
          </cell>
          <cell r="I131">
            <v>140625</v>
          </cell>
          <cell r="L131">
            <v>10000</v>
          </cell>
          <cell r="M131">
            <v>22500</v>
          </cell>
        </row>
      </sheetData>
      <sheetData sheetId="7">
        <row r="1">
          <cell r="A1" t="str">
            <v>Motor (4160 V)</v>
          </cell>
        </row>
        <row r="2">
          <cell r="A2">
            <v>40</v>
          </cell>
          <cell r="B2">
            <v>0</v>
          </cell>
        </row>
        <row r="3">
          <cell r="A3">
            <v>75</v>
          </cell>
          <cell r="B3">
            <v>0</v>
          </cell>
        </row>
        <row r="4">
          <cell r="A4">
            <v>60</v>
          </cell>
          <cell r="B4">
            <v>0</v>
          </cell>
        </row>
        <row r="5">
          <cell r="A5">
            <v>125</v>
          </cell>
          <cell r="B5">
            <v>0</v>
          </cell>
        </row>
        <row r="6">
          <cell r="A6">
            <v>150</v>
          </cell>
          <cell r="B6">
            <v>0</v>
          </cell>
        </row>
        <row r="7">
          <cell r="A7">
            <v>200</v>
          </cell>
          <cell r="B7">
            <v>36880</v>
          </cell>
        </row>
        <row r="8">
          <cell r="A8">
            <v>250</v>
          </cell>
          <cell r="B8">
            <v>36211</v>
          </cell>
        </row>
        <row r="10">
          <cell r="A10" t="str">
            <v>Motor (480 V)</v>
          </cell>
        </row>
        <row r="11">
          <cell r="A11">
            <v>40</v>
          </cell>
          <cell r="B11">
            <v>3523</v>
          </cell>
        </row>
        <row r="12">
          <cell r="A12">
            <v>75</v>
          </cell>
          <cell r="B12">
            <v>7784</v>
          </cell>
        </row>
        <row r="13">
          <cell r="A13">
            <v>60</v>
          </cell>
          <cell r="B13">
            <v>5311</v>
          </cell>
        </row>
        <row r="14">
          <cell r="A14">
            <v>125</v>
          </cell>
          <cell r="B14">
            <v>12364</v>
          </cell>
        </row>
        <row r="15">
          <cell r="A15">
            <v>150</v>
          </cell>
          <cell r="B15">
            <v>11671</v>
          </cell>
        </row>
        <row r="16">
          <cell r="A16">
            <v>200</v>
          </cell>
          <cell r="B16">
            <v>0</v>
          </cell>
        </row>
        <row r="17">
          <cell r="A17">
            <v>250</v>
          </cell>
          <cell r="B17">
            <v>0</v>
          </cell>
        </row>
        <row r="19">
          <cell r="B19" t="str">
            <v>Troughing</v>
          </cell>
          <cell r="I19" t="str">
            <v>Return</v>
          </cell>
        </row>
        <row r="20">
          <cell r="B20">
            <v>100</v>
          </cell>
          <cell r="C20">
            <v>1827</v>
          </cell>
          <cell r="I20">
            <v>100</v>
          </cell>
          <cell r="J20">
            <v>725.8</v>
          </cell>
        </row>
        <row r="21">
          <cell r="B21">
            <v>200</v>
          </cell>
          <cell r="C21">
            <v>3654</v>
          </cell>
          <cell r="I21">
            <v>200</v>
          </cell>
          <cell r="J21">
            <v>1451.6</v>
          </cell>
        </row>
        <row r="22">
          <cell r="B22">
            <v>300</v>
          </cell>
          <cell r="C22">
            <v>5481</v>
          </cell>
          <cell r="I22">
            <v>300</v>
          </cell>
          <cell r="J22">
            <v>2177.4</v>
          </cell>
        </row>
        <row r="23">
          <cell r="B23">
            <v>400</v>
          </cell>
          <cell r="C23">
            <v>7308</v>
          </cell>
          <cell r="I23">
            <v>400</v>
          </cell>
          <cell r="J23">
            <v>2903.2</v>
          </cell>
        </row>
        <row r="24">
          <cell r="B24">
            <v>500</v>
          </cell>
          <cell r="C24">
            <v>9135</v>
          </cell>
          <cell r="I24">
            <v>500</v>
          </cell>
          <cell r="J24">
            <v>3629</v>
          </cell>
        </row>
        <row r="25">
          <cell r="B25">
            <v>600</v>
          </cell>
          <cell r="C25">
            <v>10962</v>
          </cell>
          <cell r="I25">
            <v>600</v>
          </cell>
          <cell r="J25">
            <v>4354.8</v>
          </cell>
        </row>
        <row r="26">
          <cell r="B26">
            <v>700</v>
          </cell>
          <cell r="C26">
            <v>12789</v>
          </cell>
          <cell r="I26">
            <v>700</v>
          </cell>
          <cell r="J26">
            <v>5080.5999999999995</v>
          </cell>
        </row>
        <row r="27">
          <cell r="B27">
            <v>800</v>
          </cell>
          <cell r="C27">
            <v>14616</v>
          </cell>
          <cell r="I27">
            <v>800</v>
          </cell>
          <cell r="J27">
            <v>5806.4</v>
          </cell>
        </row>
        <row r="28">
          <cell r="B28">
            <v>900</v>
          </cell>
          <cell r="C28">
            <v>16443</v>
          </cell>
          <cell r="I28">
            <v>900</v>
          </cell>
          <cell r="J28">
            <v>6532.2</v>
          </cell>
        </row>
        <row r="29">
          <cell r="B29">
            <v>1000</v>
          </cell>
          <cell r="C29">
            <v>18270</v>
          </cell>
          <cell r="I29">
            <v>1000</v>
          </cell>
          <cell r="J29">
            <v>7258</v>
          </cell>
        </row>
        <row r="30">
          <cell r="B30">
            <v>1100</v>
          </cell>
          <cell r="C30">
            <v>20097</v>
          </cell>
          <cell r="I30">
            <v>1100</v>
          </cell>
          <cell r="J30">
            <v>7983.8</v>
          </cell>
        </row>
        <row r="31">
          <cell r="B31">
            <v>1200</v>
          </cell>
          <cell r="C31">
            <v>21924</v>
          </cell>
          <cell r="I31">
            <v>1200</v>
          </cell>
          <cell r="J31">
            <v>8709.6</v>
          </cell>
        </row>
        <row r="32">
          <cell r="B32">
            <v>1300</v>
          </cell>
          <cell r="C32">
            <v>23751</v>
          </cell>
          <cell r="I32">
            <v>1300</v>
          </cell>
          <cell r="J32">
            <v>9435.4</v>
          </cell>
        </row>
        <row r="33">
          <cell r="B33">
            <v>1400</v>
          </cell>
          <cell r="C33">
            <v>25578</v>
          </cell>
          <cell r="I33">
            <v>1400</v>
          </cell>
          <cell r="J33">
            <v>10161.199999999999</v>
          </cell>
        </row>
        <row r="34">
          <cell r="B34">
            <v>1500</v>
          </cell>
          <cell r="C34">
            <v>27405</v>
          </cell>
          <cell r="I34">
            <v>1500</v>
          </cell>
          <cell r="J34">
            <v>10887</v>
          </cell>
        </row>
        <row r="35">
          <cell r="B35">
            <v>1600</v>
          </cell>
          <cell r="C35">
            <v>29232</v>
          </cell>
          <cell r="I35">
            <v>1600</v>
          </cell>
          <cell r="J35">
            <v>11612.8</v>
          </cell>
        </row>
        <row r="36">
          <cell r="B36">
            <v>1700</v>
          </cell>
          <cell r="C36">
            <v>31059</v>
          </cell>
          <cell r="I36">
            <v>1700</v>
          </cell>
          <cell r="J36">
            <v>12338.6</v>
          </cell>
        </row>
        <row r="37">
          <cell r="B37">
            <v>1800</v>
          </cell>
          <cell r="C37">
            <v>32886</v>
          </cell>
          <cell r="I37">
            <v>1800</v>
          </cell>
          <cell r="J37">
            <v>13064.4</v>
          </cell>
        </row>
        <row r="38">
          <cell r="B38">
            <v>1900</v>
          </cell>
          <cell r="C38">
            <v>34713</v>
          </cell>
          <cell r="I38">
            <v>1900</v>
          </cell>
          <cell r="J38">
            <v>13790.199999999999</v>
          </cell>
        </row>
        <row r="39">
          <cell r="B39">
            <v>2000</v>
          </cell>
          <cell r="C39">
            <v>36540</v>
          </cell>
          <cell r="I39">
            <v>2000</v>
          </cell>
          <cell r="J39">
            <v>14516</v>
          </cell>
        </row>
        <row r="40">
          <cell r="B40">
            <v>2100</v>
          </cell>
          <cell r="C40">
            <v>38367</v>
          </cell>
          <cell r="I40">
            <v>2100</v>
          </cell>
          <cell r="J40">
            <v>15241.8</v>
          </cell>
        </row>
        <row r="41">
          <cell r="B41">
            <v>2200</v>
          </cell>
          <cell r="C41">
            <v>40194</v>
          </cell>
          <cell r="I41">
            <v>2200</v>
          </cell>
          <cell r="J41">
            <v>15967.6</v>
          </cell>
        </row>
        <row r="42">
          <cell r="B42">
            <v>2300</v>
          </cell>
          <cell r="C42">
            <v>42021</v>
          </cell>
          <cell r="I42">
            <v>2300</v>
          </cell>
          <cell r="J42">
            <v>16693.399999999998</v>
          </cell>
        </row>
        <row r="43">
          <cell r="B43">
            <v>2400</v>
          </cell>
          <cell r="C43">
            <v>43848</v>
          </cell>
          <cell r="I43">
            <v>2400</v>
          </cell>
          <cell r="J43">
            <v>17419.2</v>
          </cell>
        </row>
        <row r="44">
          <cell r="B44">
            <v>2500</v>
          </cell>
          <cell r="C44">
            <v>45675</v>
          </cell>
          <cell r="I44">
            <v>2500</v>
          </cell>
          <cell r="J44">
            <v>18145</v>
          </cell>
        </row>
        <row r="45">
          <cell r="B45">
            <v>2600</v>
          </cell>
          <cell r="C45">
            <v>47502</v>
          </cell>
          <cell r="I45">
            <v>2600</v>
          </cell>
          <cell r="J45">
            <v>18870.8</v>
          </cell>
        </row>
        <row r="46">
          <cell r="B46">
            <v>2700</v>
          </cell>
          <cell r="C46">
            <v>49329</v>
          </cell>
          <cell r="I46">
            <v>2700</v>
          </cell>
          <cell r="J46">
            <v>19596.599999999999</v>
          </cell>
        </row>
        <row r="47">
          <cell r="B47">
            <v>2800</v>
          </cell>
          <cell r="C47">
            <v>51156</v>
          </cell>
          <cell r="I47">
            <v>2800</v>
          </cell>
          <cell r="J47">
            <v>20322.399999999998</v>
          </cell>
        </row>
        <row r="48">
          <cell r="B48">
            <v>2900</v>
          </cell>
          <cell r="C48">
            <v>52983</v>
          </cell>
          <cell r="I48">
            <v>2900</v>
          </cell>
          <cell r="J48">
            <v>21048.2</v>
          </cell>
        </row>
        <row r="49">
          <cell r="B49">
            <v>3000</v>
          </cell>
          <cell r="C49">
            <v>54810</v>
          </cell>
          <cell r="I49">
            <v>3000</v>
          </cell>
          <cell r="J49">
            <v>21774</v>
          </cell>
        </row>
        <row r="50">
          <cell r="B50">
            <v>3100</v>
          </cell>
          <cell r="C50">
            <v>56637</v>
          </cell>
          <cell r="I50">
            <v>3100</v>
          </cell>
          <cell r="J50">
            <v>22499.8</v>
          </cell>
        </row>
        <row r="51">
          <cell r="B51">
            <v>3200</v>
          </cell>
          <cell r="C51">
            <v>58464</v>
          </cell>
          <cell r="I51">
            <v>3200</v>
          </cell>
          <cell r="J51">
            <v>23225.599999999999</v>
          </cell>
        </row>
        <row r="52">
          <cell r="B52">
            <v>3300</v>
          </cell>
          <cell r="C52">
            <v>60291</v>
          </cell>
          <cell r="I52">
            <v>3300</v>
          </cell>
          <cell r="J52">
            <v>23951.399999999998</v>
          </cell>
        </row>
        <row r="53">
          <cell r="B53">
            <v>3400</v>
          </cell>
          <cell r="C53">
            <v>62118</v>
          </cell>
          <cell r="I53">
            <v>3400</v>
          </cell>
          <cell r="J53">
            <v>24677.200000000001</v>
          </cell>
        </row>
        <row r="54">
          <cell r="B54">
            <v>3500</v>
          </cell>
          <cell r="C54">
            <v>63945</v>
          </cell>
          <cell r="I54">
            <v>3500</v>
          </cell>
          <cell r="J54">
            <v>25403</v>
          </cell>
        </row>
        <row r="55">
          <cell r="B55">
            <v>3600</v>
          </cell>
          <cell r="C55">
            <v>65772</v>
          </cell>
          <cell r="I55">
            <v>3600</v>
          </cell>
          <cell r="J55">
            <v>26128.799999999999</v>
          </cell>
        </row>
        <row r="56">
          <cell r="B56">
            <v>3700</v>
          </cell>
          <cell r="C56">
            <v>67599</v>
          </cell>
          <cell r="I56">
            <v>3700</v>
          </cell>
          <cell r="J56">
            <v>26854.6</v>
          </cell>
        </row>
        <row r="57">
          <cell r="B57">
            <v>3800</v>
          </cell>
          <cell r="C57">
            <v>69426</v>
          </cell>
          <cell r="I57">
            <v>3800</v>
          </cell>
          <cell r="J57">
            <v>27580.399999999998</v>
          </cell>
        </row>
        <row r="58">
          <cell r="B58">
            <v>3900</v>
          </cell>
          <cell r="C58">
            <v>71253</v>
          </cell>
          <cell r="I58">
            <v>3900</v>
          </cell>
          <cell r="J58">
            <v>28306.2</v>
          </cell>
        </row>
        <row r="59">
          <cell r="B59">
            <v>4000</v>
          </cell>
          <cell r="C59">
            <v>73080</v>
          </cell>
          <cell r="I59">
            <v>4000</v>
          </cell>
          <cell r="J59">
            <v>29032</v>
          </cell>
        </row>
        <row r="60">
          <cell r="B60">
            <v>4100</v>
          </cell>
          <cell r="C60">
            <v>74907</v>
          </cell>
          <cell r="I60">
            <v>4100</v>
          </cell>
          <cell r="J60">
            <v>29757.8</v>
          </cell>
        </row>
        <row r="61">
          <cell r="B61">
            <v>4200</v>
          </cell>
          <cell r="C61">
            <v>76734</v>
          </cell>
          <cell r="I61">
            <v>4200</v>
          </cell>
          <cell r="J61">
            <v>30483.599999999999</v>
          </cell>
        </row>
        <row r="62">
          <cell r="B62">
            <v>4300</v>
          </cell>
          <cell r="C62">
            <v>78561</v>
          </cell>
          <cell r="I62">
            <v>4300</v>
          </cell>
          <cell r="J62">
            <v>31209.399999999998</v>
          </cell>
        </row>
        <row r="63">
          <cell r="B63">
            <v>4400</v>
          </cell>
          <cell r="C63">
            <v>80388</v>
          </cell>
          <cell r="I63">
            <v>4400</v>
          </cell>
          <cell r="J63">
            <v>31935.200000000001</v>
          </cell>
        </row>
        <row r="64">
          <cell r="B64">
            <v>4500</v>
          </cell>
          <cell r="C64">
            <v>82215</v>
          </cell>
          <cell r="I64">
            <v>4500</v>
          </cell>
          <cell r="J64">
            <v>32661</v>
          </cell>
        </row>
        <row r="65">
          <cell r="B65">
            <v>4600</v>
          </cell>
          <cell r="C65">
            <v>84042</v>
          </cell>
          <cell r="I65">
            <v>4600</v>
          </cell>
          <cell r="J65">
            <v>33386.799999999996</v>
          </cell>
        </row>
        <row r="66">
          <cell r="B66">
            <v>4700</v>
          </cell>
          <cell r="C66">
            <v>85869</v>
          </cell>
          <cell r="I66">
            <v>4700</v>
          </cell>
          <cell r="J66">
            <v>34112.6</v>
          </cell>
        </row>
        <row r="67">
          <cell r="B67">
            <v>4800</v>
          </cell>
          <cell r="C67">
            <v>87696</v>
          </cell>
          <cell r="I67">
            <v>4800</v>
          </cell>
          <cell r="J67">
            <v>34838.400000000001</v>
          </cell>
        </row>
        <row r="68">
          <cell r="B68">
            <v>4900</v>
          </cell>
          <cell r="C68">
            <v>89523</v>
          </cell>
          <cell r="I68">
            <v>4900</v>
          </cell>
          <cell r="J68">
            <v>35564.199999999997</v>
          </cell>
        </row>
        <row r="69">
          <cell r="B69">
            <v>5000</v>
          </cell>
          <cell r="C69">
            <v>91350</v>
          </cell>
          <cell r="I69">
            <v>5000</v>
          </cell>
          <cell r="J69">
            <v>36290</v>
          </cell>
        </row>
        <row r="70">
          <cell r="B70">
            <v>5100</v>
          </cell>
          <cell r="C70">
            <v>93177</v>
          </cell>
          <cell r="I70">
            <v>5100</v>
          </cell>
          <cell r="J70">
            <v>37015.799999999996</v>
          </cell>
        </row>
        <row r="71">
          <cell r="B71">
            <v>5200</v>
          </cell>
          <cell r="C71">
            <v>95004</v>
          </cell>
          <cell r="I71">
            <v>5200</v>
          </cell>
          <cell r="J71">
            <v>37741.599999999999</v>
          </cell>
        </row>
        <row r="72">
          <cell r="B72">
            <v>5300</v>
          </cell>
          <cell r="C72">
            <v>96831</v>
          </cell>
          <cell r="I72">
            <v>5300</v>
          </cell>
          <cell r="J72">
            <v>38467.4</v>
          </cell>
        </row>
        <row r="73">
          <cell r="B73">
            <v>5400</v>
          </cell>
          <cell r="C73">
            <v>98658</v>
          </cell>
          <cell r="I73">
            <v>5400</v>
          </cell>
          <cell r="J73">
            <v>39193.199999999997</v>
          </cell>
        </row>
        <row r="74">
          <cell r="B74">
            <v>5500</v>
          </cell>
          <cell r="C74">
            <v>100485</v>
          </cell>
          <cell r="I74">
            <v>5500</v>
          </cell>
          <cell r="J74">
            <v>39919</v>
          </cell>
        </row>
        <row r="75">
          <cell r="B75">
            <v>5600</v>
          </cell>
          <cell r="C75">
            <v>102312</v>
          </cell>
          <cell r="I75">
            <v>5600</v>
          </cell>
          <cell r="J75">
            <v>40644.799999999996</v>
          </cell>
        </row>
        <row r="76">
          <cell r="B76">
            <v>5700</v>
          </cell>
          <cell r="C76">
            <v>104139</v>
          </cell>
          <cell r="I76">
            <v>5700</v>
          </cell>
          <cell r="J76">
            <v>41370.6</v>
          </cell>
        </row>
        <row r="77">
          <cell r="B77">
            <v>5800</v>
          </cell>
          <cell r="C77">
            <v>105966</v>
          </cell>
          <cell r="I77">
            <v>5800</v>
          </cell>
          <cell r="J77">
            <v>42096.4</v>
          </cell>
        </row>
        <row r="78">
          <cell r="B78">
            <v>5900</v>
          </cell>
          <cell r="C78">
            <v>107793</v>
          </cell>
          <cell r="I78">
            <v>5900</v>
          </cell>
          <cell r="J78">
            <v>42822.2</v>
          </cell>
        </row>
        <row r="79">
          <cell r="B79">
            <v>6000</v>
          </cell>
          <cell r="C79">
            <v>109620</v>
          </cell>
          <cell r="I79">
            <v>6000</v>
          </cell>
          <cell r="J79">
            <v>43548</v>
          </cell>
        </row>
        <row r="80">
          <cell r="B80">
            <v>6100</v>
          </cell>
          <cell r="C80">
            <v>111447</v>
          </cell>
          <cell r="I80">
            <v>6100</v>
          </cell>
          <cell r="J80">
            <v>44273.799999999996</v>
          </cell>
        </row>
        <row r="81">
          <cell r="B81">
            <v>6200</v>
          </cell>
          <cell r="C81">
            <v>113274</v>
          </cell>
          <cell r="I81">
            <v>6200</v>
          </cell>
          <cell r="J81">
            <v>44999.6</v>
          </cell>
        </row>
        <row r="82">
          <cell r="B82">
            <v>6300</v>
          </cell>
          <cell r="C82">
            <v>115101</v>
          </cell>
          <cell r="I82">
            <v>6300</v>
          </cell>
          <cell r="J82">
            <v>45725.4</v>
          </cell>
        </row>
        <row r="83">
          <cell r="B83">
            <v>6400</v>
          </cell>
          <cell r="C83">
            <v>116928</v>
          </cell>
          <cell r="I83">
            <v>6400</v>
          </cell>
          <cell r="J83">
            <v>46451.199999999997</v>
          </cell>
        </row>
        <row r="84">
          <cell r="B84">
            <v>6500</v>
          </cell>
          <cell r="C84">
            <v>118755</v>
          </cell>
          <cell r="I84">
            <v>6500</v>
          </cell>
          <cell r="J84">
            <v>47177</v>
          </cell>
        </row>
        <row r="85">
          <cell r="B85">
            <v>6600</v>
          </cell>
          <cell r="C85">
            <v>120582</v>
          </cell>
          <cell r="I85">
            <v>6600</v>
          </cell>
          <cell r="J85">
            <v>47902.799999999996</v>
          </cell>
        </row>
        <row r="86">
          <cell r="B86">
            <v>6700</v>
          </cell>
          <cell r="C86">
            <v>122409</v>
          </cell>
          <cell r="I86">
            <v>6700</v>
          </cell>
          <cell r="J86">
            <v>48628.6</v>
          </cell>
        </row>
        <row r="87">
          <cell r="B87">
            <v>6800</v>
          </cell>
          <cell r="C87">
            <v>124236</v>
          </cell>
          <cell r="I87">
            <v>6800</v>
          </cell>
          <cell r="J87">
            <v>49354.400000000001</v>
          </cell>
        </row>
        <row r="88">
          <cell r="B88">
            <v>6900</v>
          </cell>
          <cell r="C88">
            <v>126063</v>
          </cell>
          <cell r="I88">
            <v>6900</v>
          </cell>
          <cell r="J88">
            <v>50080.2</v>
          </cell>
        </row>
        <row r="89">
          <cell r="B89">
            <v>7000</v>
          </cell>
          <cell r="C89">
            <v>127890</v>
          </cell>
          <cell r="I89">
            <v>7000</v>
          </cell>
          <cell r="J89">
            <v>50806</v>
          </cell>
        </row>
        <row r="90">
          <cell r="B90">
            <v>7100</v>
          </cell>
          <cell r="C90">
            <v>129717</v>
          </cell>
          <cell r="I90">
            <v>7100</v>
          </cell>
          <cell r="J90">
            <v>51531.799999999996</v>
          </cell>
        </row>
        <row r="91">
          <cell r="B91">
            <v>7200</v>
          </cell>
          <cell r="C91">
            <v>131544</v>
          </cell>
          <cell r="I91">
            <v>7200</v>
          </cell>
          <cell r="J91">
            <v>52257.599999999999</v>
          </cell>
        </row>
        <row r="92">
          <cell r="B92">
            <v>7300</v>
          </cell>
          <cell r="C92">
            <v>133371</v>
          </cell>
          <cell r="I92">
            <v>7300</v>
          </cell>
          <cell r="J92">
            <v>52983.4</v>
          </cell>
        </row>
        <row r="93">
          <cell r="B93">
            <v>7400</v>
          </cell>
          <cell r="C93">
            <v>135198</v>
          </cell>
          <cell r="I93">
            <v>7400</v>
          </cell>
          <cell r="J93">
            <v>53709.2</v>
          </cell>
        </row>
        <row r="94">
          <cell r="B94">
            <v>7500</v>
          </cell>
          <cell r="C94">
            <v>137025</v>
          </cell>
          <cell r="I94">
            <v>7500</v>
          </cell>
          <cell r="J94">
            <v>54435</v>
          </cell>
        </row>
        <row r="95">
          <cell r="B95">
            <v>7600</v>
          </cell>
          <cell r="C95">
            <v>138852</v>
          </cell>
          <cell r="I95">
            <v>7600</v>
          </cell>
          <cell r="J95">
            <v>55160.799999999996</v>
          </cell>
        </row>
        <row r="96">
          <cell r="B96">
            <v>7700</v>
          </cell>
          <cell r="C96">
            <v>140679</v>
          </cell>
          <cell r="I96">
            <v>7700</v>
          </cell>
          <cell r="J96">
            <v>55886.6</v>
          </cell>
        </row>
        <row r="97">
          <cell r="B97">
            <v>7800</v>
          </cell>
          <cell r="C97">
            <v>142506</v>
          </cell>
          <cell r="I97">
            <v>7800</v>
          </cell>
          <cell r="J97">
            <v>56612.4</v>
          </cell>
        </row>
        <row r="98">
          <cell r="B98">
            <v>7900</v>
          </cell>
          <cell r="C98">
            <v>144333</v>
          </cell>
          <cell r="I98">
            <v>7900</v>
          </cell>
          <cell r="J98">
            <v>57338.2</v>
          </cell>
        </row>
        <row r="99">
          <cell r="B99">
            <v>8000</v>
          </cell>
          <cell r="C99">
            <v>146160</v>
          </cell>
          <cell r="I99">
            <v>8000</v>
          </cell>
          <cell r="J99">
            <v>58064</v>
          </cell>
        </row>
        <row r="100">
          <cell r="B100">
            <v>8100</v>
          </cell>
          <cell r="C100">
            <v>147987</v>
          </cell>
          <cell r="I100">
            <v>8100</v>
          </cell>
          <cell r="J100">
            <v>58789.799999999996</v>
          </cell>
        </row>
        <row r="101">
          <cell r="B101">
            <v>8200</v>
          </cell>
          <cell r="C101">
            <v>149814</v>
          </cell>
          <cell r="I101">
            <v>8200</v>
          </cell>
          <cell r="J101">
            <v>59515.6</v>
          </cell>
        </row>
        <row r="102">
          <cell r="B102">
            <v>8300</v>
          </cell>
          <cell r="C102">
            <v>151641</v>
          </cell>
          <cell r="I102">
            <v>8300</v>
          </cell>
          <cell r="J102">
            <v>60241.4</v>
          </cell>
        </row>
        <row r="103">
          <cell r="B103">
            <v>8400</v>
          </cell>
          <cell r="C103">
            <v>153468</v>
          </cell>
          <cell r="I103">
            <v>8400</v>
          </cell>
          <cell r="J103">
            <v>60967.199999999997</v>
          </cell>
        </row>
        <row r="104">
          <cell r="B104">
            <v>8500</v>
          </cell>
          <cell r="C104">
            <v>155295</v>
          </cell>
          <cell r="I104">
            <v>8500</v>
          </cell>
          <cell r="J104">
            <v>61693</v>
          </cell>
        </row>
        <row r="105">
          <cell r="B105">
            <v>8600</v>
          </cell>
          <cell r="C105">
            <v>157122</v>
          </cell>
          <cell r="I105">
            <v>8600</v>
          </cell>
          <cell r="J105">
            <v>62418.799999999996</v>
          </cell>
        </row>
        <row r="106">
          <cell r="B106">
            <v>8700</v>
          </cell>
          <cell r="C106">
            <v>158949</v>
          </cell>
          <cell r="I106">
            <v>8700</v>
          </cell>
          <cell r="J106">
            <v>63144.6</v>
          </cell>
        </row>
        <row r="107">
          <cell r="B107">
            <v>8800</v>
          </cell>
          <cell r="C107">
            <v>160776</v>
          </cell>
          <cell r="I107">
            <v>8800</v>
          </cell>
          <cell r="J107">
            <v>63870.400000000001</v>
          </cell>
        </row>
        <row r="108">
          <cell r="B108">
            <v>8900</v>
          </cell>
          <cell r="C108">
            <v>162603</v>
          </cell>
          <cell r="I108">
            <v>8900</v>
          </cell>
          <cell r="J108">
            <v>64596.2</v>
          </cell>
        </row>
        <row r="109">
          <cell r="B109">
            <v>9000</v>
          </cell>
          <cell r="C109">
            <v>164430</v>
          </cell>
          <cell r="I109">
            <v>9000</v>
          </cell>
          <cell r="J109">
            <v>65322</v>
          </cell>
        </row>
        <row r="110">
          <cell r="B110">
            <v>9100</v>
          </cell>
          <cell r="C110">
            <v>166257</v>
          </cell>
          <cell r="I110">
            <v>9100</v>
          </cell>
          <cell r="J110">
            <v>66047.8</v>
          </cell>
        </row>
        <row r="111">
          <cell r="B111">
            <v>9200</v>
          </cell>
          <cell r="C111">
            <v>168084</v>
          </cell>
          <cell r="I111">
            <v>9200</v>
          </cell>
          <cell r="J111">
            <v>66773.599999999991</v>
          </cell>
        </row>
        <row r="112">
          <cell r="B112">
            <v>9300</v>
          </cell>
          <cell r="C112">
            <v>169911</v>
          </cell>
          <cell r="I112">
            <v>9300</v>
          </cell>
          <cell r="J112">
            <v>67499.399999999994</v>
          </cell>
        </row>
        <row r="113">
          <cell r="B113">
            <v>9400</v>
          </cell>
          <cell r="C113">
            <v>171738</v>
          </cell>
          <cell r="I113">
            <v>9400</v>
          </cell>
          <cell r="J113">
            <v>68225.2</v>
          </cell>
        </row>
        <row r="114">
          <cell r="B114">
            <v>9500</v>
          </cell>
          <cell r="C114">
            <v>173565</v>
          </cell>
          <cell r="I114">
            <v>9500</v>
          </cell>
          <cell r="J114">
            <v>68951</v>
          </cell>
        </row>
        <row r="115">
          <cell r="B115">
            <v>9600</v>
          </cell>
          <cell r="C115">
            <v>175392</v>
          </cell>
          <cell r="I115">
            <v>9600</v>
          </cell>
          <cell r="J115">
            <v>69676.800000000003</v>
          </cell>
        </row>
        <row r="116">
          <cell r="B116">
            <v>9700</v>
          </cell>
          <cell r="C116">
            <v>177219</v>
          </cell>
          <cell r="I116">
            <v>9700</v>
          </cell>
          <cell r="J116">
            <v>70402.599999999991</v>
          </cell>
        </row>
        <row r="117">
          <cell r="B117">
            <v>9800</v>
          </cell>
          <cell r="C117">
            <v>179046</v>
          </cell>
          <cell r="I117">
            <v>9800</v>
          </cell>
          <cell r="J117">
            <v>71128.399999999994</v>
          </cell>
        </row>
        <row r="118">
          <cell r="B118">
            <v>9900</v>
          </cell>
          <cell r="C118">
            <v>180873</v>
          </cell>
          <cell r="I118">
            <v>9900</v>
          </cell>
          <cell r="J118">
            <v>71854.2</v>
          </cell>
        </row>
        <row r="119">
          <cell r="B119">
            <v>10000</v>
          </cell>
          <cell r="C119">
            <v>182700</v>
          </cell>
          <cell r="I119">
            <v>10000</v>
          </cell>
          <cell r="J119">
            <v>72580</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Itemes Renovación"/>
      <sheetName val="PROGR VER02"/>
      <sheetName val="act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vegetalizacion"/>
    </sheetNames>
    <definedNames>
      <definedName name="Loan_Start"/>
    </definedNames>
    <sheetDataSet>
      <sheetData sheetId="0"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VIEJO)"/>
      <sheetName val="CO"/>
      <sheetName val="PPTO"/>
      <sheetName val="LISTA APU"/>
      <sheetName val="MATERIALES"/>
      <sheetName val="BASICOS"/>
      <sheetName val="1"/>
      <sheetName val="2"/>
      <sheetName val="3"/>
      <sheetName val="4"/>
      <sheetName val="5"/>
      <sheetName val="6"/>
      <sheetName val="7"/>
      <sheetName val="8"/>
      <sheetName val="9"/>
      <sheetName val="10"/>
      <sheetName val="11"/>
      <sheetName val="12"/>
      <sheetName val="13"/>
      <sheetName val="14"/>
      <sheetName val="15"/>
      <sheetName val="MANUAL"/>
    </sheetNames>
    <sheetDataSet>
      <sheetData sheetId="0" refreshError="1"/>
      <sheetData sheetId="1" refreshError="1"/>
      <sheetData sheetId="2" refreshError="1"/>
      <sheetData sheetId="3" refreshError="1"/>
      <sheetData sheetId="4" refreshError="1">
        <row r="75">
          <cell r="D75">
            <v>0.24</v>
          </cell>
        </row>
        <row r="76">
          <cell r="D76">
            <v>1.4999999999999999E-2</v>
          </cell>
        </row>
        <row r="77">
          <cell r="D77">
            <v>4.4999999999999998E-2</v>
          </cell>
        </row>
        <row r="84">
          <cell r="D84">
            <v>2210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LECTRICO"/>
      <sheetName val="Vuelta"/>
      <sheetName val="Design"/>
      <sheetName val="Sábana"/>
      <sheetName val="PLAN DE INVERSION ANTICIPO"/>
      <sheetName val="inv mensual"/>
      <sheetName val="borrador flujo inv"/>
      <sheetName val="social-ambiental"/>
      <sheetName val="AU"/>
      <sheetName val="SUB_APU6"/>
      <sheetName val="Cantidades_de_Obra6"/>
      <sheetName val="Itemes_Renovación1"/>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CIC-NOV"/>
      <sheetName val="experiencia especifica"/>
      <sheetName val="experiencia general"/>
      <sheetName val="FORMULARIO N° 14"/>
      <sheetName val="FORMULARIO N°7"/>
      <sheetName val="contrato en ejecución"/>
      <sheetName val="Calculo capacidad residual"/>
      <sheetName val="base de diseño"/>
      <sheetName val="10_HS"/>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refreshError="1"/>
      <sheetData sheetId="31"/>
      <sheetData sheetId="32">
        <row r="1">
          <cell r="A1">
            <v>0</v>
          </cell>
        </row>
      </sheetData>
      <sheetData sheetId="33">
        <row r="1">
          <cell r="A1">
            <v>0</v>
          </cell>
        </row>
      </sheetData>
      <sheetData sheetId="34"/>
      <sheetData sheetId="35"/>
      <sheetData sheetId="36"/>
      <sheetData sheetId="37" refreshError="1"/>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 APU (70%) AIU 32%"/>
      <sheetName val="PRESUPUESTO ACTUALIZADO"/>
      <sheetName val="PRESUPUESTO OFICIAL"/>
      <sheetName val=" APU"/>
      <sheetName val="APU BASICOS"/>
      <sheetName val=" PREST (70%) (AIU 35%)"/>
      <sheetName val="MEMORIA  MODIF."/>
      <sheetName val="MEMORIAS"/>
      <sheetName val="INSUMOS 1"/>
      <sheetName val="BENEFICIARIOS"/>
      <sheetName val="MEMORIAS OFICIAL"/>
      <sheetName val="CONSOLIDADO"/>
      <sheetName val="A-1"/>
      <sheetName val="1.1"/>
      <sheetName val="1.2"/>
      <sheetName val="1.3"/>
      <sheetName val="1.4"/>
      <sheetName val="1.5"/>
      <sheetName val="1.6"/>
      <sheetName val="1.7"/>
      <sheetName val="1.8"/>
      <sheetName val="1.9"/>
      <sheetName val="1.10"/>
      <sheetName val="1.11"/>
      <sheetName val="2.1"/>
      <sheetName val="2.2"/>
      <sheetName val="3.1"/>
      <sheetName val="3.2"/>
      <sheetName val="3.3"/>
      <sheetName val="3.4"/>
      <sheetName val="3.5"/>
      <sheetName val="3.6"/>
      <sheetName val="3.7"/>
      <sheetName val="3.8"/>
      <sheetName val="3.9"/>
      <sheetName val="4,1"/>
      <sheetName val="4,2"/>
      <sheetName val="4.3"/>
      <sheetName val="4.4"/>
      <sheetName val="4.5"/>
      <sheetName val="4.6"/>
      <sheetName val="4.7"/>
      <sheetName val="4.8"/>
      <sheetName val="4.9"/>
      <sheetName val="4.10"/>
      <sheetName val="5.1"/>
      <sheetName val="5.2"/>
      <sheetName val="5.3"/>
      <sheetName val="5.4"/>
      <sheetName val="6.1"/>
      <sheetName val="6.2"/>
      <sheetName val="6.3"/>
      <sheetName val="6.4"/>
      <sheetName val="6.5"/>
      <sheetName val="6.6"/>
      <sheetName val="7.1"/>
      <sheetName val="7.2"/>
      <sheetName val="7.3"/>
      <sheetName val="8.1"/>
      <sheetName val="8.2"/>
      <sheetName val="8.3"/>
      <sheetName val="8.4"/>
      <sheetName val="8.5"/>
      <sheetName val="9.1"/>
      <sheetName val="9.2"/>
      <sheetName val="9.3"/>
      <sheetName val="9.4"/>
      <sheetName val="9.5"/>
      <sheetName val="9.6"/>
      <sheetName val="10.1"/>
      <sheetName val="10.2"/>
      <sheetName val="10.3"/>
      <sheetName val="10.4"/>
      <sheetName val="10.5"/>
      <sheetName val="10.6"/>
      <sheetName val="10,7"/>
      <sheetName val="INSUMOS"/>
    </sheetNames>
    <sheetDataSet>
      <sheetData sheetId="0"/>
      <sheetData sheetId="1"/>
      <sheetData sheetId="2"/>
      <sheetData sheetId="3"/>
      <sheetData sheetId="4"/>
      <sheetData sheetId="5"/>
      <sheetData sheetId="6"/>
      <sheetData sheetId="7"/>
      <sheetData sheetId="8"/>
      <sheetData sheetId="9">
        <row r="4">
          <cell r="H4">
            <v>56634</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ow r="16">
          <cell r="J16" t="str">
            <v>Ayudante</v>
          </cell>
        </row>
        <row r="17">
          <cell r="B17" t="str">
            <v>Santafé Bloquelón 80 x 8 x 23 cm 4,87 u/m2</v>
          </cell>
          <cell r="J17" t="str">
            <v>Oficial</v>
          </cell>
        </row>
        <row r="18">
          <cell r="B18" t="str">
            <v>Ceranova Bloquelón 80 x 23 x 8 cm 4,87 u/m2</v>
          </cell>
          <cell r="J18" t="str">
            <v>Maestro</v>
          </cell>
        </row>
        <row r="19">
          <cell r="B19" t="str">
            <v>Ladrillo hor 3 huecos 9x20x80 9.5k 6.25und/m2 </v>
          </cell>
        </row>
        <row r="20">
          <cell r="B20" t="str">
            <v>Cademac Ladrillo liso horizontal 10 x 20 x 40 cm 12,5u/m2</v>
          </cell>
          <cell r="J20" t="str">
            <v>Topografo</v>
          </cell>
        </row>
        <row r="21">
          <cell r="B21" t="str">
            <v>Santafé Bloque # 5 33 x 23 x 11,5 cm 12,25 u/m2</v>
          </cell>
          <cell r="J21" t="str">
            <v>Cadenero</v>
          </cell>
        </row>
        <row r="22">
          <cell r="B22" t="str">
            <v>Santafé Portante prensado 29 x 14,5 x 9 cm 5,4 kilos 33,3u/m2</v>
          </cell>
        </row>
        <row r="23">
          <cell r="B23" t="str">
            <v>Santafé Bloque # 4 33 x 23 x 9 cm 12,5 u/m2 ( 6 Huecos)</v>
          </cell>
          <cell r="J23" t="str">
            <v>Rastrilleros</v>
          </cell>
        </row>
        <row r="24">
          <cell r="B24" t="str">
            <v>Ladrillera San Cristóbal Catalán horizontal 10 cm x 15 cm x 30 cm 3,4 kilos 38,31 u/m2</v>
          </cell>
        </row>
        <row r="25">
          <cell r="B25" t="str">
            <v>Ceranova Bloque #4 estándar 10 x 20 x 30 cm 15,5u/m2 (6 Huecos)</v>
          </cell>
          <cell r="J25" t="str">
            <v>Operador</v>
          </cell>
        </row>
        <row r="26">
          <cell r="B26" t="str">
            <v>Ceranova Bloque #5 estándar 12 x 20 x 30 cm 15,5u/m2 (6 Huecos)</v>
          </cell>
          <cell r="J26" t="str">
            <v>Ayudante de Rio</v>
          </cell>
        </row>
        <row r="27">
          <cell r="B27" t="str">
            <v>Alcarra Ladrillo bocadi macizo 5 x 10 x 22 45u/m2</v>
          </cell>
        </row>
        <row r="28">
          <cell r="B28" t="str">
            <v>Ceranova 1/2 bloque #4 estándar 10 x 20 x 15 cm 31u/m2</v>
          </cell>
          <cell r="J28" t="str">
            <v>Soldador</v>
          </cell>
        </row>
        <row r="29">
          <cell r="B29" t="str">
            <v>Ardesa Ladrillo común rosado 20 x 10 x 6 cm 50u/m2</v>
          </cell>
          <cell r="J29" t="str">
            <v>Ay. Soldadura</v>
          </cell>
        </row>
        <row r="30">
          <cell r="B30" t="str">
            <v>Ardesa Ladrillo común recocido 20 x 10 x 6 cm 50u/m2</v>
          </cell>
        </row>
        <row r="31">
          <cell r="J31" t="str">
            <v>Tec. Eléctrico</v>
          </cell>
        </row>
        <row r="32">
          <cell r="B32" t="str">
            <v>BLOQUES</v>
          </cell>
          <cell r="J32" t="str">
            <v>Ay. Eléctrico</v>
          </cell>
        </row>
        <row r="33">
          <cell r="B33" t="str">
            <v>Decoblock Bloque split 15 x 20 x 40 cm 12,5u/m2</v>
          </cell>
          <cell r="J33" t="str">
            <v>Capataz</v>
          </cell>
        </row>
        <row r="34">
          <cell r="B34" t="str">
            <v>Decoblock Bloque liso 15 x 20 x 40 cm 12,5u/m2</v>
          </cell>
          <cell r="J34" t="str">
            <v>Liniero</v>
          </cell>
        </row>
        <row r="35">
          <cell r="B35" t="str">
            <v>Metroblock Bloque liso #15 14 x 19 x 39 cm 12,5u/m2</v>
          </cell>
        </row>
        <row r="36">
          <cell r="B36" t="str">
            <v>Conpre Bloque cemento 10 x 20 x 40 cm 3h 12,5u/m2 10 mpa</v>
          </cell>
        </row>
        <row r="37">
          <cell r="B37" t="str">
            <v>Metroblock Bloque liso #15 14 x 19 x 39 cm 12,5u/m2</v>
          </cell>
        </row>
        <row r="38">
          <cell r="B38" t="str">
            <v>Metroblock Bloque liso #10 9 x 19 x 39 cm 12,5u/m2</v>
          </cell>
        </row>
        <row r="40">
          <cell r="B40" t="str">
            <v>CEMENTO</v>
          </cell>
        </row>
        <row r="41">
          <cell r="B41" t="str">
            <v>Cip Patch and plug 25 kilogramos caneca (Cemento hidráulico de rápido fraguado)</v>
          </cell>
        </row>
        <row r="42">
          <cell r="B42" t="str">
            <v>Cip Patch and plug 5 kilos balde, Cip (Mortero listo de secado ultra rápido)</v>
          </cell>
        </row>
        <row r="43">
          <cell r="B43" t="str">
            <v>Topex Mortero impermeable blanco 25 kilos, Topex</v>
          </cell>
        </row>
        <row r="44">
          <cell r="B44" t="str">
            <v>Corona Friso cuñete 34 kilos</v>
          </cell>
        </row>
        <row r="45">
          <cell r="B45" t="str">
            <v>Bronco Broncosil blanco 25 kilos, Bronco (Mortero)</v>
          </cell>
        </row>
        <row r="46">
          <cell r="B46" t="str">
            <v>Argos Cemento blanco 40 kilos</v>
          </cell>
        </row>
        <row r="47">
          <cell r="B47" t="str">
            <v>Sika Sika-101 blanco 10 kilos (Impermeabilizantes)</v>
          </cell>
        </row>
        <row r="48">
          <cell r="B48" t="str">
            <v>Argos Cemento gris 50 kilos, Argos</v>
          </cell>
        </row>
        <row r="49">
          <cell r="B49" t="str">
            <v>CEMEX SP CEMENTO CEMEX USO GENERAL 50kg</v>
          </cell>
        </row>
        <row r="50">
          <cell r="B50" t="str">
            <v>Toxement Eucolisto mortero 10 kilos fraguado rápido</v>
          </cell>
        </row>
        <row r="51">
          <cell r="B51" t="str">
            <v>Corona Yeso maravilla 25 kilos</v>
          </cell>
        </row>
        <row r="52">
          <cell r="B52" t="str">
            <v>Argos Cemento blanco 20 kilos</v>
          </cell>
        </row>
        <row r="55">
          <cell r="B55" t="str">
            <v>IMPERMEABILIZANTES</v>
          </cell>
        </row>
        <row r="56">
          <cell r="B56" t="str">
            <v>Sika Sika Transparente 10 160k</v>
          </cell>
        </row>
        <row r="57">
          <cell r="B57" t="str">
            <v>Xypex concentración blanco 25 kilos</v>
          </cell>
        </row>
        <row r="58">
          <cell r="B58" t="str">
            <v>Xypex concentrado gris 25 kilogramos caneca</v>
          </cell>
        </row>
        <row r="59">
          <cell r="B59" t="str">
            <v>Corona Paraguas 5gl 23.5kg ultra blanco</v>
          </cell>
        </row>
        <row r="60">
          <cell r="B60" t="str">
            <v>Sika Sikafill Power 12 Rojo 21.28kg -5gl</v>
          </cell>
        </row>
        <row r="61">
          <cell r="B61" t="str">
            <v>Sika Igol Denso Plus 5gl 18kg</v>
          </cell>
        </row>
        <row r="62">
          <cell r="B62" t="str">
            <v>Sika Sikafill Power 12 Gris 21.28kg -5gl</v>
          </cell>
        </row>
        <row r="63">
          <cell r="B63" t="str">
            <v>Topex Acrilico 5 5gl 23.5kg Gris </v>
          </cell>
        </row>
        <row r="64">
          <cell r="B64" t="str">
            <v>Repelente De Agua Sup Porosas 5l Nanoflex</v>
          </cell>
        </row>
        <row r="66">
          <cell r="B66" t="str">
            <v>PERFILES HIERRO</v>
          </cell>
        </row>
        <row r="67">
          <cell r="B67" t="str">
            <v>0.75mm x 2pg 940 x 6100 mm metaldeck</v>
          </cell>
        </row>
        <row r="68">
          <cell r="B68" t="str">
            <v>0.75mm x 2pg 940 x 5600 mm Metaldeck</v>
          </cell>
        </row>
        <row r="69">
          <cell r="B69" t="str">
            <v>2 mm Perfil c 220 x 80 mm x 37.50 kg 6 metros</v>
          </cell>
        </row>
        <row r="70">
          <cell r="B70" t="str">
            <v>2,5 mm 9 x 5 cm x 6 metros Tubo rectangular</v>
          </cell>
        </row>
        <row r="71">
          <cell r="B71" t="str">
            <v>2.0 mm Tubo rectangular 120 x 60 mm</v>
          </cell>
        </row>
        <row r="72">
          <cell r="B72" t="str">
            <v>2,49 mm 2 x 0.098pg x 59.94 x 21.732k Tubo redondo galvanizado</v>
          </cell>
        </row>
        <row r="73">
          <cell r="B73" t="str">
            <v>2,5 mm 6 x 6 cm x 6 metros Tubo cuadrado</v>
          </cell>
        </row>
        <row r="74">
          <cell r="B74" t="str">
            <v>2,5 mm x 8 x 4 cm x 6 metros Tubo rectangular</v>
          </cell>
        </row>
        <row r="75">
          <cell r="B75" t="str">
            <v>2.0 mm Tubo rectangular 100 x 40 mm</v>
          </cell>
        </row>
        <row r="76">
          <cell r="B76" t="str">
            <v>2,0 mm x 9 x 5 cm x 6 metros Tubo rectangular</v>
          </cell>
        </row>
        <row r="77">
          <cell r="B77" t="str">
            <v>2.0 mm Tubo cuadrado 70 x 70 mm</v>
          </cell>
        </row>
        <row r="78">
          <cell r="B78" t="str">
            <v>1.50 mm Perfil c 150 x 50 mm g50 galvanizado</v>
          </cell>
        </row>
        <row r="79">
          <cell r="B79" t="str">
            <v>2,0 mm x 150 x 50 - 6 x 2 pulgadas Perfil C</v>
          </cell>
        </row>
        <row r="80">
          <cell r="B80" t="str">
            <v>2,0 mm 8 x 4 cm x 6 metros Tubo rectangular</v>
          </cell>
        </row>
        <row r="82">
          <cell r="B82" t="str">
            <v>HIERRO ARMADO</v>
          </cell>
        </row>
        <row r="83">
          <cell r="B83" t="str">
            <v>Viga Ipe 270mm 24.3lb/Ft 6m A572/G50</v>
          </cell>
        </row>
        <row r="84">
          <cell r="B84" t="str">
            <v>Viga Ipe 200mm 15.0lb/Ft 6m A572/G50 </v>
          </cell>
        </row>
        <row r="85">
          <cell r="B85" t="str">
            <v>Colmena Viga I 250x100107.16kg 6m</v>
          </cell>
        </row>
        <row r="86">
          <cell r="B86" t="str">
            <v>Viga Ipe 160mm 10.6lb/Ft 6m A572/G50</v>
          </cell>
        </row>
        <row r="87">
          <cell r="B87" t="str">
            <v>Viga Ipe 120mm 7.0lb/Ft 6m A572/G50</v>
          </cell>
        </row>
        <row r="88">
          <cell r="B88" t="str">
            <v>Viga Ipe 100mm 5.4lb/Ft 6m A572/G50</v>
          </cell>
        </row>
        <row r="89">
          <cell r="B89" t="str">
            <v>Flejes 3/8 pulgada 25 x 25 cm x 40 unidades</v>
          </cell>
        </row>
        <row r="90">
          <cell r="B90" t="str">
            <v>Flejes 3/8 pulgada 20 x 20 cm x 40 unidades</v>
          </cell>
        </row>
        <row r="91">
          <cell r="B91" t="str">
            <v>Fleje 3/8 pulgada 15 x 10 cm x 40 unidades</v>
          </cell>
        </row>
        <row r="92">
          <cell r="B92" t="str">
            <v>Flejes 1/4 pulgada 20 x 20 cm x 60 unidades</v>
          </cell>
        </row>
        <row r="93">
          <cell r="B93" t="str">
            <v>Flejes 1/4 pulgada 10 x 20 cm x 60 unidades</v>
          </cell>
        </row>
        <row r="94">
          <cell r="B94" t="str">
            <v>Flejes 1/4 pulgada 15 x 15 cm x 60 unidades</v>
          </cell>
        </row>
        <row r="95">
          <cell r="B95" t="str">
            <v>Flejes 1/4 pulgada 10 x 15 cm x 60 unidades</v>
          </cell>
        </row>
        <row r="97">
          <cell r="B97" t="str">
            <v>HIERRO BARRAS</v>
          </cell>
        </row>
        <row r="98">
          <cell r="B98" t="str">
            <v>Varilla g - 60 w 5/8 pulgada x 6 metros corrugada</v>
          </cell>
        </row>
        <row r="99">
          <cell r="B99" t="str">
            <v>Varilla g-60 w 1/2 pulgada x 6 metros corrugada</v>
          </cell>
        </row>
        <row r="100">
          <cell r="B100" t="str">
            <v>Varilla g-60 w 12 mm x 6 metros corrugada</v>
          </cell>
        </row>
        <row r="101">
          <cell r="B101" t="str">
            <v>Varilla g-60 w 11 mm x 6 metros corrugada</v>
          </cell>
        </row>
        <row r="102">
          <cell r="B102" t="str">
            <v>Varilla g-60 w 3/8 pulgada x 6 metros corrugada</v>
          </cell>
        </row>
        <row r="103">
          <cell r="B103" t="str">
            <v>Varilla g-60 w 9 mm x 6 metros corrugada</v>
          </cell>
        </row>
        <row r="104">
          <cell r="B104" t="str">
            <v>Varilla g-60 w 8,5 mm x 6 metros corrugada</v>
          </cell>
        </row>
        <row r="105">
          <cell r="B105" t="str">
            <v>Varilla g-60 w 1/4 pulgada x 6 metros corrugada</v>
          </cell>
        </row>
        <row r="107">
          <cell r="B107" t="str">
            <v>TEJAS</v>
          </cell>
        </row>
        <row r="108">
          <cell r="B108" t="str">
            <v>Polygal Lamina Alveolar 8mm 5.90x2.10m Opal</v>
          </cell>
        </row>
        <row r="109">
          <cell r="B109" t="str">
            <v>Polygal Lamina Alveolar 8mm 5.90x2.10m Bronce</v>
          </cell>
        </row>
        <row r="110">
          <cell r="B110" t="str">
            <v>Polygal Lamina Alveolar 8mm 5.90x2.10m Transparente</v>
          </cell>
        </row>
        <row r="111">
          <cell r="B111" t="str">
            <v>Lamina Alveolar 6mm 5.90x2.10m Azul  Polygal</v>
          </cell>
        </row>
        <row r="112">
          <cell r="B112" t="str">
            <v>Teja Verde 3x0.82m Trapezoidal A360</v>
          </cell>
        </row>
        <row r="113">
          <cell r="B113" t="str">
            <v>Onduline Caballete rojo fiorentino onduvilla</v>
          </cell>
        </row>
        <row r="115">
          <cell r="B115" t="str">
            <v>TUBOS DE PVC</v>
          </cell>
        </row>
        <row r="116">
          <cell r="B116" t="str">
            <v>Pavco 6" x 6 metros tubo sanitario</v>
          </cell>
        </row>
        <row r="117">
          <cell r="B117" t="str">
            <v>Durman 6" x 6 metros tubo sanitario</v>
          </cell>
        </row>
        <row r="118">
          <cell r="B118" t="str">
            <v>Pavco 6" x 3 metros tubo sanitario</v>
          </cell>
        </row>
        <row r="119">
          <cell r="B119" t="str">
            <v>Pavco 2" x 6 metros de largo presión 21 - 200 Psi tubo</v>
          </cell>
        </row>
        <row r="120">
          <cell r="B120" t="str">
            <v>Pavco 4" x 6 metros tubo sanitario</v>
          </cell>
        </row>
        <row r="121">
          <cell r="B121" t="str">
            <v>Durman 4" x 6 metros tubo sanitario</v>
          </cell>
        </row>
        <row r="122">
          <cell r="B122" t="str">
            <v>Pavco 1 1/2" x 6 metros presión 21-200 psi tubo</v>
          </cell>
        </row>
        <row r="123">
          <cell r="B123" t="str">
            <v>Pavco 4" x 6 metros tubo ventilación</v>
          </cell>
        </row>
        <row r="124">
          <cell r="B124" t="str">
            <v>Pavco 3" x 6 metros tubo sanitario</v>
          </cell>
        </row>
        <row r="125">
          <cell r="B125" t="str">
            <v>Pavco 1/2" x 3 metros 6 unidades presión 9-500 psi tubo</v>
          </cell>
        </row>
        <row r="126">
          <cell r="B126" t="str">
            <v>Durman 3" x 6 metros tubo sanitario</v>
          </cell>
        </row>
        <row r="127">
          <cell r="B127" t="str">
            <v>Pavco 1 1/4" x 6 metros presión 21 - 200 Psi tubo</v>
          </cell>
        </row>
        <row r="128">
          <cell r="B128" t="str">
            <v>Pavco 4" x 3 metros tubo sanitario</v>
          </cell>
        </row>
        <row r="129">
          <cell r="B129" t="str">
            <v>Pavco 2" x 6 metros tubo ventilación</v>
          </cell>
        </row>
        <row r="130">
          <cell r="B130" t="str">
            <v>Durman 4" x 3 metros tubo sanitario</v>
          </cell>
        </row>
        <row r="131">
          <cell r="B131" t="str">
            <v>Pavco 2" x 3 metros presión 21 - 200 psi tubo</v>
          </cell>
        </row>
        <row r="132">
          <cell r="B132" t="str">
            <v>Pavco 2" x 6 metros tubo sanitario</v>
          </cell>
        </row>
        <row r="133">
          <cell r="B133" t="str">
            <v>Pavco 6" x 1metro tubo sanitario novatec</v>
          </cell>
        </row>
        <row r="134">
          <cell r="B134" t="str">
            <v>Pavco 1 1/2" x 3 metros presión, 21-200 psi tubo</v>
          </cell>
        </row>
        <row r="135">
          <cell r="B135" t="str">
            <v>Durman 2" x 6 metros tubo sanitario</v>
          </cell>
        </row>
        <row r="136">
          <cell r="B136" t="str">
            <v>Pavco 4" x 3 metros tubo ventilación</v>
          </cell>
        </row>
        <row r="137">
          <cell r="B137" t="str">
            <v>Pavco 3" x 3 metros tubo sanitario</v>
          </cell>
        </row>
        <row r="138">
          <cell r="B138" t="str">
            <v>Pavco 3" x 6 metros tubo ventilación</v>
          </cell>
        </row>
        <row r="139">
          <cell r="B139" t="str">
            <v>Pavco 1 1/2" x 6 metros tubo sanitario</v>
          </cell>
        </row>
        <row r="140">
          <cell r="B140" t="str">
            <v>Durman 3" x 3 metros tubo sanitario</v>
          </cell>
        </row>
        <row r="141">
          <cell r="B141" t="str">
            <v>Durman 1 1/2" x 6 metros tubo sanitario</v>
          </cell>
        </row>
        <row r="142">
          <cell r="B142" t="str">
            <v>Pavco 1 1/4" x 3 metros presión 21 - 200 psi tubo</v>
          </cell>
        </row>
        <row r="143">
          <cell r="B143" t="str">
            <v>Pavco 1" x 6 metros presión, 13,5-315 psi tubo</v>
          </cell>
        </row>
        <row r="144">
          <cell r="B144" t="str">
            <v>Pavco 1 1/2" x 6 metros tubo ventilación</v>
          </cell>
        </row>
        <row r="145">
          <cell r="B145" t="str">
            <v>Pavco 1" x 6 metros presión, 21 - 200 psi tubo</v>
          </cell>
        </row>
        <row r="146">
          <cell r="B146" t="str">
            <v>Pavco 2" x 3 metros tubo sanitario</v>
          </cell>
        </row>
        <row r="147">
          <cell r="B147" t="str">
            <v>Durman 2" x 3 metros tubo sanitario</v>
          </cell>
        </row>
        <row r="148">
          <cell r="B148" t="str">
            <v>Pavco 3" x 3 metros tubo ventilación</v>
          </cell>
        </row>
        <row r="149">
          <cell r="B149" t="str">
            <v>Pavco 2" x 1 metro presión 21 - 200 psi tubo</v>
          </cell>
        </row>
        <row r="150">
          <cell r="B150" t="str">
            <v>Pavco 1 1/2" x 3 metros sanitaria tubo</v>
          </cell>
        </row>
        <row r="151">
          <cell r="B151" t="str">
            <v>Pavco 2" x 3 metros tubo ventilación</v>
          </cell>
        </row>
        <row r="152">
          <cell r="B152" t="str">
            <v>Durman 1 1/2" x 3 metros tubo sanitario</v>
          </cell>
        </row>
        <row r="153">
          <cell r="B153" t="str">
            <v>Pavco 1" x 3 metros presión, 13,5-315 psi tubo</v>
          </cell>
        </row>
        <row r="154">
          <cell r="B154" t="str">
            <v>Pavco 4" x 1 metros tubo ventilación</v>
          </cell>
        </row>
        <row r="155">
          <cell r="B155" t="str">
            <v>Pavco 1" x 3 metros presión, 21-200 psi tubo</v>
          </cell>
        </row>
        <row r="156">
          <cell r="B156" t="str">
            <v>Pavco 3/4" x 6 metros presión, 11 - 400 psi tubo</v>
          </cell>
        </row>
        <row r="157">
          <cell r="B157" t="str">
            <v>Pavco 1 1/2" x 3 metros tubo ventilación</v>
          </cell>
        </row>
        <row r="158">
          <cell r="B158" t="str">
            <v>Pavco 1/2" x 6 metros presión, 9 - 500 psi tubo</v>
          </cell>
        </row>
        <row r="159">
          <cell r="B159" t="str">
            <v>Pavco 3/4" x 6 metros presión, 21 - 200 psi tubo</v>
          </cell>
        </row>
        <row r="160">
          <cell r="B160" t="str">
            <v>Pavco 1/2" x 6 metros presión 13.5 - 315 psi tubo</v>
          </cell>
        </row>
        <row r="161">
          <cell r="B161" t="str">
            <v>Pavco 1 1/4" x 1 metro presión 21 - 200 psi tubo</v>
          </cell>
        </row>
        <row r="162">
          <cell r="B162" t="str">
            <v>Pavco 3" x 1 metro tubo sanitario</v>
          </cell>
        </row>
        <row r="163">
          <cell r="B163" t="str">
            <v>Pavco 3/4" x 3 metros presión, 11-400 psi tubo</v>
          </cell>
        </row>
        <row r="164">
          <cell r="B164" t="str">
            <v>Pavco 1/2" x 3 metros presión, 9-500 psi tubo</v>
          </cell>
        </row>
        <row r="165">
          <cell r="B165" t="str">
            <v>Pavco 2" x 1 metro tubo sanitario</v>
          </cell>
        </row>
        <row r="166">
          <cell r="B166" t="str">
            <v>Pavco 3/4" x 3 metros presión, 21-200 psi tubo</v>
          </cell>
        </row>
        <row r="167">
          <cell r="B167" t="str">
            <v>Pavco 1 1/2" x 1 metro presión 21 - 200 psi tubo</v>
          </cell>
        </row>
        <row r="168">
          <cell r="B168" t="str">
            <v>Pavco 1/2" x 3 metros presión, 13,5-315 psi tubo</v>
          </cell>
        </row>
        <row r="169">
          <cell r="B169" t="str">
            <v>Pavco 1 1/2" x 1 metro tubo sanitario</v>
          </cell>
        </row>
        <row r="170">
          <cell r="B170" t="str">
            <v>Pavco 1" x 1 metro presión 13,5 - 315 psi tubo</v>
          </cell>
        </row>
        <row r="171">
          <cell r="B171" t="str">
            <v>Tubo cuadrado 1</v>
          </cell>
        </row>
        <row r="172">
          <cell r="B172" t="str">
            <v>Tubo cuadrado 3/4</v>
          </cell>
        </row>
        <row r="175">
          <cell r="B175" t="str">
            <v>LLAVES Y VALVULAS</v>
          </cell>
        </row>
        <row r="176">
          <cell r="B176" t="str">
            <v> Válvula cheque antiretorno 4 PVC PCP</v>
          </cell>
        </row>
        <row r="177">
          <cell r="B177" t="str">
            <v>HELBERT VALVULA PIE 2 x 150Psi HELBERT</v>
          </cell>
        </row>
        <row r="178">
          <cell r="B178" t="str">
            <v>Grival Válvula bola rosca 1.1/2 pulgada agua manija</v>
          </cell>
        </row>
        <row r="179">
          <cell r="B179" t="str">
            <v>Grival Válvula cortina 1.1/2plg agua</v>
          </cell>
        </row>
        <row r="180">
          <cell r="B180" t="str">
            <v>Grival Válvula bola rosca 1,1/4 pulgadas agua manija</v>
          </cell>
        </row>
        <row r="181">
          <cell r="B181" t="str">
            <v>Grival Válvula cortina 1.1/4plg agua</v>
          </cell>
        </row>
        <row r="182">
          <cell r="B182" t="str">
            <v>Grival Llave jardín pesada cromo</v>
          </cell>
        </row>
        <row r="183">
          <cell r="B183" t="str">
            <v>Grival Válvula cortina 1plg agua</v>
          </cell>
        </row>
        <row r="184">
          <cell r="B184" t="str">
            <v>Grival Válvula bola rosca 1 pulgada agua manija larga</v>
          </cell>
        </row>
        <row r="185">
          <cell r="B185" t="str">
            <v>Firplak Llave jardín adaptador manguera cromo</v>
          </cell>
        </row>
        <row r="186">
          <cell r="B186" t="str">
            <v>Válvula cortina 1/2 x 200psi r-white hel</v>
          </cell>
        </row>
        <row r="187">
          <cell r="B187" t="str">
            <v>Helbert Válvula bola 1 x 175psi helbert</v>
          </cell>
        </row>
        <row r="188">
          <cell r="B188" t="str">
            <v>Grival Llave jardín extensión satinada</v>
          </cell>
        </row>
        <row r="189">
          <cell r="B189" t="str">
            <v>Helbert Válvula bola 1/2 175 psi hembra-hembra antifraude novasfer</v>
          </cell>
        </row>
        <row r="190">
          <cell r="B190" t="str">
            <v>Grival Llave jardín 1/2 x 3/4 pulgada cromo satín</v>
          </cell>
        </row>
        <row r="191">
          <cell r="B191" t="str">
            <v>Grival Válvula cortina 3/4 pulgadas agua</v>
          </cell>
        </row>
        <row r="192">
          <cell r="B192" t="str">
            <v>Grival Llave jardín pesada satín</v>
          </cell>
        </row>
        <row r="193">
          <cell r="B193" t="str">
            <v>Helbert Válvula bola 1/2 175 psi hembra-macho antifraude</v>
          </cell>
        </row>
        <row r="194">
          <cell r="B194" t="str">
            <v>Intergrifos Llave terminal cromado-lisa Ø = 1/2"</v>
          </cell>
        </row>
        <row r="195">
          <cell r="B195" t="str">
            <v>Grival Válvula bola rosca 1/2 pulgada agua manija mariposa</v>
          </cell>
        </row>
        <row r="196">
          <cell r="B196" t="str">
            <v>Grival Válvula bola 1/2 rosca hembra/macho agua manija mariposa</v>
          </cell>
        </row>
        <row r="197">
          <cell r="B197" t="str">
            <v>Grival Válvula cortina 1/2plg agua</v>
          </cell>
        </row>
        <row r="198">
          <cell r="B198" t="str">
            <v>Grival Válvula bola rosca 1/2 pulgada agua manija larga</v>
          </cell>
        </row>
        <row r="199">
          <cell r="B199" t="str">
            <v>Helbert Válvula bola 1/2 x 175 psi</v>
          </cell>
        </row>
        <row r="200">
          <cell r="B200" t="str">
            <v>Humboldt Válvula pvc 2 pulgadas roscada 235 psi</v>
          </cell>
        </row>
        <row r="201">
          <cell r="B201" t="str">
            <v>Llave cocina 1/2 pulgada bronce humboldt</v>
          </cell>
        </row>
        <row r="202">
          <cell r="B202" t="str">
            <v>Humboldt Válvula bola 3/4 pulgada (1,90 cm diámetro) bronce, Humboldt</v>
          </cell>
        </row>
        <row r="203">
          <cell r="B203" t="str">
            <v>Llave jardín 1/2 pulgada bronce humboldt</v>
          </cell>
        </row>
        <row r="204">
          <cell r="B204" t="str">
            <v>Humboldt Válvula pvc 3/4 pulgada lisa 235 psi</v>
          </cell>
        </row>
        <row r="205">
          <cell r="B205" t="str">
            <v>Humboldt Llave terminal plástica jardín 1/2 pulgada</v>
          </cell>
        </row>
        <row r="206">
          <cell r="B206" t="str">
            <v>Humboldt Válvula pvc 1/2 pulgadas lisa 235 psi</v>
          </cell>
        </row>
        <row r="207">
          <cell r="B207" t="str">
            <v>Llave de Chorro Grival</v>
          </cell>
        </row>
        <row r="209">
          <cell r="B209" t="str">
            <v>OTROS</v>
          </cell>
        </row>
        <row r="210">
          <cell r="B210" t="str">
            <v xml:space="preserve">Puntillas </v>
          </cell>
        </row>
        <row r="211">
          <cell r="B211" t="str">
            <v>Liston Ordinario 0.05 m X 0.05 m  X 3  m.</v>
          </cell>
        </row>
        <row r="212">
          <cell r="B212" t="str">
            <v>Tela Bogota</v>
          </cell>
        </row>
        <row r="213">
          <cell r="B213" t="str">
            <v>Tabla ordinaria 2,50mx0,14m</v>
          </cell>
        </row>
        <row r="214">
          <cell r="B214" t="str">
            <v>Sub-Base Granular</v>
          </cell>
        </row>
        <row r="215">
          <cell r="B215" t="str">
            <v>Lamina de Zinc corrugada 2,44mx0,90m</v>
          </cell>
        </row>
        <row r="216">
          <cell r="B216" t="str">
            <v>Amarres para teja</v>
          </cell>
        </row>
        <row r="217">
          <cell r="B217" t="str">
            <v>Bisagra Industrial Cobriza 3"</v>
          </cell>
        </row>
        <row r="218">
          <cell r="B218" t="str">
            <v>Liston de madera 0,03x0,05x3 m</v>
          </cell>
        </row>
        <row r="219">
          <cell r="B219" t="str">
            <v>Liston de madera 0,05x0,05x3 m</v>
          </cell>
        </row>
        <row r="220">
          <cell r="B220" t="str">
            <v xml:space="preserve">Disco Diamantado </v>
          </cell>
        </row>
        <row r="221">
          <cell r="B221" t="str">
            <v>Arena de Cantera</v>
          </cell>
        </row>
        <row r="222">
          <cell r="B222" t="str">
            <v>Formaleta 1</v>
          </cell>
        </row>
        <row r="223">
          <cell r="B223" t="str">
            <v>Piedra &gt; 4"</v>
          </cell>
        </row>
        <row r="224">
          <cell r="B224" t="str">
            <v xml:space="preserve">Malla Electrosoldada </v>
          </cell>
        </row>
        <row r="225">
          <cell r="B225" t="str">
            <v>Alambre Negro No. 18</v>
          </cell>
        </row>
        <row r="226">
          <cell r="B226" t="str">
            <v>Acero de Refuerzo A-37 D = 3/8"</v>
          </cell>
        </row>
        <row r="227">
          <cell r="B227" t="str">
            <v>Ladrillo</v>
          </cell>
        </row>
        <row r="228">
          <cell r="B228" t="str">
            <v>Puntillas 1 1/2" - 3"</v>
          </cell>
        </row>
        <row r="229">
          <cell r="B229" t="str">
            <v>Guadua puesta en Obra</v>
          </cell>
        </row>
        <row r="230">
          <cell r="B230" t="str">
            <v>Tabla ordinaria  2.50 m X 0.14 m</v>
          </cell>
        </row>
        <row r="231">
          <cell r="B231" t="str">
            <v>Liston  0.01*0.04*3.00 tolua</v>
          </cell>
        </row>
        <row r="232">
          <cell r="B232" t="str">
            <v>Acero FY 37000 PSI Corte-Figur-Amarre</v>
          </cell>
        </row>
        <row r="233">
          <cell r="B233" t="str">
            <v>Bisagra Induma Ancha Hi 3</v>
          </cell>
        </row>
        <row r="234">
          <cell r="B234" t="str">
            <v>Estacas de Madera</v>
          </cell>
        </row>
        <row r="235">
          <cell r="B235" t="str">
            <v>Pintura en Aceite</v>
          </cell>
        </row>
        <row r="236">
          <cell r="B236" t="str">
            <v>Hilo</v>
          </cell>
        </row>
        <row r="238">
          <cell r="B238" t="str">
            <v>Sub Base Granular</v>
          </cell>
        </row>
        <row r="239">
          <cell r="B239" t="str">
            <v>Base Granular</v>
          </cell>
        </row>
        <row r="240">
          <cell r="B240" t="str">
            <v>Material crudo tamaño max. 4"</v>
          </cell>
        </row>
        <row r="243">
          <cell r="B243" t="str">
            <v>Ladrillo Tolete</v>
          </cell>
        </row>
        <row r="244">
          <cell r="B244" t="str">
            <v>Geotextil NT-1600</v>
          </cell>
        </row>
        <row r="245">
          <cell r="B245" t="str">
            <v>Gravilla No. 2</v>
          </cell>
        </row>
        <row r="246">
          <cell r="B246" t="str">
            <v>Caja en malla Triple Torsion Cal. 10 (Dim 2x1x1)</v>
          </cell>
        </row>
        <row r="247">
          <cell r="B247" t="str">
            <v>Piedra Bolo</v>
          </cell>
        </row>
        <row r="249">
          <cell r="B249" t="str">
            <v>Cemento Gris Bulto</v>
          </cell>
        </row>
        <row r="250">
          <cell r="B250" t="str">
            <v>Cemento Gris</v>
          </cell>
        </row>
        <row r="251">
          <cell r="B251" t="str">
            <v>Arena</v>
          </cell>
        </row>
        <row r="252">
          <cell r="B252" t="str">
            <v>Triturado</v>
          </cell>
        </row>
        <row r="253">
          <cell r="B253" t="str">
            <v>Agua</v>
          </cell>
        </row>
        <row r="255">
          <cell r="B255" t="str">
            <v>Concreto 4000 PSI</v>
          </cell>
        </row>
        <row r="256">
          <cell r="B256" t="str">
            <v>Concreto de 3500 PSI</v>
          </cell>
        </row>
        <row r="257">
          <cell r="B257" t="str">
            <v xml:space="preserve">Concreto Simple f' c = 210 Kg/Cm2 </v>
          </cell>
        </row>
        <row r="258">
          <cell r="B258" t="str">
            <v>Concreto de 2500 PSI</v>
          </cell>
        </row>
        <row r="259">
          <cell r="B259" t="str">
            <v>Concreto de 2000 PSI</v>
          </cell>
        </row>
        <row r="260">
          <cell r="B260" t="str">
            <v>Concreto de 3000 PSI</v>
          </cell>
        </row>
        <row r="261">
          <cell r="B261" t="str">
            <v>Impermeabilizante</v>
          </cell>
        </row>
        <row r="263">
          <cell r="B263" t="str">
            <v>Mortero 1:2</v>
          </cell>
        </row>
        <row r="264">
          <cell r="B264" t="str">
            <v>Mortero 1:3</v>
          </cell>
        </row>
        <row r="265">
          <cell r="B265" t="str">
            <v>Mortero 1:4 ( Normal)</v>
          </cell>
        </row>
        <row r="266">
          <cell r="B266"/>
        </row>
        <row r="267">
          <cell r="B267"/>
        </row>
        <row r="268">
          <cell r="B268" t="str">
            <v>Sardinel Prefabricado Bajo Rampa 80x30x15 cms</v>
          </cell>
        </row>
        <row r="269">
          <cell r="B269" t="str">
            <v>Sardinel Prefabricado de Transición 60x45x15 cms</v>
          </cell>
        </row>
        <row r="270">
          <cell r="B270" t="str">
            <v>Sardinel Prefabricado 80x45x15 cms</v>
          </cell>
        </row>
        <row r="271">
          <cell r="B271"/>
        </row>
        <row r="272">
          <cell r="B272" t="str">
            <v>Acero Figurado 60.000 PSI  Ø = 1/2"</v>
          </cell>
        </row>
        <row r="273">
          <cell r="B273" t="str">
            <v>Acero de Refuerzo de 60.000 PSI</v>
          </cell>
        </row>
        <row r="274">
          <cell r="B274" t="str">
            <v>Malla Electrosoldada 5 mm x 15 x 15</v>
          </cell>
        </row>
        <row r="275">
          <cell r="B275" t="str">
            <v>Metaldeck 3" cal. 18 ancho util 36"</v>
          </cell>
        </row>
        <row r="276">
          <cell r="B276" t="str">
            <v>Hierro  1/4 a 3/8" 37000 PSI</v>
          </cell>
        </row>
        <row r="277">
          <cell r="B277" t="str">
            <v>Perfil Metalico 200 X 300 mm e = 10 mm</v>
          </cell>
        </row>
        <row r="278">
          <cell r="B278" t="str">
            <v>Perfil Metalico 100 X 280 mm e = 10 mm</v>
          </cell>
        </row>
        <row r="279">
          <cell r="B279" t="str">
            <v>Acero 5/8"</v>
          </cell>
        </row>
        <row r="280">
          <cell r="B280" t="str">
            <v>Soldadura 6013</v>
          </cell>
        </row>
        <row r="281">
          <cell r="B281" t="str">
            <v>Tuberia Rectangular De 3x1+1/2 Pulg.Cal.18</v>
          </cell>
        </row>
        <row r="282">
          <cell r="B282" t="str">
            <v>Tubería PVC RDE 21 PSI Ø = 3/4"</v>
          </cell>
        </row>
        <row r="283">
          <cell r="B283" t="str">
            <v>Adaptor Macho PVC  Ø = 1/2"</v>
          </cell>
        </row>
        <row r="284">
          <cell r="B284" t="str">
            <v>Soldadura Liquida PVC</v>
          </cell>
        </row>
        <row r="285">
          <cell r="B285" t="str">
            <v>Tubería  PVC RDE 13.5-315 psi Ø = 1/2"</v>
          </cell>
        </row>
        <row r="286">
          <cell r="B286" t="str">
            <v>Limpiador Removedor</v>
          </cell>
        </row>
        <row r="287">
          <cell r="B287" t="str">
            <v xml:space="preserve">CodoPVC-P.90║ Ø = 1/2" </v>
          </cell>
        </row>
        <row r="288">
          <cell r="B288" t="str">
            <v>Union PVC de  Ø = 1/2"</v>
          </cell>
        </row>
        <row r="289">
          <cell r="B289" t="str">
            <v>Tubería PVC RDE 21-200 PSI Ø = 1"</v>
          </cell>
        </row>
        <row r="290">
          <cell r="B290" t="str">
            <v>Union PVC de Ø = 1"</v>
          </cell>
        </row>
        <row r="291">
          <cell r="B291" t="str">
            <v>Registro de Ø = 1/2"</v>
          </cell>
        </row>
        <row r="292">
          <cell r="B292" t="str">
            <v>Adaptador Macho PVC  Ø = 1/2"</v>
          </cell>
        </row>
        <row r="293">
          <cell r="B293" t="str">
            <v>Cinta Teflón</v>
          </cell>
        </row>
        <row r="294">
          <cell r="B294" t="str">
            <v>Registro de Ø = 3/4"</v>
          </cell>
        </row>
        <row r="295">
          <cell r="B295" t="str">
            <v>Adaptador Macho PVC  Ø = 3/4"</v>
          </cell>
        </row>
        <row r="296">
          <cell r="B296" t="str">
            <v>Registro de paso directo Ø = 1"</v>
          </cell>
        </row>
        <row r="297">
          <cell r="B297" t="str">
            <v>Adaptador terminal PVC Ø = 1"</v>
          </cell>
        </row>
        <row r="298">
          <cell r="B298" t="str">
            <v>Llave de Paso Ø = 1/2"</v>
          </cell>
        </row>
        <row r="299">
          <cell r="B299" t="str">
            <v>Teflón</v>
          </cell>
        </row>
        <row r="300">
          <cell r="B300" t="str">
            <v>Accesorios PVC Presión Ø = 1/2"</v>
          </cell>
        </row>
        <row r="301">
          <cell r="B301" t="str">
            <v>Llave Terminal de Ø = 1/2"</v>
          </cell>
        </row>
        <row r="302">
          <cell r="B302" t="str">
            <v>Tubería PVC RDE 21 de  Ø = 2"</v>
          </cell>
        </row>
        <row r="303">
          <cell r="B303" t="str">
            <v>Lubricante</v>
          </cell>
        </row>
        <row r="304">
          <cell r="B304" t="str">
            <v>Tubería PVC RDE 21 de Ø = 3"</v>
          </cell>
        </row>
        <row r="305">
          <cell r="B305" t="str">
            <v>Tubería PVC de Ø =  4" U.P. RDE 21 de 200PSI</v>
          </cell>
        </row>
        <row r="306">
          <cell r="B306" t="str">
            <v>Limpiador Removedor PVC</v>
          </cell>
        </row>
        <row r="307">
          <cell r="B307" t="str">
            <v>Valvula de Ø = 2" en HF</v>
          </cell>
        </row>
        <row r="308">
          <cell r="B308" t="str">
            <v>Valvula de Ø = 3" en HF</v>
          </cell>
        </row>
        <row r="309">
          <cell r="B309" t="str">
            <v>Tee de Ø = 2"</v>
          </cell>
        </row>
        <row r="310">
          <cell r="B310" t="str">
            <v>Tee de Ø = 3"</v>
          </cell>
        </row>
        <row r="311">
          <cell r="B311" t="str">
            <v>Tee de 3"X2"</v>
          </cell>
        </row>
        <row r="312">
          <cell r="B312" t="str">
            <v>Tee de 4"X3"</v>
          </cell>
        </row>
        <row r="313">
          <cell r="B313" t="str">
            <v>Reducción PVC de Ø = 3"X2"</v>
          </cell>
        </row>
        <row r="314">
          <cell r="B314" t="str">
            <v>Codo PVC de Ø = 3"</v>
          </cell>
        </row>
        <row r="315">
          <cell r="B315" t="str">
            <v>Tapón PVC de Ø = 2"</v>
          </cell>
        </row>
        <row r="316">
          <cell r="B316" t="str">
            <v>Tapón PVC de Ø = 3"</v>
          </cell>
        </row>
        <row r="317">
          <cell r="B317" t="str">
            <v>Hidrante 3" T.P. H.F.</v>
          </cell>
        </row>
        <row r="318">
          <cell r="B318" t="str">
            <v>Soldadura Liquida Schedule 40 x 1/4</v>
          </cell>
        </row>
        <row r="319">
          <cell r="B319" t="str">
            <v>Collar de Derivación de 3" A 1/2"</v>
          </cell>
        </row>
        <row r="320">
          <cell r="B320" t="str">
            <v>Accesorios (Adaptador Macho 1/2", Uniones)</v>
          </cell>
        </row>
        <row r="321">
          <cell r="B321" t="str">
            <v>Cinta Teflon por 10 m</v>
          </cell>
        </row>
        <row r="322">
          <cell r="B322" t="str">
            <v>Registro Antifraude Tipo Humedo</v>
          </cell>
        </row>
        <row r="323">
          <cell r="B323" t="str">
            <v>Llave de Corte</v>
          </cell>
        </row>
        <row r="324">
          <cell r="B324" t="str">
            <v>Llave de Contencion</v>
          </cell>
        </row>
        <row r="325">
          <cell r="B325" t="str">
            <v>Llave de Incorporación 1/2"</v>
          </cell>
        </row>
        <row r="326">
          <cell r="B326" t="str">
            <v>Tubería PF+UAD 1/2"</v>
          </cell>
        </row>
        <row r="327">
          <cell r="B327" t="str">
            <v>Medidor de Agua Potable</v>
          </cell>
        </row>
        <row r="328">
          <cell r="B328" t="str">
            <v>Tapa en HF tipo Chorote</v>
          </cell>
        </row>
        <row r="329">
          <cell r="B329" t="str">
            <v>Adaptador HembraA de 3/4 Ralco</v>
          </cell>
        </row>
        <row r="330">
          <cell r="B330" t="str">
            <v>Cruz PVC de 3" X 3" X 3" X 3"</v>
          </cell>
        </row>
        <row r="331">
          <cell r="B331" t="str">
            <v xml:space="preserve">Cruz PVC de 4"X 3" X 4" X 3" </v>
          </cell>
        </row>
        <row r="332">
          <cell r="B332" t="str">
            <v xml:space="preserve">Tee  3" X 3" X 3" PVC </v>
          </cell>
        </row>
        <row r="333">
          <cell r="B333" t="str">
            <v>Tee  8" X 4" X 8" PVC</v>
          </cell>
        </row>
        <row r="334">
          <cell r="B334" t="str">
            <v>Reducción de 4" A 3"</v>
          </cell>
        </row>
        <row r="335">
          <cell r="B335" t="str">
            <v>Unión de Reparación de PVC Ø = 3"</v>
          </cell>
        </row>
        <row r="336">
          <cell r="B336" t="str">
            <v>Unión de Reparación de PVC Ø = 4"</v>
          </cell>
        </row>
        <row r="337">
          <cell r="B337" t="str">
            <v>Unión de Reparación de PVC Ø = 8"</v>
          </cell>
        </row>
        <row r="338">
          <cell r="B338" t="str">
            <v>Válvula de 3" en HF</v>
          </cell>
        </row>
        <row r="339">
          <cell r="B339" t="str">
            <v>Válvula de 4" en HF</v>
          </cell>
        </row>
        <row r="340">
          <cell r="B340" t="str">
            <v>Tee de 1 RALCO</v>
          </cell>
        </row>
        <row r="341">
          <cell r="B341" t="str">
            <v>Accesorios PVC 1/2"</v>
          </cell>
        </row>
        <row r="342">
          <cell r="B342"/>
        </row>
        <row r="343">
          <cell r="B343" t="str">
            <v>Codo 90ø de 3/4 RALCO</v>
          </cell>
        </row>
        <row r="344">
          <cell r="B344" t="str">
            <v>Tubería PVC SANIT. 2" GERFOR</v>
          </cell>
        </row>
        <row r="345">
          <cell r="B345" t="str">
            <v>Codo de 2" CXE 90° RALCO</v>
          </cell>
        </row>
        <row r="346">
          <cell r="B346" t="str">
            <v>Limpiador Removedor GERFOR</v>
          </cell>
        </row>
        <row r="347">
          <cell r="B347" t="str">
            <v>Soldadura Liquida PVC  CESOL</v>
          </cell>
        </row>
        <row r="348">
          <cell r="B348" t="str">
            <v>Tubería PVC SANIT. 3" GERFOR</v>
          </cell>
        </row>
        <row r="349">
          <cell r="B349" t="str">
            <v>Codo de 3" CXE 90° RALCO</v>
          </cell>
        </row>
        <row r="350">
          <cell r="B350" t="str">
            <v>Tubería PVC Sanitaria 4"</v>
          </cell>
        </row>
        <row r="351">
          <cell r="B351" t="str">
            <v>CodoPVC SANIT.90 ░- 4" CxC</v>
          </cell>
        </row>
        <row r="352">
          <cell r="B352"/>
        </row>
        <row r="353">
          <cell r="B353" t="str">
            <v>Tubo Sanitario Ø =2"</v>
          </cell>
        </row>
        <row r="354">
          <cell r="B354" t="str">
            <v>Tubería PVC Sanitaria  Ø = 3"</v>
          </cell>
        </row>
        <row r="355">
          <cell r="B355" t="str">
            <v>Union PVC de  Ø = 3"</v>
          </cell>
        </row>
        <row r="356">
          <cell r="B356" t="str">
            <v>Tubería PVC Sanitaria  Ø = 4"</v>
          </cell>
        </row>
        <row r="357">
          <cell r="B357" t="str">
            <v>Union PVC Sanitaria de  Ø = 4"</v>
          </cell>
        </row>
        <row r="358">
          <cell r="B358" t="str">
            <v>Tubería PVC Sanitaria  Ø = 6"</v>
          </cell>
        </row>
        <row r="359">
          <cell r="B359" t="str">
            <v>Union PVC Sanitaria de  Ø = 6" RALCO</v>
          </cell>
        </row>
        <row r="360">
          <cell r="B360" t="str">
            <v>Tubería PVC 200 mm</v>
          </cell>
        </row>
        <row r="361">
          <cell r="B361" t="str">
            <v>Tubo PVC Novafort  Ø = 10"</v>
          </cell>
        </row>
        <row r="362">
          <cell r="B362" t="str">
            <v>Tubo PVC Novafort  Ø = 12"</v>
          </cell>
        </row>
        <row r="363">
          <cell r="B363" t="str">
            <v>Tubo PVC Novafort  Ø = 16"</v>
          </cell>
        </row>
        <row r="364">
          <cell r="B364" t="str">
            <v>Tubo PVC Novafort  Ø = 18"</v>
          </cell>
        </row>
        <row r="365">
          <cell r="B365" t="str">
            <v>Tubo PVC Novafort  Ø = 20"</v>
          </cell>
        </row>
        <row r="366">
          <cell r="B366" t="str">
            <v>Tubo PVC Novafort  Ø = 24"</v>
          </cell>
        </row>
        <row r="367">
          <cell r="B367" t="str">
            <v>Tubo PVC Novafort  Ø = 36"</v>
          </cell>
        </row>
        <row r="368">
          <cell r="B368" t="str">
            <v>Tubo PVC Novafort  Ø = 57"</v>
          </cell>
        </row>
        <row r="369">
          <cell r="B369" t="str">
            <v>Papelera Astro Blanco</v>
          </cell>
        </row>
        <row r="370">
          <cell r="B370" t="str">
            <v>Hidrosello</v>
          </cell>
        </row>
        <row r="371">
          <cell r="B371" t="str">
            <v>Sifon sanitario 135° cxe 3 pulg.</v>
          </cell>
        </row>
        <row r="372">
          <cell r="B372" t="str">
            <v>Tubería PVC Aguas Lluvias Ø = 4"</v>
          </cell>
        </row>
        <row r="373">
          <cell r="B373" t="str">
            <v>Codo PVC-S 90 Ø = 4" C x C</v>
          </cell>
        </row>
        <row r="374">
          <cell r="B374" t="str">
            <v>Sifon en P Grival</v>
          </cell>
        </row>
        <row r="375">
          <cell r="B375" t="str">
            <v>Sanitario Acuacer Corona Blanco GyM o Similar</v>
          </cell>
        </row>
        <row r="376">
          <cell r="B376" t="str">
            <v>Cemento Blanco</v>
          </cell>
        </row>
        <row r="377">
          <cell r="B377" t="str">
            <v>Grifería Sanitaria</v>
          </cell>
        </row>
        <row r="378">
          <cell r="B378" t="str">
            <v>Manguera para Sanitario</v>
          </cell>
        </row>
        <row r="379">
          <cell r="B379" t="str">
            <v>Lavamanos Empotrar Blanco Nova Iiris 4" INC. GRIF.</v>
          </cell>
        </row>
        <row r="380">
          <cell r="B380" t="str">
            <v>Cemento Blanco Nare</v>
          </cell>
        </row>
        <row r="381">
          <cell r="B381" t="str">
            <v>Lavamanos con Pedestal y Grifería</v>
          </cell>
        </row>
        <row r="382">
          <cell r="B382" t="str">
            <v>Lavaplatos Doble en Acero Inoxidable</v>
          </cell>
        </row>
        <row r="383">
          <cell r="B383" t="str">
            <v>Incrustaciones blancas de porcelana</v>
          </cell>
        </row>
        <row r="384">
          <cell r="B384" t="str">
            <v>Ducha Sencilla</v>
          </cell>
        </row>
        <row r="385">
          <cell r="B385" t="str">
            <v>Registro de 1/2" corte</v>
          </cell>
        </row>
        <row r="386">
          <cell r="B386" t="str">
            <v>Registro de 1" corte</v>
          </cell>
        </row>
        <row r="387">
          <cell r="B387" t="str">
            <v>Tanque Plastico 1000 L. -Conico Negro</v>
          </cell>
        </row>
        <row r="388">
          <cell r="B388" t="str">
            <v>Universal PVC -1"</v>
          </cell>
        </row>
        <row r="389">
          <cell r="B389" t="str">
            <v>Registro de Bola 1"  Metalico</v>
          </cell>
        </row>
        <row r="390">
          <cell r="B390" t="str">
            <v>Codo PVC-P.90║ -1"</v>
          </cell>
        </row>
        <row r="391">
          <cell r="B391" t="str">
            <v>Tee PVC Schedule 40-1"</v>
          </cell>
        </row>
        <row r="392">
          <cell r="B392" t="str">
            <v>Cinta Teflon</v>
          </cell>
        </row>
        <row r="393">
          <cell r="B393" t="str">
            <v>Orinal Institucional con Grifería</v>
          </cell>
        </row>
        <row r="394">
          <cell r="B394" t="str">
            <v>Tanque Ajover 500 Lts</v>
          </cell>
        </row>
        <row r="395">
          <cell r="B395" t="str">
            <v xml:space="preserve">Bloque de Arcilla No.5 </v>
          </cell>
        </row>
        <row r="396">
          <cell r="B396" t="str">
            <v>Ladrillo a la vista</v>
          </cell>
        </row>
        <row r="397">
          <cell r="B397" t="str">
            <v>Alfajia en Ladrillo</v>
          </cell>
        </row>
        <row r="398">
          <cell r="B398" t="str">
            <v>Lavadero Prefabricado en Concreto</v>
          </cell>
        </row>
        <row r="399">
          <cell r="B399" t="str">
            <v>Sika 101 Mortero Gris Sika</v>
          </cell>
        </row>
        <row r="400">
          <cell r="B400" t="str">
            <v>Estuco Plastico</v>
          </cell>
        </row>
        <row r="401">
          <cell r="B401" t="str">
            <v>Pasta Acrilica para Base de Estuco</v>
          </cell>
        </row>
        <row r="402">
          <cell r="B402" t="str">
            <v>Lija 150</v>
          </cell>
        </row>
        <row r="403">
          <cell r="B403" t="str">
            <v>Griferia Lavaplatos</v>
          </cell>
        </row>
        <row r="404">
          <cell r="B404" t="str">
            <v>Ceramica</v>
          </cell>
        </row>
        <row r="405">
          <cell r="B405" t="str">
            <v>Pegacor Blanco * 10 Kg</v>
          </cell>
        </row>
        <row r="406">
          <cell r="B406" t="str">
            <v>Ceramica duropiso 33 x 33 cm</v>
          </cell>
        </row>
        <row r="407">
          <cell r="B407" t="str">
            <v xml:space="preserve">Gravilla T-1 </v>
          </cell>
        </row>
        <row r="408">
          <cell r="B408" t="str">
            <v>Porcelanato de 60 x 60 cm</v>
          </cell>
        </row>
        <row r="409">
          <cell r="B409" t="str">
            <v>Estopa Blanca</v>
          </cell>
        </row>
        <row r="410">
          <cell r="B410" t="str">
            <v>Tablon 33 x 33 cm Antideslizante - Vitrificado</v>
          </cell>
        </row>
        <row r="411">
          <cell r="B411" t="str">
            <v>Mineral Rojo</v>
          </cell>
        </row>
        <row r="412">
          <cell r="B412" t="str">
            <v>Ceramica Antideslizante 30*30 cm o superior</v>
          </cell>
        </row>
        <row r="413">
          <cell r="B413" t="str">
            <v>Guardaescoba en Tableta Vitrificada 1A</v>
          </cell>
        </row>
        <row r="414">
          <cell r="B414" t="str">
            <v>Ceramica 25x35</v>
          </cell>
        </row>
        <row r="415">
          <cell r="B415" t="str">
            <v>Sika set-L</v>
          </cell>
        </row>
        <row r="416">
          <cell r="B416" t="str">
            <v>Antisol</v>
          </cell>
        </row>
        <row r="417">
          <cell r="B417" t="str">
            <v>Barra de acero lisa Ø = 3/4"</v>
          </cell>
        </row>
        <row r="418">
          <cell r="B418" t="str">
            <v>Emulsión Asfaltica CRR-1</v>
          </cell>
        </row>
        <row r="419">
          <cell r="B419"/>
        </row>
        <row r="420">
          <cell r="B420" t="str">
            <v>Emulsión asfáltica tipo CRL-1</v>
          </cell>
        </row>
        <row r="421">
          <cell r="B421" t="str">
            <v xml:space="preserve">Mezcla densa en caliente tipo MDC-2 </v>
          </cell>
        </row>
        <row r="422">
          <cell r="B422"/>
        </row>
        <row r="423">
          <cell r="B423" t="str">
            <v>Bolsacreto</v>
          </cell>
        </row>
        <row r="424">
          <cell r="B424"/>
        </row>
        <row r="425">
          <cell r="B425" t="str">
            <v xml:space="preserve">Adoquin Colonial 10 x 20 x 8 cm </v>
          </cell>
        </row>
        <row r="426">
          <cell r="B426" t="str">
            <v xml:space="preserve">Malla L- 098 20x20x5mm </v>
          </cell>
        </row>
        <row r="427">
          <cell r="B427" t="str">
            <v>Loseta prefabricada de cemento 40x40x6cm</v>
          </cell>
        </row>
        <row r="428">
          <cell r="B428"/>
        </row>
        <row r="429">
          <cell r="B429" t="str">
            <v>Tubo de Concreto Ø = 36" F'c = 210 Kg/Cm2</v>
          </cell>
        </row>
        <row r="430">
          <cell r="B430" t="str">
            <v>Piedra Rajoneada</v>
          </cell>
        </row>
        <row r="431">
          <cell r="B431" t="str">
            <v>Gancho doble astro blanco</v>
          </cell>
        </row>
        <row r="432">
          <cell r="B432" t="str">
            <v>Jabonera lavamanos astro blanco</v>
          </cell>
        </row>
        <row r="433">
          <cell r="B433" t="str">
            <v>Alambre Galvanizado No.12</v>
          </cell>
        </row>
        <row r="434">
          <cell r="B434" t="str">
            <v>Cuarton de 2"x 4" x 3 mts</v>
          </cell>
        </row>
        <row r="435">
          <cell r="B435" t="str">
            <v>Gavión de 2x1x1 mts Cal.12</v>
          </cell>
        </row>
        <row r="436">
          <cell r="B436" t="str">
            <v>Piedra Bola</v>
          </cell>
        </row>
        <row r="437">
          <cell r="B437" t="str">
            <v>Puntilla de 2-1/2"</v>
          </cell>
        </row>
        <row r="438">
          <cell r="B438" t="str">
            <v>Tabla de 1cmsx10cmsx3mts</v>
          </cell>
        </row>
        <row r="439">
          <cell r="B439"/>
        </row>
        <row r="440">
          <cell r="B440" t="str">
            <v xml:space="preserve">Tornillo goloso de 1/2" </v>
          </cell>
        </row>
        <row r="441">
          <cell r="B441" t="str">
            <v>Puerta en Aluminio Sencilla con vidrio(marco y bisagra)</v>
          </cell>
        </row>
        <row r="442">
          <cell r="B442" t="str">
            <v>Cerradura Yale L-370</v>
          </cell>
        </row>
        <row r="443">
          <cell r="B443" t="str">
            <v>Ventana en aluminio tipo persiana</v>
          </cell>
        </row>
        <row r="444">
          <cell r="B444" t="str">
            <v>Division para  Baño en Aluminio</v>
          </cell>
        </row>
        <row r="445">
          <cell r="B445" t="str">
            <v>Puerta en  Lamina COLL ROLED CAL 20</v>
          </cell>
        </row>
        <row r="446">
          <cell r="B446" t="str">
            <v>Puerta en  Lamina COLL ROLED CAL 18</v>
          </cell>
        </row>
        <row r="447">
          <cell r="B447" t="str">
            <v>Chapa Cisa Cilindri Fijo</v>
          </cell>
        </row>
        <row r="448">
          <cell r="B448" t="str">
            <v>Disolvente</v>
          </cell>
        </row>
        <row r="449">
          <cell r="B449" t="str">
            <v>Pintura en Esmalte</v>
          </cell>
        </row>
        <row r="450">
          <cell r="B450" t="str">
            <v>Pintura en Anticorrosivo</v>
          </cell>
        </row>
        <row r="451">
          <cell r="B451" t="str">
            <v>Ventana en Lamina  ROLED CAL 18</v>
          </cell>
        </row>
        <row r="452">
          <cell r="B452" t="str">
            <v>Reja en TuboDE 3/4"</v>
          </cell>
        </row>
        <row r="453">
          <cell r="B453" t="str">
            <v>Cerradura Oficina SVHLAGE</v>
          </cell>
        </row>
        <row r="454">
          <cell r="B454" t="str">
            <v xml:space="preserve">Vidrio 4 M M. </v>
          </cell>
        </row>
        <row r="455">
          <cell r="B455" t="str">
            <v>Silicona</v>
          </cell>
        </row>
        <row r="456">
          <cell r="B456" t="str">
            <v>Ventanas Metalicas</v>
          </cell>
        </row>
        <row r="457">
          <cell r="B457" t="str">
            <v>Lamína  de Zinc Arquitectónico A=0,80 M</v>
          </cell>
        </row>
        <row r="458">
          <cell r="B458" t="str">
            <v>Teja supertrapezoidal termoacustica</v>
          </cell>
        </row>
        <row r="459">
          <cell r="B459" t="str">
            <v>Caballete Termoacustico</v>
          </cell>
        </row>
        <row r="460">
          <cell r="B460" t="str">
            <v>Amarre de Tuerca</v>
          </cell>
        </row>
        <row r="461">
          <cell r="B461" t="str">
            <v>Lamina galvanizada 4 x 8 Cal. 18</v>
          </cell>
        </row>
        <row r="462">
          <cell r="B462" t="str">
            <v>Soldadura 6013 x 1/8"</v>
          </cell>
        </row>
        <row r="463">
          <cell r="B463" t="str">
            <v>Tubo estructural de 100 x50x2.0</v>
          </cell>
        </row>
        <row r="464">
          <cell r="B464" t="str">
            <v>Varilla lisa de 12.4 mm</v>
          </cell>
        </row>
        <row r="465">
          <cell r="B465" t="str">
            <v>Platina 0.15*0.20*1/4"</v>
          </cell>
        </row>
        <row r="466">
          <cell r="B466" t="str">
            <v>Tornillo 5/8"*2" con tuerca</v>
          </cell>
        </row>
        <row r="467">
          <cell r="B467" t="str">
            <v>Anticorrosivo gris</v>
          </cell>
        </row>
        <row r="468">
          <cell r="B468" t="str">
            <v>Thiner</v>
          </cell>
        </row>
        <row r="469">
          <cell r="B469" t="str">
            <v>Lija</v>
          </cell>
        </row>
        <row r="470">
          <cell r="B470" t="str">
            <v>Pintura esmalte linea clasica</v>
          </cell>
        </row>
        <row r="471">
          <cell r="B471" t="str">
            <v>Varilla lisa de 5/8"</v>
          </cell>
        </row>
        <row r="472">
          <cell r="B472" t="str">
            <v>Platina 20x30x3/4" incluye perforaciones a platina</v>
          </cell>
        </row>
        <row r="473">
          <cell r="B473" t="str">
            <v>AnchorFix 3+ o similar</v>
          </cell>
        </row>
        <row r="474">
          <cell r="B474" t="str">
            <v>Platina 30x40x3/4" incluye perforaciones</v>
          </cell>
        </row>
        <row r="475">
          <cell r="B475" t="str">
            <v>Supercel aluminio anodizado</v>
          </cell>
        </row>
        <row r="476">
          <cell r="B476" t="str">
            <v xml:space="preserve">Cieloraraso en lamina PVC </v>
          </cell>
        </row>
        <row r="477">
          <cell r="B477" t="str">
            <v>Soldadura Electrica 6013</v>
          </cell>
        </row>
        <row r="478">
          <cell r="B478" t="str">
            <v>Tubo de 3" X 1-1/2"</v>
          </cell>
        </row>
        <row r="479">
          <cell r="B479" t="str">
            <v xml:space="preserve">Anticorrosivo </v>
          </cell>
        </row>
        <row r="480">
          <cell r="B480" t="str">
            <v>Tubo de 3" X 1-1/2"</v>
          </cell>
        </row>
        <row r="481">
          <cell r="B481" t="str">
            <v>Vidrio Color Bronce 5mm</v>
          </cell>
        </row>
        <row r="482">
          <cell r="B482" t="str">
            <v>Recebo Seleccionado</v>
          </cell>
        </row>
        <row r="483">
          <cell r="B483"/>
        </row>
        <row r="484">
          <cell r="B484" t="str">
            <v xml:space="preserve">Alambre de Cobre # 12 AWG-THW </v>
          </cell>
        </row>
        <row r="485">
          <cell r="B485" t="str">
            <v xml:space="preserve">Alambre de Cobre # 14 AWG-THW </v>
          </cell>
        </row>
        <row r="486">
          <cell r="B486" t="str">
            <v>Boquilla 1/2" + Tuerca</v>
          </cell>
        </row>
        <row r="487">
          <cell r="B487" t="str">
            <v xml:space="preserve">Caja 5800 GALV. RG 100 </v>
          </cell>
        </row>
        <row r="488">
          <cell r="B488" t="str">
            <v>Interruptor Sencillo</v>
          </cell>
        </row>
        <row r="489">
          <cell r="B489" t="str">
            <v xml:space="preserve">Tubo Conduit PVC 1/2" T.P. </v>
          </cell>
        </row>
        <row r="490">
          <cell r="B490" t="str">
            <v xml:space="preserve">Curva Conduit 1/2" </v>
          </cell>
        </row>
        <row r="491">
          <cell r="B491" t="str">
            <v>Caja de 4*2 Galvanizada - Completa</v>
          </cell>
        </row>
        <row r="492">
          <cell r="B492" t="str">
            <v>Tomacorriente Doble Ambia</v>
          </cell>
        </row>
        <row r="493">
          <cell r="B493" t="str">
            <v>Bala Lampara D-35P-2XE-27</v>
          </cell>
        </row>
        <row r="494">
          <cell r="B494" t="str">
            <v>Bombillo Fluorescente 25 W Twster Light</v>
          </cell>
        </row>
        <row r="495">
          <cell r="B495" t="str">
            <v>Vidrio Templado Serigrafiado 4 MM.</v>
          </cell>
        </row>
        <row r="496">
          <cell r="B496" t="str">
            <v>Cinta Aislante</v>
          </cell>
        </row>
        <row r="497">
          <cell r="B497" t="str">
            <v>Tablero de 6 Cicruitos con Puerta y chapa</v>
          </cell>
        </row>
        <row r="498">
          <cell r="B498" t="str">
            <v>Amarre 02 mm(8")</v>
          </cell>
        </row>
        <row r="499">
          <cell r="B499" t="str">
            <v>Tomacorriente  Tipo GCFI</v>
          </cell>
        </row>
        <row r="500">
          <cell r="B500" t="str">
            <v>Roseta de Plástico</v>
          </cell>
        </row>
        <row r="501">
          <cell r="B501" t="str">
            <v>Cable Paralelo 2x14 Negro</v>
          </cell>
        </row>
        <row r="502">
          <cell r="B502" t="str">
            <v>Toma RJ45</v>
          </cell>
        </row>
        <row r="503">
          <cell r="B503" t="str">
            <v>Cinta Aislante Super 33</v>
          </cell>
        </row>
        <row r="504">
          <cell r="B504" t="str">
            <v>Marquilla en Acrilico</v>
          </cell>
        </row>
        <row r="505">
          <cell r="B505" t="str">
            <v>Tuberia EMT 3/4" con accesorios y anclajes.</v>
          </cell>
        </row>
        <row r="507">
          <cell r="B507" t="str">
            <v>ELECTRICO</v>
          </cell>
        </row>
        <row r="508">
          <cell r="B508" t="str">
            <v>Caja galvanizada rectangular</v>
          </cell>
        </row>
        <row r="509">
          <cell r="B509" t="str">
            <v>Caja galvanizada octogonal</v>
          </cell>
        </row>
        <row r="510">
          <cell r="B510" t="str">
            <v>tablero trifasico 18c C/P</v>
          </cell>
        </row>
        <row r="511">
          <cell r="B511" t="str">
            <v>Breakers de 1x15</v>
          </cell>
        </row>
        <row r="512">
          <cell r="B512" t="str">
            <v>Panel led 12W - luminaria</v>
          </cell>
        </row>
        <row r="513">
          <cell r="B513" t="str">
            <v>Reflector led 100W - Proyector</v>
          </cell>
        </row>
        <row r="514">
          <cell r="B514" t="str">
            <v>Tablero Bifásico con Puerta de 8 Circuitos</v>
          </cell>
        </row>
        <row r="515">
          <cell r="B515" t="str">
            <v>Breaker Monopolar 1X10-30 AMP.</v>
          </cell>
        </row>
        <row r="516">
          <cell r="B516" t="str">
            <v>Breaker Bipolar 2X15-30 AMP.</v>
          </cell>
        </row>
        <row r="517">
          <cell r="B517" t="str">
            <v>Hidrosolta, Tratamiento de Suelo Artificial</v>
          </cell>
        </row>
        <row r="518">
          <cell r="B518" t="str">
            <v>Varilla Cooper Well CU-CU 5/8 Pulg * 2,44 M</v>
          </cell>
        </row>
        <row r="519">
          <cell r="B519" t="str">
            <v>Cable de Cobre Desnudo No. 4</v>
          </cell>
        </row>
        <row r="520">
          <cell r="B520" t="str">
            <v>Punto de Soldadura Caldwell 115 Gr.</v>
          </cell>
        </row>
        <row r="521">
          <cell r="B521" t="str">
            <v>Cable de Cobre # 12 AWG Luminarias</v>
          </cell>
        </row>
        <row r="522">
          <cell r="B522" t="str">
            <v>Cable de Cobre Desnudo # 12 AWG 7 Hilos</v>
          </cell>
        </row>
        <row r="523">
          <cell r="B523" t="str">
            <v>Cable # 10</v>
          </cell>
        </row>
        <row r="524">
          <cell r="B524" t="str">
            <v>Tubería Conduit PVC 3/4"</v>
          </cell>
        </row>
        <row r="525">
          <cell r="B525" t="str">
            <v>Rejilla Plastica 2"</v>
          </cell>
        </row>
        <row r="526">
          <cell r="B526" t="str">
            <v>Accesorios de 3/4"</v>
          </cell>
        </row>
        <row r="527">
          <cell r="B527" t="str">
            <v>Lavamanos de sobreponer blanco Ref: marsella Corona o de mejor calidad, con griferia tipo push ahorradora</v>
          </cell>
        </row>
        <row r="528">
          <cell r="B528" t="str">
            <v>Rejilla Plastica 4x3 PVC</v>
          </cell>
        </row>
        <row r="529">
          <cell r="B529" t="str">
            <v>Sanitario Acuacer Corona Blanco para discapacitados</v>
          </cell>
        </row>
        <row r="530">
          <cell r="B530" t="str">
            <v>Manguera para Sanitario</v>
          </cell>
        </row>
        <row r="531">
          <cell r="B531" t="str">
            <v>Tubo de acero inoxidable 1- 1/2" Inc. Instalación</v>
          </cell>
        </row>
        <row r="533">
          <cell r="B533" t="str">
            <v>Cheque de bronce de 1"</v>
          </cell>
        </row>
        <row r="534">
          <cell r="B534" t="str">
            <v>Adaptador macho de PVC 1"</v>
          </cell>
        </row>
        <row r="536">
          <cell r="B536" t="str">
            <v>Tanque plastico 5000 lts - Conico negro tapa y accesorios</v>
          </cell>
        </row>
        <row r="537">
          <cell r="B537" t="str">
            <v>Flotador Electrico</v>
          </cell>
        </row>
        <row r="538">
          <cell r="B538" t="str">
            <v>Cinta Teflon Industrial</v>
          </cell>
        </row>
        <row r="539">
          <cell r="B539" t="str">
            <v>Accesorios PVC 1 + 1/2" para tanque aéreo 5000 lts</v>
          </cell>
        </row>
        <row r="541">
          <cell r="B541" t="str">
            <v>Impermeabilizante Invercril</v>
          </cell>
        </row>
        <row r="543">
          <cell r="B543" t="str">
            <v>Pintura Koraza</v>
          </cell>
        </row>
        <row r="544">
          <cell r="B544" t="str">
            <v>Pintura Esmalte</v>
          </cell>
        </row>
        <row r="545">
          <cell r="B545" t="str">
            <v>Pintura Epóxica Poliamidas (SIKAGUAR-68 brillante) 7.3 KG.</v>
          </cell>
        </row>
        <row r="546">
          <cell r="B546" t="str">
            <v>Catalizador Wash Primer</v>
          </cell>
        </row>
        <row r="547">
          <cell r="B547" t="str">
            <v>Pintura Vinilo Exteriores</v>
          </cell>
        </row>
        <row r="548">
          <cell r="B548" t="str">
            <v>Pintura Vinilo Tipo 1</v>
          </cell>
        </row>
        <row r="550">
          <cell r="B550" t="str">
            <v>Cera Liquida para pisos</v>
          </cell>
        </row>
        <row r="553">
          <cell r="B553" t="str">
            <v>Lamina de Acero Inoxidable Cal. 20</v>
          </cell>
        </row>
        <row r="554">
          <cell r="B554" t="str">
            <v>Soldadura Inoxidable - Barra</v>
          </cell>
        </row>
        <row r="555">
          <cell r="B555" t="str">
            <v>Remache de Acero Inoxidable</v>
          </cell>
        </row>
        <row r="556">
          <cell r="B556" t="str">
            <v>Bisagra Cromada</v>
          </cell>
        </row>
        <row r="557">
          <cell r="B557" t="str">
            <v>Dobles de Lamina Cal. 20</v>
          </cell>
        </row>
        <row r="558">
          <cell r="B558" t="str">
            <v>Disco corte metal 14"</v>
          </cell>
        </row>
        <row r="559">
          <cell r="B559" t="str">
            <v>Pasador Cromado</v>
          </cell>
        </row>
        <row r="560">
          <cell r="B560" t="str">
            <v>Chazo Cromado 3/8"</v>
          </cell>
        </row>
        <row r="562">
          <cell r="B562" t="str">
            <v>Ventanas en aluminio Ref. 7-44 Serie Proyectante inc. Vidrio 6 mm y pelicula antiexplosiva</v>
          </cell>
        </row>
        <row r="563">
          <cell r="B563" t="str">
            <v>Puerta Tipo Fachada en Vidrio de 10 mm con zocalo en aluminio</v>
          </cell>
        </row>
        <row r="564">
          <cell r="B564" t="str">
            <v>Cinta de Seguridad</v>
          </cell>
        </row>
        <row r="565">
          <cell r="B565" t="str">
            <v>División de Oficina a media altura 170 cm Paneles en Aluminio y Madecor color Wengue</v>
          </cell>
        </row>
        <row r="566">
          <cell r="B566" t="str">
            <v>Ventana dos Hojas de Corredera</v>
          </cell>
        </row>
        <row r="568">
          <cell r="B568" t="str">
            <v>Formaleta madera prefabricada</v>
          </cell>
        </row>
        <row r="569">
          <cell r="B569" t="str">
            <v>Cuartones de Madera</v>
          </cell>
        </row>
        <row r="570">
          <cell r="B570" t="str">
            <v>Liston</v>
          </cell>
        </row>
        <row r="571">
          <cell r="B571" t="str">
            <v>Tablones</v>
          </cell>
        </row>
        <row r="572">
          <cell r="B572" t="str">
            <v>Formaleta Cilindro Pozo, sumidero y estructura de descarga</v>
          </cell>
        </row>
        <row r="573">
          <cell r="B573" t="str">
            <v>Tabla en Madera e = 0.02 m</v>
          </cell>
        </row>
        <row r="574">
          <cell r="B574" t="str">
            <v>Formaleta Columnas o Vigas</v>
          </cell>
        </row>
        <row r="575">
          <cell r="B575" t="str">
            <v>Formaleta Losa e= 30 - 25</v>
          </cell>
        </row>
        <row r="576">
          <cell r="B576" t="str">
            <v>Caseton en fibra y madera</v>
          </cell>
        </row>
        <row r="577">
          <cell r="B577" t="str">
            <v>Formaleta Losa e = 40 cm</v>
          </cell>
        </row>
        <row r="578">
          <cell r="B578" t="str">
            <v>Formaleta Placa Maciza</v>
          </cell>
        </row>
        <row r="579">
          <cell r="B579" t="str">
            <v>Tabla para formaleta 3*,3*,03</v>
          </cell>
        </row>
        <row r="580">
          <cell r="B580" t="str">
            <v>Formaleta 3 usos</v>
          </cell>
        </row>
        <row r="581">
          <cell r="B581" t="str">
            <v>Aceite Quemado</v>
          </cell>
        </row>
        <row r="583">
          <cell r="B583" t="str">
            <v>Aro y Tapa Alcantarilla</v>
          </cell>
        </row>
        <row r="588">
          <cell r="B588"/>
        </row>
      </sheetData>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IBRA ÓPTICA"/>
      <sheetName val="Formula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2103mar%20.xls"/>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Análisis de precios"/>
      <sheetName val="días habiles 2015"/>
      <sheetName val="INS"/>
      <sheetName val="Ppto"/>
      <sheetName val="Plan auditoría"/>
      <sheetName val="ELECTRICO"/>
      <sheetName val="Vuelta"/>
      <sheetName val="Datos"/>
      <sheetName val="Actual Data (MAP)"/>
      <sheetName val="Actual Data (STX)"/>
      <sheetName val="Cálculo"/>
      <sheetName val="Hoja1"/>
      <sheetName val="BASE"/>
      <sheetName val="1_Preliminares"/>
      <sheetName val="M.Obra"/>
      <sheetName val="ManoDeObra"/>
    </sheetNames>
    <sheetDataSet>
      <sheetData sheetId="0">
        <row r="2">
          <cell r="A2" t="str">
            <v>INVÍAS - TERRITORIAL CORDOBA - GRUPO 3</v>
          </cell>
        </row>
      </sheetData>
      <sheetData sheetId="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ow r="2">
          <cell r="A2" t="str">
            <v>INVÍAS - TERRITORIAL CORDOBA - GRUPO 3</v>
          </cell>
        </row>
      </sheetData>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sheetData sheetId="73"/>
      <sheetData sheetId="74">
        <row r="2">
          <cell r="A2" t="str">
            <v>INVÍAS - TERRITORIAL CORDOBA - GRUPO 3</v>
          </cell>
        </row>
      </sheetData>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ow r="2">
          <cell r="A2" t="str">
            <v>INVÍAS - TERRITORIAL CORDOBA - GRUPO 3</v>
          </cell>
        </row>
      </sheetData>
      <sheetData sheetId="116"/>
      <sheetData sheetId="117"/>
      <sheetData sheetId="118"/>
      <sheetData sheetId="119">
        <row r="2">
          <cell r="A2" t="str">
            <v>INVÍAS - TERRITORIAL CORDOBA - GRUPO 3</v>
          </cell>
        </row>
      </sheetData>
      <sheetData sheetId="120"/>
      <sheetData sheetId="121"/>
      <sheetData sheetId="122">
        <row r="2">
          <cell r="A2" t="str">
            <v>INVÍAS - TERRITORIAL CORDOBA - GRUPO 3</v>
          </cell>
        </row>
      </sheetData>
      <sheetData sheetId="123"/>
      <sheetData sheetId="124"/>
      <sheetData sheetId="125">
        <row r="2">
          <cell r="A2" t="str">
            <v>INVÍAS - TERRITORIAL CORDOBA - GRUPO 3</v>
          </cell>
        </row>
      </sheetData>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refreshError="1"/>
      <sheetData sheetId="174"/>
      <sheetData sheetId="175">
        <row r="2">
          <cell r="A2" t="str">
            <v>INVÍAS - TERRITORIAL CORDOBA - GRUPO 3</v>
          </cell>
        </row>
      </sheetData>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row r="2">
          <cell r="A2" t="str">
            <v>INVÍAS - TERRITORIAL CORDOBA - GRUPO 3</v>
          </cell>
        </row>
      </sheetData>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row r="2">
          <cell r="A2" t="str">
            <v>INVÍAS - TERRITORIAL CORDOBA - GRUPO 3</v>
          </cell>
        </row>
      </sheetData>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sheetName val="factor"/>
      <sheetName val="presupuesto"/>
      <sheetName val="factor (2)"/>
      <sheetName val="presupuesto (2)"/>
      <sheetName val="1"/>
      <sheetName val="2"/>
      <sheetName val="3"/>
      <sheetName val="factor_(2)"/>
      <sheetName val="presupuesto_(2)"/>
      <sheetName val="Alcantarillas"/>
      <sheetName val="Datos Generales"/>
      <sheetName val="PU (2)"/>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sheetData sheetId="9"/>
      <sheetData sheetId="10" refreshError="1"/>
      <sheetData sheetId="11" refreshError="1"/>
      <sheetData sheetId="12"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PRESUPUESTO"/>
      <sheetName val="ANALISIS"/>
      <sheetName val="INSUMOS"/>
      <sheetName val="INTERVENTORIA"/>
      <sheetName val="F.M 2,4"/>
      <sheetName val="F.M 1,5"/>
      <sheetName val="AIU"/>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 val="F_M_2,4"/>
      <sheetName val="F_M_1,5"/>
      <sheetName val="AIU_ALCALDIA"/>
      <sheetName val="PPTO_PMA"/>
      <sheetName val="APU_PMA"/>
      <sheetName val="INSUMOS_PMA"/>
      <sheetName val="_INT__PMA"/>
      <sheetName val="PPTO_PMT"/>
      <sheetName val="APU_PMT"/>
      <sheetName val="INSUMOS_PMT"/>
      <sheetName val="INT__PMT"/>
      <sheetName val="CUADRO_COMPARATIVO"/>
      <sheetName val="1_1_EDF_ACC_ADM_EQUIP_PLAT"/>
      <sheetName val="2_1_EDF_OFC_PAT_TALLER"/>
      <sheetName val="3_1_EDF_MANT_PAT_TALLER"/>
      <sheetName val="4_1_ÁREA_ABAST_LAV"/>
      <sheetName val="5_1_ÁREA_LIBRES"/>
      <sheetName val="6_1_COMPLENTARIOS"/>
      <sheetName val="F_M_2,41"/>
      <sheetName val="F_M_1,51"/>
      <sheetName val="AIU_ALCALDIA1"/>
      <sheetName val="PPTO_PMA1"/>
      <sheetName val="APU_PMA1"/>
      <sheetName val="INSUMOS_PMA1"/>
      <sheetName val="_INT__PMA1"/>
      <sheetName val="PPTO_PMT1"/>
      <sheetName val="APU_PMT1"/>
      <sheetName val="INSUMOS_PMT1"/>
      <sheetName val="INT__PMT1"/>
      <sheetName val="CUADRO_COMPARATIVO1"/>
      <sheetName val="1_1_EDF_ACC_ADM_EQUIP_PLAT1"/>
      <sheetName val="2_1_EDF_OFC_PAT_TALLER1"/>
      <sheetName val="3_1_EDF_MANT_PAT_TALLER1"/>
      <sheetName val="4_1_ÁREA_ABAST_LAV1"/>
      <sheetName val="5_1_ÁREA_LIBRES1"/>
      <sheetName val="6_1_COMPLENTARIOS1"/>
      <sheetName val="F_M_2,42"/>
      <sheetName val="F_M_1,52"/>
      <sheetName val="AIU_ALCALDIA2"/>
      <sheetName val="PPTO_PMA2"/>
      <sheetName val="APU_PMA2"/>
      <sheetName val="INSUMOS_PMA2"/>
      <sheetName val="_INT__PMA2"/>
      <sheetName val="PPTO_PMT2"/>
      <sheetName val="APU_PMT2"/>
      <sheetName val="INSUMOS_PMT2"/>
      <sheetName val="INT__PMT2"/>
      <sheetName val="CUADRO_COMPARATIVO2"/>
      <sheetName val="1_1_EDF_ACC_ADM_EQUIP_PLAT2"/>
      <sheetName val="2_1_EDF_OFC_PAT_TALLER2"/>
      <sheetName val="3_1_EDF_MANT_PAT_TALLER2"/>
      <sheetName val="4_1_ÁREA_ABAST_LAV2"/>
      <sheetName val="5_1_ÁREA_LIBRES2"/>
      <sheetName val="6_1_COMPLENTARIOS2"/>
      <sheetName val="F_M_2,45"/>
      <sheetName val="F_M_1,55"/>
      <sheetName val="AIU_ALCALDIA5"/>
      <sheetName val="PPTO_PMA5"/>
      <sheetName val="APU_PMA5"/>
      <sheetName val="INSUMOS_PMA5"/>
      <sheetName val="_INT__PMA5"/>
      <sheetName val="PPTO_PMT5"/>
      <sheetName val="APU_PMT5"/>
      <sheetName val="INSUMOS_PMT5"/>
      <sheetName val="INT__PMT5"/>
      <sheetName val="CUADRO_COMPARATIVO5"/>
      <sheetName val="1_1_EDF_ACC_ADM_EQUIP_PLAT5"/>
      <sheetName val="2_1_EDF_OFC_PAT_TALLER5"/>
      <sheetName val="3_1_EDF_MANT_PAT_TALLER5"/>
      <sheetName val="4_1_ÁREA_ABAST_LAV5"/>
      <sheetName val="5_1_ÁREA_LIBRES5"/>
      <sheetName val="6_1_COMPLENTARIOS5"/>
      <sheetName val="F_M_2,43"/>
      <sheetName val="F_M_1,53"/>
      <sheetName val="AIU_ALCALDIA3"/>
      <sheetName val="PPTO_PMA3"/>
      <sheetName val="APU_PMA3"/>
      <sheetName val="INSUMOS_PMA3"/>
      <sheetName val="_INT__PMA3"/>
      <sheetName val="PPTO_PMT3"/>
      <sheetName val="APU_PMT3"/>
      <sheetName val="INSUMOS_PMT3"/>
      <sheetName val="INT__PMT3"/>
      <sheetName val="CUADRO_COMPARATIVO3"/>
      <sheetName val="1_1_EDF_ACC_ADM_EQUIP_PLAT3"/>
      <sheetName val="2_1_EDF_OFC_PAT_TALLER3"/>
      <sheetName val="3_1_EDF_MANT_PAT_TALLER3"/>
      <sheetName val="4_1_ÁREA_ABAST_LAV3"/>
      <sheetName val="5_1_ÁREA_LIBRES3"/>
      <sheetName val="6_1_COMPLENTARIOS3"/>
      <sheetName val="F_M_2,44"/>
      <sheetName val="F_M_1,54"/>
      <sheetName val="AIU_ALCALDIA4"/>
      <sheetName val="PPTO_PMA4"/>
      <sheetName val="APU_PMA4"/>
      <sheetName val="INSUMOS_PMA4"/>
      <sheetName val="_INT__PMA4"/>
      <sheetName val="PPTO_PMT4"/>
      <sheetName val="APU_PMT4"/>
      <sheetName val="INSUMOS_PMT4"/>
      <sheetName val="INT__PMT4"/>
      <sheetName val="CUADRO_COMPARATIVO4"/>
      <sheetName val="1_1_EDF_ACC_ADM_EQUIP_PLAT4"/>
      <sheetName val="2_1_EDF_OFC_PAT_TALLER4"/>
      <sheetName val="3_1_EDF_MANT_PAT_TALLER4"/>
      <sheetName val="4_1_ÁREA_ABAST_LAV4"/>
      <sheetName val="5_1_ÁREA_LIBRES4"/>
      <sheetName val="6_1_COMPLENTARIOS4"/>
    </sheetNames>
    <sheetDataSet>
      <sheetData sheetId="0"/>
      <sheetData sheetId="1">
        <row r="3">
          <cell r="B3" t="str">
            <v>CONSTRUCCIÓN DEL PORTAL NORTE  PERTENECIENTE AL SISTEMA INTEGRADO DE TRANSPORTE MASIVO  DE METROLINEA S.A</v>
          </cell>
        </row>
        <row r="541">
          <cell r="G541">
            <v>24338607053</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R 1"/>
      <sheetName val="EQUIPO"/>
      <sheetName val="MATERIALES"/>
      <sheetName val="MANO DE OBRA"/>
      <sheetName val="INDICE"/>
      <sheetName val="ESTADO RED"/>
      <sheetName val="CARRETERAS"/>
      <sheetName val="GENERALIDADES "/>
      <sheetName val="necesidades_de_la_via"/>
      <sheetName val="5+440_RÍO_SECO"/>
      <sheetName val="21+100_"/>
      <sheetName val="31+250_PTE__GUADUALITO"/>
      <sheetName val="31+580_P__GUADUAL"/>
      <sheetName val="34+_270"/>
      <sheetName val="36+380_"/>
      <sheetName val="64+110_P__GUADUAS_II"/>
      <sheetName val="64+180_P__GUADUAS_I"/>
      <sheetName val="64+820_P__QUEBRADA_CUNE"/>
      <sheetName val="66+480_PUENTE_VARIANTE_2"/>
      <sheetName val="FRESADO_68_-_114"/>
      <sheetName val="68+370_P__FÉRREO_"/>
      <sheetName val="68+520_P__GUANÁBANO"/>
      <sheetName val="69+030_RÍO_VILLETA"/>
      <sheetName val="Villeta_centro"/>
      <sheetName val="72+1020_LA_MARÍA"/>
      <sheetName val="78+600_EL_ZANCUDO"/>
      <sheetName val="81+650_LA_HONDA"/>
      <sheetName val="83+230_QDA__NAUTATÁ"/>
      <sheetName val="86+220_PUENTE_AZUL"/>
      <sheetName val="86+600_PUENTE_HILA"/>
      <sheetName val="101+800_QDA__EL_CHUSCAL"/>
      <sheetName val="FRESADO_68-_114"/>
      <sheetName val="REMOCION_DERRUMBES_68_-__114"/>
      <sheetName val="DESARENADORES_68-114_"/>
      <sheetName val="Lineas_de_demarcacion_68-11_"/>
      <sheetName val="REALCE_BORDILLOS_68-114_"/>
      <sheetName val="PARCHEO_68-114_"/>
      <sheetName val="DESTAPE_ALCANTARILLAS_000-1_"/>
      <sheetName val="tachas_reflectivas_68-114_"/>
      <sheetName val="pinmuros_68+114_"/>
      <sheetName val="CUNETAS_68-114_"/>
      <sheetName val="DEFENSAS_METALICAS_68-114_"/>
      <sheetName val="REFERENCICACIÓN_VIAL_"/>
      <sheetName val="REMOCION_DERRUMBES"/>
      <sheetName val="DESARENADORES_68-114"/>
      <sheetName val="REALCE_BORDILLOS_68-114"/>
      <sheetName val="PARCHEO_68-114"/>
      <sheetName val="DESTAPE_ALCANTARILLAS_000-114"/>
      <sheetName val="pinmuros_68+114"/>
      <sheetName val="CUNETAS_68-114"/>
      <sheetName val="SEÑALI_68-114"/>
      <sheetName val="DEFENSAS_METALICAS_68-114"/>
      <sheetName val="REFERENCICACIÓN_VIAL"/>
      <sheetName val="juntas_de_expansion"/>
      <sheetName val="Hincado_de_rieles"/>
      <sheetName val="Pintura_muros_y_cabezotes"/>
      <sheetName val="Suministro_e_instal_rieles"/>
      <sheetName val="Drenes_PVC_4_pulg"/>
      <sheetName val="SELLOS_PARA_JUNTAS_DE_PUENTES"/>
      <sheetName val="Sello_de_grietas_de_concreto"/>
      <sheetName val="Tubería_PVC_4_pulg"/>
      <sheetName val="SECCIÓN_FINAL"/>
      <sheetName val="DEFENSA_METÁLICA"/>
      <sheetName val="Postes_de_kilometraje"/>
      <sheetName val="REMOCIÓN_DE_DERRUMBES"/>
      <sheetName val="Mant__Postes_de_kilometraje"/>
      <sheetName val="PU_201,3_"/>
      <sheetName val="PU211P_1"/>
      <sheetName val="PU211P_2"/>
      <sheetName val="201p_3"/>
      <sheetName val="PU_320,1"/>
      <sheetName val="PU330,1_"/>
      <sheetName val="PU450P,1_(tapada_huecos)"/>
      <sheetName val="PU460_Parcheo"/>
      <sheetName val="PU600P_1_"/>
      <sheetName val="PU610,1_"/>
      <sheetName val="PU630,4_"/>
      <sheetName val="PU630,4_acelerante"/>
      <sheetName val="PU630,4_D"/>
      <sheetName val="PU630,6_especial_por_M3"/>
      <sheetName val="PU630,6_Simple"/>
      <sheetName val="PU630,6_especial_por_M2"/>
      <sheetName val="PU630,6_F"/>
      <sheetName val="PU630P_7_"/>
      <sheetName val="PU630,7_"/>
      <sheetName val="PU630,7_Especial"/>
      <sheetName val="PU630P_15"/>
      <sheetName val="PU660_2"/>
      <sheetName val="670_3"/>
      <sheetName val="PU673_"/>
      <sheetName val="PU681,1_Esp__Q_Caliche"/>
      <sheetName val="PU830P_1_"/>
      <sheetName val="PR_1"/>
      <sheetName val="MANO_DE_OBRA"/>
      <sheetName val="ESTADO_RED"/>
      <sheetName val="GENERALIDADES_"/>
      <sheetName val="necesidades_de_la_via1"/>
      <sheetName val="5+440_RÍO_SECO1"/>
      <sheetName val="21+100_1"/>
      <sheetName val="31+250_PTE__GUADUALITO1"/>
      <sheetName val="31+580_P__GUADUAL1"/>
      <sheetName val="34+_2701"/>
      <sheetName val="36+380_1"/>
      <sheetName val="64+110_P__GUADUAS_II1"/>
      <sheetName val="64+180_P__GUADUAS_I1"/>
      <sheetName val="64+820_P__QUEBRADA_CUNE1"/>
      <sheetName val="66+480_PUENTE_VARIANTE_21"/>
      <sheetName val="FRESADO_68_-_1141"/>
      <sheetName val="68+370_P__FÉRREO_1"/>
      <sheetName val="68+520_P__GUANÁBANO1"/>
      <sheetName val="69+030_RÍO_VILLETA1"/>
      <sheetName val="Villeta_centro1"/>
      <sheetName val="72+1020_LA_MARÍA1"/>
      <sheetName val="78+600_EL_ZANCUDO1"/>
      <sheetName val="81+650_LA_HONDA1"/>
      <sheetName val="83+230_QDA__NAUTATÁ1"/>
      <sheetName val="86+220_PUENTE_AZUL1"/>
      <sheetName val="86+600_PUENTE_HILA1"/>
      <sheetName val="101+800_QDA__EL_CHUSCAL1"/>
      <sheetName val="FRESADO_68-_1141"/>
      <sheetName val="REMOCION_DERRUMBES_68_-__1141"/>
      <sheetName val="DESARENADORES_68-114_1"/>
      <sheetName val="Lineas_de_demarcacion_68-11_1"/>
      <sheetName val="REALCE_BORDILLOS_68-114_1"/>
      <sheetName val="PARCHEO_68-114_1"/>
      <sheetName val="DESTAPE_ALCANTARILLAS_000-1_1"/>
      <sheetName val="tachas_reflectivas_68-114_1"/>
      <sheetName val="pinmuros_68+114_1"/>
      <sheetName val="CUNETAS_68-114_1"/>
      <sheetName val="DEFENSAS_METALICAS_68-114_1"/>
      <sheetName val="REFERENCICACIÓN_VIAL_1"/>
      <sheetName val="REMOCION_DERRUMBES1"/>
      <sheetName val="DESARENADORES_68-1141"/>
      <sheetName val="REALCE_BORDILLOS_68-1141"/>
      <sheetName val="PARCHEO_68-1141"/>
      <sheetName val="DESTAPE_ALCANTARILLAS_000-1141"/>
      <sheetName val="pinmuros_68+1141"/>
      <sheetName val="CUNETAS_68-1141"/>
      <sheetName val="SEÑALI_68-1141"/>
      <sheetName val="DEFENSAS_METALICAS_68-1141"/>
      <sheetName val="REFERENCICACIÓN_VIAL1"/>
      <sheetName val="juntas_de_expansion1"/>
      <sheetName val="Hincado_de_rieles1"/>
      <sheetName val="Pintura_muros_y_cabezotes1"/>
      <sheetName val="Suministro_e_instal_rieles1"/>
      <sheetName val="Drenes_PVC_4_pulg1"/>
      <sheetName val="SELLOS_PARA_JUNTAS_DE_PUENTES1"/>
      <sheetName val="Sello_de_grietas_de_concreto1"/>
      <sheetName val="Tubería_PVC_4_pulg1"/>
      <sheetName val="SECCIÓN_FINAL1"/>
      <sheetName val="DEFENSA_METÁLICA1"/>
      <sheetName val="Postes_de_kilometraje1"/>
      <sheetName val="REMOCIÓN_DE_DERRUMBES1"/>
      <sheetName val="Mant__Postes_de_kilometraje1"/>
      <sheetName val="PU_201,3_1"/>
      <sheetName val="PU211P_11"/>
      <sheetName val="PU211P_21"/>
      <sheetName val="201p_31"/>
      <sheetName val="PU_320,11"/>
      <sheetName val="PU330,1_1"/>
      <sheetName val="PU450P,1_(tapada_huecos)1"/>
      <sheetName val="PU460_Parcheo1"/>
      <sheetName val="PU600P_1_1"/>
      <sheetName val="PU610,1_1"/>
      <sheetName val="PU630,4_1"/>
      <sheetName val="PU630,4_acelerante1"/>
      <sheetName val="PU630,4_D1"/>
      <sheetName val="PU630,6_especial_por_M31"/>
      <sheetName val="PU630,6_Simple1"/>
      <sheetName val="PU630,6_especial_por_M21"/>
      <sheetName val="PU630,6_F1"/>
      <sheetName val="PU630P_7_1"/>
      <sheetName val="PU630,7_1"/>
      <sheetName val="PU630,7_Especial1"/>
      <sheetName val="PU630P_151"/>
      <sheetName val="PU660_21"/>
      <sheetName val="670_31"/>
      <sheetName val="PU673_1"/>
      <sheetName val="PU681,1_Esp__Q_Caliche1"/>
      <sheetName val="PU830P_1_1"/>
      <sheetName val="PR_11"/>
      <sheetName val="MANO_DE_OBRA1"/>
      <sheetName val="ESTADO_RED1"/>
      <sheetName val="GENERALIDADES_1"/>
      <sheetName val="necesidades_de_la_via2"/>
      <sheetName val="5+440_RÍO_SECO2"/>
      <sheetName val="21+100_2"/>
      <sheetName val="31+250_PTE__GUADUALITO2"/>
      <sheetName val="31+580_P__GUADUAL2"/>
      <sheetName val="34+_2702"/>
      <sheetName val="36+380_2"/>
      <sheetName val="64+110_P__GUADUAS_II2"/>
      <sheetName val="64+180_P__GUADUAS_I2"/>
      <sheetName val="64+820_P__QUEBRADA_CUNE2"/>
      <sheetName val="66+480_PUENTE_VARIANTE_22"/>
      <sheetName val="FRESADO_68_-_1142"/>
      <sheetName val="68+370_P__FÉRREO_2"/>
      <sheetName val="68+520_P__GUANÁBANO2"/>
      <sheetName val="69+030_RÍO_VILLETA2"/>
      <sheetName val="Villeta_centro2"/>
      <sheetName val="72+1020_LA_MARÍA2"/>
      <sheetName val="78+600_EL_ZANCUDO2"/>
      <sheetName val="81+650_LA_HONDA2"/>
      <sheetName val="83+230_QDA__NAUTATÁ2"/>
      <sheetName val="86+220_PUENTE_AZUL2"/>
      <sheetName val="86+600_PUENTE_HILA2"/>
      <sheetName val="101+800_QDA__EL_CHUSCAL2"/>
      <sheetName val="FRESADO_68-_1142"/>
      <sheetName val="REMOCION_DERRUMBES_68_-__1142"/>
      <sheetName val="DESARENADORES_68-114_2"/>
      <sheetName val="Lineas_de_demarcacion_68-11_2"/>
      <sheetName val="REALCE_BORDILLOS_68-114_2"/>
      <sheetName val="PARCHEO_68-114_2"/>
      <sheetName val="DESTAPE_ALCANTARILLAS_000-1_2"/>
      <sheetName val="tachas_reflectivas_68-114_2"/>
      <sheetName val="pinmuros_68+114_2"/>
      <sheetName val="CUNETAS_68-114_2"/>
      <sheetName val="DEFENSAS_METALICAS_68-114_2"/>
      <sheetName val="REFERENCICACIÓN_VIAL_2"/>
      <sheetName val="REMOCION_DERRUMBES2"/>
      <sheetName val="DESARENADORES_68-1142"/>
      <sheetName val="REALCE_BORDILLOS_68-1142"/>
      <sheetName val="PARCHEO_68-1142"/>
      <sheetName val="DESTAPE_ALCANTARILLAS_000-1142"/>
      <sheetName val="pinmuros_68+1142"/>
      <sheetName val="CUNETAS_68-1142"/>
      <sheetName val="SEÑALI_68-1142"/>
      <sheetName val="DEFENSAS_METALICAS_68-1142"/>
      <sheetName val="REFERENCICACIÓN_VIAL2"/>
      <sheetName val="juntas_de_expansion2"/>
      <sheetName val="Hincado_de_rieles2"/>
      <sheetName val="Pintura_muros_y_cabezotes2"/>
      <sheetName val="Suministro_e_instal_rieles2"/>
      <sheetName val="Drenes_PVC_4_pulg2"/>
      <sheetName val="SELLOS_PARA_JUNTAS_DE_PUENTES2"/>
      <sheetName val="Sello_de_grietas_de_concreto2"/>
      <sheetName val="Tubería_PVC_4_pulg2"/>
      <sheetName val="SECCIÓN_FINAL2"/>
      <sheetName val="DEFENSA_METÁLICA2"/>
      <sheetName val="Postes_de_kilometraje2"/>
      <sheetName val="REMOCIÓN_DE_DERRUMBES2"/>
      <sheetName val="Mant__Postes_de_kilometraje2"/>
      <sheetName val="PU_201,3_2"/>
      <sheetName val="PU211P_12"/>
      <sheetName val="PU211P_22"/>
      <sheetName val="201p_32"/>
      <sheetName val="PU_320,12"/>
      <sheetName val="PU330,1_2"/>
      <sheetName val="PU450P,1_(tapada_huecos)2"/>
      <sheetName val="PU460_Parcheo2"/>
      <sheetName val="PU600P_1_2"/>
      <sheetName val="PU610,1_2"/>
      <sheetName val="PU630,4_2"/>
      <sheetName val="PU630,4_acelerante2"/>
      <sheetName val="PU630,4_D2"/>
      <sheetName val="PU630,6_especial_por_M32"/>
      <sheetName val="PU630,6_Simple2"/>
      <sheetName val="PU630,6_especial_por_M22"/>
      <sheetName val="PU630,6_F2"/>
      <sheetName val="PU630P_7_2"/>
      <sheetName val="PU630,7_2"/>
      <sheetName val="PU630,7_Especial2"/>
      <sheetName val="PU630P_152"/>
      <sheetName val="PU660_22"/>
      <sheetName val="670_32"/>
      <sheetName val="PU673_2"/>
      <sheetName val="PU681,1_Esp__Q_Caliche2"/>
      <sheetName val="PU830P_1_2"/>
      <sheetName val="PR_12"/>
      <sheetName val="MANO_DE_OBRA2"/>
      <sheetName val="ESTADO_RED2"/>
      <sheetName val="GENERALIDADES_2"/>
      <sheetName val="necesidades_de_la_via3"/>
      <sheetName val="5+440_RÍO_SECO3"/>
      <sheetName val="21+100_3"/>
      <sheetName val="31+250_PTE__GUADUALITO3"/>
      <sheetName val="31+580_P__GUADUAL3"/>
      <sheetName val="34+_2703"/>
      <sheetName val="36+380_3"/>
      <sheetName val="64+110_P__GUADUAS_II3"/>
      <sheetName val="64+180_P__GUADUAS_I3"/>
      <sheetName val="64+820_P__QUEBRADA_CUNE3"/>
      <sheetName val="66+480_PUENTE_VARIANTE_23"/>
      <sheetName val="FRESADO_68_-_1143"/>
      <sheetName val="68+370_P__FÉRREO_3"/>
      <sheetName val="68+520_P__GUANÁBANO3"/>
      <sheetName val="69+030_RÍO_VILLETA3"/>
      <sheetName val="Villeta_centro3"/>
      <sheetName val="72+1020_LA_MARÍA3"/>
      <sheetName val="78+600_EL_ZANCUDO3"/>
      <sheetName val="81+650_LA_HONDA3"/>
      <sheetName val="83+230_QDA__NAUTATÁ3"/>
      <sheetName val="86+220_PUENTE_AZUL3"/>
      <sheetName val="86+600_PUENTE_HILA3"/>
      <sheetName val="101+800_QDA__EL_CHUSCAL3"/>
      <sheetName val="FRESADO_68-_1143"/>
      <sheetName val="REMOCION_DERRUMBES_68_-__1143"/>
      <sheetName val="DESARENADORES_68-114_3"/>
      <sheetName val="Lineas_de_demarcacion_68-11_3"/>
      <sheetName val="REALCE_BORDILLOS_68-114_3"/>
      <sheetName val="PARCHEO_68-114_3"/>
      <sheetName val="DESTAPE_ALCANTARILLAS_000-1_3"/>
      <sheetName val="tachas_reflectivas_68-114_3"/>
      <sheetName val="pinmuros_68+114_3"/>
      <sheetName val="CUNETAS_68-114_3"/>
      <sheetName val="DEFENSAS_METALICAS_68-114_3"/>
      <sheetName val="REFERENCICACIÓN_VIAL_3"/>
      <sheetName val="REMOCION_DERRUMBES3"/>
      <sheetName val="DESARENADORES_68-1143"/>
      <sheetName val="REALCE_BORDILLOS_68-1143"/>
      <sheetName val="PARCHEO_68-1143"/>
      <sheetName val="DESTAPE_ALCANTARILLAS_000-1143"/>
      <sheetName val="pinmuros_68+1143"/>
      <sheetName val="CUNETAS_68-1143"/>
      <sheetName val="SEÑALI_68-1143"/>
      <sheetName val="DEFENSAS_METALICAS_68-1143"/>
      <sheetName val="REFERENCICACIÓN_VIAL3"/>
      <sheetName val="juntas_de_expansion3"/>
      <sheetName val="Hincado_de_rieles3"/>
      <sheetName val="Pintura_muros_y_cabezotes3"/>
      <sheetName val="Suministro_e_instal_rieles3"/>
      <sheetName val="Drenes_PVC_4_pulg3"/>
      <sheetName val="SELLOS_PARA_JUNTAS_DE_PUENTES3"/>
      <sheetName val="Sello_de_grietas_de_concreto3"/>
      <sheetName val="Tubería_PVC_4_pulg3"/>
      <sheetName val="SECCIÓN_FINAL3"/>
      <sheetName val="DEFENSA_METÁLICA3"/>
      <sheetName val="Postes_de_kilometraje3"/>
      <sheetName val="REMOCIÓN_DE_DERRUMBES3"/>
      <sheetName val="Mant__Postes_de_kilometraje3"/>
      <sheetName val="PU_201,3_3"/>
      <sheetName val="PU211P_13"/>
      <sheetName val="PU211P_23"/>
      <sheetName val="201p_33"/>
      <sheetName val="PU_320,13"/>
      <sheetName val="PU330,1_3"/>
      <sheetName val="PU450P,1_(tapada_huecos)3"/>
      <sheetName val="PU460_Parcheo3"/>
      <sheetName val="PU600P_1_3"/>
      <sheetName val="PU610,1_3"/>
      <sheetName val="PU630,4_3"/>
      <sheetName val="PU630,4_acelerante3"/>
      <sheetName val="PU630,4_D3"/>
      <sheetName val="PU630,6_especial_por_M33"/>
      <sheetName val="PU630,6_Simple3"/>
      <sheetName val="PU630,6_especial_por_M23"/>
      <sheetName val="PU630,6_F3"/>
      <sheetName val="PU630P_7_3"/>
      <sheetName val="PU630,7_3"/>
      <sheetName val="PU630,7_Especial3"/>
      <sheetName val="PU630P_153"/>
      <sheetName val="PU660_23"/>
      <sheetName val="670_33"/>
      <sheetName val="PU673_3"/>
      <sheetName val="PU681,1_Esp__Q_Caliche3"/>
      <sheetName val="PU830P_1_3"/>
      <sheetName val="PR_13"/>
      <sheetName val="MANO_DE_OBRA3"/>
      <sheetName val="ESTADO_RED3"/>
      <sheetName val="GENERALIDADES_3"/>
      <sheetName val="necesidades_de_la_via4"/>
      <sheetName val="5+440_RÍO_SECO4"/>
      <sheetName val="21+100_4"/>
      <sheetName val="31+250_PTE__GUADUALITO4"/>
      <sheetName val="31+580_P__GUADUAL4"/>
      <sheetName val="34+_2704"/>
      <sheetName val="36+380_4"/>
      <sheetName val="64+110_P__GUADUAS_II4"/>
      <sheetName val="64+180_P__GUADUAS_I4"/>
      <sheetName val="64+820_P__QUEBRADA_CUNE4"/>
      <sheetName val="66+480_PUENTE_VARIANTE_24"/>
      <sheetName val="FRESADO_68_-_1144"/>
      <sheetName val="68+370_P__FÉRREO_4"/>
      <sheetName val="68+520_P__GUANÁBANO4"/>
      <sheetName val="69+030_RÍO_VILLETA4"/>
      <sheetName val="Villeta_centro4"/>
      <sheetName val="72+1020_LA_MARÍA4"/>
      <sheetName val="78+600_EL_ZANCUDO4"/>
      <sheetName val="81+650_LA_HONDA4"/>
      <sheetName val="83+230_QDA__NAUTATÁ4"/>
      <sheetName val="86+220_PUENTE_AZUL4"/>
      <sheetName val="86+600_PUENTE_HILA4"/>
      <sheetName val="101+800_QDA__EL_CHUSCAL4"/>
      <sheetName val="FRESADO_68-_1144"/>
      <sheetName val="REMOCION_DERRUMBES_68_-__1144"/>
      <sheetName val="DESARENADORES_68-114_4"/>
      <sheetName val="Lineas_de_demarcacion_68-11_4"/>
      <sheetName val="REALCE_BORDILLOS_68-114_4"/>
      <sheetName val="PARCHEO_68-114_4"/>
      <sheetName val="DESTAPE_ALCANTARILLAS_000-1_4"/>
      <sheetName val="tachas_reflectivas_68-114_4"/>
      <sheetName val="pinmuros_68+114_4"/>
      <sheetName val="CUNETAS_68-114_4"/>
      <sheetName val="DEFENSAS_METALICAS_68-114_4"/>
      <sheetName val="REFERENCICACIÓN_VIAL_4"/>
      <sheetName val="REMOCION_DERRUMBES4"/>
      <sheetName val="DESARENADORES_68-1144"/>
      <sheetName val="REALCE_BORDILLOS_68-1144"/>
      <sheetName val="PARCHEO_68-1144"/>
      <sheetName val="DESTAPE_ALCANTARILLAS_000-1144"/>
      <sheetName val="pinmuros_68+1144"/>
      <sheetName val="CUNETAS_68-1144"/>
      <sheetName val="SEÑALI_68-1144"/>
      <sheetName val="DEFENSAS_METALICAS_68-1144"/>
      <sheetName val="REFERENCICACIÓN_VIAL4"/>
      <sheetName val="juntas_de_expansion4"/>
      <sheetName val="Hincado_de_rieles4"/>
      <sheetName val="Pintura_muros_y_cabezotes4"/>
      <sheetName val="Suministro_e_instal_rieles4"/>
      <sheetName val="Drenes_PVC_4_pulg4"/>
      <sheetName val="SELLOS_PARA_JUNTAS_DE_PUENTES4"/>
      <sheetName val="Sello_de_grietas_de_concreto4"/>
      <sheetName val="Tubería_PVC_4_pulg4"/>
      <sheetName val="SECCIÓN_FINAL4"/>
      <sheetName val="DEFENSA_METÁLICA4"/>
      <sheetName val="Postes_de_kilometraje4"/>
      <sheetName val="REMOCIÓN_DE_DERRUMBES4"/>
      <sheetName val="Mant__Postes_de_kilometraje4"/>
      <sheetName val="PU_201,3_4"/>
      <sheetName val="PU211P_14"/>
      <sheetName val="PU211P_24"/>
      <sheetName val="201p_34"/>
      <sheetName val="PU_320,14"/>
      <sheetName val="PU330,1_4"/>
      <sheetName val="PU450P,1_(tapada_huecos)4"/>
      <sheetName val="PU460_Parcheo4"/>
      <sheetName val="PU600P_1_4"/>
      <sheetName val="PU610,1_4"/>
      <sheetName val="PU630,4_4"/>
      <sheetName val="PU630,4_acelerante4"/>
      <sheetName val="PU630,4_D4"/>
      <sheetName val="PU630,6_especial_por_M34"/>
      <sheetName val="PU630,6_Simple4"/>
      <sheetName val="PU630,6_especial_por_M24"/>
      <sheetName val="PU630,6_F4"/>
      <sheetName val="PU630P_7_4"/>
      <sheetName val="PU630,7_4"/>
      <sheetName val="PU630,7_Especial4"/>
      <sheetName val="PU630P_154"/>
      <sheetName val="PU660_24"/>
      <sheetName val="670_34"/>
      <sheetName val="PU673_4"/>
      <sheetName val="PU681,1_Esp__Q_Caliche4"/>
      <sheetName val="PU830P_1_4"/>
      <sheetName val="PR_14"/>
      <sheetName val="MANO_DE_OBRA4"/>
      <sheetName val="ESTADO_RED4"/>
      <sheetName val="GENERALIDADES_4"/>
      <sheetName val="necesidades_de_la_via5"/>
      <sheetName val="5+440_RÍO_SECO5"/>
      <sheetName val="21+100_5"/>
      <sheetName val="31+250_PTE__GUADUALITO5"/>
      <sheetName val="31+580_P__GUADUAL5"/>
      <sheetName val="34+_2705"/>
      <sheetName val="36+380_5"/>
      <sheetName val="64+110_P__GUADUAS_II5"/>
      <sheetName val="64+180_P__GUADUAS_I5"/>
      <sheetName val="64+820_P__QUEBRADA_CUNE5"/>
      <sheetName val="66+480_PUENTE_VARIANTE_25"/>
      <sheetName val="FRESADO_68_-_1145"/>
      <sheetName val="68+370_P__FÉRREO_5"/>
      <sheetName val="68+520_P__GUANÁBANO5"/>
      <sheetName val="69+030_RÍO_VILLETA5"/>
      <sheetName val="Villeta_centro5"/>
      <sheetName val="72+1020_LA_MARÍA5"/>
      <sheetName val="78+600_EL_ZANCUDO5"/>
      <sheetName val="81+650_LA_HONDA5"/>
      <sheetName val="83+230_QDA__NAUTATÁ5"/>
      <sheetName val="86+220_PUENTE_AZUL5"/>
      <sheetName val="86+600_PUENTE_HILA5"/>
      <sheetName val="101+800_QDA__EL_CHUSCAL5"/>
      <sheetName val="FRESADO_68-_1145"/>
      <sheetName val="REMOCION_DERRUMBES_68_-__1145"/>
      <sheetName val="DESARENADORES_68-114_5"/>
      <sheetName val="Lineas_de_demarcacion_68-11_5"/>
      <sheetName val="REALCE_BORDILLOS_68-114_5"/>
      <sheetName val="PARCHEO_68-114_5"/>
      <sheetName val="DESTAPE_ALCANTARILLAS_000-1_5"/>
      <sheetName val="tachas_reflectivas_68-114_5"/>
      <sheetName val="pinmuros_68+114_5"/>
      <sheetName val="CUNETAS_68-114_5"/>
      <sheetName val="DEFENSAS_METALICAS_68-114_5"/>
      <sheetName val="REFERENCICACIÓN_VIAL_5"/>
      <sheetName val="REMOCION_DERRUMBES5"/>
      <sheetName val="DESARENADORES_68-1145"/>
      <sheetName val="REALCE_BORDILLOS_68-1145"/>
      <sheetName val="PARCHEO_68-1145"/>
      <sheetName val="DESTAPE_ALCANTARILLAS_000-1145"/>
      <sheetName val="pinmuros_68+1145"/>
      <sheetName val="CUNETAS_68-1145"/>
      <sheetName val="SEÑALI_68-1145"/>
      <sheetName val="DEFENSAS_METALICAS_68-1145"/>
      <sheetName val="REFERENCICACIÓN_VIAL5"/>
      <sheetName val="juntas_de_expansion5"/>
      <sheetName val="Hincado_de_rieles5"/>
      <sheetName val="Pintura_muros_y_cabezotes5"/>
      <sheetName val="Suministro_e_instal_rieles5"/>
      <sheetName val="Drenes_PVC_4_pulg5"/>
      <sheetName val="SELLOS_PARA_JUNTAS_DE_PUENTES5"/>
      <sheetName val="Sello_de_grietas_de_concreto5"/>
      <sheetName val="Tubería_PVC_4_pulg5"/>
      <sheetName val="SECCIÓN_FINAL5"/>
      <sheetName val="DEFENSA_METÁLICA5"/>
      <sheetName val="Postes_de_kilometraje5"/>
      <sheetName val="REMOCIÓN_DE_DERRUMBES5"/>
      <sheetName val="Mant__Postes_de_kilometraje5"/>
      <sheetName val="PU_201,3_5"/>
      <sheetName val="PU211P_15"/>
      <sheetName val="PU211P_25"/>
      <sheetName val="201p_35"/>
      <sheetName val="PU_320,15"/>
      <sheetName val="PU330,1_5"/>
      <sheetName val="PU450P,1_(tapada_huecos)5"/>
      <sheetName val="PU460_Parcheo5"/>
      <sheetName val="PU600P_1_5"/>
      <sheetName val="PU610,1_5"/>
      <sheetName val="PU630,4_5"/>
      <sheetName val="PU630,4_acelerante5"/>
      <sheetName val="PU630,4_D5"/>
      <sheetName val="PU630,6_especial_por_M35"/>
      <sheetName val="PU630,6_Simple5"/>
      <sheetName val="PU630,6_especial_por_M25"/>
      <sheetName val="PU630,6_F5"/>
      <sheetName val="PU630P_7_5"/>
      <sheetName val="PU630,7_5"/>
      <sheetName val="PU630,7_Especial5"/>
      <sheetName val="PU630P_155"/>
      <sheetName val="PU660_25"/>
      <sheetName val="670_35"/>
      <sheetName val="PU673_5"/>
      <sheetName val="PU681,1_Esp__Q_Caliche5"/>
      <sheetName val="PU830P_1_5"/>
      <sheetName val="PR_15"/>
      <sheetName val="MANO_DE_OBRA5"/>
      <sheetName val="ESTADO_RED5"/>
      <sheetName val="GENERALIDADES_5"/>
      <sheetName val="necesidades_de_la_via8"/>
      <sheetName val="5+440_RÍO_SECO8"/>
      <sheetName val="21+100_8"/>
      <sheetName val="31+250_PTE__GUADUALITO8"/>
      <sheetName val="31+580_P__GUADUAL8"/>
      <sheetName val="34+_2708"/>
      <sheetName val="36+380_8"/>
      <sheetName val="64+110_P__GUADUAS_II8"/>
      <sheetName val="64+180_P__GUADUAS_I8"/>
      <sheetName val="64+820_P__QUEBRADA_CUNE8"/>
      <sheetName val="66+480_PUENTE_VARIANTE_28"/>
      <sheetName val="FRESADO_68_-_1148"/>
      <sheetName val="68+370_P__FÉRREO_8"/>
      <sheetName val="68+520_P__GUANÁBANO8"/>
      <sheetName val="69+030_RÍO_VILLETA8"/>
      <sheetName val="Villeta_centro8"/>
      <sheetName val="72+1020_LA_MARÍA8"/>
      <sheetName val="78+600_EL_ZANCUDO8"/>
      <sheetName val="81+650_LA_HONDA8"/>
      <sheetName val="83+230_QDA__NAUTATÁ8"/>
      <sheetName val="86+220_PUENTE_AZUL8"/>
      <sheetName val="86+600_PUENTE_HILA8"/>
      <sheetName val="101+800_QDA__EL_CHUSCAL8"/>
      <sheetName val="FRESADO_68-_1148"/>
      <sheetName val="REMOCION_DERRUMBES_68_-__1148"/>
      <sheetName val="DESARENADORES_68-114_8"/>
      <sheetName val="Lineas_de_demarcacion_68-11_8"/>
      <sheetName val="REALCE_BORDILLOS_68-114_8"/>
      <sheetName val="PARCHEO_68-114_8"/>
      <sheetName val="DESTAPE_ALCANTARILLAS_000-1_8"/>
      <sheetName val="tachas_reflectivas_68-114_8"/>
      <sheetName val="pinmuros_68+114_8"/>
      <sheetName val="CUNETAS_68-114_8"/>
      <sheetName val="DEFENSAS_METALICAS_68-114_8"/>
      <sheetName val="REFERENCICACIÓN_VIAL_8"/>
      <sheetName val="REMOCION_DERRUMBES8"/>
      <sheetName val="DESARENADORES_68-1148"/>
      <sheetName val="REALCE_BORDILLOS_68-1148"/>
      <sheetName val="PARCHEO_68-1148"/>
      <sheetName val="DESTAPE_ALCANTARILLAS_000-1148"/>
      <sheetName val="pinmuros_68+1148"/>
      <sheetName val="CUNETAS_68-1148"/>
      <sheetName val="SEÑALI_68-1148"/>
      <sheetName val="DEFENSAS_METALICAS_68-1148"/>
      <sheetName val="REFERENCICACIÓN_VIAL8"/>
      <sheetName val="juntas_de_expansion8"/>
      <sheetName val="Hincado_de_rieles8"/>
      <sheetName val="Pintura_muros_y_cabezotes8"/>
      <sheetName val="Suministro_e_instal_rieles8"/>
      <sheetName val="Drenes_PVC_4_pulg8"/>
      <sheetName val="SELLOS_PARA_JUNTAS_DE_PUENTES8"/>
      <sheetName val="Sello_de_grietas_de_concreto8"/>
      <sheetName val="Tubería_PVC_4_pulg8"/>
      <sheetName val="SECCIÓN_FINAL8"/>
      <sheetName val="DEFENSA_METÁLICA8"/>
      <sheetName val="Postes_de_kilometraje8"/>
      <sheetName val="REMOCIÓN_DE_DERRUMBES8"/>
      <sheetName val="Mant__Postes_de_kilometraje8"/>
      <sheetName val="PU_201,3_8"/>
      <sheetName val="PU211P_18"/>
      <sheetName val="PU211P_28"/>
      <sheetName val="201p_38"/>
      <sheetName val="PU_320,18"/>
      <sheetName val="PU330,1_8"/>
      <sheetName val="PU450P,1_(tapada_huecos)8"/>
      <sheetName val="PU460_Parcheo8"/>
      <sheetName val="PU600P_1_8"/>
      <sheetName val="PU610,1_8"/>
      <sheetName val="PU630,4_8"/>
      <sheetName val="PU630,4_acelerante8"/>
      <sheetName val="PU630,4_D8"/>
      <sheetName val="PU630,6_especial_por_M38"/>
      <sheetName val="PU630,6_Simple8"/>
      <sheetName val="PU630,6_especial_por_M28"/>
      <sheetName val="PU630,6_F8"/>
      <sheetName val="PU630P_7_8"/>
      <sheetName val="PU630,7_8"/>
      <sheetName val="PU630,7_Especial8"/>
      <sheetName val="PU630P_158"/>
      <sheetName val="PU660_28"/>
      <sheetName val="670_38"/>
      <sheetName val="PU673_8"/>
      <sheetName val="PU681,1_Esp__Q_Caliche8"/>
      <sheetName val="PU830P_1_8"/>
      <sheetName val="PR_18"/>
      <sheetName val="MANO_DE_OBRA8"/>
      <sheetName val="ESTADO_RED8"/>
      <sheetName val="GENERALIDADES_8"/>
      <sheetName val="necesidades_de_la_via6"/>
      <sheetName val="5+440_RÍO_SECO6"/>
      <sheetName val="21+100_6"/>
      <sheetName val="31+250_PTE__GUADUALITO6"/>
      <sheetName val="31+580_P__GUADUAL6"/>
      <sheetName val="34+_2706"/>
      <sheetName val="36+380_6"/>
      <sheetName val="64+110_P__GUADUAS_II6"/>
      <sheetName val="64+180_P__GUADUAS_I6"/>
      <sheetName val="64+820_P__QUEBRADA_CUNE6"/>
      <sheetName val="66+480_PUENTE_VARIANTE_26"/>
      <sheetName val="FRESADO_68_-_1146"/>
      <sheetName val="68+370_P__FÉRREO_6"/>
      <sheetName val="68+520_P__GUANÁBANO6"/>
      <sheetName val="69+030_RÍO_VILLETA6"/>
      <sheetName val="Villeta_centro6"/>
      <sheetName val="72+1020_LA_MARÍA6"/>
      <sheetName val="78+600_EL_ZANCUDO6"/>
      <sheetName val="81+650_LA_HONDA6"/>
      <sheetName val="83+230_QDA__NAUTATÁ6"/>
      <sheetName val="86+220_PUENTE_AZUL6"/>
      <sheetName val="86+600_PUENTE_HILA6"/>
      <sheetName val="101+800_QDA__EL_CHUSCAL6"/>
      <sheetName val="FRESADO_68-_1146"/>
      <sheetName val="REMOCION_DERRUMBES_68_-__1146"/>
      <sheetName val="DESARENADORES_68-114_6"/>
      <sheetName val="Lineas_de_demarcacion_68-11_6"/>
      <sheetName val="REALCE_BORDILLOS_68-114_6"/>
      <sheetName val="PARCHEO_68-114_6"/>
      <sheetName val="DESTAPE_ALCANTARILLAS_000-1_6"/>
      <sheetName val="tachas_reflectivas_68-114_6"/>
      <sheetName val="pinmuros_68+114_6"/>
      <sheetName val="CUNETAS_68-114_6"/>
      <sheetName val="DEFENSAS_METALICAS_68-114_6"/>
      <sheetName val="REFERENCICACIÓN_VIAL_6"/>
      <sheetName val="REMOCION_DERRUMBES6"/>
      <sheetName val="DESARENADORES_68-1146"/>
      <sheetName val="REALCE_BORDILLOS_68-1146"/>
      <sheetName val="PARCHEO_68-1146"/>
      <sheetName val="DESTAPE_ALCANTARILLAS_000-1146"/>
      <sheetName val="pinmuros_68+1146"/>
      <sheetName val="CUNETAS_68-1146"/>
      <sheetName val="SEÑALI_68-1146"/>
      <sheetName val="DEFENSAS_METALICAS_68-1146"/>
      <sheetName val="REFERENCICACIÓN_VIAL6"/>
      <sheetName val="juntas_de_expansion6"/>
      <sheetName val="Hincado_de_rieles6"/>
      <sheetName val="Pintura_muros_y_cabezotes6"/>
      <sheetName val="Suministro_e_instal_rieles6"/>
      <sheetName val="Drenes_PVC_4_pulg6"/>
      <sheetName val="SELLOS_PARA_JUNTAS_DE_PUENTES6"/>
      <sheetName val="Sello_de_grietas_de_concreto6"/>
      <sheetName val="Tubería_PVC_4_pulg6"/>
      <sheetName val="SECCIÓN_FINAL6"/>
      <sheetName val="DEFENSA_METÁLICA6"/>
      <sheetName val="Postes_de_kilometraje6"/>
      <sheetName val="REMOCIÓN_DE_DERRUMBES6"/>
      <sheetName val="Mant__Postes_de_kilometraje6"/>
      <sheetName val="PU_201,3_6"/>
      <sheetName val="PU211P_16"/>
      <sheetName val="PU211P_26"/>
      <sheetName val="201p_36"/>
      <sheetName val="PU_320,16"/>
      <sheetName val="PU330,1_6"/>
      <sheetName val="PU450P,1_(tapada_huecos)6"/>
      <sheetName val="PU460_Parcheo6"/>
      <sheetName val="PU600P_1_6"/>
      <sheetName val="PU610,1_6"/>
      <sheetName val="PU630,4_6"/>
      <sheetName val="PU630,4_acelerante6"/>
      <sheetName val="PU630,4_D6"/>
      <sheetName val="PU630,6_especial_por_M36"/>
      <sheetName val="PU630,6_Simple6"/>
      <sheetName val="PU630,6_especial_por_M26"/>
      <sheetName val="PU630,6_F6"/>
      <sheetName val="PU630P_7_6"/>
      <sheetName val="PU630,7_6"/>
      <sheetName val="PU630,7_Especial6"/>
      <sheetName val="PU630P_156"/>
      <sheetName val="PU660_26"/>
      <sheetName val="670_36"/>
      <sheetName val="PU673_6"/>
      <sheetName val="PU681,1_Esp__Q_Caliche6"/>
      <sheetName val="PU830P_1_6"/>
      <sheetName val="PR_16"/>
      <sheetName val="MANO_DE_OBRA6"/>
      <sheetName val="ESTADO_RED6"/>
      <sheetName val="GENERALIDADES_6"/>
      <sheetName val="necesidades_de_la_via7"/>
      <sheetName val="5+440_RÍO_SECO7"/>
      <sheetName val="21+100_7"/>
      <sheetName val="31+250_PTE__GUADUALITO7"/>
      <sheetName val="31+580_P__GUADUAL7"/>
      <sheetName val="34+_2707"/>
      <sheetName val="36+380_7"/>
      <sheetName val="64+110_P__GUADUAS_II7"/>
      <sheetName val="64+180_P__GUADUAS_I7"/>
      <sheetName val="64+820_P__QUEBRADA_CUNE7"/>
      <sheetName val="66+480_PUENTE_VARIANTE_27"/>
      <sheetName val="FRESADO_68_-_1147"/>
      <sheetName val="68+370_P__FÉRREO_7"/>
      <sheetName val="68+520_P__GUANÁBANO7"/>
      <sheetName val="69+030_RÍO_VILLETA7"/>
      <sheetName val="Villeta_centro7"/>
      <sheetName val="72+1020_LA_MARÍA7"/>
      <sheetName val="78+600_EL_ZANCUDO7"/>
      <sheetName val="81+650_LA_HONDA7"/>
      <sheetName val="83+230_QDA__NAUTATÁ7"/>
      <sheetName val="86+220_PUENTE_AZUL7"/>
      <sheetName val="86+600_PUENTE_HILA7"/>
      <sheetName val="101+800_QDA__EL_CHUSCAL7"/>
      <sheetName val="FRESADO_68-_1147"/>
      <sheetName val="REMOCION_DERRUMBES_68_-__1147"/>
      <sheetName val="DESARENADORES_68-114_7"/>
      <sheetName val="Lineas_de_demarcacion_68-11_7"/>
      <sheetName val="REALCE_BORDILLOS_68-114_7"/>
      <sheetName val="PARCHEO_68-114_7"/>
      <sheetName val="DESTAPE_ALCANTARILLAS_000-1_7"/>
      <sheetName val="tachas_reflectivas_68-114_7"/>
      <sheetName val="pinmuros_68+114_7"/>
      <sheetName val="CUNETAS_68-114_7"/>
      <sheetName val="DEFENSAS_METALICAS_68-114_7"/>
      <sheetName val="REFERENCICACIÓN_VIAL_7"/>
      <sheetName val="REMOCION_DERRUMBES7"/>
      <sheetName val="DESARENADORES_68-1147"/>
      <sheetName val="REALCE_BORDILLOS_68-1147"/>
      <sheetName val="PARCHEO_68-1147"/>
      <sheetName val="DESTAPE_ALCANTARILLAS_000-1147"/>
      <sheetName val="pinmuros_68+1147"/>
      <sheetName val="CUNETAS_68-1147"/>
      <sheetName val="SEÑALI_68-1147"/>
      <sheetName val="DEFENSAS_METALICAS_68-1147"/>
      <sheetName val="REFERENCICACIÓN_VIAL7"/>
      <sheetName val="juntas_de_expansion7"/>
      <sheetName val="Hincado_de_rieles7"/>
      <sheetName val="Pintura_muros_y_cabezotes7"/>
      <sheetName val="Suministro_e_instal_rieles7"/>
      <sheetName val="Drenes_PVC_4_pulg7"/>
      <sheetName val="SELLOS_PARA_JUNTAS_DE_PUENTES7"/>
      <sheetName val="Sello_de_grietas_de_concreto7"/>
      <sheetName val="Tubería_PVC_4_pulg7"/>
      <sheetName val="SECCIÓN_FINAL7"/>
      <sheetName val="DEFENSA_METÁLICA7"/>
      <sheetName val="Postes_de_kilometraje7"/>
      <sheetName val="REMOCIÓN_DE_DERRUMBES7"/>
      <sheetName val="Mant__Postes_de_kilometraje7"/>
      <sheetName val="PU_201,3_7"/>
      <sheetName val="PU211P_17"/>
      <sheetName val="PU211P_27"/>
      <sheetName val="201p_37"/>
      <sheetName val="PU_320,17"/>
      <sheetName val="PU330,1_7"/>
      <sheetName val="PU450P,1_(tapada_huecos)7"/>
      <sheetName val="PU460_Parcheo7"/>
      <sheetName val="PU600P_1_7"/>
      <sheetName val="PU610,1_7"/>
      <sheetName val="PU630,4_7"/>
      <sheetName val="PU630,4_acelerante7"/>
      <sheetName val="PU630,4_D7"/>
      <sheetName val="PU630,6_especial_por_M37"/>
      <sheetName val="PU630,6_Simple7"/>
      <sheetName val="PU630,6_especial_por_M27"/>
      <sheetName val="PU630,6_F7"/>
      <sheetName val="PU630P_7_7"/>
      <sheetName val="PU630,7_7"/>
      <sheetName val="PU630,7_Especial7"/>
      <sheetName val="PU630P_157"/>
      <sheetName val="PU660_27"/>
      <sheetName val="670_37"/>
      <sheetName val="PU673_7"/>
      <sheetName val="PU681,1_Esp__Q_Caliche7"/>
      <sheetName val="PU830P_1_7"/>
      <sheetName val="PR_17"/>
      <sheetName val="MANO_DE_OBRA7"/>
      <sheetName val="ESTADO_RED7"/>
      <sheetName val="GENERALIDADES_7"/>
      <sheetName val="necesidades_de_la_via9"/>
      <sheetName val="5+440_RÍO_SECO9"/>
      <sheetName val="21+100_9"/>
      <sheetName val="31+250_PTE__GUADUALITO9"/>
      <sheetName val="31+580_P__GUADUAL9"/>
      <sheetName val="34+_2709"/>
      <sheetName val="36+380_9"/>
      <sheetName val="64+110_P__GUADUAS_II9"/>
      <sheetName val="64+180_P__GUADUAS_I9"/>
      <sheetName val="64+820_P__QUEBRADA_CUNE9"/>
      <sheetName val="66+480_PUENTE_VARIANTE_29"/>
      <sheetName val="FRESADO_68_-_1149"/>
      <sheetName val="68+370_P__FÉRREO_9"/>
      <sheetName val="68+520_P__GUANÁBANO9"/>
      <sheetName val="69+030_RÍO_VILLETA9"/>
      <sheetName val="Villeta_centro9"/>
      <sheetName val="72+1020_LA_MARÍA9"/>
      <sheetName val="78+600_EL_ZANCUDO9"/>
      <sheetName val="81+650_LA_HONDA9"/>
      <sheetName val="83+230_QDA__NAUTATÁ9"/>
      <sheetName val="86+220_PUENTE_AZUL9"/>
      <sheetName val="86+600_PUENTE_HILA9"/>
      <sheetName val="101+800_QDA__EL_CHUSCAL9"/>
      <sheetName val="FRESADO_68-_1149"/>
      <sheetName val="REMOCION_DERRUMBES_68_-__1149"/>
      <sheetName val="DESARENADORES_68-114_9"/>
      <sheetName val="Lineas_de_demarcacion_68-11_9"/>
      <sheetName val="REALCE_BORDILLOS_68-114_9"/>
      <sheetName val="PARCHEO_68-114_9"/>
      <sheetName val="DESTAPE_ALCANTARILLAS_000-1_9"/>
      <sheetName val="tachas_reflectivas_68-114_9"/>
      <sheetName val="pinmuros_68+114_9"/>
      <sheetName val="CUNETAS_68-114_9"/>
      <sheetName val="DEFENSAS_METALICAS_68-114_9"/>
      <sheetName val="REFERENCICACIÓN_VIAL_9"/>
      <sheetName val="REMOCION_DERRUMBES9"/>
      <sheetName val="DESARENADORES_68-1149"/>
      <sheetName val="REALCE_BORDILLOS_68-1149"/>
      <sheetName val="PARCHEO_68-1149"/>
      <sheetName val="DESTAPE_ALCANTARILLAS_000-1149"/>
      <sheetName val="pinmuros_68+1149"/>
      <sheetName val="CUNETAS_68-1149"/>
      <sheetName val="SEÑALI_68-1149"/>
      <sheetName val="DEFENSAS_METALICAS_68-1149"/>
      <sheetName val="REFERENCICACIÓN_VIAL9"/>
      <sheetName val="juntas_de_expansion9"/>
      <sheetName val="Hincado_de_rieles9"/>
      <sheetName val="Pintura_muros_y_cabezotes9"/>
      <sheetName val="Suministro_e_instal_rieles9"/>
      <sheetName val="Drenes_PVC_4_pulg9"/>
      <sheetName val="SELLOS_PARA_JUNTAS_DE_PUENTES9"/>
      <sheetName val="Sello_de_grietas_de_concreto9"/>
      <sheetName val="Tubería_PVC_4_pulg9"/>
      <sheetName val="SECCIÓN_FINAL9"/>
      <sheetName val="DEFENSA_METÁLICA9"/>
      <sheetName val="Postes_de_kilometraje9"/>
      <sheetName val="REMOCIÓN_DE_DERRUMBES9"/>
      <sheetName val="Mant__Postes_de_kilometraje9"/>
      <sheetName val="PU_201,3_9"/>
      <sheetName val="PU211P_19"/>
      <sheetName val="PU211P_29"/>
      <sheetName val="201p_39"/>
      <sheetName val="PU_320,19"/>
      <sheetName val="PU330,1_9"/>
      <sheetName val="PU450P,1_(tapada_huecos)9"/>
      <sheetName val="PU460_Parcheo9"/>
      <sheetName val="PU600P_1_9"/>
      <sheetName val="PU610,1_9"/>
      <sheetName val="PU630,4_9"/>
      <sheetName val="PU630,4_acelerante9"/>
      <sheetName val="PU630,4_D9"/>
      <sheetName val="PU630,6_especial_por_M39"/>
      <sheetName val="PU630,6_Simple9"/>
      <sheetName val="PU630,6_especial_por_M29"/>
      <sheetName val="PU630,6_F9"/>
      <sheetName val="PU630P_7_9"/>
      <sheetName val="PU630,7_9"/>
      <sheetName val="PU630,7_Especial9"/>
      <sheetName val="PU630P_159"/>
      <sheetName val="PU660_29"/>
      <sheetName val="670_39"/>
      <sheetName val="PU673_9"/>
      <sheetName val="PU681,1_Esp__Q_Caliche9"/>
      <sheetName val="PU830P_1_9"/>
      <sheetName val="PR_19"/>
      <sheetName val="MANO_DE_OBRA9"/>
      <sheetName val="ESTADO_RED9"/>
      <sheetName val="GENERALIDADES_9"/>
      <sheetName val="necesidades_de_la_via10"/>
      <sheetName val="5+440_RÍO_SECO10"/>
      <sheetName val="21+100_10"/>
      <sheetName val="31+250_PTE__GUADUALITO10"/>
      <sheetName val="31+580_P__GUADUAL10"/>
      <sheetName val="34+_27010"/>
      <sheetName val="36+380_10"/>
      <sheetName val="64+110_P__GUADUAS_II10"/>
      <sheetName val="64+180_P__GUADUAS_I10"/>
      <sheetName val="64+820_P__QUEBRADA_CUNE10"/>
      <sheetName val="66+480_PUENTE_VARIANTE_210"/>
      <sheetName val="FRESADO_68_-_11410"/>
      <sheetName val="68+370_P__FÉRREO_10"/>
      <sheetName val="68+520_P__GUANÁBANO10"/>
      <sheetName val="69+030_RÍO_VILLETA10"/>
      <sheetName val="Villeta_centro10"/>
      <sheetName val="72+1020_LA_MARÍA10"/>
      <sheetName val="78+600_EL_ZANCUDO10"/>
      <sheetName val="81+650_LA_HONDA10"/>
      <sheetName val="83+230_QDA__NAUTATÁ10"/>
      <sheetName val="86+220_PUENTE_AZUL10"/>
      <sheetName val="86+600_PUENTE_HILA10"/>
      <sheetName val="101+800_QDA__EL_CHUSCAL10"/>
      <sheetName val="FRESADO_68-_11410"/>
      <sheetName val="REMOCION_DERRUMBES_68_-__11410"/>
      <sheetName val="DESARENADORES_68-114_10"/>
      <sheetName val="Lineas_de_demarcacion_68-11_10"/>
      <sheetName val="REALCE_BORDILLOS_68-114_10"/>
      <sheetName val="PARCHEO_68-114_10"/>
      <sheetName val="DESTAPE_ALCANTARILLAS_000-1_10"/>
      <sheetName val="tachas_reflectivas_68-114_10"/>
      <sheetName val="pinmuros_68+114_10"/>
      <sheetName val="CUNETAS_68-114_10"/>
      <sheetName val="DEFENSAS_METALICAS_68-114_10"/>
      <sheetName val="REFERENCICACIÓN_VIAL_10"/>
      <sheetName val="REMOCION_DERRUMBES10"/>
      <sheetName val="DESARENADORES_68-11410"/>
      <sheetName val="REALCE_BORDILLOS_68-11410"/>
      <sheetName val="PARCHEO_68-11410"/>
      <sheetName val="DESTAPE_ALCANTARILLAS_000-11410"/>
      <sheetName val="pinmuros_68+11410"/>
      <sheetName val="CUNETAS_68-11410"/>
      <sheetName val="SEÑALI_68-11410"/>
      <sheetName val="DEFENSAS_METALICAS_68-11410"/>
      <sheetName val="REFERENCICACIÓN_VIAL10"/>
      <sheetName val="juntas_de_expansion10"/>
      <sheetName val="Hincado_de_rieles10"/>
      <sheetName val="Pintura_muros_y_cabezotes10"/>
      <sheetName val="Suministro_e_instal_rieles10"/>
      <sheetName val="Drenes_PVC_4_pulg10"/>
      <sheetName val="SELLOS_PARA_JUNTAS_DE_PUENTES10"/>
      <sheetName val="Sello_de_grietas_de_concreto10"/>
      <sheetName val="Tubería_PVC_4_pulg10"/>
      <sheetName val="SECCIÓN_FINAL10"/>
      <sheetName val="DEFENSA_METÁLICA10"/>
      <sheetName val="Postes_de_kilometraje10"/>
      <sheetName val="REMOCIÓN_DE_DERRUMBES10"/>
      <sheetName val="Mant__Postes_de_kilometraje10"/>
      <sheetName val="PU_201,3_10"/>
      <sheetName val="PU211P_110"/>
      <sheetName val="PU211P_210"/>
      <sheetName val="201p_310"/>
      <sheetName val="PU_320,110"/>
      <sheetName val="PU330,1_10"/>
      <sheetName val="PU450P,1_(tapada_huecos)10"/>
      <sheetName val="PU460_Parcheo10"/>
      <sheetName val="PU600P_1_10"/>
      <sheetName val="PU610,1_10"/>
      <sheetName val="PU630,4_10"/>
      <sheetName val="PU630,4_acelerante10"/>
      <sheetName val="PU630,4_D10"/>
      <sheetName val="PU630,6_especial_por_M310"/>
      <sheetName val="PU630,6_Simple10"/>
      <sheetName val="PU630,6_especial_por_M210"/>
      <sheetName val="PU630,6_F10"/>
      <sheetName val="PU630P_7_10"/>
      <sheetName val="PU630,7_10"/>
      <sheetName val="PU630,7_Especial10"/>
      <sheetName val="PU630P_1510"/>
      <sheetName val="PU660_210"/>
      <sheetName val="670_310"/>
      <sheetName val="PU673_10"/>
      <sheetName val="PU681,1_Esp__Q_Caliche10"/>
      <sheetName val="PU830P_1_10"/>
      <sheetName val="PR_110"/>
      <sheetName val="MANO_DE_OBRA10"/>
      <sheetName val="ESTADO_RED10"/>
      <sheetName val="GENERALIDADES_10"/>
      <sheetName val="necesidades_de_la_via15"/>
      <sheetName val="5+440_RÍO_SECO15"/>
      <sheetName val="21+100_15"/>
      <sheetName val="31+250_PTE__GUADUALITO15"/>
      <sheetName val="31+580_P__GUADUAL15"/>
      <sheetName val="34+_27015"/>
      <sheetName val="36+380_15"/>
      <sheetName val="64+110_P__GUADUAS_II15"/>
      <sheetName val="64+180_P__GUADUAS_I15"/>
      <sheetName val="64+820_P__QUEBRADA_CUNE15"/>
      <sheetName val="66+480_PUENTE_VARIANTE_215"/>
      <sheetName val="FRESADO_68_-_11415"/>
      <sheetName val="68+370_P__FÉRREO_15"/>
      <sheetName val="68+520_P__GUANÁBANO15"/>
      <sheetName val="69+030_RÍO_VILLETA15"/>
      <sheetName val="Villeta_centro15"/>
      <sheetName val="72+1020_LA_MARÍA15"/>
      <sheetName val="78+600_EL_ZANCUDO15"/>
      <sheetName val="81+650_LA_HONDA15"/>
      <sheetName val="83+230_QDA__NAUTATÁ15"/>
      <sheetName val="86+220_PUENTE_AZUL15"/>
      <sheetName val="86+600_PUENTE_HILA15"/>
      <sheetName val="101+800_QDA__EL_CHUSCAL15"/>
      <sheetName val="FRESADO_68-_11415"/>
      <sheetName val="REMOCION_DERRUMBES_68_-__11415"/>
      <sheetName val="DESARENADORES_68-114_15"/>
      <sheetName val="Lineas_de_demarcacion_68-11_15"/>
      <sheetName val="REALCE_BORDILLOS_68-114_15"/>
      <sheetName val="PARCHEO_68-114_15"/>
      <sheetName val="DESTAPE_ALCANTARILLAS_000-1_15"/>
      <sheetName val="tachas_reflectivas_68-114_15"/>
      <sheetName val="pinmuros_68+114_15"/>
      <sheetName val="CUNETAS_68-114_15"/>
      <sheetName val="DEFENSAS_METALICAS_68-114_15"/>
      <sheetName val="REFERENCICACIÓN_VIAL_15"/>
      <sheetName val="REMOCION_DERRUMBES15"/>
      <sheetName val="DESARENADORES_68-11415"/>
      <sheetName val="REALCE_BORDILLOS_68-11415"/>
      <sheetName val="PARCHEO_68-11415"/>
      <sheetName val="DESTAPE_ALCANTARILLAS_000-11415"/>
      <sheetName val="pinmuros_68+11415"/>
      <sheetName val="CUNETAS_68-11415"/>
      <sheetName val="SEÑALI_68-11415"/>
      <sheetName val="DEFENSAS_METALICAS_68-11415"/>
      <sheetName val="REFERENCICACIÓN_VIAL15"/>
      <sheetName val="juntas_de_expansion15"/>
      <sheetName val="Hincado_de_rieles15"/>
      <sheetName val="Pintura_muros_y_cabezotes15"/>
      <sheetName val="Suministro_e_instal_rieles15"/>
      <sheetName val="Drenes_PVC_4_pulg15"/>
      <sheetName val="SELLOS_PARA_JUNTAS_DE_PUENTES15"/>
      <sheetName val="Sello_de_grietas_de_concreto15"/>
      <sheetName val="Tubería_PVC_4_pulg15"/>
      <sheetName val="SECCIÓN_FINAL15"/>
      <sheetName val="DEFENSA_METÁLICA15"/>
      <sheetName val="Postes_de_kilometraje15"/>
      <sheetName val="REMOCIÓN_DE_DERRUMBES15"/>
      <sheetName val="Mant__Postes_de_kilometraje15"/>
      <sheetName val="PU_201,3_15"/>
      <sheetName val="PU211P_115"/>
      <sheetName val="PU211P_215"/>
      <sheetName val="201p_315"/>
      <sheetName val="PU_320,115"/>
      <sheetName val="PU330,1_15"/>
      <sheetName val="PU450P,1_(tapada_huecos)15"/>
      <sheetName val="PU460_Parcheo15"/>
      <sheetName val="PU600P_1_15"/>
      <sheetName val="PU610,1_15"/>
      <sheetName val="PU630,4_15"/>
      <sheetName val="PU630,4_acelerante15"/>
      <sheetName val="PU630,4_D15"/>
      <sheetName val="PU630,6_especial_por_M315"/>
      <sheetName val="PU630,6_Simple15"/>
      <sheetName val="PU630,6_especial_por_M215"/>
      <sheetName val="PU630,6_F15"/>
      <sheetName val="PU630P_7_15"/>
      <sheetName val="PU630,7_15"/>
      <sheetName val="PU630,7_Especial15"/>
      <sheetName val="PU630P_1515"/>
      <sheetName val="PU660_215"/>
      <sheetName val="670_315"/>
      <sheetName val="PU673_15"/>
      <sheetName val="PU681,1_Esp__Q_Caliche15"/>
      <sheetName val="PU830P_1_15"/>
      <sheetName val="PR_115"/>
      <sheetName val="MANO_DE_OBRA15"/>
      <sheetName val="ESTADO_RED15"/>
      <sheetName val="GENERALIDADES_15"/>
      <sheetName val="necesidades_de_la_via13"/>
      <sheetName val="5+440_RÍO_SECO13"/>
      <sheetName val="21+100_13"/>
      <sheetName val="31+250_PTE__GUADUALITO13"/>
      <sheetName val="31+580_P__GUADUAL13"/>
      <sheetName val="34+_27013"/>
      <sheetName val="36+380_13"/>
      <sheetName val="64+110_P__GUADUAS_II13"/>
      <sheetName val="64+180_P__GUADUAS_I13"/>
      <sheetName val="64+820_P__QUEBRADA_CUNE13"/>
      <sheetName val="66+480_PUENTE_VARIANTE_213"/>
      <sheetName val="FRESADO_68_-_11413"/>
      <sheetName val="68+370_P__FÉRREO_13"/>
      <sheetName val="68+520_P__GUANÁBANO13"/>
      <sheetName val="69+030_RÍO_VILLETA13"/>
      <sheetName val="Villeta_centro13"/>
      <sheetName val="72+1020_LA_MARÍA13"/>
      <sheetName val="78+600_EL_ZANCUDO13"/>
      <sheetName val="81+650_LA_HONDA13"/>
      <sheetName val="83+230_QDA__NAUTATÁ13"/>
      <sheetName val="86+220_PUENTE_AZUL13"/>
      <sheetName val="86+600_PUENTE_HILA13"/>
      <sheetName val="101+800_QDA__EL_CHUSCAL13"/>
      <sheetName val="FRESADO_68-_11413"/>
      <sheetName val="REMOCION_DERRUMBES_68_-__11413"/>
      <sheetName val="DESARENADORES_68-114_13"/>
      <sheetName val="Lineas_de_demarcacion_68-11_13"/>
      <sheetName val="REALCE_BORDILLOS_68-114_13"/>
      <sheetName val="PARCHEO_68-114_13"/>
      <sheetName val="DESTAPE_ALCANTARILLAS_000-1_13"/>
      <sheetName val="tachas_reflectivas_68-114_13"/>
      <sheetName val="pinmuros_68+114_13"/>
      <sheetName val="CUNETAS_68-114_13"/>
      <sheetName val="DEFENSAS_METALICAS_68-114_13"/>
      <sheetName val="REFERENCICACIÓN_VIAL_13"/>
      <sheetName val="REMOCION_DERRUMBES13"/>
      <sheetName val="DESARENADORES_68-11413"/>
      <sheetName val="REALCE_BORDILLOS_68-11413"/>
      <sheetName val="PARCHEO_68-11413"/>
      <sheetName val="DESTAPE_ALCANTARILLAS_000-11413"/>
      <sheetName val="pinmuros_68+11413"/>
      <sheetName val="CUNETAS_68-11413"/>
      <sheetName val="SEÑALI_68-11413"/>
      <sheetName val="DEFENSAS_METALICAS_68-11413"/>
      <sheetName val="REFERENCICACIÓN_VIAL13"/>
      <sheetName val="juntas_de_expansion13"/>
      <sheetName val="Hincado_de_rieles13"/>
      <sheetName val="Pintura_muros_y_cabezotes13"/>
      <sheetName val="Suministro_e_instal_rieles13"/>
      <sheetName val="Drenes_PVC_4_pulg13"/>
      <sheetName val="SELLOS_PARA_JUNTAS_DE_PUENTES13"/>
      <sheetName val="Sello_de_grietas_de_concreto13"/>
      <sheetName val="Tubería_PVC_4_pulg13"/>
      <sheetName val="SECCIÓN_FINAL13"/>
      <sheetName val="DEFENSA_METÁLICA13"/>
      <sheetName val="Postes_de_kilometraje13"/>
      <sheetName val="REMOCIÓN_DE_DERRUMBES13"/>
      <sheetName val="Mant__Postes_de_kilometraje13"/>
      <sheetName val="PU_201,3_13"/>
      <sheetName val="PU211P_113"/>
      <sheetName val="PU211P_213"/>
      <sheetName val="201p_313"/>
      <sheetName val="PU_320,113"/>
      <sheetName val="PU330,1_13"/>
      <sheetName val="PU450P,1_(tapada_huecos)13"/>
      <sheetName val="PU460_Parcheo13"/>
      <sheetName val="PU600P_1_13"/>
      <sheetName val="PU610,1_13"/>
      <sheetName val="PU630,4_13"/>
      <sheetName val="PU630,4_acelerante13"/>
      <sheetName val="PU630,4_D13"/>
      <sheetName val="PU630,6_especial_por_M313"/>
      <sheetName val="PU630,6_Simple13"/>
      <sheetName val="PU630,6_especial_por_M213"/>
      <sheetName val="PU630,6_F13"/>
      <sheetName val="PU630P_7_13"/>
      <sheetName val="PU630,7_13"/>
      <sheetName val="PU630,7_Especial13"/>
      <sheetName val="PU630P_1513"/>
      <sheetName val="PU660_213"/>
      <sheetName val="670_313"/>
      <sheetName val="PU673_13"/>
      <sheetName val="PU681,1_Esp__Q_Caliche13"/>
      <sheetName val="PU830P_1_13"/>
      <sheetName val="PR_113"/>
      <sheetName val="MANO_DE_OBRA13"/>
      <sheetName val="ESTADO_RED13"/>
      <sheetName val="GENERALIDADES_13"/>
      <sheetName val="necesidades_de_la_via11"/>
      <sheetName val="5+440_RÍO_SECO11"/>
      <sheetName val="21+100_11"/>
      <sheetName val="31+250_PTE__GUADUALITO11"/>
      <sheetName val="31+580_P__GUADUAL11"/>
      <sheetName val="34+_27011"/>
      <sheetName val="36+380_11"/>
      <sheetName val="64+110_P__GUADUAS_II11"/>
      <sheetName val="64+180_P__GUADUAS_I11"/>
      <sheetName val="64+820_P__QUEBRADA_CUNE11"/>
      <sheetName val="66+480_PUENTE_VARIANTE_211"/>
      <sheetName val="FRESADO_68_-_11411"/>
      <sheetName val="68+370_P__FÉRREO_11"/>
      <sheetName val="68+520_P__GUANÁBANO11"/>
      <sheetName val="69+030_RÍO_VILLETA11"/>
      <sheetName val="Villeta_centro11"/>
      <sheetName val="72+1020_LA_MARÍA11"/>
      <sheetName val="78+600_EL_ZANCUDO11"/>
      <sheetName val="81+650_LA_HONDA11"/>
      <sheetName val="83+230_QDA__NAUTATÁ11"/>
      <sheetName val="86+220_PUENTE_AZUL11"/>
      <sheetName val="86+600_PUENTE_HILA11"/>
      <sheetName val="101+800_QDA__EL_CHUSCAL11"/>
      <sheetName val="FRESADO_68-_11411"/>
      <sheetName val="REMOCION_DERRUMBES_68_-__11411"/>
      <sheetName val="DESARENADORES_68-114_11"/>
      <sheetName val="Lineas_de_demarcacion_68-11_11"/>
      <sheetName val="REALCE_BORDILLOS_68-114_11"/>
      <sheetName val="PARCHEO_68-114_11"/>
      <sheetName val="DESTAPE_ALCANTARILLAS_000-1_11"/>
      <sheetName val="tachas_reflectivas_68-114_11"/>
      <sheetName val="pinmuros_68+114_11"/>
      <sheetName val="CUNETAS_68-114_11"/>
      <sheetName val="DEFENSAS_METALICAS_68-114_11"/>
      <sheetName val="REFERENCICACIÓN_VIAL_11"/>
      <sheetName val="REMOCION_DERRUMBES11"/>
      <sheetName val="DESARENADORES_68-11411"/>
      <sheetName val="REALCE_BORDILLOS_68-11411"/>
      <sheetName val="PARCHEO_68-11411"/>
      <sheetName val="DESTAPE_ALCANTARILLAS_000-11411"/>
      <sheetName val="pinmuros_68+11411"/>
      <sheetName val="CUNETAS_68-11411"/>
      <sheetName val="SEÑALI_68-11411"/>
      <sheetName val="DEFENSAS_METALICAS_68-11411"/>
      <sheetName val="REFERENCICACIÓN_VIAL11"/>
      <sheetName val="juntas_de_expansion11"/>
      <sheetName val="Hincado_de_rieles11"/>
      <sheetName val="Pintura_muros_y_cabezotes11"/>
      <sheetName val="Suministro_e_instal_rieles11"/>
      <sheetName val="Drenes_PVC_4_pulg11"/>
      <sheetName val="SELLOS_PARA_JUNTAS_DE_PUENTES11"/>
      <sheetName val="Sello_de_grietas_de_concreto11"/>
      <sheetName val="Tubería_PVC_4_pulg11"/>
      <sheetName val="SECCIÓN_FINAL11"/>
      <sheetName val="DEFENSA_METÁLICA11"/>
      <sheetName val="Postes_de_kilometraje11"/>
      <sheetName val="REMOCIÓN_DE_DERRUMBES11"/>
      <sheetName val="Mant__Postes_de_kilometraje11"/>
      <sheetName val="PU_201,3_11"/>
      <sheetName val="PU211P_111"/>
      <sheetName val="PU211P_211"/>
      <sheetName val="201p_311"/>
      <sheetName val="PU_320,111"/>
      <sheetName val="PU330,1_11"/>
      <sheetName val="PU450P,1_(tapada_huecos)11"/>
      <sheetName val="PU460_Parcheo11"/>
      <sheetName val="PU600P_1_11"/>
      <sheetName val="PU610,1_11"/>
      <sheetName val="PU630,4_11"/>
      <sheetName val="PU630,4_acelerante11"/>
      <sheetName val="PU630,4_D11"/>
      <sheetName val="PU630,6_especial_por_M311"/>
      <sheetName val="PU630,6_Simple11"/>
      <sheetName val="PU630,6_especial_por_M211"/>
      <sheetName val="PU630,6_F11"/>
      <sheetName val="PU630P_7_11"/>
      <sheetName val="PU630,7_11"/>
      <sheetName val="PU630,7_Especial11"/>
      <sheetName val="PU630P_1511"/>
      <sheetName val="PU660_211"/>
      <sheetName val="670_311"/>
      <sheetName val="PU673_11"/>
      <sheetName val="PU681,1_Esp__Q_Caliche11"/>
      <sheetName val="PU830P_1_11"/>
      <sheetName val="PR_111"/>
      <sheetName val="MANO_DE_OBRA11"/>
      <sheetName val="ESTADO_RED11"/>
      <sheetName val="GENERALIDADES_11"/>
      <sheetName val="necesidades_de_la_via12"/>
      <sheetName val="5+440_RÍO_SECO12"/>
      <sheetName val="21+100_12"/>
      <sheetName val="31+250_PTE__GUADUALITO12"/>
      <sheetName val="31+580_P__GUADUAL12"/>
      <sheetName val="34+_27012"/>
      <sheetName val="36+380_12"/>
      <sheetName val="64+110_P__GUADUAS_II12"/>
      <sheetName val="64+180_P__GUADUAS_I12"/>
      <sheetName val="64+820_P__QUEBRADA_CUNE12"/>
      <sheetName val="66+480_PUENTE_VARIANTE_212"/>
      <sheetName val="FRESADO_68_-_11412"/>
      <sheetName val="68+370_P__FÉRREO_12"/>
      <sheetName val="68+520_P__GUANÁBANO12"/>
      <sheetName val="69+030_RÍO_VILLETA12"/>
      <sheetName val="Villeta_centro12"/>
      <sheetName val="72+1020_LA_MARÍA12"/>
      <sheetName val="78+600_EL_ZANCUDO12"/>
      <sheetName val="81+650_LA_HONDA12"/>
      <sheetName val="83+230_QDA__NAUTATÁ12"/>
      <sheetName val="86+220_PUENTE_AZUL12"/>
      <sheetName val="86+600_PUENTE_HILA12"/>
      <sheetName val="101+800_QDA__EL_CHUSCAL12"/>
      <sheetName val="FRESADO_68-_11412"/>
      <sheetName val="REMOCION_DERRUMBES_68_-__11412"/>
      <sheetName val="DESARENADORES_68-114_12"/>
      <sheetName val="Lineas_de_demarcacion_68-11_12"/>
      <sheetName val="REALCE_BORDILLOS_68-114_12"/>
      <sheetName val="PARCHEO_68-114_12"/>
      <sheetName val="DESTAPE_ALCANTARILLAS_000-1_12"/>
      <sheetName val="tachas_reflectivas_68-114_12"/>
      <sheetName val="pinmuros_68+114_12"/>
      <sheetName val="CUNETAS_68-114_12"/>
      <sheetName val="DEFENSAS_METALICAS_68-114_12"/>
      <sheetName val="REFERENCICACIÓN_VIAL_12"/>
      <sheetName val="REMOCION_DERRUMBES12"/>
      <sheetName val="DESARENADORES_68-11412"/>
      <sheetName val="REALCE_BORDILLOS_68-11412"/>
      <sheetName val="PARCHEO_68-11412"/>
      <sheetName val="DESTAPE_ALCANTARILLAS_000-11412"/>
      <sheetName val="pinmuros_68+11412"/>
      <sheetName val="CUNETAS_68-11412"/>
      <sheetName val="SEÑALI_68-11412"/>
      <sheetName val="DEFENSAS_METALICAS_68-11412"/>
      <sheetName val="REFERENCICACIÓN_VIAL12"/>
      <sheetName val="juntas_de_expansion12"/>
      <sheetName val="Hincado_de_rieles12"/>
      <sheetName val="Pintura_muros_y_cabezotes12"/>
      <sheetName val="Suministro_e_instal_rieles12"/>
      <sheetName val="Drenes_PVC_4_pulg12"/>
      <sheetName val="SELLOS_PARA_JUNTAS_DE_PUENTES12"/>
      <sheetName val="Sello_de_grietas_de_concreto12"/>
      <sheetName val="Tubería_PVC_4_pulg12"/>
      <sheetName val="SECCIÓN_FINAL12"/>
      <sheetName val="DEFENSA_METÁLICA12"/>
      <sheetName val="Postes_de_kilometraje12"/>
      <sheetName val="REMOCIÓN_DE_DERRUMBES12"/>
      <sheetName val="Mant__Postes_de_kilometraje12"/>
      <sheetName val="PU_201,3_12"/>
      <sheetName val="PU211P_112"/>
      <sheetName val="PU211P_212"/>
      <sheetName val="201p_312"/>
      <sheetName val="PU_320,112"/>
      <sheetName val="PU330,1_12"/>
      <sheetName val="PU450P,1_(tapada_huecos)12"/>
      <sheetName val="PU460_Parcheo12"/>
      <sheetName val="PU600P_1_12"/>
      <sheetName val="PU610,1_12"/>
      <sheetName val="PU630,4_12"/>
      <sheetName val="PU630,4_acelerante12"/>
      <sheetName val="PU630,4_D12"/>
      <sheetName val="PU630,6_especial_por_M312"/>
      <sheetName val="PU630,6_Simple12"/>
      <sheetName val="PU630,6_especial_por_M212"/>
      <sheetName val="PU630,6_F12"/>
      <sheetName val="PU630P_7_12"/>
      <sheetName val="PU630,7_12"/>
      <sheetName val="PU630,7_Especial12"/>
      <sheetName val="PU630P_1512"/>
      <sheetName val="PU660_212"/>
      <sheetName val="670_312"/>
      <sheetName val="PU673_12"/>
      <sheetName val="PU681,1_Esp__Q_Caliche12"/>
      <sheetName val="PU830P_1_12"/>
      <sheetName val="PR_112"/>
      <sheetName val="MANO_DE_OBRA12"/>
      <sheetName val="ESTADO_RED12"/>
      <sheetName val="GENERALIDADES_12"/>
      <sheetName val="necesidades_de_la_via14"/>
      <sheetName val="5+440_RÍO_SECO14"/>
      <sheetName val="21+100_14"/>
      <sheetName val="31+250_PTE__GUADUALITO14"/>
      <sheetName val="31+580_P__GUADUAL14"/>
      <sheetName val="34+_27014"/>
      <sheetName val="36+380_14"/>
      <sheetName val="64+110_P__GUADUAS_II14"/>
      <sheetName val="64+180_P__GUADUAS_I14"/>
      <sheetName val="64+820_P__QUEBRADA_CUNE14"/>
      <sheetName val="66+480_PUENTE_VARIANTE_214"/>
      <sheetName val="FRESADO_68_-_11414"/>
      <sheetName val="68+370_P__FÉRREO_14"/>
      <sheetName val="68+520_P__GUANÁBANO14"/>
      <sheetName val="69+030_RÍO_VILLETA14"/>
      <sheetName val="Villeta_centro14"/>
      <sheetName val="72+1020_LA_MARÍA14"/>
      <sheetName val="78+600_EL_ZANCUDO14"/>
      <sheetName val="81+650_LA_HONDA14"/>
      <sheetName val="83+230_QDA__NAUTATÁ14"/>
      <sheetName val="86+220_PUENTE_AZUL14"/>
      <sheetName val="86+600_PUENTE_HILA14"/>
      <sheetName val="101+800_QDA__EL_CHUSCAL14"/>
      <sheetName val="FRESADO_68-_11414"/>
      <sheetName val="REMOCION_DERRUMBES_68_-__11414"/>
      <sheetName val="DESARENADORES_68-114_14"/>
      <sheetName val="Lineas_de_demarcacion_68-11_14"/>
      <sheetName val="REALCE_BORDILLOS_68-114_14"/>
      <sheetName val="PARCHEO_68-114_14"/>
      <sheetName val="DESTAPE_ALCANTARILLAS_000-1_14"/>
      <sheetName val="tachas_reflectivas_68-114_14"/>
      <sheetName val="pinmuros_68+114_14"/>
      <sheetName val="CUNETAS_68-114_14"/>
      <sheetName val="DEFENSAS_METALICAS_68-114_14"/>
      <sheetName val="REFERENCICACIÓN_VIAL_14"/>
      <sheetName val="REMOCION_DERRUMBES14"/>
      <sheetName val="DESARENADORES_68-11414"/>
      <sheetName val="REALCE_BORDILLOS_68-11414"/>
      <sheetName val="PARCHEO_68-11414"/>
      <sheetName val="DESTAPE_ALCANTARILLAS_000-11414"/>
      <sheetName val="pinmuros_68+11414"/>
      <sheetName val="CUNETAS_68-11414"/>
      <sheetName val="SEÑALI_68-11414"/>
      <sheetName val="DEFENSAS_METALICAS_68-11414"/>
      <sheetName val="REFERENCICACIÓN_VIAL14"/>
      <sheetName val="juntas_de_expansion14"/>
      <sheetName val="Hincado_de_rieles14"/>
      <sheetName val="Pintura_muros_y_cabezotes14"/>
      <sheetName val="Suministro_e_instal_rieles14"/>
      <sheetName val="Drenes_PVC_4_pulg14"/>
      <sheetName val="SELLOS_PARA_JUNTAS_DE_PUENTES14"/>
      <sheetName val="Sello_de_grietas_de_concreto14"/>
      <sheetName val="Tubería_PVC_4_pulg14"/>
      <sheetName val="SECCIÓN_FINAL14"/>
      <sheetName val="DEFENSA_METÁLICA14"/>
      <sheetName val="Postes_de_kilometraje14"/>
      <sheetName val="REMOCIÓN_DE_DERRUMBES14"/>
      <sheetName val="Mant__Postes_de_kilometraje14"/>
      <sheetName val="PU_201,3_14"/>
      <sheetName val="PU211P_114"/>
      <sheetName val="PU211P_214"/>
      <sheetName val="201p_314"/>
      <sheetName val="PU_320,114"/>
      <sheetName val="PU330,1_14"/>
      <sheetName val="PU450P,1_(tapada_huecos)14"/>
      <sheetName val="PU460_Parcheo14"/>
      <sheetName val="PU600P_1_14"/>
      <sheetName val="PU610,1_14"/>
      <sheetName val="PU630,4_14"/>
      <sheetName val="PU630,4_acelerante14"/>
      <sheetName val="PU630,4_D14"/>
      <sheetName val="PU630,6_especial_por_M314"/>
      <sheetName val="PU630,6_Simple14"/>
      <sheetName val="PU630,6_especial_por_M214"/>
      <sheetName val="PU630,6_F14"/>
      <sheetName val="PU630P_7_14"/>
      <sheetName val="PU630,7_14"/>
      <sheetName val="PU630,7_Especial14"/>
      <sheetName val="PU630P_1514"/>
      <sheetName val="PU660_214"/>
      <sheetName val="670_314"/>
      <sheetName val="PU673_14"/>
      <sheetName val="PU681,1_Esp__Q_Caliche14"/>
      <sheetName val="PU830P_1_14"/>
      <sheetName val="PR_114"/>
      <sheetName val="MANO_DE_OBRA14"/>
      <sheetName val="ESTADO_RED14"/>
      <sheetName val="GENERALIDADES_14"/>
      <sheetName val="necesidades_de_la_via16"/>
      <sheetName val="5+440_RÍO_SECO16"/>
      <sheetName val="21+100_16"/>
      <sheetName val="31+250_PTE__GUADUALITO16"/>
      <sheetName val="31+580_P__GUADUAL16"/>
      <sheetName val="34+_27016"/>
      <sheetName val="36+380_16"/>
      <sheetName val="64+110_P__GUADUAS_II16"/>
      <sheetName val="64+180_P__GUADUAS_I16"/>
      <sheetName val="64+820_P__QUEBRADA_CUNE16"/>
      <sheetName val="66+480_PUENTE_VARIANTE_216"/>
      <sheetName val="FRESADO_68_-_11416"/>
      <sheetName val="68+370_P__FÉRREO_16"/>
      <sheetName val="68+520_P__GUANÁBANO16"/>
      <sheetName val="69+030_RÍO_VILLETA16"/>
      <sheetName val="Villeta_centro16"/>
      <sheetName val="72+1020_LA_MARÍA16"/>
      <sheetName val="78+600_EL_ZANCUDO16"/>
      <sheetName val="81+650_LA_HONDA16"/>
      <sheetName val="83+230_QDA__NAUTATÁ16"/>
      <sheetName val="86+220_PUENTE_AZUL16"/>
      <sheetName val="86+600_PUENTE_HILA16"/>
      <sheetName val="101+800_QDA__EL_CHUSCAL16"/>
      <sheetName val="FRESADO_68-_11416"/>
      <sheetName val="REMOCION_DERRUMBES_68_-__11416"/>
      <sheetName val="DESARENADORES_68-114_16"/>
      <sheetName val="Lineas_de_demarcacion_68-11_16"/>
      <sheetName val="REALCE_BORDILLOS_68-114_16"/>
      <sheetName val="PARCHEO_68-114_16"/>
      <sheetName val="DESTAPE_ALCANTARILLAS_000-1_16"/>
      <sheetName val="tachas_reflectivas_68-114_16"/>
      <sheetName val="pinmuros_68+114_16"/>
      <sheetName val="CUNETAS_68-114_16"/>
      <sheetName val="DEFENSAS_METALICAS_68-114_16"/>
      <sheetName val="REFERENCICACIÓN_VIAL_16"/>
      <sheetName val="REMOCION_DERRUMBES16"/>
      <sheetName val="DESARENADORES_68-11416"/>
      <sheetName val="REALCE_BORDILLOS_68-11416"/>
      <sheetName val="PARCHEO_68-11416"/>
      <sheetName val="DESTAPE_ALCANTARILLAS_000-11416"/>
      <sheetName val="pinmuros_68+11416"/>
      <sheetName val="CUNETAS_68-11416"/>
      <sheetName val="SEÑALI_68-11416"/>
      <sheetName val="DEFENSAS_METALICAS_68-11416"/>
      <sheetName val="REFERENCICACIÓN_VIAL16"/>
      <sheetName val="juntas_de_expansion16"/>
      <sheetName val="Hincado_de_rieles16"/>
      <sheetName val="Pintura_muros_y_cabezotes16"/>
      <sheetName val="Suministro_e_instal_rieles16"/>
      <sheetName val="Drenes_PVC_4_pulg16"/>
      <sheetName val="SELLOS_PARA_JUNTAS_DE_PUENTES16"/>
      <sheetName val="Sello_de_grietas_de_concreto16"/>
      <sheetName val="Tubería_PVC_4_pulg16"/>
      <sheetName val="SECCIÓN_FINAL16"/>
      <sheetName val="DEFENSA_METÁLICA16"/>
      <sheetName val="Postes_de_kilometraje16"/>
      <sheetName val="REMOCIÓN_DE_DERRUMBES16"/>
      <sheetName val="Mant__Postes_de_kilometraje16"/>
      <sheetName val="PU_201,3_16"/>
      <sheetName val="PU211P_116"/>
      <sheetName val="PU211P_216"/>
      <sheetName val="201p_316"/>
      <sheetName val="PU_320,116"/>
      <sheetName val="PU330,1_16"/>
      <sheetName val="PU450P,1_(tapada_huecos)16"/>
      <sheetName val="PU460_Parcheo16"/>
      <sheetName val="PU600P_1_16"/>
      <sheetName val="PU610,1_16"/>
      <sheetName val="PU630,4_16"/>
      <sheetName val="PU630,4_acelerante16"/>
      <sheetName val="PU630,4_D16"/>
      <sheetName val="PU630,6_especial_por_M316"/>
      <sheetName val="PU630,6_Simple16"/>
      <sheetName val="PU630,6_especial_por_M216"/>
      <sheetName val="PU630,6_F16"/>
      <sheetName val="PU630P_7_16"/>
      <sheetName val="PU630,7_16"/>
      <sheetName val="PU630,7_Especial16"/>
      <sheetName val="PU630P_1516"/>
      <sheetName val="PU660_216"/>
      <sheetName val="670_316"/>
      <sheetName val="PU673_16"/>
      <sheetName val="PU681,1_Esp__Q_Caliche16"/>
      <sheetName val="PU830P_1_16"/>
      <sheetName val="PR_116"/>
      <sheetName val="MANO_DE_OBRA16"/>
      <sheetName val="ESTADO_RED16"/>
      <sheetName val="GENERALIDADES_16"/>
      <sheetName val="necesidades_de_la_via17"/>
      <sheetName val="5+440_RÍO_SECO17"/>
      <sheetName val="21+100_17"/>
      <sheetName val="31+250_PTE__GUADUALITO17"/>
      <sheetName val="31+580_P__GUADUAL17"/>
      <sheetName val="34+_27017"/>
      <sheetName val="36+380_17"/>
      <sheetName val="64+110_P__GUADUAS_II17"/>
      <sheetName val="64+180_P__GUADUAS_I17"/>
      <sheetName val="64+820_P__QUEBRADA_CUNE17"/>
      <sheetName val="66+480_PUENTE_VARIANTE_217"/>
      <sheetName val="FRESADO_68_-_11417"/>
      <sheetName val="68+370_P__FÉRREO_17"/>
      <sheetName val="68+520_P__GUANÁBANO17"/>
      <sheetName val="69+030_RÍO_VILLETA17"/>
      <sheetName val="Villeta_centro17"/>
      <sheetName val="72+1020_LA_MARÍA17"/>
      <sheetName val="78+600_EL_ZANCUDO17"/>
      <sheetName val="81+650_LA_HONDA17"/>
      <sheetName val="83+230_QDA__NAUTATÁ17"/>
      <sheetName val="86+220_PUENTE_AZUL17"/>
      <sheetName val="86+600_PUENTE_HILA17"/>
      <sheetName val="101+800_QDA__EL_CHUSCAL17"/>
      <sheetName val="FRESADO_68-_11417"/>
      <sheetName val="REMOCION_DERRUMBES_68_-__11417"/>
      <sheetName val="DESARENADORES_68-114_17"/>
      <sheetName val="Lineas_de_demarcacion_68-11_17"/>
      <sheetName val="REALCE_BORDILLOS_68-114_17"/>
      <sheetName val="PARCHEO_68-114_17"/>
      <sheetName val="DESTAPE_ALCANTARILLAS_000-1_17"/>
      <sheetName val="tachas_reflectivas_68-114_17"/>
      <sheetName val="pinmuros_68+114_17"/>
      <sheetName val="CUNETAS_68-114_17"/>
      <sheetName val="DEFENSAS_METALICAS_68-114_17"/>
      <sheetName val="REFERENCICACIÓN_VIAL_17"/>
      <sheetName val="REMOCION_DERRUMBES17"/>
      <sheetName val="DESARENADORES_68-11417"/>
      <sheetName val="REALCE_BORDILLOS_68-11417"/>
      <sheetName val="PARCHEO_68-11417"/>
      <sheetName val="DESTAPE_ALCANTARILLAS_000-11417"/>
      <sheetName val="pinmuros_68+11417"/>
      <sheetName val="CUNETAS_68-11417"/>
      <sheetName val="SEÑALI_68-11417"/>
      <sheetName val="DEFENSAS_METALICAS_68-11417"/>
      <sheetName val="REFERENCICACIÓN_VIAL17"/>
      <sheetName val="juntas_de_expansion17"/>
      <sheetName val="Hincado_de_rieles17"/>
      <sheetName val="Pintura_muros_y_cabezotes17"/>
      <sheetName val="Suministro_e_instal_rieles17"/>
      <sheetName val="Drenes_PVC_4_pulg17"/>
      <sheetName val="SELLOS_PARA_JUNTAS_DE_PUENTES17"/>
      <sheetName val="Sello_de_grietas_de_concreto17"/>
      <sheetName val="Tubería_PVC_4_pulg17"/>
      <sheetName val="SECCIÓN_FINAL17"/>
      <sheetName val="DEFENSA_METÁLICA17"/>
      <sheetName val="Postes_de_kilometraje17"/>
      <sheetName val="REMOCIÓN_DE_DERRUMBES17"/>
      <sheetName val="Mant__Postes_de_kilometraje17"/>
      <sheetName val="PU_201,3_17"/>
      <sheetName val="PU211P_117"/>
      <sheetName val="PU211P_217"/>
      <sheetName val="201p_317"/>
      <sheetName val="PU_320,117"/>
      <sheetName val="PU330,1_17"/>
      <sheetName val="PU450P,1_(tapada_huecos)17"/>
      <sheetName val="PU460_Parcheo17"/>
      <sheetName val="PU600P_1_17"/>
      <sheetName val="PU610,1_17"/>
      <sheetName val="PU630,4_17"/>
      <sheetName val="PU630,4_acelerante17"/>
      <sheetName val="PU630,4_D17"/>
      <sheetName val="PU630,6_especial_por_M317"/>
      <sheetName val="PU630,6_Simple17"/>
      <sheetName val="PU630,6_especial_por_M217"/>
      <sheetName val="PU630,6_F17"/>
      <sheetName val="PU630P_7_17"/>
      <sheetName val="PU630,7_17"/>
      <sheetName val="PU630,7_Especial17"/>
      <sheetName val="PU630P_1517"/>
      <sheetName val="PU660_217"/>
      <sheetName val="670_317"/>
      <sheetName val="PU673_17"/>
      <sheetName val="PU681,1_Esp__Q_Caliche17"/>
      <sheetName val="PU830P_1_17"/>
      <sheetName val="PR_117"/>
      <sheetName val="MANO_DE_OBRA17"/>
      <sheetName val="ESTADO_RED17"/>
      <sheetName val="GENERALIDADES_17"/>
      <sheetName val="necesidades_de_la_via18"/>
      <sheetName val="5+440_RÍO_SECO18"/>
      <sheetName val="21+100_18"/>
      <sheetName val="31+250_PTE__GUADUALITO18"/>
      <sheetName val="31+580_P__GUADUAL18"/>
      <sheetName val="34+_27018"/>
      <sheetName val="36+380_18"/>
      <sheetName val="64+110_P__GUADUAS_II18"/>
      <sheetName val="64+180_P__GUADUAS_I18"/>
      <sheetName val="64+820_P__QUEBRADA_CUNE18"/>
      <sheetName val="66+480_PUENTE_VARIANTE_218"/>
      <sheetName val="FRESADO_68_-_11418"/>
      <sheetName val="68+370_P__FÉRREO_18"/>
      <sheetName val="68+520_P__GUANÁBANO18"/>
      <sheetName val="69+030_RÍO_VILLETA18"/>
      <sheetName val="Villeta_centro18"/>
      <sheetName val="72+1020_LA_MARÍA18"/>
      <sheetName val="78+600_EL_ZANCUDO18"/>
      <sheetName val="81+650_LA_HONDA18"/>
      <sheetName val="83+230_QDA__NAUTATÁ18"/>
      <sheetName val="86+220_PUENTE_AZUL18"/>
      <sheetName val="86+600_PUENTE_HILA18"/>
      <sheetName val="101+800_QDA__EL_CHUSCAL18"/>
      <sheetName val="FRESADO_68-_11418"/>
      <sheetName val="REMOCION_DERRUMBES_68_-__11418"/>
      <sheetName val="DESARENADORES_68-114_18"/>
      <sheetName val="Lineas_de_demarcacion_68-11_18"/>
      <sheetName val="REALCE_BORDILLOS_68-114_18"/>
      <sheetName val="PARCHEO_68-114_18"/>
      <sheetName val="DESTAPE_ALCANTARILLAS_000-1_18"/>
      <sheetName val="tachas_reflectivas_68-114_18"/>
      <sheetName val="pinmuros_68+114_18"/>
      <sheetName val="CUNETAS_68-114_18"/>
      <sheetName val="DEFENSAS_METALICAS_68-114_18"/>
      <sheetName val="REFERENCICACIÓN_VIAL_18"/>
      <sheetName val="REMOCION_DERRUMBES18"/>
      <sheetName val="DESARENADORES_68-11418"/>
      <sheetName val="REALCE_BORDILLOS_68-11418"/>
      <sheetName val="PARCHEO_68-11418"/>
      <sheetName val="DESTAPE_ALCANTARILLAS_000-11418"/>
      <sheetName val="pinmuros_68+11418"/>
      <sheetName val="CUNETAS_68-11418"/>
      <sheetName val="SEÑALI_68-11418"/>
      <sheetName val="DEFENSAS_METALICAS_68-11418"/>
      <sheetName val="REFERENCICACIÓN_VIAL18"/>
      <sheetName val="juntas_de_expansion18"/>
      <sheetName val="Hincado_de_rieles18"/>
      <sheetName val="Pintura_muros_y_cabezotes18"/>
      <sheetName val="Suministro_e_instal_rieles18"/>
      <sheetName val="Drenes_PVC_4_pulg18"/>
      <sheetName val="SELLOS_PARA_JUNTAS_DE_PUENTES18"/>
      <sheetName val="Sello_de_grietas_de_concreto18"/>
      <sheetName val="Tubería_PVC_4_pulg18"/>
      <sheetName val="SECCIÓN_FINAL18"/>
      <sheetName val="DEFENSA_METÁLICA18"/>
      <sheetName val="Postes_de_kilometraje18"/>
      <sheetName val="REMOCIÓN_DE_DERRUMBES18"/>
      <sheetName val="Mant__Postes_de_kilometraje18"/>
      <sheetName val="PU_201,3_18"/>
      <sheetName val="PU211P_118"/>
      <sheetName val="PU211P_218"/>
      <sheetName val="201p_318"/>
      <sheetName val="PU_320,118"/>
      <sheetName val="PU330,1_18"/>
      <sheetName val="PU450P,1_(tapada_huecos)18"/>
      <sheetName val="PU460_Parcheo18"/>
      <sheetName val="PU600P_1_18"/>
      <sheetName val="PU610,1_18"/>
      <sheetName val="PU630,4_18"/>
      <sheetName val="PU630,4_acelerante18"/>
      <sheetName val="PU630,4_D18"/>
      <sheetName val="PU630,6_especial_por_M318"/>
      <sheetName val="PU630,6_Simple18"/>
      <sheetName val="PU630,6_especial_por_M218"/>
      <sheetName val="PU630,6_F18"/>
      <sheetName val="PU630P_7_18"/>
      <sheetName val="PU630,7_18"/>
      <sheetName val="PU630,7_Especial18"/>
      <sheetName val="PU630P_1518"/>
      <sheetName val="PU660_218"/>
      <sheetName val="670_318"/>
      <sheetName val="PU673_18"/>
      <sheetName val="PU681,1_Esp__Q_Caliche18"/>
      <sheetName val="PU830P_1_18"/>
      <sheetName val="PR_118"/>
      <sheetName val="MANO_DE_OBRA18"/>
      <sheetName val="ESTADO_RED18"/>
      <sheetName val="GENERALIDADES_18"/>
      <sheetName val="necesidades_de_la_via20"/>
      <sheetName val="5+440_RÍO_SECO20"/>
      <sheetName val="21+100_20"/>
      <sheetName val="31+250_PTE__GUADUALITO20"/>
      <sheetName val="31+580_P__GUADUAL20"/>
      <sheetName val="34+_27020"/>
      <sheetName val="36+380_20"/>
      <sheetName val="64+110_P__GUADUAS_II20"/>
      <sheetName val="64+180_P__GUADUAS_I20"/>
      <sheetName val="64+820_P__QUEBRADA_CUNE20"/>
      <sheetName val="66+480_PUENTE_VARIANTE_220"/>
      <sheetName val="FRESADO_68_-_11420"/>
      <sheetName val="68+370_P__FÉRREO_20"/>
      <sheetName val="68+520_P__GUANÁBANO20"/>
      <sheetName val="69+030_RÍO_VILLETA20"/>
      <sheetName val="Villeta_centro20"/>
      <sheetName val="72+1020_LA_MARÍA20"/>
      <sheetName val="78+600_EL_ZANCUDO20"/>
      <sheetName val="81+650_LA_HONDA20"/>
      <sheetName val="83+230_QDA__NAUTATÁ20"/>
      <sheetName val="86+220_PUENTE_AZUL20"/>
      <sheetName val="86+600_PUENTE_HILA20"/>
      <sheetName val="101+800_QDA__EL_CHUSCAL20"/>
      <sheetName val="FRESADO_68-_11420"/>
      <sheetName val="REMOCION_DERRUMBES_68_-__11420"/>
      <sheetName val="DESARENADORES_68-114_20"/>
      <sheetName val="Lineas_de_demarcacion_68-11_20"/>
      <sheetName val="REALCE_BORDILLOS_68-114_20"/>
      <sheetName val="PARCHEO_68-114_20"/>
      <sheetName val="DESTAPE_ALCANTARILLAS_000-1_20"/>
      <sheetName val="tachas_reflectivas_68-114_20"/>
      <sheetName val="pinmuros_68+114_20"/>
      <sheetName val="CUNETAS_68-114_20"/>
      <sheetName val="DEFENSAS_METALICAS_68-114_20"/>
      <sheetName val="REFERENCICACIÓN_VIAL_20"/>
      <sheetName val="REMOCION_DERRUMBES20"/>
      <sheetName val="DESARENADORES_68-11420"/>
      <sheetName val="REALCE_BORDILLOS_68-11420"/>
      <sheetName val="PARCHEO_68-11420"/>
      <sheetName val="DESTAPE_ALCANTARILLAS_000-11420"/>
      <sheetName val="pinmuros_68+11420"/>
      <sheetName val="CUNETAS_68-11420"/>
      <sheetName val="SEÑALI_68-11420"/>
      <sheetName val="DEFENSAS_METALICAS_68-11420"/>
      <sheetName val="REFERENCICACIÓN_VIAL20"/>
      <sheetName val="juntas_de_expansion20"/>
      <sheetName val="Hincado_de_rieles20"/>
      <sheetName val="Pintura_muros_y_cabezotes20"/>
      <sheetName val="Suministro_e_instal_rieles20"/>
      <sheetName val="Drenes_PVC_4_pulg20"/>
      <sheetName val="SELLOS_PARA_JUNTAS_DE_PUENTES20"/>
      <sheetName val="Sello_de_grietas_de_concreto20"/>
      <sheetName val="Tubería_PVC_4_pulg20"/>
      <sheetName val="SECCIÓN_FINAL20"/>
      <sheetName val="DEFENSA_METÁLICA20"/>
      <sheetName val="Postes_de_kilometraje20"/>
      <sheetName val="REMOCIÓN_DE_DERRUMBES20"/>
      <sheetName val="Mant__Postes_de_kilometraje20"/>
      <sheetName val="PU_201,3_20"/>
      <sheetName val="PU211P_120"/>
      <sheetName val="PU211P_220"/>
      <sheetName val="201p_320"/>
      <sheetName val="PU_320,120"/>
      <sheetName val="PU330,1_20"/>
      <sheetName val="PU450P,1_(tapada_huecos)20"/>
      <sheetName val="PU460_Parcheo20"/>
      <sheetName val="PU600P_1_20"/>
      <sheetName val="PU610,1_20"/>
      <sheetName val="PU630,4_20"/>
      <sheetName val="PU630,4_acelerante20"/>
      <sheetName val="PU630,4_D20"/>
      <sheetName val="PU630,6_especial_por_M320"/>
      <sheetName val="PU630,6_Simple20"/>
      <sheetName val="PU630,6_especial_por_M220"/>
      <sheetName val="PU630,6_F20"/>
      <sheetName val="PU630P_7_20"/>
      <sheetName val="PU630,7_20"/>
      <sheetName val="PU630,7_Especial20"/>
      <sheetName val="PU630P_1520"/>
      <sheetName val="PU660_220"/>
      <sheetName val="670_320"/>
      <sheetName val="PU673_20"/>
      <sheetName val="PU681,1_Esp__Q_Caliche20"/>
      <sheetName val="PU830P_1_20"/>
      <sheetName val="PR_120"/>
      <sheetName val="MANO_DE_OBRA20"/>
      <sheetName val="ESTADO_RED20"/>
      <sheetName val="GENERALIDADES_20"/>
      <sheetName val="necesidades_de_la_via19"/>
      <sheetName val="5+440_RÍO_SECO19"/>
      <sheetName val="21+100_19"/>
      <sheetName val="31+250_PTE__GUADUALITO19"/>
      <sheetName val="31+580_P__GUADUAL19"/>
      <sheetName val="34+_27019"/>
      <sheetName val="36+380_19"/>
      <sheetName val="64+110_P__GUADUAS_II19"/>
      <sheetName val="64+180_P__GUADUAS_I19"/>
      <sheetName val="64+820_P__QUEBRADA_CUNE19"/>
      <sheetName val="66+480_PUENTE_VARIANTE_219"/>
      <sheetName val="FRESADO_68_-_11419"/>
      <sheetName val="68+370_P__FÉRREO_19"/>
      <sheetName val="68+520_P__GUANÁBANO19"/>
      <sheetName val="69+030_RÍO_VILLETA19"/>
      <sheetName val="Villeta_centro19"/>
      <sheetName val="72+1020_LA_MARÍA19"/>
      <sheetName val="78+600_EL_ZANCUDO19"/>
      <sheetName val="81+650_LA_HONDA19"/>
      <sheetName val="83+230_QDA__NAUTATÁ19"/>
      <sheetName val="86+220_PUENTE_AZUL19"/>
      <sheetName val="86+600_PUENTE_HILA19"/>
      <sheetName val="101+800_QDA__EL_CHUSCAL19"/>
      <sheetName val="FRESADO_68-_11419"/>
      <sheetName val="REMOCION_DERRUMBES_68_-__11419"/>
      <sheetName val="DESARENADORES_68-114_19"/>
      <sheetName val="Lineas_de_demarcacion_68-11_19"/>
      <sheetName val="REALCE_BORDILLOS_68-114_19"/>
      <sheetName val="PARCHEO_68-114_19"/>
      <sheetName val="DESTAPE_ALCANTARILLAS_000-1_19"/>
      <sheetName val="tachas_reflectivas_68-114_19"/>
      <sheetName val="pinmuros_68+114_19"/>
      <sheetName val="CUNETAS_68-114_19"/>
      <sheetName val="DEFENSAS_METALICAS_68-114_19"/>
      <sheetName val="REFERENCICACIÓN_VIAL_19"/>
      <sheetName val="REMOCION_DERRUMBES19"/>
      <sheetName val="DESARENADORES_68-11419"/>
      <sheetName val="REALCE_BORDILLOS_68-11419"/>
      <sheetName val="PARCHEO_68-11419"/>
      <sheetName val="DESTAPE_ALCANTARILLAS_000-11419"/>
      <sheetName val="pinmuros_68+11419"/>
      <sheetName val="CUNETAS_68-11419"/>
      <sheetName val="SEÑALI_68-11419"/>
      <sheetName val="DEFENSAS_METALICAS_68-11419"/>
      <sheetName val="REFERENCICACIÓN_VIAL19"/>
      <sheetName val="juntas_de_expansion19"/>
      <sheetName val="Hincado_de_rieles19"/>
      <sheetName val="Pintura_muros_y_cabezotes19"/>
      <sheetName val="Suministro_e_instal_rieles19"/>
      <sheetName val="Drenes_PVC_4_pulg19"/>
      <sheetName val="SELLOS_PARA_JUNTAS_DE_PUENTES19"/>
      <sheetName val="Sello_de_grietas_de_concreto19"/>
      <sheetName val="Tubería_PVC_4_pulg19"/>
      <sheetName val="SECCIÓN_FINAL19"/>
      <sheetName val="DEFENSA_METÁLICA19"/>
      <sheetName val="Postes_de_kilometraje19"/>
      <sheetName val="REMOCIÓN_DE_DERRUMBES19"/>
      <sheetName val="Mant__Postes_de_kilometraje19"/>
      <sheetName val="PU_201,3_19"/>
      <sheetName val="PU211P_119"/>
      <sheetName val="PU211P_219"/>
      <sheetName val="201p_319"/>
      <sheetName val="PU_320,119"/>
      <sheetName val="PU330,1_19"/>
      <sheetName val="PU450P,1_(tapada_huecos)19"/>
      <sheetName val="PU460_Parcheo19"/>
      <sheetName val="PU600P_1_19"/>
      <sheetName val="PU610,1_19"/>
      <sheetName val="PU630,4_19"/>
      <sheetName val="PU630,4_acelerante19"/>
      <sheetName val="PU630,4_D19"/>
      <sheetName val="PU630,6_especial_por_M319"/>
      <sheetName val="PU630,6_Simple19"/>
      <sheetName val="PU630,6_especial_por_M219"/>
      <sheetName val="PU630,6_F19"/>
      <sheetName val="PU630P_7_19"/>
      <sheetName val="PU630,7_19"/>
      <sheetName val="PU630,7_Especial19"/>
      <sheetName val="PU630P_1519"/>
      <sheetName val="PU660_219"/>
      <sheetName val="670_319"/>
      <sheetName val="PU673_19"/>
      <sheetName val="PU681,1_Esp__Q_Caliche19"/>
      <sheetName val="PU830P_1_19"/>
      <sheetName val="PR_119"/>
      <sheetName val="MANO_DE_OBRA19"/>
      <sheetName val="ESTADO_RED19"/>
      <sheetName val="GENERALIDADES_19"/>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 val="PRECIOS"/>
      <sheetName val="320.1"/>
      <sheetName val="330.2"/>
      <sheetName val="700.1"/>
      <sheetName val="Itemes Renovación"/>
      <sheetName val="CONT_ADI"/>
      <sheetName val="OCTUBRE"/>
      <sheetName val="BASE"/>
      <sheetName val="Listado"/>
    </sheetNames>
    <sheetDataSet>
      <sheetData sheetId="0">
        <row r="4">
          <cell r="C4">
            <v>200.1</v>
          </cell>
        </row>
      </sheetData>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Datos-Gráfica"/>
      <sheetName val="ACTA DE OBRA"/>
      <sheetName val="Hoja1"/>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TIPACOQUE"/>
      <sheetName val="Presupuesto PASO ELEVADO"/>
      <sheetName val="Lista Base"/>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 val="Presupuesto_TIPACOQUE"/>
      <sheetName val="Presupuesto_PASO_ELEVADO"/>
      <sheetName val="Lista_Base"/>
      <sheetName val="3_1_13A"/>
      <sheetName val="2_1_17"/>
      <sheetName val="3_3_1"/>
      <sheetName val="1_1_86"/>
      <sheetName val="1_2_4"/>
      <sheetName val="2_1_21"/>
      <sheetName val="2_1_1"/>
      <sheetName val="2_7_4"/>
      <sheetName val="1_2_25"/>
      <sheetName val="2_5_44"/>
      <sheetName val="2_5_44A"/>
      <sheetName val="6_4_2_196"/>
      <sheetName val="6_4_2_196A"/>
      <sheetName val="2_5_6"/>
      <sheetName val="2_5_6A"/>
      <sheetName val="6_4_2_197"/>
      <sheetName val="6_4_2_197A"/>
      <sheetName val="6_4_2_198"/>
      <sheetName val="6_4_2_198A"/>
      <sheetName val="2_6_45"/>
      <sheetName val="2_6_46"/>
      <sheetName val="2_6_47"/>
      <sheetName val="2_6_48"/>
      <sheetName val="3_17_10A"/>
      <sheetName val="3_17_10B"/>
      <sheetName val="3_17_3"/>
      <sheetName val="6_4_2_199"/>
      <sheetName val="2_7_1"/>
      <sheetName val="2_6_11"/>
      <sheetName val="PASO_ELEVADO"/>
      <sheetName val="1_1_7"/>
      <sheetName val="3_11_2"/>
      <sheetName val="3_5_1"/>
      <sheetName val="1_2_10"/>
      <sheetName val="3_3_13"/>
      <sheetName val="6_4_2_206"/>
      <sheetName val="6_4_2_207"/>
      <sheetName val="6_4_2_208"/>
      <sheetName val="6_4_2_209"/>
      <sheetName val="6_4_2_210"/>
      <sheetName val="6_4_2_211"/>
      <sheetName val="6_4_2_212"/>
      <sheetName val="6_4_2_213"/>
      <sheetName val="6_4_2_214"/>
      <sheetName val="6_4_2_215"/>
      <sheetName val="6_4_2_216"/>
      <sheetName val="6_4_2_217"/>
      <sheetName val="6_4_2_218"/>
      <sheetName val="6_4_2_219"/>
      <sheetName val="6_4_2_220"/>
      <sheetName val="SISTEMA_RAMMING"/>
      <sheetName val="6_4_2_221"/>
      <sheetName val="3_3_4"/>
      <sheetName val="COSTOS_AMBIENTALES"/>
      <sheetName val="6_4_2_306"/>
      <sheetName val="1_1_62"/>
      <sheetName val="6_4_2_307"/>
      <sheetName val="6_4_2_308"/>
      <sheetName val="6_4_2_309"/>
      <sheetName val="6_4_2_310"/>
      <sheetName val="6_4_2_311"/>
      <sheetName val="Presupuesto_TIPACOQUE1"/>
      <sheetName val="Presupuesto_PASO_ELEVADO1"/>
      <sheetName val="Lista_Base1"/>
      <sheetName val="3_1_13A1"/>
      <sheetName val="2_1_171"/>
      <sheetName val="3_3_11"/>
      <sheetName val="1_1_861"/>
      <sheetName val="1_2_41"/>
      <sheetName val="2_1_211"/>
      <sheetName val="2_1_11"/>
      <sheetName val="2_7_41"/>
      <sheetName val="1_2_251"/>
      <sheetName val="2_5_441"/>
      <sheetName val="2_5_44A1"/>
      <sheetName val="6_4_2_1961"/>
      <sheetName val="6_4_2_196A1"/>
      <sheetName val="2_5_61"/>
      <sheetName val="2_5_6A1"/>
      <sheetName val="6_4_2_1971"/>
      <sheetName val="6_4_2_197A1"/>
      <sheetName val="6_4_2_1981"/>
      <sheetName val="6_4_2_198A1"/>
      <sheetName val="2_6_451"/>
      <sheetName val="2_6_461"/>
      <sheetName val="2_6_471"/>
      <sheetName val="2_6_481"/>
      <sheetName val="3_17_10A1"/>
      <sheetName val="3_17_10B1"/>
      <sheetName val="3_17_31"/>
      <sheetName val="6_4_2_1991"/>
      <sheetName val="2_7_11"/>
      <sheetName val="2_6_111"/>
      <sheetName val="PASO_ELEVADO1"/>
      <sheetName val="1_1_71"/>
      <sheetName val="3_11_21"/>
      <sheetName val="3_5_11"/>
      <sheetName val="1_2_101"/>
      <sheetName val="3_3_131"/>
      <sheetName val="6_4_2_2061"/>
      <sheetName val="6_4_2_2071"/>
      <sheetName val="6_4_2_2081"/>
      <sheetName val="6_4_2_2091"/>
      <sheetName val="6_4_2_2101"/>
      <sheetName val="6_4_2_2111"/>
      <sheetName val="6_4_2_2121"/>
      <sheetName val="6_4_2_2131"/>
      <sheetName val="6_4_2_2141"/>
      <sheetName val="6_4_2_2151"/>
      <sheetName val="6_4_2_2161"/>
      <sheetName val="6_4_2_2171"/>
      <sheetName val="6_4_2_2181"/>
      <sheetName val="6_4_2_2191"/>
      <sheetName val="6_4_2_2201"/>
      <sheetName val="SISTEMA_RAMMING1"/>
      <sheetName val="6_4_2_2211"/>
      <sheetName val="3_3_41"/>
      <sheetName val="COSTOS_AMBIENTALES1"/>
      <sheetName val="6_4_2_3061"/>
      <sheetName val="1_1_621"/>
      <sheetName val="6_4_2_3071"/>
      <sheetName val="6_4_2_3081"/>
      <sheetName val="6_4_2_3091"/>
      <sheetName val="6_4_2_3101"/>
      <sheetName val="6_4_2_3111"/>
      <sheetName val="Presupuesto_TIPACOQUE2"/>
      <sheetName val="Presupuesto_PASO_ELEVADO2"/>
      <sheetName val="Lista_Base2"/>
      <sheetName val="3_1_13A2"/>
      <sheetName val="2_1_172"/>
      <sheetName val="3_3_12"/>
      <sheetName val="1_1_862"/>
      <sheetName val="1_2_42"/>
      <sheetName val="2_1_212"/>
      <sheetName val="2_1_12"/>
      <sheetName val="2_7_42"/>
      <sheetName val="1_2_252"/>
      <sheetName val="2_5_442"/>
      <sheetName val="2_5_44A2"/>
      <sheetName val="6_4_2_1962"/>
      <sheetName val="6_4_2_196A2"/>
      <sheetName val="2_5_62"/>
      <sheetName val="2_5_6A2"/>
      <sheetName val="6_4_2_1972"/>
      <sheetName val="6_4_2_197A2"/>
      <sheetName val="6_4_2_1982"/>
      <sheetName val="6_4_2_198A2"/>
      <sheetName val="2_6_452"/>
      <sheetName val="2_6_462"/>
      <sheetName val="2_6_472"/>
      <sheetName val="2_6_482"/>
      <sheetName val="3_17_10A2"/>
      <sheetName val="3_17_10B2"/>
      <sheetName val="3_17_32"/>
      <sheetName val="6_4_2_1992"/>
      <sheetName val="2_7_12"/>
      <sheetName val="2_6_112"/>
      <sheetName val="PASO_ELEVADO2"/>
      <sheetName val="1_1_72"/>
      <sheetName val="3_11_22"/>
      <sheetName val="3_5_12"/>
      <sheetName val="1_2_102"/>
      <sheetName val="3_3_132"/>
      <sheetName val="6_4_2_2062"/>
      <sheetName val="6_4_2_2072"/>
      <sheetName val="6_4_2_2082"/>
      <sheetName val="6_4_2_2092"/>
      <sheetName val="6_4_2_2102"/>
      <sheetName val="6_4_2_2112"/>
      <sheetName val="6_4_2_2122"/>
      <sheetName val="6_4_2_2132"/>
      <sheetName val="6_4_2_2142"/>
      <sheetName val="6_4_2_2152"/>
      <sheetName val="6_4_2_2162"/>
      <sheetName val="6_4_2_2172"/>
      <sheetName val="6_4_2_2182"/>
      <sheetName val="6_4_2_2192"/>
      <sheetName val="6_4_2_2202"/>
      <sheetName val="SISTEMA_RAMMING2"/>
      <sheetName val="6_4_2_2212"/>
      <sheetName val="3_3_42"/>
      <sheetName val="COSTOS_AMBIENTALES2"/>
      <sheetName val="6_4_2_3062"/>
      <sheetName val="1_1_622"/>
      <sheetName val="6_4_2_3072"/>
      <sheetName val="6_4_2_3082"/>
      <sheetName val="6_4_2_3092"/>
      <sheetName val="6_4_2_3102"/>
      <sheetName val="6_4_2_3112"/>
      <sheetName val="Presupuesto_TIPACOQUE3"/>
      <sheetName val="Presupuesto_PASO_ELEVADO3"/>
      <sheetName val="Lista_Base3"/>
      <sheetName val="3_1_13A3"/>
      <sheetName val="2_1_173"/>
      <sheetName val="3_3_14"/>
      <sheetName val="1_1_863"/>
      <sheetName val="1_2_43"/>
      <sheetName val="2_1_213"/>
      <sheetName val="2_1_13"/>
      <sheetName val="2_7_43"/>
      <sheetName val="1_2_253"/>
      <sheetName val="2_5_443"/>
      <sheetName val="2_5_44A3"/>
      <sheetName val="6_4_2_1963"/>
      <sheetName val="6_4_2_196A3"/>
      <sheetName val="2_5_63"/>
      <sheetName val="2_5_6A3"/>
      <sheetName val="6_4_2_1973"/>
      <sheetName val="6_4_2_197A3"/>
      <sheetName val="6_4_2_1983"/>
      <sheetName val="6_4_2_198A3"/>
      <sheetName val="2_6_453"/>
      <sheetName val="2_6_463"/>
      <sheetName val="2_6_473"/>
      <sheetName val="2_6_483"/>
      <sheetName val="3_17_10A3"/>
      <sheetName val="3_17_10B3"/>
      <sheetName val="3_17_33"/>
      <sheetName val="6_4_2_1993"/>
      <sheetName val="2_7_13"/>
      <sheetName val="2_6_113"/>
      <sheetName val="PASO_ELEVADO3"/>
      <sheetName val="1_1_73"/>
      <sheetName val="3_11_23"/>
      <sheetName val="3_5_13"/>
      <sheetName val="1_2_103"/>
      <sheetName val="3_3_133"/>
      <sheetName val="6_4_2_2063"/>
      <sheetName val="6_4_2_2073"/>
      <sheetName val="6_4_2_2083"/>
      <sheetName val="6_4_2_2093"/>
      <sheetName val="6_4_2_2103"/>
      <sheetName val="6_4_2_2113"/>
      <sheetName val="6_4_2_2123"/>
      <sheetName val="6_4_2_2133"/>
      <sheetName val="6_4_2_2143"/>
      <sheetName val="6_4_2_2153"/>
      <sheetName val="6_4_2_2163"/>
      <sheetName val="6_4_2_2173"/>
      <sheetName val="6_4_2_2183"/>
      <sheetName val="6_4_2_2193"/>
      <sheetName val="6_4_2_2203"/>
      <sheetName val="SISTEMA_RAMMING3"/>
      <sheetName val="6_4_2_2213"/>
      <sheetName val="3_3_43"/>
      <sheetName val="COSTOS_AMBIENTALES3"/>
      <sheetName val="6_4_2_3063"/>
      <sheetName val="1_1_623"/>
      <sheetName val="6_4_2_3073"/>
      <sheetName val="6_4_2_3083"/>
      <sheetName val="6_4_2_3093"/>
      <sheetName val="6_4_2_3103"/>
      <sheetName val="6_4_2_3113"/>
      <sheetName val="Presupuesto_TIPACOQUE4"/>
      <sheetName val="Presupuesto_PASO_ELEVADO4"/>
      <sheetName val="Lista_Base4"/>
      <sheetName val="3_1_13A4"/>
      <sheetName val="2_1_174"/>
      <sheetName val="3_3_15"/>
      <sheetName val="1_1_864"/>
      <sheetName val="1_2_44"/>
      <sheetName val="2_1_214"/>
      <sheetName val="2_1_14"/>
      <sheetName val="2_7_44"/>
      <sheetName val="1_2_254"/>
      <sheetName val="2_5_444"/>
      <sheetName val="2_5_44A4"/>
      <sheetName val="6_4_2_1964"/>
      <sheetName val="6_4_2_196A4"/>
      <sheetName val="2_5_64"/>
      <sheetName val="2_5_6A4"/>
      <sheetName val="6_4_2_1974"/>
      <sheetName val="6_4_2_197A4"/>
      <sheetName val="6_4_2_1984"/>
      <sheetName val="6_4_2_198A4"/>
      <sheetName val="2_6_454"/>
      <sheetName val="2_6_464"/>
      <sheetName val="2_6_474"/>
      <sheetName val="2_6_484"/>
      <sheetName val="3_17_10A4"/>
      <sheetName val="3_17_10B4"/>
      <sheetName val="3_17_34"/>
      <sheetName val="6_4_2_1994"/>
      <sheetName val="2_7_14"/>
      <sheetName val="2_6_114"/>
      <sheetName val="PASO_ELEVADO4"/>
      <sheetName val="1_1_74"/>
      <sheetName val="3_11_24"/>
      <sheetName val="3_5_14"/>
      <sheetName val="1_2_104"/>
      <sheetName val="3_3_134"/>
      <sheetName val="6_4_2_2064"/>
      <sheetName val="6_4_2_2074"/>
      <sheetName val="6_4_2_2084"/>
      <sheetName val="6_4_2_2094"/>
      <sheetName val="6_4_2_2104"/>
      <sheetName val="6_4_2_2114"/>
      <sheetName val="6_4_2_2124"/>
      <sheetName val="6_4_2_2134"/>
      <sheetName val="6_4_2_2144"/>
      <sheetName val="6_4_2_2154"/>
      <sheetName val="6_4_2_2164"/>
      <sheetName val="6_4_2_2174"/>
      <sheetName val="6_4_2_2184"/>
      <sheetName val="6_4_2_2194"/>
      <sheetName val="6_4_2_2204"/>
      <sheetName val="SISTEMA_RAMMING4"/>
      <sheetName val="6_4_2_2214"/>
      <sheetName val="3_3_44"/>
      <sheetName val="COSTOS_AMBIENTALES4"/>
      <sheetName val="6_4_2_3064"/>
      <sheetName val="1_1_624"/>
      <sheetName val="6_4_2_3074"/>
      <sheetName val="6_4_2_3084"/>
      <sheetName val="6_4_2_3094"/>
      <sheetName val="6_4_2_3104"/>
      <sheetName val="6_4_2_3114"/>
      <sheetName val="Presupuesto_TIPACOQUE5"/>
      <sheetName val="Presupuesto_PASO_ELEVADO5"/>
      <sheetName val="Lista_Base5"/>
      <sheetName val="3_1_13A5"/>
      <sheetName val="2_1_175"/>
      <sheetName val="3_3_16"/>
      <sheetName val="1_1_865"/>
      <sheetName val="1_2_45"/>
      <sheetName val="2_1_215"/>
      <sheetName val="2_1_15"/>
      <sheetName val="2_7_45"/>
      <sheetName val="1_2_255"/>
      <sheetName val="2_5_445"/>
      <sheetName val="2_5_44A5"/>
      <sheetName val="6_4_2_1965"/>
      <sheetName val="6_4_2_196A5"/>
      <sheetName val="2_5_65"/>
      <sheetName val="2_5_6A5"/>
      <sheetName val="6_4_2_1975"/>
      <sheetName val="6_4_2_197A5"/>
      <sheetName val="6_4_2_1985"/>
      <sheetName val="6_4_2_198A5"/>
      <sheetName val="2_6_455"/>
      <sheetName val="2_6_465"/>
      <sheetName val="2_6_475"/>
      <sheetName val="2_6_485"/>
      <sheetName val="3_17_10A5"/>
      <sheetName val="3_17_10B5"/>
      <sheetName val="3_17_35"/>
      <sheetName val="6_4_2_1995"/>
      <sheetName val="2_7_15"/>
      <sheetName val="2_6_115"/>
      <sheetName val="PASO_ELEVADO5"/>
      <sheetName val="1_1_75"/>
      <sheetName val="3_11_25"/>
      <sheetName val="3_5_15"/>
      <sheetName val="1_2_105"/>
      <sheetName val="3_3_135"/>
      <sheetName val="6_4_2_2065"/>
      <sheetName val="6_4_2_2075"/>
      <sheetName val="6_4_2_2085"/>
      <sheetName val="6_4_2_2095"/>
      <sheetName val="6_4_2_2105"/>
      <sheetName val="6_4_2_2115"/>
      <sheetName val="6_4_2_2125"/>
      <sheetName val="6_4_2_2135"/>
      <sheetName val="6_4_2_2145"/>
      <sheetName val="6_4_2_2155"/>
      <sheetName val="6_4_2_2165"/>
      <sheetName val="6_4_2_2175"/>
      <sheetName val="6_4_2_2185"/>
      <sheetName val="6_4_2_2195"/>
      <sheetName val="6_4_2_2205"/>
      <sheetName val="SISTEMA_RAMMING5"/>
      <sheetName val="6_4_2_2215"/>
      <sheetName val="3_3_45"/>
      <sheetName val="COSTOS_AMBIENTALES5"/>
      <sheetName val="6_4_2_3065"/>
      <sheetName val="1_1_625"/>
      <sheetName val="6_4_2_3075"/>
      <sheetName val="6_4_2_3085"/>
      <sheetName val="6_4_2_3095"/>
      <sheetName val="6_4_2_3105"/>
      <sheetName val="6_4_2_3115"/>
      <sheetName val="Presupuesto_TIPACOQUE8"/>
      <sheetName val="Presupuesto_PASO_ELEVADO8"/>
      <sheetName val="Lista_Base8"/>
      <sheetName val="3_1_13A8"/>
      <sheetName val="2_1_178"/>
      <sheetName val="3_3_19"/>
      <sheetName val="1_1_868"/>
      <sheetName val="1_2_48"/>
      <sheetName val="2_1_218"/>
      <sheetName val="2_1_19"/>
      <sheetName val="2_7_48"/>
      <sheetName val="1_2_258"/>
      <sheetName val="2_5_448"/>
      <sheetName val="2_5_44A8"/>
      <sheetName val="6_4_2_1968"/>
      <sheetName val="6_4_2_196A8"/>
      <sheetName val="2_5_68"/>
      <sheetName val="2_5_6A8"/>
      <sheetName val="6_4_2_1978"/>
      <sheetName val="6_4_2_197A8"/>
      <sheetName val="6_4_2_1988"/>
      <sheetName val="6_4_2_198A8"/>
      <sheetName val="2_6_458"/>
      <sheetName val="2_6_468"/>
      <sheetName val="2_6_478"/>
      <sheetName val="2_6_488"/>
      <sheetName val="3_17_10A8"/>
      <sheetName val="3_17_10B8"/>
      <sheetName val="3_17_38"/>
      <sheetName val="6_4_2_1998"/>
      <sheetName val="2_7_18"/>
      <sheetName val="2_6_118"/>
      <sheetName val="PASO_ELEVADO8"/>
      <sheetName val="1_1_78"/>
      <sheetName val="3_11_28"/>
      <sheetName val="3_5_18"/>
      <sheetName val="1_2_108"/>
      <sheetName val="3_3_138"/>
      <sheetName val="6_4_2_2068"/>
      <sheetName val="6_4_2_2078"/>
      <sheetName val="6_4_2_2088"/>
      <sheetName val="6_4_2_2098"/>
      <sheetName val="6_4_2_2108"/>
      <sheetName val="6_4_2_2118"/>
      <sheetName val="6_4_2_2128"/>
      <sheetName val="6_4_2_2138"/>
      <sheetName val="6_4_2_2148"/>
      <sheetName val="6_4_2_2158"/>
      <sheetName val="6_4_2_2168"/>
      <sheetName val="6_4_2_2178"/>
      <sheetName val="6_4_2_2188"/>
      <sheetName val="6_4_2_2198"/>
      <sheetName val="6_4_2_2208"/>
      <sheetName val="SISTEMA_RAMMING8"/>
      <sheetName val="6_4_2_2218"/>
      <sheetName val="3_3_48"/>
      <sheetName val="COSTOS_AMBIENTALES8"/>
      <sheetName val="6_4_2_3068"/>
      <sheetName val="1_1_628"/>
      <sheetName val="6_4_2_3078"/>
      <sheetName val="6_4_2_3088"/>
      <sheetName val="6_4_2_3098"/>
      <sheetName val="6_4_2_3108"/>
      <sheetName val="6_4_2_3118"/>
      <sheetName val="Presupuesto_TIPACOQUE6"/>
      <sheetName val="Presupuesto_PASO_ELEVADO6"/>
      <sheetName val="Lista_Base6"/>
      <sheetName val="3_1_13A6"/>
      <sheetName val="2_1_176"/>
      <sheetName val="3_3_17"/>
      <sheetName val="1_1_866"/>
      <sheetName val="1_2_46"/>
      <sheetName val="2_1_216"/>
      <sheetName val="2_1_16"/>
      <sheetName val="2_7_46"/>
      <sheetName val="1_2_256"/>
      <sheetName val="2_5_446"/>
      <sheetName val="2_5_44A6"/>
      <sheetName val="6_4_2_1966"/>
      <sheetName val="6_4_2_196A6"/>
      <sheetName val="2_5_66"/>
      <sheetName val="2_5_6A6"/>
      <sheetName val="6_4_2_1976"/>
      <sheetName val="6_4_2_197A6"/>
      <sheetName val="6_4_2_1986"/>
      <sheetName val="6_4_2_198A6"/>
      <sheetName val="2_6_456"/>
      <sheetName val="2_6_466"/>
      <sheetName val="2_6_476"/>
      <sheetName val="2_6_486"/>
      <sheetName val="3_17_10A6"/>
      <sheetName val="3_17_10B6"/>
      <sheetName val="3_17_36"/>
      <sheetName val="6_4_2_1996"/>
      <sheetName val="2_7_16"/>
      <sheetName val="2_6_116"/>
      <sheetName val="PASO_ELEVADO6"/>
      <sheetName val="1_1_76"/>
      <sheetName val="3_11_26"/>
      <sheetName val="3_5_16"/>
      <sheetName val="1_2_106"/>
      <sheetName val="3_3_136"/>
      <sheetName val="6_4_2_2066"/>
      <sheetName val="6_4_2_2076"/>
      <sheetName val="6_4_2_2086"/>
      <sheetName val="6_4_2_2096"/>
      <sheetName val="6_4_2_2106"/>
      <sheetName val="6_4_2_2116"/>
      <sheetName val="6_4_2_2126"/>
      <sheetName val="6_4_2_2136"/>
      <sheetName val="6_4_2_2146"/>
      <sheetName val="6_4_2_2156"/>
      <sheetName val="6_4_2_2166"/>
      <sheetName val="6_4_2_2176"/>
      <sheetName val="6_4_2_2186"/>
      <sheetName val="6_4_2_2196"/>
      <sheetName val="6_4_2_2206"/>
      <sheetName val="SISTEMA_RAMMING6"/>
      <sheetName val="6_4_2_2216"/>
      <sheetName val="3_3_46"/>
      <sheetName val="COSTOS_AMBIENTALES6"/>
      <sheetName val="6_4_2_3066"/>
      <sheetName val="1_1_626"/>
      <sheetName val="6_4_2_3076"/>
      <sheetName val="6_4_2_3086"/>
      <sheetName val="6_4_2_3096"/>
      <sheetName val="6_4_2_3106"/>
      <sheetName val="6_4_2_3116"/>
      <sheetName val="Presupuesto_TIPACOQUE7"/>
      <sheetName val="Presupuesto_PASO_ELEVADO7"/>
      <sheetName val="Lista_Base7"/>
      <sheetName val="3_1_13A7"/>
      <sheetName val="2_1_177"/>
      <sheetName val="3_3_18"/>
      <sheetName val="1_1_867"/>
      <sheetName val="1_2_47"/>
      <sheetName val="2_1_217"/>
      <sheetName val="2_1_18"/>
      <sheetName val="2_7_47"/>
      <sheetName val="1_2_257"/>
      <sheetName val="2_5_447"/>
      <sheetName val="2_5_44A7"/>
      <sheetName val="6_4_2_1967"/>
      <sheetName val="6_4_2_196A7"/>
      <sheetName val="2_5_67"/>
      <sheetName val="2_5_6A7"/>
      <sheetName val="6_4_2_1977"/>
      <sheetName val="6_4_2_197A7"/>
      <sheetName val="6_4_2_1987"/>
      <sheetName val="6_4_2_198A7"/>
      <sheetName val="2_6_457"/>
      <sheetName val="2_6_467"/>
      <sheetName val="2_6_477"/>
      <sheetName val="2_6_487"/>
      <sheetName val="3_17_10A7"/>
      <sheetName val="3_17_10B7"/>
      <sheetName val="3_17_37"/>
      <sheetName val="6_4_2_1997"/>
      <sheetName val="2_7_17"/>
      <sheetName val="2_6_117"/>
      <sheetName val="PASO_ELEVADO7"/>
      <sheetName val="1_1_77"/>
      <sheetName val="3_11_27"/>
      <sheetName val="3_5_17"/>
      <sheetName val="1_2_107"/>
      <sheetName val="3_3_137"/>
      <sheetName val="6_4_2_2067"/>
      <sheetName val="6_4_2_2077"/>
      <sheetName val="6_4_2_2087"/>
      <sheetName val="6_4_2_2097"/>
      <sheetName val="6_4_2_2107"/>
      <sheetName val="6_4_2_2117"/>
      <sheetName val="6_4_2_2127"/>
      <sheetName val="6_4_2_2137"/>
      <sheetName val="6_4_2_2147"/>
      <sheetName val="6_4_2_2157"/>
      <sheetName val="6_4_2_2167"/>
      <sheetName val="6_4_2_2177"/>
      <sheetName val="6_4_2_2187"/>
      <sheetName val="6_4_2_2197"/>
      <sheetName val="6_4_2_2207"/>
      <sheetName val="SISTEMA_RAMMING7"/>
      <sheetName val="6_4_2_2217"/>
      <sheetName val="3_3_47"/>
      <sheetName val="COSTOS_AMBIENTALES7"/>
      <sheetName val="6_4_2_3067"/>
      <sheetName val="1_1_627"/>
      <sheetName val="6_4_2_3077"/>
      <sheetName val="6_4_2_3087"/>
      <sheetName val="6_4_2_3097"/>
      <sheetName val="6_4_2_3107"/>
      <sheetName val="6_4_2_3117"/>
      <sheetName val="Presupuesto_TIPACOQUE9"/>
      <sheetName val="Presupuesto_PASO_ELEVADO9"/>
      <sheetName val="Lista_Base9"/>
      <sheetName val="3_1_13A9"/>
      <sheetName val="2_1_179"/>
      <sheetName val="3_3_110"/>
      <sheetName val="1_1_869"/>
      <sheetName val="1_2_49"/>
      <sheetName val="2_1_219"/>
      <sheetName val="2_1_110"/>
      <sheetName val="2_7_49"/>
      <sheetName val="1_2_259"/>
      <sheetName val="2_5_449"/>
      <sheetName val="2_5_44A9"/>
      <sheetName val="6_4_2_1969"/>
      <sheetName val="6_4_2_196A9"/>
      <sheetName val="2_5_69"/>
      <sheetName val="2_5_6A9"/>
      <sheetName val="6_4_2_1979"/>
      <sheetName val="6_4_2_197A9"/>
      <sheetName val="6_4_2_1989"/>
      <sheetName val="6_4_2_198A9"/>
      <sheetName val="2_6_459"/>
      <sheetName val="2_6_469"/>
      <sheetName val="2_6_479"/>
      <sheetName val="2_6_489"/>
      <sheetName val="3_17_10A9"/>
      <sheetName val="3_17_10B9"/>
      <sheetName val="3_17_39"/>
      <sheetName val="6_4_2_1999"/>
      <sheetName val="2_7_19"/>
      <sheetName val="2_6_119"/>
      <sheetName val="PASO_ELEVADO9"/>
      <sheetName val="1_1_79"/>
      <sheetName val="3_11_29"/>
      <sheetName val="3_5_19"/>
      <sheetName val="1_2_109"/>
      <sheetName val="3_3_139"/>
      <sheetName val="6_4_2_2069"/>
      <sheetName val="6_4_2_2079"/>
      <sheetName val="6_4_2_2089"/>
      <sheetName val="6_4_2_2099"/>
      <sheetName val="6_4_2_2109"/>
      <sheetName val="6_4_2_2119"/>
      <sheetName val="6_4_2_2129"/>
      <sheetName val="6_4_2_2139"/>
      <sheetName val="6_4_2_2149"/>
      <sheetName val="6_4_2_2159"/>
      <sheetName val="6_4_2_2169"/>
      <sheetName val="6_4_2_2179"/>
      <sheetName val="6_4_2_2189"/>
      <sheetName val="6_4_2_2199"/>
      <sheetName val="6_4_2_2209"/>
      <sheetName val="SISTEMA_RAMMING9"/>
      <sheetName val="6_4_2_2219"/>
      <sheetName val="3_3_49"/>
      <sheetName val="COSTOS_AMBIENTALES9"/>
      <sheetName val="6_4_2_3069"/>
      <sheetName val="1_1_629"/>
      <sheetName val="6_4_2_3079"/>
      <sheetName val="6_4_2_3089"/>
      <sheetName val="6_4_2_3099"/>
      <sheetName val="6_4_2_3109"/>
      <sheetName val="6_4_2_3119"/>
      <sheetName val="Presupuesto_TIPACOQUE10"/>
      <sheetName val="Presupuesto_PASO_ELEVADO10"/>
      <sheetName val="Lista_Base10"/>
      <sheetName val="3_1_13A10"/>
      <sheetName val="2_1_1710"/>
      <sheetName val="3_3_111"/>
      <sheetName val="1_1_8610"/>
      <sheetName val="1_2_410"/>
      <sheetName val="2_1_2110"/>
      <sheetName val="2_1_111"/>
      <sheetName val="2_7_410"/>
      <sheetName val="1_2_2510"/>
      <sheetName val="2_5_4410"/>
      <sheetName val="2_5_44A10"/>
      <sheetName val="6_4_2_19610"/>
      <sheetName val="6_4_2_196A10"/>
      <sheetName val="2_5_610"/>
      <sheetName val="2_5_6A10"/>
      <sheetName val="6_4_2_19710"/>
      <sheetName val="6_4_2_197A10"/>
      <sheetName val="6_4_2_19810"/>
      <sheetName val="6_4_2_198A10"/>
      <sheetName val="2_6_4510"/>
      <sheetName val="2_6_4610"/>
      <sheetName val="2_6_4710"/>
      <sheetName val="2_6_4810"/>
      <sheetName val="3_17_10A10"/>
      <sheetName val="3_17_10B10"/>
      <sheetName val="3_17_310"/>
      <sheetName val="6_4_2_19910"/>
      <sheetName val="2_7_110"/>
      <sheetName val="2_6_1110"/>
      <sheetName val="PASO_ELEVADO10"/>
      <sheetName val="1_1_710"/>
      <sheetName val="3_11_210"/>
      <sheetName val="3_5_110"/>
      <sheetName val="1_2_1010"/>
      <sheetName val="3_3_1310"/>
      <sheetName val="6_4_2_20610"/>
      <sheetName val="6_4_2_20710"/>
      <sheetName val="6_4_2_20810"/>
      <sheetName val="6_4_2_20910"/>
      <sheetName val="6_4_2_21010"/>
      <sheetName val="6_4_2_21110"/>
      <sheetName val="6_4_2_21210"/>
      <sheetName val="6_4_2_21310"/>
      <sheetName val="6_4_2_21410"/>
      <sheetName val="6_4_2_21510"/>
      <sheetName val="6_4_2_21610"/>
      <sheetName val="6_4_2_21710"/>
      <sheetName val="6_4_2_21810"/>
      <sheetName val="6_4_2_21910"/>
      <sheetName val="6_4_2_22010"/>
      <sheetName val="SISTEMA_RAMMING10"/>
      <sheetName val="6_4_2_22110"/>
      <sheetName val="3_3_410"/>
      <sheetName val="COSTOS_AMBIENTALES10"/>
      <sheetName val="6_4_2_30610"/>
      <sheetName val="1_1_6210"/>
      <sheetName val="6_4_2_30710"/>
      <sheetName val="6_4_2_30810"/>
      <sheetName val="6_4_2_30910"/>
      <sheetName val="6_4_2_31010"/>
      <sheetName val="6_4_2_31110"/>
      <sheetName val="items"/>
      <sheetName val="EQUIPO"/>
    </sheetNames>
    <sheetDataSet>
      <sheetData sheetId="0" refreshError="1"/>
      <sheetData sheetId="1" refreshError="1"/>
      <sheetData sheetId="2">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MARCO EN DOCLE ANGULO 1 1/4" x 3/16". PARA SOPORTE BAFLE EN  PRFV, L= 4,6 m. según diseño.</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PLACAS EN FIBROCEMENTO H= 0,05 M, ANCHO=0,10 M, L= 1,2 M SOPORTADAS POR DOS SECCIONES DE ANGULO DE 2 1/2" X 3/16". L= 1,1 M, ANCLADAS CON PERNOS EXPANSIVOS A LOS MUROS Y LAS PLACAS.</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SUMINISTRO E INSTALACIÓN DE TUBERÍA DE ACERO 16”*3/8 , QUE SERVIRÁ COMO CAMISA PARA INSTALACIÓN TUBERÍA DE 12" EN PVC.</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v>0</v>
          </cell>
          <cell r="B474">
            <v>0</v>
          </cell>
          <cell r="C474">
            <v>0</v>
          </cell>
        </row>
        <row r="475">
          <cell r="A475">
            <v>0</v>
          </cell>
          <cell r="B475">
            <v>0</v>
          </cell>
          <cell r="C475">
            <v>0</v>
          </cell>
        </row>
        <row r="476">
          <cell r="A476">
            <v>0</v>
          </cell>
          <cell r="B476">
            <v>0</v>
          </cell>
          <cell r="C476">
            <v>0</v>
          </cell>
        </row>
        <row r="477">
          <cell r="A477">
            <v>0</v>
          </cell>
          <cell r="B477">
            <v>0</v>
          </cell>
          <cell r="C477">
            <v>0</v>
          </cell>
        </row>
        <row r="478">
          <cell r="A478">
            <v>0</v>
          </cell>
          <cell r="B478">
            <v>0</v>
          </cell>
          <cell r="C478">
            <v>0</v>
          </cell>
        </row>
        <row r="479">
          <cell r="A479">
            <v>0</v>
          </cell>
          <cell r="B479">
            <v>0</v>
          </cell>
          <cell r="C479">
            <v>0</v>
          </cell>
        </row>
        <row r="480">
          <cell r="A480">
            <v>0</v>
          </cell>
          <cell r="B480">
            <v>0</v>
          </cell>
          <cell r="C480">
            <v>0</v>
          </cell>
        </row>
        <row r="481">
          <cell r="A481">
            <v>0</v>
          </cell>
          <cell r="B481">
            <v>0</v>
          </cell>
          <cell r="C481">
            <v>0</v>
          </cell>
        </row>
        <row r="482">
          <cell r="A482">
            <v>0</v>
          </cell>
          <cell r="B482">
            <v>0</v>
          </cell>
          <cell r="C482">
            <v>0</v>
          </cell>
        </row>
        <row r="483">
          <cell r="A483">
            <v>0</v>
          </cell>
          <cell r="B483">
            <v>0</v>
          </cell>
          <cell r="C483">
            <v>0</v>
          </cell>
        </row>
        <row r="484">
          <cell r="A484">
            <v>0</v>
          </cell>
          <cell r="B484">
            <v>0</v>
          </cell>
          <cell r="C484">
            <v>0</v>
          </cell>
        </row>
        <row r="485">
          <cell r="A485">
            <v>0</v>
          </cell>
          <cell r="B485">
            <v>0</v>
          </cell>
          <cell r="C485">
            <v>0</v>
          </cell>
        </row>
        <row r="486">
          <cell r="A486">
            <v>0</v>
          </cell>
          <cell r="B486">
            <v>0</v>
          </cell>
          <cell r="C486">
            <v>0</v>
          </cell>
        </row>
        <row r="487">
          <cell r="A487">
            <v>0</v>
          </cell>
          <cell r="B487">
            <v>0</v>
          </cell>
          <cell r="C487">
            <v>0</v>
          </cell>
        </row>
        <row r="488">
          <cell r="A488">
            <v>0</v>
          </cell>
          <cell r="B488">
            <v>0</v>
          </cell>
          <cell r="C488">
            <v>0</v>
          </cell>
        </row>
        <row r="489">
          <cell r="A489">
            <v>0</v>
          </cell>
          <cell r="B489">
            <v>0</v>
          </cell>
          <cell r="C489">
            <v>0</v>
          </cell>
        </row>
        <row r="490">
          <cell r="A490">
            <v>0</v>
          </cell>
          <cell r="B490">
            <v>0</v>
          </cell>
          <cell r="C490">
            <v>0</v>
          </cell>
        </row>
        <row r="491">
          <cell r="A491">
            <v>0</v>
          </cell>
          <cell r="B491">
            <v>0</v>
          </cell>
          <cell r="C491">
            <v>0</v>
          </cell>
        </row>
        <row r="492">
          <cell r="A492">
            <v>0</v>
          </cell>
          <cell r="B492">
            <v>0</v>
          </cell>
          <cell r="C492">
            <v>0</v>
          </cell>
        </row>
        <row r="493">
          <cell r="A493">
            <v>0</v>
          </cell>
          <cell r="B493">
            <v>0</v>
          </cell>
          <cell r="C493">
            <v>0</v>
          </cell>
        </row>
        <row r="494">
          <cell r="A494">
            <v>0</v>
          </cell>
          <cell r="B494">
            <v>0</v>
          </cell>
          <cell r="C494">
            <v>0</v>
          </cell>
        </row>
        <row r="495">
          <cell r="A495">
            <v>0</v>
          </cell>
          <cell r="B495">
            <v>0</v>
          </cell>
          <cell r="C495">
            <v>0</v>
          </cell>
        </row>
        <row r="496">
          <cell r="A496">
            <v>0</v>
          </cell>
          <cell r="B496">
            <v>0</v>
          </cell>
          <cell r="C496">
            <v>0</v>
          </cell>
        </row>
        <row r="497">
          <cell r="A497">
            <v>0</v>
          </cell>
          <cell r="B497">
            <v>0</v>
          </cell>
          <cell r="C497">
            <v>0</v>
          </cell>
        </row>
        <row r="498">
          <cell r="A498">
            <v>0</v>
          </cell>
          <cell r="B498">
            <v>0</v>
          </cell>
          <cell r="C498">
            <v>0</v>
          </cell>
        </row>
        <row r="499">
          <cell r="A499">
            <v>0</v>
          </cell>
          <cell r="B499">
            <v>0</v>
          </cell>
          <cell r="C499">
            <v>0</v>
          </cell>
        </row>
        <row r="500">
          <cell r="A500">
            <v>0</v>
          </cell>
          <cell r="B500">
            <v>0</v>
          </cell>
          <cell r="C500">
            <v>0</v>
          </cell>
        </row>
        <row r="501">
          <cell r="A501">
            <v>0</v>
          </cell>
          <cell r="B501">
            <v>0</v>
          </cell>
          <cell r="C501">
            <v>0</v>
          </cell>
        </row>
        <row r="502">
          <cell r="A502">
            <v>0</v>
          </cell>
          <cell r="B502">
            <v>0</v>
          </cell>
          <cell r="C502">
            <v>0</v>
          </cell>
        </row>
        <row r="503">
          <cell r="A503">
            <v>0</v>
          </cell>
          <cell r="B503">
            <v>0</v>
          </cell>
          <cell r="C503">
            <v>0</v>
          </cell>
        </row>
        <row r="504">
          <cell r="A504">
            <v>0</v>
          </cell>
          <cell r="B504">
            <v>0</v>
          </cell>
          <cell r="C504">
            <v>0</v>
          </cell>
        </row>
        <row r="505">
          <cell r="A505">
            <v>0</v>
          </cell>
          <cell r="B505">
            <v>0</v>
          </cell>
          <cell r="C505">
            <v>0</v>
          </cell>
        </row>
        <row r="506">
          <cell r="A506">
            <v>0</v>
          </cell>
          <cell r="B506">
            <v>0</v>
          </cell>
          <cell r="C506">
            <v>0</v>
          </cell>
        </row>
        <row r="507">
          <cell r="A507">
            <v>0</v>
          </cell>
          <cell r="B507">
            <v>0</v>
          </cell>
          <cell r="C507">
            <v>0</v>
          </cell>
        </row>
        <row r="508">
          <cell r="A508">
            <v>0</v>
          </cell>
          <cell r="B508">
            <v>0</v>
          </cell>
          <cell r="C508">
            <v>0</v>
          </cell>
        </row>
        <row r="509">
          <cell r="A509">
            <v>0</v>
          </cell>
          <cell r="B509">
            <v>0</v>
          </cell>
          <cell r="C509">
            <v>0</v>
          </cell>
        </row>
        <row r="510">
          <cell r="A510">
            <v>0</v>
          </cell>
          <cell r="B510">
            <v>0</v>
          </cell>
          <cell r="C510">
            <v>0</v>
          </cell>
        </row>
        <row r="511">
          <cell r="A511">
            <v>0</v>
          </cell>
          <cell r="B511">
            <v>0</v>
          </cell>
          <cell r="C511">
            <v>0</v>
          </cell>
        </row>
        <row r="512">
          <cell r="A512">
            <v>0</v>
          </cell>
          <cell r="B512">
            <v>0</v>
          </cell>
          <cell r="C512">
            <v>0</v>
          </cell>
        </row>
        <row r="513">
          <cell r="A513">
            <v>0</v>
          </cell>
          <cell r="B513">
            <v>0</v>
          </cell>
          <cell r="C513">
            <v>0</v>
          </cell>
        </row>
        <row r="514">
          <cell r="A514">
            <v>0</v>
          </cell>
          <cell r="B514">
            <v>0</v>
          </cell>
          <cell r="C514">
            <v>0</v>
          </cell>
        </row>
        <row r="515">
          <cell r="A515">
            <v>0</v>
          </cell>
          <cell r="B515">
            <v>0</v>
          </cell>
          <cell r="C515">
            <v>0</v>
          </cell>
        </row>
        <row r="516">
          <cell r="A516">
            <v>0</v>
          </cell>
          <cell r="B516">
            <v>0</v>
          </cell>
          <cell r="C516">
            <v>0</v>
          </cell>
        </row>
        <row r="517">
          <cell r="A517">
            <v>0</v>
          </cell>
          <cell r="B517">
            <v>0</v>
          </cell>
          <cell r="C517">
            <v>0</v>
          </cell>
        </row>
        <row r="518">
          <cell r="A518">
            <v>0</v>
          </cell>
          <cell r="B518">
            <v>0</v>
          </cell>
          <cell r="C518">
            <v>0</v>
          </cell>
        </row>
        <row r="519">
          <cell r="A519">
            <v>0</v>
          </cell>
          <cell r="B519">
            <v>0</v>
          </cell>
          <cell r="C519">
            <v>0</v>
          </cell>
        </row>
        <row r="520">
          <cell r="A520">
            <v>0</v>
          </cell>
          <cell r="B520">
            <v>0</v>
          </cell>
          <cell r="C520">
            <v>0</v>
          </cell>
        </row>
        <row r="521">
          <cell r="A521">
            <v>0</v>
          </cell>
          <cell r="B521">
            <v>0</v>
          </cell>
          <cell r="C521">
            <v>0</v>
          </cell>
        </row>
        <row r="522">
          <cell r="A522">
            <v>0</v>
          </cell>
          <cell r="B522">
            <v>0</v>
          </cell>
          <cell r="C522">
            <v>0</v>
          </cell>
        </row>
        <row r="523">
          <cell r="A523">
            <v>0</v>
          </cell>
          <cell r="B523">
            <v>0</v>
          </cell>
          <cell r="C523">
            <v>0</v>
          </cell>
        </row>
        <row r="524">
          <cell r="A524">
            <v>0</v>
          </cell>
          <cell r="B524">
            <v>0</v>
          </cell>
          <cell r="C524">
            <v>0</v>
          </cell>
        </row>
        <row r="525">
          <cell r="A525">
            <v>0</v>
          </cell>
          <cell r="B525">
            <v>0</v>
          </cell>
          <cell r="C525">
            <v>0</v>
          </cell>
        </row>
        <row r="526">
          <cell r="A526">
            <v>0</v>
          </cell>
          <cell r="B526">
            <v>0</v>
          </cell>
          <cell r="C526">
            <v>0</v>
          </cell>
        </row>
        <row r="527">
          <cell r="A527">
            <v>0</v>
          </cell>
          <cell r="B527">
            <v>0</v>
          </cell>
          <cell r="C527">
            <v>0</v>
          </cell>
        </row>
        <row r="528">
          <cell r="A528">
            <v>0</v>
          </cell>
          <cell r="B528">
            <v>0</v>
          </cell>
          <cell r="C528">
            <v>0</v>
          </cell>
        </row>
        <row r="529">
          <cell r="A529">
            <v>0</v>
          </cell>
          <cell r="B529">
            <v>0</v>
          </cell>
          <cell r="C529">
            <v>0</v>
          </cell>
        </row>
        <row r="530">
          <cell r="A530">
            <v>0</v>
          </cell>
          <cell r="B530">
            <v>0</v>
          </cell>
          <cell r="C530">
            <v>0</v>
          </cell>
        </row>
        <row r="531">
          <cell r="A531">
            <v>0</v>
          </cell>
          <cell r="B531">
            <v>0</v>
          </cell>
          <cell r="C531">
            <v>0</v>
          </cell>
        </row>
        <row r="532">
          <cell r="A532">
            <v>0</v>
          </cell>
          <cell r="B532">
            <v>0</v>
          </cell>
          <cell r="C532">
            <v>0</v>
          </cell>
        </row>
        <row r="533">
          <cell r="A533">
            <v>0</v>
          </cell>
          <cell r="B533">
            <v>0</v>
          </cell>
          <cell r="C533">
            <v>0</v>
          </cell>
        </row>
        <row r="534">
          <cell r="A534">
            <v>0</v>
          </cell>
          <cell r="B534">
            <v>0</v>
          </cell>
          <cell r="C534">
            <v>0</v>
          </cell>
        </row>
        <row r="535">
          <cell r="A535">
            <v>0</v>
          </cell>
          <cell r="B535">
            <v>0</v>
          </cell>
          <cell r="C535">
            <v>0</v>
          </cell>
        </row>
        <row r="536">
          <cell r="A536">
            <v>0</v>
          </cell>
          <cell r="B536">
            <v>0</v>
          </cell>
          <cell r="C536">
            <v>0</v>
          </cell>
        </row>
        <row r="537">
          <cell r="A537">
            <v>0</v>
          </cell>
          <cell r="B537">
            <v>0</v>
          </cell>
          <cell r="C537">
            <v>0</v>
          </cell>
        </row>
        <row r="538">
          <cell r="A538">
            <v>0</v>
          </cell>
          <cell r="B538">
            <v>0</v>
          </cell>
          <cell r="C538">
            <v>0</v>
          </cell>
        </row>
        <row r="539">
          <cell r="A539">
            <v>0</v>
          </cell>
          <cell r="B539">
            <v>0</v>
          </cell>
          <cell r="C539">
            <v>0</v>
          </cell>
        </row>
        <row r="540">
          <cell r="A540">
            <v>0</v>
          </cell>
          <cell r="B540">
            <v>0</v>
          </cell>
          <cell r="C540">
            <v>0</v>
          </cell>
        </row>
        <row r="541">
          <cell r="A541">
            <v>0</v>
          </cell>
          <cell r="B541">
            <v>0</v>
          </cell>
          <cell r="C541">
            <v>0</v>
          </cell>
        </row>
        <row r="542">
          <cell r="A542">
            <v>0</v>
          </cell>
          <cell r="B542">
            <v>0</v>
          </cell>
          <cell r="C542">
            <v>0</v>
          </cell>
        </row>
        <row r="543">
          <cell r="A543">
            <v>0</v>
          </cell>
          <cell r="B543">
            <v>0</v>
          </cell>
          <cell r="C543">
            <v>0</v>
          </cell>
        </row>
        <row r="544">
          <cell r="A544">
            <v>0</v>
          </cell>
          <cell r="B544">
            <v>0</v>
          </cell>
          <cell r="C544">
            <v>0</v>
          </cell>
        </row>
        <row r="545">
          <cell r="A545">
            <v>0</v>
          </cell>
          <cell r="B545">
            <v>0</v>
          </cell>
          <cell r="C545">
            <v>0</v>
          </cell>
        </row>
        <row r="546">
          <cell r="A546">
            <v>0</v>
          </cell>
          <cell r="B546">
            <v>0</v>
          </cell>
          <cell r="C546">
            <v>0</v>
          </cell>
        </row>
        <row r="547">
          <cell r="A547">
            <v>0</v>
          </cell>
          <cell r="B547">
            <v>0</v>
          </cell>
          <cell r="C547">
            <v>0</v>
          </cell>
        </row>
        <row r="548">
          <cell r="A548">
            <v>0</v>
          </cell>
          <cell r="B548">
            <v>0</v>
          </cell>
          <cell r="C548">
            <v>0</v>
          </cell>
        </row>
        <row r="549">
          <cell r="A549">
            <v>0</v>
          </cell>
          <cell r="B549">
            <v>0</v>
          </cell>
          <cell r="C549">
            <v>0</v>
          </cell>
        </row>
        <row r="550">
          <cell r="A550">
            <v>0</v>
          </cell>
          <cell r="B550">
            <v>0</v>
          </cell>
          <cell r="C550">
            <v>0</v>
          </cell>
        </row>
        <row r="551">
          <cell r="A551">
            <v>0</v>
          </cell>
          <cell r="B551">
            <v>0</v>
          </cell>
          <cell r="C551">
            <v>0</v>
          </cell>
        </row>
        <row r="552">
          <cell r="A552">
            <v>0</v>
          </cell>
          <cell r="B552">
            <v>0</v>
          </cell>
          <cell r="C552">
            <v>0</v>
          </cell>
        </row>
        <row r="553">
          <cell r="A553">
            <v>0</v>
          </cell>
          <cell r="B553">
            <v>0</v>
          </cell>
          <cell r="C553">
            <v>0</v>
          </cell>
        </row>
        <row r="554">
          <cell r="A554">
            <v>0</v>
          </cell>
          <cell r="B554">
            <v>0</v>
          </cell>
          <cell r="C554">
            <v>0</v>
          </cell>
        </row>
        <row r="555">
          <cell r="A555">
            <v>0</v>
          </cell>
          <cell r="B555">
            <v>0</v>
          </cell>
          <cell r="C555">
            <v>0</v>
          </cell>
        </row>
        <row r="556">
          <cell r="A556">
            <v>0</v>
          </cell>
          <cell r="B556">
            <v>0</v>
          </cell>
          <cell r="C556">
            <v>0</v>
          </cell>
        </row>
        <row r="557">
          <cell r="A557">
            <v>0</v>
          </cell>
          <cell r="B557">
            <v>0</v>
          </cell>
          <cell r="C557">
            <v>0</v>
          </cell>
        </row>
        <row r="558">
          <cell r="A558">
            <v>0</v>
          </cell>
          <cell r="B558">
            <v>0</v>
          </cell>
          <cell r="C558">
            <v>0</v>
          </cell>
        </row>
        <row r="559">
          <cell r="A559">
            <v>0</v>
          </cell>
          <cell r="B559">
            <v>0</v>
          </cell>
          <cell r="C559">
            <v>0</v>
          </cell>
        </row>
        <row r="560">
          <cell r="A560">
            <v>0</v>
          </cell>
          <cell r="B560">
            <v>0</v>
          </cell>
          <cell r="C560">
            <v>0</v>
          </cell>
        </row>
        <row r="561">
          <cell r="A561">
            <v>0</v>
          </cell>
          <cell r="B561">
            <v>0</v>
          </cell>
          <cell r="C561">
            <v>0</v>
          </cell>
        </row>
        <row r="562">
          <cell r="A562">
            <v>0</v>
          </cell>
          <cell r="B562">
            <v>0</v>
          </cell>
          <cell r="C562">
            <v>0</v>
          </cell>
        </row>
        <row r="563">
          <cell r="A563">
            <v>0</v>
          </cell>
          <cell r="B563">
            <v>0</v>
          </cell>
          <cell r="C563">
            <v>0</v>
          </cell>
        </row>
        <row r="564">
          <cell r="A564">
            <v>0</v>
          </cell>
          <cell r="B564">
            <v>0</v>
          </cell>
          <cell r="C564">
            <v>0</v>
          </cell>
        </row>
        <row r="565">
          <cell r="A565">
            <v>0</v>
          </cell>
          <cell r="B565">
            <v>0</v>
          </cell>
          <cell r="C565">
            <v>0</v>
          </cell>
        </row>
        <row r="566">
          <cell r="A566">
            <v>0</v>
          </cell>
          <cell r="B566">
            <v>0</v>
          </cell>
          <cell r="C566">
            <v>0</v>
          </cell>
        </row>
        <row r="567">
          <cell r="A567">
            <v>0</v>
          </cell>
          <cell r="B567">
            <v>0</v>
          </cell>
          <cell r="C567">
            <v>0</v>
          </cell>
        </row>
        <row r="568">
          <cell r="A568">
            <v>0</v>
          </cell>
          <cell r="B568">
            <v>0</v>
          </cell>
          <cell r="C568">
            <v>0</v>
          </cell>
        </row>
        <row r="569">
          <cell r="A569">
            <v>0</v>
          </cell>
          <cell r="B569">
            <v>0</v>
          </cell>
          <cell r="C569">
            <v>0</v>
          </cell>
        </row>
        <row r="570">
          <cell r="A570">
            <v>0</v>
          </cell>
          <cell r="B570">
            <v>0</v>
          </cell>
          <cell r="C570">
            <v>0</v>
          </cell>
        </row>
        <row r="571">
          <cell r="A571">
            <v>0</v>
          </cell>
          <cell r="B571">
            <v>0</v>
          </cell>
          <cell r="C571">
            <v>0</v>
          </cell>
        </row>
        <row r="572">
          <cell r="A572">
            <v>0</v>
          </cell>
          <cell r="B572">
            <v>0</v>
          </cell>
          <cell r="C572">
            <v>0</v>
          </cell>
        </row>
        <row r="573">
          <cell r="A573">
            <v>0</v>
          </cell>
          <cell r="B573">
            <v>0</v>
          </cell>
          <cell r="C573">
            <v>0</v>
          </cell>
        </row>
        <row r="574">
          <cell r="A574">
            <v>0</v>
          </cell>
          <cell r="B574">
            <v>0</v>
          </cell>
          <cell r="C574">
            <v>0</v>
          </cell>
        </row>
        <row r="575">
          <cell r="A575">
            <v>0</v>
          </cell>
          <cell r="B575">
            <v>0</v>
          </cell>
          <cell r="C575">
            <v>0</v>
          </cell>
        </row>
        <row r="576">
          <cell r="A576">
            <v>0</v>
          </cell>
          <cell r="B576">
            <v>0</v>
          </cell>
          <cell r="C576">
            <v>0</v>
          </cell>
        </row>
        <row r="577">
          <cell r="A577">
            <v>0</v>
          </cell>
          <cell r="B577">
            <v>0</v>
          </cell>
          <cell r="C577">
            <v>0</v>
          </cell>
        </row>
        <row r="578">
          <cell r="A578">
            <v>0</v>
          </cell>
          <cell r="B578">
            <v>0</v>
          </cell>
          <cell r="C578">
            <v>0</v>
          </cell>
        </row>
        <row r="579">
          <cell r="A579">
            <v>0</v>
          </cell>
          <cell r="B579">
            <v>0</v>
          </cell>
          <cell r="C579">
            <v>0</v>
          </cell>
        </row>
        <row r="580">
          <cell r="A580">
            <v>0</v>
          </cell>
          <cell r="B580">
            <v>0</v>
          </cell>
          <cell r="C580">
            <v>0</v>
          </cell>
        </row>
        <row r="581">
          <cell r="A581">
            <v>0</v>
          </cell>
          <cell r="B581">
            <v>0</v>
          </cell>
          <cell r="C581">
            <v>0</v>
          </cell>
        </row>
        <row r="582">
          <cell r="A582">
            <v>0</v>
          </cell>
          <cell r="B582">
            <v>0</v>
          </cell>
          <cell r="C582">
            <v>0</v>
          </cell>
        </row>
        <row r="583">
          <cell r="A583">
            <v>0</v>
          </cell>
          <cell r="B583">
            <v>0</v>
          </cell>
          <cell r="C583">
            <v>0</v>
          </cell>
        </row>
        <row r="584">
          <cell r="A584">
            <v>0</v>
          </cell>
          <cell r="B584">
            <v>0</v>
          </cell>
          <cell r="C584">
            <v>0</v>
          </cell>
        </row>
        <row r="585">
          <cell r="A585">
            <v>0</v>
          </cell>
          <cell r="B585">
            <v>0</v>
          </cell>
          <cell r="C585">
            <v>0</v>
          </cell>
        </row>
        <row r="586">
          <cell r="A586">
            <v>0</v>
          </cell>
          <cell r="B586">
            <v>0</v>
          </cell>
          <cell r="C586">
            <v>0</v>
          </cell>
        </row>
        <row r="587">
          <cell r="A587">
            <v>0</v>
          </cell>
          <cell r="B587">
            <v>0</v>
          </cell>
          <cell r="C587">
            <v>0</v>
          </cell>
        </row>
        <row r="588">
          <cell r="A588">
            <v>0</v>
          </cell>
          <cell r="B588">
            <v>0</v>
          </cell>
          <cell r="C588">
            <v>0</v>
          </cell>
        </row>
        <row r="589">
          <cell r="A589">
            <v>0</v>
          </cell>
          <cell r="B589">
            <v>0</v>
          </cell>
          <cell r="C589">
            <v>0</v>
          </cell>
        </row>
        <row r="590">
          <cell r="A590">
            <v>0</v>
          </cell>
          <cell r="B590">
            <v>0</v>
          </cell>
          <cell r="C590">
            <v>0</v>
          </cell>
        </row>
        <row r="591">
          <cell r="A591">
            <v>0</v>
          </cell>
          <cell r="B591">
            <v>0</v>
          </cell>
          <cell r="C591">
            <v>0</v>
          </cell>
        </row>
        <row r="592">
          <cell r="A592">
            <v>0</v>
          </cell>
          <cell r="B592">
            <v>0</v>
          </cell>
          <cell r="C592">
            <v>0</v>
          </cell>
        </row>
        <row r="593">
          <cell r="A593">
            <v>0</v>
          </cell>
          <cell r="B593">
            <v>0</v>
          </cell>
          <cell r="C593">
            <v>0</v>
          </cell>
        </row>
        <row r="594">
          <cell r="A594">
            <v>0</v>
          </cell>
          <cell r="B594">
            <v>0</v>
          </cell>
          <cell r="C594">
            <v>0</v>
          </cell>
        </row>
        <row r="595">
          <cell r="A595">
            <v>0</v>
          </cell>
          <cell r="B595">
            <v>0</v>
          </cell>
          <cell r="C595">
            <v>0</v>
          </cell>
        </row>
        <row r="596">
          <cell r="A596">
            <v>0</v>
          </cell>
          <cell r="B596">
            <v>0</v>
          </cell>
          <cell r="C596">
            <v>0</v>
          </cell>
        </row>
        <row r="597">
          <cell r="A597">
            <v>0</v>
          </cell>
          <cell r="B597">
            <v>0</v>
          </cell>
          <cell r="C597">
            <v>0</v>
          </cell>
        </row>
        <row r="598">
          <cell r="A598">
            <v>0</v>
          </cell>
          <cell r="B598">
            <v>0</v>
          </cell>
          <cell r="C598">
            <v>0</v>
          </cell>
        </row>
        <row r="599">
          <cell r="A599">
            <v>0</v>
          </cell>
          <cell r="B599">
            <v>0</v>
          </cell>
          <cell r="C599">
            <v>0</v>
          </cell>
        </row>
        <row r="600">
          <cell r="A600">
            <v>0</v>
          </cell>
          <cell r="B600">
            <v>0</v>
          </cell>
          <cell r="C600">
            <v>0</v>
          </cell>
        </row>
        <row r="601">
          <cell r="A601">
            <v>0</v>
          </cell>
          <cell r="B601">
            <v>0</v>
          </cell>
          <cell r="C601">
            <v>0</v>
          </cell>
        </row>
        <row r="602">
          <cell r="A602">
            <v>0</v>
          </cell>
          <cell r="B602">
            <v>0</v>
          </cell>
          <cell r="C602">
            <v>0</v>
          </cell>
        </row>
        <row r="603">
          <cell r="A603">
            <v>0</v>
          </cell>
          <cell r="B603">
            <v>0</v>
          </cell>
          <cell r="C603">
            <v>0</v>
          </cell>
        </row>
        <row r="604">
          <cell r="A604">
            <v>0</v>
          </cell>
          <cell r="B604">
            <v>0</v>
          </cell>
          <cell r="C604">
            <v>0</v>
          </cell>
        </row>
        <row r="605">
          <cell r="A605">
            <v>0</v>
          </cell>
          <cell r="B605">
            <v>0</v>
          </cell>
          <cell r="C605">
            <v>0</v>
          </cell>
        </row>
        <row r="606">
          <cell r="A606">
            <v>0</v>
          </cell>
          <cell r="B606">
            <v>0</v>
          </cell>
          <cell r="C606">
            <v>0</v>
          </cell>
        </row>
        <row r="607">
          <cell r="A607">
            <v>0</v>
          </cell>
          <cell r="B607">
            <v>0</v>
          </cell>
          <cell r="C607">
            <v>0</v>
          </cell>
        </row>
        <row r="608">
          <cell r="A608">
            <v>0</v>
          </cell>
          <cell r="B608">
            <v>0</v>
          </cell>
          <cell r="C608">
            <v>0</v>
          </cell>
        </row>
        <row r="609">
          <cell r="A609">
            <v>0</v>
          </cell>
          <cell r="B609">
            <v>0</v>
          </cell>
          <cell r="C609">
            <v>0</v>
          </cell>
        </row>
        <row r="610">
          <cell r="A610">
            <v>0</v>
          </cell>
          <cell r="B610">
            <v>0</v>
          </cell>
          <cell r="C610">
            <v>0</v>
          </cell>
        </row>
        <row r="611">
          <cell r="A611">
            <v>0</v>
          </cell>
          <cell r="B611">
            <v>0</v>
          </cell>
          <cell r="C611">
            <v>0</v>
          </cell>
        </row>
        <row r="612">
          <cell r="A612">
            <v>0</v>
          </cell>
          <cell r="B612">
            <v>0</v>
          </cell>
          <cell r="C612">
            <v>0</v>
          </cell>
        </row>
        <row r="613">
          <cell r="A613">
            <v>0</v>
          </cell>
          <cell r="B613">
            <v>0</v>
          </cell>
          <cell r="C613">
            <v>0</v>
          </cell>
        </row>
        <row r="614">
          <cell r="A614">
            <v>0</v>
          </cell>
          <cell r="B614">
            <v>0</v>
          </cell>
          <cell r="C614">
            <v>0</v>
          </cell>
        </row>
        <row r="615">
          <cell r="A615">
            <v>0</v>
          </cell>
          <cell r="B615">
            <v>0</v>
          </cell>
          <cell r="C615">
            <v>0</v>
          </cell>
        </row>
        <row r="616">
          <cell r="A616">
            <v>0</v>
          </cell>
          <cell r="B616">
            <v>0</v>
          </cell>
          <cell r="C616">
            <v>0</v>
          </cell>
        </row>
        <row r="617">
          <cell r="A617">
            <v>0</v>
          </cell>
          <cell r="B617">
            <v>0</v>
          </cell>
          <cell r="C617">
            <v>0</v>
          </cell>
        </row>
        <row r="618">
          <cell r="A618">
            <v>0</v>
          </cell>
          <cell r="B618">
            <v>0</v>
          </cell>
          <cell r="C618">
            <v>0</v>
          </cell>
        </row>
        <row r="619">
          <cell r="A619">
            <v>0</v>
          </cell>
          <cell r="B619">
            <v>0</v>
          </cell>
          <cell r="C619">
            <v>0</v>
          </cell>
        </row>
        <row r="620">
          <cell r="A620">
            <v>0</v>
          </cell>
          <cell r="B620">
            <v>0</v>
          </cell>
          <cell r="C620">
            <v>0</v>
          </cell>
        </row>
        <row r="621">
          <cell r="A621">
            <v>0</v>
          </cell>
          <cell r="B621">
            <v>0</v>
          </cell>
          <cell r="C621">
            <v>0</v>
          </cell>
        </row>
        <row r="622">
          <cell r="A622">
            <v>0</v>
          </cell>
          <cell r="B622">
            <v>0</v>
          </cell>
          <cell r="C622">
            <v>0</v>
          </cell>
        </row>
        <row r="623">
          <cell r="A623">
            <v>0</v>
          </cell>
          <cell r="B623">
            <v>0</v>
          </cell>
          <cell r="C623">
            <v>0</v>
          </cell>
        </row>
        <row r="624">
          <cell r="A624">
            <v>0</v>
          </cell>
          <cell r="B624">
            <v>0</v>
          </cell>
          <cell r="C624">
            <v>0</v>
          </cell>
        </row>
        <row r="625">
          <cell r="A625">
            <v>0</v>
          </cell>
          <cell r="B625">
            <v>0</v>
          </cell>
          <cell r="C625">
            <v>0</v>
          </cell>
        </row>
        <row r="626">
          <cell r="A626">
            <v>0</v>
          </cell>
          <cell r="B626">
            <v>0</v>
          </cell>
          <cell r="C626">
            <v>0</v>
          </cell>
        </row>
        <row r="627">
          <cell r="A627">
            <v>0</v>
          </cell>
          <cell r="B627">
            <v>0</v>
          </cell>
          <cell r="C627">
            <v>0</v>
          </cell>
        </row>
        <row r="628">
          <cell r="A628">
            <v>0</v>
          </cell>
          <cell r="B628">
            <v>0</v>
          </cell>
          <cell r="C628">
            <v>0</v>
          </cell>
        </row>
        <row r="629">
          <cell r="A629">
            <v>0</v>
          </cell>
          <cell r="B629">
            <v>0</v>
          </cell>
          <cell r="C629">
            <v>0</v>
          </cell>
        </row>
        <row r="630">
          <cell r="A630">
            <v>0</v>
          </cell>
          <cell r="B630">
            <v>0</v>
          </cell>
          <cell r="C630">
            <v>0</v>
          </cell>
        </row>
        <row r="631">
          <cell r="A631">
            <v>0</v>
          </cell>
          <cell r="B631">
            <v>0</v>
          </cell>
          <cell r="C631">
            <v>0</v>
          </cell>
        </row>
        <row r="632">
          <cell r="A632">
            <v>0</v>
          </cell>
          <cell r="B632">
            <v>0</v>
          </cell>
          <cell r="C632">
            <v>0</v>
          </cell>
        </row>
        <row r="633">
          <cell r="A633">
            <v>0</v>
          </cell>
          <cell r="B633">
            <v>0</v>
          </cell>
          <cell r="C633">
            <v>0</v>
          </cell>
        </row>
        <row r="634">
          <cell r="A634">
            <v>0</v>
          </cell>
          <cell r="B634">
            <v>0</v>
          </cell>
          <cell r="C634">
            <v>0</v>
          </cell>
        </row>
        <row r="635">
          <cell r="A635">
            <v>0</v>
          </cell>
          <cell r="B635">
            <v>0</v>
          </cell>
          <cell r="C635">
            <v>0</v>
          </cell>
        </row>
        <row r="636">
          <cell r="A636">
            <v>0</v>
          </cell>
          <cell r="B636">
            <v>0</v>
          </cell>
          <cell r="C636">
            <v>0</v>
          </cell>
        </row>
        <row r="637">
          <cell r="A637">
            <v>0</v>
          </cell>
          <cell r="B637">
            <v>0</v>
          </cell>
          <cell r="C637">
            <v>0</v>
          </cell>
        </row>
        <row r="638">
          <cell r="A638">
            <v>0</v>
          </cell>
          <cell r="B638">
            <v>0</v>
          </cell>
          <cell r="C638">
            <v>0</v>
          </cell>
        </row>
        <row r="639">
          <cell r="A639">
            <v>0</v>
          </cell>
          <cell r="B639">
            <v>0</v>
          </cell>
          <cell r="C639">
            <v>0</v>
          </cell>
        </row>
        <row r="640">
          <cell r="A640">
            <v>0</v>
          </cell>
          <cell r="B640">
            <v>0</v>
          </cell>
          <cell r="C640">
            <v>0</v>
          </cell>
        </row>
        <row r="641">
          <cell r="A641">
            <v>0</v>
          </cell>
          <cell r="B641">
            <v>0</v>
          </cell>
          <cell r="C641">
            <v>0</v>
          </cell>
        </row>
        <row r="642">
          <cell r="A642">
            <v>0</v>
          </cell>
          <cell r="B642">
            <v>0</v>
          </cell>
          <cell r="C642">
            <v>0</v>
          </cell>
        </row>
        <row r="643">
          <cell r="A643">
            <v>0</v>
          </cell>
          <cell r="B643">
            <v>0</v>
          </cell>
          <cell r="C643">
            <v>0</v>
          </cell>
        </row>
        <row r="644">
          <cell r="A644">
            <v>0</v>
          </cell>
          <cell r="B644">
            <v>0</v>
          </cell>
          <cell r="C644">
            <v>0</v>
          </cell>
        </row>
        <row r="645">
          <cell r="A645">
            <v>0</v>
          </cell>
          <cell r="B645">
            <v>0</v>
          </cell>
          <cell r="C645">
            <v>0</v>
          </cell>
        </row>
        <row r="646">
          <cell r="A646">
            <v>0</v>
          </cell>
          <cell r="B646">
            <v>0</v>
          </cell>
          <cell r="C646">
            <v>0</v>
          </cell>
        </row>
        <row r="647">
          <cell r="A647">
            <v>0</v>
          </cell>
          <cell r="B647">
            <v>0</v>
          </cell>
          <cell r="C647">
            <v>0</v>
          </cell>
        </row>
        <row r="648">
          <cell r="A648">
            <v>0</v>
          </cell>
          <cell r="B648">
            <v>0</v>
          </cell>
          <cell r="C648">
            <v>0</v>
          </cell>
        </row>
        <row r="649">
          <cell r="A649">
            <v>0</v>
          </cell>
          <cell r="B649">
            <v>0</v>
          </cell>
          <cell r="C649">
            <v>0</v>
          </cell>
        </row>
        <row r="650">
          <cell r="A650">
            <v>0</v>
          </cell>
          <cell r="B650">
            <v>0</v>
          </cell>
          <cell r="C650">
            <v>0</v>
          </cell>
        </row>
        <row r="651">
          <cell r="A651">
            <v>0</v>
          </cell>
          <cell r="B651">
            <v>0</v>
          </cell>
          <cell r="C651">
            <v>0</v>
          </cell>
        </row>
        <row r="652">
          <cell r="A652">
            <v>0</v>
          </cell>
          <cell r="B652">
            <v>0</v>
          </cell>
          <cell r="C652">
            <v>0</v>
          </cell>
        </row>
        <row r="653">
          <cell r="A653">
            <v>0</v>
          </cell>
          <cell r="B653">
            <v>0</v>
          </cell>
          <cell r="C653">
            <v>0</v>
          </cell>
        </row>
        <row r="654">
          <cell r="A654">
            <v>0</v>
          </cell>
          <cell r="B654">
            <v>0</v>
          </cell>
          <cell r="C654">
            <v>0</v>
          </cell>
        </row>
        <row r="655">
          <cell r="A655">
            <v>0</v>
          </cell>
          <cell r="B655">
            <v>0</v>
          </cell>
          <cell r="C655">
            <v>0</v>
          </cell>
        </row>
        <row r="656">
          <cell r="A656">
            <v>0</v>
          </cell>
          <cell r="B656">
            <v>0</v>
          </cell>
          <cell r="C656">
            <v>0</v>
          </cell>
        </row>
        <row r="657">
          <cell r="A657">
            <v>0</v>
          </cell>
          <cell r="B657">
            <v>0</v>
          </cell>
          <cell r="C657">
            <v>0</v>
          </cell>
        </row>
        <row r="658">
          <cell r="A658">
            <v>0</v>
          </cell>
          <cell r="B658">
            <v>0</v>
          </cell>
          <cell r="C658">
            <v>0</v>
          </cell>
        </row>
        <row r="659">
          <cell r="A659">
            <v>0</v>
          </cell>
          <cell r="B659">
            <v>0</v>
          </cell>
          <cell r="C659">
            <v>0</v>
          </cell>
        </row>
        <row r="660">
          <cell r="A660">
            <v>0</v>
          </cell>
          <cell r="B660">
            <v>0</v>
          </cell>
          <cell r="C660">
            <v>0</v>
          </cell>
        </row>
        <row r="661">
          <cell r="A661">
            <v>0</v>
          </cell>
          <cell r="B661">
            <v>0</v>
          </cell>
          <cell r="C661">
            <v>0</v>
          </cell>
        </row>
        <row r="662">
          <cell r="A662">
            <v>0</v>
          </cell>
          <cell r="B662">
            <v>0</v>
          </cell>
          <cell r="C662">
            <v>0</v>
          </cell>
        </row>
        <row r="663">
          <cell r="A663">
            <v>0</v>
          </cell>
          <cell r="B663">
            <v>0</v>
          </cell>
          <cell r="C663">
            <v>0</v>
          </cell>
        </row>
        <row r="664">
          <cell r="A664">
            <v>0</v>
          </cell>
          <cell r="B664">
            <v>0</v>
          </cell>
          <cell r="C664">
            <v>0</v>
          </cell>
        </row>
        <row r="665">
          <cell r="A665">
            <v>0</v>
          </cell>
          <cell r="B665">
            <v>0</v>
          </cell>
          <cell r="C665">
            <v>0</v>
          </cell>
        </row>
        <row r="666">
          <cell r="A666">
            <v>0</v>
          </cell>
          <cell r="B666">
            <v>0</v>
          </cell>
          <cell r="C666">
            <v>0</v>
          </cell>
        </row>
        <row r="667">
          <cell r="A667">
            <v>0</v>
          </cell>
          <cell r="B667">
            <v>0</v>
          </cell>
          <cell r="C667">
            <v>0</v>
          </cell>
        </row>
        <row r="668">
          <cell r="A668">
            <v>0</v>
          </cell>
          <cell r="B668">
            <v>0</v>
          </cell>
          <cell r="C668">
            <v>0</v>
          </cell>
        </row>
        <row r="669">
          <cell r="A669">
            <v>0</v>
          </cell>
          <cell r="B669">
            <v>0</v>
          </cell>
          <cell r="C669">
            <v>0</v>
          </cell>
        </row>
        <row r="670">
          <cell r="A670">
            <v>0</v>
          </cell>
          <cell r="B670">
            <v>0</v>
          </cell>
          <cell r="C670">
            <v>0</v>
          </cell>
        </row>
        <row r="671">
          <cell r="A671">
            <v>0</v>
          </cell>
          <cell r="B671">
            <v>0</v>
          </cell>
          <cell r="C671">
            <v>0</v>
          </cell>
        </row>
        <row r="672">
          <cell r="A672">
            <v>0</v>
          </cell>
          <cell r="B672">
            <v>0</v>
          </cell>
          <cell r="C672">
            <v>0</v>
          </cell>
        </row>
        <row r="673">
          <cell r="A673">
            <v>0</v>
          </cell>
          <cell r="B673">
            <v>0</v>
          </cell>
          <cell r="C673">
            <v>0</v>
          </cell>
        </row>
        <row r="674">
          <cell r="A674">
            <v>0</v>
          </cell>
          <cell r="B674">
            <v>0</v>
          </cell>
          <cell r="C674">
            <v>0</v>
          </cell>
        </row>
        <row r="675">
          <cell r="A675">
            <v>0</v>
          </cell>
          <cell r="B675">
            <v>0</v>
          </cell>
          <cell r="C675">
            <v>0</v>
          </cell>
        </row>
        <row r="676">
          <cell r="A676">
            <v>0</v>
          </cell>
          <cell r="B676">
            <v>0</v>
          </cell>
          <cell r="C676">
            <v>0</v>
          </cell>
        </row>
        <row r="677">
          <cell r="A677">
            <v>0</v>
          </cell>
          <cell r="B677">
            <v>0</v>
          </cell>
          <cell r="C677">
            <v>0</v>
          </cell>
        </row>
        <row r="678">
          <cell r="A678">
            <v>0</v>
          </cell>
          <cell r="B678">
            <v>0</v>
          </cell>
          <cell r="C678">
            <v>0</v>
          </cell>
        </row>
        <row r="679">
          <cell r="A679">
            <v>0</v>
          </cell>
          <cell r="B679">
            <v>0</v>
          </cell>
          <cell r="C679">
            <v>0</v>
          </cell>
        </row>
        <row r="680">
          <cell r="A680">
            <v>0</v>
          </cell>
          <cell r="B680">
            <v>0</v>
          </cell>
          <cell r="C680">
            <v>0</v>
          </cell>
        </row>
        <row r="681">
          <cell r="A681">
            <v>0</v>
          </cell>
          <cell r="B681">
            <v>0</v>
          </cell>
          <cell r="C681">
            <v>0</v>
          </cell>
        </row>
        <row r="682">
          <cell r="A682">
            <v>0</v>
          </cell>
          <cell r="B682">
            <v>0</v>
          </cell>
          <cell r="C682">
            <v>0</v>
          </cell>
        </row>
        <row r="683">
          <cell r="A683">
            <v>0</v>
          </cell>
          <cell r="B683">
            <v>0</v>
          </cell>
          <cell r="C683">
            <v>0</v>
          </cell>
        </row>
        <row r="684">
          <cell r="A684">
            <v>0</v>
          </cell>
          <cell r="B684">
            <v>0</v>
          </cell>
          <cell r="C684">
            <v>0</v>
          </cell>
        </row>
        <row r="685">
          <cell r="A685">
            <v>0</v>
          </cell>
          <cell r="B685">
            <v>0</v>
          </cell>
          <cell r="C685">
            <v>0</v>
          </cell>
        </row>
        <row r="686">
          <cell r="A686">
            <v>0</v>
          </cell>
          <cell r="B686">
            <v>0</v>
          </cell>
          <cell r="C686">
            <v>0</v>
          </cell>
        </row>
        <row r="687">
          <cell r="A687">
            <v>0</v>
          </cell>
          <cell r="B687">
            <v>0</v>
          </cell>
          <cell r="C687">
            <v>0</v>
          </cell>
        </row>
        <row r="688">
          <cell r="A688">
            <v>0</v>
          </cell>
          <cell r="B688">
            <v>0</v>
          </cell>
          <cell r="C688">
            <v>0</v>
          </cell>
        </row>
        <row r="689">
          <cell r="A689">
            <v>0</v>
          </cell>
          <cell r="B689">
            <v>0</v>
          </cell>
          <cell r="C689">
            <v>0</v>
          </cell>
        </row>
        <row r="690">
          <cell r="A690">
            <v>0</v>
          </cell>
          <cell r="B690">
            <v>0</v>
          </cell>
          <cell r="C690">
            <v>0</v>
          </cell>
        </row>
        <row r="691">
          <cell r="A691">
            <v>0</v>
          </cell>
          <cell r="B691">
            <v>0</v>
          </cell>
          <cell r="C691">
            <v>0</v>
          </cell>
        </row>
        <row r="692">
          <cell r="A692">
            <v>0</v>
          </cell>
          <cell r="B692">
            <v>0</v>
          </cell>
          <cell r="C692">
            <v>0</v>
          </cell>
        </row>
        <row r="693">
          <cell r="A693">
            <v>0</v>
          </cell>
          <cell r="B693">
            <v>0</v>
          </cell>
          <cell r="C693">
            <v>0</v>
          </cell>
        </row>
        <row r="694">
          <cell r="A694">
            <v>0</v>
          </cell>
          <cell r="B694">
            <v>0</v>
          </cell>
          <cell r="C694">
            <v>0</v>
          </cell>
        </row>
        <row r="695">
          <cell r="A695">
            <v>0</v>
          </cell>
          <cell r="B695">
            <v>0</v>
          </cell>
          <cell r="C695">
            <v>0</v>
          </cell>
        </row>
        <row r="696">
          <cell r="A696">
            <v>0</v>
          </cell>
          <cell r="B696">
            <v>0</v>
          </cell>
          <cell r="C696">
            <v>0</v>
          </cell>
        </row>
        <row r="697">
          <cell r="A697">
            <v>0</v>
          </cell>
          <cell r="B697">
            <v>0</v>
          </cell>
          <cell r="C697">
            <v>0</v>
          </cell>
        </row>
        <row r="698">
          <cell r="A698">
            <v>0</v>
          </cell>
          <cell r="B698">
            <v>0</v>
          </cell>
          <cell r="C698">
            <v>0</v>
          </cell>
        </row>
        <row r="699">
          <cell r="A699">
            <v>0</v>
          </cell>
          <cell r="B699">
            <v>0</v>
          </cell>
          <cell r="C699">
            <v>0</v>
          </cell>
        </row>
        <row r="700">
          <cell r="A700">
            <v>0</v>
          </cell>
          <cell r="B700">
            <v>0</v>
          </cell>
          <cell r="C700">
            <v>0</v>
          </cell>
        </row>
        <row r="701">
          <cell r="A701">
            <v>0</v>
          </cell>
          <cell r="B701">
            <v>0</v>
          </cell>
          <cell r="C701">
            <v>0</v>
          </cell>
        </row>
        <row r="702">
          <cell r="A702">
            <v>0</v>
          </cell>
          <cell r="B702">
            <v>0</v>
          </cell>
          <cell r="C702">
            <v>0</v>
          </cell>
        </row>
        <row r="703">
          <cell r="A703">
            <v>0</v>
          </cell>
          <cell r="B703">
            <v>0</v>
          </cell>
          <cell r="C703">
            <v>0</v>
          </cell>
        </row>
        <row r="704">
          <cell r="A704">
            <v>0</v>
          </cell>
          <cell r="B704">
            <v>0</v>
          </cell>
          <cell r="C704">
            <v>0</v>
          </cell>
        </row>
        <row r="705">
          <cell r="A705">
            <v>0</v>
          </cell>
          <cell r="B705">
            <v>0</v>
          </cell>
          <cell r="C705">
            <v>0</v>
          </cell>
        </row>
        <row r="706">
          <cell r="A706">
            <v>0</v>
          </cell>
          <cell r="B706">
            <v>0</v>
          </cell>
          <cell r="C706">
            <v>0</v>
          </cell>
        </row>
        <row r="707">
          <cell r="A707">
            <v>0</v>
          </cell>
          <cell r="B707">
            <v>0</v>
          </cell>
          <cell r="C707">
            <v>0</v>
          </cell>
        </row>
        <row r="708">
          <cell r="A708">
            <v>0</v>
          </cell>
          <cell r="B708">
            <v>0</v>
          </cell>
          <cell r="C708">
            <v>0</v>
          </cell>
        </row>
        <row r="709">
          <cell r="A709">
            <v>0</v>
          </cell>
          <cell r="B709">
            <v>0</v>
          </cell>
          <cell r="C709">
            <v>0</v>
          </cell>
        </row>
        <row r="710">
          <cell r="A710">
            <v>0</v>
          </cell>
          <cell r="B710">
            <v>0</v>
          </cell>
          <cell r="C710">
            <v>0</v>
          </cell>
        </row>
        <row r="711">
          <cell r="A711">
            <v>0</v>
          </cell>
          <cell r="B711">
            <v>0</v>
          </cell>
          <cell r="C711">
            <v>0</v>
          </cell>
        </row>
        <row r="712">
          <cell r="A712">
            <v>0</v>
          </cell>
          <cell r="B712">
            <v>0</v>
          </cell>
          <cell r="C712">
            <v>0</v>
          </cell>
        </row>
        <row r="713">
          <cell r="A713">
            <v>0</v>
          </cell>
          <cell r="B713">
            <v>0</v>
          </cell>
          <cell r="C713">
            <v>0</v>
          </cell>
        </row>
        <row r="714">
          <cell r="A714">
            <v>0</v>
          </cell>
          <cell r="B714">
            <v>0</v>
          </cell>
          <cell r="C714">
            <v>0</v>
          </cell>
        </row>
        <row r="715">
          <cell r="A715">
            <v>0</v>
          </cell>
          <cell r="B715">
            <v>0</v>
          </cell>
          <cell r="C715">
            <v>0</v>
          </cell>
        </row>
        <row r="716">
          <cell r="A716">
            <v>0</v>
          </cell>
          <cell r="B716">
            <v>0</v>
          </cell>
          <cell r="C716">
            <v>0</v>
          </cell>
        </row>
        <row r="717">
          <cell r="A717">
            <v>0</v>
          </cell>
          <cell r="B717">
            <v>0</v>
          </cell>
          <cell r="C717">
            <v>0</v>
          </cell>
        </row>
        <row r="718">
          <cell r="A718">
            <v>0</v>
          </cell>
          <cell r="B718">
            <v>0</v>
          </cell>
          <cell r="C718">
            <v>0</v>
          </cell>
        </row>
        <row r="719">
          <cell r="A719">
            <v>0</v>
          </cell>
          <cell r="B719">
            <v>0</v>
          </cell>
          <cell r="C719">
            <v>0</v>
          </cell>
        </row>
        <row r="720">
          <cell r="A720">
            <v>0</v>
          </cell>
          <cell r="B720">
            <v>0</v>
          </cell>
          <cell r="C720">
            <v>0</v>
          </cell>
        </row>
        <row r="721">
          <cell r="A721">
            <v>0</v>
          </cell>
          <cell r="B721">
            <v>0</v>
          </cell>
          <cell r="C721">
            <v>0</v>
          </cell>
        </row>
        <row r="722">
          <cell r="A722">
            <v>0</v>
          </cell>
          <cell r="B722">
            <v>0</v>
          </cell>
          <cell r="C722">
            <v>0</v>
          </cell>
        </row>
        <row r="723">
          <cell r="A723">
            <v>0</v>
          </cell>
          <cell r="B723">
            <v>0</v>
          </cell>
          <cell r="C723">
            <v>0</v>
          </cell>
        </row>
        <row r="724">
          <cell r="A724">
            <v>0</v>
          </cell>
          <cell r="B724">
            <v>0</v>
          </cell>
          <cell r="C724">
            <v>0</v>
          </cell>
        </row>
        <row r="725">
          <cell r="A725">
            <v>0</v>
          </cell>
          <cell r="B725">
            <v>0</v>
          </cell>
          <cell r="C725">
            <v>0</v>
          </cell>
        </row>
        <row r="726">
          <cell r="A726">
            <v>0</v>
          </cell>
          <cell r="B726">
            <v>0</v>
          </cell>
          <cell r="C726">
            <v>0</v>
          </cell>
        </row>
        <row r="727">
          <cell r="A727">
            <v>0</v>
          </cell>
          <cell r="B727">
            <v>0</v>
          </cell>
          <cell r="C727">
            <v>0</v>
          </cell>
        </row>
        <row r="728">
          <cell r="A728">
            <v>0</v>
          </cell>
          <cell r="B728">
            <v>0</v>
          </cell>
          <cell r="C728">
            <v>0</v>
          </cell>
        </row>
        <row r="729">
          <cell r="A729">
            <v>0</v>
          </cell>
          <cell r="B729">
            <v>0</v>
          </cell>
          <cell r="C729">
            <v>0</v>
          </cell>
        </row>
        <row r="730">
          <cell r="A730">
            <v>0</v>
          </cell>
          <cell r="B730">
            <v>0</v>
          </cell>
          <cell r="C730">
            <v>0</v>
          </cell>
        </row>
        <row r="731">
          <cell r="A731">
            <v>0</v>
          </cell>
          <cell r="B731">
            <v>0</v>
          </cell>
          <cell r="C731">
            <v>0</v>
          </cell>
        </row>
        <row r="732">
          <cell r="A732">
            <v>0</v>
          </cell>
          <cell r="B732">
            <v>0</v>
          </cell>
          <cell r="C732">
            <v>0</v>
          </cell>
        </row>
        <row r="733">
          <cell r="A733">
            <v>0</v>
          </cell>
          <cell r="B733">
            <v>0</v>
          </cell>
          <cell r="C733">
            <v>0</v>
          </cell>
        </row>
        <row r="734">
          <cell r="A734">
            <v>0</v>
          </cell>
          <cell r="B734">
            <v>0</v>
          </cell>
          <cell r="C734">
            <v>0</v>
          </cell>
        </row>
        <row r="735">
          <cell r="A735">
            <v>0</v>
          </cell>
          <cell r="B735">
            <v>0</v>
          </cell>
          <cell r="C735">
            <v>0</v>
          </cell>
        </row>
        <row r="736">
          <cell r="A736">
            <v>0</v>
          </cell>
          <cell r="B736">
            <v>0</v>
          </cell>
          <cell r="C736">
            <v>0</v>
          </cell>
        </row>
        <row r="737">
          <cell r="A737">
            <v>0</v>
          </cell>
          <cell r="B737">
            <v>0</v>
          </cell>
          <cell r="C737">
            <v>0</v>
          </cell>
        </row>
        <row r="738">
          <cell r="A738">
            <v>0</v>
          </cell>
          <cell r="B738">
            <v>0</v>
          </cell>
          <cell r="C738">
            <v>0</v>
          </cell>
        </row>
        <row r="739">
          <cell r="A739">
            <v>0</v>
          </cell>
          <cell r="B739">
            <v>0</v>
          </cell>
          <cell r="C739">
            <v>0</v>
          </cell>
        </row>
        <row r="740">
          <cell r="A740">
            <v>0</v>
          </cell>
          <cell r="B740">
            <v>0</v>
          </cell>
          <cell r="C740">
            <v>0</v>
          </cell>
        </row>
        <row r="741">
          <cell r="A741">
            <v>0</v>
          </cell>
          <cell r="B741">
            <v>0</v>
          </cell>
          <cell r="C741">
            <v>0</v>
          </cell>
        </row>
        <row r="742">
          <cell r="A742">
            <v>0</v>
          </cell>
          <cell r="B742">
            <v>0</v>
          </cell>
          <cell r="C742">
            <v>0</v>
          </cell>
        </row>
        <row r="743">
          <cell r="A743">
            <v>0</v>
          </cell>
          <cell r="B743">
            <v>0</v>
          </cell>
          <cell r="C743">
            <v>0</v>
          </cell>
        </row>
        <row r="744">
          <cell r="A744">
            <v>0</v>
          </cell>
          <cell r="B744">
            <v>0</v>
          </cell>
          <cell r="C744">
            <v>0</v>
          </cell>
        </row>
        <row r="745">
          <cell r="A745">
            <v>0</v>
          </cell>
          <cell r="B745">
            <v>0</v>
          </cell>
          <cell r="C745">
            <v>0</v>
          </cell>
        </row>
        <row r="746">
          <cell r="A746">
            <v>0</v>
          </cell>
          <cell r="B746">
            <v>0</v>
          </cell>
          <cell r="C746">
            <v>0</v>
          </cell>
        </row>
        <row r="747">
          <cell r="A747">
            <v>0</v>
          </cell>
          <cell r="B747">
            <v>0</v>
          </cell>
          <cell r="C747">
            <v>0</v>
          </cell>
        </row>
        <row r="748">
          <cell r="A748">
            <v>0</v>
          </cell>
          <cell r="B748">
            <v>0</v>
          </cell>
          <cell r="C748">
            <v>0</v>
          </cell>
        </row>
        <row r="749">
          <cell r="A749">
            <v>0</v>
          </cell>
          <cell r="B749">
            <v>0</v>
          </cell>
          <cell r="C749">
            <v>0</v>
          </cell>
        </row>
        <row r="750">
          <cell r="A750">
            <v>0</v>
          </cell>
          <cell r="B750">
            <v>0</v>
          </cell>
          <cell r="C750">
            <v>0</v>
          </cell>
        </row>
        <row r="751">
          <cell r="A751">
            <v>0</v>
          </cell>
          <cell r="B751">
            <v>0</v>
          </cell>
          <cell r="C751">
            <v>0</v>
          </cell>
        </row>
        <row r="752">
          <cell r="A752">
            <v>0</v>
          </cell>
          <cell r="B752">
            <v>0</v>
          </cell>
          <cell r="C752">
            <v>0</v>
          </cell>
        </row>
        <row r="753">
          <cell r="A753">
            <v>0</v>
          </cell>
          <cell r="B753">
            <v>0</v>
          </cell>
          <cell r="C753">
            <v>0</v>
          </cell>
        </row>
        <row r="754">
          <cell r="A754">
            <v>0</v>
          </cell>
          <cell r="B754">
            <v>0</v>
          </cell>
          <cell r="C754">
            <v>0</v>
          </cell>
        </row>
        <row r="755">
          <cell r="A755">
            <v>0</v>
          </cell>
          <cell r="B755">
            <v>0</v>
          </cell>
          <cell r="C755">
            <v>0</v>
          </cell>
        </row>
        <row r="756">
          <cell r="A756">
            <v>0</v>
          </cell>
          <cell r="B756">
            <v>0</v>
          </cell>
          <cell r="C756">
            <v>0</v>
          </cell>
        </row>
        <row r="757">
          <cell r="A757">
            <v>0</v>
          </cell>
          <cell r="B757">
            <v>0</v>
          </cell>
          <cell r="C757">
            <v>0</v>
          </cell>
        </row>
        <row r="758">
          <cell r="A758">
            <v>0</v>
          </cell>
          <cell r="B758">
            <v>0</v>
          </cell>
          <cell r="C758">
            <v>0</v>
          </cell>
        </row>
        <row r="759">
          <cell r="A759">
            <v>0</v>
          </cell>
          <cell r="B759">
            <v>0</v>
          </cell>
          <cell r="C759">
            <v>0</v>
          </cell>
        </row>
        <row r="760">
          <cell r="A760">
            <v>0</v>
          </cell>
          <cell r="B760">
            <v>0</v>
          </cell>
          <cell r="C760">
            <v>0</v>
          </cell>
        </row>
        <row r="761">
          <cell r="A761">
            <v>0</v>
          </cell>
          <cell r="B761">
            <v>0</v>
          </cell>
          <cell r="C761">
            <v>0</v>
          </cell>
        </row>
        <row r="762">
          <cell r="A762">
            <v>0</v>
          </cell>
          <cell r="B762">
            <v>0</v>
          </cell>
          <cell r="C762">
            <v>0</v>
          </cell>
        </row>
        <row r="763">
          <cell r="A763">
            <v>0</v>
          </cell>
          <cell r="B763">
            <v>0</v>
          </cell>
          <cell r="C763">
            <v>0</v>
          </cell>
        </row>
        <row r="764">
          <cell r="A764">
            <v>0</v>
          </cell>
          <cell r="B764">
            <v>0</v>
          </cell>
          <cell r="C764">
            <v>0</v>
          </cell>
        </row>
        <row r="765">
          <cell r="A765">
            <v>0</v>
          </cell>
          <cell r="B765">
            <v>0</v>
          </cell>
          <cell r="C765">
            <v>0</v>
          </cell>
        </row>
        <row r="766">
          <cell r="A766">
            <v>0</v>
          </cell>
          <cell r="B766">
            <v>0</v>
          </cell>
          <cell r="C766">
            <v>0</v>
          </cell>
        </row>
        <row r="767">
          <cell r="A767">
            <v>0</v>
          </cell>
          <cell r="B767">
            <v>0</v>
          </cell>
          <cell r="C767">
            <v>0</v>
          </cell>
        </row>
        <row r="768">
          <cell r="A768">
            <v>0</v>
          </cell>
          <cell r="B768">
            <v>0</v>
          </cell>
          <cell r="C768">
            <v>0</v>
          </cell>
        </row>
        <row r="769">
          <cell r="A769">
            <v>0</v>
          </cell>
          <cell r="B769">
            <v>0</v>
          </cell>
          <cell r="C769">
            <v>0</v>
          </cell>
        </row>
        <row r="770">
          <cell r="A770">
            <v>0</v>
          </cell>
          <cell r="B770">
            <v>0</v>
          </cell>
          <cell r="C770">
            <v>0</v>
          </cell>
        </row>
        <row r="771">
          <cell r="A771">
            <v>0</v>
          </cell>
          <cell r="B771">
            <v>0</v>
          </cell>
          <cell r="C771">
            <v>0</v>
          </cell>
        </row>
        <row r="772">
          <cell r="A772">
            <v>0</v>
          </cell>
          <cell r="B772">
            <v>0</v>
          </cell>
          <cell r="C772">
            <v>0</v>
          </cell>
        </row>
        <row r="773">
          <cell r="A773">
            <v>0</v>
          </cell>
          <cell r="B773">
            <v>0</v>
          </cell>
          <cell r="C773">
            <v>0</v>
          </cell>
        </row>
        <row r="774">
          <cell r="A774">
            <v>0</v>
          </cell>
          <cell r="B774">
            <v>0</v>
          </cell>
          <cell r="C774">
            <v>0</v>
          </cell>
        </row>
        <row r="775">
          <cell r="A775">
            <v>0</v>
          </cell>
          <cell r="B775">
            <v>0</v>
          </cell>
          <cell r="C775">
            <v>0</v>
          </cell>
        </row>
        <row r="776">
          <cell r="A776">
            <v>0</v>
          </cell>
          <cell r="B776">
            <v>0</v>
          </cell>
          <cell r="C776">
            <v>0</v>
          </cell>
        </row>
        <row r="777">
          <cell r="A777">
            <v>0</v>
          </cell>
          <cell r="B777">
            <v>0</v>
          </cell>
          <cell r="C777">
            <v>0</v>
          </cell>
        </row>
        <row r="778">
          <cell r="A778">
            <v>0</v>
          </cell>
          <cell r="B778">
            <v>0</v>
          </cell>
          <cell r="C778">
            <v>0</v>
          </cell>
        </row>
        <row r="779">
          <cell r="A779">
            <v>0</v>
          </cell>
          <cell r="B779">
            <v>0</v>
          </cell>
          <cell r="C779">
            <v>0</v>
          </cell>
        </row>
        <row r="780">
          <cell r="A780">
            <v>0</v>
          </cell>
          <cell r="B780">
            <v>0</v>
          </cell>
          <cell r="C780">
            <v>0</v>
          </cell>
        </row>
        <row r="781">
          <cell r="A781">
            <v>0</v>
          </cell>
          <cell r="B781">
            <v>0</v>
          </cell>
          <cell r="C781">
            <v>0</v>
          </cell>
        </row>
        <row r="782">
          <cell r="A782">
            <v>0</v>
          </cell>
          <cell r="B782">
            <v>0</v>
          </cell>
          <cell r="C782">
            <v>0</v>
          </cell>
        </row>
        <row r="783">
          <cell r="A783">
            <v>0</v>
          </cell>
          <cell r="B783">
            <v>0</v>
          </cell>
          <cell r="C783">
            <v>0</v>
          </cell>
        </row>
        <row r="784">
          <cell r="A784">
            <v>0</v>
          </cell>
          <cell r="B784">
            <v>0</v>
          </cell>
          <cell r="C784">
            <v>0</v>
          </cell>
        </row>
        <row r="785">
          <cell r="A785">
            <v>0</v>
          </cell>
          <cell r="B785">
            <v>0</v>
          </cell>
          <cell r="C785">
            <v>0</v>
          </cell>
        </row>
        <row r="786">
          <cell r="A786">
            <v>0</v>
          </cell>
          <cell r="B786">
            <v>0</v>
          </cell>
          <cell r="C786">
            <v>0</v>
          </cell>
        </row>
        <row r="787">
          <cell r="A787">
            <v>0</v>
          </cell>
          <cell r="B787">
            <v>0</v>
          </cell>
          <cell r="C787">
            <v>0</v>
          </cell>
        </row>
        <row r="788">
          <cell r="A788">
            <v>0</v>
          </cell>
          <cell r="B788">
            <v>0</v>
          </cell>
          <cell r="C788">
            <v>0</v>
          </cell>
        </row>
        <row r="789">
          <cell r="A789">
            <v>0</v>
          </cell>
          <cell r="B789">
            <v>0</v>
          </cell>
          <cell r="C789">
            <v>0</v>
          </cell>
        </row>
        <row r="790">
          <cell r="A790">
            <v>0</v>
          </cell>
          <cell r="B790">
            <v>0</v>
          </cell>
          <cell r="C790">
            <v>0</v>
          </cell>
        </row>
        <row r="791">
          <cell r="A791">
            <v>0</v>
          </cell>
          <cell r="B791">
            <v>0</v>
          </cell>
          <cell r="C791">
            <v>0</v>
          </cell>
        </row>
        <row r="792">
          <cell r="A792">
            <v>0</v>
          </cell>
          <cell r="B792">
            <v>0</v>
          </cell>
          <cell r="C792">
            <v>0</v>
          </cell>
        </row>
        <row r="793">
          <cell r="A793">
            <v>0</v>
          </cell>
          <cell r="B793">
            <v>0</v>
          </cell>
          <cell r="C793">
            <v>0</v>
          </cell>
        </row>
        <row r="794">
          <cell r="A794">
            <v>0</v>
          </cell>
          <cell r="B794">
            <v>0</v>
          </cell>
          <cell r="C794">
            <v>0</v>
          </cell>
        </row>
        <row r="795">
          <cell r="A795">
            <v>0</v>
          </cell>
          <cell r="B795">
            <v>0</v>
          </cell>
          <cell r="C795">
            <v>0</v>
          </cell>
        </row>
        <row r="796">
          <cell r="A796">
            <v>0</v>
          </cell>
          <cell r="B796">
            <v>0</v>
          </cell>
          <cell r="C796">
            <v>0</v>
          </cell>
        </row>
        <row r="797">
          <cell r="A797">
            <v>0</v>
          </cell>
          <cell r="B797">
            <v>0</v>
          </cell>
          <cell r="C797">
            <v>0</v>
          </cell>
        </row>
        <row r="798">
          <cell r="A798">
            <v>0</v>
          </cell>
          <cell r="B798">
            <v>0</v>
          </cell>
          <cell r="C798">
            <v>0</v>
          </cell>
        </row>
        <row r="799">
          <cell r="A799">
            <v>0</v>
          </cell>
          <cell r="B799">
            <v>0</v>
          </cell>
          <cell r="C799">
            <v>0</v>
          </cell>
        </row>
        <row r="800">
          <cell r="A800">
            <v>0</v>
          </cell>
          <cell r="B800">
            <v>0</v>
          </cell>
          <cell r="C800">
            <v>0</v>
          </cell>
        </row>
        <row r="801">
          <cell r="A801">
            <v>0</v>
          </cell>
          <cell r="B801">
            <v>0</v>
          </cell>
          <cell r="C801">
            <v>0</v>
          </cell>
        </row>
        <row r="802">
          <cell r="A802">
            <v>0</v>
          </cell>
          <cell r="B802">
            <v>0</v>
          </cell>
          <cell r="C802">
            <v>0</v>
          </cell>
        </row>
        <row r="803">
          <cell r="A803">
            <v>0</v>
          </cell>
          <cell r="B803">
            <v>0</v>
          </cell>
          <cell r="C803">
            <v>0</v>
          </cell>
        </row>
        <row r="804">
          <cell r="A804">
            <v>0</v>
          </cell>
          <cell r="B804">
            <v>0</v>
          </cell>
          <cell r="C804">
            <v>0</v>
          </cell>
        </row>
        <row r="805">
          <cell r="A805">
            <v>0</v>
          </cell>
          <cell r="B805">
            <v>0</v>
          </cell>
          <cell r="C805">
            <v>0</v>
          </cell>
        </row>
        <row r="806">
          <cell r="A806">
            <v>0</v>
          </cell>
          <cell r="B806">
            <v>0</v>
          </cell>
          <cell r="C806">
            <v>0</v>
          </cell>
        </row>
        <row r="807">
          <cell r="A807">
            <v>0</v>
          </cell>
          <cell r="B807">
            <v>0</v>
          </cell>
          <cell r="C807">
            <v>0</v>
          </cell>
        </row>
        <row r="808">
          <cell r="A808">
            <v>0</v>
          </cell>
          <cell r="B808">
            <v>0</v>
          </cell>
          <cell r="C808">
            <v>0</v>
          </cell>
        </row>
        <row r="809">
          <cell r="A809">
            <v>0</v>
          </cell>
          <cell r="B809">
            <v>0</v>
          </cell>
          <cell r="C809">
            <v>0</v>
          </cell>
        </row>
        <row r="810">
          <cell r="A810">
            <v>0</v>
          </cell>
          <cell r="B810">
            <v>0</v>
          </cell>
          <cell r="C810">
            <v>0</v>
          </cell>
        </row>
        <row r="811">
          <cell r="A811">
            <v>0</v>
          </cell>
          <cell r="B811">
            <v>0</v>
          </cell>
          <cell r="C811">
            <v>0</v>
          </cell>
        </row>
        <row r="812">
          <cell r="A812">
            <v>0</v>
          </cell>
          <cell r="B812">
            <v>0</v>
          </cell>
          <cell r="C812">
            <v>0</v>
          </cell>
        </row>
        <row r="813">
          <cell r="A813">
            <v>0</v>
          </cell>
          <cell r="B813">
            <v>0</v>
          </cell>
          <cell r="C813">
            <v>0</v>
          </cell>
        </row>
        <row r="814">
          <cell r="A814">
            <v>0</v>
          </cell>
          <cell r="B814">
            <v>0</v>
          </cell>
          <cell r="C814">
            <v>0</v>
          </cell>
        </row>
        <row r="815">
          <cell r="A815">
            <v>0</v>
          </cell>
          <cell r="B815">
            <v>0</v>
          </cell>
          <cell r="C815">
            <v>0</v>
          </cell>
        </row>
        <row r="816">
          <cell r="A816">
            <v>0</v>
          </cell>
          <cell r="B816">
            <v>0</v>
          </cell>
          <cell r="C816">
            <v>0</v>
          </cell>
        </row>
        <row r="817">
          <cell r="A817">
            <v>0</v>
          </cell>
          <cell r="B817">
            <v>0</v>
          </cell>
          <cell r="C817">
            <v>0</v>
          </cell>
        </row>
        <row r="818">
          <cell r="A818">
            <v>0</v>
          </cell>
          <cell r="B818">
            <v>0</v>
          </cell>
          <cell r="C818">
            <v>0</v>
          </cell>
        </row>
        <row r="819">
          <cell r="A819">
            <v>0</v>
          </cell>
          <cell r="B819">
            <v>0</v>
          </cell>
          <cell r="C819">
            <v>0</v>
          </cell>
        </row>
        <row r="820">
          <cell r="A820">
            <v>0</v>
          </cell>
          <cell r="B820">
            <v>0</v>
          </cell>
          <cell r="C820">
            <v>0</v>
          </cell>
        </row>
        <row r="821">
          <cell r="A821">
            <v>0</v>
          </cell>
          <cell r="B821">
            <v>0</v>
          </cell>
          <cell r="C821">
            <v>0</v>
          </cell>
        </row>
        <row r="822">
          <cell r="A822">
            <v>0</v>
          </cell>
          <cell r="B822">
            <v>0</v>
          </cell>
          <cell r="C822">
            <v>0</v>
          </cell>
        </row>
        <row r="823">
          <cell r="A823">
            <v>0</v>
          </cell>
          <cell r="B823">
            <v>0</v>
          </cell>
          <cell r="C823">
            <v>0</v>
          </cell>
        </row>
        <row r="824">
          <cell r="A824">
            <v>0</v>
          </cell>
          <cell r="B824">
            <v>0</v>
          </cell>
          <cell r="C824">
            <v>0</v>
          </cell>
        </row>
        <row r="825">
          <cell r="A825">
            <v>0</v>
          </cell>
          <cell r="B825">
            <v>0</v>
          </cell>
          <cell r="C825">
            <v>0</v>
          </cell>
        </row>
        <row r="826">
          <cell r="A826">
            <v>0</v>
          </cell>
          <cell r="B826">
            <v>0</v>
          </cell>
          <cell r="C826">
            <v>0</v>
          </cell>
        </row>
        <row r="827">
          <cell r="A827">
            <v>0</v>
          </cell>
          <cell r="B827">
            <v>0</v>
          </cell>
          <cell r="C827">
            <v>0</v>
          </cell>
        </row>
        <row r="828">
          <cell r="A828">
            <v>0</v>
          </cell>
          <cell r="B828">
            <v>0</v>
          </cell>
          <cell r="C828">
            <v>0</v>
          </cell>
        </row>
        <row r="829">
          <cell r="A829">
            <v>0</v>
          </cell>
          <cell r="B829">
            <v>0</v>
          </cell>
          <cell r="C829">
            <v>0</v>
          </cell>
        </row>
        <row r="830">
          <cell r="A830">
            <v>0</v>
          </cell>
          <cell r="B830">
            <v>0</v>
          </cell>
          <cell r="C830">
            <v>0</v>
          </cell>
        </row>
        <row r="831">
          <cell r="A831">
            <v>0</v>
          </cell>
          <cell r="B831">
            <v>0</v>
          </cell>
          <cell r="C831">
            <v>0</v>
          </cell>
        </row>
        <row r="832">
          <cell r="A832">
            <v>0</v>
          </cell>
          <cell r="B832">
            <v>0</v>
          </cell>
          <cell r="C832">
            <v>0</v>
          </cell>
        </row>
        <row r="833">
          <cell r="A833">
            <v>0</v>
          </cell>
          <cell r="B833">
            <v>0</v>
          </cell>
          <cell r="C833">
            <v>0</v>
          </cell>
        </row>
        <row r="834">
          <cell r="A834">
            <v>0</v>
          </cell>
          <cell r="B834">
            <v>0</v>
          </cell>
          <cell r="C834">
            <v>0</v>
          </cell>
        </row>
        <row r="835">
          <cell r="A835">
            <v>0</v>
          </cell>
          <cell r="B835">
            <v>0</v>
          </cell>
          <cell r="C835">
            <v>0</v>
          </cell>
        </row>
        <row r="836">
          <cell r="A836">
            <v>0</v>
          </cell>
          <cell r="B836">
            <v>0</v>
          </cell>
          <cell r="C836">
            <v>0</v>
          </cell>
        </row>
        <row r="837">
          <cell r="A837">
            <v>0</v>
          </cell>
          <cell r="B837">
            <v>0</v>
          </cell>
          <cell r="C837">
            <v>0</v>
          </cell>
        </row>
        <row r="838">
          <cell r="A838">
            <v>0</v>
          </cell>
          <cell r="B838">
            <v>0</v>
          </cell>
          <cell r="C838">
            <v>0</v>
          </cell>
        </row>
        <row r="839">
          <cell r="A839">
            <v>0</v>
          </cell>
          <cell r="B839">
            <v>0</v>
          </cell>
          <cell r="C839">
            <v>0</v>
          </cell>
        </row>
        <row r="840">
          <cell r="A840">
            <v>0</v>
          </cell>
          <cell r="B840">
            <v>0</v>
          </cell>
          <cell r="C840">
            <v>0</v>
          </cell>
        </row>
        <row r="841">
          <cell r="A841">
            <v>0</v>
          </cell>
          <cell r="B841">
            <v>0</v>
          </cell>
          <cell r="C841">
            <v>0</v>
          </cell>
        </row>
        <row r="842">
          <cell r="A842">
            <v>0</v>
          </cell>
          <cell r="B842">
            <v>0</v>
          </cell>
          <cell r="C842">
            <v>0</v>
          </cell>
        </row>
        <row r="843">
          <cell r="A843">
            <v>0</v>
          </cell>
          <cell r="B843">
            <v>0</v>
          </cell>
          <cell r="C843">
            <v>0</v>
          </cell>
        </row>
        <row r="844">
          <cell r="A844">
            <v>0</v>
          </cell>
          <cell r="B844">
            <v>0</v>
          </cell>
          <cell r="C844">
            <v>0</v>
          </cell>
        </row>
        <row r="845">
          <cell r="A845">
            <v>0</v>
          </cell>
          <cell r="B845">
            <v>0</v>
          </cell>
          <cell r="C845">
            <v>0</v>
          </cell>
        </row>
        <row r="846">
          <cell r="A846">
            <v>0</v>
          </cell>
          <cell r="B846">
            <v>0</v>
          </cell>
          <cell r="C846">
            <v>0</v>
          </cell>
        </row>
        <row r="847">
          <cell r="A847">
            <v>0</v>
          </cell>
          <cell r="B847">
            <v>0</v>
          </cell>
          <cell r="C847">
            <v>0</v>
          </cell>
        </row>
        <row r="848">
          <cell r="A848">
            <v>0</v>
          </cell>
          <cell r="B848">
            <v>0</v>
          </cell>
          <cell r="C848">
            <v>0</v>
          </cell>
        </row>
        <row r="849">
          <cell r="A849">
            <v>0</v>
          </cell>
          <cell r="B849">
            <v>0</v>
          </cell>
          <cell r="C849">
            <v>0</v>
          </cell>
        </row>
        <row r="850">
          <cell r="A850">
            <v>0</v>
          </cell>
          <cell r="B850">
            <v>0</v>
          </cell>
          <cell r="C850">
            <v>0</v>
          </cell>
        </row>
        <row r="851">
          <cell r="A851">
            <v>0</v>
          </cell>
          <cell r="B851">
            <v>0</v>
          </cell>
          <cell r="C851">
            <v>0</v>
          </cell>
        </row>
        <row r="852">
          <cell r="A852">
            <v>0</v>
          </cell>
          <cell r="B852">
            <v>0</v>
          </cell>
          <cell r="C852">
            <v>0</v>
          </cell>
        </row>
        <row r="853">
          <cell r="A853">
            <v>0</v>
          </cell>
          <cell r="B853">
            <v>0</v>
          </cell>
          <cell r="C853">
            <v>0</v>
          </cell>
        </row>
        <row r="854">
          <cell r="A854">
            <v>0</v>
          </cell>
          <cell r="B854">
            <v>0</v>
          </cell>
          <cell r="C854">
            <v>0</v>
          </cell>
        </row>
        <row r="855">
          <cell r="A855">
            <v>0</v>
          </cell>
          <cell r="B855">
            <v>0</v>
          </cell>
          <cell r="C855">
            <v>0</v>
          </cell>
        </row>
        <row r="856">
          <cell r="A856">
            <v>0</v>
          </cell>
          <cell r="B856">
            <v>0</v>
          </cell>
          <cell r="C856">
            <v>0</v>
          </cell>
        </row>
        <row r="857">
          <cell r="A857">
            <v>0</v>
          </cell>
          <cell r="B857">
            <v>0</v>
          </cell>
          <cell r="C857">
            <v>0</v>
          </cell>
        </row>
        <row r="858">
          <cell r="A858">
            <v>0</v>
          </cell>
          <cell r="B858">
            <v>0</v>
          </cell>
          <cell r="C858">
            <v>0</v>
          </cell>
        </row>
        <row r="859">
          <cell r="A859">
            <v>0</v>
          </cell>
          <cell r="B859">
            <v>0</v>
          </cell>
          <cell r="C859">
            <v>0</v>
          </cell>
        </row>
        <row r="860">
          <cell r="A860">
            <v>0</v>
          </cell>
          <cell r="B860">
            <v>0</v>
          </cell>
          <cell r="C860">
            <v>0</v>
          </cell>
        </row>
        <row r="861">
          <cell r="A861">
            <v>0</v>
          </cell>
          <cell r="B861">
            <v>0</v>
          </cell>
          <cell r="C861">
            <v>0</v>
          </cell>
        </row>
        <row r="862">
          <cell r="A862">
            <v>0</v>
          </cell>
          <cell r="B862">
            <v>0</v>
          </cell>
          <cell r="C862">
            <v>0</v>
          </cell>
        </row>
        <row r="863">
          <cell r="A863">
            <v>0</v>
          </cell>
          <cell r="B863">
            <v>0</v>
          </cell>
          <cell r="C863">
            <v>0</v>
          </cell>
        </row>
        <row r="864">
          <cell r="A864">
            <v>0</v>
          </cell>
          <cell r="B864">
            <v>0</v>
          </cell>
          <cell r="C864">
            <v>0</v>
          </cell>
        </row>
        <row r="865">
          <cell r="A865">
            <v>0</v>
          </cell>
          <cell r="B865">
            <v>0</v>
          </cell>
          <cell r="C865">
            <v>0</v>
          </cell>
        </row>
        <row r="866">
          <cell r="A866">
            <v>0</v>
          </cell>
          <cell r="B866">
            <v>0</v>
          </cell>
          <cell r="C866">
            <v>0</v>
          </cell>
        </row>
        <row r="867">
          <cell r="A867">
            <v>0</v>
          </cell>
          <cell r="B867">
            <v>0</v>
          </cell>
          <cell r="C867">
            <v>0</v>
          </cell>
        </row>
        <row r="868">
          <cell r="A868">
            <v>0</v>
          </cell>
          <cell r="B868">
            <v>0</v>
          </cell>
          <cell r="C868">
            <v>0</v>
          </cell>
        </row>
        <row r="869">
          <cell r="A869">
            <v>0</v>
          </cell>
          <cell r="B869">
            <v>0</v>
          </cell>
          <cell r="C869">
            <v>0</v>
          </cell>
        </row>
        <row r="870">
          <cell r="A870">
            <v>0</v>
          </cell>
          <cell r="B870">
            <v>0</v>
          </cell>
          <cell r="C870">
            <v>0</v>
          </cell>
        </row>
        <row r="871">
          <cell r="A871">
            <v>0</v>
          </cell>
          <cell r="B871">
            <v>0</v>
          </cell>
          <cell r="C871">
            <v>0</v>
          </cell>
        </row>
        <row r="872">
          <cell r="A872">
            <v>0</v>
          </cell>
          <cell r="B872">
            <v>0</v>
          </cell>
          <cell r="C872">
            <v>0</v>
          </cell>
        </row>
        <row r="873">
          <cell r="A873">
            <v>0</v>
          </cell>
          <cell r="B873">
            <v>0</v>
          </cell>
          <cell r="C873">
            <v>0</v>
          </cell>
        </row>
        <row r="874">
          <cell r="A874">
            <v>0</v>
          </cell>
          <cell r="B874">
            <v>0</v>
          </cell>
          <cell r="C874">
            <v>0</v>
          </cell>
        </row>
        <row r="875">
          <cell r="A875">
            <v>0</v>
          </cell>
          <cell r="B875">
            <v>0</v>
          </cell>
          <cell r="C875">
            <v>0</v>
          </cell>
        </row>
        <row r="876">
          <cell r="A876">
            <v>0</v>
          </cell>
          <cell r="B876">
            <v>0</v>
          </cell>
          <cell r="C876">
            <v>0</v>
          </cell>
        </row>
        <row r="877">
          <cell r="A877">
            <v>0</v>
          </cell>
          <cell r="B877">
            <v>0</v>
          </cell>
          <cell r="C877">
            <v>0</v>
          </cell>
        </row>
        <row r="878">
          <cell r="A878">
            <v>0</v>
          </cell>
          <cell r="B878">
            <v>0</v>
          </cell>
          <cell r="C878">
            <v>0</v>
          </cell>
        </row>
        <row r="879">
          <cell r="A879">
            <v>0</v>
          </cell>
          <cell r="B879">
            <v>0</v>
          </cell>
          <cell r="C879">
            <v>0</v>
          </cell>
        </row>
        <row r="880">
          <cell r="A880">
            <v>0</v>
          </cell>
          <cell r="B880">
            <v>0</v>
          </cell>
          <cell r="C880">
            <v>0</v>
          </cell>
        </row>
        <row r="881">
          <cell r="A881">
            <v>0</v>
          </cell>
          <cell r="B881">
            <v>0</v>
          </cell>
          <cell r="C881">
            <v>0</v>
          </cell>
        </row>
        <row r="882">
          <cell r="A882">
            <v>0</v>
          </cell>
          <cell r="B882">
            <v>0</v>
          </cell>
          <cell r="C882">
            <v>0</v>
          </cell>
        </row>
        <row r="883">
          <cell r="A883">
            <v>0</v>
          </cell>
          <cell r="B883">
            <v>0</v>
          </cell>
          <cell r="C883">
            <v>0</v>
          </cell>
        </row>
        <row r="884">
          <cell r="A884">
            <v>0</v>
          </cell>
          <cell r="B884">
            <v>0</v>
          </cell>
          <cell r="C884">
            <v>0</v>
          </cell>
        </row>
        <row r="885">
          <cell r="A885">
            <v>0</v>
          </cell>
          <cell r="B885">
            <v>0</v>
          </cell>
          <cell r="C885">
            <v>0</v>
          </cell>
        </row>
        <row r="886">
          <cell r="A886">
            <v>0</v>
          </cell>
          <cell r="B886">
            <v>0</v>
          </cell>
          <cell r="C886">
            <v>0</v>
          </cell>
        </row>
        <row r="887">
          <cell r="A887">
            <v>0</v>
          </cell>
          <cell r="B887">
            <v>0</v>
          </cell>
          <cell r="C887">
            <v>0</v>
          </cell>
        </row>
        <row r="888">
          <cell r="A888">
            <v>0</v>
          </cell>
          <cell r="B888">
            <v>0</v>
          </cell>
          <cell r="C888">
            <v>0</v>
          </cell>
        </row>
        <row r="889">
          <cell r="A889">
            <v>0</v>
          </cell>
          <cell r="B889">
            <v>0</v>
          </cell>
          <cell r="C889">
            <v>0</v>
          </cell>
        </row>
        <row r="890">
          <cell r="A890">
            <v>0</v>
          </cell>
          <cell r="B890">
            <v>0</v>
          </cell>
          <cell r="C890">
            <v>0</v>
          </cell>
        </row>
        <row r="891">
          <cell r="A891">
            <v>0</v>
          </cell>
          <cell r="B891">
            <v>0</v>
          </cell>
          <cell r="C891">
            <v>0</v>
          </cell>
        </row>
        <row r="892">
          <cell r="A892">
            <v>0</v>
          </cell>
          <cell r="B892">
            <v>0</v>
          </cell>
          <cell r="C892">
            <v>0</v>
          </cell>
        </row>
        <row r="893">
          <cell r="A893">
            <v>0</v>
          </cell>
          <cell r="B893">
            <v>0</v>
          </cell>
          <cell r="C893">
            <v>0</v>
          </cell>
        </row>
        <row r="894">
          <cell r="A894">
            <v>0</v>
          </cell>
          <cell r="B894">
            <v>0</v>
          </cell>
          <cell r="C894">
            <v>0</v>
          </cell>
        </row>
        <row r="895">
          <cell r="A895">
            <v>0</v>
          </cell>
          <cell r="B895">
            <v>0</v>
          </cell>
          <cell r="C895">
            <v>0</v>
          </cell>
        </row>
        <row r="896">
          <cell r="A896">
            <v>0</v>
          </cell>
          <cell r="B896">
            <v>0</v>
          </cell>
          <cell r="C896">
            <v>0</v>
          </cell>
        </row>
        <row r="897">
          <cell r="A897">
            <v>0</v>
          </cell>
          <cell r="B897">
            <v>0</v>
          </cell>
          <cell r="C897">
            <v>0</v>
          </cell>
        </row>
        <row r="898">
          <cell r="A898">
            <v>0</v>
          </cell>
          <cell r="B898">
            <v>0</v>
          </cell>
          <cell r="C898">
            <v>0</v>
          </cell>
        </row>
        <row r="899">
          <cell r="A899">
            <v>0</v>
          </cell>
          <cell r="B899">
            <v>0</v>
          </cell>
          <cell r="C899">
            <v>0</v>
          </cell>
        </row>
        <row r="900">
          <cell r="A900">
            <v>0</v>
          </cell>
          <cell r="B900">
            <v>0</v>
          </cell>
          <cell r="C900">
            <v>0</v>
          </cell>
        </row>
        <row r="901">
          <cell r="A901">
            <v>0</v>
          </cell>
          <cell r="B901">
            <v>0</v>
          </cell>
          <cell r="C901">
            <v>0</v>
          </cell>
        </row>
        <row r="902">
          <cell r="A902">
            <v>0</v>
          </cell>
          <cell r="B902">
            <v>0</v>
          </cell>
          <cell r="C902">
            <v>0</v>
          </cell>
        </row>
        <row r="903">
          <cell r="A903">
            <v>0</v>
          </cell>
          <cell r="B903">
            <v>0</v>
          </cell>
          <cell r="C903">
            <v>0</v>
          </cell>
        </row>
        <row r="904">
          <cell r="A904">
            <v>0</v>
          </cell>
          <cell r="B904">
            <v>0</v>
          </cell>
          <cell r="C904">
            <v>0</v>
          </cell>
        </row>
        <row r="905">
          <cell r="A905">
            <v>0</v>
          </cell>
          <cell r="B905">
            <v>0</v>
          </cell>
          <cell r="C905">
            <v>0</v>
          </cell>
        </row>
        <row r="906">
          <cell r="A906">
            <v>0</v>
          </cell>
          <cell r="B906">
            <v>0</v>
          </cell>
          <cell r="C906">
            <v>0</v>
          </cell>
        </row>
        <row r="907">
          <cell r="A907">
            <v>0</v>
          </cell>
          <cell r="B907">
            <v>0</v>
          </cell>
          <cell r="C907">
            <v>0</v>
          </cell>
        </row>
        <row r="908">
          <cell r="A908">
            <v>0</v>
          </cell>
          <cell r="B908">
            <v>0</v>
          </cell>
          <cell r="C908">
            <v>0</v>
          </cell>
        </row>
        <row r="909">
          <cell r="A909">
            <v>0</v>
          </cell>
          <cell r="B909">
            <v>0</v>
          </cell>
          <cell r="C909">
            <v>0</v>
          </cell>
        </row>
        <row r="910">
          <cell r="A910">
            <v>0</v>
          </cell>
          <cell r="B910">
            <v>0</v>
          </cell>
          <cell r="C910">
            <v>0</v>
          </cell>
        </row>
        <row r="911">
          <cell r="A911">
            <v>0</v>
          </cell>
          <cell r="B911">
            <v>0</v>
          </cell>
          <cell r="C911">
            <v>0</v>
          </cell>
        </row>
        <row r="912">
          <cell r="A912">
            <v>0</v>
          </cell>
          <cell r="B912">
            <v>0</v>
          </cell>
          <cell r="C912">
            <v>0</v>
          </cell>
        </row>
        <row r="913">
          <cell r="A913">
            <v>0</v>
          </cell>
          <cell r="B913">
            <v>0</v>
          </cell>
          <cell r="C913">
            <v>0</v>
          </cell>
        </row>
        <row r="914">
          <cell r="A914">
            <v>0</v>
          </cell>
          <cell r="B914">
            <v>0</v>
          </cell>
          <cell r="C914">
            <v>0</v>
          </cell>
        </row>
        <row r="915">
          <cell r="A915">
            <v>0</v>
          </cell>
          <cell r="B915">
            <v>0</v>
          </cell>
          <cell r="C915">
            <v>0</v>
          </cell>
        </row>
        <row r="916">
          <cell r="A916">
            <v>0</v>
          </cell>
          <cell r="B916">
            <v>0</v>
          </cell>
          <cell r="C916">
            <v>0</v>
          </cell>
        </row>
        <row r="917">
          <cell r="A917">
            <v>0</v>
          </cell>
          <cell r="B917">
            <v>0</v>
          </cell>
          <cell r="C917">
            <v>0</v>
          </cell>
        </row>
        <row r="918">
          <cell r="A918">
            <v>0</v>
          </cell>
          <cell r="B918">
            <v>0</v>
          </cell>
          <cell r="C918">
            <v>0</v>
          </cell>
        </row>
        <row r="919">
          <cell r="A919">
            <v>0</v>
          </cell>
          <cell r="B919">
            <v>0</v>
          </cell>
          <cell r="C919">
            <v>0</v>
          </cell>
        </row>
        <row r="920">
          <cell r="A920">
            <v>0</v>
          </cell>
          <cell r="B920">
            <v>0</v>
          </cell>
          <cell r="C920">
            <v>0</v>
          </cell>
        </row>
        <row r="921">
          <cell r="A921">
            <v>0</v>
          </cell>
          <cell r="B921">
            <v>0</v>
          </cell>
          <cell r="C921">
            <v>0</v>
          </cell>
        </row>
        <row r="922">
          <cell r="A922">
            <v>0</v>
          </cell>
          <cell r="B922">
            <v>0</v>
          </cell>
          <cell r="C922">
            <v>0</v>
          </cell>
        </row>
        <row r="923">
          <cell r="A923">
            <v>0</v>
          </cell>
          <cell r="B923">
            <v>0</v>
          </cell>
          <cell r="C923">
            <v>0</v>
          </cell>
        </row>
        <row r="924">
          <cell r="A924">
            <v>0</v>
          </cell>
          <cell r="B924">
            <v>0</v>
          </cell>
          <cell r="C924">
            <v>0</v>
          </cell>
        </row>
        <row r="925">
          <cell r="A925">
            <v>0</v>
          </cell>
          <cell r="B925">
            <v>0</v>
          </cell>
          <cell r="C925">
            <v>0</v>
          </cell>
        </row>
        <row r="926">
          <cell r="A926">
            <v>0</v>
          </cell>
          <cell r="B926">
            <v>0</v>
          </cell>
          <cell r="C926">
            <v>0</v>
          </cell>
        </row>
        <row r="927">
          <cell r="A927">
            <v>0</v>
          </cell>
          <cell r="B927">
            <v>0</v>
          </cell>
          <cell r="C927">
            <v>0</v>
          </cell>
        </row>
        <row r="928">
          <cell r="A928">
            <v>0</v>
          </cell>
          <cell r="B928">
            <v>0</v>
          </cell>
          <cell r="C928">
            <v>0</v>
          </cell>
        </row>
        <row r="929">
          <cell r="A929">
            <v>0</v>
          </cell>
          <cell r="B929">
            <v>0</v>
          </cell>
          <cell r="C929">
            <v>0</v>
          </cell>
        </row>
        <row r="930">
          <cell r="A930">
            <v>0</v>
          </cell>
          <cell r="B930">
            <v>0</v>
          </cell>
          <cell r="C930">
            <v>0</v>
          </cell>
        </row>
        <row r="931">
          <cell r="A931">
            <v>0</v>
          </cell>
          <cell r="B931">
            <v>0</v>
          </cell>
          <cell r="C931">
            <v>0</v>
          </cell>
        </row>
        <row r="932">
          <cell r="A932">
            <v>0</v>
          </cell>
          <cell r="B932">
            <v>0</v>
          </cell>
          <cell r="C932">
            <v>0</v>
          </cell>
        </row>
        <row r="933">
          <cell r="A933">
            <v>0</v>
          </cell>
          <cell r="B933">
            <v>0</v>
          </cell>
          <cell r="C933">
            <v>0</v>
          </cell>
        </row>
        <row r="934">
          <cell r="A934">
            <v>0</v>
          </cell>
          <cell r="B934">
            <v>0</v>
          </cell>
          <cell r="C934">
            <v>0</v>
          </cell>
        </row>
        <row r="935">
          <cell r="A935">
            <v>0</v>
          </cell>
          <cell r="B935">
            <v>0</v>
          </cell>
          <cell r="C935">
            <v>0</v>
          </cell>
        </row>
        <row r="936">
          <cell r="A936">
            <v>0</v>
          </cell>
          <cell r="B936">
            <v>0</v>
          </cell>
          <cell r="C936">
            <v>0</v>
          </cell>
        </row>
        <row r="937">
          <cell r="A937">
            <v>0</v>
          </cell>
          <cell r="B937">
            <v>0</v>
          </cell>
          <cell r="C937">
            <v>0</v>
          </cell>
        </row>
        <row r="938">
          <cell r="A938">
            <v>0</v>
          </cell>
          <cell r="B938">
            <v>0</v>
          </cell>
          <cell r="C938">
            <v>0</v>
          </cell>
        </row>
        <row r="939">
          <cell r="A939">
            <v>0</v>
          </cell>
          <cell r="B939">
            <v>0</v>
          </cell>
          <cell r="C939">
            <v>0</v>
          </cell>
        </row>
        <row r="940">
          <cell r="A940">
            <v>0</v>
          </cell>
          <cell r="B940">
            <v>0</v>
          </cell>
          <cell r="C940">
            <v>0</v>
          </cell>
        </row>
        <row r="941">
          <cell r="A941">
            <v>0</v>
          </cell>
          <cell r="B941">
            <v>0</v>
          </cell>
          <cell r="C941">
            <v>0</v>
          </cell>
        </row>
        <row r="942">
          <cell r="A942">
            <v>0</v>
          </cell>
          <cell r="B942">
            <v>0</v>
          </cell>
          <cell r="C942">
            <v>0</v>
          </cell>
        </row>
        <row r="943">
          <cell r="A943">
            <v>0</v>
          </cell>
          <cell r="B943">
            <v>0</v>
          </cell>
          <cell r="C943">
            <v>0</v>
          </cell>
        </row>
        <row r="944">
          <cell r="A944">
            <v>0</v>
          </cell>
          <cell r="B944">
            <v>0</v>
          </cell>
          <cell r="C944">
            <v>0</v>
          </cell>
        </row>
        <row r="945">
          <cell r="A945">
            <v>0</v>
          </cell>
          <cell r="B945">
            <v>0</v>
          </cell>
          <cell r="C945">
            <v>0</v>
          </cell>
        </row>
        <row r="946">
          <cell r="A946">
            <v>0</v>
          </cell>
          <cell r="B946">
            <v>0</v>
          </cell>
          <cell r="C946">
            <v>0</v>
          </cell>
        </row>
        <row r="947">
          <cell r="A947">
            <v>0</v>
          </cell>
          <cell r="B947">
            <v>0</v>
          </cell>
          <cell r="C947">
            <v>0</v>
          </cell>
        </row>
        <row r="948">
          <cell r="A948">
            <v>0</v>
          </cell>
          <cell r="B948">
            <v>0</v>
          </cell>
          <cell r="C948">
            <v>0</v>
          </cell>
        </row>
        <row r="949">
          <cell r="A949">
            <v>0</v>
          </cell>
          <cell r="B949">
            <v>0</v>
          </cell>
          <cell r="C949">
            <v>0</v>
          </cell>
        </row>
        <row r="950">
          <cell r="A950">
            <v>0</v>
          </cell>
          <cell r="B950">
            <v>0</v>
          </cell>
          <cell r="C950">
            <v>0</v>
          </cell>
        </row>
        <row r="951">
          <cell r="A951">
            <v>0</v>
          </cell>
          <cell r="B951">
            <v>0</v>
          </cell>
          <cell r="C951">
            <v>0</v>
          </cell>
        </row>
        <row r="952">
          <cell r="A952">
            <v>0</v>
          </cell>
          <cell r="B952">
            <v>0</v>
          </cell>
          <cell r="C952">
            <v>0</v>
          </cell>
        </row>
        <row r="953">
          <cell r="A953">
            <v>0</v>
          </cell>
          <cell r="B953">
            <v>0</v>
          </cell>
          <cell r="C953">
            <v>0</v>
          </cell>
        </row>
        <row r="954">
          <cell r="A954">
            <v>0</v>
          </cell>
          <cell r="B954">
            <v>0</v>
          </cell>
          <cell r="C954">
            <v>0</v>
          </cell>
        </row>
        <row r="955">
          <cell r="A955">
            <v>0</v>
          </cell>
          <cell r="B955">
            <v>0</v>
          </cell>
          <cell r="C955">
            <v>0</v>
          </cell>
        </row>
        <row r="956">
          <cell r="A956">
            <v>0</v>
          </cell>
          <cell r="B956">
            <v>0</v>
          </cell>
          <cell r="C956">
            <v>0</v>
          </cell>
        </row>
        <row r="957">
          <cell r="A957">
            <v>0</v>
          </cell>
          <cell r="B957">
            <v>0</v>
          </cell>
          <cell r="C957">
            <v>0</v>
          </cell>
        </row>
        <row r="958">
          <cell r="A958">
            <v>0</v>
          </cell>
          <cell r="B958">
            <v>0</v>
          </cell>
          <cell r="C958">
            <v>0</v>
          </cell>
        </row>
        <row r="959">
          <cell r="A959">
            <v>0</v>
          </cell>
          <cell r="B959">
            <v>0</v>
          </cell>
          <cell r="C959">
            <v>0</v>
          </cell>
        </row>
        <row r="960">
          <cell r="A960">
            <v>0</v>
          </cell>
          <cell r="B960">
            <v>0</v>
          </cell>
          <cell r="C960">
            <v>0</v>
          </cell>
        </row>
        <row r="961">
          <cell r="A961">
            <v>0</v>
          </cell>
          <cell r="B961">
            <v>0</v>
          </cell>
          <cell r="C961">
            <v>0</v>
          </cell>
        </row>
        <row r="962">
          <cell r="A962">
            <v>0</v>
          </cell>
          <cell r="B962">
            <v>0</v>
          </cell>
          <cell r="C962">
            <v>0</v>
          </cell>
        </row>
        <row r="963">
          <cell r="A963">
            <v>0</v>
          </cell>
          <cell r="B963">
            <v>0</v>
          </cell>
          <cell r="C963">
            <v>0</v>
          </cell>
        </row>
        <row r="964">
          <cell r="A964">
            <v>0</v>
          </cell>
          <cell r="B964">
            <v>0</v>
          </cell>
          <cell r="C964">
            <v>0</v>
          </cell>
        </row>
        <row r="965">
          <cell r="A965">
            <v>0</v>
          </cell>
          <cell r="B965">
            <v>0</v>
          </cell>
          <cell r="C965">
            <v>0</v>
          </cell>
        </row>
        <row r="966">
          <cell r="A966">
            <v>0</v>
          </cell>
          <cell r="B966">
            <v>0</v>
          </cell>
          <cell r="C966">
            <v>0</v>
          </cell>
        </row>
        <row r="967">
          <cell r="A967">
            <v>0</v>
          </cell>
          <cell r="B967">
            <v>0</v>
          </cell>
          <cell r="C967">
            <v>0</v>
          </cell>
        </row>
        <row r="968">
          <cell r="A968">
            <v>0</v>
          </cell>
          <cell r="B968">
            <v>0</v>
          </cell>
          <cell r="C968">
            <v>0</v>
          </cell>
        </row>
        <row r="969">
          <cell r="A969">
            <v>0</v>
          </cell>
          <cell r="B969">
            <v>0</v>
          </cell>
          <cell r="C969">
            <v>0</v>
          </cell>
        </row>
        <row r="970">
          <cell r="A970">
            <v>0</v>
          </cell>
          <cell r="B970">
            <v>0</v>
          </cell>
          <cell r="C970">
            <v>0</v>
          </cell>
        </row>
        <row r="971">
          <cell r="A971">
            <v>0</v>
          </cell>
          <cell r="B971">
            <v>0</v>
          </cell>
          <cell r="C971">
            <v>0</v>
          </cell>
        </row>
        <row r="972">
          <cell r="A972">
            <v>0</v>
          </cell>
          <cell r="B972">
            <v>0</v>
          </cell>
          <cell r="C972">
            <v>0</v>
          </cell>
        </row>
        <row r="973">
          <cell r="A973">
            <v>0</v>
          </cell>
          <cell r="B973">
            <v>0</v>
          </cell>
          <cell r="C973">
            <v>0</v>
          </cell>
        </row>
        <row r="974">
          <cell r="A974">
            <v>0</v>
          </cell>
          <cell r="B974">
            <v>0</v>
          </cell>
          <cell r="C974">
            <v>0</v>
          </cell>
        </row>
        <row r="975">
          <cell r="A975">
            <v>0</v>
          </cell>
          <cell r="B975">
            <v>0</v>
          </cell>
          <cell r="C975">
            <v>0</v>
          </cell>
        </row>
        <row r="976">
          <cell r="A976">
            <v>0</v>
          </cell>
          <cell r="B976">
            <v>0</v>
          </cell>
          <cell r="C976">
            <v>0</v>
          </cell>
        </row>
        <row r="977">
          <cell r="A977">
            <v>0</v>
          </cell>
          <cell r="B977">
            <v>0</v>
          </cell>
          <cell r="C977">
            <v>0</v>
          </cell>
        </row>
        <row r="978">
          <cell r="A978">
            <v>0</v>
          </cell>
          <cell r="B978">
            <v>0</v>
          </cell>
          <cell r="C978">
            <v>0</v>
          </cell>
        </row>
        <row r="979">
          <cell r="A979">
            <v>0</v>
          </cell>
          <cell r="B979">
            <v>0</v>
          </cell>
          <cell r="C979">
            <v>0</v>
          </cell>
        </row>
        <row r="980">
          <cell r="A980">
            <v>0</v>
          </cell>
          <cell r="B980">
            <v>0</v>
          </cell>
          <cell r="C980">
            <v>0</v>
          </cell>
        </row>
        <row r="981">
          <cell r="A981">
            <v>0</v>
          </cell>
          <cell r="B981">
            <v>0</v>
          </cell>
          <cell r="C981">
            <v>0</v>
          </cell>
        </row>
        <row r="982">
          <cell r="A982">
            <v>0</v>
          </cell>
          <cell r="B982">
            <v>0</v>
          </cell>
          <cell r="C982">
            <v>0</v>
          </cell>
        </row>
        <row r="983">
          <cell r="A983">
            <v>0</v>
          </cell>
          <cell r="B983">
            <v>0</v>
          </cell>
          <cell r="C983">
            <v>0</v>
          </cell>
        </row>
        <row r="984">
          <cell r="A984">
            <v>0</v>
          </cell>
          <cell r="B984">
            <v>0</v>
          </cell>
          <cell r="C984">
            <v>0</v>
          </cell>
        </row>
        <row r="985">
          <cell r="A985">
            <v>0</v>
          </cell>
          <cell r="B985">
            <v>0</v>
          </cell>
          <cell r="C985">
            <v>0</v>
          </cell>
        </row>
        <row r="986">
          <cell r="A986">
            <v>0</v>
          </cell>
          <cell r="B986">
            <v>0</v>
          </cell>
          <cell r="C986">
            <v>0</v>
          </cell>
        </row>
        <row r="987">
          <cell r="A987">
            <v>0</v>
          </cell>
          <cell r="B987">
            <v>0</v>
          </cell>
          <cell r="C987">
            <v>0</v>
          </cell>
        </row>
        <row r="988">
          <cell r="A988">
            <v>0</v>
          </cell>
          <cell r="B988">
            <v>0</v>
          </cell>
          <cell r="C988">
            <v>0</v>
          </cell>
        </row>
        <row r="989">
          <cell r="A989">
            <v>0</v>
          </cell>
          <cell r="B989">
            <v>0</v>
          </cell>
          <cell r="C989">
            <v>0</v>
          </cell>
        </row>
        <row r="990">
          <cell r="A990">
            <v>0</v>
          </cell>
          <cell r="B990">
            <v>0</v>
          </cell>
          <cell r="C990">
            <v>0</v>
          </cell>
        </row>
        <row r="991">
          <cell r="A991">
            <v>0</v>
          </cell>
          <cell r="B991">
            <v>0</v>
          </cell>
          <cell r="C991">
            <v>0</v>
          </cell>
        </row>
        <row r="992">
          <cell r="A992">
            <v>0</v>
          </cell>
          <cell r="B992">
            <v>0</v>
          </cell>
          <cell r="C992">
            <v>0</v>
          </cell>
        </row>
        <row r="993">
          <cell r="A993">
            <v>0</v>
          </cell>
          <cell r="B993">
            <v>0</v>
          </cell>
          <cell r="C993">
            <v>0</v>
          </cell>
        </row>
        <row r="994">
          <cell r="A994">
            <v>0</v>
          </cell>
          <cell r="B994">
            <v>0</v>
          </cell>
          <cell r="C994">
            <v>0</v>
          </cell>
        </row>
        <row r="995">
          <cell r="A995">
            <v>0</v>
          </cell>
          <cell r="B995">
            <v>0</v>
          </cell>
          <cell r="C995">
            <v>0</v>
          </cell>
        </row>
        <row r="996">
          <cell r="A996">
            <v>0</v>
          </cell>
          <cell r="B996">
            <v>0</v>
          </cell>
          <cell r="C996">
            <v>0</v>
          </cell>
        </row>
        <row r="997">
          <cell r="A997">
            <v>0</v>
          </cell>
          <cell r="B997">
            <v>0</v>
          </cell>
          <cell r="C997">
            <v>0</v>
          </cell>
        </row>
        <row r="998">
          <cell r="A998">
            <v>0</v>
          </cell>
          <cell r="B998">
            <v>0</v>
          </cell>
          <cell r="C998">
            <v>0</v>
          </cell>
        </row>
        <row r="999">
          <cell r="A999">
            <v>0</v>
          </cell>
          <cell r="B999">
            <v>0</v>
          </cell>
          <cell r="C999">
            <v>0</v>
          </cell>
        </row>
        <row r="1000">
          <cell r="A1000">
            <v>0</v>
          </cell>
          <cell r="B1000">
            <v>0</v>
          </cell>
          <cell r="C1000">
            <v>0</v>
          </cell>
        </row>
        <row r="1001">
          <cell r="A1001">
            <v>0</v>
          </cell>
          <cell r="B1001">
            <v>0</v>
          </cell>
          <cell r="C1001">
            <v>0</v>
          </cell>
        </row>
        <row r="1002">
          <cell r="A1002">
            <v>0</v>
          </cell>
          <cell r="B1002">
            <v>0</v>
          </cell>
          <cell r="C1002">
            <v>0</v>
          </cell>
        </row>
        <row r="1003">
          <cell r="A1003">
            <v>0</v>
          </cell>
          <cell r="B1003">
            <v>0</v>
          </cell>
          <cell r="C1003">
            <v>0</v>
          </cell>
        </row>
        <row r="1004">
          <cell r="A1004">
            <v>0</v>
          </cell>
          <cell r="B1004">
            <v>0</v>
          </cell>
          <cell r="C1004">
            <v>0</v>
          </cell>
        </row>
        <row r="1005">
          <cell r="A1005">
            <v>0</v>
          </cell>
          <cell r="B1005">
            <v>0</v>
          </cell>
          <cell r="C1005">
            <v>0</v>
          </cell>
        </row>
        <row r="1006">
          <cell r="A1006">
            <v>0</v>
          </cell>
          <cell r="B1006">
            <v>0</v>
          </cell>
          <cell r="C1006">
            <v>0</v>
          </cell>
        </row>
        <row r="1007">
          <cell r="A1007">
            <v>0</v>
          </cell>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1">
          <cell r="A1011">
            <v>0</v>
          </cell>
          <cell r="B1011">
            <v>0</v>
          </cell>
          <cell r="C1011">
            <v>0</v>
          </cell>
        </row>
        <row r="1012">
          <cell r="A1012">
            <v>0</v>
          </cell>
          <cell r="B1012">
            <v>0</v>
          </cell>
          <cell r="C1012">
            <v>0</v>
          </cell>
        </row>
        <row r="1013">
          <cell r="A1013">
            <v>0</v>
          </cell>
          <cell r="B1013">
            <v>0</v>
          </cell>
          <cell r="C1013">
            <v>0</v>
          </cell>
        </row>
        <row r="1014">
          <cell r="A1014">
            <v>0</v>
          </cell>
          <cell r="B1014">
            <v>0</v>
          </cell>
          <cell r="C1014">
            <v>0</v>
          </cell>
        </row>
        <row r="1015">
          <cell r="A1015">
            <v>0</v>
          </cell>
          <cell r="B1015">
            <v>0</v>
          </cell>
          <cell r="C1015">
            <v>0</v>
          </cell>
        </row>
        <row r="1016">
          <cell r="A1016">
            <v>0</v>
          </cell>
          <cell r="B1016">
            <v>0</v>
          </cell>
          <cell r="C1016">
            <v>0</v>
          </cell>
        </row>
        <row r="1017">
          <cell r="A1017">
            <v>0</v>
          </cell>
          <cell r="B1017">
            <v>0</v>
          </cell>
          <cell r="C1017">
            <v>0</v>
          </cell>
        </row>
        <row r="1018">
          <cell r="A1018">
            <v>0</v>
          </cell>
          <cell r="B1018">
            <v>0</v>
          </cell>
          <cell r="C1018">
            <v>0</v>
          </cell>
        </row>
        <row r="1019">
          <cell r="A1019">
            <v>0</v>
          </cell>
          <cell r="B1019">
            <v>0</v>
          </cell>
          <cell r="C1019">
            <v>0</v>
          </cell>
        </row>
        <row r="1020">
          <cell r="A1020">
            <v>0</v>
          </cell>
          <cell r="B1020">
            <v>0</v>
          </cell>
          <cell r="C1020">
            <v>0</v>
          </cell>
        </row>
        <row r="1021">
          <cell r="A1021">
            <v>0</v>
          </cell>
          <cell r="B1021">
            <v>0</v>
          </cell>
          <cell r="C1021">
            <v>0</v>
          </cell>
        </row>
        <row r="1022">
          <cell r="A1022">
            <v>0</v>
          </cell>
          <cell r="B1022">
            <v>0</v>
          </cell>
          <cell r="C1022">
            <v>0</v>
          </cell>
        </row>
        <row r="1023">
          <cell r="A1023">
            <v>0</v>
          </cell>
          <cell r="B1023">
            <v>0</v>
          </cell>
          <cell r="C1023">
            <v>0</v>
          </cell>
        </row>
        <row r="1024">
          <cell r="A1024">
            <v>0</v>
          </cell>
          <cell r="B1024">
            <v>0</v>
          </cell>
          <cell r="C1024">
            <v>0</v>
          </cell>
        </row>
        <row r="1025">
          <cell r="A1025">
            <v>0</v>
          </cell>
          <cell r="B1025">
            <v>0</v>
          </cell>
          <cell r="C1025">
            <v>0</v>
          </cell>
        </row>
        <row r="1026">
          <cell r="A1026">
            <v>0</v>
          </cell>
          <cell r="B1026">
            <v>0</v>
          </cell>
          <cell r="C1026">
            <v>0</v>
          </cell>
        </row>
        <row r="1027">
          <cell r="A1027">
            <v>0</v>
          </cell>
          <cell r="B1027">
            <v>0</v>
          </cell>
          <cell r="C1027">
            <v>0</v>
          </cell>
        </row>
        <row r="1028">
          <cell r="A1028">
            <v>0</v>
          </cell>
          <cell r="B1028">
            <v>0</v>
          </cell>
          <cell r="C1028">
            <v>0</v>
          </cell>
        </row>
        <row r="1029">
          <cell r="A1029">
            <v>0</v>
          </cell>
          <cell r="B1029">
            <v>0</v>
          </cell>
          <cell r="C1029">
            <v>0</v>
          </cell>
        </row>
        <row r="1030">
          <cell r="A1030">
            <v>0</v>
          </cell>
          <cell r="B1030">
            <v>0</v>
          </cell>
          <cell r="C1030">
            <v>0</v>
          </cell>
        </row>
        <row r="1031">
          <cell r="A1031">
            <v>0</v>
          </cell>
          <cell r="B1031">
            <v>0</v>
          </cell>
          <cell r="C1031">
            <v>0</v>
          </cell>
        </row>
        <row r="1032">
          <cell r="A1032">
            <v>0</v>
          </cell>
          <cell r="B1032">
            <v>0</v>
          </cell>
          <cell r="C1032">
            <v>0</v>
          </cell>
        </row>
        <row r="1033">
          <cell r="A1033">
            <v>0</v>
          </cell>
          <cell r="B1033">
            <v>0</v>
          </cell>
          <cell r="C1033">
            <v>0</v>
          </cell>
        </row>
        <row r="1034">
          <cell r="A1034">
            <v>0</v>
          </cell>
          <cell r="B1034">
            <v>0</v>
          </cell>
          <cell r="C1034">
            <v>0</v>
          </cell>
        </row>
        <row r="1035">
          <cell r="A1035">
            <v>0</v>
          </cell>
          <cell r="B1035">
            <v>0</v>
          </cell>
          <cell r="C1035">
            <v>0</v>
          </cell>
        </row>
        <row r="1036">
          <cell r="A1036">
            <v>0</v>
          </cell>
          <cell r="B1036">
            <v>0</v>
          </cell>
          <cell r="C1036">
            <v>0</v>
          </cell>
        </row>
        <row r="1037">
          <cell r="A1037">
            <v>0</v>
          </cell>
          <cell r="B1037">
            <v>0</v>
          </cell>
          <cell r="C1037">
            <v>0</v>
          </cell>
        </row>
        <row r="1038">
          <cell r="A1038">
            <v>0</v>
          </cell>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2">
          <cell r="A1042">
            <v>0</v>
          </cell>
          <cell r="B1042">
            <v>0</v>
          </cell>
          <cell r="C1042">
            <v>0</v>
          </cell>
        </row>
        <row r="1043">
          <cell r="A1043">
            <v>0</v>
          </cell>
          <cell r="B1043">
            <v>0</v>
          </cell>
          <cell r="C1043">
            <v>0</v>
          </cell>
        </row>
        <row r="1044">
          <cell r="A1044">
            <v>0</v>
          </cell>
          <cell r="B1044">
            <v>0</v>
          </cell>
          <cell r="C1044">
            <v>0</v>
          </cell>
        </row>
        <row r="1045">
          <cell r="A1045">
            <v>0</v>
          </cell>
          <cell r="B1045">
            <v>0</v>
          </cell>
          <cell r="C1045">
            <v>0</v>
          </cell>
        </row>
        <row r="1046">
          <cell r="A1046">
            <v>0</v>
          </cell>
          <cell r="B1046">
            <v>0</v>
          </cell>
          <cell r="C1046">
            <v>0</v>
          </cell>
        </row>
        <row r="1047">
          <cell r="A1047">
            <v>0</v>
          </cell>
          <cell r="B1047">
            <v>0</v>
          </cell>
          <cell r="C1047">
            <v>0</v>
          </cell>
        </row>
        <row r="1048">
          <cell r="A1048">
            <v>0</v>
          </cell>
          <cell r="B1048">
            <v>0</v>
          </cell>
          <cell r="C1048">
            <v>0</v>
          </cell>
        </row>
        <row r="1049">
          <cell r="A1049">
            <v>0</v>
          </cell>
          <cell r="B1049">
            <v>0</v>
          </cell>
          <cell r="C1049">
            <v>0</v>
          </cell>
        </row>
        <row r="1050">
          <cell r="A1050">
            <v>0</v>
          </cell>
          <cell r="B1050">
            <v>0</v>
          </cell>
          <cell r="C1050">
            <v>0</v>
          </cell>
        </row>
        <row r="1051">
          <cell r="A1051">
            <v>0</v>
          </cell>
          <cell r="B1051">
            <v>0</v>
          </cell>
          <cell r="C1051">
            <v>0</v>
          </cell>
        </row>
        <row r="1052">
          <cell r="A1052">
            <v>0</v>
          </cell>
          <cell r="B1052">
            <v>0</v>
          </cell>
          <cell r="C1052">
            <v>0</v>
          </cell>
        </row>
        <row r="1053">
          <cell r="A1053">
            <v>0</v>
          </cell>
          <cell r="B1053">
            <v>0</v>
          </cell>
          <cell r="C1053">
            <v>0</v>
          </cell>
        </row>
        <row r="1054">
          <cell r="A1054">
            <v>0</v>
          </cell>
          <cell r="B1054">
            <v>0</v>
          </cell>
          <cell r="C1054">
            <v>0</v>
          </cell>
        </row>
        <row r="1055">
          <cell r="A1055">
            <v>0</v>
          </cell>
          <cell r="B1055">
            <v>0</v>
          </cell>
          <cell r="C1055">
            <v>0</v>
          </cell>
        </row>
        <row r="1056">
          <cell r="A1056">
            <v>0</v>
          </cell>
          <cell r="B1056">
            <v>0</v>
          </cell>
          <cell r="C1056">
            <v>0</v>
          </cell>
        </row>
        <row r="1057">
          <cell r="A1057">
            <v>0</v>
          </cell>
          <cell r="B1057">
            <v>0</v>
          </cell>
          <cell r="C1057">
            <v>0</v>
          </cell>
        </row>
        <row r="1058">
          <cell r="A1058">
            <v>0</v>
          </cell>
          <cell r="B1058">
            <v>0</v>
          </cell>
          <cell r="C1058">
            <v>0</v>
          </cell>
        </row>
        <row r="1059">
          <cell r="A1059">
            <v>0</v>
          </cell>
          <cell r="B1059">
            <v>0</v>
          </cell>
          <cell r="C1059">
            <v>0</v>
          </cell>
        </row>
        <row r="1060">
          <cell r="A1060">
            <v>0</v>
          </cell>
          <cell r="B1060">
            <v>0</v>
          </cell>
          <cell r="C1060">
            <v>0</v>
          </cell>
        </row>
        <row r="1061">
          <cell r="A1061">
            <v>0</v>
          </cell>
          <cell r="B1061">
            <v>0</v>
          </cell>
          <cell r="C1061">
            <v>0</v>
          </cell>
        </row>
        <row r="1062">
          <cell r="A1062">
            <v>0</v>
          </cell>
          <cell r="B1062">
            <v>0</v>
          </cell>
          <cell r="C1062">
            <v>0</v>
          </cell>
        </row>
        <row r="1063">
          <cell r="A1063">
            <v>0</v>
          </cell>
          <cell r="B1063">
            <v>0</v>
          </cell>
          <cell r="C1063">
            <v>0</v>
          </cell>
        </row>
        <row r="1064">
          <cell r="A1064">
            <v>0</v>
          </cell>
          <cell r="B1064">
            <v>0</v>
          </cell>
          <cell r="C1064">
            <v>0</v>
          </cell>
        </row>
        <row r="1065">
          <cell r="A1065">
            <v>0</v>
          </cell>
          <cell r="B1065">
            <v>0</v>
          </cell>
          <cell r="C1065">
            <v>0</v>
          </cell>
        </row>
        <row r="1066">
          <cell r="A1066">
            <v>0</v>
          </cell>
          <cell r="B1066">
            <v>0</v>
          </cell>
          <cell r="C1066">
            <v>0</v>
          </cell>
        </row>
        <row r="1067">
          <cell r="A1067">
            <v>0</v>
          </cell>
          <cell r="B1067">
            <v>0</v>
          </cell>
          <cell r="C1067">
            <v>0</v>
          </cell>
        </row>
        <row r="1068">
          <cell r="A1068">
            <v>0</v>
          </cell>
          <cell r="B1068">
            <v>0</v>
          </cell>
          <cell r="C1068">
            <v>0</v>
          </cell>
        </row>
        <row r="1069">
          <cell r="A1069">
            <v>0</v>
          </cell>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3">
          <cell r="A1073">
            <v>0</v>
          </cell>
          <cell r="B1073">
            <v>0</v>
          </cell>
          <cell r="C1073">
            <v>0</v>
          </cell>
        </row>
        <row r="1074">
          <cell r="A1074">
            <v>0</v>
          </cell>
          <cell r="B1074">
            <v>0</v>
          </cell>
          <cell r="C1074">
            <v>0</v>
          </cell>
        </row>
        <row r="1075">
          <cell r="A1075">
            <v>0</v>
          </cell>
          <cell r="B1075">
            <v>0</v>
          </cell>
          <cell r="C1075">
            <v>0</v>
          </cell>
        </row>
        <row r="1076">
          <cell r="A1076">
            <v>0</v>
          </cell>
          <cell r="B1076">
            <v>0</v>
          </cell>
          <cell r="C1076">
            <v>0</v>
          </cell>
        </row>
        <row r="1077">
          <cell r="A1077">
            <v>0</v>
          </cell>
          <cell r="B1077">
            <v>0</v>
          </cell>
          <cell r="C1077">
            <v>0</v>
          </cell>
        </row>
        <row r="1078">
          <cell r="A1078">
            <v>0</v>
          </cell>
          <cell r="B1078">
            <v>0</v>
          </cell>
          <cell r="C1078">
            <v>0</v>
          </cell>
        </row>
        <row r="1079">
          <cell r="A1079">
            <v>0</v>
          </cell>
          <cell r="B1079">
            <v>0</v>
          </cell>
          <cell r="C1079">
            <v>0</v>
          </cell>
        </row>
        <row r="1080">
          <cell r="A1080">
            <v>0</v>
          </cell>
          <cell r="B1080">
            <v>0</v>
          </cell>
          <cell r="C1080">
            <v>0</v>
          </cell>
        </row>
        <row r="1081">
          <cell r="A1081">
            <v>0</v>
          </cell>
          <cell r="B1081">
            <v>0</v>
          </cell>
          <cell r="C1081">
            <v>0</v>
          </cell>
        </row>
        <row r="1082">
          <cell r="A1082">
            <v>0</v>
          </cell>
          <cell r="B1082">
            <v>0</v>
          </cell>
          <cell r="C1082">
            <v>0</v>
          </cell>
        </row>
        <row r="1083">
          <cell r="A1083">
            <v>0</v>
          </cell>
          <cell r="B1083">
            <v>0</v>
          </cell>
          <cell r="C1083">
            <v>0</v>
          </cell>
        </row>
        <row r="1084">
          <cell r="A1084">
            <v>0</v>
          </cell>
          <cell r="B1084">
            <v>0</v>
          </cell>
          <cell r="C1084">
            <v>0</v>
          </cell>
        </row>
        <row r="1085">
          <cell r="A1085">
            <v>0</v>
          </cell>
          <cell r="B1085">
            <v>0</v>
          </cell>
          <cell r="C1085">
            <v>0</v>
          </cell>
        </row>
        <row r="1086">
          <cell r="A1086">
            <v>0</v>
          </cell>
          <cell r="B1086">
            <v>0</v>
          </cell>
          <cell r="C1086">
            <v>0</v>
          </cell>
        </row>
        <row r="1087">
          <cell r="A1087">
            <v>0</v>
          </cell>
          <cell r="B1087">
            <v>0</v>
          </cell>
          <cell r="C1087">
            <v>0</v>
          </cell>
        </row>
        <row r="1088">
          <cell r="A1088">
            <v>0</v>
          </cell>
          <cell r="B1088">
            <v>0</v>
          </cell>
          <cell r="C1088">
            <v>0</v>
          </cell>
        </row>
        <row r="1089">
          <cell r="A1089">
            <v>0</v>
          </cell>
          <cell r="B1089">
            <v>0</v>
          </cell>
          <cell r="C1089">
            <v>0</v>
          </cell>
        </row>
        <row r="1090">
          <cell r="A1090">
            <v>0</v>
          </cell>
          <cell r="B1090">
            <v>0</v>
          </cell>
          <cell r="C1090">
            <v>0</v>
          </cell>
        </row>
        <row r="1091">
          <cell r="A1091">
            <v>0</v>
          </cell>
          <cell r="B1091">
            <v>0</v>
          </cell>
          <cell r="C1091">
            <v>0</v>
          </cell>
        </row>
        <row r="1092">
          <cell r="A1092">
            <v>0</v>
          </cell>
          <cell r="B1092">
            <v>0</v>
          </cell>
          <cell r="C1092">
            <v>0</v>
          </cell>
        </row>
        <row r="1093">
          <cell r="A1093">
            <v>0</v>
          </cell>
          <cell r="B1093">
            <v>0</v>
          </cell>
          <cell r="C1093">
            <v>0</v>
          </cell>
        </row>
        <row r="1094">
          <cell r="A1094">
            <v>0</v>
          </cell>
          <cell r="B1094">
            <v>0</v>
          </cell>
          <cell r="C1094">
            <v>0</v>
          </cell>
        </row>
        <row r="1095">
          <cell r="A1095">
            <v>0</v>
          </cell>
          <cell r="B1095">
            <v>0</v>
          </cell>
          <cell r="C1095">
            <v>0</v>
          </cell>
        </row>
        <row r="1096">
          <cell r="A1096">
            <v>0</v>
          </cell>
          <cell r="B1096">
            <v>0</v>
          </cell>
          <cell r="C1096">
            <v>0</v>
          </cell>
        </row>
        <row r="1097">
          <cell r="A1097">
            <v>0</v>
          </cell>
          <cell r="B1097">
            <v>0</v>
          </cell>
          <cell r="C1097">
            <v>0</v>
          </cell>
        </row>
        <row r="1098">
          <cell r="A1098">
            <v>0</v>
          </cell>
          <cell r="B1098">
            <v>0</v>
          </cell>
          <cell r="C1098">
            <v>0</v>
          </cell>
        </row>
        <row r="1099">
          <cell r="A1099">
            <v>0</v>
          </cell>
          <cell r="B1099">
            <v>0</v>
          </cell>
          <cell r="C1099">
            <v>0</v>
          </cell>
        </row>
        <row r="1100">
          <cell r="A1100">
            <v>0</v>
          </cell>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4">
          <cell r="A1104">
            <v>0</v>
          </cell>
          <cell r="B1104">
            <v>0</v>
          </cell>
          <cell r="C1104">
            <v>0</v>
          </cell>
        </row>
        <row r="1105">
          <cell r="A1105">
            <v>0</v>
          </cell>
          <cell r="B1105">
            <v>0</v>
          </cell>
          <cell r="C1105">
            <v>0</v>
          </cell>
        </row>
        <row r="1106">
          <cell r="A1106">
            <v>0</v>
          </cell>
          <cell r="B1106">
            <v>0</v>
          </cell>
          <cell r="C1106">
            <v>0</v>
          </cell>
        </row>
        <row r="1107">
          <cell r="A1107">
            <v>0</v>
          </cell>
          <cell r="B1107">
            <v>0</v>
          </cell>
          <cell r="C1107">
            <v>0</v>
          </cell>
        </row>
        <row r="1108">
          <cell r="A1108">
            <v>0</v>
          </cell>
          <cell r="B1108">
            <v>0</v>
          </cell>
          <cell r="C1108">
            <v>0</v>
          </cell>
        </row>
        <row r="1109">
          <cell r="A1109">
            <v>0</v>
          </cell>
          <cell r="B1109">
            <v>0</v>
          </cell>
          <cell r="C1109">
            <v>0</v>
          </cell>
        </row>
        <row r="1110">
          <cell r="A1110">
            <v>0</v>
          </cell>
          <cell r="B1110">
            <v>0</v>
          </cell>
          <cell r="C1110">
            <v>0</v>
          </cell>
        </row>
        <row r="1111">
          <cell r="A1111">
            <v>0</v>
          </cell>
          <cell r="B1111">
            <v>0</v>
          </cell>
          <cell r="C1111">
            <v>0</v>
          </cell>
        </row>
        <row r="1112">
          <cell r="A1112">
            <v>0</v>
          </cell>
          <cell r="B1112">
            <v>0</v>
          </cell>
          <cell r="C1112">
            <v>0</v>
          </cell>
        </row>
        <row r="1113">
          <cell r="A1113">
            <v>0</v>
          </cell>
          <cell r="B1113">
            <v>0</v>
          </cell>
          <cell r="C1113">
            <v>0</v>
          </cell>
        </row>
        <row r="1114">
          <cell r="A1114">
            <v>0</v>
          </cell>
          <cell r="B1114">
            <v>0</v>
          </cell>
          <cell r="C1114">
            <v>0</v>
          </cell>
        </row>
        <row r="1115">
          <cell r="A1115">
            <v>0</v>
          </cell>
          <cell r="B1115">
            <v>0</v>
          </cell>
          <cell r="C1115">
            <v>0</v>
          </cell>
        </row>
        <row r="1116">
          <cell r="A1116">
            <v>0</v>
          </cell>
          <cell r="B1116">
            <v>0</v>
          </cell>
          <cell r="C1116">
            <v>0</v>
          </cell>
        </row>
        <row r="1117">
          <cell r="A1117">
            <v>0</v>
          </cell>
          <cell r="B1117">
            <v>0</v>
          </cell>
          <cell r="C1117">
            <v>0</v>
          </cell>
        </row>
        <row r="1118">
          <cell r="A1118">
            <v>0</v>
          </cell>
          <cell r="B1118">
            <v>0</v>
          </cell>
          <cell r="C1118">
            <v>0</v>
          </cell>
        </row>
        <row r="1119">
          <cell r="A1119">
            <v>0</v>
          </cell>
          <cell r="B1119">
            <v>0</v>
          </cell>
          <cell r="C1119">
            <v>0</v>
          </cell>
        </row>
        <row r="1120">
          <cell r="A1120">
            <v>0</v>
          </cell>
          <cell r="B1120">
            <v>0</v>
          </cell>
          <cell r="C1120">
            <v>0</v>
          </cell>
        </row>
        <row r="1121">
          <cell r="A1121">
            <v>0</v>
          </cell>
          <cell r="B1121">
            <v>0</v>
          </cell>
          <cell r="C1121">
            <v>0</v>
          </cell>
        </row>
        <row r="1122">
          <cell r="A1122">
            <v>0</v>
          </cell>
          <cell r="B1122">
            <v>0</v>
          </cell>
          <cell r="C1122">
            <v>0</v>
          </cell>
        </row>
        <row r="1123">
          <cell r="A1123">
            <v>0</v>
          </cell>
          <cell r="B1123">
            <v>0</v>
          </cell>
          <cell r="C1123">
            <v>0</v>
          </cell>
        </row>
        <row r="1124">
          <cell r="A1124">
            <v>0</v>
          </cell>
          <cell r="B1124">
            <v>0</v>
          </cell>
          <cell r="C1124">
            <v>0</v>
          </cell>
        </row>
        <row r="1125">
          <cell r="A1125">
            <v>0</v>
          </cell>
          <cell r="B1125">
            <v>0</v>
          </cell>
          <cell r="C1125">
            <v>0</v>
          </cell>
        </row>
        <row r="1126">
          <cell r="A1126">
            <v>0</v>
          </cell>
          <cell r="B1126">
            <v>0</v>
          </cell>
          <cell r="C1126">
            <v>0</v>
          </cell>
        </row>
        <row r="1127">
          <cell r="A1127">
            <v>0</v>
          </cell>
          <cell r="B1127">
            <v>0</v>
          </cell>
          <cell r="C1127">
            <v>0</v>
          </cell>
        </row>
        <row r="1128">
          <cell r="A1128">
            <v>0</v>
          </cell>
          <cell r="B1128">
            <v>0</v>
          </cell>
          <cell r="C1128">
            <v>0</v>
          </cell>
        </row>
        <row r="1129">
          <cell r="A1129">
            <v>0</v>
          </cell>
          <cell r="B1129">
            <v>0</v>
          </cell>
          <cell r="C1129">
            <v>0</v>
          </cell>
        </row>
        <row r="1130">
          <cell r="A1130">
            <v>0</v>
          </cell>
          <cell r="B1130">
            <v>0</v>
          </cell>
          <cell r="C1130">
            <v>0</v>
          </cell>
        </row>
        <row r="1131">
          <cell r="A1131">
            <v>0</v>
          </cell>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5">
          <cell r="A1135">
            <v>0</v>
          </cell>
          <cell r="B1135">
            <v>0</v>
          </cell>
          <cell r="C1135">
            <v>0</v>
          </cell>
        </row>
        <row r="1136">
          <cell r="A1136">
            <v>0</v>
          </cell>
          <cell r="B1136">
            <v>0</v>
          </cell>
          <cell r="C1136">
            <v>0</v>
          </cell>
        </row>
        <row r="1137">
          <cell r="A1137">
            <v>0</v>
          </cell>
          <cell r="B1137">
            <v>0</v>
          </cell>
          <cell r="C1137">
            <v>0</v>
          </cell>
        </row>
        <row r="1138">
          <cell r="A1138">
            <v>0</v>
          </cell>
          <cell r="B1138">
            <v>0</v>
          </cell>
          <cell r="C1138">
            <v>0</v>
          </cell>
        </row>
        <row r="1139">
          <cell r="A1139">
            <v>0</v>
          </cell>
          <cell r="B1139">
            <v>0</v>
          </cell>
          <cell r="C1139">
            <v>0</v>
          </cell>
        </row>
        <row r="1140">
          <cell r="A1140">
            <v>0</v>
          </cell>
          <cell r="B1140">
            <v>0</v>
          </cell>
          <cell r="C1140">
            <v>0</v>
          </cell>
        </row>
        <row r="1141">
          <cell r="A1141">
            <v>0</v>
          </cell>
          <cell r="B1141">
            <v>0</v>
          </cell>
          <cell r="C1141">
            <v>0</v>
          </cell>
        </row>
        <row r="1142">
          <cell r="A1142">
            <v>0</v>
          </cell>
          <cell r="B1142">
            <v>0</v>
          </cell>
          <cell r="C1142">
            <v>0</v>
          </cell>
        </row>
        <row r="1143">
          <cell r="A1143">
            <v>0</v>
          </cell>
          <cell r="B1143">
            <v>0</v>
          </cell>
          <cell r="C1143">
            <v>0</v>
          </cell>
        </row>
        <row r="1144">
          <cell r="A1144">
            <v>0</v>
          </cell>
          <cell r="B1144">
            <v>0</v>
          </cell>
          <cell r="C1144">
            <v>0</v>
          </cell>
        </row>
        <row r="1145">
          <cell r="A1145">
            <v>0</v>
          </cell>
          <cell r="B1145">
            <v>0</v>
          </cell>
          <cell r="C1145">
            <v>0</v>
          </cell>
        </row>
        <row r="1146">
          <cell r="A1146">
            <v>0</v>
          </cell>
          <cell r="B1146">
            <v>0</v>
          </cell>
          <cell r="C1146">
            <v>0</v>
          </cell>
        </row>
        <row r="1147">
          <cell r="A1147">
            <v>0</v>
          </cell>
          <cell r="B1147">
            <v>0</v>
          </cell>
          <cell r="C1147">
            <v>0</v>
          </cell>
        </row>
        <row r="1148">
          <cell r="A1148">
            <v>0</v>
          </cell>
          <cell r="B1148">
            <v>0</v>
          </cell>
          <cell r="C1148">
            <v>0</v>
          </cell>
        </row>
        <row r="1149">
          <cell r="A1149">
            <v>0</v>
          </cell>
          <cell r="B1149">
            <v>0</v>
          </cell>
          <cell r="C1149">
            <v>0</v>
          </cell>
        </row>
        <row r="1150">
          <cell r="A1150">
            <v>0</v>
          </cell>
          <cell r="B1150">
            <v>0</v>
          </cell>
          <cell r="C1150">
            <v>0</v>
          </cell>
        </row>
        <row r="1151">
          <cell r="A1151">
            <v>0</v>
          </cell>
          <cell r="B1151">
            <v>0</v>
          </cell>
          <cell r="C1151">
            <v>0</v>
          </cell>
        </row>
        <row r="1152">
          <cell r="A1152">
            <v>0</v>
          </cell>
          <cell r="B1152">
            <v>0</v>
          </cell>
          <cell r="C1152">
            <v>0</v>
          </cell>
        </row>
        <row r="1153">
          <cell r="A1153">
            <v>0</v>
          </cell>
          <cell r="B1153">
            <v>0</v>
          </cell>
          <cell r="C1153">
            <v>0</v>
          </cell>
        </row>
        <row r="1154">
          <cell r="A1154">
            <v>0</v>
          </cell>
          <cell r="B1154">
            <v>0</v>
          </cell>
          <cell r="C1154">
            <v>0</v>
          </cell>
        </row>
        <row r="1155">
          <cell r="A1155">
            <v>0</v>
          </cell>
          <cell r="B1155">
            <v>0</v>
          </cell>
          <cell r="C1155">
            <v>0</v>
          </cell>
        </row>
        <row r="1156">
          <cell r="A1156">
            <v>0</v>
          </cell>
          <cell r="B1156">
            <v>0</v>
          </cell>
          <cell r="C1156">
            <v>0</v>
          </cell>
        </row>
        <row r="1157">
          <cell r="A1157">
            <v>0</v>
          </cell>
          <cell r="B1157">
            <v>0</v>
          </cell>
          <cell r="C1157">
            <v>0</v>
          </cell>
        </row>
        <row r="1158">
          <cell r="A1158">
            <v>0</v>
          </cell>
          <cell r="B1158">
            <v>0</v>
          </cell>
          <cell r="C1158">
            <v>0</v>
          </cell>
        </row>
        <row r="1159">
          <cell r="A1159">
            <v>0</v>
          </cell>
          <cell r="B1159">
            <v>0</v>
          </cell>
          <cell r="C1159">
            <v>0</v>
          </cell>
        </row>
        <row r="1160">
          <cell r="A1160">
            <v>0</v>
          </cell>
          <cell r="B1160">
            <v>0</v>
          </cell>
          <cell r="C1160">
            <v>0</v>
          </cell>
        </row>
        <row r="1161">
          <cell r="A1161">
            <v>0</v>
          </cell>
          <cell r="B1161">
            <v>0</v>
          </cell>
          <cell r="C1161">
            <v>0</v>
          </cell>
        </row>
        <row r="1162">
          <cell r="A1162">
            <v>0</v>
          </cell>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6">
          <cell r="A1166">
            <v>0</v>
          </cell>
          <cell r="B1166">
            <v>0</v>
          </cell>
          <cell r="C1166">
            <v>0</v>
          </cell>
        </row>
        <row r="1167">
          <cell r="A1167">
            <v>0</v>
          </cell>
          <cell r="B1167">
            <v>0</v>
          </cell>
          <cell r="C1167">
            <v>0</v>
          </cell>
        </row>
        <row r="1168">
          <cell r="A1168">
            <v>0</v>
          </cell>
          <cell r="B1168">
            <v>0</v>
          </cell>
          <cell r="C1168">
            <v>0</v>
          </cell>
        </row>
        <row r="1169">
          <cell r="A1169">
            <v>0</v>
          </cell>
          <cell r="B1169">
            <v>0</v>
          </cell>
          <cell r="C1169">
            <v>0</v>
          </cell>
        </row>
        <row r="1170">
          <cell r="A1170">
            <v>0</v>
          </cell>
          <cell r="B1170">
            <v>0</v>
          </cell>
          <cell r="C1170">
            <v>0</v>
          </cell>
        </row>
        <row r="1171">
          <cell r="A1171">
            <v>0</v>
          </cell>
          <cell r="B1171">
            <v>0</v>
          </cell>
          <cell r="C1171">
            <v>0</v>
          </cell>
        </row>
        <row r="1172">
          <cell r="A1172">
            <v>0</v>
          </cell>
          <cell r="B1172">
            <v>0</v>
          </cell>
          <cell r="C1172">
            <v>0</v>
          </cell>
        </row>
        <row r="1173">
          <cell r="A1173">
            <v>0</v>
          </cell>
          <cell r="B1173">
            <v>0</v>
          </cell>
          <cell r="C1173">
            <v>0</v>
          </cell>
        </row>
        <row r="1174">
          <cell r="A1174">
            <v>0</v>
          </cell>
          <cell r="B1174">
            <v>0</v>
          </cell>
          <cell r="C1174">
            <v>0</v>
          </cell>
        </row>
        <row r="1175">
          <cell r="A1175">
            <v>0</v>
          </cell>
          <cell r="B1175">
            <v>0</v>
          </cell>
          <cell r="C1175">
            <v>0</v>
          </cell>
        </row>
        <row r="1176">
          <cell r="A1176">
            <v>0</v>
          </cell>
          <cell r="B1176">
            <v>0</v>
          </cell>
          <cell r="C1176">
            <v>0</v>
          </cell>
        </row>
        <row r="1177">
          <cell r="A1177">
            <v>0</v>
          </cell>
          <cell r="B1177">
            <v>0</v>
          </cell>
          <cell r="C1177">
            <v>0</v>
          </cell>
        </row>
        <row r="1178">
          <cell r="A1178">
            <v>0</v>
          </cell>
          <cell r="B1178">
            <v>0</v>
          </cell>
          <cell r="C1178">
            <v>0</v>
          </cell>
        </row>
        <row r="1179">
          <cell r="A1179">
            <v>0</v>
          </cell>
          <cell r="B1179">
            <v>0</v>
          </cell>
          <cell r="C1179">
            <v>0</v>
          </cell>
        </row>
        <row r="1180">
          <cell r="A1180">
            <v>0</v>
          </cell>
          <cell r="B1180">
            <v>0</v>
          </cell>
          <cell r="C1180">
            <v>0</v>
          </cell>
        </row>
        <row r="1181">
          <cell r="A1181">
            <v>0</v>
          </cell>
          <cell r="B1181">
            <v>0</v>
          </cell>
          <cell r="C1181">
            <v>0</v>
          </cell>
        </row>
        <row r="1182">
          <cell r="A1182">
            <v>0</v>
          </cell>
          <cell r="B1182">
            <v>0</v>
          </cell>
          <cell r="C1182">
            <v>0</v>
          </cell>
        </row>
        <row r="1183">
          <cell r="A1183">
            <v>0</v>
          </cell>
          <cell r="B1183">
            <v>0</v>
          </cell>
          <cell r="C1183">
            <v>0</v>
          </cell>
        </row>
        <row r="1184">
          <cell r="A1184">
            <v>0</v>
          </cell>
          <cell r="B1184">
            <v>0</v>
          </cell>
          <cell r="C1184">
            <v>0</v>
          </cell>
        </row>
        <row r="1185">
          <cell r="A1185">
            <v>0</v>
          </cell>
          <cell r="B1185">
            <v>0</v>
          </cell>
          <cell r="C1185">
            <v>0</v>
          </cell>
        </row>
        <row r="1186">
          <cell r="A1186">
            <v>0</v>
          </cell>
          <cell r="B1186">
            <v>0</v>
          </cell>
          <cell r="C1186">
            <v>0</v>
          </cell>
        </row>
        <row r="1187">
          <cell r="A1187">
            <v>0</v>
          </cell>
          <cell r="B1187">
            <v>0</v>
          </cell>
          <cell r="C1187">
            <v>0</v>
          </cell>
        </row>
        <row r="1188">
          <cell r="A1188">
            <v>0</v>
          </cell>
          <cell r="B1188">
            <v>0</v>
          </cell>
          <cell r="C1188">
            <v>0</v>
          </cell>
        </row>
        <row r="1189">
          <cell r="A1189">
            <v>0</v>
          </cell>
          <cell r="B1189">
            <v>0</v>
          </cell>
          <cell r="C1189">
            <v>0</v>
          </cell>
        </row>
        <row r="1190">
          <cell r="A1190">
            <v>0</v>
          </cell>
          <cell r="B1190">
            <v>0</v>
          </cell>
          <cell r="C1190">
            <v>0</v>
          </cell>
        </row>
        <row r="1191">
          <cell r="A1191">
            <v>0</v>
          </cell>
          <cell r="B1191">
            <v>0</v>
          </cell>
          <cell r="C1191">
            <v>0</v>
          </cell>
        </row>
        <row r="1192">
          <cell r="A1192">
            <v>0</v>
          </cell>
          <cell r="B1192">
            <v>0</v>
          </cell>
          <cell r="C1192">
            <v>0</v>
          </cell>
        </row>
        <row r="1193">
          <cell r="A1193">
            <v>0</v>
          </cell>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7">
          <cell r="A1197">
            <v>0</v>
          </cell>
          <cell r="B1197">
            <v>0</v>
          </cell>
          <cell r="C1197">
            <v>0</v>
          </cell>
        </row>
        <row r="1198">
          <cell r="A1198">
            <v>0</v>
          </cell>
          <cell r="B1198">
            <v>0</v>
          </cell>
          <cell r="C1198">
            <v>0</v>
          </cell>
        </row>
        <row r="1199">
          <cell r="A1199">
            <v>0</v>
          </cell>
          <cell r="B1199">
            <v>0</v>
          </cell>
          <cell r="C1199">
            <v>0</v>
          </cell>
        </row>
        <row r="1200">
          <cell r="A1200">
            <v>0</v>
          </cell>
          <cell r="B1200">
            <v>0</v>
          </cell>
          <cell r="C1200">
            <v>0</v>
          </cell>
        </row>
        <row r="1201">
          <cell r="A1201">
            <v>0</v>
          </cell>
          <cell r="B1201">
            <v>0</v>
          </cell>
          <cell r="C1201">
            <v>0</v>
          </cell>
        </row>
        <row r="1202">
          <cell r="A1202">
            <v>0</v>
          </cell>
          <cell r="B1202">
            <v>0</v>
          </cell>
          <cell r="C1202">
            <v>0</v>
          </cell>
        </row>
        <row r="1203">
          <cell r="A1203">
            <v>0</v>
          </cell>
          <cell r="B1203">
            <v>0</v>
          </cell>
          <cell r="C1203">
            <v>0</v>
          </cell>
        </row>
        <row r="1204">
          <cell r="A1204">
            <v>0</v>
          </cell>
          <cell r="B1204">
            <v>0</v>
          </cell>
          <cell r="C1204">
            <v>0</v>
          </cell>
        </row>
        <row r="1205">
          <cell r="A1205">
            <v>0</v>
          </cell>
          <cell r="B1205">
            <v>0</v>
          </cell>
          <cell r="C1205">
            <v>0</v>
          </cell>
        </row>
        <row r="1206">
          <cell r="A1206">
            <v>0</v>
          </cell>
          <cell r="B1206">
            <v>0</v>
          </cell>
          <cell r="C1206">
            <v>0</v>
          </cell>
        </row>
        <row r="1207">
          <cell r="A1207">
            <v>0</v>
          </cell>
          <cell r="B1207">
            <v>0</v>
          </cell>
          <cell r="C1207">
            <v>0</v>
          </cell>
        </row>
        <row r="1208">
          <cell r="A1208">
            <v>0</v>
          </cell>
          <cell r="B1208">
            <v>0</v>
          </cell>
          <cell r="C1208">
            <v>0</v>
          </cell>
        </row>
        <row r="1209">
          <cell r="A1209">
            <v>0</v>
          </cell>
          <cell r="B1209">
            <v>0</v>
          </cell>
          <cell r="C1209">
            <v>0</v>
          </cell>
        </row>
        <row r="1210">
          <cell r="A1210">
            <v>0</v>
          </cell>
          <cell r="B1210">
            <v>0</v>
          </cell>
          <cell r="C1210">
            <v>0</v>
          </cell>
        </row>
        <row r="1211">
          <cell r="A1211">
            <v>0</v>
          </cell>
          <cell r="B1211">
            <v>0</v>
          </cell>
          <cell r="C1211">
            <v>0</v>
          </cell>
        </row>
        <row r="1212">
          <cell r="A1212">
            <v>0</v>
          </cell>
          <cell r="B1212">
            <v>0</v>
          </cell>
          <cell r="C1212">
            <v>0</v>
          </cell>
        </row>
        <row r="1213">
          <cell r="A1213">
            <v>0</v>
          </cell>
          <cell r="B1213">
            <v>0</v>
          </cell>
          <cell r="C1213">
            <v>0</v>
          </cell>
        </row>
        <row r="1214">
          <cell r="A1214">
            <v>0</v>
          </cell>
          <cell r="B1214">
            <v>0</v>
          </cell>
          <cell r="C1214">
            <v>0</v>
          </cell>
        </row>
        <row r="1215">
          <cell r="A1215">
            <v>0</v>
          </cell>
          <cell r="B1215">
            <v>0</v>
          </cell>
          <cell r="C1215">
            <v>0</v>
          </cell>
        </row>
        <row r="1216">
          <cell r="A1216">
            <v>0</v>
          </cell>
          <cell r="B1216">
            <v>0</v>
          </cell>
          <cell r="C1216">
            <v>0</v>
          </cell>
        </row>
        <row r="1217">
          <cell r="A1217">
            <v>0</v>
          </cell>
          <cell r="B1217">
            <v>0</v>
          </cell>
          <cell r="C1217">
            <v>0</v>
          </cell>
        </row>
        <row r="1218">
          <cell r="A1218">
            <v>0</v>
          </cell>
          <cell r="B1218">
            <v>0</v>
          </cell>
          <cell r="C1218">
            <v>0</v>
          </cell>
        </row>
        <row r="1219">
          <cell r="A1219">
            <v>0</v>
          </cell>
          <cell r="B1219">
            <v>0</v>
          </cell>
          <cell r="C1219">
            <v>0</v>
          </cell>
        </row>
        <row r="1220">
          <cell r="A1220">
            <v>0</v>
          </cell>
          <cell r="B1220">
            <v>0</v>
          </cell>
          <cell r="C1220">
            <v>0</v>
          </cell>
        </row>
        <row r="1221">
          <cell r="A1221">
            <v>0</v>
          </cell>
          <cell r="B1221">
            <v>0</v>
          </cell>
          <cell r="C1221">
            <v>0</v>
          </cell>
        </row>
        <row r="1222">
          <cell r="A1222">
            <v>0</v>
          </cell>
          <cell r="B1222">
            <v>0</v>
          </cell>
          <cell r="C1222">
            <v>0</v>
          </cell>
        </row>
        <row r="1223">
          <cell r="A1223">
            <v>0</v>
          </cell>
          <cell r="B1223">
            <v>0</v>
          </cell>
          <cell r="C1223">
            <v>0</v>
          </cell>
        </row>
        <row r="1224">
          <cell r="A1224">
            <v>0</v>
          </cell>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8">
          <cell r="A1228">
            <v>0</v>
          </cell>
          <cell r="B1228">
            <v>0</v>
          </cell>
          <cell r="C1228">
            <v>0</v>
          </cell>
        </row>
        <row r="1229">
          <cell r="A1229">
            <v>0</v>
          </cell>
          <cell r="B1229">
            <v>0</v>
          </cell>
          <cell r="C1229">
            <v>0</v>
          </cell>
        </row>
        <row r="1230">
          <cell r="A1230">
            <v>0</v>
          </cell>
          <cell r="B1230">
            <v>0</v>
          </cell>
          <cell r="C1230">
            <v>0</v>
          </cell>
        </row>
        <row r="1231">
          <cell r="A1231">
            <v>0</v>
          </cell>
          <cell r="B1231">
            <v>0</v>
          </cell>
          <cell r="C1231">
            <v>0</v>
          </cell>
        </row>
        <row r="1232">
          <cell r="A1232">
            <v>0</v>
          </cell>
          <cell r="B1232">
            <v>0</v>
          </cell>
          <cell r="C1232">
            <v>0</v>
          </cell>
        </row>
        <row r="1233">
          <cell r="A1233">
            <v>0</v>
          </cell>
          <cell r="B1233">
            <v>0</v>
          </cell>
          <cell r="C1233">
            <v>0</v>
          </cell>
        </row>
        <row r="1234">
          <cell r="A1234">
            <v>0</v>
          </cell>
          <cell r="B1234">
            <v>0</v>
          </cell>
          <cell r="C1234">
            <v>0</v>
          </cell>
        </row>
        <row r="1235">
          <cell r="A1235">
            <v>0</v>
          </cell>
          <cell r="B1235">
            <v>0</v>
          </cell>
          <cell r="C1235">
            <v>0</v>
          </cell>
        </row>
        <row r="1236">
          <cell r="A1236">
            <v>0</v>
          </cell>
          <cell r="B1236">
            <v>0</v>
          </cell>
          <cell r="C1236">
            <v>0</v>
          </cell>
        </row>
        <row r="1237">
          <cell r="A1237">
            <v>0</v>
          </cell>
          <cell r="B1237">
            <v>0</v>
          </cell>
          <cell r="C1237">
            <v>0</v>
          </cell>
        </row>
        <row r="1238">
          <cell r="A1238">
            <v>0</v>
          </cell>
          <cell r="B1238">
            <v>0</v>
          </cell>
          <cell r="C1238">
            <v>0</v>
          </cell>
        </row>
        <row r="1239">
          <cell r="A1239">
            <v>0</v>
          </cell>
          <cell r="B1239">
            <v>0</v>
          </cell>
          <cell r="C1239">
            <v>0</v>
          </cell>
        </row>
        <row r="1240">
          <cell r="A1240">
            <v>0</v>
          </cell>
          <cell r="B1240">
            <v>0</v>
          </cell>
          <cell r="C1240">
            <v>0</v>
          </cell>
        </row>
        <row r="1241">
          <cell r="A1241">
            <v>0</v>
          </cell>
          <cell r="B1241">
            <v>0</v>
          </cell>
          <cell r="C1241">
            <v>0</v>
          </cell>
        </row>
        <row r="1242">
          <cell r="A1242">
            <v>0</v>
          </cell>
          <cell r="B1242">
            <v>0</v>
          </cell>
          <cell r="C1242">
            <v>0</v>
          </cell>
        </row>
        <row r="1243">
          <cell r="A1243">
            <v>0</v>
          </cell>
          <cell r="B1243">
            <v>0</v>
          </cell>
          <cell r="C1243">
            <v>0</v>
          </cell>
        </row>
        <row r="1244">
          <cell r="A1244">
            <v>0</v>
          </cell>
          <cell r="B1244">
            <v>0</v>
          </cell>
          <cell r="C1244">
            <v>0</v>
          </cell>
        </row>
        <row r="1245">
          <cell r="A1245">
            <v>0</v>
          </cell>
          <cell r="B1245">
            <v>0</v>
          </cell>
          <cell r="C1245">
            <v>0</v>
          </cell>
        </row>
        <row r="1246">
          <cell r="A1246">
            <v>0</v>
          </cell>
          <cell r="B1246">
            <v>0</v>
          </cell>
          <cell r="C1246">
            <v>0</v>
          </cell>
        </row>
        <row r="1247">
          <cell r="A1247">
            <v>0</v>
          </cell>
          <cell r="B1247">
            <v>0</v>
          </cell>
          <cell r="C1247">
            <v>0</v>
          </cell>
        </row>
        <row r="1248">
          <cell r="A1248">
            <v>0</v>
          </cell>
          <cell r="B1248">
            <v>0</v>
          </cell>
          <cell r="C1248">
            <v>0</v>
          </cell>
        </row>
        <row r="1249">
          <cell r="A1249">
            <v>0</v>
          </cell>
          <cell r="B1249">
            <v>0</v>
          </cell>
          <cell r="C1249">
            <v>0</v>
          </cell>
        </row>
        <row r="1250">
          <cell r="A1250">
            <v>0</v>
          </cell>
          <cell r="B1250">
            <v>0</v>
          </cell>
          <cell r="C1250">
            <v>0</v>
          </cell>
        </row>
        <row r="1251">
          <cell r="A1251">
            <v>0</v>
          </cell>
          <cell r="B1251">
            <v>0</v>
          </cell>
          <cell r="C1251">
            <v>0</v>
          </cell>
        </row>
        <row r="1252">
          <cell r="A1252">
            <v>0</v>
          </cell>
          <cell r="B1252">
            <v>0</v>
          </cell>
          <cell r="C1252">
            <v>0</v>
          </cell>
        </row>
        <row r="1253">
          <cell r="A1253">
            <v>0</v>
          </cell>
          <cell r="B1253">
            <v>0</v>
          </cell>
          <cell r="C1253">
            <v>0</v>
          </cell>
        </row>
        <row r="1254">
          <cell r="A1254">
            <v>0</v>
          </cell>
          <cell r="B1254">
            <v>0</v>
          </cell>
          <cell r="C1254">
            <v>0</v>
          </cell>
        </row>
        <row r="1255">
          <cell r="A1255">
            <v>0</v>
          </cell>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59">
          <cell r="A1259">
            <v>0</v>
          </cell>
          <cell r="B1259">
            <v>0</v>
          </cell>
          <cell r="C1259">
            <v>0</v>
          </cell>
        </row>
        <row r="1260">
          <cell r="A1260">
            <v>0</v>
          </cell>
          <cell r="B1260">
            <v>0</v>
          </cell>
          <cell r="C1260">
            <v>0</v>
          </cell>
        </row>
        <row r="1261">
          <cell r="A1261">
            <v>0</v>
          </cell>
          <cell r="B1261">
            <v>0</v>
          </cell>
          <cell r="C1261">
            <v>0</v>
          </cell>
        </row>
        <row r="1262">
          <cell r="A1262">
            <v>0</v>
          </cell>
          <cell r="B1262">
            <v>0</v>
          </cell>
          <cell r="C1262">
            <v>0</v>
          </cell>
        </row>
        <row r="1263">
          <cell r="A1263">
            <v>0</v>
          </cell>
          <cell r="B1263">
            <v>0</v>
          </cell>
          <cell r="C1263">
            <v>0</v>
          </cell>
        </row>
        <row r="1264">
          <cell r="A1264">
            <v>0</v>
          </cell>
          <cell r="B1264">
            <v>0</v>
          </cell>
          <cell r="C1264">
            <v>0</v>
          </cell>
        </row>
        <row r="1265">
          <cell r="A1265">
            <v>0</v>
          </cell>
          <cell r="B1265">
            <v>0</v>
          </cell>
          <cell r="C1265">
            <v>0</v>
          </cell>
        </row>
        <row r="1266">
          <cell r="A1266">
            <v>0</v>
          </cell>
          <cell r="B1266">
            <v>0</v>
          </cell>
          <cell r="C1266">
            <v>0</v>
          </cell>
        </row>
        <row r="1267">
          <cell r="A1267">
            <v>0</v>
          </cell>
          <cell r="B1267">
            <v>0</v>
          </cell>
          <cell r="C1267">
            <v>0</v>
          </cell>
        </row>
        <row r="1268">
          <cell r="A1268">
            <v>0</v>
          </cell>
          <cell r="B1268">
            <v>0</v>
          </cell>
          <cell r="C1268">
            <v>0</v>
          </cell>
        </row>
        <row r="1269">
          <cell r="A1269">
            <v>0</v>
          </cell>
          <cell r="B1269">
            <v>0</v>
          </cell>
          <cell r="C1269">
            <v>0</v>
          </cell>
        </row>
        <row r="1270">
          <cell r="A1270">
            <v>0</v>
          </cell>
          <cell r="B1270">
            <v>0</v>
          </cell>
          <cell r="C1270">
            <v>0</v>
          </cell>
        </row>
        <row r="1271">
          <cell r="A1271">
            <v>0</v>
          </cell>
          <cell r="B1271">
            <v>0</v>
          </cell>
          <cell r="C1271">
            <v>0</v>
          </cell>
        </row>
        <row r="1272">
          <cell r="A1272">
            <v>0</v>
          </cell>
          <cell r="B1272">
            <v>0</v>
          </cell>
          <cell r="C1272">
            <v>0</v>
          </cell>
        </row>
        <row r="1273">
          <cell r="A1273">
            <v>0</v>
          </cell>
          <cell r="B1273">
            <v>0</v>
          </cell>
          <cell r="C1273">
            <v>0</v>
          </cell>
        </row>
        <row r="1274">
          <cell r="A1274">
            <v>0</v>
          </cell>
          <cell r="B1274">
            <v>0</v>
          </cell>
          <cell r="C1274">
            <v>0</v>
          </cell>
        </row>
        <row r="1275">
          <cell r="A1275">
            <v>0</v>
          </cell>
          <cell r="B1275">
            <v>0</v>
          </cell>
          <cell r="C1275">
            <v>0</v>
          </cell>
        </row>
        <row r="1276">
          <cell r="A1276">
            <v>0</v>
          </cell>
          <cell r="B1276">
            <v>0</v>
          </cell>
          <cell r="C1276">
            <v>0</v>
          </cell>
        </row>
        <row r="1277">
          <cell r="A1277">
            <v>0</v>
          </cell>
          <cell r="B1277">
            <v>0</v>
          </cell>
          <cell r="C1277">
            <v>0</v>
          </cell>
        </row>
        <row r="1278">
          <cell r="A1278">
            <v>0</v>
          </cell>
          <cell r="B1278">
            <v>0</v>
          </cell>
          <cell r="C1278">
            <v>0</v>
          </cell>
        </row>
        <row r="1279">
          <cell r="A1279">
            <v>0</v>
          </cell>
          <cell r="B1279">
            <v>0</v>
          </cell>
          <cell r="C1279">
            <v>0</v>
          </cell>
        </row>
        <row r="1280">
          <cell r="A1280">
            <v>0</v>
          </cell>
          <cell r="B1280">
            <v>0</v>
          </cell>
          <cell r="C1280">
            <v>0</v>
          </cell>
        </row>
        <row r="1281">
          <cell r="A1281">
            <v>0</v>
          </cell>
          <cell r="B1281">
            <v>0</v>
          </cell>
          <cell r="C1281">
            <v>0</v>
          </cell>
        </row>
        <row r="1282">
          <cell r="A1282">
            <v>0</v>
          </cell>
          <cell r="B1282">
            <v>0</v>
          </cell>
          <cell r="C1282">
            <v>0</v>
          </cell>
        </row>
        <row r="1283">
          <cell r="A1283">
            <v>0</v>
          </cell>
          <cell r="B1283">
            <v>0</v>
          </cell>
          <cell r="C1283">
            <v>0</v>
          </cell>
        </row>
        <row r="1284">
          <cell r="A1284">
            <v>0</v>
          </cell>
          <cell r="B1284">
            <v>0</v>
          </cell>
          <cell r="C1284">
            <v>0</v>
          </cell>
        </row>
        <row r="1285">
          <cell r="A1285">
            <v>0</v>
          </cell>
          <cell r="B1285">
            <v>0</v>
          </cell>
          <cell r="C1285">
            <v>0</v>
          </cell>
        </row>
        <row r="1286">
          <cell r="A1286">
            <v>0</v>
          </cell>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0">
          <cell r="A1290">
            <v>0</v>
          </cell>
          <cell r="B1290">
            <v>0</v>
          </cell>
          <cell r="C1290">
            <v>0</v>
          </cell>
        </row>
        <row r="1291">
          <cell r="A1291">
            <v>0</v>
          </cell>
          <cell r="B1291">
            <v>0</v>
          </cell>
          <cell r="C1291">
            <v>0</v>
          </cell>
        </row>
        <row r="1292">
          <cell r="A1292">
            <v>0</v>
          </cell>
          <cell r="B1292">
            <v>0</v>
          </cell>
          <cell r="C1292">
            <v>0</v>
          </cell>
        </row>
        <row r="1293">
          <cell r="A1293">
            <v>0</v>
          </cell>
          <cell r="B1293">
            <v>0</v>
          </cell>
          <cell r="C1293">
            <v>0</v>
          </cell>
        </row>
        <row r="1294">
          <cell r="A1294">
            <v>0</v>
          </cell>
          <cell r="B1294">
            <v>0</v>
          </cell>
          <cell r="C1294">
            <v>0</v>
          </cell>
        </row>
        <row r="1295">
          <cell r="A1295">
            <v>0</v>
          </cell>
          <cell r="B1295">
            <v>0</v>
          </cell>
          <cell r="C1295">
            <v>0</v>
          </cell>
        </row>
        <row r="1296">
          <cell r="A1296">
            <v>0</v>
          </cell>
          <cell r="B1296">
            <v>0</v>
          </cell>
          <cell r="C1296">
            <v>0</v>
          </cell>
        </row>
        <row r="1297">
          <cell r="A1297">
            <v>0</v>
          </cell>
          <cell r="B1297">
            <v>0</v>
          </cell>
          <cell r="C1297">
            <v>0</v>
          </cell>
        </row>
        <row r="1298">
          <cell r="A1298">
            <v>0</v>
          </cell>
          <cell r="B1298">
            <v>0</v>
          </cell>
          <cell r="C1298">
            <v>0</v>
          </cell>
        </row>
        <row r="1299">
          <cell r="A1299">
            <v>0</v>
          </cell>
          <cell r="B1299">
            <v>0</v>
          </cell>
          <cell r="C1299">
            <v>0</v>
          </cell>
        </row>
        <row r="1300">
          <cell r="A1300">
            <v>0</v>
          </cell>
          <cell r="B1300">
            <v>0</v>
          </cell>
          <cell r="C1300">
            <v>0</v>
          </cell>
        </row>
        <row r="1301">
          <cell r="A1301">
            <v>0</v>
          </cell>
          <cell r="B1301">
            <v>0</v>
          </cell>
          <cell r="C1301">
            <v>0</v>
          </cell>
        </row>
        <row r="1302">
          <cell r="A1302">
            <v>0</v>
          </cell>
          <cell r="B1302">
            <v>0</v>
          </cell>
          <cell r="C1302">
            <v>0</v>
          </cell>
        </row>
        <row r="1303">
          <cell r="A1303">
            <v>0</v>
          </cell>
          <cell r="B1303">
            <v>0</v>
          </cell>
          <cell r="C1303">
            <v>0</v>
          </cell>
        </row>
        <row r="1304">
          <cell r="A1304">
            <v>0</v>
          </cell>
          <cell r="B1304">
            <v>0</v>
          </cell>
          <cell r="C1304">
            <v>0</v>
          </cell>
        </row>
        <row r="1305">
          <cell r="A1305">
            <v>0</v>
          </cell>
          <cell r="B1305">
            <v>0</v>
          </cell>
          <cell r="C1305">
            <v>0</v>
          </cell>
        </row>
        <row r="1306">
          <cell r="A1306">
            <v>0</v>
          </cell>
          <cell r="B1306">
            <v>0</v>
          </cell>
          <cell r="C1306">
            <v>0</v>
          </cell>
        </row>
        <row r="1307">
          <cell r="A1307">
            <v>0</v>
          </cell>
          <cell r="B1307">
            <v>0</v>
          </cell>
          <cell r="C1307">
            <v>0</v>
          </cell>
        </row>
        <row r="1308">
          <cell r="A1308">
            <v>0</v>
          </cell>
          <cell r="B1308">
            <v>0</v>
          </cell>
          <cell r="C1308">
            <v>0</v>
          </cell>
        </row>
        <row r="1309">
          <cell r="A1309">
            <v>0</v>
          </cell>
          <cell r="B1309">
            <v>0</v>
          </cell>
          <cell r="C1309">
            <v>0</v>
          </cell>
        </row>
        <row r="1310">
          <cell r="A1310">
            <v>0</v>
          </cell>
          <cell r="B1310">
            <v>0</v>
          </cell>
          <cell r="C1310">
            <v>0</v>
          </cell>
        </row>
        <row r="1311">
          <cell r="A1311">
            <v>0</v>
          </cell>
          <cell r="B1311">
            <v>0</v>
          </cell>
          <cell r="C1311">
            <v>0</v>
          </cell>
        </row>
        <row r="1312">
          <cell r="A1312">
            <v>0</v>
          </cell>
          <cell r="B1312">
            <v>0</v>
          </cell>
          <cell r="C1312">
            <v>0</v>
          </cell>
        </row>
        <row r="1313">
          <cell r="A1313">
            <v>0</v>
          </cell>
          <cell r="B1313">
            <v>0</v>
          </cell>
          <cell r="C1313">
            <v>0</v>
          </cell>
        </row>
        <row r="1314">
          <cell r="A1314">
            <v>0</v>
          </cell>
          <cell r="B1314">
            <v>0</v>
          </cell>
          <cell r="C1314">
            <v>0</v>
          </cell>
        </row>
        <row r="1315">
          <cell r="A1315">
            <v>0</v>
          </cell>
          <cell r="B1315">
            <v>0</v>
          </cell>
          <cell r="C1315">
            <v>0</v>
          </cell>
        </row>
        <row r="1316">
          <cell r="A1316">
            <v>0</v>
          </cell>
          <cell r="B1316">
            <v>0</v>
          </cell>
          <cell r="C1316">
            <v>0</v>
          </cell>
        </row>
        <row r="1317">
          <cell r="A1317">
            <v>0</v>
          </cell>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1">
          <cell r="A1321">
            <v>0</v>
          </cell>
          <cell r="B1321">
            <v>0</v>
          </cell>
          <cell r="C1321">
            <v>0</v>
          </cell>
        </row>
        <row r="1322">
          <cell r="A1322">
            <v>0</v>
          </cell>
          <cell r="B1322">
            <v>0</v>
          </cell>
          <cell r="C1322">
            <v>0</v>
          </cell>
        </row>
        <row r="1323">
          <cell r="A1323">
            <v>0</v>
          </cell>
          <cell r="B1323">
            <v>0</v>
          </cell>
          <cell r="C1323">
            <v>0</v>
          </cell>
        </row>
        <row r="1324">
          <cell r="A1324">
            <v>0</v>
          </cell>
          <cell r="B1324">
            <v>0</v>
          </cell>
          <cell r="C1324">
            <v>0</v>
          </cell>
        </row>
        <row r="1325">
          <cell r="A1325">
            <v>0</v>
          </cell>
          <cell r="B1325">
            <v>0</v>
          </cell>
          <cell r="C1325">
            <v>0</v>
          </cell>
        </row>
        <row r="1326">
          <cell r="A1326">
            <v>0</v>
          </cell>
          <cell r="B1326">
            <v>0</v>
          </cell>
          <cell r="C1326">
            <v>0</v>
          </cell>
        </row>
        <row r="1327">
          <cell r="A1327">
            <v>0</v>
          </cell>
          <cell r="B1327">
            <v>0</v>
          </cell>
          <cell r="C1327">
            <v>0</v>
          </cell>
        </row>
        <row r="1328">
          <cell r="A1328">
            <v>0</v>
          </cell>
          <cell r="B1328">
            <v>0</v>
          </cell>
          <cell r="C1328">
            <v>0</v>
          </cell>
        </row>
        <row r="1329">
          <cell r="A1329">
            <v>0</v>
          </cell>
          <cell r="B1329">
            <v>0</v>
          </cell>
          <cell r="C1329">
            <v>0</v>
          </cell>
        </row>
        <row r="1330">
          <cell r="A1330">
            <v>0</v>
          </cell>
          <cell r="B1330">
            <v>0</v>
          </cell>
          <cell r="C1330">
            <v>0</v>
          </cell>
        </row>
        <row r="1331">
          <cell r="A1331">
            <v>0</v>
          </cell>
          <cell r="B1331">
            <v>0</v>
          </cell>
          <cell r="C1331">
            <v>0</v>
          </cell>
        </row>
        <row r="1332">
          <cell r="A1332">
            <v>0</v>
          </cell>
          <cell r="B1332">
            <v>0</v>
          </cell>
          <cell r="C1332">
            <v>0</v>
          </cell>
        </row>
        <row r="1333">
          <cell r="A1333">
            <v>0</v>
          </cell>
          <cell r="B1333">
            <v>0</v>
          </cell>
          <cell r="C1333">
            <v>0</v>
          </cell>
        </row>
        <row r="1334">
          <cell r="A1334">
            <v>0</v>
          </cell>
          <cell r="B1334">
            <v>0</v>
          </cell>
          <cell r="C1334">
            <v>0</v>
          </cell>
        </row>
        <row r="1335">
          <cell r="A1335">
            <v>0</v>
          </cell>
          <cell r="B1335">
            <v>0</v>
          </cell>
          <cell r="C1335">
            <v>0</v>
          </cell>
        </row>
        <row r="1336">
          <cell r="A1336">
            <v>0</v>
          </cell>
          <cell r="B1336">
            <v>0</v>
          </cell>
          <cell r="C1336">
            <v>0</v>
          </cell>
        </row>
        <row r="1337">
          <cell r="A1337">
            <v>0</v>
          </cell>
          <cell r="B1337">
            <v>0</v>
          </cell>
          <cell r="C1337">
            <v>0</v>
          </cell>
        </row>
        <row r="1338">
          <cell r="A1338">
            <v>0</v>
          </cell>
          <cell r="B1338">
            <v>0</v>
          </cell>
          <cell r="C1338">
            <v>0</v>
          </cell>
        </row>
        <row r="1339">
          <cell r="A1339">
            <v>0</v>
          </cell>
          <cell r="B1339">
            <v>0</v>
          </cell>
          <cell r="C1339">
            <v>0</v>
          </cell>
        </row>
        <row r="1340">
          <cell r="A1340">
            <v>0</v>
          </cell>
          <cell r="B1340">
            <v>0</v>
          </cell>
          <cell r="C1340">
            <v>0</v>
          </cell>
        </row>
        <row r="1341">
          <cell r="A1341">
            <v>0</v>
          </cell>
          <cell r="B1341">
            <v>0</v>
          </cell>
          <cell r="C1341">
            <v>0</v>
          </cell>
        </row>
        <row r="1342">
          <cell r="A1342">
            <v>0</v>
          </cell>
          <cell r="B1342">
            <v>0</v>
          </cell>
          <cell r="C1342">
            <v>0</v>
          </cell>
        </row>
        <row r="1343">
          <cell r="A1343">
            <v>0</v>
          </cell>
          <cell r="B1343">
            <v>0</v>
          </cell>
          <cell r="C1343">
            <v>0</v>
          </cell>
        </row>
        <row r="1344">
          <cell r="A1344">
            <v>0</v>
          </cell>
          <cell r="B1344">
            <v>0</v>
          </cell>
          <cell r="C1344">
            <v>0</v>
          </cell>
        </row>
        <row r="1345">
          <cell r="A1345">
            <v>0</v>
          </cell>
          <cell r="B1345">
            <v>0</v>
          </cell>
          <cell r="C1345">
            <v>0</v>
          </cell>
        </row>
        <row r="1346">
          <cell r="A1346">
            <v>0</v>
          </cell>
          <cell r="B1346">
            <v>0</v>
          </cell>
          <cell r="C1346">
            <v>0</v>
          </cell>
        </row>
        <row r="1347">
          <cell r="A1347">
            <v>0</v>
          </cell>
          <cell r="B1347">
            <v>0</v>
          </cell>
          <cell r="C1347">
            <v>0</v>
          </cell>
        </row>
        <row r="1348">
          <cell r="A1348">
            <v>0</v>
          </cell>
          <cell r="B1348">
            <v>0</v>
          </cell>
          <cell r="C1348">
            <v>0</v>
          </cell>
        </row>
        <row r="1349">
          <cell r="A1349">
            <v>0</v>
          </cell>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3">
          <cell r="A1353">
            <v>0</v>
          </cell>
          <cell r="B1353">
            <v>0</v>
          </cell>
          <cell r="C1353">
            <v>0</v>
          </cell>
        </row>
        <row r="1354">
          <cell r="A1354">
            <v>0</v>
          </cell>
          <cell r="B1354">
            <v>0</v>
          </cell>
          <cell r="C1354">
            <v>0</v>
          </cell>
        </row>
        <row r="1355">
          <cell r="A1355">
            <v>0</v>
          </cell>
          <cell r="B1355">
            <v>0</v>
          </cell>
          <cell r="C1355">
            <v>0</v>
          </cell>
        </row>
        <row r="1356">
          <cell r="A1356">
            <v>0</v>
          </cell>
          <cell r="B1356">
            <v>0</v>
          </cell>
          <cell r="C1356">
            <v>0</v>
          </cell>
        </row>
        <row r="1357">
          <cell r="A1357">
            <v>0</v>
          </cell>
          <cell r="B1357">
            <v>0</v>
          </cell>
          <cell r="C1357">
            <v>0</v>
          </cell>
        </row>
        <row r="1358">
          <cell r="A1358">
            <v>0</v>
          </cell>
          <cell r="B1358">
            <v>0</v>
          </cell>
          <cell r="C1358">
            <v>0</v>
          </cell>
        </row>
        <row r="1359">
          <cell r="A1359">
            <v>0</v>
          </cell>
          <cell r="B1359">
            <v>0</v>
          </cell>
          <cell r="C1359">
            <v>0</v>
          </cell>
        </row>
        <row r="1360">
          <cell r="A1360">
            <v>0</v>
          </cell>
          <cell r="B1360">
            <v>0</v>
          </cell>
          <cell r="C1360">
            <v>0</v>
          </cell>
        </row>
        <row r="1361">
          <cell r="A1361">
            <v>0</v>
          </cell>
          <cell r="B1361">
            <v>0</v>
          </cell>
          <cell r="C1361">
            <v>0</v>
          </cell>
        </row>
        <row r="1362">
          <cell r="A1362">
            <v>0</v>
          </cell>
          <cell r="B1362">
            <v>0</v>
          </cell>
          <cell r="C1362">
            <v>0</v>
          </cell>
        </row>
        <row r="1363">
          <cell r="A1363">
            <v>0</v>
          </cell>
          <cell r="B1363">
            <v>0</v>
          </cell>
          <cell r="C1363">
            <v>0</v>
          </cell>
        </row>
        <row r="1364">
          <cell r="A1364">
            <v>0</v>
          </cell>
          <cell r="B1364">
            <v>0</v>
          </cell>
          <cell r="C1364">
            <v>0</v>
          </cell>
        </row>
        <row r="1365">
          <cell r="A1365">
            <v>0</v>
          </cell>
          <cell r="B1365">
            <v>0</v>
          </cell>
          <cell r="C1365">
            <v>0</v>
          </cell>
        </row>
        <row r="1366">
          <cell r="A1366">
            <v>0</v>
          </cell>
          <cell r="B1366">
            <v>0</v>
          </cell>
          <cell r="C1366">
            <v>0</v>
          </cell>
        </row>
        <row r="1367">
          <cell r="A1367">
            <v>0</v>
          </cell>
          <cell r="B1367">
            <v>0</v>
          </cell>
          <cell r="C1367">
            <v>0</v>
          </cell>
        </row>
        <row r="1368">
          <cell r="A1368">
            <v>0</v>
          </cell>
          <cell r="B1368">
            <v>0</v>
          </cell>
          <cell r="C1368">
            <v>0</v>
          </cell>
        </row>
        <row r="1369">
          <cell r="A1369">
            <v>0</v>
          </cell>
          <cell r="B1369">
            <v>0</v>
          </cell>
          <cell r="C1369">
            <v>0</v>
          </cell>
        </row>
        <row r="1370">
          <cell r="A1370">
            <v>0</v>
          </cell>
          <cell r="B1370">
            <v>0</v>
          </cell>
          <cell r="C1370">
            <v>0</v>
          </cell>
        </row>
        <row r="1371">
          <cell r="A1371">
            <v>0</v>
          </cell>
          <cell r="B1371">
            <v>0</v>
          </cell>
          <cell r="C1371">
            <v>0</v>
          </cell>
        </row>
        <row r="1372">
          <cell r="A1372">
            <v>0</v>
          </cell>
          <cell r="B1372">
            <v>0</v>
          </cell>
          <cell r="C1372">
            <v>0</v>
          </cell>
        </row>
        <row r="1373">
          <cell r="A1373">
            <v>0</v>
          </cell>
          <cell r="B1373">
            <v>0</v>
          </cell>
          <cell r="C1373">
            <v>0</v>
          </cell>
        </row>
        <row r="1374">
          <cell r="A1374">
            <v>0</v>
          </cell>
          <cell r="B1374">
            <v>0</v>
          </cell>
          <cell r="C1374">
            <v>0</v>
          </cell>
        </row>
        <row r="1375">
          <cell r="A1375">
            <v>0</v>
          </cell>
          <cell r="B1375">
            <v>0</v>
          </cell>
          <cell r="C1375">
            <v>0</v>
          </cell>
        </row>
        <row r="1376">
          <cell r="A1376">
            <v>0</v>
          </cell>
          <cell r="B1376">
            <v>0</v>
          </cell>
          <cell r="C1376">
            <v>0</v>
          </cell>
        </row>
        <row r="1377">
          <cell r="A1377">
            <v>0</v>
          </cell>
          <cell r="B1377">
            <v>0</v>
          </cell>
          <cell r="C1377">
            <v>0</v>
          </cell>
        </row>
        <row r="1378">
          <cell r="A1378">
            <v>0</v>
          </cell>
          <cell r="B1378">
            <v>0</v>
          </cell>
          <cell r="C1378">
            <v>0</v>
          </cell>
        </row>
        <row r="1379">
          <cell r="A1379">
            <v>0</v>
          </cell>
          <cell r="B1379">
            <v>0</v>
          </cell>
          <cell r="C1379">
            <v>0</v>
          </cell>
        </row>
        <row r="1380">
          <cell r="A1380">
            <v>0</v>
          </cell>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4">
          <cell r="A1384">
            <v>0</v>
          </cell>
          <cell r="B1384">
            <v>0</v>
          </cell>
          <cell r="C1384">
            <v>0</v>
          </cell>
        </row>
        <row r="1385">
          <cell r="A1385">
            <v>0</v>
          </cell>
          <cell r="B1385">
            <v>0</v>
          </cell>
          <cell r="C1385">
            <v>0</v>
          </cell>
        </row>
        <row r="1386">
          <cell r="A1386">
            <v>0</v>
          </cell>
          <cell r="B1386">
            <v>0</v>
          </cell>
          <cell r="C1386">
            <v>0</v>
          </cell>
        </row>
        <row r="1387">
          <cell r="A1387">
            <v>0</v>
          </cell>
          <cell r="B1387">
            <v>0</v>
          </cell>
          <cell r="C1387">
            <v>0</v>
          </cell>
        </row>
        <row r="1388">
          <cell r="A1388">
            <v>0</v>
          </cell>
          <cell r="B1388">
            <v>0</v>
          </cell>
          <cell r="C1388">
            <v>0</v>
          </cell>
        </row>
        <row r="1389">
          <cell r="A1389">
            <v>0</v>
          </cell>
          <cell r="B1389">
            <v>0</v>
          </cell>
          <cell r="C1389">
            <v>0</v>
          </cell>
        </row>
        <row r="1390">
          <cell r="A1390">
            <v>0</v>
          </cell>
          <cell r="B1390">
            <v>0</v>
          </cell>
          <cell r="C1390">
            <v>0</v>
          </cell>
        </row>
        <row r="1391">
          <cell r="A1391">
            <v>0</v>
          </cell>
          <cell r="B1391">
            <v>0</v>
          </cell>
          <cell r="C1391">
            <v>0</v>
          </cell>
        </row>
        <row r="1392">
          <cell r="A1392">
            <v>0</v>
          </cell>
          <cell r="B1392">
            <v>0</v>
          </cell>
          <cell r="C1392">
            <v>0</v>
          </cell>
        </row>
        <row r="1393">
          <cell r="A1393">
            <v>0</v>
          </cell>
          <cell r="B1393">
            <v>0</v>
          </cell>
          <cell r="C1393">
            <v>0</v>
          </cell>
        </row>
        <row r="1394">
          <cell r="A1394">
            <v>0</v>
          </cell>
          <cell r="B1394">
            <v>0</v>
          </cell>
          <cell r="C1394">
            <v>0</v>
          </cell>
        </row>
        <row r="1395">
          <cell r="A1395">
            <v>0</v>
          </cell>
          <cell r="B1395">
            <v>0</v>
          </cell>
          <cell r="C1395">
            <v>0</v>
          </cell>
        </row>
        <row r="1396">
          <cell r="A1396">
            <v>0</v>
          </cell>
          <cell r="B1396">
            <v>0</v>
          </cell>
          <cell r="C1396">
            <v>0</v>
          </cell>
        </row>
        <row r="1397">
          <cell r="A1397">
            <v>0</v>
          </cell>
          <cell r="B1397">
            <v>0</v>
          </cell>
          <cell r="C1397">
            <v>0</v>
          </cell>
        </row>
        <row r="1398">
          <cell r="A1398">
            <v>0</v>
          </cell>
          <cell r="B1398">
            <v>0</v>
          </cell>
          <cell r="C1398">
            <v>0</v>
          </cell>
        </row>
        <row r="1399">
          <cell r="A1399">
            <v>0</v>
          </cell>
          <cell r="B1399">
            <v>0</v>
          </cell>
          <cell r="C1399">
            <v>0</v>
          </cell>
        </row>
        <row r="1400">
          <cell r="A1400">
            <v>0</v>
          </cell>
          <cell r="B1400">
            <v>0</v>
          </cell>
          <cell r="C1400">
            <v>0</v>
          </cell>
        </row>
        <row r="1401">
          <cell r="A1401">
            <v>0</v>
          </cell>
          <cell r="B1401">
            <v>0</v>
          </cell>
          <cell r="C1401">
            <v>0</v>
          </cell>
        </row>
        <row r="1402">
          <cell r="A1402">
            <v>0</v>
          </cell>
          <cell r="B1402">
            <v>0</v>
          </cell>
          <cell r="C1402">
            <v>0</v>
          </cell>
        </row>
        <row r="1403">
          <cell r="A1403">
            <v>0</v>
          </cell>
          <cell r="B1403">
            <v>0</v>
          </cell>
          <cell r="C1403">
            <v>0</v>
          </cell>
        </row>
        <row r="1404">
          <cell r="A1404">
            <v>0</v>
          </cell>
          <cell r="B1404">
            <v>0</v>
          </cell>
          <cell r="C1404">
            <v>0</v>
          </cell>
        </row>
        <row r="1405">
          <cell r="A1405">
            <v>0</v>
          </cell>
          <cell r="B1405">
            <v>0</v>
          </cell>
          <cell r="C1405">
            <v>0</v>
          </cell>
        </row>
        <row r="1406">
          <cell r="A1406">
            <v>0</v>
          </cell>
          <cell r="B1406">
            <v>0</v>
          </cell>
          <cell r="C1406">
            <v>0</v>
          </cell>
        </row>
        <row r="1407">
          <cell r="A1407">
            <v>0</v>
          </cell>
          <cell r="B1407">
            <v>0</v>
          </cell>
          <cell r="C1407">
            <v>0</v>
          </cell>
        </row>
        <row r="1408">
          <cell r="A1408">
            <v>0</v>
          </cell>
          <cell r="B1408">
            <v>0</v>
          </cell>
          <cell r="C1408">
            <v>0</v>
          </cell>
        </row>
        <row r="1409">
          <cell r="A1409">
            <v>0</v>
          </cell>
          <cell r="B1409">
            <v>0</v>
          </cell>
          <cell r="C1409">
            <v>0</v>
          </cell>
        </row>
        <row r="1410">
          <cell r="A1410">
            <v>0</v>
          </cell>
          <cell r="B1410">
            <v>0</v>
          </cell>
          <cell r="C1410">
            <v>0</v>
          </cell>
        </row>
        <row r="1411">
          <cell r="A1411">
            <v>0</v>
          </cell>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5">
          <cell r="A1415">
            <v>0</v>
          </cell>
          <cell r="B1415">
            <v>0</v>
          </cell>
          <cell r="C1415">
            <v>0</v>
          </cell>
        </row>
        <row r="1416">
          <cell r="A1416">
            <v>0</v>
          </cell>
          <cell r="B1416">
            <v>0</v>
          </cell>
          <cell r="C1416">
            <v>0</v>
          </cell>
        </row>
        <row r="1417">
          <cell r="A1417">
            <v>0</v>
          </cell>
          <cell r="B1417">
            <v>0</v>
          </cell>
          <cell r="C1417">
            <v>0</v>
          </cell>
        </row>
        <row r="1418">
          <cell r="A1418">
            <v>0</v>
          </cell>
          <cell r="B1418">
            <v>0</v>
          </cell>
          <cell r="C1418">
            <v>0</v>
          </cell>
        </row>
        <row r="1419">
          <cell r="A1419">
            <v>0</v>
          </cell>
          <cell r="B1419">
            <v>0</v>
          </cell>
          <cell r="C1419">
            <v>0</v>
          </cell>
        </row>
        <row r="1420">
          <cell r="A1420">
            <v>0</v>
          </cell>
          <cell r="B1420">
            <v>0</v>
          </cell>
          <cell r="C1420">
            <v>0</v>
          </cell>
        </row>
        <row r="1421">
          <cell r="A1421">
            <v>0</v>
          </cell>
          <cell r="B1421">
            <v>0</v>
          </cell>
          <cell r="C1421">
            <v>0</v>
          </cell>
        </row>
        <row r="1422">
          <cell r="A1422">
            <v>0</v>
          </cell>
          <cell r="B1422">
            <v>0</v>
          </cell>
          <cell r="C1422">
            <v>0</v>
          </cell>
        </row>
        <row r="1423">
          <cell r="A1423">
            <v>0</v>
          </cell>
          <cell r="B1423">
            <v>0</v>
          </cell>
          <cell r="C1423">
            <v>0</v>
          </cell>
        </row>
        <row r="1424">
          <cell r="A1424">
            <v>0</v>
          </cell>
          <cell r="B1424">
            <v>0</v>
          </cell>
          <cell r="C1424">
            <v>0</v>
          </cell>
        </row>
        <row r="1425">
          <cell r="A1425">
            <v>0</v>
          </cell>
          <cell r="B1425">
            <v>0</v>
          </cell>
          <cell r="C1425">
            <v>0</v>
          </cell>
        </row>
        <row r="1426">
          <cell r="A1426">
            <v>0</v>
          </cell>
          <cell r="B1426">
            <v>0</v>
          </cell>
          <cell r="C1426">
            <v>0</v>
          </cell>
        </row>
        <row r="1427">
          <cell r="A1427">
            <v>0</v>
          </cell>
          <cell r="B1427">
            <v>0</v>
          </cell>
          <cell r="C1427">
            <v>0</v>
          </cell>
        </row>
        <row r="1428">
          <cell r="A1428">
            <v>0</v>
          </cell>
          <cell r="B1428">
            <v>0</v>
          </cell>
          <cell r="C1428">
            <v>0</v>
          </cell>
        </row>
        <row r="1429">
          <cell r="A1429">
            <v>0</v>
          </cell>
          <cell r="B1429">
            <v>0</v>
          </cell>
          <cell r="C1429">
            <v>0</v>
          </cell>
        </row>
        <row r="1430">
          <cell r="A1430">
            <v>0</v>
          </cell>
          <cell r="B1430">
            <v>0</v>
          </cell>
          <cell r="C1430">
            <v>0</v>
          </cell>
        </row>
        <row r="1431">
          <cell r="A1431">
            <v>0</v>
          </cell>
          <cell r="B1431">
            <v>0</v>
          </cell>
          <cell r="C1431">
            <v>0</v>
          </cell>
        </row>
        <row r="1432">
          <cell r="A1432">
            <v>0</v>
          </cell>
          <cell r="B1432">
            <v>0</v>
          </cell>
          <cell r="C1432">
            <v>0</v>
          </cell>
        </row>
        <row r="1433">
          <cell r="A1433">
            <v>0</v>
          </cell>
          <cell r="B1433">
            <v>0</v>
          </cell>
          <cell r="C1433">
            <v>0</v>
          </cell>
        </row>
        <row r="1434">
          <cell r="A1434">
            <v>0</v>
          </cell>
          <cell r="B1434">
            <v>0</v>
          </cell>
          <cell r="C1434">
            <v>0</v>
          </cell>
        </row>
        <row r="1435">
          <cell r="A1435">
            <v>0</v>
          </cell>
          <cell r="B1435">
            <v>0</v>
          </cell>
          <cell r="C1435">
            <v>0</v>
          </cell>
        </row>
        <row r="1436">
          <cell r="A1436">
            <v>0</v>
          </cell>
          <cell r="B1436">
            <v>0</v>
          </cell>
          <cell r="C1436">
            <v>0</v>
          </cell>
        </row>
        <row r="1437">
          <cell r="A1437">
            <v>0</v>
          </cell>
          <cell r="B1437">
            <v>0</v>
          </cell>
          <cell r="C1437">
            <v>0</v>
          </cell>
        </row>
        <row r="1438">
          <cell r="A1438">
            <v>0</v>
          </cell>
          <cell r="B1438">
            <v>0</v>
          </cell>
          <cell r="C1438">
            <v>0</v>
          </cell>
        </row>
        <row r="1439">
          <cell r="A1439">
            <v>0</v>
          </cell>
          <cell r="B1439">
            <v>0</v>
          </cell>
          <cell r="C1439">
            <v>0</v>
          </cell>
        </row>
        <row r="1440">
          <cell r="A1440">
            <v>0</v>
          </cell>
          <cell r="B1440">
            <v>0</v>
          </cell>
          <cell r="C1440">
            <v>0</v>
          </cell>
        </row>
        <row r="1441">
          <cell r="A1441">
            <v>0</v>
          </cell>
          <cell r="B1441">
            <v>0</v>
          </cell>
          <cell r="C1441">
            <v>0</v>
          </cell>
        </row>
        <row r="1442">
          <cell r="A1442">
            <v>0</v>
          </cell>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6">
          <cell r="A1446">
            <v>0</v>
          </cell>
          <cell r="B1446">
            <v>0</v>
          </cell>
          <cell r="C1446">
            <v>0</v>
          </cell>
        </row>
        <row r="1447">
          <cell r="A1447">
            <v>0</v>
          </cell>
          <cell r="B1447">
            <v>0</v>
          </cell>
          <cell r="C1447">
            <v>0</v>
          </cell>
        </row>
        <row r="1448">
          <cell r="A1448">
            <v>0</v>
          </cell>
          <cell r="B1448">
            <v>0</v>
          </cell>
          <cell r="C1448">
            <v>0</v>
          </cell>
        </row>
        <row r="1449">
          <cell r="A1449">
            <v>0</v>
          </cell>
          <cell r="B1449">
            <v>0</v>
          </cell>
          <cell r="C1449">
            <v>0</v>
          </cell>
        </row>
        <row r="1450">
          <cell r="A1450">
            <v>0</v>
          </cell>
          <cell r="B1450">
            <v>0</v>
          </cell>
          <cell r="C1450">
            <v>0</v>
          </cell>
        </row>
        <row r="1451">
          <cell r="A1451">
            <v>0</v>
          </cell>
          <cell r="B1451">
            <v>0</v>
          </cell>
          <cell r="C1451">
            <v>0</v>
          </cell>
        </row>
        <row r="1452">
          <cell r="A1452">
            <v>0</v>
          </cell>
          <cell r="B1452">
            <v>0</v>
          </cell>
          <cell r="C1452">
            <v>0</v>
          </cell>
        </row>
        <row r="1453">
          <cell r="A1453">
            <v>0</v>
          </cell>
          <cell r="B1453">
            <v>0</v>
          </cell>
          <cell r="C1453">
            <v>0</v>
          </cell>
        </row>
        <row r="1454">
          <cell r="A1454">
            <v>0</v>
          </cell>
          <cell r="B1454">
            <v>0</v>
          </cell>
          <cell r="C1454">
            <v>0</v>
          </cell>
        </row>
        <row r="1455">
          <cell r="A1455">
            <v>0</v>
          </cell>
          <cell r="B1455">
            <v>0</v>
          </cell>
          <cell r="C1455">
            <v>0</v>
          </cell>
        </row>
        <row r="1456">
          <cell r="A1456">
            <v>0</v>
          </cell>
          <cell r="B1456">
            <v>0</v>
          </cell>
          <cell r="C1456">
            <v>0</v>
          </cell>
        </row>
        <row r="1457">
          <cell r="A1457">
            <v>0</v>
          </cell>
          <cell r="B1457">
            <v>0</v>
          </cell>
          <cell r="C1457">
            <v>0</v>
          </cell>
        </row>
        <row r="1458">
          <cell r="A1458">
            <v>0</v>
          </cell>
          <cell r="B1458">
            <v>0</v>
          </cell>
          <cell r="C1458">
            <v>0</v>
          </cell>
        </row>
        <row r="1459">
          <cell r="A1459">
            <v>0</v>
          </cell>
          <cell r="B1459">
            <v>0</v>
          </cell>
          <cell r="C1459">
            <v>0</v>
          </cell>
        </row>
        <row r="1460">
          <cell r="A1460">
            <v>0</v>
          </cell>
          <cell r="B1460">
            <v>0</v>
          </cell>
          <cell r="C1460">
            <v>0</v>
          </cell>
        </row>
        <row r="1461">
          <cell r="A1461">
            <v>0</v>
          </cell>
          <cell r="B1461">
            <v>0</v>
          </cell>
          <cell r="C1461">
            <v>0</v>
          </cell>
        </row>
        <row r="1462">
          <cell r="A1462">
            <v>0</v>
          </cell>
          <cell r="B1462">
            <v>0</v>
          </cell>
          <cell r="C1462">
            <v>0</v>
          </cell>
        </row>
        <row r="1463">
          <cell r="A1463">
            <v>0</v>
          </cell>
          <cell r="B1463">
            <v>0</v>
          </cell>
          <cell r="C1463">
            <v>0</v>
          </cell>
        </row>
        <row r="1464">
          <cell r="A1464">
            <v>0</v>
          </cell>
          <cell r="B1464">
            <v>0</v>
          </cell>
          <cell r="C1464">
            <v>0</v>
          </cell>
        </row>
        <row r="1465">
          <cell r="A1465">
            <v>0</v>
          </cell>
          <cell r="B1465">
            <v>0</v>
          </cell>
          <cell r="C1465">
            <v>0</v>
          </cell>
        </row>
        <row r="1466">
          <cell r="A1466">
            <v>0</v>
          </cell>
          <cell r="B1466">
            <v>0</v>
          </cell>
          <cell r="C1466">
            <v>0</v>
          </cell>
        </row>
        <row r="1467">
          <cell r="A1467">
            <v>0</v>
          </cell>
          <cell r="B1467">
            <v>0</v>
          </cell>
          <cell r="C1467">
            <v>0</v>
          </cell>
        </row>
        <row r="1468">
          <cell r="A1468">
            <v>0</v>
          </cell>
          <cell r="B1468">
            <v>0</v>
          </cell>
          <cell r="C1468">
            <v>0</v>
          </cell>
        </row>
        <row r="1469">
          <cell r="A1469">
            <v>0</v>
          </cell>
          <cell r="B1469">
            <v>0</v>
          </cell>
          <cell r="C1469">
            <v>0</v>
          </cell>
        </row>
        <row r="1470">
          <cell r="A1470">
            <v>0</v>
          </cell>
          <cell r="B1470">
            <v>0</v>
          </cell>
          <cell r="C1470">
            <v>0</v>
          </cell>
        </row>
        <row r="1471">
          <cell r="A1471">
            <v>0</v>
          </cell>
          <cell r="B1471">
            <v>0</v>
          </cell>
          <cell r="C1471">
            <v>0</v>
          </cell>
        </row>
        <row r="1472">
          <cell r="A1472">
            <v>0</v>
          </cell>
          <cell r="B1472">
            <v>0</v>
          </cell>
          <cell r="C1472">
            <v>0</v>
          </cell>
        </row>
        <row r="1473">
          <cell r="A1473">
            <v>0</v>
          </cell>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7">
          <cell r="A1477">
            <v>0</v>
          </cell>
          <cell r="B1477">
            <v>0</v>
          </cell>
          <cell r="C1477">
            <v>0</v>
          </cell>
        </row>
        <row r="1478">
          <cell r="A1478">
            <v>0</v>
          </cell>
          <cell r="B1478">
            <v>0</v>
          </cell>
          <cell r="C1478">
            <v>0</v>
          </cell>
        </row>
        <row r="1479">
          <cell r="A1479">
            <v>0</v>
          </cell>
          <cell r="B1479">
            <v>0</v>
          </cell>
          <cell r="C1479">
            <v>0</v>
          </cell>
        </row>
        <row r="1480">
          <cell r="A1480">
            <v>0</v>
          </cell>
          <cell r="B1480">
            <v>0</v>
          </cell>
          <cell r="C1480">
            <v>0</v>
          </cell>
        </row>
        <row r="1481">
          <cell r="A1481">
            <v>0</v>
          </cell>
          <cell r="B1481">
            <v>0</v>
          </cell>
          <cell r="C1481">
            <v>0</v>
          </cell>
        </row>
        <row r="1482">
          <cell r="A1482">
            <v>0</v>
          </cell>
          <cell r="B1482">
            <v>0</v>
          </cell>
          <cell r="C1482">
            <v>0</v>
          </cell>
        </row>
        <row r="1483">
          <cell r="A1483">
            <v>0</v>
          </cell>
          <cell r="B1483">
            <v>0</v>
          </cell>
          <cell r="C1483">
            <v>0</v>
          </cell>
        </row>
        <row r="1484">
          <cell r="A1484">
            <v>0</v>
          </cell>
          <cell r="B1484">
            <v>0</v>
          </cell>
          <cell r="C1484">
            <v>0</v>
          </cell>
        </row>
        <row r="1485">
          <cell r="A1485">
            <v>0</v>
          </cell>
          <cell r="B1485">
            <v>0</v>
          </cell>
          <cell r="C1485">
            <v>0</v>
          </cell>
        </row>
        <row r="1486">
          <cell r="A1486">
            <v>0</v>
          </cell>
          <cell r="B1486">
            <v>0</v>
          </cell>
          <cell r="C1486">
            <v>0</v>
          </cell>
        </row>
        <row r="1487">
          <cell r="A1487">
            <v>0</v>
          </cell>
          <cell r="B1487">
            <v>0</v>
          </cell>
          <cell r="C1487">
            <v>0</v>
          </cell>
        </row>
        <row r="1488">
          <cell r="A1488">
            <v>0</v>
          </cell>
          <cell r="B1488">
            <v>0</v>
          </cell>
          <cell r="C1488">
            <v>0</v>
          </cell>
        </row>
        <row r="1489">
          <cell r="A1489">
            <v>0</v>
          </cell>
          <cell r="B1489">
            <v>0</v>
          </cell>
          <cell r="C1489">
            <v>0</v>
          </cell>
        </row>
        <row r="1490">
          <cell r="A1490">
            <v>0</v>
          </cell>
          <cell r="B1490">
            <v>0</v>
          </cell>
          <cell r="C1490">
            <v>0</v>
          </cell>
        </row>
        <row r="1491">
          <cell r="A1491">
            <v>0</v>
          </cell>
          <cell r="B1491">
            <v>0</v>
          </cell>
          <cell r="C1491">
            <v>0</v>
          </cell>
        </row>
        <row r="1492">
          <cell r="A1492">
            <v>0</v>
          </cell>
          <cell r="B1492">
            <v>0</v>
          </cell>
          <cell r="C1492">
            <v>0</v>
          </cell>
        </row>
        <row r="1493">
          <cell r="A1493">
            <v>0</v>
          </cell>
          <cell r="B1493">
            <v>0</v>
          </cell>
          <cell r="C1493">
            <v>0</v>
          </cell>
        </row>
        <row r="1494">
          <cell r="A1494">
            <v>0</v>
          </cell>
          <cell r="B1494">
            <v>0</v>
          </cell>
          <cell r="C1494">
            <v>0</v>
          </cell>
        </row>
        <row r="1495">
          <cell r="A1495">
            <v>0</v>
          </cell>
          <cell r="B1495">
            <v>0</v>
          </cell>
          <cell r="C1495">
            <v>0</v>
          </cell>
        </row>
        <row r="1496">
          <cell r="A1496">
            <v>0</v>
          </cell>
          <cell r="B1496">
            <v>0</v>
          </cell>
          <cell r="C1496">
            <v>0</v>
          </cell>
        </row>
        <row r="1497">
          <cell r="A1497">
            <v>0</v>
          </cell>
          <cell r="B1497">
            <v>0</v>
          </cell>
          <cell r="C1497">
            <v>0</v>
          </cell>
        </row>
        <row r="1498">
          <cell r="A1498">
            <v>0</v>
          </cell>
          <cell r="B1498">
            <v>0</v>
          </cell>
          <cell r="C1498">
            <v>0</v>
          </cell>
        </row>
        <row r="1499">
          <cell r="A1499">
            <v>0</v>
          </cell>
          <cell r="B1499">
            <v>0</v>
          </cell>
          <cell r="C1499">
            <v>0</v>
          </cell>
        </row>
        <row r="1500">
          <cell r="A1500">
            <v>0</v>
          </cell>
          <cell r="B1500">
            <v>0</v>
          </cell>
          <cell r="C1500">
            <v>0</v>
          </cell>
        </row>
        <row r="1501">
          <cell r="A1501">
            <v>0</v>
          </cell>
          <cell r="B1501">
            <v>0</v>
          </cell>
          <cell r="C1501">
            <v>0</v>
          </cell>
        </row>
        <row r="1502">
          <cell r="A1502">
            <v>0</v>
          </cell>
          <cell r="B1502">
            <v>0</v>
          </cell>
          <cell r="C1502">
            <v>0</v>
          </cell>
        </row>
        <row r="1503">
          <cell r="A1503">
            <v>0</v>
          </cell>
          <cell r="B1503">
            <v>0</v>
          </cell>
          <cell r="C1503">
            <v>0</v>
          </cell>
        </row>
        <row r="1504">
          <cell r="A1504">
            <v>0</v>
          </cell>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8">
          <cell r="A1508">
            <v>0</v>
          </cell>
          <cell r="B1508">
            <v>0</v>
          </cell>
          <cell r="C1508">
            <v>0</v>
          </cell>
        </row>
        <row r="1509">
          <cell r="A1509">
            <v>0</v>
          </cell>
          <cell r="B1509">
            <v>0</v>
          </cell>
          <cell r="C1509">
            <v>0</v>
          </cell>
        </row>
        <row r="1510">
          <cell r="A1510">
            <v>0</v>
          </cell>
          <cell r="B1510">
            <v>0</v>
          </cell>
          <cell r="C1510">
            <v>0</v>
          </cell>
        </row>
        <row r="1511">
          <cell r="A1511">
            <v>0</v>
          </cell>
          <cell r="B1511">
            <v>0</v>
          </cell>
          <cell r="C1511">
            <v>0</v>
          </cell>
        </row>
        <row r="1512">
          <cell r="A1512">
            <v>0</v>
          </cell>
          <cell r="B1512">
            <v>0</v>
          </cell>
          <cell r="C1512">
            <v>0</v>
          </cell>
        </row>
        <row r="1513">
          <cell r="A1513">
            <v>0</v>
          </cell>
          <cell r="B1513">
            <v>0</v>
          </cell>
          <cell r="C1513">
            <v>0</v>
          </cell>
        </row>
        <row r="1514">
          <cell r="A1514">
            <v>0</v>
          </cell>
          <cell r="B1514">
            <v>0</v>
          </cell>
          <cell r="C1514">
            <v>0</v>
          </cell>
        </row>
        <row r="1515">
          <cell r="A1515">
            <v>0</v>
          </cell>
          <cell r="B1515">
            <v>0</v>
          </cell>
          <cell r="C1515">
            <v>0</v>
          </cell>
        </row>
        <row r="1516">
          <cell r="A1516">
            <v>0</v>
          </cell>
          <cell r="B1516">
            <v>0</v>
          </cell>
          <cell r="C1516">
            <v>0</v>
          </cell>
        </row>
        <row r="1517">
          <cell r="A1517">
            <v>0</v>
          </cell>
          <cell r="B1517">
            <v>0</v>
          </cell>
          <cell r="C1517">
            <v>0</v>
          </cell>
        </row>
        <row r="1518">
          <cell r="A1518">
            <v>0</v>
          </cell>
          <cell r="B1518">
            <v>0</v>
          </cell>
          <cell r="C1518">
            <v>0</v>
          </cell>
        </row>
        <row r="1519">
          <cell r="A1519">
            <v>0</v>
          </cell>
          <cell r="B1519">
            <v>0</v>
          </cell>
          <cell r="C1519">
            <v>0</v>
          </cell>
        </row>
        <row r="1520">
          <cell r="A1520">
            <v>0</v>
          </cell>
          <cell r="B1520">
            <v>0</v>
          </cell>
          <cell r="C1520">
            <v>0</v>
          </cell>
        </row>
        <row r="1521">
          <cell r="A1521">
            <v>0</v>
          </cell>
          <cell r="B1521">
            <v>0</v>
          </cell>
          <cell r="C1521">
            <v>0</v>
          </cell>
        </row>
        <row r="1522">
          <cell r="A1522">
            <v>0</v>
          </cell>
          <cell r="B1522">
            <v>0</v>
          </cell>
          <cell r="C1522">
            <v>0</v>
          </cell>
        </row>
        <row r="1523">
          <cell r="A1523">
            <v>0</v>
          </cell>
          <cell r="B1523">
            <v>0</v>
          </cell>
          <cell r="C1523">
            <v>0</v>
          </cell>
        </row>
        <row r="1524">
          <cell r="A1524">
            <v>0</v>
          </cell>
          <cell r="B1524">
            <v>0</v>
          </cell>
          <cell r="C1524">
            <v>0</v>
          </cell>
        </row>
        <row r="1525">
          <cell r="A1525">
            <v>0</v>
          </cell>
          <cell r="B1525">
            <v>0</v>
          </cell>
          <cell r="C1525">
            <v>0</v>
          </cell>
        </row>
        <row r="1526">
          <cell r="A1526">
            <v>0</v>
          </cell>
          <cell r="B1526">
            <v>0</v>
          </cell>
          <cell r="C1526">
            <v>0</v>
          </cell>
        </row>
        <row r="1527">
          <cell r="A1527">
            <v>0</v>
          </cell>
          <cell r="B1527">
            <v>0</v>
          </cell>
          <cell r="C1527">
            <v>0</v>
          </cell>
        </row>
        <row r="1528">
          <cell r="A1528">
            <v>0</v>
          </cell>
          <cell r="B1528">
            <v>0</v>
          </cell>
          <cell r="C1528">
            <v>0</v>
          </cell>
        </row>
        <row r="1529">
          <cell r="A1529">
            <v>0</v>
          </cell>
          <cell r="B1529">
            <v>0</v>
          </cell>
          <cell r="C1529">
            <v>0</v>
          </cell>
        </row>
        <row r="1530">
          <cell r="A1530">
            <v>0</v>
          </cell>
          <cell r="B1530">
            <v>0</v>
          </cell>
          <cell r="C1530">
            <v>0</v>
          </cell>
        </row>
        <row r="1531">
          <cell r="A1531">
            <v>0</v>
          </cell>
          <cell r="B1531">
            <v>0</v>
          </cell>
          <cell r="C1531">
            <v>0</v>
          </cell>
        </row>
        <row r="1532">
          <cell r="A1532">
            <v>0</v>
          </cell>
          <cell r="B1532">
            <v>0</v>
          </cell>
          <cell r="C1532">
            <v>0</v>
          </cell>
        </row>
        <row r="1533">
          <cell r="A1533">
            <v>0</v>
          </cell>
          <cell r="B1533">
            <v>0</v>
          </cell>
          <cell r="C1533">
            <v>0</v>
          </cell>
        </row>
        <row r="1534">
          <cell r="A1534">
            <v>0</v>
          </cell>
          <cell r="B1534">
            <v>0</v>
          </cell>
          <cell r="C1534">
            <v>0</v>
          </cell>
        </row>
        <row r="1535">
          <cell r="A1535">
            <v>0</v>
          </cell>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39">
          <cell r="A1539">
            <v>0</v>
          </cell>
          <cell r="B1539">
            <v>0</v>
          </cell>
          <cell r="C1539">
            <v>0</v>
          </cell>
        </row>
        <row r="1540">
          <cell r="A1540">
            <v>0</v>
          </cell>
          <cell r="B1540">
            <v>0</v>
          </cell>
          <cell r="C1540">
            <v>0</v>
          </cell>
        </row>
        <row r="1541">
          <cell r="A1541">
            <v>0</v>
          </cell>
          <cell r="B1541">
            <v>0</v>
          </cell>
          <cell r="C1541">
            <v>0</v>
          </cell>
        </row>
        <row r="1542">
          <cell r="A1542">
            <v>0</v>
          </cell>
          <cell r="B1542">
            <v>0</v>
          </cell>
          <cell r="C1542">
            <v>0</v>
          </cell>
        </row>
        <row r="1543">
          <cell r="A1543">
            <v>0</v>
          </cell>
          <cell r="B1543">
            <v>0</v>
          </cell>
          <cell r="C1543">
            <v>0</v>
          </cell>
        </row>
        <row r="1544">
          <cell r="A1544">
            <v>0</v>
          </cell>
          <cell r="B1544">
            <v>0</v>
          </cell>
          <cell r="C1544">
            <v>0</v>
          </cell>
        </row>
        <row r="1545">
          <cell r="A1545">
            <v>0</v>
          </cell>
          <cell r="B1545">
            <v>0</v>
          </cell>
          <cell r="C1545">
            <v>0</v>
          </cell>
        </row>
        <row r="1546">
          <cell r="A1546">
            <v>0</v>
          </cell>
          <cell r="B1546">
            <v>0</v>
          </cell>
          <cell r="C1546">
            <v>0</v>
          </cell>
        </row>
        <row r="1547">
          <cell r="A1547">
            <v>0</v>
          </cell>
          <cell r="B1547">
            <v>0</v>
          </cell>
          <cell r="C1547">
            <v>0</v>
          </cell>
        </row>
        <row r="1548">
          <cell r="A1548">
            <v>0</v>
          </cell>
          <cell r="B1548">
            <v>0</v>
          </cell>
          <cell r="C1548">
            <v>0</v>
          </cell>
        </row>
        <row r="1549">
          <cell r="A1549">
            <v>0</v>
          </cell>
          <cell r="B1549">
            <v>0</v>
          </cell>
          <cell r="C1549">
            <v>0</v>
          </cell>
        </row>
        <row r="1550">
          <cell r="A1550">
            <v>0</v>
          </cell>
          <cell r="B1550">
            <v>0</v>
          </cell>
          <cell r="C1550">
            <v>0</v>
          </cell>
        </row>
        <row r="1551">
          <cell r="A1551">
            <v>0</v>
          </cell>
          <cell r="B1551">
            <v>0</v>
          </cell>
          <cell r="C1551">
            <v>0</v>
          </cell>
        </row>
        <row r="1552">
          <cell r="A1552">
            <v>0</v>
          </cell>
          <cell r="B1552">
            <v>0</v>
          </cell>
          <cell r="C1552">
            <v>0</v>
          </cell>
        </row>
        <row r="1553">
          <cell r="A1553">
            <v>0</v>
          </cell>
          <cell r="B1553">
            <v>0</v>
          </cell>
          <cell r="C1553">
            <v>0</v>
          </cell>
        </row>
        <row r="1554">
          <cell r="A1554">
            <v>0</v>
          </cell>
          <cell r="B1554">
            <v>0</v>
          </cell>
          <cell r="C1554">
            <v>0</v>
          </cell>
        </row>
        <row r="1555">
          <cell r="A1555">
            <v>0</v>
          </cell>
          <cell r="B1555">
            <v>0</v>
          </cell>
          <cell r="C1555">
            <v>0</v>
          </cell>
        </row>
        <row r="1556">
          <cell r="A1556">
            <v>0</v>
          </cell>
          <cell r="B1556">
            <v>0</v>
          </cell>
          <cell r="C1556">
            <v>0</v>
          </cell>
        </row>
        <row r="1557">
          <cell r="A1557">
            <v>0</v>
          </cell>
          <cell r="B1557">
            <v>0</v>
          </cell>
          <cell r="C1557">
            <v>0</v>
          </cell>
        </row>
        <row r="1558">
          <cell r="A1558">
            <v>0</v>
          </cell>
          <cell r="B1558">
            <v>0</v>
          </cell>
          <cell r="C1558">
            <v>0</v>
          </cell>
        </row>
        <row r="1559">
          <cell r="A1559">
            <v>0</v>
          </cell>
          <cell r="B1559">
            <v>0</v>
          </cell>
          <cell r="C1559">
            <v>0</v>
          </cell>
        </row>
        <row r="1560">
          <cell r="A1560">
            <v>0</v>
          </cell>
          <cell r="B1560">
            <v>0</v>
          </cell>
          <cell r="C1560">
            <v>0</v>
          </cell>
        </row>
        <row r="1561">
          <cell r="A1561">
            <v>0</v>
          </cell>
          <cell r="B1561">
            <v>0</v>
          </cell>
          <cell r="C1561">
            <v>0</v>
          </cell>
        </row>
        <row r="1562">
          <cell r="A1562">
            <v>0</v>
          </cell>
          <cell r="B1562">
            <v>0</v>
          </cell>
          <cell r="C1562">
            <v>0</v>
          </cell>
        </row>
        <row r="1563">
          <cell r="A1563">
            <v>0</v>
          </cell>
          <cell r="B1563">
            <v>0</v>
          </cell>
          <cell r="C1563">
            <v>0</v>
          </cell>
        </row>
        <row r="1564">
          <cell r="A1564">
            <v>0</v>
          </cell>
          <cell r="B1564">
            <v>0</v>
          </cell>
          <cell r="C1564">
            <v>0</v>
          </cell>
        </row>
        <row r="1565">
          <cell r="A1565">
            <v>0</v>
          </cell>
          <cell r="B1565">
            <v>0</v>
          </cell>
          <cell r="C1565">
            <v>0</v>
          </cell>
        </row>
        <row r="1566">
          <cell r="A1566">
            <v>0</v>
          </cell>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0">
          <cell r="A1570">
            <v>0</v>
          </cell>
          <cell r="B1570">
            <v>0</v>
          </cell>
          <cell r="C1570">
            <v>0</v>
          </cell>
        </row>
        <row r="1571">
          <cell r="A1571">
            <v>0</v>
          </cell>
          <cell r="B1571">
            <v>0</v>
          </cell>
          <cell r="C1571">
            <v>0</v>
          </cell>
        </row>
        <row r="1572">
          <cell r="A1572">
            <v>0</v>
          </cell>
          <cell r="B1572">
            <v>0</v>
          </cell>
          <cell r="C1572">
            <v>0</v>
          </cell>
        </row>
        <row r="1573">
          <cell r="A1573">
            <v>0</v>
          </cell>
          <cell r="B1573">
            <v>0</v>
          </cell>
          <cell r="C1573">
            <v>0</v>
          </cell>
        </row>
        <row r="1574">
          <cell r="A1574">
            <v>0</v>
          </cell>
          <cell r="B1574">
            <v>0</v>
          </cell>
          <cell r="C1574">
            <v>0</v>
          </cell>
        </row>
        <row r="1575">
          <cell r="A1575">
            <v>0</v>
          </cell>
          <cell r="B1575">
            <v>0</v>
          </cell>
          <cell r="C1575">
            <v>0</v>
          </cell>
        </row>
        <row r="1576">
          <cell r="A1576">
            <v>0</v>
          </cell>
          <cell r="B1576">
            <v>0</v>
          </cell>
          <cell r="C1576">
            <v>0</v>
          </cell>
        </row>
        <row r="1577">
          <cell r="A1577">
            <v>0</v>
          </cell>
          <cell r="B1577">
            <v>0</v>
          </cell>
          <cell r="C1577">
            <v>0</v>
          </cell>
        </row>
        <row r="1578">
          <cell r="A1578">
            <v>0</v>
          </cell>
          <cell r="B1578">
            <v>0</v>
          </cell>
          <cell r="C1578">
            <v>0</v>
          </cell>
        </row>
        <row r="1579">
          <cell r="A1579">
            <v>0</v>
          </cell>
          <cell r="B1579">
            <v>0</v>
          </cell>
          <cell r="C1579">
            <v>0</v>
          </cell>
        </row>
        <row r="1580">
          <cell r="A1580">
            <v>0</v>
          </cell>
          <cell r="B1580">
            <v>0</v>
          </cell>
          <cell r="C1580">
            <v>0</v>
          </cell>
        </row>
        <row r="1581">
          <cell r="A1581">
            <v>0</v>
          </cell>
          <cell r="B1581">
            <v>0</v>
          </cell>
          <cell r="C1581">
            <v>0</v>
          </cell>
        </row>
        <row r="1582">
          <cell r="A1582">
            <v>0</v>
          </cell>
          <cell r="B1582">
            <v>0</v>
          </cell>
          <cell r="C1582">
            <v>0</v>
          </cell>
        </row>
        <row r="1583">
          <cell r="A1583">
            <v>0</v>
          </cell>
          <cell r="B1583">
            <v>0</v>
          </cell>
          <cell r="C1583">
            <v>0</v>
          </cell>
        </row>
        <row r="1584">
          <cell r="A1584">
            <v>0</v>
          </cell>
          <cell r="B1584">
            <v>0</v>
          </cell>
          <cell r="C1584">
            <v>0</v>
          </cell>
        </row>
        <row r="1585">
          <cell r="A1585">
            <v>0</v>
          </cell>
          <cell r="B1585">
            <v>0</v>
          </cell>
          <cell r="C1585">
            <v>0</v>
          </cell>
        </row>
        <row r="1586">
          <cell r="A1586">
            <v>0</v>
          </cell>
          <cell r="B1586">
            <v>0</v>
          </cell>
          <cell r="C1586">
            <v>0</v>
          </cell>
        </row>
        <row r="1587">
          <cell r="A1587">
            <v>0</v>
          </cell>
          <cell r="B1587">
            <v>0</v>
          </cell>
          <cell r="C1587">
            <v>0</v>
          </cell>
        </row>
        <row r="1588">
          <cell r="A1588">
            <v>0</v>
          </cell>
          <cell r="B1588">
            <v>0</v>
          </cell>
          <cell r="C1588">
            <v>0</v>
          </cell>
        </row>
        <row r="1589">
          <cell r="A1589">
            <v>0</v>
          </cell>
          <cell r="B1589">
            <v>0</v>
          </cell>
          <cell r="C1589">
            <v>0</v>
          </cell>
        </row>
        <row r="1590">
          <cell r="A1590">
            <v>0</v>
          </cell>
          <cell r="B1590">
            <v>0</v>
          </cell>
          <cell r="C1590">
            <v>0</v>
          </cell>
        </row>
        <row r="1591">
          <cell r="A1591">
            <v>0</v>
          </cell>
          <cell r="B1591">
            <v>0</v>
          </cell>
          <cell r="C1591">
            <v>0</v>
          </cell>
        </row>
        <row r="1592">
          <cell r="A1592">
            <v>0</v>
          </cell>
          <cell r="B1592">
            <v>0</v>
          </cell>
          <cell r="C1592">
            <v>0</v>
          </cell>
        </row>
        <row r="1593">
          <cell r="A1593">
            <v>0</v>
          </cell>
          <cell r="B1593">
            <v>0</v>
          </cell>
          <cell r="C1593">
            <v>0</v>
          </cell>
        </row>
        <row r="1594">
          <cell r="A1594">
            <v>0</v>
          </cell>
          <cell r="B1594">
            <v>0</v>
          </cell>
          <cell r="C1594">
            <v>0</v>
          </cell>
        </row>
        <row r="1595">
          <cell r="A1595">
            <v>0</v>
          </cell>
          <cell r="B1595">
            <v>0</v>
          </cell>
          <cell r="C1595">
            <v>0</v>
          </cell>
        </row>
        <row r="1596">
          <cell r="A1596">
            <v>0</v>
          </cell>
          <cell r="B1596">
            <v>0</v>
          </cell>
          <cell r="C1596">
            <v>0</v>
          </cell>
        </row>
        <row r="1597">
          <cell r="A1597">
            <v>0</v>
          </cell>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1">
          <cell r="A1601">
            <v>0</v>
          </cell>
          <cell r="B1601">
            <v>0</v>
          </cell>
          <cell r="C1601">
            <v>0</v>
          </cell>
        </row>
        <row r="1602">
          <cell r="A1602">
            <v>0</v>
          </cell>
          <cell r="B1602">
            <v>0</v>
          </cell>
          <cell r="C1602">
            <v>0</v>
          </cell>
        </row>
        <row r="1603">
          <cell r="A1603">
            <v>0</v>
          </cell>
          <cell r="B1603">
            <v>0</v>
          </cell>
          <cell r="C1603">
            <v>0</v>
          </cell>
        </row>
        <row r="1604">
          <cell r="A1604">
            <v>0</v>
          </cell>
          <cell r="B1604">
            <v>0</v>
          </cell>
          <cell r="C1604">
            <v>0</v>
          </cell>
        </row>
        <row r="1605">
          <cell r="A1605">
            <v>0</v>
          </cell>
          <cell r="B1605">
            <v>0</v>
          </cell>
          <cell r="C1605">
            <v>0</v>
          </cell>
        </row>
        <row r="1606">
          <cell r="A1606">
            <v>0</v>
          </cell>
          <cell r="B1606">
            <v>0</v>
          </cell>
          <cell r="C1606">
            <v>0</v>
          </cell>
        </row>
        <row r="1607">
          <cell r="A1607">
            <v>0</v>
          </cell>
          <cell r="B1607">
            <v>0</v>
          </cell>
          <cell r="C1607">
            <v>0</v>
          </cell>
        </row>
        <row r="1608">
          <cell r="A1608">
            <v>0</v>
          </cell>
          <cell r="B1608">
            <v>0</v>
          </cell>
          <cell r="C1608">
            <v>0</v>
          </cell>
        </row>
        <row r="1609">
          <cell r="A1609">
            <v>0</v>
          </cell>
          <cell r="B1609">
            <v>0</v>
          </cell>
          <cell r="C1609">
            <v>0</v>
          </cell>
        </row>
        <row r="1610">
          <cell r="A1610">
            <v>0</v>
          </cell>
          <cell r="B1610">
            <v>0</v>
          </cell>
          <cell r="C1610">
            <v>0</v>
          </cell>
        </row>
        <row r="1611">
          <cell r="A1611">
            <v>0</v>
          </cell>
          <cell r="B1611">
            <v>0</v>
          </cell>
          <cell r="C1611">
            <v>0</v>
          </cell>
        </row>
        <row r="1612">
          <cell r="A1612">
            <v>0</v>
          </cell>
          <cell r="B1612">
            <v>0</v>
          </cell>
          <cell r="C1612">
            <v>0</v>
          </cell>
        </row>
        <row r="1613">
          <cell r="A1613">
            <v>0</v>
          </cell>
          <cell r="B1613">
            <v>0</v>
          </cell>
          <cell r="C1613">
            <v>0</v>
          </cell>
        </row>
        <row r="1614">
          <cell r="A1614">
            <v>0</v>
          </cell>
          <cell r="B1614">
            <v>0</v>
          </cell>
          <cell r="C1614">
            <v>0</v>
          </cell>
        </row>
        <row r="1615">
          <cell r="A1615">
            <v>0</v>
          </cell>
          <cell r="B1615">
            <v>0</v>
          </cell>
          <cell r="C1615">
            <v>0</v>
          </cell>
        </row>
        <row r="1616">
          <cell r="A1616">
            <v>0</v>
          </cell>
          <cell r="B1616">
            <v>0</v>
          </cell>
          <cell r="C1616">
            <v>0</v>
          </cell>
        </row>
        <row r="1617">
          <cell r="A1617">
            <v>0</v>
          </cell>
          <cell r="B1617">
            <v>0</v>
          </cell>
          <cell r="C1617">
            <v>0</v>
          </cell>
        </row>
        <row r="1618">
          <cell r="A1618">
            <v>0</v>
          </cell>
          <cell r="B1618">
            <v>0</v>
          </cell>
          <cell r="C1618">
            <v>0</v>
          </cell>
        </row>
        <row r="1619">
          <cell r="A1619">
            <v>0</v>
          </cell>
          <cell r="B1619">
            <v>0</v>
          </cell>
          <cell r="C1619">
            <v>0</v>
          </cell>
        </row>
        <row r="1620">
          <cell r="A1620">
            <v>0</v>
          </cell>
          <cell r="B1620">
            <v>0</v>
          </cell>
          <cell r="C1620">
            <v>0</v>
          </cell>
        </row>
        <row r="1621">
          <cell r="A1621">
            <v>0</v>
          </cell>
          <cell r="B1621">
            <v>0</v>
          </cell>
          <cell r="C1621">
            <v>0</v>
          </cell>
        </row>
        <row r="1622">
          <cell r="A1622">
            <v>0</v>
          </cell>
          <cell r="B1622">
            <v>0</v>
          </cell>
          <cell r="C1622">
            <v>0</v>
          </cell>
        </row>
        <row r="1623">
          <cell r="A1623">
            <v>0</v>
          </cell>
          <cell r="B1623">
            <v>0</v>
          </cell>
          <cell r="C1623">
            <v>0</v>
          </cell>
        </row>
        <row r="1624">
          <cell r="A1624">
            <v>0</v>
          </cell>
          <cell r="B1624">
            <v>0</v>
          </cell>
          <cell r="C1624">
            <v>0</v>
          </cell>
        </row>
        <row r="1625">
          <cell r="A1625">
            <v>0</v>
          </cell>
          <cell r="B1625">
            <v>0</v>
          </cell>
          <cell r="C1625">
            <v>0</v>
          </cell>
        </row>
        <row r="1626">
          <cell r="A1626">
            <v>0</v>
          </cell>
          <cell r="B1626">
            <v>0</v>
          </cell>
          <cell r="C1626">
            <v>0</v>
          </cell>
        </row>
        <row r="1627">
          <cell r="A1627">
            <v>0</v>
          </cell>
          <cell r="B1627">
            <v>0</v>
          </cell>
          <cell r="C1627">
            <v>0</v>
          </cell>
        </row>
        <row r="1628">
          <cell r="A1628">
            <v>0</v>
          </cell>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2">
          <cell r="A1632">
            <v>0</v>
          </cell>
          <cell r="B1632">
            <v>0</v>
          </cell>
          <cell r="C1632">
            <v>0</v>
          </cell>
        </row>
        <row r="1633">
          <cell r="A1633">
            <v>0</v>
          </cell>
          <cell r="B1633">
            <v>0</v>
          </cell>
          <cell r="C1633">
            <v>0</v>
          </cell>
        </row>
        <row r="1634">
          <cell r="A1634">
            <v>0</v>
          </cell>
          <cell r="B1634">
            <v>0</v>
          </cell>
          <cell r="C1634">
            <v>0</v>
          </cell>
        </row>
        <row r="1635">
          <cell r="A1635">
            <v>0</v>
          </cell>
          <cell r="B1635">
            <v>0</v>
          </cell>
          <cell r="C1635">
            <v>0</v>
          </cell>
        </row>
        <row r="1636">
          <cell r="A1636">
            <v>0</v>
          </cell>
          <cell r="B1636">
            <v>0</v>
          </cell>
          <cell r="C1636">
            <v>0</v>
          </cell>
        </row>
        <row r="1637">
          <cell r="A1637">
            <v>0</v>
          </cell>
          <cell r="B1637">
            <v>0</v>
          </cell>
          <cell r="C1637">
            <v>0</v>
          </cell>
        </row>
        <row r="1638">
          <cell r="A1638">
            <v>0</v>
          </cell>
          <cell r="B1638">
            <v>0</v>
          </cell>
          <cell r="C1638">
            <v>0</v>
          </cell>
        </row>
        <row r="1639">
          <cell r="A1639">
            <v>0</v>
          </cell>
          <cell r="B1639">
            <v>0</v>
          </cell>
          <cell r="C1639">
            <v>0</v>
          </cell>
        </row>
        <row r="1640">
          <cell r="A1640">
            <v>0</v>
          </cell>
          <cell r="B1640">
            <v>0</v>
          </cell>
          <cell r="C1640">
            <v>0</v>
          </cell>
        </row>
        <row r="1641">
          <cell r="A1641">
            <v>0</v>
          </cell>
          <cell r="B1641">
            <v>0</v>
          </cell>
          <cell r="C1641">
            <v>0</v>
          </cell>
        </row>
        <row r="1642">
          <cell r="A1642">
            <v>0</v>
          </cell>
          <cell r="B1642">
            <v>0</v>
          </cell>
          <cell r="C1642">
            <v>0</v>
          </cell>
        </row>
        <row r="1643">
          <cell r="A1643">
            <v>0</v>
          </cell>
          <cell r="B1643">
            <v>0</v>
          </cell>
          <cell r="C1643">
            <v>0</v>
          </cell>
        </row>
        <row r="1644">
          <cell r="A1644">
            <v>0</v>
          </cell>
          <cell r="B1644">
            <v>0</v>
          </cell>
          <cell r="C1644">
            <v>0</v>
          </cell>
        </row>
        <row r="1645">
          <cell r="A1645">
            <v>0</v>
          </cell>
          <cell r="B1645">
            <v>0</v>
          </cell>
          <cell r="C1645">
            <v>0</v>
          </cell>
        </row>
        <row r="1646">
          <cell r="A1646">
            <v>0</v>
          </cell>
          <cell r="B1646">
            <v>0</v>
          </cell>
          <cell r="C1646">
            <v>0</v>
          </cell>
        </row>
        <row r="1647">
          <cell r="A1647">
            <v>0</v>
          </cell>
          <cell r="B1647">
            <v>0</v>
          </cell>
          <cell r="C1647">
            <v>0</v>
          </cell>
        </row>
        <row r="1648">
          <cell r="A1648">
            <v>0</v>
          </cell>
          <cell r="B1648">
            <v>0</v>
          </cell>
          <cell r="C1648">
            <v>0</v>
          </cell>
        </row>
        <row r="1649">
          <cell r="A1649">
            <v>0</v>
          </cell>
          <cell r="B1649">
            <v>0</v>
          </cell>
          <cell r="C1649">
            <v>0</v>
          </cell>
        </row>
        <row r="1650">
          <cell r="A1650">
            <v>0</v>
          </cell>
          <cell r="B1650">
            <v>0</v>
          </cell>
          <cell r="C1650">
            <v>0</v>
          </cell>
        </row>
        <row r="1651">
          <cell r="A1651">
            <v>0</v>
          </cell>
          <cell r="B1651">
            <v>0</v>
          </cell>
          <cell r="C1651">
            <v>0</v>
          </cell>
        </row>
        <row r="1652">
          <cell r="A1652">
            <v>0</v>
          </cell>
          <cell r="B1652">
            <v>0</v>
          </cell>
          <cell r="C1652">
            <v>0</v>
          </cell>
        </row>
        <row r="1653">
          <cell r="A1653">
            <v>0</v>
          </cell>
          <cell r="B1653">
            <v>0</v>
          </cell>
          <cell r="C1653">
            <v>0</v>
          </cell>
        </row>
        <row r="1654">
          <cell r="A1654">
            <v>0</v>
          </cell>
          <cell r="B1654">
            <v>0</v>
          </cell>
          <cell r="C1654">
            <v>0</v>
          </cell>
        </row>
        <row r="1655">
          <cell r="A1655">
            <v>0</v>
          </cell>
          <cell r="B1655">
            <v>0</v>
          </cell>
          <cell r="C1655">
            <v>0</v>
          </cell>
        </row>
        <row r="1656">
          <cell r="A1656">
            <v>0</v>
          </cell>
          <cell r="B1656">
            <v>0</v>
          </cell>
          <cell r="C1656">
            <v>0</v>
          </cell>
        </row>
        <row r="1657">
          <cell r="A1657">
            <v>0</v>
          </cell>
          <cell r="B1657">
            <v>0</v>
          </cell>
          <cell r="C1657">
            <v>0</v>
          </cell>
        </row>
        <row r="1658">
          <cell r="A1658">
            <v>0</v>
          </cell>
          <cell r="B1658">
            <v>0</v>
          </cell>
          <cell r="C1658">
            <v>0</v>
          </cell>
        </row>
        <row r="1659">
          <cell r="A1659">
            <v>0</v>
          </cell>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3">
          <cell r="A1663">
            <v>0</v>
          </cell>
          <cell r="B1663">
            <v>0</v>
          </cell>
          <cell r="C1663">
            <v>0</v>
          </cell>
        </row>
        <row r="1664">
          <cell r="A1664">
            <v>0</v>
          </cell>
          <cell r="B1664">
            <v>0</v>
          </cell>
          <cell r="C1664">
            <v>0</v>
          </cell>
        </row>
        <row r="1665">
          <cell r="A1665">
            <v>0</v>
          </cell>
          <cell r="B1665">
            <v>0</v>
          </cell>
          <cell r="C1665">
            <v>0</v>
          </cell>
        </row>
        <row r="1666">
          <cell r="A1666">
            <v>0</v>
          </cell>
          <cell r="B1666">
            <v>0</v>
          </cell>
          <cell r="C1666">
            <v>0</v>
          </cell>
        </row>
        <row r="1667">
          <cell r="A1667">
            <v>0</v>
          </cell>
          <cell r="B1667">
            <v>0</v>
          </cell>
          <cell r="C1667">
            <v>0</v>
          </cell>
        </row>
        <row r="1668">
          <cell r="A1668">
            <v>0</v>
          </cell>
          <cell r="B1668">
            <v>0</v>
          </cell>
          <cell r="C1668">
            <v>0</v>
          </cell>
        </row>
        <row r="1669">
          <cell r="A1669">
            <v>0</v>
          </cell>
          <cell r="B1669">
            <v>0</v>
          </cell>
          <cell r="C1669">
            <v>0</v>
          </cell>
        </row>
        <row r="1670">
          <cell r="A1670">
            <v>0</v>
          </cell>
          <cell r="B1670">
            <v>0</v>
          </cell>
          <cell r="C1670">
            <v>0</v>
          </cell>
        </row>
        <row r="1671">
          <cell r="A1671">
            <v>0</v>
          </cell>
          <cell r="B1671">
            <v>0</v>
          </cell>
          <cell r="C1671">
            <v>0</v>
          </cell>
        </row>
        <row r="1672">
          <cell r="A1672">
            <v>0</v>
          </cell>
          <cell r="B1672">
            <v>0</v>
          </cell>
          <cell r="C1672">
            <v>0</v>
          </cell>
        </row>
        <row r="1673">
          <cell r="A1673">
            <v>0</v>
          </cell>
          <cell r="B1673">
            <v>0</v>
          </cell>
          <cell r="C1673">
            <v>0</v>
          </cell>
        </row>
        <row r="1674">
          <cell r="A1674">
            <v>0</v>
          </cell>
          <cell r="B1674">
            <v>0</v>
          </cell>
          <cell r="C1674">
            <v>0</v>
          </cell>
        </row>
        <row r="1675">
          <cell r="A1675">
            <v>0</v>
          </cell>
          <cell r="B1675">
            <v>0</v>
          </cell>
          <cell r="C1675">
            <v>0</v>
          </cell>
        </row>
        <row r="1676">
          <cell r="A1676">
            <v>0</v>
          </cell>
          <cell r="B1676">
            <v>0</v>
          </cell>
          <cell r="C1676">
            <v>0</v>
          </cell>
        </row>
        <row r="1677">
          <cell r="A1677">
            <v>0</v>
          </cell>
          <cell r="B1677">
            <v>0</v>
          </cell>
          <cell r="C1677">
            <v>0</v>
          </cell>
        </row>
        <row r="1678">
          <cell r="A1678">
            <v>0</v>
          </cell>
          <cell r="B1678">
            <v>0</v>
          </cell>
          <cell r="C1678">
            <v>0</v>
          </cell>
        </row>
        <row r="1679">
          <cell r="A1679">
            <v>0</v>
          </cell>
          <cell r="B1679">
            <v>0</v>
          </cell>
          <cell r="C1679">
            <v>0</v>
          </cell>
        </row>
        <row r="1680">
          <cell r="A1680">
            <v>0</v>
          </cell>
          <cell r="B1680">
            <v>0</v>
          </cell>
          <cell r="C1680">
            <v>0</v>
          </cell>
        </row>
        <row r="1681">
          <cell r="A1681">
            <v>0</v>
          </cell>
          <cell r="B1681">
            <v>0</v>
          </cell>
          <cell r="C1681">
            <v>0</v>
          </cell>
        </row>
        <row r="1682">
          <cell r="A1682">
            <v>0</v>
          </cell>
          <cell r="B1682">
            <v>0</v>
          </cell>
          <cell r="C1682">
            <v>0</v>
          </cell>
        </row>
        <row r="1683">
          <cell r="A1683">
            <v>0</v>
          </cell>
          <cell r="B1683">
            <v>0</v>
          </cell>
          <cell r="C1683">
            <v>0</v>
          </cell>
        </row>
        <row r="1684">
          <cell r="A1684">
            <v>0</v>
          </cell>
          <cell r="B1684">
            <v>0</v>
          </cell>
          <cell r="C1684">
            <v>0</v>
          </cell>
        </row>
        <row r="1685">
          <cell r="A1685">
            <v>0</v>
          </cell>
          <cell r="B1685">
            <v>0</v>
          </cell>
          <cell r="C1685">
            <v>0</v>
          </cell>
        </row>
        <row r="1686">
          <cell r="A1686">
            <v>0</v>
          </cell>
          <cell r="B1686">
            <v>0</v>
          </cell>
          <cell r="C1686">
            <v>0</v>
          </cell>
        </row>
        <row r="1687">
          <cell r="A1687">
            <v>0</v>
          </cell>
          <cell r="B1687">
            <v>0</v>
          </cell>
          <cell r="C1687">
            <v>0</v>
          </cell>
        </row>
        <row r="1688">
          <cell r="A1688">
            <v>0</v>
          </cell>
          <cell r="B1688">
            <v>0</v>
          </cell>
          <cell r="C1688">
            <v>0</v>
          </cell>
        </row>
        <row r="1689">
          <cell r="A1689">
            <v>0</v>
          </cell>
          <cell r="B1689">
            <v>0</v>
          </cell>
          <cell r="C1689">
            <v>0</v>
          </cell>
        </row>
        <row r="1690">
          <cell r="A1690">
            <v>0</v>
          </cell>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4">
          <cell r="A1694">
            <v>0</v>
          </cell>
          <cell r="B1694">
            <v>0</v>
          </cell>
          <cell r="C1694">
            <v>0</v>
          </cell>
        </row>
        <row r="1695">
          <cell r="A1695">
            <v>0</v>
          </cell>
          <cell r="B1695">
            <v>0</v>
          </cell>
          <cell r="C1695">
            <v>0</v>
          </cell>
        </row>
        <row r="1696">
          <cell r="A1696">
            <v>0</v>
          </cell>
          <cell r="B1696">
            <v>0</v>
          </cell>
          <cell r="C1696">
            <v>0</v>
          </cell>
        </row>
        <row r="1697">
          <cell r="A1697">
            <v>0</v>
          </cell>
          <cell r="B1697">
            <v>0</v>
          </cell>
          <cell r="C1697">
            <v>0</v>
          </cell>
        </row>
        <row r="1698">
          <cell r="A1698">
            <v>0</v>
          </cell>
          <cell r="B1698">
            <v>0</v>
          </cell>
          <cell r="C1698">
            <v>0</v>
          </cell>
        </row>
        <row r="1699">
          <cell r="A1699">
            <v>0</v>
          </cell>
          <cell r="B1699">
            <v>0</v>
          </cell>
          <cell r="C1699">
            <v>0</v>
          </cell>
        </row>
        <row r="1700">
          <cell r="A1700">
            <v>0</v>
          </cell>
          <cell r="B1700">
            <v>0</v>
          </cell>
          <cell r="C1700">
            <v>0</v>
          </cell>
        </row>
        <row r="1701">
          <cell r="A1701">
            <v>0</v>
          </cell>
          <cell r="B1701">
            <v>0</v>
          </cell>
          <cell r="C1701">
            <v>0</v>
          </cell>
        </row>
        <row r="1702">
          <cell r="A1702">
            <v>0</v>
          </cell>
          <cell r="B1702">
            <v>0</v>
          </cell>
          <cell r="C1702">
            <v>0</v>
          </cell>
        </row>
        <row r="1703">
          <cell r="A1703">
            <v>0</v>
          </cell>
          <cell r="B1703">
            <v>0</v>
          </cell>
          <cell r="C1703">
            <v>0</v>
          </cell>
        </row>
        <row r="1704">
          <cell r="A1704">
            <v>0</v>
          </cell>
          <cell r="B1704">
            <v>0</v>
          </cell>
          <cell r="C1704">
            <v>0</v>
          </cell>
        </row>
        <row r="1705">
          <cell r="A1705">
            <v>0</v>
          </cell>
          <cell r="B1705">
            <v>0</v>
          </cell>
          <cell r="C1705">
            <v>0</v>
          </cell>
        </row>
        <row r="1706">
          <cell r="A1706">
            <v>0</v>
          </cell>
          <cell r="B1706">
            <v>0</v>
          </cell>
          <cell r="C1706">
            <v>0</v>
          </cell>
        </row>
        <row r="1707">
          <cell r="A1707">
            <v>0</v>
          </cell>
          <cell r="B1707">
            <v>0</v>
          </cell>
          <cell r="C1707">
            <v>0</v>
          </cell>
        </row>
        <row r="1708">
          <cell r="A1708">
            <v>0</v>
          </cell>
          <cell r="B1708">
            <v>0</v>
          </cell>
          <cell r="C1708">
            <v>0</v>
          </cell>
        </row>
        <row r="1709">
          <cell r="A1709">
            <v>0</v>
          </cell>
          <cell r="B1709">
            <v>0</v>
          </cell>
          <cell r="C1709">
            <v>0</v>
          </cell>
        </row>
        <row r="1710">
          <cell r="A1710">
            <v>0</v>
          </cell>
          <cell r="B1710">
            <v>0</v>
          </cell>
          <cell r="C1710">
            <v>0</v>
          </cell>
        </row>
        <row r="1711">
          <cell r="A1711">
            <v>0</v>
          </cell>
          <cell r="B1711">
            <v>0</v>
          </cell>
          <cell r="C1711">
            <v>0</v>
          </cell>
        </row>
        <row r="1712">
          <cell r="A1712">
            <v>0</v>
          </cell>
          <cell r="B1712">
            <v>0</v>
          </cell>
          <cell r="C1712">
            <v>0</v>
          </cell>
        </row>
        <row r="1713">
          <cell r="A1713">
            <v>0</v>
          </cell>
          <cell r="B1713">
            <v>0</v>
          </cell>
          <cell r="C1713">
            <v>0</v>
          </cell>
        </row>
        <row r="1714">
          <cell r="A1714">
            <v>0</v>
          </cell>
          <cell r="B1714">
            <v>0</v>
          </cell>
          <cell r="C1714">
            <v>0</v>
          </cell>
        </row>
        <row r="1715">
          <cell r="A1715">
            <v>0</v>
          </cell>
          <cell r="B1715">
            <v>0</v>
          </cell>
          <cell r="C1715">
            <v>0</v>
          </cell>
        </row>
        <row r="1716">
          <cell r="A1716">
            <v>0</v>
          </cell>
          <cell r="B1716">
            <v>0</v>
          </cell>
          <cell r="C1716">
            <v>0</v>
          </cell>
        </row>
        <row r="1717">
          <cell r="A1717">
            <v>0</v>
          </cell>
          <cell r="B1717">
            <v>0</v>
          </cell>
          <cell r="C1717">
            <v>0</v>
          </cell>
        </row>
        <row r="1718">
          <cell r="A1718">
            <v>0</v>
          </cell>
          <cell r="B1718">
            <v>0</v>
          </cell>
          <cell r="C1718">
            <v>0</v>
          </cell>
        </row>
        <row r="1719">
          <cell r="A1719">
            <v>0</v>
          </cell>
          <cell r="B1719">
            <v>0</v>
          </cell>
          <cell r="C1719">
            <v>0</v>
          </cell>
        </row>
        <row r="1720">
          <cell r="A1720">
            <v>0</v>
          </cell>
          <cell r="B1720">
            <v>0</v>
          </cell>
          <cell r="C1720">
            <v>0</v>
          </cell>
        </row>
        <row r="1721">
          <cell r="A1721">
            <v>0</v>
          </cell>
          <cell r="B1721">
            <v>0</v>
          </cell>
          <cell r="C1721">
            <v>0</v>
          </cell>
        </row>
        <row r="1722">
          <cell r="A1722">
            <v>0</v>
          </cell>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6">
          <cell r="A1726">
            <v>0</v>
          </cell>
          <cell r="B1726">
            <v>0</v>
          </cell>
          <cell r="C1726">
            <v>0</v>
          </cell>
        </row>
        <row r="1727">
          <cell r="A1727">
            <v>0</v>
          </cell>
          <cell r="B1727">
            <v>0</v>
          </cell>
          <cell r="C1727">
            <v>0</v>
          </cell>
        </row>
        <row r="1728">
          <cell r="A1728">
            <v>0</v>
          </cell>
          <cell r="B1728">
            <v>0</v>
          </cell>
          <cell r="C1728">
            <v>0</v>
          </cell>
        </row>
        <row r="1729">
          <cell r="A1729">
            <v>0</v>
          </cell>
          <cell r="B1729">
            <v>0</v>
          </cell>
          <cell r="C1729">
            <v>0</v>
          </cell>
        </row>
        <row r="1730">
          <cell r="A1730">
            <v>0</v>
          </cell>
          <cell r="B1730">
            <v>0</v>
          </cell>
          <cell r="C1730">
            <v>0</v>
          </cell>
        </row>
        <row r="1731">
          <cell r="A1731">
            <v>0</v>
          </cell>
          <cell r="B1731">
            <v>0</v>
          </cell>
          <cell r="C1731">
            <v>0</v>
          </cell>
        </row>
        <row r="1732">
          <cell r="A1732">
            <v>0</v>
          </cell>
          <cell r="B1732">
            <v>0</v>
          </cell>
          <cell r="C1732">
            <v>0</v>
          </cell>
        </row>
        <row r="1733">
          <cell r="A1733">
            <v>0</v>
          </cell>
          <cell r="B1733">
            <v>0</v>
          </cell>
          <cell r="C1733">
            <v>0</v>
          </cell>
        </row>
        <row r="1734">
          <cell r="A1734">
            <v>0</v>
          </cell>
          <cell r="B1734">
            <v>0</v>
          </cell>
          <cell r="C1734">
            <v>0</v>
          </cell>
        </row>
        <row r="1735">
          <cell r="A1735">
            <v>0</v>
          </cell>
          <cell r="B1735">
            <v>0</v>
          </cell>
          <cell r="C1735">
            <v>0</v>
          </cell>
        </row>
        <row r="1736">
          <cell r="A1736">
            <v>0</v>
          </cell>
          <cell r="B1736">
            <v>0</v>
          </cell>
          <cell r="C1736">
            <v>0</v>
          </cell>
        </row>
        <row r="1737">
          <cell r="A1737">
            <v>0</v>
          </cell>
          <cell r="B1737">
            <v>0</v>
          </cell>
          <cell r="C1737">
            <v>0</v>
          </cell>
        </row>
        <row r="1738">
          <cell r="A1738">
            <v>0</v>
          </cell>
          <cell r="B1738">
            <v>0</v>
          </cell>
          <cell r="C1738">
            <v>0</v>
          </cell>
        </row>
        <row r="1739">
          <cell r="A1739">
            <v>0</v>
          </cell>
          <cell r="B1739">
            <v>0</v>
          </cell>
          <cell r="C1739">
            <v>0</v>
          </cell>
        </row>
        <row r="1740">
          <cell r="A1740">
            <v>0</v>
          </cell>
          <cell r="B1740">
            <v>0</v>
          </cell>
          <cell r="C1740">
            <v>0</v>
          </cell>
        </row>
        <row r="1741">
          <cell r="A1741">
            <v>0</v>
          </cell>
          <cell r="B1741">
            <v>0</v>
          </cell>
          <cell r="C1741">
            <v>0</v>
          </cell>
        </row>
        <row r="1742">
          <cell r="A1742">
            <v>0</v>
          </cell>
          <cell r="B1742">
            <v>0</v>
          </cell>
          <cell r="C1742">
            <v>0</v>
          </cell>
        </row>
        <row r="1743">
          <cell r="A1743">
            <v>0</v>
          </cell>
          <cell r="B1743">
            <v>0</v>
          </cell>
          <cell r="C1743">
            <v>0</v>
          </cell>
        </row>
        <row r="1744">
          <cell r="A1744">
            <v>0</v>
          </cell>
          <cell r="B1744">
            <v>0</v>
          </cell>
          <cell r="C1744">
            <v>0</v>
          </cell>
        </row>
        <row r="1745">
          <cell r="A1745">
            <v>0</v>
          </cell>
          <cell r="B1745">
            <v>0</v>
          </cell>
          <cell r="C1745">
            <v>0</v>
          </cell>
        </row>
        <row r="1746">
          <cell r="A1746">
            <v>0</v>
          </cell>
          <cell r="B1746">
            <v>0</v>
          </cell>
          <cell r="C1746">
            <v>0</v>
          </cell>
        </row>
        <row r="1747">
          <cell r="A1747">
            <v>0</v>
          </cell>
          <cell r="B1747">
            <v>0</v>
          </cell>
          <cell r="C1747">
            <v>0</v>
          </cell>
        </row>
        <row r="1748">
          <cell r="A1748">
            <v>0</v>
          </cell>
          <cell r="B1748">
            <v>0</v>
          </cell>
          <cell r="C1748">
            <v>0</v>
          </cell>
        </row>
        <row r="1749">
          <cell r="A1749">
            <v>0</v>
          </cell>
          <cell r="B1749">
            <v>0</v>
          </cell>
          <cell r="C1749">
            <v>0</v>
          </cell>
        </row>
        <row r="1750">
          <cell r="A1750">
            <v>0</v>
          </cell>
          <cell r="B1750">
            <v>0</v>
          </cell>
          <cell r="C1750">
            <v>0</v>
          </cell>
        </row>
        <row r="1751">
          <cell r="A1751">
            <v>0</v>
          </cell>
          <cell r="B1751">
            <v>0</v>
          </cell>
          <cell r="C1751">
            <v>0</v>
          </cell>
        </row>
        <row r="1752">
          <cell r="A1752">
            <v>0</v>
          </cell>
          <cell r="B1752">
            <v>0</v>
          </cell>
          <cell r="C1752">
            <v>0</v>
          </cell>
        </row>
        <row r="1753">
          <cell r="A1753">
            <v>0</v>
          </cell>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7">
          <cell r="A1757">
            <v>0</v>
          </cell>
          <cell r="B1757">
            <v>0</v>
          </cell>
          <cell r="C1757">
            <v>0</v>
          </cell>
        </row>
        <row r="1758">
          <cell r="A1758">
            <v>0</v>
          </cell>
          <cell r="B1758">
            <v>0</v>
          </cell>
          <cell r="C1758">
            <v>0</v>
          </cell>
        </row>
        <row r="1759">
          <cell r="A1759">
            <v>0</v>
          </cell>
          <cell r="B1759">
            <v>0</v>
          </cell>
          <cell r="C1759">
            <v>0</v>
          </cell>
        </row>
        <row r="1760">
          <cell r="A1760">
            <v>0</v>
          </cell>
          <cell r="B1760">
            <v>0</v>
          </cell>
          <cell r="C1760">
            <v>0</v>
          </cell>
        </row>
        <row r="1761">
          <cell r="A1761">
            <v>0</v>
          </cell>
          <cell r="B1761">
            <v>0</v>
          </cell>
          <cell r="C1761">
            <v>0</v>
          </cell>
        </row>
        <row r="1762">
          <cell r="A1762">
            <v>0</v>
          </cell>
          <cell r="B1762">
            <v>0</v>
          </cell>
          <cell r="C1762">
            <v>0</v>
          </cell>
        </row>
        <row r="1763">
          <cell r="A1763">
            <v>0</v>
          </cell>
          <cell r="B1763">
            <v>0</v>
          </cell>
          <cell r="C1763">
            <v>0</v>
          </cell>
        </row>
        <row r="1764">
          <cell r="A1764">
            <v>0</v>
          </cell>
          <cell r="B1764">
            <v>0</v>
          </cell>
          <cell r="C1764">
            <v>0</v>
          </cell>
        </row>
        <row r="1765">
          <cell r="A1765">
            <v>0</v>
          </cell>
          <cell r="B1765">
            <v>0</v>
          </cell>
          <cell r="C1765">
            <v>0</v>
          </cell>
        </row>
        <row r="1766">
          <cell r="A1766">
            <v>0</v>
          </cell>
          <cell r="B1766">
            <v>0</v>
          </cell>
          <cell r="C1766">
            <v>0</v>
          </cell>
        </row>
        <row r="1767">
          <cell r="A1767">
            <v>0</v>
          </cell>
          <cell r="B1767">
            <v>0</v>
          </cell>
          <cell r="C1767">
            <v>0</v>
          </cell>
        </row>
        <row r="1768">
          <cell r="A1768">
            <v>0</v>
          </cell>
          <cell r="B1768">
            <v>0</v>
          </cell>
          <cell r="C1768">
            <v>0</v>
          </cell>
        </row>
        <row r="1769">
          <cell r="A1769">
            <v>0</v>
          </cell>
          <cell r="B1769">
            <v>0</v>
          </cell>
          <cell r="C1769">
            <v>0</v>
          </cell>
        </row>
        <row r="1770">
          <cell r="A1770">
            <v>0</v>
          </cell>
          <cell r="B1770">
            <v>0</v>
          </cell>
          <cell r="C1770">
            <v>0</v>
          </cell>
        </row>
        <row r="1771">
          <cell r="A1771">
            <v>0</v>
          </cell>
          <cell r="B1771">
            <v>0</v>
          </cell>
          <cell r="C1771">
            <v>0</v>
          </cell>
        </row>
        <row r="1772">
          <cell r="A1772">
            <v>0</v>
          </cell>
          <cell r="B1772">
            <v>0</v>
          </cell>
          <cell r="C1772">
            <v>0</v>
          </cell>
        </row>
        <row r="1773">
          <cell r="A1773">
            <v>0</v>
          </cell>
          <cell r="B1773">
            <v>0</v>
          </cell>
          <cell r="C1773">
            <v>0</v>
          </cell>
        </row>
        <row r="1774">
          <cell r="A1774">
            <v>0</v>
          </cell>
          <cell r="B1774">
            <v>0</v>
          </cell>
          <cell r="C1774">
            <v>0</v>
          </cell>
        </row>
        <row r="1775">
          <cell r="A1775">
            <v>0</v>
          </cell>
          <cell r="B1775">
            <v>0</v>
          </cell>
          <cell r="C1775">
            <v>0</v>
          </cell>
        </row>
        <row r="1776">
          <cell r="A1776">
            <v>0</v>
          </cell>
          <cell r="B1776">
            <v>0</v>
          </cell>
          <cell r="C1776">
            <v>0</v>
          </cell>
        </row>
        <row r="1777">
          <cell r="A1777">
            <v>0</v>
          </cell>
          <cell r="B1777">
            <v>0</v>
          </cell>
          <cell r="C1777">
            <v>0</v>
          </cell>
        </row>
        <row r="1778">
          <cell r="A1778">
            <v>0</v>
          </cell>
          <cell r="B1778">
            <v>0</v>
          </cell>
          <cell r="C1778">
            <v>0</v>
          </cell>
        </row>
        <row r="1779">
          <cell r="A1779">
            <v>0</v>
          </cell>
          <cell r="B1779">
            <v>0</v>
          </cell>
          <cell r="C1779">
            <v>0</v>
          </cell>
        </row>
        <row r="1780">
          <cell r="A1780">
            <v>0</v>
          </cell>
          <cell r="B1780">
            <v>0</v>
          </cell>
          <cell r="C1780">
            <v>0</v>
          </cell>
        </row>
        <row r="1781">
          <cell r="A1781">
            <v>0</v>
          </cell>
          <cell r="B1781">
            <v>0</v>
          </cell>
          <cell r="C1781">
            <v>0</v>
          </cell>
        </row>
        <row r="1782">
          <cell r="A1782">
            <v>0</v>
          </cell>
          <cell r="B1782">
            <v>0</v>
          </cell>
          <cell r="C1782">
            <v>0</v>
          </cell>
        </row>
        <row r="1783">
          <cell r="A1783">
            <v>0</v>
          </cell>
          <cell r="B1783">
            <v>0</v>
          </cell>
          <cell r="C1783">
            <v>0</v>
          </cell>
        </row>
        <row r="1784">
          <cell r="A1784">
            <v>0</v>
          </cell>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8">
          <cell r="A1788">
            <v>0</v>
          </cell>
          <cell r="B1788">
            <v>0</v>
          </cell>
          <cell r="C1788">
            <v>0</v>
          </cell>
        </row>
        <row r="1789">
          <cell r="A1789">
            <v>0</v>
          </cell>
          <cell r="B1789">
            <v>0</v>
          </cell>
          <cell r="C1789">
            <v>0</v>
          </cell>
        </row>
        <row r="1790">
          <cell r="A1790">
            <v>0</v>
          </cell>
          <cell r="B1790">
            <v>0</v>
          </cell>
          <cell r="C1790">
            <v>0</v>
          </cell>
        </row>
        <row r="1791">
          <cell r="A1791">
            <v>0</v>
          </cell>
          <cell r="B1791">
            <v>0</v>
          </cell>
          <cell r="C1791">
            <v>0</v>
          </cell>
        </row>
        <row r="1792">
          <cell r="A1792">
            <v>0</v>
          </cell>
          <cell r="B1792">
            <v>0</v>
          </cell>
          <cell r="C1792">
            <v>0</v>
          </cell>
        </row>
        <row r="1793">
          <cell r="A1793">
            <v>0</v>
          </cell>
          <cell r="B1793">
            <v>0</v>
          </cell>
          <cell r="C1793">
            <v>0</v>
          </cell>
        </row>
        <row r="1794">
          <cell r="A1794">
            <v>0</v>
          </cell>
          <cell r="B1794">
            <v>0</v>
          </cell>
          <cell r="C1794">
            <v>0</v>
          </cell>
        </row>
        <row r="1795">
          <cell r="A1795">
            <v>0</v>
          </cell>
          <cell r="B1795">
            <v>0</v>
          </cell>
          <cell r="C1795">
            <v>0</v>
          </cell>
        </row>
        <row r="1796">
          <cell r="A1796">
            <v>0</v>
          </cell>
          <cell r="B1796">
            <v>0</v>
          </cell>
          <cell r="C1796">
            <v>0</v>
          </cell>
        </row>
        <row r="1797">
          <cell r="A1797">
            <v>0</v>
          </cell>
          <cell r="B1797">
            <v>0</v>
          </cell>
          <cell r="C1797">
            <v>0</v>
          </cell>
        </row>
        <row r="1798">
          <cell r="A1798">
            <v>0</v>
          </cell>
          <cell r="B1798">
            <v>0</v>
          </cell>
          <cell r="C1798">
            <v>0</v>
          </cell>
        </row>
        <row r="1799">
          <cell r="A1799">
            <v>0</v>
          </cell>
          <cell r="B1799">
            <v>0</v>
          </cell>
          <cell r="C1799">
            <v>0</v>
          </cell>
        </row>
        <row r="1800">
          <cell r="A1800">
            <v>0</v>
          </cell>
          <cell r="B1800">
            <v>0</v>
          </cell>
          <cell r="C1800">
            <v>0</v>
          </cell>
        </row>
        <row r="1801">
          <cell r="A1801">
            <v>0</v>
          </cell>
          <cell r="B1801">
            <v>0</v>
          </cell>
          <cell r="C1801">
            <v>0</v>
          </cell>
        </row>
        <row r="1802">
          <cell r="A1802">
            <v>0</v>
          </cell>
          <cell r="B1802">
            <v>0</v>
          </cell>
          <cell r="C1802">
            <v>0</v>
          </cell>
        </row>
        <row r="1803">
          <cell r="A1803">
            <v>0</v>
          </cell>
          <cell r="B1803">
            <v>0</v>
          </cell>
          <cell r="C1803">
            <v>0</v>
          </cell>
        </row>
        <row r="1804">
          <cell r="A1804">
            <v>0</v>
          </cell>
          <cell r="B1804">
            <v>0</v>
          </cell>
          <cell r="C1804">
            <v>0</v>
          </cell>
        </row>
        <row r="1805">
          <cell r="A1805">
            <v>0</v>
          </cell>
          <cell r="B1805">
            <v>0</v>
          </cell>
          <cell r="C1805">
            <v>0</v>
          </cell>
        </row>
        <row r="1806">
          <cell r="A1806">
            <v>0</v>
          </cell>
          <cell r="B1806">
            <v>0</v>
          </cell>
          <cell r="C1806">
            <v>0</v>
          </cell>
        </row>
        <row r="1807">
          <cell r="A1807">
            <v>0</v>
          </cell>
          <cell r="B1807">
            <v>0</v>
          </cell>
          <cell r="C1807">
            <v>0</v>
          </cell>
        </row>
        <row r="1808">
          <cell r="A1808">
            <v>0</v>
          </cell>
          <cell r="B1808">
            <v>0</v>
          </cell>
          <cell r="C1808">
            <v>0</v>
          </cell>
        </row>
        <row r="1809">
          <cell r="A1809">
            <v>0</v>
          </cell>
          <cell r="B1809">
            <v>0</v>
          </cell>
          <cell r="C1809">
            <v>0</v>
          </cell>
        </row>
        <row r="1810">
          <cell r="A1810">
            <v>0</v>
          </cell>
          <cell r="B1810">
            <v>0</v>
          </cell>
          <cell r="C1810">
            <v>0</v>
          </cell>
        </row>
        <row r="1811">
          <cell r="A1811">
            <v>0</v>
          </cell>
          <cell r="B1811">
            <v>0</v>
          </cell>
          <cell r="C1811">
            <v>0</v>
          </cell>
        </row>
        <row r="1812">
          <cell r="A1812">
            <v>0</v>
          </cell>
          <cell r="B1812">
            <v>0</v>
          </cell>
          <cell r="C1812">
            <v>0</v>
          </cell>
        </row>
        <row r="1813">
          <cell r="A1813">
            <v>0</v>
          </cell>
          <cell r="B1813">
            <v>0</v>
          </cell>
          <cell r="C1813">
            <v>0</v>
          </cell>
        </row>
        <row r="1814">
          <cell r="A1814">
            <v>0</v>
          </cell>
          <cell r="B1814">
            <v>0</v>
          </cell>
          <cell r="C1814">
            <v>0</v>
          </cell>
        </row>
        <row r="1815">
          <cell r="A1815">
            <v>0</v>
          </cell>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19">
          <cell r="A1819">
            <v>0</v>
          </cell>
          <cell r="B1819">
            <v>0</v>
          </cell>
          <cell r="C1819">
            <v>0</v>
          </cell>
        </row>
        <row r="1820">
          <cell r="A1820">
            <v>0</v>
          </cell>
          <cell r="B1820">
            <v>0</v>
          </cell>
          <cell r="C1820">
            <v>0</v>
          </cell>
        </row>
        <row r="1821">
          <cell r="A1821">
            <v>0</v>
          </cell>
          <cell r="B1821">
            <v>0</v>
          </cell>
          <cell r="C1821">
            <v>0</v>
          </cell>
        </row>
        <row r="1822">
          <cell r="A1822">
            <v>0</v>
          </cell>
          <cell r="B1822">
            <v>0</v>
          </cell>
          <cell r="C1822">
            <v>0</v>
          </cell>
        </row>
        <row r="1823">
          <cell r="A1823">
            <v>0</v>
          </cell>
          <cell r="B1823">
            <v>0</v>
          </cell>
          <cell r="C1823">
            <v>0</v>
          </cell>
        </row>
        <row r="1824">
          <cell r="A1824">
            <v>0</v>
          </cell>
          <cell r="B1824">
            <v>0</v>
          </cell>
          <cell r="C1824">
            <v>0</v>
          </cell>
        </row>
        <row r="1825">
          <cell r="A1825">
            <v>0</v>
          </cell>
          <cell r="B1825">
            <v>0</v>
          </cell>
          <cell r="C1825">
            <v>0</v>
          </cell>
        </row>
        <row r="1826">
          <cell r="A1826">
            <v>0</v>
          </cell>
          <cell r="B1826">
            <v>0</v>
          </cell>
          <cell r="C1826">
            <v>0</v>
          </cell>
        </row>
        <row r="1827">
          <cell r="A1827">
            <v>0</v>
          </cell>
          <cell r="B1827">
            <v>0</v>
          </cell>
          <cell r="C1827">
            <v>0</v>
          </cell>
        </row>
        <row r="1828">
          <cell r="A1828">
            <v>0</v>
          </cell>
          <cell r="B1828">
            <v>0</v>
          </cell>
          <cell r="C1828">
            <v>0</v>
          </cell>
        </row>
        <row r="1829">
          <cell r="A1829">
            <v>0</v>
          </cell>
          <cell r="B1829">
            <v>0</v>
          </cell>
          <cell r="C1829">
            <v>0</v>
          </cell>
        </row>
        <row r="1830">
          <cell r="A1830">
            <v>0</v>
          </cell>
          <cell r="B1830">
            <v>0</v>
          </cell>
          <cell r="C1830">
            <v>0</v>
          </cell>
        </row>
        <row r="1831">
          <cell r="A1831">
            <v>0</v>
          </cell>
          <cell r="B1831">
            <v>0</v>
          </cell>
          <cell r="C1831">
            <v>0</v>
          </cell>
        </row>
        <row r="1832">
          <cell r="A1832">
            <v>0</v>
          </cell>
          <cell r="B1832">
            <v>0</v>
          </cell>
          <cell r="C1832">
            <v>0</v>
          </cell>
        </row>
        <row r="1833">
          <cell r="A1833">
            <v>0</v>
          </cell>
          <cell r="B1833">
            <v>0</v>
          </cell>
          <cell r="C1833">
            <v>0</v>
          </cell>
        </row>
        <row r="1834">
          <cell r="A1834">
            <v>0</v>
          </cell>
          <cell r="B1834">
            <v>0</v>
          </cell>
          <cell r="C1834">
            <v>0</v>
          </cell>
        </row>
        <row r="1835">
          <cell r="A1835">
            <v>0</v>
          </cell>
          <cell r="B1835">
            <v>0</v>
          </cell>
          <cell r="C1835">
            <v>0</v>
          </cell>
        </row>
        <row r="1836">
          <cell r="A1836">
            <v>0</v>
          </cell>
          <cell r="B1836">
            <v>0</v>
          </cell>
          <cell r="C1836">
            <v>0</v>
          </cell>
        </row>
        <row r="1837">
          <cell r="A1837">
            <v>0</v>
          </cell>
          <cell r="B1837">
            <v>0</v>
          </cell>
          <cell r="C1837">
            <v>0</v>
          </cell>
        </row>
        <row r="1838">
          <cell r="A1838">
            <v>0</v>
          </cell>
          <cell r="B1838">
            <v>0</v>
          </cell>
          <cell r="C1838">
            <v>0</v>
          </cell>
        </row>
        <row r="1839">
          <cell r="A1839">
            <v>0</v>
          </cell>
          <cell r="B1839">
            <v>0</v>
          </cell>
          <cell r="C1839">
            <v>0</v>
          </cell>
        </row>
        <row r="1840">
          <cell r="A1840">
            <v>0</v>
          </cell>
          <cell r="B1840">
            <v>0</v>
          </cell>
          <cell r="C1840">
            <v>0</v>
          </cell>
        </row>
        <row r="1841">
          <cell r="A1841">
            <v>0</v>
          </cell>
          <cell r="B1841">
            <v>0</v>
          </cell>
          <cell r="C1841">
            <v>0</v>
          </cell>
        </row>
        <row r="1842">
          <cell r="A1842">
            <v>0</v>
          </cell>
          <cell r="B1842">
            <v>0</v>
          </cell>
          <cell r="C1842">
            <v>0</v>
          </cell>
        </row>
        <row r="1843">
          <cell r="A1843">
            <v>0</v>
          </cell>
          <cell r="B1843">
            <v>0</v>
          </cell>
          <cell r="C1843">
            <v>0</v>
          </cell>
        </row>
        <row r="1844">
          <cell r="A1844">
            <v>0</v>
          </cell>
          <cell r="B1844">
            <v>0</v>
          </cell>
          <cell r="C1844">
            <v>0</v>
          </cell>
        </row>
        <row r="1845">
          <cell r="A1845">
            <v>0</v>
          </cell>
          <cell r="B1845">
            <v>0</v>
          </cell>
          <cell r="C1845">
            <v>0</v>
          </cell>
        </row>
        <row r="1846">
          <cell r="A1846">
            <v>0</v>
          </cell>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0">
          <cell r="A1850">
            <v>0</v>
          </cell>
          <cell r="B1850">
            <v>0</v>
          </cell>
          <cell r="C1850">
            <v>0</v>
          </cell>
        </row>
        <row r="1851">
          <cell r="A1851">
            <v>0</v>
          </cell>
          <cell r="B1851">
            <v>0</v>
          </cell>
          <cell r="C1851">
            <v>0</v>
          </cell>
        </row>
        <row r="1852">
          <cell r="A1852">
            <v>0</v>
          </cell>
          <cell r="B1852">
            <v>0</v>
          </cell>
          <cell r="C1852">
            <v>0</v>
          </cell>
        </row>
        <row r="1853">
          <cell r="A1853">
            <v>0</v>
          </cell>
          <cell r="B1853">
            <v>0</v>
          </cell>
          <cell r="C1853">
            <v>0</v>
          </cell>
        </row>
        <row r="1854">
          <cell r="A1854">
            <v>0</v>
          </cell>
          <cell r="B1854">
            <v>0</v>
          </cell>
          <cell r="C1854">
            <v>0</v>
          </cell>
        </row>
        <row r="1855">
          <cell r="A1855">
            <v>0</v>
          </cell>
          <cell r="B1855">
            <v>0</v>
          </cell>
          <cell r="C1855">
            <v>0</v>
          </cell>
        </row>
        <row r="1856">
          <cell r="A1856">
            <v>0</v>
          </cell>
          <cell r="B1856">
            <v>0</v>
          </cell>
          <cell r="C1856">
            <v>0</v>
          </cell>
        </row>
        <row r="1857">
          <cell r="A1857">
            <v>0</v>
          </cell>
          <cell r="B1857">
            <v>0</v>
          </cell>
          <cell r="C1857">
            <v>0</v>
          </cell>
        </row>
        <row r="1858">
          <cell r="A1858">
            <v>0</v>
          </cell>
          <cell r="B1858">
            <v>0</v>
          </cell>
          <cell r="C1858">
            <v>0</v>
          </cell>
        </row>
        <row r="1859">
          <cell r="A1859">
            <v>0</v>
          </cell>
          <cell r="B1859">
            <v>0</v>
          </cell>
          <cell r="C1859">
            <v>0</v>
          </cell>
        </row>
        <row r="1860">
          <cell r="A1860">
            <v>0</v>
          </cell>
          <cell r="B1860">
            <v>0</v>
          </cell>
          <cell r="C1860">
            <v>0</v>
          </cell>
        </row>
        <row r="1861">
          <cell r="A1861">
            <v>0</v>
          </cell>
          <cell r="B1861">
            <v>0</v>
          </cell>
          <cell r="C1861">
            <v>0</v>
          </cell>
        </row>
        <row r="1862">
          <cell r="A1862">
            <v>0</v>
          </cell>
          <cell r="B1862">
            <v>0</v>
          </cell>
          <cell r="C1862">
            <v>0</v>
          </cell>
        </row>
        <row r="1863">
          <cell r="A1863">
            <v>0</v>
          </cell>
          <cell r="B1863">
            <v>0</v>
          </cell>
          <cell r="C1863">
            <v>0</v>
          </cell>
        </row>
        <row r="1864">
          <cell r="A1864">
            <v>0</v>
          </cell>
          <cell r="B1864">
            <v>0</v>
          </cell>
          <cell r="C1864">
            <v>0</v>
          </cell>
        </row>
        <row r="1865">
          <cell r="A1865">
            <v>0</v>
          </cell>
          <cell r="B1865">
            <v>0</v>
          </cell>
          <cell r="C1865">
            <v>0</v>
          </cell>
        </row>
        <row r="1866">
          <cell r="A1866">
            <v>0</v>
          </cell>
          <cell r="B1866">
            <v>0</v>
          </cell>
          <cell r="C1866">
            <v>0</v>
          </cell>
        </row>
        <row r="1867">
          <cell r="A1867">
            <v>0</v>
          </cell>
          <cell r="B1867">
            <v>0</v>
          </cell>
          <cell r="C1867">
            <v>0</v>
          </cell>
        </row>
        <row r="1868">
          <cell r="A1868">
            <v>0</v>
          </cell>
          <cell r="B1868">
            <v>0</v>
          </cell>
          <cell r="C1868">
            <v>0</v>
          </cell>
        </row>
        <row r="1869">
          <cell r="A1869">
            <v>0</v>
          </cell>
          <cell r="B1869">
            <v>0</v>
          </cell>
          <cell r="C1869">
            <v>0</v>
          </cell>
        </row>
        <row r="1870">
          <cell r="A1870">
            <v>0</v>
          </cell>
          <cell r="B1870">
            <v>0</v>
          </cell>
          <cell r="C1870">
            <v>0</v>
          </cell>
        </row>
        <row r="1871">
          <cell r="A1871">
            <v>0</v>
          </cell>
          <cell r="B1871">
            <v>0</v>
          </cell>
          <cell r="C1871">
            <v>0</v>
          </cell>
        </row>
        <row r="1872">
          <cell r="A1872">
            <v>0</v>
          </cell>
          <cell r="B1872">
            <v>0</v>
          </cell>
          <cell r="C1872">
            <v>0</v>
          </cell>
        </row>
        <row r="1873">
          <cell r="A1873">
            <v>0</v>
          </cell>
          <cell r="B1873">
            <v>0</v>
          </cell>
          <cell r="C1873">
            <v>0</v>
          </cell>
        </row>
        <row r="1874">
          <cell r="A1874">
            <v>0</v>
          </cell>
          <cell r="B1874">
            <v>0</v>
          </cell>
          <cell r="C1874">
            <v>0</v>
          </cell>
        </row>
        <row r="1875">
          <cell r="A1875">
            <v>0</v>
          </cell>
          <cell r="B1875">
            <v>0</v>
          </cell>
          <cell r="C1875">
            <v>0</v>
          </cell>
        </row>
        <row r="1876">
          <cell r="A1876">
            <v>0</v>
          </cell>
          <cell r="B1876">
            <v>0</v>
          </cell>
          <cell r="C1876">
            <v>0</v>
          </cell>
        </row>
        <row r="1877">
          <cell r="A1877">
            <v>0</v>
          </cell>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1">
          <cell r="A1881">
            <v>0</v>
          </cell>
          <cell r="B1881">
            <v>0</v>
          </cell>
          <cell r="C1881">
            <v>0</v>
          </cell>
        </row>
        <row r="1882">
          <cell r="A1882">
            <v>0</v>
          </cell>
          <cell r="B1882">
            <v>0</v>
          </cell>
          <cell r="C1882">
            <v>0</v>
          </cell>
        </row>
        <row r="1883">
          <cell r="A1883">
            <v>0</v>
          </cell>
          <cell r="B1883">
            <v>0</v>
          </cell>
          <cell r="C1883">
            <v>0</v>
          </cell>
        </row>
        <row r="1884">
          <cell r="A1884">
            <v>0</v>
          </cell>
          <cell r="B1884">
            <v>0</v>
          </cell>
          <cell r="C1884">
            <v>0</v>
          </cell>
        </row>
        <row r="1885">
          <cell r="A1885">
            <v>0</v>
          </cell>
          <cell r="B1885">
            <v>0</v>
          </cell>
          <cell r="C1885">
            <v>0</v>
          </cell>
        </row>
        <row r="1886">
          <cell r="A1886">
            <v>0</v>
          </cell>
          <cell r="B1886">
            <v>0</v>
          </cell>
          <cell r="C1886">
            <v>0</v>
          </cell>
        </row>
        <row r="1887">
          <cell r="A1887">
            <v>0</v>
          </cell>
          <cell r="B1887">
            <v>0</v>
          </cell>
          <cell r="C1887">
            <v>0</v>
          </cell>
        </row>
        <row r="1888">
          <cell r="A1888">
            <v>0</v>
          </cell>
          <cell r="B1888">
            <v>0</v>
          </cell>
          <cell r="C1888">
            <v>0</v>
          </cell>
        </row>
        <row r="1889">
          <cell r="A1889">
            <v>0</v>
          </cell>
          <cell r="B1889">
            <v>0</v>
          </cell>
          <cell r="C1889">
            <v>0</v>
          </cell>
        </row>
        <row r="1890">
          <cell r="A1890">
            <v>0</v>
          </cell>
          <cell r="B1890">
            <v>0</v>
          </cell>
          <cell r="C1890">
            <v>0</v>
          </cell>
        </row>
        <row r="1891">
          <cell r="A1891">
            <v>0</v>
          </cell>
          <cell r="B1891">
            <v>0</v>
          </cell>
          <cell r="C1891">
            <v>0</v>
          </cell>
        </row>
        <row r="1892">
          <cell r="A1892">
            <v>0</v>
          </cell>
          <cell r="B1892">
            <v>0</v>
          </cell>
          <cell r="C1892">
            <v>0</v>
          </cell>
        </row>
        <row r="1893">
          <cell r="A1893">
            <v>0</v>
          </cell>
          <cell r="B1893">
            <v>0</v>
          </cell>
          <cell r="C1893">
            <v>0</v>
          </cell>
        </row>
        <row r="1894">
          <cell r="A1894">
            <v>0</v>
          </cell>
          <cell r="B1894">
            <v>0</v>
          </cell>
          <cell r="C1894">
            <v>0</v>
          </cell>
        </row>
        <row r="1895">
          <cell r="A1895">
            <v>0</v>
          </cell>
          <cell r="B1895">
            <v>0</v>
          </cell>
          <cell r="C1895">
            <v>0</v>
          </cell>
        </row>
        <row r="1896">
          <cell r="A1896">
            <v>0</v>
          </cell>
          <cell r="B1896">
            <v>0</v>
          </cell>
          <cell r="C1896">
            <v>0</v>
          </cell>
        </row>
        <row r="1897">
          <cell r="A1897">
            <v>0</v>
          </cell>
          <cell r="B1897">
            <v>0</v>
          </cell>
          <cell r="C1897">
            <v>0</v>
          </cell>
        </row>
        <row r="1898">
          <cell r="A1898">
            <v>0</v>
          </cell>
          <cell r="B1898">
            <v>0</v>
          </cell>
          <cell r="C1898">
            <v>0</v>
          </cell>
        </row>
        <row r="1899">
          <cell r="A1899">
            <v>0</v>
          </cell>
          <cell r="B1899">
            <v>0</v>
          </cell>
          <cell r="C1899">
            <v>0</v>
          </cell>
        </row>
        <row r="1900">
          <cell r="A1900">
            <v>0</v>
          </cell>
          <cell r="B1900">
            <v>0</v>
          </cell>
          <cell r="C1900">
            <v>0</v>
          </cell>
        </row>
        <row r="1901">
          <cell r="A1901">
            <v>0</v>
          </cell>
          <cell r="B1901">
            <v>0</v>
          </cell>
          <cell r="C1901">
            <v>0</v>
          </cell>
        </row>
        <row r="1902">
          <cell r="A1902">
            <v>0</v>
          </cell>
          <cell r="B1902">
            <v>0</v>
          </cell>
          <cell r="C1902">
            <v>0</v>
          </cell>
        </row>
        <row r="1903">
          <cell r="A1903">
            <v>0</v>
          </cell>
          <cell r="B1903">
            <v>0</v>
          </cell>
          <cell r="C1903">
            <v>0</v>
          </cell>
        </row>
        <row r="1904">
          <cell r="A1904">
            <v>0</v>
          </cell>
          <cell r="B1904">
            <v>0</v>
          </cell>
          <cell r="C1904">
            <v>0</v>
          </cell>
        </row>
        <row r="1905">
          <cell r="A1905">
            <v>0</v>
          </cell>
          <cell r="B1905">
            <v>0</v>
          </cell>
          <cell r="C1905">
            <v>0</v>
          </cell>
        </row>
        <row r="1906">
          <cell r="A1906">
            <v>0</v>
          </cell>
          <cell r="B1906">
            <v>0</v>
          </cell>
          <cell r="C1906">
            <v>0</v>
          </cell>
        </row>
        <row r="1907">
          <cell r="A1907">
            <v>0</v>
          </cell>
          <cell r="B1907">
            <v>0</v>
          </cell>
          <cell r="C1907">
            <v>0</v>
          </cell>
        </row>
        <row r="1908">
          <cell r="A1908">
            <v>0</v>
          </cell>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2">
          <cell r="A1912">
            <v>0</v>
          </cell>
          <cell r="B1912">
            <v>0</v>
          </cell>
          <cell r="C1912">
            <v>0</v>
          </cell>
        </row>
        <row r="1913">
          <cell r="A1913">
            <v>0</v>
          </cell>
          <cell r="B1913">
            <v>0</v>
          </cell>
          <cell r="C1913">
            <v>0</v>
          </cell>
        </row>
        <row r="1914">
          <cell r="A1914">
            <v>0</v>
          </cell>
          <cell r="B1914">
            <v>0</v>
          </cell>
          <cell r="C1914">
            <v>0</v>
          </cell>
        </row>
        <row r="1915">
          <cell r="A1915">
            <v>0</v>
          </cell>
          <cell r="B1915">
            <v>0</v>
          </cell>
          <cell r="C1915">
            <v>0</v>
          </cell>
        </row>
        <row r="1916">
          <cell r="A1916">
            <v>0</v>
          </cell>
          <cell r="B1916">
            <v>0</v>
          </cell>
          <cell r="C1916">
            <v>0</v>
          </cell>
        </row>
        <row r="1917">
          <cell r="A1917">
            <v>0</v>
          </cell>
          <cell r="B1917">
            <v>0</v>
          </cell>
          <cell r="C1917">
            <v>0</v>
          </cell>
        </row>
        <row r="1918">
          <cell r="A1918">
            <v>0</v>
          </cell>
          <cell r="B1918">
            <v>0</v>
          </cell>
          <cell r="C1918">
            <v>0</v>
          </cell>
        </row>
        <row r="1919">
          <cell r="A1919">
            <v>0</v>
          </cell>
          <cell r="B1919">
            <v>0</v>
          </cell>
          <cell r="C1919">
            <v>0</v>
          </cell>
        </row>
        <row r="1920">
          <cell r="A1920">
            <v>0</v>
          </cell>
          <cell r="B1920">
            <v>0</v>
          </cell>
          <cell r="C1920">
            <v>0</v>
          </cell>
        </row>
        <row r="1921">
          <cell r="A1921">
            <v>0</v>
          </cell>
          <cell r="B1921">
            <v>0</v>
          </cell>
          <cell r="C1921">
            <v>0</v>
          </cell>
        </row>
        <row r="1922">
          <cell r="A1922">
            <v>0</v>
          </cell>
          <cell r="B1922">
            <v>0</v>
          </cell>
          <cell r="C1922">
            <v>0</v>
          </cell>
        </row>
        <row r="1923">
          <cell r="A1923">
            <v>0</v>
          </cell>
          <cell r="B1923">
            <v>0</v>
          </cell>
          <cell r="C1923">
            <v>0</v>
          </cell>
        </row>
        <row r="1924">
          <cell r="A1924">
            <v>0</v>
          </cell>
          <cell r="B1924">
            <v>0</v>
          </cell>
          <cell r="C1924">
            <v>0</v>
          </cell>
        </row>
        <row r="1925">
          <cell r="A1925">
            <v>0</v>
          </cell>
          <cell r="B1925">
            <v>0</v>
          </cell>
          <cell r="C1925">
            <v>0</v>
          </cell>
        </row>
        <row r="1926">
          <cell r="A1926">
            <v>0</v>
          </cell>
          <cell r="B1926">
            <v>0</v>
          </cell>
          <cell r="C1926">
            <v>0</v>
          </cell>
        </row>
        <row r="1927">
          <cell r="A1927">
            <v>0</v>
          </cell>
          <cell r="B1927">
            <v>0</v>
          </cell>
          <cell r="C1927">
            <v>0</v>
          </cell>
        </row>
        <row r="1928">
          <cell r="A1928">
            <v>0</v>
          </cell>
          <cell r="B1928">
            <v>0</v>
          </cell>
          <cell r="C1928">
            <v>0</v>
          </cell>
        </row>
        <row r="1929">
          <cell r="A1929">
            <v>0</v>
          </cell>
          <cell r="B1929">
            <v>0</v>
          </cell>
          <cell r="C1929">
            <v>0</v>
          </cell>
        </row>
        <row r="1930">
          <cell r="A1930">
            <v>0</v>
          </cell>
          <cell r="B1930">
            <v>0</v>
          </cell>
          <cell r="C1930">
            <v>0</v>
          </cell>
        </row>
        <row r="1931">
          <cell r="A1931">
            <v>0</v>
          </cell>
          <cell r="B1931">
            <v>0</v>
          </cell>
          <cell r="C1931">
            <v>0</v>
          </cell>
        </row>
        <row r="1932">
          <cell r="A1932">
            <v>0</v>
          </cell>
          <cell r="B1932">
            <v>0</v>
          </cell>
          <cell r="C1932">
            <v>0</v>
          </cell>
        </row>
        <row r="1933">
          <cell r="A1933">
            <v>0</v>
          </cell>
          <cell r="B1933">
            <v>0</v>
          </cell>
          <cell r="C1933">
            <v>0</v>
          </cell>
        </row>
        <row r="1934">
          <cell r="A1934">
            <v>0</v>
          </cell>
          <cell r="B1934">
            <v>0</v>
          </cell>
          <cell r="C1934">
            <v>0</v>
          </cell>
        </row>
        <row r="1935">
          <cell r="A1935">
            <v>0</v>
          </cell>
          <cell r="B1935">
            <v>0</v>
          </cell>
          <cell r="C1935">
            <v>0</v>
          </cell>
        </row>
        <row r="1936">
          <cell r="A1936">
            <v>0</v>
          </cell>
          <cell r="B1936">
            <v>0</v>
          </cell>
          <cell r="C1936">
            <v>0</v>
          </cell>
        </row>
        <row r="1937">
          <cell r="A1937">
            <v>0</v>
          </cell>
          <cell r="B1937">
            <v>0</v>
          </cell>
          <cell r="C1937">
            <v>0</v>
          </cell>
        </row>
        <row r="1938">
          <cell r="A1938">
            <v>0</v>
          </cell>
          <cell r="B1938">
            <v>0</v>
          </cell>
          <cell r="C1938">
            <v>0</v>
          </cell>
        </row>
        <row r="1939">
          <cell r="A1939">
            <v>0</v>
          </cell>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3">
          <cell r="A1943">
            <v>0</v>
          </cell>
          <cell r="B1943">
            <v>0</v>
          </cell>
          <cell r="C1943">
            <v>0</v>
          </cell>
        </row>
        <row r="1944">
          <cell r="A1944">
            <v>0</v>
          </cell>
          <cell r="B1944">
            <v>0</v>
          </cell>
          <cell r="C1944">
            <v>0</v>
          </cell>
        </row>
        <row r="1945">
          <cell r="A1945">
            <v>0</v>
          </cell>
          <cell r="B1945">
            <v>0</v>
          </cell>
          <cell r="C1945">
            <v>0</v>
          </cell>
        </row>
        <row r="1946">
          <cell r="A1946">
            <v>0</v>
          </cell>
          <cell r="B1946">
            <v>0</v>
          </cell>
          <cell r="C1946">
            <v>0</v>
          </cell>
        </row>
        <row r="1947">
          <cell r="A1947">
            <v>0</v>
          </cell>
          <cell r="B1947">
            <v>0</v>
          </cell>
          <cell r="C1947">
            <v>0</v>
          </cell>
        </row>
        <row r="1948">
          <cell r="A1948">
            <v>0</v>
          </cell>
          <cell r="B1948">
            <v>0</v>
          </cell>
          <cell r="C1948">
            <v>0</v>
          </cell>
        </row>
        <row r="1949">
          <cell r="A1949">
            <v>0</v>
          </cell>
          <cell r="B1949">
            <v>0</v>
          </cell>
          <cell r="C1949">
            <v>0</v>
          </cell>
        </row>
        <row r="1950">
          <cell r="A1950">
            <v>0</v>
          </cell>
          <cell r="B1950">
            <v>0</v>
          </cell>
          <cell r="C1950">
            <v>0</v>
          </cell>
        </row>
        <row r="1951">
          <cell r="A1951">
            <v>0</v>
          </cell>
          <cell r="B1951">
            <v>0</v>
          </cell>
          <cell r="C1951">
            <v>0</v>
          </cell>
        </row>
        <row r="1952">
          <cell r="A1952">
            <v>0</v>
          </cell>
          <cell r="B1952">
            <v>0</v>
          </cell>
          <cell r="C1952">
            <v>0</v>
          </cell>
        </row>
        <row r="1953">
          <cell r="A1953">
            <v>0</v>
          </cell>
          <cell r="B1953">
            <v>0</v>
          </cell>
          <cell r="C1953">
            <v>0</v>
          </cell>
        </row>
        <row r="1954">
          <cell r="A1954">
            <v>0</v>
          </cell>
          <cell r="B1954">
            <v>0</v>
          </cell>
          <cell r="C1954">
            <v>0</v>
          </cell>
        </row>
        <row r="1955">
          <cell r="A1955">
            <v>0</v>
          </cell>
          <cell r="B1955">
            <v>0</v>
          </cell>
          <cell r="C1955">
            <v>0</v>
          </cell>
        </row>
        <row r="1956">
          <cell r="A1956">
            <v>0</v>
          </cell>
          <cell r="B1956">
            <v>0</v>
          </cell>
          <cell r="C1956">
            <v>0</v>
          </cell>
        </row>
        <row r="1957">
          <cell r="A1957">
            <v>0</v>
          </cell>
          <cell r="B1957">
            <v>0</v>
          </cell>
          <cell r="C1957">
            <v>0</v>
          </cell>
        </row>
        <row r="1958">
          <cell r="A1958">
            <v>0</v>
          </cell>
          <cell r="B1958">
            <v>0</v>
          </cell>
          <cell r="C1958">
            <v>0</v>
          </cell>
        </row>
        <row r="1959">
          <cell r="A1959">
            <v>0</v>
          </cell>
          <cell r="B1959">
            <v>0</v>
          </cell>
          <cell r="C1959">
            <v>0</v>
          </cell>
        </row>
        <row r="1960">
          <cell r="A1960">
            <v>0</v>
          </cell>
          <cell r="B1960">
            <v>0</v>
          </cell>
          <cell r="C1960">
            <v>0</v>
          </cell>
        </row>
        <row r="1961">
          <cell r="A1961">
            <v>0</v>
          </cell>
          <cell r="B1961">
            <v>0</v>
          </cell>
          <cell r="C1961">
            <v>0</v>
          </cell>
        </row>
        <row r="1962">
          <cell r="A1962">
            <v>0</v>
          </cell>
          <cell r="B1962">
            <v>0</v>
          </cell>
          <cell r="C1962">
            <v>0</v>
          </cell>
        </row>
        <row r="1963">
          <cell r="A1963">
            <v>0</v>
          </cell>
          <cell r="B1963">
            <v>0</v>
          </cell>
          <cell r="C1963">
            <v>0</v>
          </cell>
        </row>
        <row r="1964">
          <cell r="A1964">
            <v>0</v>
          </cell>
          <cell r="B1964">
            <v>0</v>
          </cell>
          <cell r="C1964">
            <v>0</v>
          </cell>
        </row>
        <row r="1965">
          <cell r="A1965">
            <v>0</v>
          </cell>
          <cell r="B1965">
            <v>0</v>
          </cell>
          <cell r="C1965">
            <v>0</v>
          </cell>
        </row>
        <row r="1966">
          <cell r="A1966">
            <v>0</v>
          </cell>
          <cell r="B1966">
            <v>0</v>
          </cell>
          <cell r="C1966">
            <v>0</v>
          </cell>
        </row>
        <row r="1967">
          <cell r="A1967">
            <v>0</v>
          </cell>
          <cell r="B1967">
            <v>0</v>
          </cell>
          <cell r="C1967">
            <v>0</v>
          </cell>
        </row>
        <row r="1968">
          <cell r="A1968">
            <v>0</v>
          </cell>
          <cell r="B1968">
            <v>0</v>
          </cell>
          <cell r="C1968">
            <v>0</v>
          </cell>
        </row>
        <row r="1969">
          <cell r="A1969">
            <v>0</v>
          </cell>
          <cell r="B1969">
            <v>0</v>
          </cell>
          <cell r="C1969">
            <v>0</v>
          </cell>
        </row>
        <row r="1970">
          <cell r="A1970">
            <v>0</v>
          </cell>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4">
          <cell r="A1974">
            <v>0</v>
          </cell>
          <cell r="B1974">
            <v>0</v>
          </cell>
          <cell r="C1974">
            <v>0</v>
          </cell>
        </row>
        <row r="1975">
          <cell r="A1975">
            <v>0</v>
          </cell>
          <cell r="B1975">
            <v>0</v>
          </cell>
          <cell r="C1975">
            <v>0</v>
          </cell>
        </row>
        <row r="1976">
          <cell r="A1976">
            <v>0</v>
          </cell>
          <cell r="B1976">
            <v>0</v>
          </cell>
          <cell r="C1976">
            <v>0</v>
          </cell>
        </row>
        <row r="1977">
          <cell r="A1977">
            <v>0</v>
          </cell>
          <cell r="B1977">
            <v>0</v>
          </cell>
          <cell r="C1977">
            <v>0</v>
          </cell>
        </row>
        <row r="1978">
          <cell r="A1978">
            <v>0</v>
          </cell>
          <cell r="B1978">
            <v>0</v>
          </cell>
          <cell r="C1978">
            <v>0</v>
          </cell>
        </row>
        <row r="1979">
          <cell r="A1979">
            <v>0</v>
          </cell>
          <cell r="B1979">
            <v>0</v>
          </cell>
          <cell r="C1979">
            <v>0</v>
          </cell>
        </row>
        <row r="1980">
          <cell r="A1980">
            <v>0</v>
          </cell>
          <cell r="B1980">
            <v>0</v>
          </cell>
          <cell r="C1980">
            <v>0</v>
          </cell>
        </row>
        <row r="1981">
          <cell r="A1981">
            <v>0</v>
          </cell>
          <cell r="B1981">
            <v>0</v>
          </cell>
          <cell r="C1981">
            <v>0</v>
          </cell>
        </row>
        <row r="1982">
          <cell r="A1982">
            <v>0</v>
          </cell>
          <cell r="B1982">
            <v>0</v>
          </cell>
          <cell r="C1982">
            <v>0</v>
          </cell>
        </row>
        <row r="1983">
          <cell r="A1983">
            <v>0</v>
          </cell>
          <cell r="B1983">
            <v>0</v>
          </cell>
          <cell r="C1983">
            <v>0</v>
          </cell>
        </row>
        <row r="1984">
          <cell r="A1984">
            <v>0</v>
          </cell>
          <cell r="B1984">
            <v>0</v>
          </cell>
          <cell r="C1984">
            <v>0</v>
          </cell>
        </row>
        <row r="1985">
          <cell r="A1985">
            <v>0</v>
          </cell>
          <cell r="B1985">
            <v>0</v>
          </cell>
          <cell r="C1985">
            <v>0</v>
          </cell>
        </row>
        <row r="1986">
          <cell r="A1986">
            <v>0</v>
          </cell>
          <cell r="B1986">
            <v>0</v>
          </cell>
          <cell r="C1986">
            <v>0</v>
          </cell>
        </row>
        <row r="1987">
          <cell r="A1987">
            <v>0</v>
          </cell>
          <cell r="B1987">
            <v>0</v>
          </cell>
          <cell r="C1987">
            <v>0</v>
          </cell>
        </row>
        <row r="1988">
          <cell r="A1988">
            <v>0</v>
          </cell>
          <cell r="B1988">
            <v>0</v>
          </cell>
          <cell r="C1988">
            <v>0</v>
          </cell>
        </row>
        <row r="1989">
          <cell r="A1989">
            <v>0</v>
          </cell>
          <cell r="B1989">
            <v>0</v>
          </cell>
          <cell r="C1989">
            <v>0</v>
          </cell>
        </row>
        <row r="1990">
          <cell r="A1990">
            <v>0</v>
          </cell>
          <cell r="B1990">
            <v>0</v>
          </cell>
          <cell r="C1990">
            <v>0</v>
          </cell>
        </row>
        <row r="1991">
          <cell r="A1991">
            <v>0</v>
          </cell>
          <cell r="B1991">
            <v>0</v>
          </cell>
          <cell r="C1991">
            <v>0</v>
          </cell>
        </row>
        <row r="1992">
          <cell r="A1992">
            <v>0</v>
          </cell>
          <cell r="B1992">
            <v>0</v>
          </cell>
          <cell r="C1992">
            <v>0</v>
          </cell>
        </row>
        <row r="1993">
          <cell r="A1993">
            <v>0</v>
          </cell>
          <cell r="B1993">
            <v>0</v>
          </cell>
          <cell r="C1993">
            <v>0</v>
          </cell>
        </row>
        <row r="1994">
          <cell r="A1994">
            <v>0</v>
          </cell>
          <cell r="B1994">
            <v>0</v>
          </cell>
          <cell r="C1994">
            <v>0</v>
          </cell>
        </row>
        <row r="1995">
          <cell r="A1995">
            <v>0</v>
          </cell>
          <cell r="B1995">
            <v>0</v>
          </cell>
          <cell r="C1995">
            <v>0</v>
          </cell>
        </row>
        <row r="1996">
          <cell r="A1996">
            <v>0</v>
          </cell>
          <cell r="B1996">
            <v>0</v>
          </cell>
          <cell r="C1996">
            <v>0</v>
          </cell>
        </row>
        <row r="1997">
          <cell r="A1997">
            <v>0</v>
          </cell>
          <cell r="B1997">
            <v>0</v>
          </cell>
          <cell r="C1997">
            <v>0</v>
          </cell>
        </row>
        <row r="1998">
          <cell r="A1998">
            <v>0</v>
          </cell>
          <cell r="B1998">
            <v>0</v>
          </cell>
          <cell r="C1998">
            <v>0</v>
          </cell>
        </row>
        <row r="1999">
          <cell r="A1999">
            <v>0</v>
          </cell>
          <cell r="B1999">
            <v>0</v>
          </cell>
          <cell r="C1999">
            <v>0</v>
          </cell>
        </row>
        <row r="2000">
          <cell r="A2000">
            <v>0</v>
          </cell>
          <cell r="B2000">
            <v>0</v>
          </cell>
          <cell r="C2000">
            <v>0</v>
          </cell>
        </row>
        <row r="2001">
          <cell r="A2001">
            <v>0</v>
          </cell>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5">
          <cell r="A2005">
            <v>0</v>
          </cell>
          <cell r="B2005">
            <v>0</v>
          </cell>
          <cell r="C2005">
            <v>0</v>
          </cell>
        </row>
        <row r="2006">
          <cell r="A2006">
            <v>0</v>
          </cell>
          <cell r="B2006">
            <v>0</v>
          </cell>
          <cell r="C2006">
            <v>0</v>
          </cell>
        </row>
        <row r="2007">
          <cell r="A2007">
            <v>0</v>
          </cell>
          <cell r="B2007">
            <v>0</v>
          </cell>
          <cell r="C2007">
            <v>0</v>
          </cell>
        </row>
        <row r="2008">
          <cell r="A2008">
            <v>0</v>
          </cell>
          <cell r="B2008">
            <v>0</v>
          </cell>
          <cell r="C2008">
            <v>0</v>
          </cell>
        </row>
        <row r="2009">
          <cell r="A2009">
            <v>0</v>
          </cell>
          <cell r="B2009">
            <v>0</v>
          </cell>
          <cell r="C2009">
            <v>0</v>
          </cell>
        </row>
        <row r="2010">
          <cell r="A2010">
            <v>0</v>
          </cell>
          <cell r="B2010">
            <v>0</v>
          </cell>
          <cell r="C2010">
            <v>0</v>
          </cell>
        </row>
        <row r="2011">
          <cell r="A2011">
            <v>0</v>
          </cell>
          <cell r="B2011">
            <v>0</v>
          </cell>
          <cell r="C2011">
            <v>0</v>
          </cell>
        </row>
        <row r="2012">
          <cell r="A2012">
            <v>0</v>
          </cell>
          <cell r="B2012">
            <v>0</v>
          </cell>
          <cell r="C2012">
            <v>0</v>
          </cell>
        </row>
        <row r="2013">
          <cell r="A2013">
            <v>0</v>
          </cell>
          <cell r="B2013">
            <v>0</v>
          </cell>
          <cell r="C2013">
            <v>0</v>
          </cell>
        </row>
        <row r="2014">
          <cell r="A2014">
            <v>0</v>
          </cell>
          <cell r="B2014">
            <v>0</v>
          </cell>
          <cell r="C2014">
            <v>0</v>
          </cell>
        </row>
        <row r="2015">
          <cell r="A2015">
            <v>0</v>
          </cell>
          <cell r="B2015">
            <v>0</v>
          </cell>
          <cell r="C2015">
            <v>0</v>
          </cell>
        </row>
        <row r="2016">
          <cell r="A2016">
            <v>0</v>
          </cell>
          <cell r="B2016">
            <v>0</v>
          </cell>
          <cell r="C2016">
            <v>0</v>
          </cell>
        </row>
        <row r="2017">
          <cell r="A2017">
            <v>0</v>
          </cell>
          <cell r="B2017">
            <v>0</v>
          </cell>
          <cell r="C2017">
            <v>0</v>
          </cell>
        </row>
        <row r="2018">
          <cell r="A2018">
            <v>0</v>
          </cell>
          <cell r="B2018">
            <v>0</v>
          </cell>
          <cell r="C2018">
            <v>0</v>
          </cell>
        </row>
        <row r="2019">
          <cell r="A2019">
            <v>0</v>
          </cell>
          <cell r="B2019">
            <v>0</v>
          </cell>
          <cell r="C2019">
            <v>0</v>
          </cell>
        </row>
        <row r="2020">
          <cell r="A2020">
            <v>0</v>
          </cell>
          <cell r="B2020">
            <v>0</v>
          </cell>
          <cell r="C2020">
            <v>0</v>
          </cell>
        </row>
        <row r="2021">
          <cell r="A2021">
            <v>0</v>
          </cell>
          <cell r="B2021">
            <v>0</v>
          </cell>
          <cell r="C2021">
            <v>0</v>
          </cell>
        </row>
        <row r="2022">
          <cell r="A2022">
            <v>0</v>
          </cell>
          <cell r="B2022">
            <v>0</v>
          </cell>
          <cell r="C2022">
            <v>0</v>
          </cell>
        </row>
        <row r="2023">
          <cell r="A2023">
            <v>0</v>
          </cell>
          <cell r="B2023">
            <v>0</v>
          </cell>
          <cell r="C2023">
            <v>0</v>
          </cell>
        </row>
        <row r="2024">
          <cell r="A2024">
            <v>0</v>
          </cell>
          <cell r="B2024">
            <v>0</v>
          </cell>
          <cell r="C2024">
            <v>0</v>
          </cell>
        </row>
        <row r="2025">
          <cell r="A2025">
            <v>0</v>
          </cell>
          <cell r="B2025">
            <v>0</v>
          </cell>
          <cell r="C2025">
            <v>0</v>
          </cell>
        </row>
        <row r="2026">
          <cell r="A2026">
            <v>0</v>
          </cell>
          <cell r="B2026">
            <v>0</v>
          </cell>
          <cell r="C2026">
            <v>0</v>
          </cell>
        </row>
        <row r="2027">
          <cell r="A2027">
            <v>0</v>
          </cell>
          <cell r="B2027">
            <v>0</v>
          </cell>
          <cell r="C2027">
            <v>0</v>
          </cell>
        </row>
        <row r="2028">
          <cell r="A2028">
            <v>0</v>
          </cell>
          <cell r="B2028">
            <v>0</v>
          </cell>
          <cell r="C2028">
            <v>0</v>
          </cell>
        </row>
        <row r="2029">
          <cell r="A2029">
            <v>0</v>
          </cell>
          <cell r="B2029">
            <v>0</v>
          </cell>
          <cell r="C2029">
            <v>0</v>
          </cell>
        </row>
        <row r="2030">
          <cell r="A2030">
            <v>0</v>
          </cell>
          <cell r="B2030">
            <v>0</v>
          </cell>
          <cell r="C2030">
            <v>0</v>
          </cell>
        </row>
        <row r="2031">
          <cell r="A2031">
            <v>0</v>
          </cell>
          <cell r="B2031">
            <v>0</v>
          </cell>
          <cell r="C2031">
            <v>0</v>
          </cell>
        </row>
        <row r="2032">
          <cell r="A2032">
            <v>0</v>
          </cell>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6">
          <cell r="A2036">
            <v>0</v>
          </cell>
          <cell r="B2036">
            <v>0</v>
          </cell>
          <cell r="C2036">
            <v>0</v>
          </cell>
        </row>
        <row r="2037">
          <cell r="A2037">
            <v>0</v>
          </cell>
          <cell r="B2037">
            <v>0</v>
          </cell>
          <cell r="C2037">
            <v>0</v>
          </cell>
        </row>
        <row r="2038">
          <cell r="A2038">
            <v>0</v>
          </cell>
          <cell r="B2038">
            <v>0</v>
          </cell>
          <cell r="C2038">
            <v>0</v>
          </cell>
        </row>
        <row r="2039">
          <cell r="A2039">
            <v>0</v>
          </cell>
          <cell r="B2039">
            <v>0</v>
          </cell>
          <cell r="C2039">
            <v>0</v>
          </cell>
        </row>
        <row r="2040">
          <cell r="A2040">
            <v>0</v>
          </cell>
          <cell r="B2040">
            <v>0</v>
          </cell>
          <cell r="C2040">
            <v>0</v>
          </cell>
        </row>
        <row r="2041">
          <cell r="A2041">
            <v>0</v>
          </cell>
          <cell r="B2041">
            <v>0</v>
          </cell>
          <cell r="C2041">
            <v>0</v>
          </cell>
        </row>
        <row r="2042">
          <cell r="A2042">
            <v>0</v>
          </cell>
          <cell r="B2042">
            <v>0</v>
          </cell>
          <cell r="C2042">
            <v>0</v>
          </cell>
        </row>
        <row r="2043">
          <cell r="A2043">
            <v>0</v>
          </cell>
          <cell r="B2043">
            <v>0</v>
          </cell>
          <cell r="C2043">
            <v>0</v>
          </cell>
        </row>
        <row r="2044">
          <cell r="A2044">
            <v>0</v>
          </cell>
          <cell r="B2044">
            <v>0</v>
          </cell>
          <cell r="C2044">
            <v>0</v>
          </cell>
        </row>
        <row r="2045">
          <cell r="A2045">
            <v>0</v>
          </cell>
          <cell r="B2045">
            <v>0</v>
          </cell>
          <cell r="C2045">
            <v>0</v>
          </cell>
        </row>
        <row r="2046">
          <cell r="A2046">
            <v>0</v>
          </cell>
          <cell r="B2046">
            <v>0</v>
          </cell>
          <cell r="C2046">
            <v>0</v>
          </cell>
        </row>
        <row r="2047">
          <cell r="A2047">
            <v>0</v>
          </cell>
          <cell r="B2047">
            <v>0</v>
          </cell>
          <cell r="C2047">
            <v>0</v>
          </cell>
        </row>
        <row r="2048">
          <cell r="A2048">
            <v>0</v>
          </cell>
          <cell r="B2048">
            <v>0</v>
          </cell>
          <cell r="C2048">
            <v>0</v>
          </cell>
        </row>
        <row r="2049">
          <cell r="A2049">
            <v>0</v>
          </cell>
          <cell r="B2049">
            <v>0</v>
          </cell>
          <cell r="C2049">
            <v>0</v>
          </cell>
        </row>
        <row r="2050">
          <cell r="A2050">
            <v>0</v>
          </cell>
          <cell r="B2050">
            <v>0</v>
          </cell>
          <cell r="C2050">
            <v>0</v>
          </cell>
        </row>
        <row r="2051">
          <cell r="A2051">
            <v>0</v>
          </cell>
          <cell r="B2051">
            <v>0</v>
          </cell>
          <cell r="C2051">
            <v>0</v>
          </cell>
        </row>
        <row r="2052">
          <cell r="A2052">
            <v>0</v>
          </cell>
          <cell r="B2052">
            <v>0</v>
          </cell>
          <cell r="C2052">
            <v>0</v>
          </cell>
        </row>
        <row r="2053">
          <cell r="A2053">
            <v>0</v>
          </cell>
          <cell r="B2053">
            <v>0</v>
          </cell>
          <cell r="C2053">
            <v>0</v>
          </cell>
        </row>
        <row r="2054">
          <cell r="A2054">
            <v>0</v>
          </cell>
          <cell r="B2054">
            <v>0</v>
          </cell>
          <cell r="C2054">
            <v>0</v>
          </cell>
        </row>
        <row r="2055">
          <cell r="A2055">
            <v>0</v>
          </cell>
          <cell r="B2055">
            <v>0</v>
          </cell>
          <cell r="C2055">
            <v>0</v>
          </cell>
        </row>
        <row r="2056">
          <cell r="A2056">
            <v>0</v>
          </cell>
          <cell r="B2056">
            <v>0</v>
          </cell>
          <cell r="C2056">
            <v>0</v>
          </cell>
        </row>
        <row r="2057">
          <cell r="A2057">
            <v>0</v>
          </cell>
          <cell r="B2057">
            <v>0</v>
          </cell>
          <cell r="C2057">
            <v>0</v>
          </cell>
        </row>
        <row r="2058">
          <cell r="A2058">
            <v>0</v>
          </cell>
          <cell r="B2058">
            <v>0</v>
          </cell>
          <cell r="C2058">
            <v>0</v>
          </cell>
        </row>
        <row r="2059">
          <cell r="A2059">
            <v>0</v>
          </cell>
          <cell r="B2059">
            <v>0</v>
          </cell>
          <cell r="C2059">
            <v>0</v>
          </cell>
        </row>
        <row r="2060">
          <cell r="A2060">
            <v>0</v>
          </cell>
          <cell r="B2060">
            <v>0</v>
          </cell>
          <cell r="C2060">
            <v>0</v>
          </cell>
        </row>
        <row r="2061">
          <cell r="A2061">
            <v>0</v>
          </cell>
          <cell r="B2061">
            <v>0</v>
          </cell>
          <cell r="C2061">
            <v>0</v>
          </cell>
        </row>
        <row r="2062">
          <cell r="A2062">
            <v>0</v>
          </cell>
          <cell r="B2062">
            <v>0</v>
          </cell>
          <cell r="C2062">
            <v>0</v>
          </cell>
        </row>
        <row r="2063">
          <cell r="A2063">
            <v>0</v>
          </cell>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7">
          <cell r="A2067">
            <v>0</v>
          </cell>
          <cell r="B2067">
            <v>0</v>
          </cell>
          <cell r="C2067">
            <v>0</v>
          </cell>
        </row>
        <row r="2068">
          <cell r="A2068">
            <v>0</v>
          </cell>
          <cell r="B2068">
            <v>0</v>
          </cell>
          <cell r="C2068">
            <v>0</v>
          </cell>
        </row>
        <row r="2069">
          <cell r="A2069">
            <v>0</v>
          </cell>
          <cell r="B2069">
            <v>0</v>
          </cell>
          <cell r="C2069">
            <v>0</v>
          </cell>
        </row>
        <row r="2070">
          <cell r="A2070">
            <v>0</v>
          </cell>
          <cell r="B2070">
            <v>0</v>
          </cell>
          <cell r="C2070">
            <v>0</v>
          </cell>
        </row>
        <row r="2071">
          <cell r="A2071">
            <v>0</v>
          </cell>
          <cell r="B2071">
            <v>0</v>
          </cell>
          <cell r="C2071">
            <v>0</v>
          </cell>
        </row>
        <row r="2072">
          <cell r="A2072">
            <v>0</v>
          </cell>
          <cell r="B2072">
            <v>0</v>
          </cell>
          <cell r="C2072">
            <v>0</v>
          </cell>
        </row>
        <row r="2073">
          <cell r="A2073">
            <v>0</v>
          </cell>
          <cell r="B2073">
            <v>0</v>
          </cell>
          <cell r="C2073">
            <v>0</v>
          </cell>
        </row>
        <row r="2074">
          <cell r="A2074">
            <v>0</v>
          </cell>
          <cell r="B2074">
            <v>0</v>
          </cell>
          <cell r="C2074">
            <v>0</v>
          </cell>
        </row>
        <row r="2075">
          <cell r="A2075">
            <v>0</v>
          </cell>
          <cell r="B2075">
            <v>0</v>
          </cell>
          <cell r="C2075">
            <v>0</v>
          </cell>
        </row>
        <row r="2076">
          <cell r="A2076">
            <v>0</v>
          </cell>
          <cell r="B2076">
            <v>0</v>
          </cell>
          <cell r="C2076">
            <v>0</v>
          </cell>
        </row>
        <row r="2077">
          <cell r="A2077">
            <v>0</v>
          </cell>
          <cell r="B2077">
            <v>0</v>
          </cell>
          <cell r="C2077">
            <v>0</v>
          </cell>
        </row>
        <row r="2078">
          <cell r="A2078">
            <v>0</v>
          </cell>
          <cell r="B2078">
            <v>0</v>
          </cell>
          <cell r="C2078">
            <v>0</v>
          </cell>
        </row>
        <row r="2079">
          <cell r="A2079">
            <v>0</v>
          </cell>
          <cell r="B2079">
            <v>0</v>
          </cell>
          <cell r="C2079">
            <v>0</v>
          </cell>
        </row>
        <row r="2080">
          <cell r="A2080">
            <v>0</v>
          </cell>
          <cell r="B2080">
            <v>0</v>
          </cell>
          <cell r="C2080">
            <v>0</v>
          </cell>
        </row>
        <row r="2081">
          <cell r="A2081">
            <v>0</v>
          </cell>
          <cell r="B2081">
            <v>0</v>
          </cell>
          <cell r="C2081">
            <v>0</v>
          </cell>
        </row>
        <row r="2082">
          <cell r="A2082">
            <v>0</v>
          </cell>
          <cell r="B2082">
            <v>0</v>
          </cell>
          <cell r="C2082">
            <v>0</v>
          </cell>
        </row>
        <row r="2083">
          <cell r="A2083">
            <v>0</v>
          </cell>
          <cell r="B2083">
            <v>0</v>
          </cell>
          <cell r="C2083">
            <v>0</v>
          </cell>
        </row>
        <row r="2084">
          <cell r="A2084">
            <v>0</v>
          </cell>
          <cell r="B2084">
            <v>0</v>
          </cell>
          <cell r="C2084">
            <v>0</v>
          </cell>
        </row>
        <row r="2085">
          <cell r="A2085">
            <v>0</v>
          </cell>
          <cell r="B2085">
            <v>0</v>
          </cell>
          <cell r="C2085">
            <v>0</v>
          </cell>
        </row>
        <row r="2086">
          <cell r="A2086">
            <v>0</v>
          </cell>
          <cell r="B2086">
            <v>0</v>
          </cell>
          <cell r="C2086">
            <v>0</v>
          </cell>
        </row>
        <row r="2087">
          <cell r="A2087">
            <v>0</v>
          </cell>
          <cell r="B2087">
            <v>0</v>
          </cell>
          <cell r="C2087">
            <v>0</v>
          </cell>
        </row>
        <row r="2088">
          <cell r="A2088">
            <v>0</v>
          </cell>
          <cell r="B2088">
            <v>0</v>
          </cell>
          <cell r="C2088">
            <v>0</v>
          </cell>
        </row>
        <row r="2089">
          <cell r="A2089">
            <v>0</v>
          </cell>
          <cell r="B2089">
            <v>0</v>
          </cell>
          <cell r="C2089">
            <v>0</v>
          </cell>
        </row>
        <row r="2090">
          <cell r="A2090">
            <v>0</v>
          </cell>
          <cell r="B2090">
            <v>0</v>
          </cell>
          <cell r="C2090">
            <v>0</v>
          </cell>
        </row>
        <row r="2091">
          <cell r="A2091">
            <v>0</v>
          </cell>
          <cell r="B2091">
            <v>0</v>
          </cell>
          <cell r="C2091">
            <v>0</v>
          </cell>
        </row>
        <row r="2092">
          <cell r="A2092">
            <v>0</v>
          </cell>
          <cell r="B2092">
            <v>0</v>
          </cell>
          <cell r="C2092">
            <v>0</v>
          </cell>
        </row>
        <row r="2093">
          <cell r="A2093">
            <v>0</v>
          </cell>
          <cell r="B2093">
            <v>0</v>
          </cell>
          <cell r="C2093">
            <v>0</v>
          </cell>
        </row>
        <row r="2094">
          <cell r="A2094">
            <v>0</v>
          </cell>
          <cell r="B2094">
            <v>0</v>
          </cell>
          <cell r="C2094">
            <v>0</v>
          </cell>
        </row>
        <row r="2095">
          <cell r="A2095">
            <v>0</v>
          </cell>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099">
          <cell r="A2099">
            <v>0</v>
          </cell>
          <cell r="B2099">
            <v>0</v>
          </cell>
          <cell r="C2099">
            <v>0</v>
          </cell>
        </row>
        <row r="2100">
          <cell r="A2100">
            <v>0</v>
          </cell>
          <cell r="B2100">
            <v>0</v>
          </cell>
          <cell r="C2100">
            <v>0</v>
          </cell>
        </row>
        <row r="2101">
          <cell r="A2101">
            <v>0</v>
          </cell>
          <cell r="B2101">
            <v>0</v>
          </cell>
          <cell r="C2101">
            <v>0</v>
          </cell>
        </row>
        <row r="2102">
          <cell r="A2102">
            <v>0</v>
          </cell>
          <cell r="B2102">
            <v>0</v>
          </cell>
          <cell r="C2102">
            <v>0</v>
          </cell>
        </row>
        <row r="2103">
          <cell r="A2103">
            <v>0</v>
          </cell>
          <cell r="B2103">
            <v>0</v>
          </cell>
          <cell r="C2103">
            <v>0</v>
          </cell>
        </row>
        <row r="2104">
          <cell r="A2104">
            <v>0</v>
          </cell>
          <cell r="B2104">
            <v>0</v>
          </cell>
          <cell r="C2104">
            <v>0</v>
          </cell>
        </row>
        <row r="2105">
          <cell r="A2105">
            <v>0</v>
          </cell>
          <cell r="B2105">
            <v>0</v>
          </cell>
          <cell r="C2105">
            <v>0</v>
          </cell>
        </row>
        <row r="2106">
          <cell r="A2106">
            <v>0</v>
          </cell>
          <cell r="B2106">
            <v>0</v>
          </cell>
          <cell r="C2106">
            <v>0</v>
          </cell>
        </row>
        <row r="2107">
          <cell r="A2107">
            <v>0</v>
          </cell>
          <cell r="B2107">
            <v>0</v>
          </cell>
          <cell r="C2107">
            <v>0</v>
          </cell>
        </row>
        <row r="2108">
          <cell r="A2108">
            <v>0</v>
          </cell>
          <cell r="B2108">
            <v>0</v>
          </cell>
          <cell r="C2108">
            <v>0</v>
          </cell>
        </row>
        <row r="2109">
          <cell r="A2109">
            <v>0</v>
          </cell>
          <cell r="B2109">
            <v>0</v>
          </cell>
          <cell r="C2109">
            <v>0</v>
          </cell>
        </row>
        <row r="2110">
          <cell r="A2110">
            <v>0</v>
          </cell>
          <cell r="B2110">
            <v>0</v>
          </cell>
          <cell r="C2110">
            <v>0</v>
          </cell>
        </row>
        <row r="2111">
          <cell r="A2111">
            <v>0</v>
          </cell>
          <cell r="B2111">
            <v>0</v>
          </cell>
          <cell r="C2111">
            <v>0</v>
          </cell>
        </row>
        <row r="2112">
          <cell r="A2112">
            <v>0</v>
          </cell>
          <cell r="B2112">
            <v>0</v>
          </cell>
          <cell r="C2112">
            <v>0</v>
          </cell>
        </row>
        <row r="2113">
          <cell r="A2113">
            <v>0</v>
          </cell>
          <cell r="B2113">
            <v>0</v>
          </cell>
          <cell r="C2113">
            <v>0</v>
          </cell>
        </row>
        <row r="2114">
          <cell r="A2114">
            <v>0</v>
          </cell>
          <cell r="B2114">
            <v>0</v>
          </cell>
          <cell r="C2114">
            <v>0</v>
          </cell>
        </row>
        <row r="2115">
          <cell r="A2115">
            <v>0</v>
          </cell>
          <cell r="B2115">
            <v>0</v>
          </cell>
          <cell r="C2115">
            <v>0</v>
          </cell>
        </row>
        <row r="2116">
          <cell r="A2116">
            <v>0</v>
          </cell>
          <cell r="B2116">
            <v>0</v>
          </cell>
          <cell r="C2116">
            <v>0</v>
          </cell>
        </row>
        <row r="2117">
          <cell r="A2117">
            <v>0</v>
          </cell>
          <cell r="B2117">
            <v>0</v>
          </cell>
          <cell r="C2117">
            <v>0</v>
          </cell>
        </row>
        <row r="2118">
          <cell r="A2118">
            <v>0</v>
          </cell>
          <cell r="B2118">
            <v>0</v>
          </cell>
          <cell r="C2118">
            <v>0</v>
          </cell>
        </row>
        <row r="2119">
          <cell r="A2119">
            <v>0</v>
          </cell>
          <cell r="B2119">
            <v>0</v>
          </cell>
          <cell r="C2119">
            <v>0</v>
          </cell>
        </row>
        <row r="2120">
          <cell r="A2120">
            <v>0</v>
          </cell>
          <cell r="B2120">
            <v>0</v>
          </cell>
          <cell r="C2120">
            <v>0</v>
          </cell>
        </row>
        <row r="2121">
          <cell r="A2121">
            <v>0</v>
          </cell>
          <cell r="B2121">
            <v>0</v>
          </cell>
          <cell r="C2121">
            <v>0</v>
          </cell>
        </row>
        <row r="2122">
          <cell r="A2122">
            <v>0</v>
          </cell>
          <cell r="B2122">
            <v>0</v>
          </cell>
          <cell r="C2122">
            <v>0</v>
          </cell>
        </row>
        <row r="2123">
          <cell r="A2123">
            <v>0</v>
          </cell>
          <cell r="B2123">
            <v>0</v>
          </cell>
          <cell r="C2123">
            <v>0</v>
          </cell>
        </row>
        <row r="2124">
          <cell r="A2124">
            <v>0</v>
          </cell>
          <cell r="B2124">
            <v>0</v>
          </cell>
          <cell r="C2124">
            <v>0</v>
          </cell>
        </row>
        <row r="2125">
          <cell r="A2125">
            <v>0</v>
          </cell>
          <cell r="B2125">
            <v>0</v>
          </cell>
          <cell r="C2125">
            <v>0</v>
          </cell>
        </row>
        <row r="2126">
          <cell r="A2126">
            <v>0</v>
          </cell>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0">
          <cell r="A2130">
            <v>0</v>
          </cell>
          <cell r="B2130">
            <v>0</v>
          </cell>
          <cell r="C2130">
            <v>0</v>
          </cell>
        </row>
        <row r="2131">
          <cell r="A2131">
            <v>0</v>
          </cell>
          <cell r="B2131">
            <v>0</v>
          </cell>
          <cell r="C2131">
            <v>0</v>
          </cell>
        </row>
        <row r="2132">
          <cell r="A2132">
            <v>0</v>
          </cell>
          <cell r="B2132">
            <v>0</v>
          </cell>
          <cell r="C2132">
            <v>0</v>
          </cell>
        </row>
        <row r="2133">
          <cell r="A2133">
            <v>0</v>
          </cell>
          <cell r="B2133">
            <v>0</v>
          </cell>
          <cell r="C2133">
            <v>0</v>
          </cell>
        </row>
        <row r="2134">
          <cell r="A2134">
            <v>0</v>
          </cell>
          <cell r="B2134">
            <v>0</v>
          </cell>
          <cell r="C2134">
            <v>0</v>
          </cell>
        </row>
        <row r="2135">
          <cell r="A2135">
            <v>0</v>
          </cell>
          <cell r="B2135">
            <v>0</v>
          </cell>
          <cell r="C2135">
            <v>0</v>
          </cell>
        </row>
        <row r="2136">
          <cell r="A2136">
            <v>0</v>
          </cell>
          <cell r="B2136">
            <v>0</v>
          </cell>
          <cell r="C2136">
            <v>0</v>
          </cell>
        </row>
        <row r="2137">
          <cell r="A2137">
            <v>0</v>
          </cell>
          <cell r="B2137">
            <v>0</v>
          </cell>
          <cell r="C2137">
            <v>0</v>
          </cell>
        </row>
        <row r="2138">
          <cell r="A2138">
            <v>0</v>
          </cell>
          <cell r="B2138">
            <v>0</v>
          </cell>
          <cell r="C2138">
            <v>0</v>
          </cell>
        </row>
        <row r="2139">
          <cell r="A2139">
            <v>0</v>
          </cell>
          <cell r="B2139">
            <v>0</v>
          </cell>
          <cell r="C2139">
            <v>0</v>
          </cell>
        </row>
        <row r="2140">
          <cell r="A2140">
            <v>0</v>
          </cell>
          <cell r="B2140">
            <v>0</v>
          </cell>
          <cell r="C2140">
            <v>0</v>
          </cell>
        </row>
        <row r="2141">
          <cell r="A2141">
            <v>0</v>
          </cell>
          <cell r="B2141">
            <v>0</v>
          </cell>
          <cell r="C2141">
            <v>0</v>
          </cell>
        </row>
        <row r="2142">
          <cell r="A2142">
            <v>0</v>
          </cell>
          <cell r="B2142">
            <v>0</v>
          </cell>
          <cell r="C2142">
            <v>0</v>
          </cell>
        </row>
        <row r="2143">
          <cell r="A2143">
            <v>0</v>
          </cell>
          <cell r="B2143">
            <v>0</v>
          </cell>
          <cell r="C2143">
            <v>0</v>
          </cell>
        </row>
        <row r="2144">
          <cell r="A2144">
            <v>0</v>
          </cell>
          <cell r="B2144">
            <v>0</v>
          </cell>
          <cell r="C2144">
            <v>0</v>
          </cell>
        </row>
        <row r="2145">
          <cell r="A2145">
            <v>0</v>
          </cell>
          <cell r="B2145">
            <v>0</v>
          </cell>
          <cell r="C2145">
            <v>0</v>
          </cell>
        </row>
        <row r="2146">
          <cell r="A2146">
            <v>0</v>
          </cell>
          <cell r="B2146">
            <v>0</v>
          </cell>
          <cell r="C2146">
            <v>0</v>
          </cell>
        </row>
        <row r="2147">
          <cell r="A2147">
            <v>0</v>
          </cell>
          <cell r="B2147">
            <v>0</v>
          </cell>
          <cell r="C2147">
            <v>0</v>
          </cell>
        </row>
        <row r="2148">
          <cell r="A2148">
            <v>0</v>
          </cell>
          <cell r="B2148">
            <v>0</v>
          </cell>
          <cell r="C2148">
            <v>0</v>
          </cell>
        </row>
        <row r="2149">
          <cell r="A2149">
            <v>0</v>
          </cell>
          <cell r="B2149">
            <v>0</v>
          </cell>
          <cell r="C2149">
            <v>0</v>
          </cell>
        </row>
        <row r="2150">
          <cell r="A2150">
            <v>0</v>
          </cell>
          <cell r="B2150">
            <v>0</v>
          </cell>
          <cell r="C2150">
            <v>0</v>
          </cell>
        </row>
        <row r="2151">
          <cell r="A2151">
            <v>0</v>
          </cell>
          <cell r="B2151">
            <v>0</v>
          </cell>
          <cell r="C2151">
            <v>0</v>
          </cell>
        </row>
        <row r="2152">
          <cell r="A2152">
            <v>0</v>
          </cell>
          <cell r="B2152">
            <v>0</v>
          </cell>
          <cell r="C2152">
            <v>0</v>
          </cell>
        </row>
        <row r="2153">
          <cell r="A2153">
            <v>0</v>
          </cell>
          <cell r="B2153">
            <v>0</v>
          </cell>
          <cell r="C2153">
            <v>0</v>
          </cell>
        </row>
        <row r="2154">
          <cell r="A2154">
            <v>0</v>
          </cell>
          <cell r="B2154">
            <v>0</v>
          </cell>
          <cell r="C2154">
            <v>0</v>
          </cell>
        </row>
        <row r="2155">
          <cell r="A2155">
            <v>0</v>
          </cell>
          <cell r="B2155">
            <v>0</v>
          </cell>
          <cell r="C2155">
            <v>0</v>
          </cell>
        </row>
        <row r="2156">
          <cell r="A2156">
            <v>0</v>
          </cell>
          <cell r="B2156">
            <v>0</v>
          </cell>
          <cell r="C2156">
            <v>0</v>
          </cell>
        </row>
        <row r="2157">
          <cell r="A2157">
            <v>0</v>
          </cell>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1">
          <cell r="A2161">
            <v>0</v>
          </cell>
          <cell r="B2161">
            <v>0</v>
          </cell>
          <cell r="C2161">
            <v>0</v>
          </cell>
        </row>
        <row r="2162">
          <cell r="A2162">
            <v>0</v>
          </cell>
          <cell r="B2162">
            <v>0</v>
          </cell>
          <cell r="C2162">
            <v>0</v>
          </cell>
        </row>
        <row r="2163">
          <cell r="A2163">
            <v>0</v>
          </cell>
          <cell r="B2163">
            <v>0</v>
          </cell>
          <cell r="C2163">
            <v>0</v>
          </cell>
        </row>
        <row r="2164">
          <cell r="A2164">
            <v>0</v>
          </cell>
          <cell r="B2164">
            <v>0</v>
          </cell>
          <cell r="C2164">
            <v>0</v>
          </cell>
        </row>
        <row r="2165">
          <cell r="A2165">
            <v>0</v>
          </cell>
          <cell r="B2165">
            <v>0</v>
          </cell>
          <cell r="C2165">
            <v>0</v>
          </cell>
        </row>
        <row r="2166">
          <cell r="A2166">
            <v>0</v>
          </cell>
          <cell r="B2166">
            <v>0</v>
          </cell>
          <cell r="C2166">
            <v>0</v>
          </cell>
        </row>
        <row r="2167">
          <cell r="A2167">
            <v>0</v>
          </cell>
          <cell r="B2167">
            <v>0</v>
          </cell>
          <cell r="C2167">
            <v>0</v>
          </cell>
        </row>
        <row r="2168">
          <cell r="A2168">
            <v>0</v>
          </cell>
          <cell r="B2168">
            <v>0</v>
          </cell>
          <cell r="C2168">
            <v>0</v>
          </cell>
        </row>
        <row r="2169">
          <cell r="A2169">
            <v>0</v>
          </cell>
          <cell r="B2169">
            <v>0</v>
          </cell>
          <cell r="C2169">
            <v>0</v>
          </cell>
        </row>
        <row r="2170">
          <cell r="A2170">
            <v>0</v>
          </cell>
          <cell r="B2170">
            <v>0</v>
          </cell>
          <cell r="C2170">
            <v>0</v>
          </cell>
        </row>
        <row r="2171">
          <cell r="A2171">
            <v>0</v>
          </cell>
          <cell r="B2171">
            <v>0</v>
          </cell>
          <cell r="C2171">
            <v>0</v>
          </cell>
        </row>
        <row r="2172">
          <cell r="A2172">
            <v>0</v>
          </cell>
          <cell r="B2172">
            <v>0</v>
          </cell>
          <cell r="C2172">
            <v>0</v>
          </cell>
        </row>
        <row r="2173">
          <cell r="A2173">
            <v>0</v>
          </cell>
          <cell r="B2173">
            <v>0</v>
          </cell>
          <cell r="C2173">
            <v>0</v>
          </cell>
        </row>
        <row r="2174">
          <cell r="A2174">
            <v>0</v>
          </cell>
          <cell r="B2174">
            <v>0</v>
          </cell>
          <cell r="C2174">
            <v>0</v>
          </cell>
        </row>
        <row r="2175">
          <cell r="A2175">
            <v>0</v>
          </cell>
          <cell r="B2175">
            <v>0</v>
          </cell>
          <cell r="C2175">
            <v>0</v>
          </cell>
        </row>
        <row r="2176">
          <cell r="A2176">
            <v>0</v>
          </cell>
          <cell r="B2176">
            <v>0</v>
          </cell>
          <cell r="C2176">
            <v>0</v>
          </cell>
        </row>
        <row r="2177">
          <cell r="A2177">
            <v>0</v>
          </cell>
          <cell r="B2177">
            <v>0</v>
          </cell>
          <cell r="C2177">
            <v>0</v>
          </cell>
        </row>
        <row r="2178">
          <cell r="A2178">
            <v>0</v>
          </cell>
          <cell r="B2178">
            <v>0</v>
          </cell>
          <cell r="C2178">
            <v>0</v>
          </cell>
        </row>
        <row r="2179">
          <cell r="A2179">
            <v>0</v>
          </cell>
          <cell r="B2179">
            <v>0</v>
          </cell>
          <cell r="C2179">
            <v>0</v>
          </cell>
        </row>
        <row r="2180">
          <cell r="A2180">
            <v>0</v>
          </cell>
          <cell r="B2180">
            <v>0</v>
          </cell>
          <cell r="C2180">
            <v>0</v>
          </cell>
        </row>
        <row r="2181">
          <cell r="A2181">
            <v>0</v>
          </cell>
          <cell r="B2181">
            <v>0</v>
          </cell>
          <cell r="C2181">
            <v>0</v>
          </cell>
        </row>
        <row r="2182">
          <cell r="A2182">
            <v>0</v>
          </cell>
          <cell r="B2182">
            <v>0</v>
          </cell>
          <cell r="C2182">
            <v>0</v>
          </cell>
        </row>
        <row r="2183">
          <cell r="A2183">
            <v>0</v>
          </cell>
          <cell r="B2183">
            <v>0</v>
          </cell>
          <cell r="C2183">
            <v>0</v>
          </cell>
        </row>
        <row r="2184">
          <cell r="A2184">
            <v>0</v>
          </cell>
          <cell r="B2184">
            <v>0</v>
          </cell>
          <cell r="C2184">
            <v>0</v>
          </cell>
        </row>
        <row r="2185">
          <cell r="A2185">
            <v>0</v>
          </cell>
          <cell r="B2185">
            <v>0</v>
          </cell>
          <cell r="C2185">
            <v>0</v>
          </cell>
        </row>
        <row r="2186">
          <cell r="A2186">
            <v>0</v>
          </cell>
          <cell r="B2186">
            <v>0</v>
          </cell>
          <cell r="C2186">
            <v>0</v>
          </cell>
        </row>
        <row r="2187">
          <cell r="A2187">
            <v>0</v>
          </cell>
          <cell r="B2187">
            <v>0</v>
          </cell>
          <cell r="C2187">
            <v>0</v>
          </cell>
        </row>
        <row r="2188">
          <cell r="A2188">
            <v>0</v>
          </cell>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2">
          <cell r="A2192">
            <v>0</v>
          </cell>
          <cell r="B2192">
            <v>0</v>
          </cell>
          <cell r="C2192">
            <v>0</v>
          </cell>
        </row>
        <row r="2193">
          <cell r="A2193">
            <v>0</v>
          </cell>
          <cell r="B2193">
            <v>0</v>
          </cell>
          <cell r="C2193">
            <v>0</v>
          </cell>
        </row>
        <row r="2194">
          <cell r="A2194">
            <v>0</v>
          </cell>
          <cell r="B2194">
            <v>0</v>
          </cell>
          <cell r="C2194">
            <v>0</v>
          </cell>
        </row>
        <row r="2195">
          <cell r="A2195">
            <v>0</v>
          </cell>
          <cell r="B2195">
            <v>0</v>
          </cell>
          <cell r="C2195">
            <v>0</v>
          </cell>
        </row>
        <row r="2196">
          <cell r="A2196">
            <v>0</v>
          </cell>
          <cell r="B2196">
            <v>0</v>
          </cell>
          <cell r="C2196">
            <v>0</v>
          </cell>
        </row>
        <row r="2197">
          <cell r="A2197">
            <v>0</v>
          </cell>
          <cell r="B2197">
            <v>0</v>
          </cell>
          <cell r="C2197">
            <v>0</v>
          </cell>
        </row>
        <row r="2198">
          <cell r="A2198">
            <v>0</v>
          </cell>
          <cell r="B2198">
            <v>0</v>
          </cell>
          <cell r="C2198">
            <v>0</v>
          </cell>
        </row>
        <row r="2199">
          <cell r="A2199">
            <v>0</v>
          </cell>
          <cell r="B2199">
            <v>0</v>
          </cell>
          <cell r="C2199">
            <v>0</v>
          </cell>
        </row>
        <row r="2200">
          <cell r="A2200">
            <v>0</v>
          </cell>
          <cell r="B2200">
            <v>0</v>
          </cell>
          <cell r="C2200">
            <v>0</v>
          </cell>
        </row>
        <row r="2201">
          <cell r="A2201">
            <v>0</v>
          </cell>
          <cell r="B2201">
            <v>0</v>
          </cell>
          <cell r="C2201">
            <v>0</v>
          </cell>
        </row>
        <row r="2202">
          <cell r="A2202">
            <v>0</v>
          </cell>
          <cell r="B2202">
            <v>0</v>
          </cell>
          <cell r="C2202">
            <v>0</v>
          </cell>
        </row>
        <row r="2203">
          <cell r="A2203">
            <v>0</v>
          </cell>
          <cell r="B2203">
            <v>0</v>
          </cell>
          <cell r="C2203">
            <v>0</v>
          </cell>
        </row>
        <row r="2204">
          <cell r="A2204">
            <v>0</v>
          </cell>
          <cell r="B2204">
            <v>0</v>
          </cell>
          <cell r="C2204">
            <v>0</v>
          </cell>
        </row>
        <row r="2205">
          <cell r="A2205">
            <v>0</v>
          </cell>
          <cell r="B2205">
            <v>0</v>
          </cell>
          <cell r="C2205">
            <v>0</v>
          </cell>
        </row>
        <row r="2206">
          <cell r="A2206">
            <v>0</v>
          </cell>
          <cell r="B2206">
            <v>0</v>
          </cell>
          <cell r="C2206">
            <v>0</v>
          </cell>
        </row>
        <row r="2207">
          <cell r="A2207">
            <v>0</v>
          </cell>
          <cell r="B2207">
            <v>0</v>
          </cell>
          <cell r="C2207">
            <v>0</v>
          </cell>
        </row>
        <row r="2208">
          <cell r="A2208">
            <v>0</v>
          </cell>
          <cell r="B2208">
            <v>0</v>
          </cell>
          <cell r="C2208">
            <v>0</v>
          </cell>
        </row>
        <row r="2209">
          <cell r="A2209">
            <v>0</v>
          </cell>
          <cell r="B2209">
            <v>0</v>
          </cell>
          <cell r="C2209">
            <v>0</v>
          </cell>
        </row>
        <row r="2210">
          <cell r="A2210">
            <v>0</v>
          </cell>
          <cell r="B2210">
            <v>0</v>
          </cell>
          <cell r="C2210">
            <v>0</v>
          </cell>
        </row>
        <row r="2211">
          <cell r="A2211">
            <v>0</v>
          </cell>
          <cell r="B2211">
            <v>0</v>
          </cell>
          <cell r="C2211">
            <v>0</v>
          </cell>
        </row>
        <row r="2212">
          <cell r="A2212">
            <v>0</v>
          </cell>
          <cell r="B2212">
            <v>0</v>
          </cell>
          <cell r="C2212">
            <v>0</v>
          </cell>
        </row>
        <row r="2213">
          <cell r="A2213">
            <v>0</v>
          </cell>
          <cell r="B2213">
            <v>0</v>
          </cell>
          <cell r="C2213">
            <v>0</v>
          </cell>
        </row>
        <row r="2214">
          <cell r="A2214">
            <v>0</v>
          </cell>
          <cell r="B2214">
            <v>0</v>
          </cell>
          <cell r="C2214">
            <v>0</v>
          </cell>
        </row>
        <row r="2215">
          <cell r="A2215">
            <v>0</v>
          </cell>
          <cell r="B2215">
            <v>0</v>
          </cell>
          <cell r="C2215">
            <v>0</v>
          </cell>
        </row>
        <row r="2216">
          <cell r="A2216">
            <v>0</v>
          </cell>
          <cell r="B2216">
            <v>0</v>
          </cell>
          <cell r="C2216">
            <v>0</v>
          </cell>
        </row>
        <row r="2217">
          <cell r="A2217">
            <v>0</v>
          </cell>
          <cell r="B2217">
            <v>0</v>
          </cell>
          <cell r="C2217">
            <v>0</v>
          </cell>
        </row>
        <row r="2218">
          <cell r="A2218">
            <v>0</v>
          </cell>
          <cell r="B2218">
            <v>0</v>
          </cell>
          <cell r="C2218">
            <v>0</v>
          </cell>
        </row>
        <row r="2219">
          <cell r="A2219">
            <v>0</v>
          </cell>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3">
          <cell r="A2223">
            <v>0</v>
          </cell>
          <cell r="B2223">
            <v>0</v>
          </cell>
          <cell r="C2223">
            <v>0</v>
          </cell>
        </row>
        <row r="2224">
          <cell r="A2224">
            <v>0</v>
          </cell>
          <cell r="B2224">
            <v>0</v>
          </cell>
          <cell r="C2224">
            <v>0</v>
          </cell>
        </row>
        <row r="2225">
          <cell r="A2225">
            <v>0</v>
          </cell>
          <cell r="B2225">
            <v>0</v>
          </cell>
          <cell r="C2225">
            <v>0</v>
          </cell>
        </row>
        <row r="2226">
          <cell r="A2226">
            <v>0</v>
          </cell>
          <cell r="B2226">
            <v>0</v>
          </cell>
          <cell r="C2226">
            <v>0</v>
          </cell>
        </row>
        <row r="2227">
          <cell r="A2227">
            <v>0</v>
          </cell>
          <cell r="B2227">
            <v>0</v>
          </cell>
          <cell r="C2227">
            <v>0</v>
          </cell>
        </row>
        <row r="2228">
          <cell r="A2228">
            <v>0</v>
          </cell>
          <cell r="B2228">
            <v>0</v>
          </cell>
          <cell r="C2228">
            <v>0</v>
          </cell>
        </row>
        <row r="2229">
          <cell r="A2229">
            <v>0</v>
          </cell>
          <cell r="B2229">
            <v>0</v>
          </cell>
          <cell r="C2229">
            <v>0</v>
          </cell>
        </row>
        <row r="2230">
          <cell r="A2230">
            <v>0</v>
          </cell>
          <cell r="B2230">
            <v>0</v>
          </cell>
          <cell r="C2230">
            <v>0</v>
          </cell>
        </row>
        <row r="2231">
          <cell r="A2231">
            <v>0</v>
          </cell>
          <cell r="B2231">
            <v>0</v>
          </cell>
          <cell r="C2231">
            <v>0</v>
          </cell>
        </row>
        <row r="2232">
          <cell r="A2232">
            <v>0</v>
          </cell>
          <cell r="B2232">
            <v>0</v>
          </cell>
          <cell r="C2232">
            <v>0</v>
          </cell>
        </row>
        <row r="2233">
          <cell r="A2233">
            <v>0</v>
          </cell>
          <cell r="B2233">
            <v>0</v>
          </cell>
          <cell r="C2233">
            <v>0</v>
          </cell>
        </row>
        <row r="2234">
          <cell r="A2234">
            <v>0</v>
          </cell>
          <cell r="B2234">
            <v>0</v>
          </cell>
          <cell r="C2234">
            <v>0</v>
          </cell>
        </row>
        <row r="2235">
          <cell r="A2235">
            <v>0</v>
          </cell>
          <cell r="B2235">
            <v>0</v>
          </cell>
          <cell r="C2235">
            <v>0</v>
          </cell>
        </row>
        <row r="2236">
          <cell r="A2236">
            <v>0</v>
          </cell>
          <cell r="B2236">
            <v>0</v>
          </cell>
          <cell r="C2236">
            <v>0</v>
          </cell>
        </row>
        <row r="2237">
          <cell r="A2237">
            <v>0</v>
          </cell>
          <cell r="B2237">
            <v>0</v>
          </cell>
          <cell r="C2237">
            <v>0</v>
          </cell>
        </row>
        <row r="2238">
          <cell r="A2238">
            <v>0</v>
          </cell>
          <cell r="B2238">
            <v>0</v>
          </cell>
          <cell r="C2238">
            <v>0</v>
          </cell>
        </row>
        <row r="2239">
          <cell r="A2239">
            <v>0</v>
          </cell>
          <cell r="B2239">
            <v>0</v>
          </cell>
          <cell r="C2239">
            <v>0</v>
          </cell>
        </row>
        <row r="2240">
          <cell r="A2240">
            <v>0</v>
          </cell>
          <cell r="B2240">
            <v>0</v>
          </cell>
          <cell r="C2240">
            <v>0</v>
          </cell>
        </row>
        <row r="2241">
          <cell r="A2241">
            <v>0</v>
          </cell>
          <cell r="B2241">
            <v>0</v>
          </cell>
          <cell r="C2241">
            <v>0</v>
          </cell>
        </row>
        <row r="2242">
          <cell r="A2242">
            <v>0</v>
          </cell>
          <cell r="B2242">
            <v>0</v>
          </cell>
          <cell r="C2242">
            <v>0</v>
          </cell>
        </row>
        <row r="2243">
          <cell r="A2243">
            <v>0</v>
          </cell>
          <cell r="B2243">
            <v>0</v>
          </cell>
          <cell r="C2243">
            <v>0</v>
          </cell>
        </row>
        <row r="2244">
          <cell r="A2244">
            <v>0</v>
          </cell>
          <cell r="B2244">
            <v>0</v>
          </cell>
          <cell r="C2244">
            <v>0</v>
          </cell>
        </row>
        <row r="2245">
          <cell r="A2245">
            <v>0</v>
          </cell>
          <cell r="B2245">
            <v>0</v>
          </cell>
          <cell r="C2245">
            <v>0</v>
          </cell>
        </row>
        <row r="2246">
          <cell r="A2246">
            <v>0</v>
          </cell>
          <cell r="B2246">
            <v>0</v>
          </cell>
          <cell r="C2246">
            <v>0</v>
          </cell>
        </row>
        <row r="2247">
          <cell r="A2247">
            <v>0</v>
          </cell>
          <cell r="B2247">
            <v>0</v>
          </cell>
          <cell r="C2247">
            <v>0</v>
          </cell>
        </row>
        <row r="2248">
          <cell r="A2248">
            <v>0</v>
          </cell>
          <cell r="B2248">
            <v>0</v>
          </cell>
          <cell r="C2248">
            <v>0</v>
          </cell>
        </row>
        <row r="2249">
          <cell r="A2249">
            <v>0</v>
          </cell>
          <cell r="B2249">
            <v>0</v>
          </cell>
          <cell r="C2249">
            <v>0</v>
          </cell>
        </row>
        <row r="2250">
          <cell r="A2250">
            <v>0</v>
          </cell>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4">
          <cell r="A2254">
            <v>0</v>
          </cell>
          <cell r="B2254">
            <v>0</v>
          </cell>
          <cell r="C2254">
            <v>0</v>
          </cell>
        </row>
        <row r="2255">
          <cell r="A2255">
            <v>0</v>
          </cell>
          <cell r="B2255">
            <v>0</v>
          </cell>
          <cell r="C2255">
            <v>0</v>
          </cell>
        </row>
        <row r="2256">
          <cell r="A2256">
            <v>0</v>
          </cell>
          <cell r="B2256">
            <v>0</v>
          </cell>
          <cell r="C2256">
            <v>0</v>
          </cell>
        </row>
        <row r="2257">
          <cell r="A2257">
            <v>0</v>
          </cell>
          <cell r="B2257">
            <v>0</v>
          </cell>
          <cell r="C2257">
            <v>0</v>
          </cell>
        </row>
        <row r="2258">
          <cell r="A2258">
            <v>0</v>
          </cell>
          <cell r="B2258">
            <v>0</v>
          </cell>
          <cell r="C2258">
            <v>0</v>
          </cell>
        </row>
        <row r="2259">
          <cell r="A2259">
            <v>0</v>
          </cell>
          <cell r="B2259">
            <v>0</v>
          </cell>
          <cell r="C2259">
            <v>0</v>
          </cell>
        </row>
        <row r="2260">
          <cell r="A2260">
            <v>0</v>
          </cell>
          <cell r="B2260">
            <v>0</v>
          </cell>
          <cell r="C2260">
            <v>0</v>
          </cell>
        </row>
        <row r="2261">
          <cell r="A2261">
            <v>0</v>
          </cell>
          <cell r="B2261">
            <v>0</v>
          </cell>
          <cell r="C2261">
            <v>0</v>
          </cell>
        </row>
        <row r="2262">
          <cell r="A2262">
            <v>0</v>
          </cell>
          <cell r="B2262">
            <v>0</v>
          </cell>
          <cell r="C2262">
            <v>0</v>
          </cell>
        </row>
        <row r="2263">
          <cell r="A2263">
            <v>0</v>
          </cell>
          <cell r="B2263">
            <v>0</v>
          </cell>
          <cell r="C2263">
            <v>0</v>
          </cell>
        </row>
        <row r="2264">
          <cell r="A2264">
            <v>0</v>
          </cell>
          <cell r="B2264">
            <v>0</v>
          </cell>
          <cell r="C2264">
            <v>0</v>
          </cell>
        </row>
        <row r="2265">
          <cell r="A2265">
            <v>0</v>
          </cell>
          <cell r="B2265">
            <v>0</v>
          </cell>
          <cell r="C2265">
            <v>0</v>
          </cell>
        </row>
        <row r="2266">
          <cell r="A2266">
            <v>0</v>
          </cell>
          <cell r="B2266">
            <v>0</v>
          </cell>
          <cell r="C2266">
            <v>0</v>
          </cell>
        </row>
        <row r="2267">
          <cell r="A2267">
            <v>0</v>
          </cell>
          <cell r="B2267">
            <v>0</v>
          </cell>
          <cell r="C2267">
            <v>0</v>
          </cell>
        </row>
        <row r="2268">
          <cell r="A2268">
            <v>0</v>
          </cell>
          <cell r="B2268">
            <v>0</v>
          </cell>
          <cell r="C2268">
            <v>0</v>
          </cell>
        </row>
        <row r="2269">
          <cell r="A2269">
            <v>0</v>
          </cell>
          <cell r="B2269">
            <v>0</v>
          </cell>
          <cell r="C2269">
            <v>0</v>
          </cell>
        </row>
        <row r="2270">
          <cell r="A2270">
            <v>0</v>
          </cell>
          <cell r="B2270">
            <v>0</v>
          </cell>
          <cell r="C2270">
            <v>0</v>
          </cell>
        </row>
        <row r="2271">
          <cell r="A2271">
            <v>0</v>
          </cell>
          <cell r="B2271">
            <v>0</v>
          </cell>
          <cell r="C2271">
            <v>0</v>
          </cell>
        </row>
        <row r="2272">
          <cell r="A2272">
            <v>0</v>
          </cell>
          <cell r="B2272">
            <v>0</v>
          </cell>
          <cell r="C2272">
            <v>0</v>
          </cell>
        </row>
        <row r="2273">
          <cell r="A2273">
            <v>0</v>
          </cell>
          <cell r="B2273">
            <v>0</v>
          </cell>
          <cell r="C2273">
            <v>0</v>
          </cell>
        </row>
        <row r="2274">
          <cell r="A2274">
            <v>0</v>
          </cell>
          <cell r="B2274">
            <v>0</v>
          </cell>
          <cell r="C2274">
            <v>0</v>
          </cell>
        </row>
        <row r="2275">
          <cell r="A2275">
            <v>0</v>
          </cell>
          <cell r="B2275">
            <v>0</v>
          </cell>
          <cell r="C2275">
            <v>0</v>
          </cell>
        </row>
        <row r="2276">
          <cell r="A2276">
            <v>0</v>
          </cell>
          <cell r="B2276">
            <v>0</v>
          </cell>
          <cell r="C2276">
            <v>0</v>
          </cell>
        </row>
        <row r="2277">
          <cell r="A2277">
            <v>0</v>
          </cell>
          <cell r="B2277">
            <v>0</v>
          </cell>
          <cell r="C2277">
            <v>0</v>
          </cell>
        </row>
        <row r="2278">
          <cell r="A2278">
            <v>0</v>
          </cell>
          <cell r="B2278">
            <v>0</v>
          </cell>
          <cell r="C2278">
            <v>0</v>
          </cell>
        </row>
        <row r="2279">
          <cell r="A2279">
            <v>0</v>
          </cell>
          <cell r="B2279">
            <v>0</v>
          </cell>
          <cell r="C2279">
            <v>0</v>
          </cell>
        </row>
        <row r="2280">
          <cell r="A2280">
            <v>0</v>
          </cell>
          <cell r="B2280">
            <v>0</v>
          </cell>
          <cell r="C2280">
            <v>0</v>
          </cell>
        </row>
        <row r="2281">
          <cell r="A2281">
            <v>0</v>
          </cell>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5">
          <cell r="A2285">
            <v>0</v>
          </cell>
          <cell r="B2285">
            <v>0</v>
          </cell>
          <cell r="C2285">
            <v>0</v>
          </cell>
        </row>
        <row r="2286">
          <cell r="A2286">
            <v>0</v>
          </cell>
          <cell r="B2286">
            <v>0</v>
          </cell>
          <cell r="C2286">
            <v>0</v>
          </cell>
        </row>
        <row r="2287">
          <cell r="A2287">
            <v>0</v>
          </cell>
          <cell r="B2287">
            <v>0</v>
          </cell>
          <cell r="C2287">
            <v>0</v>
          </cell>
        </row>
        <row r="2288">
          <cell r="A2288">
            <v>0</v>
          </cell>
          <cell r="B2288">
            <v>0</v>
          </cell>
          <cell r="C2288">
            <v>0</v>
          </cell>
        </row>
        <row r="2289">
          <cell r="A2289">
            <v>0</v>
          </cell>
          <cell r="B2289">
            <v>0</v>
          </cell>
          <cell r="C2289">
            <v>0</v>
          </cell>
        </row>
        <row r="2290">
          <cell r="A2290">
            <v>0</v>
          </cell>
          <cell r="B2290">
            <v>0</v>
          </cell>
          <cell r="C2290">
            <v>0</v>
          </cell>
        </row>
        <row r="2291">
          <cell r="A2291">
            <v>0</v>
          </cell>
          <cell r="B2291">
            <v>0</v>
          </cell>
          <cell r="C2291">
            <v>0</v>
          </cell>
        </row>
        <row r="2292">
          <cell r="A2292">
            <v>0</v>
          </cell>
          <cell r="B2292">
            <v>0</v>
          </cell>
          <cell r="C2292">
            <v>0</v>
          </cell>
        </row>
        <row r="2293">
          <cell r="A2293">
            <v>0</v>
          </cell>
          <cell r="B2293">
            <v>0</v>
          </cell>
          <cell r="C2293">
            <v>0</v>
          </cell>
        </row>
        <row r="2294">
          <cell r="A2294">
            <v>0</v>
          </cell>
          <cell r="B2294">
            <v>0</v>
          </cell>
          <cell r="C2294">
            <v>0</v>
          </cell>
        </row>
        <row r="2295">
          <cell r="A2295">
            <v>0</v>
          </cell>
          <cell r="B2295">
            <v>0</v>
          </cell>
          <cell r="C2295">
            <v>0</v>
          </cell>
        </row>
        <row r="2296">
          <cell r="A2296">
            <v>0</v>
          </cell>
          <cell r="B2296">
            <v>0</v>
          </cell>
          <cell r="C2296">
            <v>0</v>
          </cell>
        </row>
        <row r="2297">
          <cell r="A2297">
            <v>0</v>
          </cell>
          <cell r="B2297">
            <v>0</v>
          </cell>
          <cell r="C2297">
            <v>0</v>
          </cell>
        </row>
        <row r="2298">
          <cell r="A2298">
            <v>0</v>
          </cell>
          <cell r="B2298">
            <v>0</v>
          </cell>
          <cell r="C2298">
            <v>0</v>
          </cell>
        </row>
        <row r="2299">
          <cell r="A2299">
            <v>0</v>
          </cell>
          <cell r="B2299">
            <v>0</v>
          </cell>
          <cell r="C2299">
            <v>0</v>
          </cell>
        </row>
        <row r="2300">
          <cell r="A2300">
            <v>0</v>
          </cell>
          <cell r="B2300">
            <v>0</v>
          </cell>
          <cell r="C2300">
            <v>0</v>
          </cell>
        </row>
        <row r="2301">
          <cell r="A2301">
            <v>0</v>
          </cell>
          <cell r="B2301">
            <v>0</v>
          </cell>
          <cell r="C2301">
            <v>0</v>
          </cell>
        </row>
        <row r="2302">
          <cell r="A2302">
            <v>0</v>
          </cell>
          <cell r="B2302">
            <v>0</v>
          </cell>
          <cell r="C2302">
            <v>0</v>
          </cell>
        </row>
        <row r="2303">
          <cell r="A2303">
            <v>0</v>
          </cell>
          <cell r="B2303">
            <v>0</v>
          </cell>
          <cell r="C2303">
            <v>0</v>
          </cell>
        </row>
        <row r="2304">
          <cell r="A2304">
            <v>0</v>
          </cell>
          <cell r="B2304">
            <v>0</v>
          </cell>
          <cell r="C2304">
            <v>0</v>
          </cell>
        </row>
        <row r="2305">
          <cell r="A2305">
            <v>0</v>
          </cell>
          <cell r="B2305">
            <v>0</v>
          </cell>
          <cell r="C2305">
            <v>0</v>
          </cell>
        </row>
        <row r="2306">
          <cell r="A2306">
            <v>0</v>
          </cell>
          <cell r="B2306">
            <v>0</v>
          </cell>
          <cell r="C2306">
            <v>0</v>
          </cell>
        </row>
        <row r="2307">
          <cell r="A2307">
            <v>0</v>
          </cell>
          <cell r="B2307">
            <v>0</v>
          </cell>
          <cell r="C2307">
            <v>0</v>
          </cell>
        </row>
        <row r="2308">
          <cell r="A2308">
            <v>0</v>
          </cell>
          <cell r="B2308">
            <v>0</v>
          </cell>
          <cell r="C2308">
            <v>0</v>
          </cell>
        </row>
        <row r="2309">
          <cell r="A2309">
            <v>0</v>
          </cell>
          <cell r="B2309">
            <v>0</v>
          </cell>
          <cell r="C2309">
            <v>0</v>
          </cell>
        </row>
        <row r="2310">
          <cell r="A2310">
            <v>0</v>
          </cell>
          <cell r="B2310">
            <v>0</v>
          </cell>
          <cell r="C2310">
            <v>0</v>
          </cell>
        </row>
        <row r="2311">
          <cell r="A2311">
            <v>0</v>
          </cell>
          <cell r="B2311">
            <v>0</v>
          </cell>
          <cell r="C2311">
            <v>0</v>
          </cell>
        </row>
        <row r="2312">
          <cell r="A2312">
            <v>0</v>
          </cell>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6">
          <cell r="A2316">
            <v>0</v>
          </cell>
          <cell r="B2316">
            <v>0</v>
          </cell>
          <cell r="C2316">
            <v>0</v>
          </cell>
        </row>
        <row r="2317">
          <cell r="A2317">
            <v>0</v>
          </cell>
          <cell r="B2317">
            <v>0</v>
          </cell>
          <cell r="C2317">
            <v>0</v>
          </cell>
        </row>
        <row r="2318">
          <cell r="A2318">
            <v>0</v>
          </cell>
          <cell r="B2318">
            <v>0</v>
          </cell>
          <cell r="C2318">
            <v>0</v>
          </cell>
        </row>
        <row r="2319">
          <cell r="A2319">
            <v>0</v>
          </cell>
          <cell r="B2319">
            <v>0</v>
          </cell>
          <cell r="C2319">
            <v>0</v>
          </cell>
        </row>
        <row r="2320">
          <cell r="A2320">
            <v>0</v>
          </cell>
          <cell r="B2320">
            <v>0</v>
          </cell>
          <cell r="C2320">
            <v>0</v>
          </cell>
        </row>
        <row r="2321">
          <cell r="A2321">
            <v>0</v>
          </cell>
          <cell r="B2321">
            <v>0</v>
          </cell>
          <cell r="C2321">
            <v>0</v>
          </cell>
        </row>
        <row r="2322">
          <cell r="A2322">
            <v>0</v>
          </cell>
          <cell r="B2322">
            <v>0</v>
          </cell>
          <cell r="C2322">
            <v>0</v>
          </cell>
        </row>
        <row r="2323">
          <cell r="A2323">
            <v>0</v>
          </cell>
          <cell r="B2323">
            <v>0</v>
          </cell>
          <cell r="C2323">
            <v>0</v>
          </cell>
        </row>
        <row r="2324">
          <cell r="A2324">
            <v>0</v>
          </cell>
          <cell r="B2324">
            <v>0</v>
          </cell>
          <cell r="C2324">
            <v>0</v>
          </cell>
        </row>
        <row r="2325">
          <cell r="A2325">
            <v>0</v>
          </cell>
          <cell r="B2325">
            <v>0</v>
          </cell>
          <cell r="C2325">
            <v>0</v>
          </cell>
        </row>
        <row r="2326">
          <cell r="A2326">
            <v>0</v>
          </cell>
          <cell r="B2326">
            <v>0</v>
          </cell>
          <cell r="C2326">
            <v>0</v>
          </cell>
        </row>
        <row r="2327">
          <cell r="A2327">
            <v>0</v>
          </cell>
          <cell r="B2327">
            <v>0</v>
          </cell>
          <cell r="C2327">
            <v>0</v>
          </cell>
        </row>
        <row r="2328">
          <cell r="A2328">
            <v>0</v>
          </cell>
          <cell r="B2328">
            <v>0</v>
          </cell>
          <cell r="C2328">
            <v>0</v>
          </cell>
        </row>
        <row r="2329">
          <cell r="A2329">
            <v>0</v>
          </cell>
          <cell r="B2329">
            <v>0</v>
          </cell>
          <cell r="C2329">
            <v>0</v>
          </cell>
        </row>
        <row r="2330">
          <cell r="A2330">
            <v>0</v>
          </cell>
          <cell r="B2330">
            <v>0</v>
          </cell>
          <cell r="C2330">
            <v>0</v>
          </cell>
        </row>
        <row r="2331">
          <cell r="A2331">
            <v>0</v>
          </cell>
          <cell r="B2331">
            <v>0</v>
          </cell>
          <cell r="C2331">
            <v>0</v>
          </cell>
        </row>
        <row r="2332">
          <cell r="A2332">
            <v>0</v>
          </cell>
          <cell r="B2332">
            <v>0</v>
          </cell>
          <cell r="C2332">
            <v>0</v>
          </cell>
        </row>
        <row r="2333">
          <cell r="A2333">
            <v>0</v>
          </cell>
          <cell r="B2333">
            <v>0</v>
          </cell>
          <cell r="C2333">
            <v>0</v>
          </cell>
        </row>
        <row r="2334">
          <cell r="A2334">
            <v>0</v>
          </cell>
          <cell r="B2334">
            <v>0</v>
          </cell>
          <cell r="C2334">
            <v>0</v>
          </cell>
        </row>
        <row r="2335">
          <cell r="A2335">
            <v>0</v>
          </cell>
          <cell r="B2335">
            <v>0</v>
          </cell>
          <cell r="C2335">
            <v>0</v>
          </cell>
        </row>
        <row r="2336">
          <cell r="A2336">
            <v>0</v>
          </cell>
          <cell r="B2336">
            <v>0</v>
          </cell>
          <cell r="C2336">
            <v>0</v>
          </cell>
        </row>
        <row r="2337">
          <cell r="A2337">
            <v>0</v>
          </cell>
          <cell r="B2337">
            <v>0</v>
          </cell>
          <cell r="C2337">
            <v>0</v>
          </cell>
        </row>
        <row r="2338">
          <cell r="A2338">
            <v>0</v>
          </cell>
          <cell r="B2338">
            <v>0</v>
          </cell>
          <cell r="C2338">
            <v>0</v>
          </cell>
        </row>
        <row r="2339">
          <cell r="A2339">
            <v>0</v>
          </cell>
          <cell r="B2339">
            <v>0</v>
          </cell>
          <cell r="C2339">
            <v>0</v>
          </cell>
        </row>
        <row r="2340">
          <cell r="A2340">
            <v>0</v>
          </cell>
          <cell r="B2340">
            <v>0</v>
          </cell>
          <cell r="C2340">
            <v>0</v>
          </cell>
        </row>
        <row r="2341">
          <cell r="A2341">
            <v>0</v>
          </cell>
          <cell r="B2341">
            <v>0</v>
          </cell>
          <cell r="C2341">
            <v>0</v>
          </cell>
        </row>
        <row r="2342">
          <cell r="A2342">
            <v>0</v>
          </cell>
          <cell r="B2342">
            <v>0</v>
          </cell>
          <cell r="C2342">
            <v>0</v>
          </cell>
        </row>
        <row r="2343">
          <cell r="A2343">
            <v>0</v>
          </cell>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7">
          <cell r="A2347">
            <v>0</v>
          </cell>
          <cell r="B2347">
            <v>0</v>
          </cell>
          <cell r="C2347">
            <v>0</v>
          </cell>
        </row>
        <row r="2348">
          <cell r="A2348">
            <v>0</v>
          </cell>
          <cell r="B2348">
            <v>0</v>
          </cell>
          <cell r="C2348">
            <v>0</v>
          </cell>
        </row>
        <row r="2349">
          <cell r="A2349">
            <v>0</v>
          </cell>
          <cell r="B2349">
            <v>0</v>
          </cell>
          <cell r="C2349">
            <v>0</v>
          </cell>
        </row>
        <row r="2350">
          <cell r="A2350">
            <v>0</v>
          </cell>
          <cell r="B2350">
            <v>0</v>
          </cell>
          <cell r="C2350">
            <v>0</v>
          </cell>
        </row>
        <row r="2351">
          <cell r="A2351">
            <v>0</v>
          </cell>
          <cell r="B2351">
            <v>0</v>
          </cell>
          <cell r="C2351">
            <v>0</v>
          </cell>
        </row>
        <row r="2352">
          <cell r="A2352">
            <v>0</v>
          </cell>
          <cell r="B2352">
            <v>0</v>
          </cell>
          <cell r="C2352">
            <v>0</v>
          </cell>
        </row>
        <row r="2353">
          <cell r="A2353">
            <v>0</v>
          </cell>
          <cell r="B2353">
            <v>0</v>
          </cell>
          <cell r="C2353">
            <v>0</v>
          </cell>
        </row>
        <row r="2354">
          <cell r="A2354">
            <v>0</v>
          </cell>
          <cell r="B2354">
            <v>0</v>
          </cell>
          <cell r="C2354">
            <v>0</v>
          </cell>
        </row>
        <row r="2355">
          <cell r="A2355">
            <v>0</v>
          </cell>
          <cell r="B2355">
            <v>0</v>
          </cell>
          <cell r="C2355">
            <v>0</v>
          </cell>
        </row>
        <row r="2356">
          <cell r="A2356">
            <v>0</v>
          </cell>
          <cell r="B2356">
            <v>0</v>
          </cell>
          <cell r="C2356">
            <v>0</v>
          </cell>
        </row>
        <row r="2357">
          <cell r="A2357">
            <v>0</v>
          </cell>
          <cell r="B2357">
            <v>0</v>
          </cell>
          <cell r="C2357">
            <v>0</v>
          </cell>
        </row>
        <row r="2358">
          <cell r="A2358">
            <v>0</v>
          </cell>
          <cell r="B2358">
            <v>0</v>
          </cell>
          <cell r="C2358">
            <v>0</v>
          </cell>
        </row>
        <row r="2359">
          <cell r="A2359">
            <v>0</v>
          </cell>
          <cell r="B2359">
            <v>0</v>
          </cell>
          <cell r="C2359">
            <v>0</v>
          </cell>
        </row>
        <row r="2360">
          <cell r="A2360">
            <v>0</v>
          </cell>
          <cell r="B2360">
            <v>0</v>
          </cell>
          <cell r="C2360">
            <v>0</v>
          </cell>
        </row>
        <row r="2361">
          <cell r="A2361">
            <v>0</v>
          </cell>
          <cell r="B2361">
            <v>0</v>
          </cell>
          <cell r="C2361">
            <v>0</v>
          </cell>
        </row>
        <row r="2362">
          <cell r="A2362">
            <v>0</v>
          </cell>
          <cell r="B2362">
            <v>0</v>
          </cell>
          <cell r="C2362">
            <v>0</v>
          </cell>
        </row>
        <row r="2363">
          <cell r="A2363">
            <v>0</v>
          </cell>
          <cell r="B2363">
            <v>0</v>
          </cell>
          <cell r="C2363">
            <v>0</v>
          </cell>
        </row>
        <row r="2364">
          <cell r="A2364">
            <v>0</v>
          </cell>
          <cell r="B2364">
            <v>0</v>
          </cell>
          <cell r="C2364">
            <v>0</v>
          </cell>
        </row>
        <row r="2365">
          <cell r="A2365">
            <v>0</v>
          </cell>
          <cell r="B2365">
            <v>0</v>
          </cell>
          <cell r="C2365">
            <v>0</v>
          </cell>
        </row>
        <row r="2366">
          <cell r="A2366">
            <v>0</v>
          </cell>
          <cell r="B2366">
            <v>0</v>
          </cell>
          <cell r="C2366">
            <v>0</v>
          </cell>
        </row>
        <row r="2367">
          <cell r="A2367">
            <v>0</v>
          </cell>
          <cell r="B2367">
            <v>0</v>
          </cell>
          <cell r="C2367">
            <v>0</v>
          </cell>
        </row>
        <row r="2368">
          <cell r="A2368">
            <v>0</v>
          </cell>
          <cell r="B2368">
            <v>0</v>
          </cell>
          <cell r="C2368">
            <v>0</v>
          </cell>
        </row>
        <row r="2369">
          <cell r="A2369">
            <v>0</v>
          </cell>
          <cell r="B2369">
            <v>0</v>
          </cell>
          <cell r="C2369">
            <v>0</v>
          </cell>
        </row>
        <row r="2370">
          <cell r="A2370">
            <v>0</v>
          </cell>
          <cell r="B2370">
            <v>0</v>
          </cell>
          <cell r="C2370">
            <v>0</v>
          </cell>
        </row>
        <row r="2371">
          <cell r="A2371">
            <v>0</v>
          </cell>
          <cell r="B2371">
            <v>0</v>
          </cell>
          <cell r="C2371">
            <v>0</v>
          </cell>
        </row>
        <row r="2372">
          <cell r="A2372">
            <v>0</v>
          </cell>
          <cell r="B2372">
            <v>0</v>
          </cell>
          <cell r="C2372">
            <v>0</v>
          </cell>
        </row>
        <row r="2373">
          <cell r="A2373">
            <v>0</v>
          </cell>
          <cell r="B2373">
            <v>0</v>
          </cell>
          <cell r="C2373">
            <v>0</v>
          </cell>
        </row>
        <row r="2374">
          <cell r="A2374">
            <v>0</v>
          </cell>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8">
          <cell r="A2378">
            <v>0</v>
          </cell>
          <cell r="B2378">
            <v>0</v>
          </cell>
          <cell r="C2378">
            <v>0</v>
          </cell>
        </row>
        <row r="2379">
          <cell r="A2379">
            <v>0</v>
          </cell>
          <cell r="B2379">
            <v>0</v>
          </cell>
          <cell r="C2379">
            <v>0</v>
          </cell>
        </row>
        <row r="2380">
          <cell r="A2380">
            <v>0</v>
          </cell>
          <cell r="B2380">
            <v>0</v>
          </cell>
          <cell r="C2380">
            <v>0</v>
          </cell>
        </row>
        <row r="2381">
          <cell r="A2381">
            <v>0</v>
          </cell>
          <cell r="B2381">
            <v>0</v>
          </cell>
          <cell r="C2381">
            <v>0</v>
          </cell>
        </row>
        <row r="2382">
          <cell r="A2382">
            <v>0</v>
          </cell>
          <cell r="B2382">
            <v>0</v>
          </cell>
          <cell r="C2382">
            <v>0</v>
          </cell>
        </row>
        <row r="2383">
          <cell r="A2383">
            <v>0</v>
          </cell>
          <cell r="B2383">
            <v>0</v>
          </cell>
          <cell r="C2383">
            <v>0</v>
          </cell>
        </row>
        <row r="2384">
          <cell r="A2384">
            <v>0</v>
          </cell>
          <cell r="B2384">
            <v>0</v>
          </cell>
          <cell r="C2384">
            <v>0</v>
          </cell>
        </row>
        <row r="2385">
          <cell r="A2385">
            <v>0</v>
          </cell>
          <cell r="B2385">
            <v>0</v>
          </cell>
          <cell r="C2385">
            <v>0</v>
          </cell>
        </row>
        <row r="2386">
          <cell r="A2386">
            <v>0</v>
          </cell>
          <cell r="B2386">
            <v>0</v>
          </cell>
          <cell r="C2386">
            <v>0</v>
          </cell>
        </row>
        <row r="2387">
          <cell r="A2387">
            <v>0</v>
          </cell>
          <cell r="B2387">
            <v>0</v>
          </cell>
          <cell r="C2387">
            <v>0</v>
          </cell>
        </row>
        <row r="2388">
          <cell r="A2388">
            <v>0</v>
          </cell>
          <cell r="B2388">
            <v>0</v>
          </cell>
          <cell r="C2388">
            <v>0</v>
          </cell>
        </row>
        <row r="2389">
          <cell r="A2389">
            <v>0</v>
          </cell>
          <cell r="B2389">
            <v>0</v>
          </cell>
          <cell r="C2389">
            <v>0</v>
          </cell>
        </row>
        <row r="2390">
          <cell r="A2390">
            <v>0</v>
          </cell>
          <cell r="B2390">
            <v>0</v>
          </cell>
          <cell r="C2390">
            <v>0</v>
          </cell>
        </row>
        <row r="2391">
          <cell r="A2391">
            <v>0</v>
          </cell>
          <cell r="B2391">
            <v>0</v>
          </cell>
          <cell r="C2391">
            <v>0</v>
          </cell>
        </row>
        <row r="2392">
          <cell r="A2392">
            <v>0</v>
          </cell>
          <cell r="B2392">
            <v>0</v>
          </cell>
          <cell r="C2392">
            <v>0</v>
          </cell>
        </row>
        <row r="2393">
          <cell r="A2393">
            <v>0</v>
          </cell>
          <cell r="B2393">
            <v>0</v>
          </cell>
          <cell r="C2393">
            <v>0</v>
          </cell>
        </row>
        <row r="2394">
          <cell r="A2394">
            <v>0</v>
          </cell>
          <cell r="B2394">
            <v>0</v>
          </cell>
          <cell r="C2394">
            <v>0</v>
          </cell>
        </row>
        <row r="2395">
          <cell r="A2395">
            <v>0</v>
          </cell>
          <cell r="B2395">
            <v>0</v>
          </cell>
          <cell r="C2395">
            <v>0</v>
          </cell>
        </row>
        <row r="2396">
          <cell r="A2396">
            <v>0</v>
          </cell>
          <cell r="B2396">
            <v>0</v>
          </cell>
          <cell r="C2396">
            <v>0</v>
          </cell>
        </row>
        <row r="2397">
          <cell r="A2397">
            <v>0</v>
          </cell>
          <cell r="B2397">
            <v>0</v>
          </cell>
          <cell r="C2397">
            <v>0</v>
          </cell>
        </row>
        <row r="2398">
          <cell r="A2398">
            <v>0</v>
          </cell>
          <cell r="B2398">
            <v>0</v>
          </cell>
          <cell r="C2398">
            <v>0</v>
          </cell>
        </row>
        <row r="2399">
          <cell r="A2399">
            <v>0</v>
          </cell>
          <cell r="B2399">
            <v>0</v>
          </cell>
          <cell r="C2399">
            <v>0</v>
          </cell>
        </row>
        <row r="2400">
          <cell r="A2400">
            <v>0</v>
          </cell>
          <cell r="B2400">
            <v>0</v>
          </cell>
          <cell r="C2400">
            <v>0</v>
          </cell>
        </row>
        <row r="2401">
          <cell r="A2401">
            <v>0</v>
          </cell>
          <cell r="B2401">
            <v>0</v>
          </cell>
          <cell r="C2401">
            <v>0</v>
          </cell>
        </row>
        <row r="2402">
          <cell r="A2402">
            <v>0</v>
          </cell>
          <cell r="B2402">
            <v>0</v>
          </cell>
          <cell r="C2402">
            <v>0</v>
          </cell>
        </row>
        <row r="2403">
          <cell r="A2403">
            <v>0</v>
          </cell>
          <cell r="B2403">
            <v>0</v>
          </cell>
          <cell r="C2403">
            <v>0</v>
          </cell>
        </row>
        <row r="2404">
          <cell r="A2404">
            <v>0</v>
          </cell>
          <cell r="B2404">
            <v>0</v>
          </cell>
          <cell r="C2404">
            <v>0</v>
          </cell>
        </row>
        <row r="2405">
          <cell r="A2405">
            <v>0</v>
          </cell>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09">
          <cell r="A2409">
            <v>0</v>
          </cell>
          <cell r="B2409">
            <v>0</v>
          </cell>
          <cell r="C2409">
            <v>0</v>
          </cell>
        </row>
        <row r="2410">
          <cell r="A2410">
            <v>0</v>
          </cell>
          <cell r="B2410">
            <v>0</v>
          </cell>
          <cell r="C2410">
            <v>0</v>
          </cell>
        </row>
        <row r="2411">
          <cell r="A2411">
            <v>0</v>
          </cell>
          <cell r="B2411">
            <v>0</v>
          </cell>
          <cell r="C2411">
            <v>0</v>
          </cell>
        </row>
        <row r="2412">
          <cell r="A2412">
            <v>0</v>
          </cell>
          <cell r="B2412">
            <v>0</v>
          </cell>
          <cell r="C2412">
            <v>0</v>
          </cell>
        </row>
        <row r="2413">
          <cell r="A2413">
            <v>0</v>
          </cell>
          <cell r="B2413">
            <v>0</v>
          </cell>
          <cell r="C2413">
            <v>0</v>
          </cell>
        </row>
        <row r="2414">
          <cell r="A2414">
            <v>0</v>
          </cell>
          <cell r="B2414">
            <v>0</v>
          </cell>
          <cell r="C2414">
            <v>0</v>
          </cell>
        </row>
        <row r="2415">
          <cell r="A2415">
            <v>0</v>
          </cell>
          <cell r="B2415">
            <v>0</v>
          </cell>
          <cell r="C2415">
            <v>0</v>
          </cell>
        </row>
        <row r="2416">
          <cell r="A2416">
            <v>0</v>
          </cell>
          <cell r="B2416">
            <v>0</v>
          </cell>
          <cell r="C2416">
            <v>0</v>
          </cell>
        </row>
        <row r="2417">
          <cell r="A2417">
            <v>0</v>
          </cell>
          <cell r="B2417">
            <v>0</v>
          </cell>
          <cell r="C2417">
            <v>0</v>
          </cell>
        </row>
        <row r="2418">
          <cell r="A2418">
            <v>0</v>
          </cell>
          <cell r="B2418">
            <v>0</v>
          </cell>
          <cell r="C2418">
            <v>0</v>
          </cell>
        </row>
        <row r="2419">
          <cell r="A2419">
            <v>0</v>
          </cell>
          <cell r="B2419">
            <v>0</v>
          </cell>
          <cell r="C2419">
            <v>0</v>
          </cell>
        </row>
        <row r="2420">
          <cell r="A2420">
            <v>0</v>
          </cell>
          <cell r="B2420">
            <v>0</v>
          </cell>
          <cell r="C2420">
            <v>0</v>
          </cell>
        </row>
        <row r="2421">
          <cell r="A2421">
            <v>0</v>
          </cell>
          <cell r="B2421">
            <v>0</v>
          </cell>
          <cell r="C2421">
            <v>0</v>
          </cell>
        </row>
        <row r="2422">
          <cell r="A2422">
            <v>0</v>
          </cell>
          <cell r="B2422">
            <v>0</v>
          </cell>
          <cell r="C2422">
            <v>0</v>
          </cell>
        </row>
        <row r="2423">
          <cell r="A2423">
            <v>0</v>
          </cell>
          <cell r="B2423">
            <v>0</v>
          </cell>
          <cell r="C2423">
            <v>0</v>
          </cell>
        </row>
        <row r="2424">
          <cell r="A2424">
            <v>0</v>
          </cell>
          <cell r="B2424">
            <v>0</v>
          </cell>
          <cell r="C2424">
            <v>0</v>
          </cell>
        </row>
        <row r="2425">
          <cell r="A2425">
            <v>0</v>
          </cell>
          <cell r="B2425">
            <v>0</v>
          </cell>
          <cell r="C2425">
            <v>0</v>
          </cell>
        </row>
        <row r="2426">
          <cell r="A2426">
            <v>0</v>
          </cell>
          <cell r="B2426">
            <v>0</v>
          </cell>
          <cell r="C2426">
            <v>0</v>
          </cell>
        </row>
        <row r="2427">
          <cell r="A2427">
            <v>0</v>
          </cell>
          <cell r="B2427">
            <v>0</v>
          </cell>
          <cell r="C2427">
            <v>0</v>
          </cell>
        </row>
        <row r="2428">
          <cell r="A2428">
            <v>0</v>
          </cell>
          <cell r="B2428">
            <v>0</v>
          </cell>
          <cell r="C2428">
            <v>0</v>
          </cell>
        </row>
        <row r="2429">
          <cell r="A2429">
            <v>0</v>
          </cell>
          <cell r="B2429">
            <v>0</v>
          </cell>
          <cell r="C2429">
            <v>0</v>
          </cell>
        </row>
        <row r="2430">
          <cell r="A2430">
            <v>0</v>
          </cell>
          <cell r="B2430">
            <v>0</v>
          </cell>
          <cell r="C2430">
            <v>0</v>
          </cell>
        </row>
        <row r="2431">
          <cell r="A2431">
            <v>0</v>
          </cell>
          <cell r="B2431">
            <v>0</v>
          </cell>
          <cell r="C2431">
            <v>0</v>
          </cell>
        </row>
        <row r="2432">
          <cell r="A2432">
            <v>0</v>
          </cell>
          <cell r="B2432">
            <v>0</v>
          </cell>
          <cell r="C2432">
            <v>0</v>
          </cell>
        </row>
        <row r="2433">
          <cell r="A2433">
            <v>0</v>
          </cell>
          <cell r="B2433">
            <v>0</v>
          </cell>
          <cell r="C2433">
            <v>0</v>
          </cell>
        </row>
        <row r="2434">
          <cell r="A2434">
            <v>0</v>
          </cell>
          <cell r="B2434">
            <v>0</v>
          </cell>
          <cell r="C2434">
            <v>0</v>
          </cell>
        </row>
        <row r="2435">
          <cell r="A2435">
            <v>0</v>
          </cell>
          <cell r="B2435">
            <v>0</v>
          </cell>
          <cell r="C2435">
            <v>0</v>
          </cell>
        </row>
        <row r="2436">
          <cell r="A2436">
            <v>0</v>
          </cell>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0">
          <cell r="A2440">
            <v>0</v>
          </cell>
          <cell r="B2440">
            <v>0</v>
          </cell>
          <cell r="C2440">
            <v>0</v>
          </cell>
        </row>
        <row r="2441">
          <cell r="A2441">
            <v>0</v>
          </cell>
          <cell r="B2441">
            <v>0</v>
          </cell>
          <cell r="C2441">
            <v>0</v>
          </cell>
        </row>
        <row r="2442">
          <cell r="A2442">
            <v>0</v>
          </cell>
          <cell r="B2442">
            <v>0</v>
          </cell>
          <cell r="C2442">
            <v>0</v>
          </cell>
        </row>
        <row r="2443">
          <cell r="A2443">
            <v>0</v>
          </cell>
          <cell r="B2443">
            <v>0</v>
          </cell>
          <cell r="C2443">
            <v>0</v>
          </cell>
        </row>
        <row r="2444">
          <cell r="A2444">
            <v>0</v>
          </cell>
          <cell r="B2444">
            <v>0</v>
          </cell>
          <cell r="C2444">
            <v>0</v>
          </cell>
        </row>
        <row r="2445">
          <cell r="A2445">
            <v>0</v>
          </cell>
          <cell r="B2445">
            <v>0</v>
          </cell>
          <cell r="C2445">
            <v>0</v>
          </cell>
        </row>
        <row r="2446">
          <cell r="A2446">
            <v>0</v>
          </cell>
          <cell r="B2446">
            <v>0</v>
          </cell>
          <cell r="C2446">
            <v>0</v>
          </cell>
        </row>
        <row r="2447">
          <cell r="A2447">
            <v>0</v>
          </cell>
          <cell r="B2447">
            <v>0</v>
          </cell>
          <cell r="C2447">
            <v>0</v>
          </cell>
        </row>
        <row r="2448">
          <cell r="A2448">
            <v>0</v>
          </cell>
          <cell r="B2448">
            <v>0</v>
          </cell>
          <cell r="C2448">
            <v>0</v>
          </cell>
        </row>
        <row r="2449">
          <cell r="A2449">
            <v>0</v>
          </cell>
          <cell r="B2449">
            <v>0</v>
          </cell>
          <cell r="C2449">
            <v>0</v>
          </cell>
        </row>
        <row r="2450">
          <cell r="A2450">
            <v>0</v>
          </cell>
          <cell r="B2450">
            <v>0</v>
          </cell>
          <cell r="C2450">
            <v>0</v>
          </cell>
        </row>
        <row r="2451">
          <cell r="A2451">
            <v>0</v>
          </cell>
          <cell r="B2451">
            <v>0</v>
          </cell>
          <cell r="C2451">
            <v>0</v>
          </cell>
        </row>
        <row r="2452">
          <cell r="A2452">
            <v>0</v>
          </cell>
          <cell r="B2452">
            <v>0</v>
          </cell>
          <cell r="C2452">
            <v>0</v>
          </cell>
        </row>
        <row r="2453">
          <cell r="A2453">
            <v>0</v>
          </cell>
          <cell r="B2453">
            <v>0</v>
          </cell>
          <cell r="C2453">
            <v>0</v>
          </cell>
        </row>
        <row r="2454">
          <cell r="A2454">
            <v>0</v>
          </cell>
          <cell r="B2454">
            <v>0</v>
          </cell>
          <cell r="C2454">
            <v>0</v>
          </cell>
        </row>
        <row r="2455">
          <cell r="A2455">
            <v>0</v>
          </cell>
          <cell r="B2455">
            <v>0</v>
          </cell>
          <cell r="C2455">
            <v>0</v>
          </cell>
        </row>
        <row r="2456">
          <cell r="A2456">
            <v>0</v>
          </cell>
          <cell r="B2456">
            <v>0</v>
          </cell>
          <cell r="C2456">
            <v>0</v>
          </cell>
        </row>
        <row r="2457">
          <cell r="A2457">
            <v>0</v>
          </cell>
          <cell r="B2457">
            <v>0</v>
          </cell>
          <cell r="C2457">
            <v>0</v>
          </cell>
        </row>
        <row r="2458">
          <cell r="A2458">
            <v>0</v>
          </cell>
          <cell r="B2458">
            <v>0</v>
          </cell>
          <cell r="C2458">
            <v>0</v>
          </cell>
        </row>
        <row r="2459">
          <cell r="A2459">
            <v>0</v>
          </cell>
          <cell r="B2459">
            <v>0</v>
          </cell>
          <cell r="C2459">
            <v>0</v>
          </cell>
        </row>
        <row r="2460">
          <cell r="A2460">
            <v>0</v>
          </cell>
          <cell r="B2460">
            <v>0</v>
          </cell>
          <cell r="C2460">
            <v>0</v>
          </cell>
        </row>
        <row r="2461">
          <cell r="A2461">
            <v>0</v>
          </cell>
          <cell r="B2461">
            <v>0</v>
          </cell>
          <cell r="C2461">
            <v>0</v>
          </cell>
        </row>
        <row r="2462">
          <cell r="A2462">
            <v>0</v>
          </cell>
          <cell r="B2462">
            <v>0</v>
          </cell>
          <cell r="C2462">
            <v>0</v>
          </cell>
        </row>
        <row r="2463">
          <cell r="A2463">
            <v>0</v>
          </cell>
          <cell r="B2463">
            <v>0</v>
          </cell>
          <cell r="C2463">
            <v>0</v>
          </cell>
        </row>
        <row r="2464">
          <cell r="A2464">
            <v>0</v>
          </cell>
          <cell r="B2464">
            <v>0</v>
          </cell>
          <cell r="C2464">
            <v>0</v>
          </cell>
        </row>
        <row r="2465">
          <cell r="A2465">
            <v>0</v>
          </cell>
          <cell r="B2465">
            <v>0</v>
          </cell>
          <cell r="C2465">
            <v>0</v>
          </cell>
        </row>
        <row r="2466">
          <cell r="A2466">
            <v>0</v>
          </cell>
          <cell r="B2466">
            <v>0</v>
          </cell>
          <cell r="C2466">
            <v>0</v>
          </cell>
        </row>
        <row r="2467">
          <cell r="A2467">
            <v>0</v>
          </cell>
          <cell r="B2467">
            <v>0</v>
          </cell>
          <cell r="C2467">
            <v>0</v>
          </cell>
        </row>
        <row r="2468">
          <cell r="A2468">
            <v>0</v>
          </cell>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2">
          <cell r="A2472">
            <v>0</v>
          </cell>
          <cell r="B2472">
            <v>0</v>
          </cell>
          <cell r="C2472">
            <v>0</v>
          </cell>
        </row>
        <row r="2473">
          <cell r="A2473">
            <v>0</v>
          </cell>
          <cell r="B2473">
            <v>0</v>
          </cell>
          <cell r="C2473">
            <v>0</v>
          </cell>
        </row>
        <row r="2474">
          <cell r="A2474">
            <v>0</v>
          </cell>
          <cell r="B2474">
            <v>0</v>
          </cell>
          <cell r="C2474">
            <v>0</v>
          </cell>
        </row>
        <row r="2475">
          <cell r="A2475">
            <v>0</v>
          </cell>
          <cell r="B2475">
            <v>0</v>
          </cell>
          <cell r="C2475">
            <v>0</v>
          </cell>
        </row>
        <row r="2476">
          <cell r="A2476">
            <v>0</v>
          </cell>
          <cell r="B2476">
            <v>0</v>
          </cell>
          <cell r="C2476">
            <v>0</v>
          </cell>
        </row>
        <row r="2477">
          <cell r="A2477">
            <v>0</v>
          </cell>
          <cell r="B2477">
            <v>0</v>
          </cell>
          <cell r="C2477">
            <v>0</v>
          </cell>
        </row>
        <row r="2478">
          <cell r="A2478">
            <v>0</v>
          </cell>
          <cell r="B2478">
            <v>0</v>
          </cell>
          <cell r="C2478">
            <v>0</v>
          </cell>
        </row>
        <row r="2479">
          <cell r="A2479">
            <v>0</v>
          </cell>
          <cell r="B2479">
            <v>0</v>
          </cell>
          <cell r="C2479">
            <v>0</v>
          </cell>
        </row>
        <row r="2480">
          <cell r="A2480">
            <v>0</v>
          </cell>
          <cell r="B2480">
            <v>0</v>
          </cell>
          <cell r="C2480">
            <v>0</v>
          </cell>
        </row>
        <row r="2481">
          <cell r="A2481">
            <v>0</v>
          </cell>
          <cell r="B2481">
            <v>0</v>
          </cell>
          <cell r="C2481">
            <v>0</v>
          </cell>
        </row>
        <row r="2482">
          <cell r="A2482">
            <v>0</v>
          </cell>
          <cell r="B2482">
            <v>0</v>
          </cell>
          <cell r="C2482">
            <v>0</v>
          </cell>
        </row>
        <row r="2483">
          <cell r="A2483">
            <v>0</v>
          </cell>
          <cell r="B2483">
            <v>0</v>
          </cell>
          <cell r="C2483">
            <v>0</v>
          </cell>
        </row>
        <row r="2484">
          <cell r="A2484">
            <v>0</v>
          </cell>
          <cell r="B2484">
            <v>0</v>
          </cell>
          <cell r="C2484">
            <v>0</v>
          </cell>
        </row>
        <row r="2485">
          <cell r="A2485">
            <v>0</v>
          </cell>
          <cell r="B2485">
            <v>0</v>
          </cell>
          <cell r="C2485">
            <v>0</v>
          </cell>
        </row>
        <row r="2486">
          <cell r="A2486">
            <v>0</v>
          </cell>
          <cell r="B2486">
            <v>0</v>
          </cell>
          <cell r="C2486">
            <v>0</v>
          </cell>
        </row>
        <row r="2487">
          <cell r="A2487">
            <v>0</v>
          </cell>
          <cell r="B2487">
            <v>0</v>
          </cell>
          <cell r="C2487">
            <v>0</v>
          </cell>
        </row>
        <row r="2488">
          <cell r="A2488">
            <v>0</v>
          </cell>
          <cell r="B2488">
            <v>0</v>
          </cell>
          <cell r="C2488">
            <v>0</v>
          </cell>
        </row>
        <row r="2489">
          <cell r="A2489">
            <v>0</v>
          </cell>
          <cell r="B2489">
            <v>0</v>
          </cell>
          <cell r="C2489">
            <v>0</v>
          </cell>
        </row>
        <row r="2490">
          <cell r="A2490">
            <v>0</v>
          </cell>
          <cell r="B2490">
            <v>0</v>
          </cell>
          <cell r="C2490">
            <v>0</v>
          </cell>
        </row>
        <row r="2491">
          <cell r="A2491">
            <v>0</v>
          </cell>
          <cell r="B2491">
            <v>0</v>
          </cell>
          <cell r="C2491">
            <v>0</v>
          </cell>
        </row>
        <row r="2492">
          <cell r="A2492">
            <v>0</v>
          </cell>
          <cell r="B2492">
            <v>0</v>
          </cell>
          <cell r="C2492">
            <v>0</v>
          </cell>
        </row>
        <row r="2493">
          <cell r="A2493">
            <v>0</v>
          </cell>
          <cell r="B2493">
            <v>0</v>
          </cell>
          <cell r="C2493">
            <v>0</v>
          </cell>
        </row>
        <row r="2494">
          <cell r="A2494">
            <v>0</v>
          </cell>
          <cell r="B2494">
            <v>0</v>
          </cell>
          <cell r="C2494">
            <v>0</v>
          </cell>
        </row>
        <row r="2495">
          <cell r="A2495">
            <v>0</v>
          </cell>
          <cell r="B2495">
            <v>0</v>
          </cell>
          <cell r="C2495">
            <v>0</v>
          </cell>
        </row>
        <row r="2496">
          <cell r="A2496">
            <v>0</v>
          </cell>
          <cell r="B2496">
            <v>0</v>
          </cell>
          <cell r="C2496">
            <v>0</v>
          </cell>
        </row>
        <row r="2497">
          <cell r="A2497">
            <v>0</v>
          </cell>
          <cell r="B2497">
            <v>0</v>
          </cell>
          <cell r="C2497">
            <v>0</v>
          </cell>
        </row>
        <row r="2498">
          <cell r="A2498">
            <v>0</v>
          </cell>
          <cell r="B2498">
            <v>0</v>
          </cell>
          <cell r="C2498">
            <v>0</v>
          </cell>
        </row>
        <row r="2499">
          <cell r="A2499">
            <v>0</v>
          </cell>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3">
          <cell r="A2503">
            <v>0</v>
          </cell>
          <cell r="B2503">
            <v>0</v>
          </cell>
          <cell r="C2503">
            <v>0</v>
          </cell>
        </row>
        <row r="2504">
          <cell r="A2504">
            <v>0</v>
          </cell>
          <cell r="B2504">
            <v>0</v>
          </cell>
          <cell r="C2504">
            <v>0</v>
          </cell>
        </row>
        <row r="2505">
          <cell r="A2505">
            <v>0</v>
          </cell>
          <cell r="B2505">
            <v>0</v>
          </cell>
          <cell r="C2505">
            <v>0</v>
          </cell>
        </row>
        <row r="2506">
          <cell r="A2506">
            <v>0</v>
          </cell>
          <cell r="B2506">
            <v>0</v>
          </cell>
          <cell r="C2506">
            <v>0</v>
          </cell>
        </row>
        <row r="2507">
          <cell r="A2507">
            <v>0</v>
          </cell>
          <cell r="B2507">
            <v>0</v>
          </cell>
          <cell r="C2507">
            <v>0</v>
          </cell>
        </row>
        <row r="2508">
          <cell r="A2508">
            <v>0</v>
          </cell>
          <cell r="B2508">
            <v>0</v>
          </cell>
          <cell r="C2508">
            <v>0</v>
          </cell>
        </row>
        <row r="2509">
          <cell r="A2509">
            <v>0</v>
          </cell>
          <cell r="B2509">
            <v>0</v>
          </cell>
          <cell r="C2509">
            <v>0</v>
          </cell>
        </row>
        <row r="2510">
          <cell r="A2510">
            <v>0</v>
          </cell>
          <cell r="B2510">
            <v>0</v>
          </cell>
          <cell r="C2510">
            <v>0</v>
          </cell>
        </row>
        <row r="2511">
          <cell r="A2511">
            <v>0</v>
          </cell>
          <cell r="B2511">
            <v>0</v>
          </cell>
          <cell r="C2511">
            <v>0</v>
          </cell>
        </row>
        <row r="2512">
          <cell r="A2512">
            <v>0</v>
          </cell>
          <cell r="B2512">
            <v>0</v>
          </cell>
          <cell r="C2512">
            <v>0</v>
          </cell>
        </row>
        <row r="2513">
          <cell r="A2513">
            <v>0</v>
          </cell>
          <cell r="B2513">
            <v>0</v>
          </cell>
          <cell r="C2513">
            <v>0</v>
          </cell>
        </row>
        <row r="2514">
          <cell r="A2514">
            <v>0</v>
          </cell>
          <cell r="B2514">
            <v>0</v>
          </cell>
          <cell r="C2514">
            <v>0</v>
          </cell>
        </row>
        <row r="2515">
          <cell r="A2515">
            <v>0</v>
          </cell>
          <cell r="B2515">
            <v>0</v>
          </cell>
          <cell r="C2515">
            <v>0</v>
          </cell>
        </row>
        <row r="2516">
          <cell r="A2516">
            <v>0</v>
          </cell>
          <cell r="B2516">
            <v>0</v>
          </cell>
          <cell r="C2516">
            <v>0</v>
          </cell>
        </row>
        <row r="2517">
          <cell r="A2517">
            <v>0</v>
          </cell>
          <cell r="B2517">
            <v>0</v>
          </cell>
          <cell r="C2517">
            <v>0</v>
          </cell>
        </row>
        <row r="2518">
          <cell r="A2518">
            <v>0</v>
          </cell>
          <cell r="B2518">
            <v>0</v>
          </cell>
          <cell r="C2518">
            <v>0</v>
          </cell>
        </row>
        <row r="2519">
          <cell r="A2519">
            <v>0</v>
          </cell>
          <cell r="B2519">
            <v>0</v>
          </cell>
          <cell r="C2519">
            <v>0</v>
          </cell>
        </row>
        <row r="2520">
          <cell r="A2520">
            <v>0</v>
          </cell>
          <cell r="B2520">
            <v>0</v>
          </cell>
          <cell r="C2520">
            <v>0</v>
          </cell>
        </row>
        <row r="2521">
          <cell r="A2521">
            <v>0</v>
          </cell>
          <cell r="B2521">
            <v>0</v>
          </cell>
          <cell r="C2521">
            <v>0</v>
          </cell>
        </row>
        <row r="2522">
          <cell r="A2522">
            <v>0</v>
          </cell>
          <cell r="B2522">
            <v>0</v>
          </cell>
          <cell r="C2522">
            <v>0</v>
          </cell>
        </row>
        <row r="2523">
          <cell r="A2523">
            <v>0</v>
          </cell>
          <cell r="B2523">
            <v>0</v>
          </cell>
          <cell r="C2523">
            <v>0</v>
          </cell>
        </row>
        <row r="2524">
          <cell r="A2524">
            <v>0</v>
          </cell>
          <cell r="B2524">
            <v>0</v>
          </cell>
          <cell r="C2524">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row r="4">
          <cell r="A4" t="str">
            <v>1.1.7</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row r="4">
          <cell r="A4" t="str">
            <v>1.1.7</v>
          </cell>
        </row>
      </sheetData>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row r="4">
          <cell r="A4" t="str">
            <v>1.1.7</v>
          </cell>
        </row>
      </sheetData>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row r="4">
          <cell r="A4" t="str">
            <v>1.1.7</v>
          </cell>
        </row>
      </sheetData>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row r="4">
          <cell r="A4" t="str">
            <v>1.1.7</v>
          </cell>
        </row>
      </sheetData>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row r="4">
          <cell r="A4" t="str">
            <v>1.1.7</v>
          </cell>
        </row>
      </sheetData>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row r="4">
          <cell r="A4" t="str">
            <v>1.1.7</v>
          </cell>
        </row>
      </sheetData>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row r="4">
          <cell r="A4" t="str">
            <v>1.1.7</v>
          </cell>
        </row>
      </sheetData>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sheetData sheetId="647"/>
      <sheetData sheetId="648">
        <row r="4">
          <cell r="A4" t="str">
            <v>1.1.7</v>
          </cell>
        </row>
      </sheetData>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row r="4">
          <cell r="A4" t="str">
            <v>1.1.7</v>
          </cell>
        </row>
      </sheetData>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refreshError="1"/>
      <sheetData sheetId="775"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 val="Lista_Base"/>
      <sheetName val="1_1_1"/>
      <sheetName val="1_1_2"/>
      <sheetName val="1_1_7"/>
      <sheetName val="1_1_8"/>
      <sheetName val="1_1_9"/>
      <sheetName val="1_1_11"/>
      <sheetName val="1_1_12"/>
      <sheetName val="1_1_12A"/>
      <sheetName val="1_1_13"/>
      <sheetName val="1_1_14"/>
      <sheetName val="1_1_15"/>
      <sheetName val="1_1_16"/>
      <sheetName val="1_1_17"/>
      <sheetName val="1_1_18"/>
      <sheetName val="1_1_24"/>
      <sheetName val="1_1_25"/>
      <sheetName val="1_1_26"/>
      <sheetName val="1_1_27"/>
      <sheetName val="1_1_28"/>
      <sheetName val="1_1_29"/>
      <sheetName val="1_1_32"/>
      <sheetName val="1_1_33"/>
      <sheetName val="1_1_35"/>
      <sheetName val="1_1_36"/>
      <sheetName val="1_1_37"/>
      <sheetName val="1_1_40"/>
      <sheetName val="1_1_41"/>
      <sheetName val="1_1_42"/>
      <sheetName val="1_1_43"/>
      <sheetName val="1_1_44"/>
      <sheetName val="1_1_45"/>
      <sheetName val="1_1_46"/>
      <sheetName val="1_1_47"/>
      <sheetName val="1_1_48"/>
      <sheetName val="1_1_49"/>
      <sheetName val="1_1_50"/>
      <sheetName val="1_1_51"/>
      <sheetName val="1_1_52"/>
      <sheetName val="1_1_53"/>
      <sheetName val="1_1_54"/>
      <sheetName val="1_1_55"/>
      <sheetName val="1_1_58"/>
      <sheetName val="1_1_59"/>
      <sheetName val="1_1_60"/>
      <sheetName val="1_1_61"/>
      <sheetName val="1_1_62"/>
      <sheetName val="1_1_63"/>
      <sheetName val="1_1_64"/>
      <sheetName val="1_1_65"/>
      <sheetName val="1_1_66"/>
      <sheetName val="1_1_70"/>
      <sheetName val="1_1_71"/>
      <sheetName val="1_1_74"/>
      <sheetName val="1_1_75"/>
      <sheetName val="1_1_76"/>
      <sheetName val="1_1_78"/>
      <sheetName val="1_1_79"/>
      <sheetName val="1_1_80"/>
      <sheetName val="1_1_81"/>
      <sheetName val="1_1_82"/>
      <sheetName val="1_1_83"/>
      <sheetName val="1_1_83A"/>
      <sheetName val="1_1_84"/>
      <sheetName val="1_1_85"/>
      <sheetName val="1_1_86"/>
      <sheetName val="1_2_1"/>
      <sheetName val="1_2_2"/>
      <sheetName val="1_2_3"/>
      <sheetName val="1_2_4"/>
      <sheetName val="1_2_5"/>
      <sheetName val="1_2_6"/>
      <sheetName val="1_2_7"/>
      <sheetName val="1_2_8"/>
      <sheetName val="1_2_9"/>
      <sheetName val="1_2_10"/>
      <sheetName val="1_2_11"/>
      <sheetName val="1_2_12"/>
      <sheetName val="1_2_13"/>
      <sheetName val="1_2_14"/>
      <sheetName val="1_2_15"/>
      <sheetName val="1_2_16"/>
      <sheetName val="1_2_17"/>
      <sheetName val="1_2_18"/>
      <sheetName val="1_2_19"/>
      <sheetName val="1_2_20"/>
      <sheetName val="1_2_21"/>
      <sheetName val="1_2_22"/>
      <sheetName val="1_2_23"/>
      <sheetName val="1_2_24"/>
      <sheetName val="1_2_25"/>
      <sheetName val="1_2_26"/>
      <sheetName val="1_2_27"/>
      <sheetName val="1_2_28"/>
      <sheetName val="1_2_29"/>
      <sheetName val="1_2_30"/>
      <sheetName val="1_2_31"/>
      <sheetName val="1_2_32"/>
      <sheetName val="1_2_33"/>
      <sheetName val="1_2_34"/>
      <sheetName val="1_2_35"/>
      <sheetName val="1_2_36"/>
      <sheetName val="1_2_37"/>
      <sheetName val="1_2_38"/>
      <sheetName val="1_2_39"/>
      <sheetName val="1_2_40"/>
      <sheetName val="1_2_41"/>
      <sheetName val="1_2_42"/>
      <sheetName val="1_2_43"/>
      <sheetName val="1_2_44"/>
      <sheetName val="1_2_45"/>
      <sheetName val="1_2_46"/>
      <sheetName val="1_2_47"/>
      <sheetName val="1_2_48"/>
      <sheetName val="1_2_49"/>
      <sheetName val="1_2_50"/>
      <sheetName val="1_2_51"/>
      <sheetName val="1_2_52"/>
      <sheetName val="1_2_53"/>
      <sheetName val="1_2_54"/>
      <sheetName val="1_2_55"/>
      <sheetName val="1_2_56"/>
      <sheetName val="1_2_57"/>
      <sheetName val="1_2_58"/>
      <sheetName val="1_2_59"/>
      <sheetName val="1_3_1"/>
      <sheetName val="1_3_2"/>
      <sheetName val="1_3_3"/>
      <sheetName val="1_3_4"/>
      <sheetName val="1_3_5"/>
      <sheetName val="1_3_6"/>
      <sheetName val="1_3_7"/>
      <sheetName val="1_3_8"/>
      <sheetName val="1_3_9"/>
      <sheetName val="1_3_10"/>
      <sheetName val="1_3_11"/>
      <sheetName val="1_3_12"/>
      <sheetName val="1_3_13"/>
      <sheetName val="1_3_14"/>
      <sheetName val="1_3_15"/>
      <sheetName val="1_3_16"/>
      <sheetName val="1_3_17"/>
      <sheetName val="1_3_18"/>
      <sheetName val="1_3_19"/>
      <sheetName val="1_3_20"/>
      <sheetName val="1_3_21"/>
      <sheetName val="1_3_22"/>
      <sheetName val="1_3_23"/>
      <sheetName val="1_3_24"/>
      <sheetName val="1_3_25"/>
      <sheetName val="1_4_4"/>
      <sheetName val="1_4_5"/>
      <sheetName val="1_4_6"/>
      <sheetName val="1_4_7"/>
      <sheetName val="1_4_8"/>
      <sheetName val="1_4_9"/>
      <sheetName val="1_4_10"/>
      <sheetName val="1_4_11"/>
      <sheetName val="1_4_12"/>
      <sheetName val="1_4_13"/>
      <sheetName val="1_4_14"/>
      <sheetName val="1_4_15"/>
      <sheetName val="1_4_16"/>
      <sheetName val="1_4_17"/>
      <sheetName val="1_4_18"/>
      <sheetName val="1_4_19"/>
      <sheetName val="1_4_20"/>
      <sheetName val="1_4_21"/>
      <sheetName val="1_4_22"/>
      <sheetName val="1_4_23"/>
      <sheetName val="1_4_24"/>
      <sheetName val="1_4_25"/>
      <sheetName val="1_4_26"/>
      <sheetName val="1_4_27"/>
      <sheetName val="1_4_28"/>
      <sheetName val="1_4_29"/>
      <sheetName val="1_4_30"/>
      <sheetName val="1_4_31"/>
      <sheetName val="1_4_32"/>
      <sheetName val="1_4_33"/>
      <sheetName val="1_4_34"/>
      <sheetName val="1_4_35"/>
      <sheetName val="1_4_36"/>
      <sheetName val="1_4_37"/>
      <sheetName val="1_4_38"/>
      <sheetName val="1_4_39"/>
      <sheetName val="1_5_1"/>
      <sheetName val="1_5_2"/>
      <sheetName val="1_5_3"/>
      <sheetName val="1_5_4"/>
      <sheetName val="1_5_5"/>
      <sheetName val="1_5_6"/>
      <sheetName val="1_5_7"/>
      <sheetName val="1_5_8"/>
      <sheetName val="1_5_9"/>
      <sheetName val="1_5_10"/>
      <sheetName val="1_5_11"/>
      <sheetName val="1_5_12"/>
      <sheetName val="1_5_13"/>
      <sheetName val="1_5_14"/>
      <sheetName val="1_5_15"/>
      <sheetName val="1_5_16"/>
      <sheetName val="1_5_17"/>
      <sheetName val="1_5_18"/>
      <sheetName val="1_6_1"/>
      <sheetName val="1_6_2"/>
      <sheetName val="1_6_3"/>
      <sheetName val="1_6_4"/>
      <sheetName val="1_6_5"/>
      <sheetName val="1_6_6"/>
      <sheetName val="1_6_7"/>
      <sheetName val="1_6_8"/>
      <sheetName val="1_6_9"/>
      <sheetName val="1_6_10"/>
      <sheetName val="1_6_11"/>
      <sheetName val="1_6_12"/>
      <sheetName val="1_6_13"/>
      <sheetName val="1_6_14"/>
      <sheetName val="1_6_15"/>
      <sheetName val="1_6_16"/>
      <sheetName val="1_6_17"/>
      <sheetName val="1_6_18"/>
      <sheetName val="1_6_19"/>
      <sheetName val="1_6_20"/>
      <sheetName val="1_6_21"/>
      <sheetName val="1_6_22"/>
      <sheetName val="1_6_23"/>
      <sheetName val="1_6_24"/>
      <sheetName val="1_6_25"/>
      <sheetName val="1_6_28"/>
      <sheetName val="1_6_29"/>
      <sheetName val="1_6_30"/>
      <sheetName val="1_6_31"/>
      <sheetName val="1_6_32"/>
      <sheetName val="1_6_33"/>
      <sheetName val="1_6_34"/>
      <sheetName val="1_6_35"/>
      <sheetName val="1_6_36"/>
      <sheetName val="1_6_37"/>
      <sheetName val="1_6_38"/>
      <sheetName val="1_6_39"/>
      <sheetName val="1_6_40"/>
      <sheetName val="1_6_41"/>
      <sheetName val="1_6_42"/>
      <sheetName val="1_9_1"/>
      <sheetName val="1_9_2"/>
      <sheetName val="1_9_3"/>
      <sheetName val="1_9_4"/>
      <sheetName val="1_9_5"/>
      <sheetName val="1_9_6"/>
      <sheetName val="1_9_7"/>
      <sheetName val="1_9_8"/>
      <sheetName val="1_9_9"/>
      <sheetName val="1_9_10"/>
      <sheetName val="1_9_11"/>
      <sheetName val="1_9_12"/>
      <sheetName val="1_9_13"/>
      <sheetName val="1_9_14"/>
      <sheetName val="1_9_15"/>
      <sheetName val="1_9_16"/>
      <sheetName val="1_9_17"/>
      <sheetName val="1_9_18"/>
      <sheetName val="1_9_19"/>
      <sheetName val="1_9_20"/>
      <sheetName val="1_9_21"/>
      <sheetName val="1_9_22"/>
      <sheetName val="1_9_23"/>
      <sheetName val="1_10_1"/>
      <sheetName val="1_10_2"/>
      <sheetName val="1_10_3"/>
      <sheetName val="1_10_4"/>
      <sheetName val="1_10_5"/>
      <sheetName val="1_10_6"/>
      <sheetName val="1_10_7"/>
      <sheetName val="1_10_8"/>
      <sheetName val="1_10_9"/>
      <sheetName val="1_10_10"/>
      <sheetName val="1_10_11"/>
      <sheetName val="1_10_14"/>
      <sheetName val="1_10_15"/>
      <sheetName val="1_10_16"/>
      <sheetName val="1_10_17"/>
      <sheetName val="1_10_18"/>
      <sheetName val="1_10_19"/>
      <sheetName val="1_10_20"/>
      <sheetName val="1_10_21"/>
      <sheetName val="1_10_22"/>
      <sheetName val="1_11_1"/>
      <sheetName val="1_11_2"/>
      <sheetName val="1_11_3"/>
      <sheetName val="1_11_4"/>
      <sheetName val="1_11_5"/>
      <sheetName val="1_11_6"/>
      <sheetName val="1_11_7"/>
      <sheetName val="1_11_8"/>
      <sheetName val="1_11_9"/>
      <sheetName val="1_11_10"/>
      <sheetName val="1_11_11"/>
      <sheetName val="1_11_12"/>
      <sheetName val="1_11_13"/>
      <sheetName val="1_11_14"/>
      <sheetName val="1_11_15"/>
      <sheetName val="1_11_16"/>
      <sheetName val="1_11_17"/>
      <sheetName val="1_11_18"/>
      <sheetName val="1_11_19"/>
      <sheetName val="1_11_20"/>
      <sheetName val="1_11_21"/>
      <sheetName val="1_11_22"/>
      <sheetName val="1_11_23"/>
      <sheetName val="1_11_24"/>
      <sheetName val="1_11_25"/>
      <sheetName val="1_11_26"/>
      <sheetName val="1_11_27"/>
      <sheetName val="1_11_28"/>
      <sheetName val="1_11_29"/>
      <sheetName val="1_11_30"/>
      <sheetName val="1_11_31"/>
      <sheetName val="1_11_32"/>
      <sheetName val="1_11_33"/>
      <sheetName val="1_11_34"/>
      <sheetName val="1_11_35"/>
      <sheetName val="1_11_36"/>
      <sheetName val="1_11_37"/>
      <sheetName val="1_11_38"/>
      <sheetName val="1_11_39"/>
      <sheetName val="1_11_40"/>
      <sheetName val="1_11_41"/>
      <sheetName val="1_11_42"/>
      <sheetName val="1_11_43"/>
      <sheetName val="1_11_44"/>
      <sheetName val="1_11_45"/>
      <sheetName val="1_12_CUBIERTAS"/>
      <sheetName val="1_12_1"/>
      <sheetName val="1_12_2"/>
      <sheetName val="1_12_3"/>
      <sheetName val="1_12_4"/>
      <sheetName val="1_12_5"/>
      <sheetName val="1_12_6"/>
      <sheetName val="1_12_7"/>
      <sheetName val="1_12_8"/>
      <sheetName val="1_12_9"/>
      <sheetName val="1_12_10"/>
      <sheetName val="1_12_11"/>
      <sheetName val="1_12_12"/>
      <sheetName val="1_12_13"/>
      <sheetName val="1_12_14"/>
      <sheetName val="1_12_15"/>
      <sheetName val="1_12_16"/>
      <sheetName val="1_12_17"/>
      <sheetName val="1_12_18"/>
      <sheetName val="1_12_19"/>
      <sheetName val="1_12_20"/>
      <sheetName val="1_12_21"/>
      <sheetName val="1_12_22"/>
      <sheetName val="1_12_23"/>
      <sheetName val="1_12_24"/>
      <sheetName val="1_12_25"/>
      <sheetName val="1_12_26"/>
      <sheetName val="1_12_27"/>
      <sheetName val="1_12_28"/>
      <sheetName val="1_12_29"/>
      <sheetName val="1_12_30"/>
      <sheetName val="1_12_31"/>
      <sheetName val="1_12_32"/>
      <sheetName val="1_12_33"/>
      <sheetName val="1_12_34"/>
      <sheetName val="1_12_35"/>
      <sheetName val="1_12_36"/>
      <sheetName val="1_12_37"/>
      <sheetName val="1_12_38"/>
      <sheetName val="1_12_39"/>
      <sheetName val="1_12_40"/>
      <sheetName val="1_12_41"/>
      <sheetName val="1_12_42"/>
      <sheetName val="1_12_43"/>
      <sheetName val="1_12_44"/>
      <sheetName val="1_12_45"/>
      <sheetName val="1_12_46"/>
      <sheetName val="1_12_47"/>
      <sheetName val="1_12_48"/>
      <sheetName val="1_12_49"/>
      <sheetName val="1_12_50"/>
      <sheetName val="1_12_51"/>
      <sheetName val="1_12_52"/>
      <sheetName val="1_12_53"/>
      <sheetName val="1_12_58"/>
      <sheetName val="1_15_CARPINTERIA_METALICA"/>
      <sheetName val="1_15_1"/>
      <sheetName val="1_15_2"/>
      <sheetName val="1_15_3"/>
      <sheetName val="1_15_4"/>
      <sheetName val="1_15_5"/>
      <sheetName val="1_15_6"/>
      <sheetName val="1_15_7"/>
      <sheetName val="1_15_8"/>
      <sheetName val="1_15_9"/>
      <sheetName val="1_15_10"/>
      <sheetName val="1_15_11"/>
      <sheetName val="1_15_12"/>
      <sheetName val="1_15_13"/>
      <sheetName val="1_15_14"/>
      <sheetName val="1_15_15"/>
      <sheetName val="1_15_16"/>
      <sheetName val="1_16_APARATOS_SANITARIOS"/>
      <sheetName val="1_16_1"/>
      <sheetName val="1_16_2"/>
      <sheetName val="1_16_3"/>
      <sheetName val="1_16_4"/>
      <sheetName val="1_16_5"/>
      <sheetName val="1_16_6"/>
      <sheetName val="1_16_7"/>
      <sheetName val="1_16_8"/>
      <sheetName val="1_16_9"/>
      <sheetName val="1_16_10"/>
      <sheetName val="1_16_11"/>
      <sheetName val="1_16_12"/>
      <sheetName val="1_16_13"/>
      <sheetName val="1_16_14"/>
      <sheetName val="1_16_15"/>
      <sheetName val="1_16_16"/>
      <sheetName val="1_17_VIDRIOS_Y_CERRADURAS"/>
      <sheetName val="1_17_1"/>
      <sheetName val="1_17_2"/>
      <sheetName val="1_17_3"/>
      <sheetName val="1_17_4"/>
      <sheetName val="1_17_5"/>
      <sheetName val="1_17_6"/>
      <sheetName val="1_18_OBRAS_EXTERIORES"/>
      <sheetName val="1_18_1"/>
      <sheetName val="1_18_2"/>
      <sheetName val="1_18_3"/>
      <sheetName val="1_18_4"/>
      <sheetName val="1_18_5"/>
      <sheetName val="1_18_6"/>
      <sheetName val="1_18_7"/>
      <sheetName val="1_18_8"/>
      <sheetName val="1_18_9"/>
      <sheetName val="1_18_10"/>
      <sheetName val="1_20_OTROS"/>
      <sheetName val="1_20_1"/>
      <sheetName val="1_20_2"/>
      <sheetName val="1_20_3"/>
      <sheetName val="1_20_4"/>
      <sheetName val="1_20_5"/>
      <sheetName val="1_20_6"/>
      <sheetName val="1_20_7"/>
      <sheetName val="1_20_8"/>
      <sheetName val="1_20_9"/>
      <sheetName val="1_20_10"/>
      <sheetName val="1_20_11"/>
      <sheetName val="2_1_TUBERIA_PVC_-_ACUEDUCTO"/>
      <sheetName val="2_1_1"/>
      <sheetName val="2_1_2"/>
      <sheetName val="2_1_3"/>
      <sheetName val="2_1_4"/>
      <sheetName val="2_1_5"/>
      <sheetName val="2_1_6"/>
      <sheetName val="2_1_7"/>
      <sheetName val="2_1_8"/>
      <sheetName val="2_1_9"/>
      <sheetName val="2_1_10"/>
      <sheetName val="2_1_11"/>
      <sheetName val="2_1_12"/>
      <sheetName val="2_1_13"/>
      <sheetName val="2_1_14"/>
      <sheetName val="2_1_15"/>
      <sheetName val="2_1_16"/>
      <sheetName val="2_1_17"/>
      <sheetName val="2_1_18"/>
      <sheetName val="2_1_19"/>
      <sheetName val="2_1_20"/>
      <sheetName val="2_1_21"/>
      <sheetName val="2_1_22"/>
      <sheetName val="2_1_23"/>
      <sheetName val="2_1_24"/>
      <sheetName val="2_1_25"/>
      <sheetName val="2_1_26"/>
      <sheetName val="2_1_27"/>
      <sheetName val="2_1_28"/>
      <sheetName val="2_1_29"/>
      <sheetName val="2_1_29A_"/>
      <sheetName val="2_1_29B"/>
      <sheetName val="2_1_30"/>
      <sheetName val="2_1_31"/>
      <sheetName val="2_1_32"/>
      <sheetName val="2_1_33"/>
      <sheetName val="2_1_33A"/>
      <sheetName val="2_1_33B"/>
      <sheetName val="2_1_34"/>
      <sheetName val="2_1_35"/>
      <sheetName val="2_1_36"/>
      <sheetName val="2_1_37"/>
      <sheetName val="2_1_38"/>
      <sheetName val="2_1_38A"/>
      <sheetName val="2_1_38B"/>
      <sheetName val="2_1_39"/>
      <sheetName val="2_1_40"/>
      <sheetName val="2_1_41"/>
      <sheetName val="2_1_42"/>
      <sheetName val="2_1_43"/>
      <sheetName val="2_1_44"/>
      <sheetName val="2_1_45"/>
      <sheetName val="2_1_46"/>
      <sheetName val="2_1_47"/>
      <sheetName val="2_1_48"/>
      <sheetName val="2_1_49"/>
      <sheetName val="2_1_50"/>
      <sheetName val="2_1_51"/>
      <sheetName val="2_1_52"/>
      <sheetName val="2_2_TUBERIA_POLIETILENO_PE_100_"/>
      <sheetName val="2_2_1"/>
      <sheetName val="2_2_2"/>
      <sheetName val="2_2_3"/>
      <sheetName val="2_2_4"/>
      <sheetName val="2_2_5"/>
      <sheetName val="2_2_6"/>
      <sheetName val="2_2_7"/>
      <sheetName val="2_2_8"/>
      <sheetName val="2_2_9"/>
      <sheetName val="2_2_10"/>
      <sheetName val="2_3_TUBERIA_HG_-_ACUEDUCTO"/>
      <sheetName val="2_3_1"/>
      <sheetName val="2_3_2"/>
      <sheetName val="2_3_3"/>
      <sheetName val="2_3_4"/>
      <sheetName val="2_3_5"/>
      <sheetName val="2_3_6"/>
      <sheetName val="2_4_ACCESORIOS_DE_ACUEDUCTOS"/>
      <sheetName val="2_4_1"/>
      <sheetName val="2_4_2"/>
      <sheetName val="2_4_3"/>
      <sheetName val="2_4_4"/>
      <sheetName val="2_4_5"/>
      <sheetName val="2_4_6"/>
      <sheetName val="2_4_7"/>
      <sheetName val="2_4_8"/>
      <sheetName val="2_4_9"/>
      <sheetName val="2_4_10"/>
      <sheetName val="2_4_11"/>
      <sheetName val="2_4_12"/>
      <sheetName val="2_4_13"/>
      <sheetName val="2_4_16"/>
      <sheetName val="2_4_17"/>
      <sheetName val="2_4_18"/>
      <sheetName val="2_4_19"/>
      <sheetName val="2_4_20"/>
      <sheetName val="2_4_21"/>
      <sheetName val="2_4_22"/>
      <sheetName val="2_4_23"/>
      <sheetName val="2_4_24"/>
      <sheetName val="2_4_25"/>
      <sheetName val="2_4_26"/>
      <sheetName val="2_4_27"/>
      <sheetName val="2_4_28"/>
      <sheetName val="2_4_29"/>
      <sheetName val="2_4_30"/>
      <sheetName val="2_4_31"/>
      <sheetName val="2_4_32"/>
      <sheetName val="2_4_33"/>
      <sheetName val="2_4_34"/>
      <sheetName val="2_4_35"/>
      <sheetName val="2_4_36"/>
      <sheetName val="2_4_37"/>
      <sheetName val="2_4_38"/>
      <sheetName val="2_4_39"/>
      <sheetName val="2_4_40"/>
      <sheetName val="2_4_41"/>
      <sheetName val="2_4_42"/>
      <sheetName val="2_4_43"/>
      <sheetName val="2_4_44"/>
      <sheetName val="2_4_45"/>
      <sheetName val="2_4_46"/>
      <sheetName val="2_4_47"/>
      <sheetName val="2_4_48"/>
      <sheetName val="2_4_49"/>
      <sheetName val="2_4_50"/>
      <sheetName val="2_4_51"/>
      <sheetName val="2_4_52"/>
      <sheetName val="2_4_53"/>
      <sheetName val="2_4_54"/>
      <sheetName val="2_4_55"/>
      <sheetName val="2_4_56"/>
      <sheetName val="2_4_57"/>
      <sheetName val="2_4_58"/>
      <sheetName val="2_4_59"/>
      <sheetName val="2_4_60"/>
      <sheetName val="2_4_61"/>
      <sheetName val="2_4_62"/>
      <sheetName val="2_4_63"/>
      <sheetName val="2_4_64"/>
      <sheetName val="2_4_65"/>
      <sheetName val="2_4_66"/>
      <sheetName val="2_4_67"/>
      <sheetName val="2_4_68"/>
      <sheetName val="2_4_69"/>
      <sheetName val="2_4_70"/>
      <sheetName val="2_4_71"/>
      <sheetName val="2_4_72"/>
      <sheetName val="2_4_73"/>
      <sheetName val="2_4_74"/>
      <sheetName val="2_4_75"/>
      <sheetName val="2_4_76"/>
      <sheetName val="2_4_77"/>
      <sheetName val="2_4_78"/>
      <sheetName val="2_4_79"/>
      <sheetName val="2_4_80"/>
      <sheetName val="2_4_81"/>
      <sheetName val="2_4_82"/>
      <sheetName val="2_4_83"/>
      <sheetName val="2_4_84"/>
      <sheetName val="2_4_85"/>
      <sheetName val="2_4_86"/>
      <sheetName val="2_4_87"/>
      <sheetName val="2_4_88"/>
      <sheetName val="2_4_89"/>
      <sheetName val="2_4_90"/>
      <sheetName val="2_4_91"/>
      <sheetName val="2_4_92"/>
      <sheetName val="2_4_93"/>
      <sheetName val="2_4_94"/>
      <sheetName val="2_4_95"/>
      <sheetName val="2_4_96"/>
      <sheetName val="2_4_97"/>
      <sheetName val="2_4_98"/>
      <sheetName val="2_4_99"/>
      <sheetName val="2_4_100"/>
      <sheetName val="2_4_118"/>
      <sheetName val="2_4_119"/>
      <sheetName val="2_2_49"/>
      <sheetName val="2_4_120"/>
      <sheetName val="2_4_121"/>
      <sheetName val="2_4_122"/>
      <sheetName val="2_4_123"/>
      <sheetName val="2_4_124"/>
      <sheetName val="2_4_125"/>
      <sheetName val="2_4_126"/>
      <sheetName val="2_4_127"/>
      <sheetName val="2_4_128"/>
      <sheetName val="2_4_129"/>
      <sheetName val="2_4_130"/>
      <sheetName val="2_4_131"/>
      <sheetName val="2_4_132"/>
      <sheetName val="2_4_133"/>
      <sheetName val="2_4_134"/>
      <sheetName val="2_4_135"/>
      <sheetName val="2_4_136"/>
      <sheetName val="2_4_137"/>
      <sheetName val="2_4_138"/>
      <sheetName val="2_4_139"/>
      <sheetName val="2_4_140"/>
      <sheetName val="2_4_141"/>
      <sheetName val="2_4_142"/>
      <sheetName val="2_4_143"/>
      <sheetName val="2_4_144"/>
      <sheetName val="2_4_145"/>
      <sheetName val="2_4_146"/>
      <sheetName val="2_4_147"/>
      <sheetName val="2_4_148"/>
      <sheetName val="2_4_149"/>
      <sheetName val="2_4_150"/>
      <sheetName val="2_4_151"/>
      <sheetName val="2_4_152"/>
      <sheetName val="2_4_153"/>
      <sheetName val="2_4_154"/>
      <sheetName val="2_4_155"/>
      <sheetName val="2_4_156"/>
      <sheetName val="2_4_157"/>
      <sheetName val="2_4_158"/>
      <sheetName val="2_4_159"/>
      <sheetName val="2_4_160"/>
      <sheetName val="2_4_161"/>
      <sheetName val="2_4_162"/>
      <sheetName val="2_4_163"/>
      <sheetName val="2_4_164"/>
      <sheetName val="2_4_165"/>
      <sheetName val="2_4_166"/>
      <sheetName val="2_4_167"/>
      <sheetName val="2_4_168"/>
      <sheetName val="2_4_169"/>
      <sheetName val="2_4_169A"/>
      <sheetName val="2_4_170"/>
      <sheetName val="2_4_171"/>
      <sheetName val="2_4_172"/>
      <sheetName val="2_4_172A"/>
      <sheetName val="2_4_173"/>
      <sheetName val="2_4_174"/>
      <sheetName val="2_4_175"/>
      <sheetName val="2_4_177"/>
      <sheetName val="2_4_178"/>
      <sheetName val="2_4_181"/>
      <sheetName val="2_4_182"/>
      <sheetName val="2_4_183"/>
      <sheetName val="2_4_184"/>
      <sheetName val="2_4_185"/>
      <sheetName val="2_4_186"/>
      <sheetName val="2_4_187"/>
      <sheetName val="2_4_188"/>
      <sheetName val="2_4_176"/>
      <sheetName val="2_4_179"/>
      <sheetName val="2_4_180"/>
      <sheetName val="2_4_189"/>
      <sheetName val="2_4_190"/>
      <sheetName val="2_4_191"/>
      <sheetName val="2_4_192"/>
      <sheetName val="2_4_193"/>
      <sheetName val="2_4_194"/>
      <sheetName val="2_4_195"/>
      <sheetName val="2_4_196"/>
      <sheetName val="2_4_197"/>
      <sheetName val="2_4_198"/>
      <sheetName val="2_4_199"/>
      <sheetName val="2_4_200"/>
      <sheetName val="2_4_201"/>
      <sheetName val="2_4_202"/>
      <sheetName val="2_4_203"/>
      <sheetName val="2_4_204"/>
      <sheetName val="2_4_205"/>
      <sheetName val="2_4_206"/>
      <sheetName val="2_4_207"/>
      <sheetName val="2_4_208"/>
      <sheetName val="2_4_209"/>
      <sheetName val="2_4_210"/>
      <sheetName val="2_4_211"/>
      <sheetName val="2_4_212"/>
      <sheetName val="2_4_213"/>
      <sheetName val="2_4_214"/>
      <sheetName val="2_4_215"/>
      <sheetName val="2_4_216"/>
      <sheetName val="2_4_217"/>
      <sheetName val="2_4_218"/>
      <sheetName val="2_4_219"/>
      <sheetName val="2_4_220"/>
      <sheetName val="2_4_221"/>
      <sheetName val="2_4_222"/>
      <sheetName val="2_4_223"/>
      <sheetName val="2_4_224"/>
      <sheetName val="2_4_225"/>
      <sheetName val="2_4_226"/>
      <sheetName val="2_4_227"/>
      <sheetName val="2_4_228"/>
      <sheetName val="2_4_229"/>
      <sheetName val="2_4_230"/>
      <sheetName val="2_4_231"/>
      <sheetName val="2_4_232"/>
      <sheetName val="2_4_233"/>
      <sheetName val="2_4_234"/>
      <sheetName val="2_4_235"/>
      <sheetName val="2_4_236"/>
      <sheetName val="2_4_237"/>
      <sheetName val="2_4_238"/>
      <sheetName val="2_4_239"/>
      <sheetName val="2_4_240"/>
      <sheetName val="2_4_241"/>
      <sheetName val="2_4_242"/>
      <sheetName val="2_4_243"/>
      <sheetName val="2_4_244"/>
      <sheetName val="2_4_245"/>
      <sheetName val="2_4_246"/>
      <sheetName val="2_4_247"/>
      <sheetName val="2_4_248"/>
      <sheetName val="2_4_249"/>
      <sheetName val="2_4_250"/>
      <sheetName val="2_4_251"/>
      <sheetName val="2_4_252"/>
      <sheetName val="2_4_253"/>
      <sheetName val="2_4_254"/>
      <sheetName val="2_4_255"/>
      <sheetName val="2_4_256"/>
      <sheetName val="2_4_257"/>
      <sheetName val="2_4_258"/>
      <sheetName val="2_4_258A"/>
      <sheetName val="2_4_259"/>
      <sheetName val="2_4_260"/>
      <sheetName val="2_4_261"/>
      <sheetName val="2_4_262"/>
      <sheetName val="2_5_1"/>
      <sheetName val="2_5_2"/>
      <sheetName val="2_5_3"/>
      <sheetName val="2_5_4"/>
      <sheetName val="2_5_5"/>
      <sheetName val="2_5_6"/>
      <sheetName val="2_5_7"/>
      <sheetName val="2_5_8"/>
      <sheetName val="2_5_9"/>
      <sheetName val="2_5_10"/>
      <sheetName val="2_5_11"/>
      <sheetName val="2_5_12"/>
      <sheetName val="2_5_13"/>
      <sheetName val="2_5_14"/>
      <sheetName val="2_5_15"/>
      <sheetName val="2_5_16"/>
      <sheetName val="2_5_17"/>
      <sheetName val="2_5_18"/>
      <sheetName val="2_5_19"/>
      <sheetName val="2_5_20"/>
      <sheetName val="2_5_21"/>
      <sheetName val="2_5_22"/>
      <sheetName val="2_5_23"/>
      <sheetName val="2_5_24"/>
      <sheetName val="2_5_25"/>
      <sheetName val="2_5_26"/>
      <sheetName val="2_5_27"/>
      <sheetName val="2_5_28"/>
      <sheetName val="2_5_29"/>
      <sheetName val="2_5_30"/>
      <sheetName val="2_5_31"/>
      <sheetName val="2_5_32"/>
      <sheetName val="2_5_33"/>
      <sheetName val="2_5_34"/>
      <sheetName val="2_5_35"/>
      <sheetName val="2_5_36"/>
      <sheetName val="2_5_37"/>
      <sheetName val="2_5_38"/>
      <sheetName val="2_5_39"/>
      <sheetName val="2_5_40"/>
      <sheetName val="2_5_41"/>
      <sheetName val="2_5_42"/>
      <sheetName val="2_5_43"/>
      <sheetName val="2_5_44"/>
      <sheetName val="2_5_45"/>
      <sheetName val="2_5_46"/>
      <sheetName val="2_5_47"/>
      <sheetName val="2_5_48"/>
      <sheetName val="2_6_1"/>
      <sheetName val="2_6_2"/>
      <sheetName val="2_6_3"/>
      <sheetName val="2_6_4"/>
      <sheetName val="2_6_5"/>
      <sheetName val="2_6_6"/>
      <sheetName val="2_6_7"/>
      <sheetName val="2_6_8"/>
      <sheetName val="2_6_9"/>
      <sheetName val="2_6_10"/>
      <sheetName val="2_6_11"/>
      <sheetName val="2_6_12"/>
      <sheetName val="2_6_13"/>
      <sheetName val="2_6_14"/>
      <sheetName val="2_6_15"/>
      <sheetName val="2_6_16"/>
      <sheetName val="2_6_17"/>
      <sheetName val="2_6_18"/>
      <sheetName val="2_6_19"/>
      <sheetName val="2_6_20"/>
      <sheetName val="2_6_21"/>
      <sheetName val="2_6_22"/>
      <sheetName val="2_6_23"/>
      <sheetName val="2_6_24"/>
      <sheetName val="2_6_25"/>
      <sheetName val="2_6_26"/>
      <sheetName val="2_6_27"/>
      <sheetName val="2_6_28"/>
      <sheetName val="2_6_29"/>
      <sheetName val="2_6_30"/>
      <sheetName val="2_6_31"/>
      <sheetName val="2_6_32"/>
      <sheetName val="2_6_33"/>
      <sheetName val="2_6_34"/>
      <sheetName val="2_6_35"/>
      <sheetName val="2_6_36"/>
      <sheetName val="2_6_37"/>
      <sheetName val="2_6_38"/>
      <sheetName val="2_6_39"/>
      <sheetName val="2_6_40"/>
      <sheetName val="2_6_41"/>
      <sheetName val="2_6_42"/>
      <sheetName val="2_6_43"/>
      <sheetName val="2_6_44"/>
      <sheetName val="2_6_45"/>
      <sheetName val="2_6_46"/>
      <sheetName val="2_6_47"/>
      <sheetName val="2_6_48"/>
      <sheetName val="2_6_49"/>
      <sheetName val="2_6_50"/>
      <sheetName val="2_6_51"/>
      <sheetName val="2_6_52"/>
      <sheetName val="2_6_53"/>
      <sheetName val="2_6_54"/>
      <sheetName val="2_7_1"/>
      <sheetName val="2_7_2"/>
      <sheetName val="2_7_3"/>
      <sheetName val="2_7_4"/>
      <sheetName val="2_7_5"/>
      <sheetName val="2_7_6"/>
      <sheetName val="2_7_7"/>
      <sheetName val="2_7_8"/>
      <sheetName val="2_7_9"/>
      <sheetName val="2_7_10"/>
      <sheetName val="2_7_11"/>
      <sheetName val="2_8_1"/>
      <sheetName val="2_8_2"/>
      <sheetName val="2_8_3"/>
      <sheetName val="2_9_1"/>
      <sheetName val="2_9_2"/>
      <sheetName val="2_9_3"/>
      <sheetName val="2_10_1"/>
      <sheetName val="2_10_2"/>
      <sheetName val="2_10_3"/>
      <sheetName val="2_10_4"/>
      <sheetName val="2_11_1"/>
      <sheetName val="2_11_2"/>
      <sheetName val="2_11_3"/>
      <sheetName val="2_11_4"/>
      <sheetName val="2_12_1"/>
      <sheetName val="3_1_8"/>
      <sheetName val="3_1_13"/>
      <sheetName val="3_3_1"/>
      <sheetName val="3_3_7"/>
      <sheetName val="3_3_25"/>
      <sheetName val="3_15_43"/>
      <sheetName val="6_3_2"/>
      <sheetName val="6_2_1"/>
      <sheetName val="6_4_2_2"/>
      <sheetName val="6_4_2_3"/>
      <sheetName val="6_4_2_4"/>
      <sheetName val="6_4_2_5"/>
      <sheetName val="6_4_2_6"/>
      <sheetName val="6_4_2_7"/>
      <sheetName val="6_4_2_8"/>
      <sheetName val="6_4_2_9"/>
      <sheetName val="6_4_2_10"/>
      <sheetName val="6_4_2_11"/>
      <sheetName val="6_4_2_12"/>
      <sheetName val="6_4_2_13"/>
      <sheetName val="6_4_2_14"/>
      <sheetName val="6_4_2_15"/>
      <sheetName val="6_4_2_15A"/>
      <sheetName val="6_4_2_16"/>
      <sheetName val="6_4_2_17"/>
      <sheetName val="6_4_2_18"/>
      <sheetName val="6_4_2_19"/>
      <sheetName val="6_4_2_20"/>
      <sheetName val="6_4_2_21"/>
      <sheetName val="6_4_2_22"/>
      <sheetName val="6_4_2_23"/>
      <sheetName val="6_4_2_24"/>
      <sheetName val="6_4_2_25"/>
      <sheetName val="6_4_2_26"/>
      <sheetName val="6_4_2_28"/>
      <sheetName val="6_4_2_29"/>
      <sheetName val="6_4_2_30"/>
      <sheetName val="6_4_2_31"/>
      <sheetName val="6_4_2_32"/>
      <sheetName val="6_4_2_33"/>
      <sheetName val="6_4_2_34"/>
      <sheetName val="6_4_2_35"/>
      <sheetName val="6_4_2_36"/>
      <sheetName val="6_4_2_37"/>
      <sheetName val="6_4_2_38"/>
      <sheetName val="6_4_2_39"/>
      <sheetName val="6_4_2_39A"/>
      <sheetName val="6_4_2_40"/>
      <sheetName val="6_4_2_41"/>
      <sheetName val="6_4_2_43"/>
      <sheetName val="6_4_2_43A"/>
      <sheetName val="6_4_2_44"/>
      <sheetName val="6_4_2_45"/>
      <sheetName val="6_4_2_46"/>
      <sheetName val="3_3_17"/>
      <sheetName val="3_3_18"/>
      <sheetName val="6_4_2_52"/>
      <sheetName val="6_4_2_53"/>
      <sheetName val="6_4_2_54"/>
      <sheetName val="6_4_2_55"/>
      <sheetName val="6_4_2_56"/>
      <sheetName val="6_4_2_57"/>
      <sheetName val="6_4_2_58"/>
      <sheetName val="6_4_2_59"/>
      <sheetName val="6_4_2_60"/>
      <sheetName val="6_4_2_61"/>
      <sheetName val="6_4_2_62"/>
      <sheetName val="6_4_2_63"/>
      <sheetName val="6_4_2_64"/>
      <sheetName val="6_4_2_65"/>
      <sheetName val="6_4_2_66"/>
      <sheetName val="6_4_2_67"/>
      <sheetName val="6_4_2_69"/>
      <sheetName val="6_4_2_70"/>
      <sheetName val="6_4_2_71"/>
      <sheetName val="6_4_2_72"/>
      <sheetName val="6_4_2_73"/>
      <sheetName val="6_4_2_74"/>
      <sheetName val="6_4_2_75"/>
      <sheetName val="6_4_2_76"/>
      <sheetName val="1_7_46"/>
      <sheetName val="6_4_2_78"/>
      <sheetName val="2_1_32A"/>
      <sheetName val="2_1_32B"/>
      <sheetName val="2_1_28A"/>
      <sheetName val="6_4_2_79"/>
      <sheetName val="6_4_2_80"/>
      <sheetName val="6_4_2_81"/>
      <sheetName val="3_3_13"/>
      <sheetName val="6_4_2_82"/>
      <sheetName val="6_4_2_83"/>
      <sheetName val="6_4_2_84"/>
      <sheetName val="6_4_2_85"/>
      <sheetName val="6_4_2_86"/>
      <sheetName val="6_4_2_87"/>
      <sheetName val="6_4_2_88"/>
      <sheetName val="6_4_2_89"/>
      <sheetName val="3_3_5"/>
      <sheetName val="6_4_2_90"/>
      <sheetName val="6_4_2_91"/>
      <sheetName val="6_4_2_92"/>
      <sheetName val="6_4_2_93"/>
      <sheetName val="6_4_2_94"/>
      <sheetName val="3_3_3"/>
      <sheetName val="6_4_2_95"/>
      <sheetName val="6_4_2_95A"/>
      <sheetName val="6_4_2_96"/>
      <sheetName val="3_1_1"/>
      <sheetName val="6_4_2_97"/>
      <sheetName val="6_4_2_98"/>
      <sheetName val="6_4_2_99"/>
      <sheetName val="6_4_2_100"/>
      <sheetName val="2_4_14"/>
      <sheetName val="6_4_2_101"/>
      <sheetName val="3_5_2"/>
      <sheetName val="6_4_2_102"/>
      <sheetName val="6_4_2_105"/>
      <sheetName val="6_4_2_106"/>
      <sheetName val="3_9_21"/>
      <sheetName val="6_4_2_108"/>
      <sheetName val="3_15_42"/>
      <sheetName val="3_3_26"/>
      <sheetName val="3_15_87"/>
      <sheetName val="3_3_2"/>
      <sheetName val="1_12_54"/>
      <sheetName val="6_4_2_114"/>
      <sheetName val="6_4_2_115"/>
      <sheetName val="6_4_2_116"/>
      <sheetName val="6_4_2_117"/>
      <sheetName val="6_4_2_118"/>
      <sheetName val="6_4_2_119"/>
      <sheetName val="6_4_2_120"/>
      <sheetName val="6_4_2_121"/>
      <sheetName val="6_4_2_122"/>
      <sheetName val="6_4_2_123"/>
      <sheetName val="6_4_2_124"/>
      <sheetName val="6_4_2_125"/>
      <sheetName val="6_4_2_126"/>
      <sheetName val="6_4_2_127"/>
      <sheetName val="6_4_2_128"/>
      <sheetName val="6_4_2_129"/>
      <sheetName val="6_4_2_130"/>
      <sheetName val="6_4_2_131"/>
      <sheetName val="6_4_2_132"/>
      <sheetName val="6_4_2_133"/>
      <sheetName val="6_4_2_134"/>
      <sheetName val="6_4_2_135"/>
      <sheetName val="6_4_2_136"/>
      <sheetName val="6_4_2_137"/>
      <sheetName val="6_4_2_138"/>
      <sheetName val="6_4_2_139"/>
      <sheetName val="6_4_2_140"/>
      <sheetName val="6_4_2_141"/>
      <sheetName val="6_4_2_142"/>
      <sheetName val="6_4_2_143"/>
      <sheetName val="6_4_2_144"/>
      <sheetName val="6_4_2_145"/>
      <sheetName val="6_4_2_146"/>
      <sheetName val="6_4_2_147"/>
      <sheetName val="6_4_2_148"/>
      <sheetName val="6_4_2_149"/>
      <sheetName val="6_4_2_150"/>
      <sheetName val="6_4_2_151"/>
      <sheetName val="3_15_15A"/>
      <sheetName val="6_2_4"/>
      <sheetName val="6_2_2"/>
      <sheetName val="13_1_1"/>
      <sheetName val="6_4_2_152"/>
      <sheetName val="6_4_2_153"/>
      <sheetName val="6_4_2_154"/>
      <sheetName val="6_4_2_155"/>
      <sheetName val="6_4_2_156"/>
      <sheetName val="6_4_2_157"/>
      <sheetName val="6_4_2_158"/>
      <sheetName val="6_4_2_159"/>
      <sheetName val="6_4_2_160"/>
      <sheetName val="6_4_2_161"/>
      <sheetName val="6_4_2_162"/>
      <sheetName val="6_4_2_163"/>
      <sheetName val="6_4_2_164"/>
      <sheetName val="6_4_2_165"/>
      <sheetName val="6_4_2_166"/>
      <sheetName val="6_4_2_167"/>
      <sheetName val="6_4_2_168"/>
      <sheetName val="6_4_2_169"/>
      <sheetName val="6_4_2_170"/>
      <sheetName val="6_4_2_171"/>
      <sheetName val="6_4_2_172"/>
      <sheetName val="6_4_2_173"/>
      <sheetName val="6_4_2_174"/>
      <sheetName val="6_4_2_175"/>
      <sheetName val="6_4_2_176"/>
      <sheetName val="6_4_2_177"/>
      <sheetName val="6_4_2_178"/>
      <sheetName val="6_4_2_179"/>
      <sheetName val="6_4_2_180"/>
      <sheetName val="6_4_2_181"/>
      <sheetName val="6_4_2_182"/>
      <sheetName val="6_4_2_183"/>
      <sheetName val="6_4_2_184"/>
      <sheetName val="6_4_2_185"/>
      <sheetName val="6_4_2_186"/>
      <sheetName val="6_4_2_187"/>
      <sheetName val="6_4_2_188"/>
      <sheetName val="6_4_2_189"/>
      <sheetName val="6_4_2_190"/>
      <sheetName val="6_4_2_191"/>
      <sheetName val="6_4_2_192"/>
      <sheetName val="6_4_2_193"/>
      <sheetName val="6_4_2_194"/>
      <sheetName val="6_4_2_195"/>
      <sheetName val="6_4_2_196"/>
      <sheetName val="6_4_2_197"/>
      <sheetName val="6_4_2_198"/>
      <sheetName val="6_4_2_199"/>
      <sheetName val="6_4_2_200"/>
      <sheetName val="6_4_2_201"/>
      <sheetName val="6_4_2_202"/>
      <sheetName val="6_4_2_203"/>
      <sheetName val="6_4_2_204"/>
      <sheetName val="6_4_2_205"/>
      <sheetName val="6_4_2_206"/>
      <sheetName val="6_4_2_207"/>
      <sheetName val="6_4_2_208"/>
      <sheetName val="6_4_2_209"/>
      <sheetName val="6_4_2_210"/>
      <sheetName val="6_4_2_211"/>
      <sheetName val="6_4_2_212"/>
      <sheetName val="6_4_2_213"/>
      <sheetName val="6_4_2_214"/>
      <sheetName val="6_4_2_215"/>
      <sheetName val="6_4_2_216"/>
      <sheetName val="6_4_2_217"/>
      <sheetName val="6_4_2_218"/>
      <sheetName val="6_4_2_219"/>
      <sheetName val="6_4_2_220"/>
      <sheetName val="6_4_2_221"/>
      <sheetName val="3_17_3"/>
      <sheetName val="3_17_10A"/>
      <sheetName val="3_17_10B"/>
      <sheetName val="3_11_2"/>
      <sheetName val="3_5_1"/>
      <sheetName val="3_3_4"/>
      <sheetName val="Lista_Base1"/>
      <sheetName val="1_1_19"/>
      <sheetName val="1_1_21"/>
      <sheetName val="1_1_72"/>
      <sheetName val="1_1_87"/>
      <sheetName val="1_1_91"/>
      <sheetName val="1_1_111"/>
      <sheetName val="1_1_121"/>
      <sheetName val="1_1_12A1"/>
      <sheetName val="1_1_131"/>
      <sheetName val="1_1_141"/>
      <sheetName val="1_1_151"/>
      <sheetName val="1_1_161"/>
      <sheetName val="1_1_171"/>
      <sheetName val="1_1_181"/>
      <sheetName val="1_1_241"/>
      <sheetName val="1_1_251"/>
      <sheetName val="1_1_261"/>
      <sheetName val="1_1_271"/>
      <sheetName val="1_1_281"/>
      <sheetName val="1_1_291"/>
      <sheetName val="1_1_321"/>
      <sheetName val="1_1_331"/>
      <sheetName val="1_1_351"/>
      <sheetName val="1_1_361"/>
      <sheetName val="1_1_371"/>
      <sheetName val="1_1_401"/>
      <sheetName val="1_1_411"/>
      <sheetName val="1_1_421"/>
      <sheetName val="1_1_431"/>
      <sheetName val="1_1_441"/>
      <sheetName val="1_1_451"/>
      <sheetName val="1_1_461"/>
      <sheetName val="1_1_471"/>
      <sheetName val="1_1_481"/>
      <sheetName val="1_1_491"/>
      <sheetName val="1_1_501"/>
      <sheetName val="1_1_511"/>
      <sheetName val="1_1_521"/>
      <sheetName val="1_1_531"/>
      <sheetName val="1_1_541"/>
      <sheetName val="1_1_551"/>
      <sheetName val="1_1_581"/>
      <sheetName val="1_1_591"/>
      <sheetName val="1_1_601"/>
      <sheetName val="1_1_611"/>
      <sheetName val="1_1_621"/>
      <sheetName val="1_1_631"/>
      <sheetName val="1_1_641"/>
      <sheetName val="1_1_651"/>
      <sheetName val="1_1_661"/>
      <sheetName val="1_1_701"/>
      <sheetName val="1_1_711"/>
      <sheetName val="1_1_741"/>
      <sheetName val="1_1_751"/>
      <sheetName val="1_1_761"/>
      <sheetName val="1_1_781"/>
      <sheetName val="1_1_791"/>
      <sheetName val="1_1_801"/>
      <sheetName val="1_1_811"/>
      <sheetName val="1_1_821"/>
      <sheetName val="1_1_831"/>
      <sheetName val="1_1_83A1"/>
      <sheetName val="1_1_841"/>
      <sheetName val="1_1_851"/>
      <sheetName val="1_1_861"/>
      <sheetName val="1_2_110"/>
      <sheetName val="1_2_210"/>
      <sheetName val="1_2_310"/>
      <sheetName val="1_2_410"/>
      <sheetName val="1_2_510"/>
      <sheetName val="1_2_61"/>
      <sheetName val="1_2_71"/>
      <sheetName val="1_2_81"/>
      <sheetName val="1_2_91"/>
      <sheetName val="1_2_101"/>
      <sheetName val="1_2_111"/>
      <sheetName val="1_2_121"/>
      <sheetName val="1_2_131"/>
      <sheetName val="1_2_141"/>
      <sheetName val="1_2_151"/>
      <sheetName val="1_2_161"/>
      <sheetName val="1_2_171"/>
      <sheetName val="1_2_181"/>
      <sheetName val="1_2_191"/>
      <sheetName val="1_2_201"/>
      <sheetName val="1_2_211"/>
      <sheetName val="1_2_221"/>
      <sheetName val="1_2_231"/>
      <sheetName val="1_2_241"/>
      <sheetName val="1_2_251"/>
      <sheetName val="1_2_261"/>
      <sheetName val="1_2_271"/>
      <sheetName val="1_2_281"/>
      <sheetName val="1_2_291"/>
      <sheetName val="1_2_301"/>
      <sheetName val="1_2_311"/>
      <sheetName val="1_2_321"/>
      <sheetName val="1_2_331"/>
      <sheetName val="1_2_341"/>
      <sheetName val="1_2_351"/>
      <sheetName val="1_2_361"/>
      <sheetName val="1_2_371"/>
      <sheetName val="1_2_381"/>
      <sheetName val="1_2_391"/>
      <sheetName val="1_2_401"/>
      <sheetName val="1_2_411"/>
      <sheetName val="1_2_421"/>
      <sheetName val="1_2_431"/>
      <sheetName val="1_2_441"/>
      <sheetName val="1_2_451"/>
      <sheetName val="1_2_461"/>
      <sheetName val="1_2_471"/>
      <sheetName val="1_2_481"/>
      <sheetName val="1_2_491"/>
      <sheetName val="1_2_501"/>
      <sheetName val="1_2_511"/>
      <sheetName val="1_2_521"/>
      <sheetName val="1_2_531"/>
      <sheetName val="1_2_541"/>
      <sheetName val="1_2_551"/>
      <sheetName val="1_2_561"/>
      <sheetName val="1_2_571"/>
      <sheetName val="1_2_581"/>
      <sheetName val="1_2_591"/>
      <sheetName val="1_3_110"/>
      <sheetName val="1_3_26"/>
      <sheetName val="1_3_31"/>
      <sheetName val="1_3_41"/>
      <sheetName val="1_3_51"/>
      <sheetName val="1_3_61"/>
      <sheetName val="1_3_71"/>
      <sheetName val="1_3_81"/>
      <sheetName val="1_3_91"/>
      <sheetName val="1_3_101"/>
      <sheetName val="1_3_111"/>
      <sheetName val="1_3_121"/>
      <sheetName val="1_3_131"/>
      <sheetName val="1_3_141"/>
      <sheetName val="1_3_151"/>
      <sheetName val="1_3_161"/>
      <sheetName val="1_3_171"/>
      <sheetName val="1_3_181"/>
      <sheetName val="1_3_191"/>
      <sheetName val="1_3_201"/>
      <sheetName val="1_3_211"/>
      <sheetName val="1_3_221"/>
      <sheetName val="1_3_231"/>
      <sheetName val="1_3_241"/>
      <sheetName val="1_3_251"/>
      <sheetName val="1_4_41"/>
      <sheetName val="1_4_51"/>
      <sheetName val="1_4_61"/>
      <sheetName val="1_4_71"/>
      <sheetName val="1_4_81"/>
      <sheetName val="1_4_91"/>
      <sheetName val="1_4_101"/>
      <sheetName val="1_4_111"/>
      <sheetName val="1_4_121"/>
      <sheetName val="1_4_131"/>
      <sheetName val="1_4_141"/>
      <sheetName val="1_4_151"/>
      <sheetName val="1_4_161"/>
      <sheetName val="1_4_171"/>
      <sheetName val="1_4_181"/>
      <sheetName val="1_4_191"/>
      <sheetName val="1_4_201"/>
      <sheetName val="1_4_211"/>
      <sheetName val="1_4_221"/>
      <sheetName val="1_4_231"/>
      <sheetName val="1_4_241"/>
      <sheetName val="1_4_251"/>
      <sheetName val="1_4_261"/>
      <sheetName val="1_4_271"/>
      <sheetName val="1_4_281"/>
      <sheetName val="1_4_291"/>
      <sheetName val="1_4_301"/>
      <sheetName val="1_4_311"/>
      <sheetName val="1_4_321"/>
      <sheetName val="1_4_331"/>
      <sheetName val="1_4_341"/>
      <sheetName val="1_4_351"/>
      <sheetName val="1_4_361"/>
      <sheetName val="1_4_371"/>
      <sheetName val="1_4_381"/>
      <sheetName val="1_4_391"/>
      <sheetName val="1_5_19"/>
      <sheetName val="1_5_21"/>
      <sheetName val="1_5_31"/>
      <sheetName val="1_5_41"/>
      <sheetName val="1_5_51"/>
      <sheetName val="1_5_61"/>
      <sheetName val="1_5_71"/>
      <sheetName val="1_5_81"/>
      <sheetName val="1_5_91"/>
      <sheetName val="1_5_101"/>
      <sheetName val="1_5_111"/>
      <sheetName val="1_5_121"/>
      <sheetName val="1_5_131"/>
      <sheetName val="1_5_141"/>
      <sheetName val="1_5_151"/>
      <sheetName val="1_5_161"/>
      <sheetName val="1_5_171"/>
      <sheetName val="1_5_181"/>
      <sheetName val="1_6_110"/>
      <sheetName val="1_6_26"/>
      <sheetName val="1_6_310"/>
      <sheetName val="1_6_43"/>
      <sheetName val="1_6_51"/>
      <sheetName val="1_6_61"/>
      <sheetName val="1_6_71"/>
      <sheetName val="1_6_81"/>
      <sheetName val="1_6_91"/>
      <sheetName val="1_6_101"/>
      <sheetName val="1_6_111"/>
      <sheetName val="1_6_121"/>
      <sheetName val="1_6_131"/>
      <sheetName val="1_6_141"/>
      <sheetName val="1_6_151"/>
      <sheetName val="1_6_161"/>
      <sheetName val="1_6_171"/>
      <sheetName val="1_6_181"/>
      <sheetName val="1_6_191"/>
      <sheetName val="1_6_201"/>
      <sheetName val="1_6_211"/>
      <sheetName val="1_6_221"/>
      <sheetName val="1_6_231"/>
      <sheetName val="1_6_241"/>
      <sheetName val="1_6_251"/>
      <sheetName val="1_6_281"/>
      <sheetName val="1_6_291"/>
      <sheetName val="1_6_301"/>
      <sheetName val="1_6_311"/>
      <sheetName val="1_6_321"/>
      <sheetName val="1_6_331"/>
      <sheetName val="1_6_341"/>
      <sheetName val="1_6_351"/>
      <sheetName val="1_6_361"/>
      <sheetName val="1_6_371"/>
      <sheetName val="1_6_381"/>
      <sheetName val="1_6_391"/>
      <sheetName val="1_6_401"/>
      <sheetName val="1_6_411"/>
      <sheetName val="1_6_421"/>
      <sheetName val="1_9_110"/>
      <sheetName val="1_9_24"/>
      <sheetName val="1_9_31"/>
      <sheetName val="1_9_41"/>
      <sheetName val="1_9_51"/>
      <sheetName val="1_9_61"/>
      <sheetName val="1_9_71"/>
      <sheetName val="1_9_81"/>
      <sheetName val="1_9_91"/>
      <sheetName val="1_9_101"/>
      <sheetName val="1_9_111"/>
      <sheetName val="1_9_121"/>
      <sheetName val="1_9_131"/>
      <sheetName val="1_9_141"/>
      <sheetName val="1_9_151"/>
      <sheetName val="1_9_161"/>
      <sheetName val="1_9_171"/>
      <sheetName val="1_9_181"/>
      <sheetName val="1_9_191"/>
      <sheetName val="1_9_201"/>
      <sheetName val="1_9_211"/>
      <sheetName val="1_9_221"/>
      <sheetName val="1_9_231"/>
      <sheetName val="1_10_12"/>
      <sheetName val="1_10_23"/>
      <sheetName val="1_10_31"/>
      <sheetName val="1_10_41"/>
      <sheetName val="1_10_51"/>
      <sheetName val="1_10_61"/>
      <sheetName val="1_10_71"/>
      <sheetName val="1_10_81"/>
      <sheetName val="1_10_91"/>
      <sheetName val="1_10_101"/>
      <sheetName val="1_10_111"/>
      <sheetName val="1_10_141"/>
      <sheetName val="1_10_151"/>
      <sheetName val="1_10_161"/>
      <sheetName val="1_10_171"/>
      <sheetName val="1_10_181"/>
      <sheetName val="1_10_191"/>
      <sheetName val="1_10_201"/>
      <sheetName val="1_10_211"/>
      <sheetName val="1_10_221"/>
      <sheetName val="1_11_110"/>
      <sheetName val="1_11_210"/>
      <sheetName val="1_11_310"/>
      <sheetName val="1_11_46"/>
      <sheetName val="1_11_51"/>
      <sheetName val="1_11_61"/>
      <sheetName val="1_11_71"/>
      <sheetName val="1_11_81"/>
      <sheetName val="1_11_91"/>
      <sheetName val="1_11_101"/>
      <sheetName val="1_11_111"/>
      <sheetName val="1_11_121"/>
      <sheetName val="1_11_131"/>
      <sheetName val="1_11_141"/>
      <sheetName val="1_11_151"/>
      <sheetName val="1_11_161"/>
      <sheetName val="1_11_171"/>
      <sheetName val="1_11_181"/>
      <sheetName val="1_11_191"/>
      <sheetName val="1_11_201"/>
      <sheetName val="1_11_211"/>
      <sheetName val="1_11_221"/>
      <sheetName val="1_11_231"/>
      <sheetName val="1_11_241"/>
      <sheetName val="1_11_251"/>
      <sheetName val="1_11_261"/>
      <sheetName val="1_11_271"/>
      <sheetName val="1_11_281"/>
      <sheetName val="1_11_291"/>
      <sheetName val="1_11_301"/>
      <sheetName val="1_11_311"/>
      <sheetName val="1_11_321"/>
      <sheetName val="1_11_331"/>
      <sheetName val="1_11_341"/>
      <sheetName val="1_11_351"/>
      <sheetName val="1_11_361"/>
      <sheetName val="1_11_371"/>
      <sheetName val="1_11_381"/>
      <sheetName val="1_11_391"/>
      <sheetName val="1_11_401"/>
      <sheetName val="1_11_411"/>
      <sheetName val="1_11_421"/>
      <sheetName val="1_11_431"/>
      <sheetName val="1_11_441"/>
      <sheetName val="1_11_451"/>
      <sheetName val="1_12_CUBIERTAS1"/>
      <sheetName val="1_12_110"/>
      <sheetName val="1_12_210"/>
      <sheetName val="1_12_310"/>
      <sheetName val="1_12_410"/>
      <sheetName val="1_12_55"/>
      <sheetName val="1_12_61"/>
      <sheetName val="1_12_71"/>
      <sheetName val="1_12_81"/>
      <sheetName val="1_12_91"/>
      <sheetName val="1_12_101"/>
      <sheetName val="1_12_111"/>
      <sheetName val="1_12_121"/>
      <sheetName val="1_12_131"/>
      <sheetName val="1_12_141"/>
      <sheetName val="1_12_151"/>
      <sheetName val="1_12_161"/>
      <sheetName val="1_12_171"/>
      <sheetName val="1_12_181"/>
      <sheetName val="1_12_191"/>
      <sheetName val="1_12_201"/>
      <sheetName val="1_12_211"/>
      <sheetName val="1_12_221"/>
      <sheetName val="1_12_231"/>
      <sheetName val="1_12_241"/>
      <sheetName val="1_12_251"/>
      <sheetName val="1_12_261"/>
      <sheetName val="1_12_271"/>
      <sheetName val="1_12_281"/>
      <sheetName val="1_12_291"/>
      <sheetName val="1_12_301"/>
      <sheetName val="1_12_311"/>
      <sheetName val="1_12_321"/>
      <sheetName val="1_12_331"/>
      <sheetName val="1_12_341"/>
      <sheetName val="1_12_351"/>
      <sheetName val="1_12_361"/>
      <sheetName val="1_12_371"/>
      <sheetName val="1_12_381"/>
      <sheetName val="1_12_391"/>
      <sheetName val="1_12_401"/>
      <sheetName val="1_12_411"/>
      <sheetName val="1_12_421"/>
      <sheetName val="1_12_431"/>
      <sheetName val="1_12_441"/>
      <sheetName val="1_12_451"/>
      <sheetName val="1_12_461"/>
      <sheetName val="1_12_471"/>
      <sheetName val="1_12_481"/>
      <sheetName val="1_12_491"/>
      <sheetName val="1_12_501"/>
      <sheetName val="1_12_511"/>
      <sheetName val="1_12_521"/>
      <sheetName val="1_12_531"/>
      <sheetName val="1_12_581"/>
      <sheetName val="1_15_CARPINTERIA_METALICA1"/>
      <sheetName val="1_15_17"/>
      <sheetName val="1_15_21"/>
      <sheetName val="1_15_31"/>
      <sheetName val="1_15_41"/>
      <sheetName val="1_15_51"/>
      <sheetName val="1_15_61"/>
      <sheetName val="1_15_71"/>
      <sheetName val="1_15_81"/>
      <sheetName val="1_15_91"/>
      <sheetName val="1_15_101"/>
      <sheetName val="1_15_111"/>
      <sheetName val="1_15_121"/>
      <sheetName val="1_15_131"/>
      <sheetName val="1_15_141"/>
      <sheetName val="1_15_151"/>
      <sheetName val="1_15_161"/>
      <sheetName val="1_16_APARATOS_SANITARIOS1"/>
      <sheetName val="1_16_17"/>
      <sheetName val="1_16_21"/>
      <sheetName val="1_16_31"/>
      <sheetName val="1_16_41"/>
      <sheetName val="1_16_51"/>
      <sheetName val="1_16_61"/>
      <sheetName val="1_16_71"/>
      <sheetName val="1_16_81"/>
      <sheetName val="1_16_91"/>
      <sheetName val="1_16_101"/>
      <sheetName val="1_16_111"/>
      <sheetName val="1_16_121"/>
      <sheetName val="1_16_131"/>
      <sheetName val="1_16_141"/>
      <sheetName val="1_16_151"/>
      <sheetName val="1_16_161"/>
      <sheetName val="1_17_VIDRIOS_Y_CERRADURAS1"/>
      <sheetName val="1_17_11"/>
      <sheetName val="1_17_21"/>
      <sheetName val="1_17_31"/>
      <sheetName val="1_17_41"/>
      <sheetName val="1_17_51"/>
      <sheetName val="1_17_61"/>
      <sheetName val="1_18_OBRAS_EXTERIORES1"/>
      <sheetName val="1_18_11"/>
      <sheetName val="1_18_21"/>
      <sheetName val="1_18_31"/>
      <sheetName val="1_18_41"/>
      <sheetName val="1_18_51"/>
      <sheetName val="1_18_61"/>
      <sheetName val="1_18_71"/>
      <sheetName val="1_18_81"/>
      <sheetName val="1_18_91"/>
      <sheetName val="1_18_101"/>
      <sheetName val="1_20_OTROS1"/>
      <sheetName val="1_20_12"/>
      <sheetName val="1_20_21"/>
      <sheetName val="1_20_31"/>
      <sheetName val="1_20_41"/>
      <sheetName val="1_20_51"/>
      <sheetName val="1_20_61"/>
      <sheetName val="1_20_71"/>
      <sheetName val="1_20_81"/>
      <sheetName val="1_20_91"/>
      <sheetName val="1_20_101"/>
      <sheetName val="1_20_111"/>
      <sheetName val="2_1_TUBERIA_PVC_-_ACUEDUCTO1"/>
      <sheetName val="2_1_110"/>
      <sheetName val="2_1_210"/>
      <sheetName val="2_1_310"/>
      <sheetName val="2_1_410"/>
      <sheetName val="2_1_53"/>
      <sheetName val="2_1_61"/>
      <sheetName val="2_1_71"/>
      <sheetName val="2_1_81"/>
      <sheetName val="2_1_91"/>
      <sheetName val="2_1_101"/>
      <sheetName val="2_1_111"/>
      <sheetName val="2_1_121"/>
      <sheetName val="2_1_131"/>
      <sheetName val="2_1_141"/>
      <sheetName val="2_1_151"/>
      <sheetName val="2_1_161"/>
      <sheetName val="2_1_171"/>
      <sheetName val="2_1_181"/>
      <sheetName val="2_1_191"/>
      <sheetName val="2_1_201"/>
      <sheetName val="2_1_211"/>
      <sheetName val="2_1_221"/>
      <sheetName val="2_1_231"/>
      <sheetName val="2_1_241"/>
      <sheetName val="2_1_251"/>
      <sheetName val="2_1_261"/>
      <sheetName val="2_1_271"/>
      <sheetName val="2_1_281"/>
      <sheetName val="2_1_291"/>
      <sheetName val="2_1_29A_1"/>
      <sheetName val="2_1_29B1"/>
      <sheetName val="2_1_301"/>
      <sheetName val="2_1_311"/>
      <sheetName val="2_1_321"/>
      <sheetName val="2_1_331"/>
      <sheetName val="2_1_33A1"/>
      <sheetName val="2_1_33B1"/>
      <sheetName val="2_1_341"/>
      <sheetName val="2_1_351"/>
      <sheetName val="2_1_361"/>
      <sheetName val="2_1_371"/>
      <sheetName val="2_1_381"/>
      <sheetName val="2_1_38A1"/>
      <sheetName val="2_1_38B1"/>
      <sheetName val="2_1_391"/>
      <sheetName val="2_1_401"/>
      <sheetName val="2_1_411"/>
      <sheetName val="2_1_421"/>
      <sheetName val="2_1_431"/>
      <sheetName val="2_1_441"/>
      <sheetName val="2_1_451"/>
      <sheetName val="2_1_461"/>
      <sheetName val="2_1_471"/>
      <sheetName val="2_1_481"/>
      <sheetName val="2_1_491"/>
      <sheetName val="2_1_501"/>
      <sheetName val="2_1_511"/>
      <sheetName val="2_1_521"/>
      <sheetName val="2_2_TUBERIA_POLIETILENO_PE_1001"/>
      <sheetName val="2_2_11"/>
      <sheetName val="2_2_21"/>
      <sheetName val="2_2_31"/>
      <sheetName val="2_2_41"/>
      <sheetName val="2_2_51"/>
      <sheetName val="2_2_61"/>
      <sheetName val="2_2_71"/>
      <sheetName val="2_2_81"/>
      <sheetName val="2_2_91"/>
      <sheetName val="2_2_101"/>
      <sheetName val="2_3_TUBERIA_HG_-_ACUEDUCTO1"/>
      <sheetName val="2_3_11"/>
      <sheetName val="2_3_21"/>
      <sheetName val="2_3_31"/>
      <sheetName val="2_3_41"/>
      <sheetName val="2_3_51"/>
      <sheetName val="2_3_61"/>
      <sheetName val="2_4_ACCESORIOS_DE_ACUEDUCTOS1"/>
      <sheetName val="2_4_15"/>
      <sheetName val="2_4_263"/>
      <sheetName val="2_4_310"/>
      <sheetName val="2_4_410"/>
      <sheetName val="2_4_510"/>
      <sheetName val="2_4_610"/>
      <sheetName val="2_4_710"/>
      <sheetName val="2_4_810"/>
      <sheetName val="2_4_910"/>
      <sheetName val="2_4_101"/>
      <sheetName val="2_4_111"/>
      <sheetName val="2_4_1210"/>
      <sheetName val="2_4_1310"/>
      <sheetName val="2_4_1610"/>
      <sheetName val="2_4_1710"/>
      <sheetName val="2_4_1810"/>
      <sheetName val="2_4_1910"/>
      <sheetName val="2_4_2010"/>
      <sheetName val="2_4_2110"/>
      <sheetName val="2_4_2210"/>
      <sheetName val="2_4_2310"/>
      <sheetName val="2_4_2410"/>
      <sheetName val="2_4_2510"/>
      <sheetName val="2_4_264"/>
      <sheetName val="2_4_271"/>
      <sheetName val="2_4_281"/>
      <sheetName val="2_4_291"/>
      <sheetName val="2_4_301"/>
      <sheetName val="2_4_311"/>
      <sheetName val="2_4_321"/>
      <sheetName val="2_4_331"/>
      <sheetName val="2_4_341"/>
      <sheetName val="2_4_351"/>
      <sheetName val="2_4_361"/>
      <sheetName val="2_4_371"/>
      <sheetName val="2_4_381"/>
      <sheetName val="2_4_391"/>
      <sheetName val="2_4_401"/>
      <sheetName val="2_4_411"/>
      <sheetName val="2_4_421"/>
      <sheetName val="2_4_431"/>
      <sheetName val="2_4_441"/>
      <sheetName val="2_4_451"/>
      <sheetName val="2_4_461"/>
      <sheetName val="2_4_471"/>
      <sheetName val="2_4_481"/>
      <sheetName val="2_4_491"/>
      <sheetName val="2_4_501"/>
      <sheetName val="2_4_511"/>
      <sheetName val="2_4_521"/>
      <sheetName val="2_4_531"/>
      <sheetName val="2_4_541"/>
      <sheetName val="2_4_551"/>
      <sheetName val="2_4_561"/>
      <sheetName val="2_4_571"/>
      <sheetName val="2_4_581"/>
      <sheetName val="2_4_591"/>
      <sheetName val="2_4_601"/>
      <sheetName val="2_4_611"/>
      <sheetName val="2_4_621"/>
      <sheetName val="2_4_631"/>
      <sheetName val="2_4_641"/>
      <sheetName val="2_4_651"/>
      <sheetName val="2_4_661"/>
      <sheetName val="2_4_671"/>
      <sheetName val="2_4_681"/>
      <sheetName val="2_4_691"/>
      <sheetName val="2_4_701"/>
      <sheetName val="2_4_711"/>
      <sheetName val="2_4_721"/>
      <sheetName val="2_4_731"/>
      <sheetName val="2_4_741"/>
      <sheetName val="2_4_751"/>
      <sheetName val="2_4_761"/>
      <sheetName val="2_4_771"/>
      <sheetName val="2_4_781"/>
      <sheetName val="2_4_791"/>
      <sheetName val="2_4_801"/>
      <sheetName val="2_4_811"/>
      <sheetName val="2_4_821"/>
      <sheetName val="2_4_831"/>
      <sheetName val="2_4_841"/>
      <sheetName val="2_4_851"/>
      <sheetName val="2_4_861"/>
      <sheetName val="2_4_871"/>
      <sheetName val="2_4_881"/>
      <sheetName val="2_4_891"/>
      <sheetName val="2_4_901"/>
      <sheetName val="2_4_911"/>
      <sheetName val="2_4_921"/>
      <sheetName val="2_4_931"/>
      <sheetName val="2_4_941"/>
      <sheetName val="2_4_951"/>
      <sheetName val="2_4_961"/>
      <sheetName val="2_4_971"/>
      <sheetName val="2_4_981"/>
      <sheetName val="2_4_991"/>
      <sheetName val="2_4_1001"/>
      <sheetName val="2_4_1181"/>
      <sheetName val="2_4_1191"/>
      <sheetName val="2_2_491"/>
      <sheetName val="2_4_1201"/>
      <sheetName val="2_4_1211"/>
      <sheetName val="2_4_1221"/>
      <sheetName val="2_4_1231"/>
      <sheetName val="2_4_1241"/>
      <sheetName val="2_4_1251"/>
      <sheetName val="2_4_1261"/>
      <sheetName val="2_4_1271"/>
      <sheetName val="2_4_1281"/>
      <sheetName val="2_4_1291"/>
      <sheetName val="2_4_1301"/>
      <sheetName val="2_4_1311"/>
      <sheetName val="2_4_1321"/>
      <sheetName val="2_4_1331"/>
      <sheetName val="2_4_1341"/>
      <sheetName val="2_4_1351"/>
      <sheetName val="2_4_1361"/>
      <sheetName val="2_4_1371"/>
      <sheetName val="2_4_1381"/>
      <sheetName val="2_4_1391"/>
      <sheetName val="2_4_1401"/>
      <sheetName val="2_4_1411"/>
      <sheetName val="2_4_1421"/>
      <sheetName val="2_4_1431"/>
      <sheetName val="2_4_1441"/>
      <sheetName val="2_4_1451"/>
      <sheetName val="2_4_1461"/>
      <sheetName val="2_4_1471"/>
      <sheetName val="2_4_1481"/>
      <sheetName val="2_4_1491"/>
      <sheetName val="2_4_1501"/>
      <sheetName val="2_4_1511"/>
      <sheetName val="2_4_1521"/>
      <sheetName val="2_4_1531"/>
      <sheetName val="2_4_1541"/>
      <sheetName val="2_4_1551"/>
      <sheetName val="2_4_1561"/>
      <sheetName val="2_4_1571"/>
      <sheetName val="2_4_1581"/>
      <sheetName val="2_4_1591"/>
      <sheetName val="2_4_1601"/>
      <sheetName val="2_4_1611"/>
      <sheetName val="2_4_1621"/>
      <sheetName val="2_4_1631"/>
      <sheetName val="2_4_1641"/>
      <sheetName val="2_4_1651"/>
      <sheetName val="2_4_1661"/>
      <sheetName val="2_4_1671"/>
      <sheetName val="2_4_1681"/>
      <sheetName val="2_4_1691"/>
      <sheetName val="2_4_169A1"/>
      <sheetName val="2_4_1701"/>
      <sheetName val="2_4_1711"/>
      <sheetName val="2_4_1721"/>
      <sheetName val="2_4_172A1"/>
      <sheetName val="2_4_1731"/>
      <sheetName val="2_4_1741"/>
      <sheetName val="2_4_1751"/>
      <sheetName val="2_4_1771"/>
      <sheetName val="2_4_1781"/>
      <sheetName val="2_4_1811"/>
      <sheetName val="2_4_1821"/>
      <sheetName val="2_4_1831"/>
      <sheetName val="2_4_1841"/>
      <sheetName val="2_4_1851"/>
      <sheetName val="2_4_1861"/>
      <sheetName val="2_4_1871"/>
      <sheetName val="2_4_1881"/>
      <sheetName val="2_4_1761"/>
      <sheetName val="2_4_1791"/>
      <sheetName val="2_4_1801"/>
      <sheetName val="2_4_1891"/>
      <sheetName val="2_4_1901"/>
      <sheetName val="2_4_1911"/>
      <sheetName val="2_4_1921"/>
      <sheetName val="2_4_1931"/>
      <sheetName val="2_4_1941"/>
      <sheetName val="2_4_1951"/>
      <sheetName val="2_4_1961"/>
      <sheetName val="2_4_1971"/>
      <sheetName val="2_4_1981"/>
      <sheetName val="2_4_1991"/>
      <sheetName val="2_4_2001"/>
      <sheetName val="2_4_2011"/>
      <sheetName val="2_4_2021"/>
      <sheetName val="2_4_2031"/>
      <sheetName val="2_4_2041"/>
      <sheetName val="2_4_2051"/>
      <sheetName val="2_4_2061"/>
      <sheetName val="2_4_2071"/>
      <sheetName val="2_4_2081"/>
      <sheetName val="2_4_2091"/>
      <sheetName val="2_4_2101"/>
      <sheetName val="2_4_2111"/>
      <sheetName val="2_4_2121"/>
      <sheetName val="2_4_2131"/>
      <sheetName val="2_4_2141"/>
      <sheetName val="2_4_2151"/>
      <sheetName val="2_4_2161"/>
      <sheetName val="2_4_2171"/>
      <sheetName val="2_4_2181"/>
      <sheetName val="2_4_2191"/>
      <sheetName val="2_4_2201"/>
      <sheetName val="2_4_2211"/>
      <sheetName val="2_4_2221"/>
      <sheetName val="2_4_2231"/>
      <sheetName val="2_4_2241"/>
      <sheetName val="2_4_2251"/>
      <sheetName val="2_4_2261"/>
      <sheetName val="2_4_2271"/>
      <sheetName val="2_4_2281"/>
      <sheetName val="2_4_2291"/>
      <sheetName val="2_4_2301"/>
      <sheetName val="2_4_2311"/>
      <sheetName val="2_4_2321"/>
      <sheetName val="2_4_2331"/>
      <sheetName val="2_4_2341"/>
      <sheetName val="2_4_2351"/>
      <sheetName val="2_4_2361"/>
      <sheetName val="2_4_2371"/>
      <sheetName val="2_4_2381"/>
      <sheetName val="2_4_2391"/>
      <sheetName val="2_4_2401"/>
      <sheetName val="2_4_2411"/>
      <sheetName val="2_4_2421"/>
      <sheetName val="2_4_2431"/>
      <sheetName val="2_4_2441"/>
      <sheetName val="2_4_2451"/>
      <sheetName val="2_4_2461"/>
      <sheetName val="2_4_2471"/>
      <sheetName val="2_4_2481"/>
      <sheetName val="2_4_2491"/>
      <sheetName val="2_4_2501"/>
      <sheetName val="2_4_2511"/>
      <sheetName val="2_4_2521"/>
      <sheetName val="2_4_2531"/>
      <sheetName val="2_4_2541"/>
      <sheetName val="2_4_2551"/>
      <sheetName val="2_4_2561"/>
      <sheetName val="2_4_2571"/>
      <sheetName val="2_4_2581"/>
      <sheetName val="2_4_258A1"/>
      <sheetName val="2_4_2591"/>
      <sheetName val="2_4_2601"/>
      <sheetName val="2_4_2611"/>
      <sheetName val="2_4_2621"/>
      <sheetName val="2_5_110"/>
      <sheetName val="2_5_210"/>
      <sheetName val="2_5_310"/>
      <sheetName val="2_5_49"/>
      <sheetName val="2_5_51"/>
      <sheetName val="2_5_61"/>
      <sheetName val="2_5_71"/>
      <sheetName val="2_5_81"/>
      <sheetName val="2_5_91"/>
      <sheetName val="2_5_101"/>
      <sheetName val="2_5_111"/>
      <sheetName val="2_5_121"/>
      <sheetName val="2_5_131"/>
      <sheetName val="2_5_141"/>
      <sheetName val="2_5_151"/>
      <sheetName val="2_5_161"/>
      <sheetName val="2_5_171"/>
      <sheetName val="2_5_181"/>
      <sheetName val="2_5_191"/>
      <sheetName val="2_5_201"/>
      <sheetName val="2_5_211"/>
      <sheetName val="2_5_221"/>
      <sheetName val="2_5_231"/>
      <sheetName val="2_5_241"/>
      <sheetName val="2_5_251"/>
      <sheetName val="2_5_261"/>
      <sheetName val="2_5_271"/>
      <sheetName val="2_5_281"/>
      <sheetName val="2_5_291"/>
      <sheetName val="2_5_301"/>
      <sheetName val="2_5_311"/>
      <sheetName val="2_5_321"/>
      <sheetName val="2_5_331"/>
      <sheetName val="2_5_341"/>
      <sheetName val="2_5_351"/>
      <sheetName val="2_5_361"/>
      <sheetName val="2_5_371"/>
      <sheetName val="2_5_381"/>
      <sheetName val="2_5_391"/>
      <sheetName val="2_5_401"/>
      <sheetName val="2_5_411"/>
      <sheetName val="2_5_421"/>
      <sheetName val="2_5_431"/>
      <sheetName val="2_5_441"/>
      <sheetName val="2_5_451"/>
      <sheetName val="2_5_461"/>
      <sheetName val="2_5_471"/>
      <sheetName val="2_5_481"/>
      <sheetName val="2_6_110"/>
      <sheetName val="2_6_210"/>
      <sheetName val="2_6_310"/>
      <sheetName val="2_6_410"/>
      <sheetName val="2_6_55"/>
      <sheetName val="2_6_61"/>
      <sheetName val="2_6_71"/>
      <sheetName val="2_6_81"/>
      <sheetName val="2_6_91"/>
      <sheetName val="2_6_101"/>
      <sheetName val="2_6_111"/>
      <sheetName val="2_6_121"/>
      <sheetName val="2_6_131"/>
      <sheetName val="2_6_141"/>
      <sheetName val="2_6_151"/>
      <sheetName val="2_6_161"/>
      <sheetName val="2_6_171"/>
      <sheetName val="2_6_181"/>
      <sheetName val="2_6_191"/>
      <sheetName val="2_6_201"/>
      <sheetName val="2_6_211"/>
      <sheetName val="2_6_221"/>
      <sheetName val="2_6_231"/>
      <sheetName val="2_6_241"/>
      <sheetName val="2_6_251"/>
      <sheetName val="2_6_261"/>
      <sheetName val="2_6_271"/>
      <sheetName val="2_6_281"/>
      <sheetName val="2_6_291"/>
      <sheetName val="2_6_301"/>
      <sheetName val="2_6_311"/>
      <sheetName val="2_6_321"/>
      <sheetName val="2_6_331"/>
      <sheetName val="2_6_341"/>
      <sheetName val="2_6_351"/>
      <sheetName val="2_6_361"/>
      <sheetName val="2_6_371"/>
      <sheetName val="2_6_381"/>
      <sheetName val="2_6_391"/>
      <sheetName val="2_6_401"/>
      <sheetName val="2_6_411"/>
      <sheetName val="2_6_421"/>
      <sheetName val="2_6_431"/>
      <sheetName val="2_6_441"/>
      <sheetName val="2_6_451"/>
      <sheetName val="2_6_461"/>
      <sheetName val="2_6_471"/>
      <sheetName val="2_6_481"/>
      <sheetName val="2_6_491"/>
      <sheetName val="2_6_501"/>
      <sheetName val="2_6_511"/>
      <sheetName val="2_6_521"/>
      <sheetName val="2_6_531"/>
      <sheetName val="2_6_541"/>
      <sheetName val="2_7_12"/>
      <sheetName val="2_7_21"/>
      <sheetName val="2_7_31"/>
      <sheetName val="2_7_41"/>
      <sheetName val="2_7_51"/>
      <sheetName val="2_7_61"/>
      <sheetName val="2_7_71"/>
      <sheetName val="2_7_81"/>
      <sheetName val="2_7_91"/>
      <sheetName val="2_7_101"/>
      <sheetName val="2_7_111"/>
      <sheetName val="2_8_11"/>
      <sheetName val="2_8_21"/>
      <sheetName val="2_8_31"/>
      <sheetName val="2_9_11"/>
      <sheetName val="2_9_21"/>
      <sheetName val="2_9_31"/>
      <sheetName val="2_10_11"/>
      <sheetName val="2_10_21"/>
      <sheetName val="2_10_31"/>
      <sheetName val="2_10_41"/>
      <sheetName val="2_11_11"/>
      <sheetName val="2_11_21"/>
      <sheetName val="2_11_31"/>
      <sheetName val="2_11_41"/>
      <sheetName val="2_12_11"/>
      <sheetName val="3_1_81"/>
      <sheetName val="3_1_131"/>
      <sheetName val="3_3_11"/>
      <sheetName val="3_3_71"/>
      <sheetName val="3_3_251"/>
      <sheetName val="3_15_431"/>
      <sheetName val="6_3_21"/>
      <sheetName val="6_2_11"/>
      <sheetName val="6_4_2_27"/>
      <sheetName val="6_4_2_310"/>
      <sheetName val="6_4_2_42"/>
      <sheetName val="6_4_2_51"/>
      <sheetName val="6_4_2_68"/>
      <sheetName val="6_4_2_77"/>
      <sheetName val="6_4_2_810"/>
      <sheetName val="6_4_2_910"/>
      <sheetName val="6_4_2_103"/>
      <sheetName val="6_4_2_111"/>
      <sheetName val="6_4_2_1210"/>
      <sheetName val="6_4_2_1310"/>
      <sheetName val="6_4_2_1410"/>
      <sheetName val="6_4_2_1510"/>
      <sheetName val="6_4_2_15A1"/>
      <sheetName val="6_4_2_1610"/>
      <sheetName val="6_4_2_1710"/>
      <sheetName val="6_4_2_1810"/>
      <sheetName val="6_4_2_1910"/>
      <sheetName val="6_4_2_2010"/>
      <sheetName val="6_4_2_2110"/>
      <sheetName val="6_4_2_222"/>
      <sheetName val="6_4_2_231"/>
      <sheetName val="6_4_2_241"/>
      <sheetName val="6_4_2_251"/>
      <sheetName val="6_4_2_261"/>
      <sheetName val="6_4_2_281"/>
      <sheetName val="6_4_2_291"/>
      <sheetName val="6_4_2_301"/>
      <sheetName val="6_4_2_311"/>
      <sheetName val="6_4_2_321"/>
      <sheetName val="6_4_2_331"/>
      <sheetName val="6_4_2_341"/>
      <sheetName val="6_4_2_351"/>
      <sheetName val="6_4_2_361"/>
      <sheetName val="6_4_2_371"/>
      <sheetName val="6_4_2_381"/>
      <sheetName val="6_4_2_391"/>
      <sheetName val="6_4_2_39A1"/>
      <sheetName val="6_4_2_401"/>
      <sheetName val="6_4_2_411"/>
      <sheetName val="6_4_2_431"/>
      <sheetName val="6_4_2_43A1"/>
      <sheetName val="6_4_2_441"/>
      <sheetName val="6_4_2_451"/>
      <sheetName val="6_4_2_461"/>
      <sheetName val="3_3_171"/>
      <sheetName val="3_3_181"/>
      <sheetName val="6_4_2_521"/>
      <sheetName val="6_4_2_531"/>
      <sheetName val="6_4_2_541"/>
      <sheetName val="6_4_2_551"/>
      <sheetName val="6_4_2_561"/>
      <sheetName val="6_4_2_571"/>
      <sheetName val="6_4_2_581"/>
      <sheetName val="6_4_2_591"/>
      <sheetName val="6_4_2_601"/>
      <sheetName val="6_4_2_611"/>
      <sheetName val="6_4_2_621"/>
      <sheetName val="6_4_2_631"/>
      <sheetName val="6_4_2_641"/>
      <sheetName val="6_4_2_651"/>
      <sheetName val="6_4_2_661"/>
      <sheetName val="6_4_2_671"/>
      <sheetName val="6_4_2_691"/>
      <sheetName val="6_4_2_701"/>
      <sheetName val="6_4_2_711"/>
      <sheetName val="6_4_2_721"/>
      <sheetName val="6_4_2_731"/>
      <sheetName val="6_4_2_741"/>
      <sheetName val="6_4_2_751"/>
      <sheetName val="6_4_2_761"/>
      <sheetName val="1_7_461"/>
      <sheetName val="6_4_2_781"/>
      <sheetName val="2_1_32A1"/>
      <sheetName val="2_1_32B1"/>
      <sheetName val="2_1_28A1"/>
      <sheetName val="6_4_2_791"/>
      <sheetName val="6_4_2_801"/>
      <sheetName val="6_4_2_811"/>
      <sheetName val="3_3_131"/>
      <sheetName val="6_4_2_821"/>
      <sheetName val="6_4_2_831"/>
      <sheetName val="6_4_2_841"/>
      <sheetName val="6_4_2_851"/>
      <sheetName val="6_4_2_861"/>
      <sheetName val="6_4_2_871"/>
      <sheetName val="6_4_2_881"/>
      <sheetName val="6_4_2_891"/>
      <sheetName val="3_3_51"/>
      <sheetName val="6_4_2_901"/>
      <sheetName val="6_4_2_911"/>
      <sheetName val="6_4_2_921"/>
      <sheetName val="6_4_2_931"/>
      <sheetName val="6_4_2_941"/>
      <sheetName val="3_3_31"/>
      <sheetName val="6_4_2_951"/>
      <sheetName val="6_4_2_95A1"/>
      <sheetName val="6_4_2_961"/>
      <sheetName val="3_1_11"/>
      <sheetName val="6_4_2_971"/>
      <sheetName val="6_4_2_981"/>
      <sheetName val="6_4_2_991"/>
      <sheetName val="6_4_2_1001"/>
      <sheetName val="2_4_1410"/>
      <sheetName val="6_4_2_1011"/>
      <sheetName val="3_5_21"/>
      <sheetName val="6_4_2_1021"/>
      <sheetName val="6_4_2_1051"/>
      <sheetName val="6_4_2_1061"/>
      <sheetName val="3_9_211"/>
      <sheetName val="6_4_2_1081"/>
      <sheetName val="3_15_421"/>
      <sheetName val="3_3_261"/>
      <sheetName val="3_15_871"/>
      <sheetName val="3_3_21"/>
      <sheetName val="1_12_541"/>
      <sheetName val="6_4_2_1141"/>
      <sheetName val="6_4_2_1151"/>
      <sheetName val="6_4_2_1161"/>
      <sheetName val="6_4_2_1171"/>
      <sheetName val="6_4_2_1181"/>
      <sheetName val="6_4_2_1191"/>
      <sheetName val="6_4_2_1201"/>
      <sheetName val="6_4_2_1211"/>
      <sheetName val="6_4_2_1221"/>
      <sheetName val="6_4_2_1231"/>
      <sheetName val="6_4_2_1241"/>
      <sheetName val="6_4_2_1251"/>
      <sheetName val="6_4_2_1261"/>
      <sheetName val="6_4_2_1271"/>
      <sheetName val="6_4_2_1281"/>
      <sheetName val="6_4_2_1291"/>
      <sheetName val="6_4_2_1301"/>
      <sheetName val="6_4_2_1311"/>
      <sheetName val="6_4_2_1321"/>
      <sheetName val="6_4_2_1331"/>
      <sheetName val="6_4_2_1341"/>
      <sheetName val="6_4_2_1351"/>
      <sheetName val="6_4_2_1361"/>
      <sheetName val="6_4_2_1371"/>
      <sheetName val="6_4_2_1381"/>
      <sheetName val="6_4_2_1391"/>
      <sheetName val="6_4_2_1401"/>
      <sheetName val="6_4_2_1411"/>
      <sheetName val="6_4_2_1421"/>
      <sheetName val="6_4_2_1431"/>
      <sheetName val="6_4_2_1441"/>
      <sheetName val="6_4_2_1451"/>
      <sheetName val="6_4_2_1461"/>
      <sheetName val="6_4_2_1471"/>
      <sheetName val="6_4_2_1481"/>
      <sheetName val="6_4_2_1491"/>
      <sheetName val="6_4_2_1501"/>
      <sheetName val="6_4_2_1511"/>
      <sheetName val="3_15_15A1"/>
      <sheetName val="6_2_41"/>
      <sheetName val="6_2_21"/>
      <sheetName val="13_1_11"/>
      <sheetName val="6_4_2_1521"/>
      <sheetName val="6_4_2_1531"/>
      <sheetName val="6_4_2_1541"/>
      <sheetName val="6_4_2_1551"/>
      <sheetName val="6_4_2_1561"/>
      <sheetName val="6_4_2_1571"/>
      <sheetName val="6_4_2_1581"/>
      <sheetName val="6_4_2_1591"/>
      <sheetName val="6_4_2_1601"/>
      <sheetName val="6_4_2_1611"/>
      <sheetName val="6_4_2_1621"/>
      <sheetName val="6_4_2_1631"/>
      <sheetName val="6_4_2_1641"/>
      <sheetName val="6_4_2_1651"/>
      <sheetName val="6_4_2_1661"/>
      <sheetName val="6_4_2_1671"/>
      <sheetName val="6_4_2_1681"/>
      <sheetName val="6_4_2_1691"/>
      <sheetName val="6_4_2_1701"/>
      <sheetName val="6_4_2_1711"/>
      <sheetName val="6_4_2_1721"/>
      <sheetName val="6_4_2_1731"/>
      <sheetName val="6_4_2_1741"/>
      <sheetName val="6_4_2_1751"/>
      <sheetName val="6_4_2_1761"/>
      <sheetName val="6_4_2_1771"/>
      <sheetName val="6_4_2_1781"/>
      <sheetName val="6_4_2_1791"/>
      <sheetName val="6_4_2_1801"/>
      <sheetName val="6_4_2_1811"/>
      <sheetName val="6_4_2_1821"/>
      <sheetName val="6_4_2_1831"/>
      <sheetName val="6_4_2_1841"/>
      <sheetName val="6_4_2_1851"/>
      <sheetName val="6_4_2_1861"/>
      <sheetName val="6_4_2_1871"/>
      <sheetName val="6_4_2_1881"/>
      <sheetName val="6_4_2_1891"/>
      <sheetName val="6_4_2_1901"/>
      <sheetName val="6_4_2_1911"/>
      <sheetName val="6_4_2_1921"/>
      <sheetName val="6_4_2_1931"/>
      <sheetName val="6_4_2_1941"/>
      <sheetName val="6_4_2_1951"/>
      <sheetName val="6_4_2_1961"/>
      <sheetName val="6_4_2_1971"/>
      <sheetName val="6_4_2_1981"/>
      <sheetName val="6_4_2_1991"/>
      <sheetName val="6_4_2_2001"/>
      <sheetName val="6_4_2_2011"/>
      <sheetName val="6_4_2_2021"/>
      <sheetName val="6_4_2_2031"/>
      <sheetName val="6_4_2_2041"/>
      <sheetName val="6_4_2_2051"/>
      <sheetName val="6_4_2_2061"/>
      <sheetName val="6_4_2_2071"/>
      <sheetName val="6_4_2_2081"/>
      <sheetName val="6_4_2_2091"/>
      <sheetName val="6_4_2_2101"/>
      <sheetName val="6_4_2_2111"/>
      <sheetName val="6_4_2_2121"/>
      <sheetName val="6_4_2_2131"/>
      <sheetName val="6_4_2_2141"/>
      <sheetName val="6_4_2_2151"/>
      <sheetName val="6_4_2_2161"/>
      <sheetName val="6_4_2_2171"/>
      <sheetName val="6_4_2_2181"/>
      <sheetName val="6_4_2_2191"/>
      <sheetName val="6_4_2_2201"/>
      <sheetName val="6_4_2_2211"/>
      <sheetName val="3_17_31"/>
      <sheetName val="3_17_10A1"/>
      <sheetName val="3_17_10B1"/>
      <sheetName val="3_11_21"/>
      <sheetName val="3_5_11"/>
      <sheetName val="3_3_41"/>
      <sheetName val="Lista_Base2"/>
      <sheetName val="1_1_110"/>
      <sheetName val="1_1_22"/>
      <sheetName val="1_1_73"/>
      <sheetName val="1_1_88"/>
      <sheetName val="1_1_92"/>
      <sheetName val="1_1_112"/>
      <sheetName val="1_1_122"/>
      <sheetName val="1_1_12A2"/>
      <sheetName val="1_1_132"/>
      <sheetName val="1_1_142"/>
      <sheetName val="1_1_152"/>
      <sheetName val="1_1_162"/>
      <sheetName val="1_1_172"/>
      <sheetName val="1_1_182"/>
      <sheetName val="1_1_242"/>
      <sheetName val="1_1_252"/>
      <sheetName val="1_1_262"/>
      <sheetName val="1_1_272"/>
      <sheetName val="1_1_282"/>
      <sheetName val="1_1_292"/>
      <sheetName val="1_1_322"/>
      <sheetName val="1_1_332"/>
      <sheetName val="1_1_352"/>
      <sheetName val="1_1_362"/>
      <sheetName val="1_1_372"/>
      <sheetName val="1_1_402"/>
      <sheetName val="1_1_412"/>
      <sheetName val="1_1_422"/>
      <sheetName val="1_1_432"/>
      <sheetName val="1_1_442"/>
      <sheetName val="1_1_452"/>
      <sheetName val="1_1_462"/>
      <sheetName val="1_1_472"/>
      <sheetName val="1_1_482"/>
      <sheetName val="1_1_492"/>
      <sheetName val="1_1_502"/>
      <sheetName val="1_1_512"/>
      <sheetName val="1_1_522"/>
      <sheetName val="1_1_532"/>
      <sheetName val="1_1_542"/>
      <sheetName val="1_1_552"/>
      <sheetName val="1_1_582"/>
      <sheetName val="1_1_592"/>
      <sheetName val="1_1_602"/>
      <sheetName val="1_1_612"/>
      <sheetName val="1_1_622"/>
      <sheetName val="1_1_632"/>
      <sheetName val="1_1_642"/>
      <sheetName val="1_1_652"/>
      <sheetName val="1_1_662"/>
      <sheetName val="1_1_702"/>
      <sheetName val="1_1_712"/>
      <sheetName val="1_1_742"/>
      <sheetName val="1_1_752"/>
      <sheetName val="1_1_762"/>
      <sheetName val="1_1_782"/>
      <sheetName val="1_1_792"/>
      <sheetName val="1_1_802"/>
      <sheetName val="1_1_812"/>
      <sheetName val="1_1_822"/>
      <sheetName val="1_1_832"/>
      <sheetName val="1_1_83A2"/>
      <sheetName val="1_1_842"/>
      <sheetName val="1_1_852"/>
      <sheetName val="1_1_862"/>
      <sheetName val="1_2_112"/>
      <sheetName val="1_2_212"/>
      <sheetName val="1_2_312"/>
      <sheetName val="1_2_412"/>
      <sheetName val="1_2_512"/>
      <sheetName val="1_2_62"/>
      <sheetName val="1_2_72"/>
      <sheetName val="1_2_82"/>
      <sheetName val="1_2_92"/>
      <sheetName val="1_2_102"/>
      <sheetName val="1_2_113"/>
      <sheetName val="1_2_122"/>
      <sheetName val="1_2_132"/>
      <sheetName val="1_2_142"/>
      <sheetName val="1_2_152"/>
      <sheetName val="1_2_162"/>
      <sheetName val="1_2_172"/>
      <sheetName val="1_2_182"/>
      <sheetName val="1_2_192"/>
      <sheetName val="1_2_202"/>
      <sheetName val="1_2_213"/>
      <sheetName val="1_2_222"/>
      <sheetName val="1_2_232"/>
      <sheetName val="1_2_242"/>
      <sheetName val="1_2_252"/>
      <sheetName val="1_2_262"/>
      <sheetName val="1_2_272"/>
      <sheetName val="1_2_282"/>
      <sheetName val="1_2_292"/>
      <sheetName val="1_2_302"/>
      <sheetName val="1_2_313"/>
      <sheetName val="1_2_322"/>
      <sheetName val="1_2_332"/>
      <sheetName val="1_2_342"/>
      <sheetName val="1_2_352"/>
      <sheetName val="1_2_362"/>
      <sheetName val="1_2_372"/>
      <sheetName val="1_2_382"/>
      <sheetName val="1_2_392"/>
      <sheetName val="1_2_402"/>
      <sheetName val="1_2_413"/>
      <sheetName val="1_2_422"/>
      <sheetName val="1_2_432"/>
      <sheetName val="1_2_442"/>
      <sheetName val="1_2_452"/>
      <sheetName val="1_2_462"/>
      <sheetName val="1_2_472"/>
      <sheetName val="1_2_482"/>
      <sheetName val="1_2_492"/>
      <sheetName val="1_2_502"/>
      <sheetName val="1_2_513"/>
      <sheetName val="1_2_522"/>
      <sheetName val="1_2_532"/>
      <sheetName val="1_2_542"/>
      <sheetName val="1_2_552"/>
      <sheetName val="1_2_562"/>
      <sheetName val="1_2_572"/>
      <sheetName val="1_2_582"/>
      <sheetName val="1_2_592"/>
      <sheetName val="1_3_112"/>
      <sheetName val="1_3_27"/>
      <sheetName val="1_3_32"/>
      <sheetName val="1_3_42"/>
      <sheetName val="1_3_52"/>
      <sheetName val="1_3_62"/>
      <sheetName val="1_3_72"/>
      <sheetName val="1_3_82"/>
      <sheetName val="1_3_92"/>
      <sheetName val="1_3_102"/>
      <sheetName val="1_3_113"/>
      <sheetName val="1_3_122"/>
      <sheetName val="1_3_132"/>
      <sheetName val="1_3_142"/>
      <sheetName val="1_3_152"/>
      <sheetName val="1_3_162"/>
      <sheetName val="1_3_172"/>
      <sheetName val="1_3_182"/>
      <sheetName val="1_3_192"/>
      <sheetName val="1_3_202"/>
      <sheetName val="1_3_212"/>
      <sheetName val="1_3_222"/>
      <sheetName val="1_3_232"/>
      <sheetName val="1_3_242"/>
      <sheetName val="1_3_252"/>
      <sheetName val="1_4_42"/>
      <sheetName val="1_4_52"/>
      <sheetName val="1_4_62"/>
      <sheetName val="1_4_72"/>
      <sheetName val="1_4_82"/>
      <sheetName val="1_4_92"/>
      <sheetName val="1_4_102"/>
      <sheetName val="1_4_112"/>
      <sheetName val="1_4_122"/>
      <sheetName val="1_4_132"/>
      <sheetName val="1_4_142"/>
      <sheetName val="1_4_152"/>
      <sheetName val="1_4_162"/>
      <sheetName val="1_4_172"/>
      <sheetName val="1_4_182"/>
      <sheetName val="1_4_192"/>
      <sheetName val="1_4_202"/>
      <sheetName val="1_4_212"/>
      <sheetName val="1_4_222"/>
      <sheetName val="1_4_232"/>
      <sheetName val="1_4_242"/>
      <sheetName val="1_4_252"/>
      <sheetName val="1_4_262"/>
      <sheetName val="1_4_272"/>
      <sheetName val="1_4_282"/>
      <sheetName val="1_4_292"/>
      <sheetName val="1_4_302"/>
      <sheetName val="1_4_312"/>
      <sheetName val="1_4_322"/>
      <sheetName val="1_4_332"/>
      <sheetName val="1_4_342"/>
      <sheetName val="1_4_352"/>
      <sheetName val="1_4_362"/>
      <sheetName val="1_4_372"/>
      <sheetName val="1_4_382"/>
      <sheetName val="1_4_392"/>
      <sheetName val="1_5_110"/>
      <sheetName val="1_5_22"/>
      <sheetName val="1_5_32"/>
      <sheetName val="1_5_42"/>
      <sheetName val="1_5_52"/>
      <sheetName val="1_5_62"/>
      <sheetName val="1_5_72"/>
      <sheetName val="1_5_82"/>
      <sheetName val="1_5_92"/>
      <sheetName val="1_5_102"/>
      <sheetName val="1_5_112"/>
      <sheetName val="1_5_122"/>
      <sheetName val="1_5_132"/>
      <sheetName val="1_5_142"/>
      <sheetName val="1_5_152"/>
      <sheetName val="1_5_162"/>
      <sheetName val="1_5_172"/>
      <sheetName val="1_5_182"/>
      <sheetName val="1_6_112"/>
      <sheetName val="1_6_27"/>
      <sheetName val="1_6_312"/>
      <sheetName val="1_6_44"/>
      <sheetName val="1_6_52"/>
      <sheetName val="1_6_62"/>
      <sheetName val="1_6_72"/>
      <sheetName val="1_6_82"/>
      <sheetName val="1_6_92"/>
      <sheetName val="1_6_102"/>
      <sheetName val="1_6_113"/>
      <sheetName val="1_6_122"/>
      <sheetName val="1_6_132"/>
      <sheetName val="1_6_142"/>
      <sheetName val="1_6_152"/>
      <sheetName val="1_6_162"/>
      <sheetName val="1_6_172"/>
      <sheetName val="1_6_182"/>
      <sheetName val="1_6_192"/>
      <sheetName val="1_6_202"/>
      <sheetName val="1_6_212"/>
      <sheetName val="1_6_222"/>
      <sheetName val="1_6_232"/>
      <sheetName val="1_6_242"/>
      <sheetName val="1_6_252"/>
      <sheetName val="1_6_282"/>
      <sheetName val="1_6_292"/>
      <sheetName val="1_6_302"/>
      <sheetName val="1_6_313"/>
      <sheetName val="1_6_322"/>
      <sheetName val="1_6_332"/>
      <sheetName val="1_6_342"/>
      <sheetName val="1_6_352"/>
      <sheetName val="1_6_362"/>
      <sheetName val="1_6_372"/>
      <sheetName val="1_6_382"/>
      <sheetName val="1_6_392"/>
      <sheetName val="1_6_402"/>
      <sheetName val="1_6_412"/>
      <sheetName val="1_6_422"/>
      <sheetName val="1_9_112"/>
      <sheetName val="1_9_25"/>
      <sheetName val="1_9_32"/>
      <sheetName val="1_9_42"/>
      <sheetName val="1_9_52"/>
      <sheetName val="1_9_62"/>
      <sheetName val="1_9_72"/>
      <sheetName val="1_9_82"/>
      <sheetName val="1_9_92"/>
      <sheetName val="1_9_102"/>
      <sheetName val="1_9_113"/>
      <sheetName val="1_9_122"/>
      <sheetName val="1_9_132"/>
      <sheetName val="1_9_142"/>
      <sheetName val="1_9_152"/>
      <sheetName val="1_9_162"/>
      <sheetName val="1_9_172"/>
      <sheetName val="1_9_182"/>
      <sheetName val="1_9_192"/>
      <sheetName val="1_9_202"/>
      <sheetName val="1_9_212"/>
      <sheetName val="1_9_222"/>
      <sheetName val="1_9_232"/>
      <sheetName val="1_10_13"/>
      <sheetName val="1_10_24"/>
      <sheetName val="1_10_32"/>
      <sheetName val="1_10_42"/>
      <sheetName val="1_10_52"/>
      <sheetName val="1_10_62"/>
      <sheetName val="1_10_72"/>
      <sheetName val="1_10_82"/>
      <sheetName val="1_10_92"/>
      <sheetName val="1_10_102"/>
      <sheetName val="1_10_112"/>
      <sheetName val="1_10_142"/>
      <sheetName val="1_10_152"/>
      <sheetName val="1_10_162"/>
      <sheetName val="1_10_172"/>
      <sheetName val="1_10_182"/>
      <sheetName val="1_10_192"/>
      <sheetName val="1_10_202"/>
      <sheetName val="1_10_212"/>
      <sheetName val="1_10_222"/>
      <sheetName val="1_11_112"/>
      <sheetName val="1_11_212"/>
      <sheetName val="1_11_312"/>
      <sheetName val="1_11_47"/>
      <sheetName val="1_11_52"/>
      <sheetName val="1_11_62"/>
      <sheetName val="1_11_72"/>
      <sheetName val="1_11_82"/>
      <sheetName val="1_11_92"/>
      <sheetName val="1_11_102"/>
      <sheetName val="1_11_113"/>
      <sheetName val="1_11_122"/>
      <sheetName val="1_11_132"/>
      <sheetName val="1_11_142"/>
      <sheetName val="1_11_152"/>
      <sheetName val="1_11_162"/>
      <sheetName val="1_11_172"/>
      <sheetName val="1_11_182"/>
      <sheetName val="1_11_192"/>
      <sheetName val="1_11_202"/>
      <sheetName val="1_11_213"/>
      <sheetName val="1_11_222"/>
      <sheetName val="1_11_232"/>
      <sheetName val="1_11_242"/>
      <sheetName val="1_11_252"/>
      <sheetName val="1_11_262"/>
      <sheetName val="1_11_272"/>
      <sheetName val="1_11_282"/>
      <sheetName val="1_11_292"/>
      <sheetName val="1_11_302"/>
      <sheetName val="1_11_313"/>
      <sheetName val="1_11_322"/>
      <sheetName val="1_11_332"/>
      <sheetName val="1_11_342"/>
      <sheetName val="1_11_352"/>
      <sheetName val="1_11_362"/>
      <sheetName val="1_11_372"/>
      <sheetName val="1_11_382"/>
      <sheetName val="1_11_392"/>
      <sheetName val="1_11_402"/>
      <sheetName val="1_11_412"/>
      <sheetName val="1_11_422"/>
      <sheetName val="1_11_432"/>
      <sheetName val="1_11_442"/>
      <sheetName val="1_11_452"/>
      <sheetName val="1_12_CUBIERTAS2"/>
      <sheetName val="1_12_112"/>
      <sheetName val="1_12_212"/>
      <sheetName val="1_12_312"/>
      <sheetName val="1_12_412"/>
      <sheetName val="1_12_56"/>
      <sheetName val="1_12_62"/>
      <sheetName val="1_12_72"/>
      <sheetName val="1_12_82"/>
      <sheetName val="1_12_92"/>
      <sheetName val="1_12_102"/>
      <sheetName val="1_12_113"/>
      <sheetName val="1_12_122"/>
      <sheetName val="1_12_132"/>
      <sheetName val="1_12_142"/>
      <sheetName val="1_12_152"/>
      <sheetName val="1_12_162"/>
      <sheetName val="1_12_172"/>
      <sheetName val="1_12_182"/>
      <sheetName val="1_12_192"/>
      <sheetName val="1_12_202"/>
      <sheetName val="1_12_213"/>
      <sheetName val="1_12_222"/>
      <sheetName val="1_12_232"/>
      <sheetName val="1_12_242"/>
      <sheetName val="1_12_252"/>
      <sheetName val="1_12_262"/>
      <sheetName val="1_12_272"/>
      <sheetName val="1_12_282"/>
      <sheetName val="1_12_292"/>
      <sheetName val="1_12_302"/>
      <sheetName val="1_12_313"/>
      <sheetName val="1_12_322"/>
      <sheetName val="1_12_332"/>
      <sheetName val="1_12_342"/>
      <sheetName val="1_12_352"/>
      <sheetName val="1_12_362"/>
      <sheetName val="1_12_372"/>
      <sheetName val="1_12_382"/>
      <sheetName val="1_12_392"/>
      <sheetName val="1_12_402"/>
      <sheetName val="1_12_413"/>
      <sheetName val="1_12_422"/>
      <sheetName val="1_12_432"/>
      <sheetName val="1_12_442"/>
      <sheetName val="1_12_452"/>
      <sheetName val="1_12_462"/>
      <sheetName val="1_12_472"/>
      <sheetName val="1_12_482"/>
      <sheetName val="1_12_492"/>
      <sheetName val="1_12_502"/>
      <sheetName val="1_12_512"/>
      <sheetName val="1_12_522"/>
      <sheetName val="1_12_532"/>
      <sheetName val="1_12_582"/>
      <sheetName val="1_15_CARPINTERIA_METALICA2"/>
      <sheetName val="1_15_18"/>
      <sheetName val="1_15_22"/>
      <sheetName val="1_15_32"/>
      <sheetName val="1_15_42"/>
      <sheetName val="1_15_52"/>
      <sheetName val="1_15_62"/>
      <sheetName val="1_15_72"/>
      <sheetName val="1_15_82"/>
      <sheetName val="1_15_92"/>
      <sheetName val="1_15_102"/>
      <sheetName val="1_15_112"/>
      <sheetName val="1_15_122"/>
      <sheetName val="1_15_132"/>
      <sheetName val="1_15_142"/>
      <sheetName val="1_15_152"/>
      <sheetName val="1_15_162"/>
      <sheetName val="1_16_APARATOS_SANITARIOS2"/>
      <sheetName val="1_16_18"/>
      <sheetName val="1_16_22"/>
      <sheetName val="1_16_32"/>
      <sheetName val="1_16_42"/>
      <sheetName val="1_16_52"/>
      <sheetName val="1_16_62"/>
      <sheetName val="1_16_72"/>
      <sheetName val="1_16_82"/>
      <sheetName val="1_16_92"/>
      <sheetName val="1_16_102"/>
      <sheetName val="1_16_112"/>
      <sheetName val="1_16_122"/>
      <sheetName val="1_16_132"/>
      <sheetName val="1_16_142"/>
      <sheetName val="1_16_152"/>
      <sheetName val="1_16_162"/>
      <sheetName val="1_17_VIDRIOS_Y_CERRADURAS2"/>
      <sheetName val="1_17_12"/>
      <sheetName val="1_17_22"/>
      <sheetName val="1_17_32"/>
      <sheetName val="1_17_42"/>
      <sheetName val="1_17_52"/>
      <sheetName val="1_17_62"/>
      <sheetName val="1_18_OBRAS_EXTERIORES2"/>
      <sheetName val="1_18_12"/>
      <sheetName val="1_18_22"/>
      <sheetName val="1_18_32"/>
      <sheetName val="1_18_42"/>
      <sheetName val="1_18_52"/>
      <sheetName val="1_18_62"/>
      <sheetName val="1_18_72"/>
      <sheetName val="1_18_82"/>
      <sheetName val="1_18_92"/>
      <sheetName val="1_18_102"/>
      <sheetName val="1_20_OTROS2"/>
      <sheetName val="1_20_13"/>
      <sheetName val="1_20_22"/>
      <sheetName val="1_20_32"/>
      <sheetName val="1_20_42"/>
      <sheetName val="1_20_52"/>
      <sheetName val="1_20_62"/>
      <sheetName val="1_20_72"/>
      <sheetName val="1_20_82"/>
      <sheetName val="1_20_92"/>
      <sheetName val="1_20_102"/>
      <sheetName val="1_20_112"/>
      <sheetName val="2_1_TUBERIA_PVC_-_ACUEDUCTO2"/>
      <sheetName val="2_1_112"/>
      <sheetName val="2_1_212"/>
      <sheetName val="2_1_312"/>
      <sheetName val="2_1_412"/>
      <sheetName val="2_1_54"/>
      <sheetName val="2_1_62"/>
      <sheetName val="2_1_72"/>
      <sheetName val="2_1_82"/>
      <sheetName val="2_1_92"/>
      <sheetName val="2_1_102"/>
      <sheetName val="2_1_113"/>
      <sheetName val="2_1_122"/>
      <sheetName val="2_1_132"/>
      <sheetName val="2_1_142"/>
      <sheetName val="2_1_152"/>
      <sheetName val="2_1_162"/>
      <sheetName val="2_1_172"/>
      <sheetName val="2_1_182"/>
      <sheetName val="2_1_192"/>
      <sheetName val="2_1_202"/>
      <sheetName val="2_1_213"/>
      <sheetName val="2_1_222"/>
      <sheetName val="2_1_232"/>
      <sheetName val="2_1_242"/>
      <sheetName val="2_1_252"/>
      <sheetName val="2_1_262"/>
      <sheetName val="2_1_272"/>
      <sheetName val="2_1_282"/>
      <sheetName val="2_1_292"/>
      <sheetName val="2_1_29A_2"/>
      <sheetName val="2_1_29B2"/>
      <sheetName val="2_1_302"/>
      <sheetName val="2_1_313"/>
      <sheetName val="2_1_322"/>
      <sheetName val="2_1_332"/>
      <sheetName val="2_1_33A2"/>
      <sheetName val="2_1_33B2"/>
      <sheetName val="2_1_342"/>
      <sheetName val="2_1_352"/>
      <sheetName val="2_1_362"/>
      <sheetName val="2_1_372"/>
      <sheetName val="2_1_382"/>
      <sheetName val="2_1_38A2"/>
      <sheetName val="2_1_38B2"/>
      <sheetName val="2_1_392"/>
      <sheetName val="2_1_402"/>
      <sheetName val="2_1_413"/>
      <sheetName val="2_1_422"/>
      <sheetName val="2_1_432"/>
      <sheetName val="2_1_442"/>
      <sheetName val="2_1_452"/>
      <sheetName val="2_1_462"/>
      <sheetName val="2_1_472"/>
      <sheetName val="2_1_482"/>
      <sheetName val="2_1_492"/>
      <sheetName val="2_1_502"/>
      <sheetName val="2_1_512"/>
      <sheetName val="2_1_522"/>
      <sheetName val="2_2_TUBERIA_POLIETILENO_PE_1002"/>
      <sheetName val="2_2_12"/>
      <sheetName val="2_2_22"/>
      <sheetName val="2_2_32"/>
      <sheetName val="2_2_42"/>
      <sheetName val="2_2_52"/>
      <sheetName val="2_2_62"/>
      <sheetName val="2_2_72"/>
      <sheetName val="2_2_82"/>
      <sheetName val="2_2_92"/>
      <sheetName val="2_2_102"/>
      <sheetName val="2_3_TUBERIA_HG_-_ACUEDUCTO2"/>
      <sheetName val="2_3_12"/>
      <sheetName val="2_3_22"/>
      <sheetName val="2_3_32"/>
      <sheetName val="2_3_42"/>
      <sheetName val="2_3_52"/>
      <sheetName val="2_3_62"/>
      <sheetName val="2_4_ACCESORIOS_DE_ACUEDUCTOS2"/>
      <sheetName val="2_4_110"/>
      <sheetName val="2_4_265"/>
      <sheetName val="2_4_312"/>
      <sheetName val="2_4_412"/>
      <sheetName val="2_4_512"/>
      <sheetName val="2_4_612"/>
      <sheetName val="2_4_712"/>
      <sheetName val="2_4_812"/>
      <sheetName val="2_4_912"/>
      <sheetName val="2_4_102"/>
      <sheetName val="2_4_112"/>
      <sheetName val="2_4_1212"/>
      <sheetName val="2_4_1312"/>
      <sheetName val="2_4_1612"/>
      <sheetName val="2_4_1712"/>
      <sheetName val="2_4_1812"/>
      <sheetName val="2_4_1912"/>
      <sheetName val="2_4_2012"/>
      <sheetName val="2_4_2112"/>
      <sheetName val="2_4_2212"/>
      <sheetName val="2_4_2312"/>
      <sheetName val="2_4_2412"/>
      <sheetName val="2_4_2512"/>
      <sheetName val="2_4_266"/>
      <sheetName val="2_4_272"/>
      <sheetName val="2_4_282"/>
      <sheetName val="2_4_292"/>
      <sheetName val="2_4_302"/>
      <sheetName val="2_4_313"/>
      <sheetName val="2_4_322"/>
      <sheetName val="2_4_332"/>
      <sheetName val="2_4_342"/>
      <sheetName val="2_4_352"/>
      <sheetName val="2_4_362"/>
      <sheetName val="2_4_372"/>
      <sheetName val="2_4_382"/>
      <sheetName val="2_4_392"/>
      <sheetName val="2_4_402"/>
      <sheetName val="2_4_413"/>
      <sheetName val="2_4_422"/>
      <sheetName val="2_4_432"/>
      <sheetName val="2_4_442"/>
      <sheetName val="2_4_452"/>
      <sheetName val="2_4_462"/>
      <sheetName val="2_4_472"/>
      <sheetName val="2_4_482"/>
      <sheetName val="2_4_492"/>
      <sheetName val="2_4_502"/>
      <sheetName val="2_4_513"/>
      <sheetName val="2_4_522"/>
      <sheetName val="2_4_532"/>
      <sheetName val="2_4_542"/>
      <sheetName val="2_4_552"/>
      <sheetName val="2_4_562"/>
      <sheetName val="2_4_572"/>
      <sheetName val="2_4_582"/>
      <sheetName val="2_4_592"/>
      <sheetName val="2_4_602"/>
      <sheetName val="2_4_613"/>
      <sheetName val="2_4_622"/>
      <sheetName val="2_4_632"/>
      <sheetName val="2_4_642"/>
      <sheetName val="2_4_652"/>
      <sheetName val="2_4_662"/>
      <sheetName val="2_4_672"/>
      <sheetName val="2_4_682"/>
      <sheetName val="2_4_692"/>
      <sheetName val="2_4_702"/>
      <sheetName val="2_4_713"/>
      <sheetName val="2_4_722"/>
      <sheetName val="2_4_732"/>
      <sheetName val="2_4_742"/>
      <sheetName val="2_4_752"/>
      <sheetName val="2_4_762"/>
      <sheetName val="2_4_772"/>
      <sheetName val="2_4_782"/>
      <sheetName val="2_4_792"/>
      <sheetName val="2_4_802"/>
      <sheetName val="2_4_813"/>
      <sheetName val="2_4_822"/>
      <sheetName val="2_4_832"/>
      <sheetName val="2_4_842"/>
      <sheetName val="2_4_852"/>
      <sheetName val="2_4_862"/>
      <sheetName val="2_4_872"/>
      <sheetName val="2_4_882"/>
      <sheetName val="2_4_892"/>
      <sheetName val="2_4_902"/>
      <sheetName val="2_4_913"/>
      <sheetName val="2_4_922"/>
      <sheetName val="2_4_932"/>
      <sheetName val="2_4_942"/>
      <sheetName val="2_4_952"/>
      <sheetName val="2_4_962"/>
      <sheetName val="2_4_972"/>
      <sheetName val="2_4_982"/>
      <sheetName val="2_4_992"/>
      <sheetName val="2_4_1002"/>
      <sheetName val="2_4_1182"/>
      <sheetName val="2_4_1192"/>
      <sheetName val="2_2_492"/>
      <sheetName val="2_4_1202"/>
      <sheetName val="2_4_1213"/>
      <sheetName val="2_4_1222"/>
      <sheetName val="2_4_1232"/>
      <sheetName val="2_4_1242"/>
      <sheetName val="2_4_1252"/>
      <sheetName val="2_4_1262"/>
      <sheetName val="2_4_1272"/>
      <sheetName val="2_4_1282"/>
      <sheetName val="2_4_1292"/>
      <sheetName val="2_4_1302"/>
      <sheetName val="2_4_1313"/>
      <sheetName val="2_4_1322"/>
      <sheetName val="2_4_1332"/>
      <sheetName val="2_4_1342"/>
      <sheetName val="2_4_1352"/>
      <sheetName val="2_4_1362"/>
      <sheetName val="2_4_1372"/>
      <sheetName val="2_4_1382"/>
      <sheetName val="2_4_1392"/>
      <sheetName val="2_4_1402"/>
      <sheetName val="2_4_1412"/>
      <sheetName val="2_4_1422"/>
      <sheetName val="2_4_1432"/>
      <sheetName val="2_4_1442"/>
      <sheetName val="2_4_1452"/>
      <sheetName val="2_4_1462"/>
      <sheetName val="2_4_1472"/>
      <sheetName val="2_4_1482"/>
      <sheetName val="2_4_1492"/>
      <sheetName val="2_4_1502"/>
      <sheetName val="2_4_1512"/>
      <sheetName val="2_4_1522"/>
      <sheetName val="2_4_1532"/>
      <sheetName val="2_4_1542"/>
      <sheetName val="2_4_1552"/>
      <sheetName val="2_4_1562"/>
      <sheetName val="2_4_1572"/>
      <sheetName val="2_4_1582"/>
      <sheetName val="2_4_1592"/>
      <sheetName val="2_4_1602"/>
      <sheetName val="2_4_1613"/>
      <sheetName val="2_4_1622"/>
      <sheetName val="2_4_1632"/>
      <sheetName val="2_4_1642"/>
      <sheetName val="2_4_1652"/>
      <sheetName val="2_4_1662"/>
      <sheetName val="2_4_1672"/>
      <sheetName val="2_4_1682"/>
      <sheetName val="2_4_1692"/>
      <sheetName val="2_4_169A2"/>
      <sheetName val="2_4_1702"/>
      <sheetName val="2_4_1713"/>
      <sheetName val="2_4_1722"/>
      <sheetName val="2_4_172A2"/>
      <sheetName val="2_4_1732"/>
      <sheetName val="2_4_1742"/>
      <sheetName val="2_4_1752"/>
      <sheetName val="2_4_1772"/>
      <sheetName val="2_4_1782"/>
      <sheetName val="2_4_1813"/>
      <sheetName val="2_4_1822"/>
      <sheetName val="2_4_1832"/>
      <sheetName val="2_4_1842"/>
      <sheetName val="2_4_1852"/>
      <sheetName val="2_4_1862"/>
      <sheetName val="2_4_1872"/>
      <sheetName val="2_4_1882"/>
      <sheetName val="2_4_1762"/>
      <sheetName val="2_4_1792"/>
      <sheetName val="2_4_1802"/>
      <sheetName val="2_4_1892"/>
      <sheetName val="2_4_1902"/>
      <sheetName val="2_4_1913"/>
      <sheetName val="2_4_1922"/>
      <sheetName val="2_4_1932"/>
      <sheetName val="2_4_1942"/>
      <sheetName val="2_4_1952"/>
      <sheetName val="2_4_1962"/>
      <sheetName val="2_4_1972"/>
      <sheetName val="2_4_1982"/>
      <sheetName val="2_4_1992"/>
      <sheetName val="2_4_2002"/>
      <sheetName val="2_4_2013"/>
      <sheetName val="2_4_2022"/>
      <sheetName val="2_4_2032"/>
      <sheetName val="2_4_2042"/>
      <sheetName val="2_4_2052"/>
      <sheetName val="2_4_2062"/>
      <sheetName val="2_4_2072"/>
      <sheetName val="2_4_2082"/>
      <sheetName val="2_4_2092"/>
      <sheetName val="2_4_2102"/>
      <sheetName val="2_4_2113"/>
      <sheetName val="2_4_2122"/>
      <sheetName val="2_4_2132"/>
      <sheetName val="2_4_2142"/>
      <sheetName val="2_4_2152"/>
      <sheetName val="2_4_2162"/>
      <sheetName val="2_4_2172"/>
      <sheetName val="2_4_2182"/>
      <sheetName val="2_4_2192"/>
      <sheetName val="2_4_2202"/>
      <sheetName val="2_4_2213"/>
      <sheetName val="2_4_2222"/>
      <sheetName val="2_4_2232"/>
      <sheetName val="2_4_2242"/>
      <sheetName val="2_4_2252"/>
      <sheetName val="2_4_2262"/>
      <sheetName val="2_4_2272"/>
      <sheetName val="2_4_2282"/>
      <sheetName val="2_4_2292"/>
      <sheetName val="2_4_2302"/>
      <sheetName val="2_4_2313"/>
      <sheetName val="2_4_2322"/>
      <sheetName val="2_4_2332"/>
      <sheetName val="2_4_2342"/>
      <sheetName val="2_4_2352"/>
      <sheetName val="2_4_2362"/>
      <sheetName val="2_4_2372"/>
      <sheetName val="2_4_2382"/>
      <sheetName val="2_4_2392"/>
      <sheetName val="2_4_2402"/>
      <sheetName val="2_4_2413"/>
      <sheetName val="2_4_2422"/>
      <sheetName val="2_4_2432"/>
      <sheetName val="2_4_2442"/>
      <sheetName val="2_4_2452"/>
      <sheetName val="2_4_2462"/>
      <sheetName val="2_4_2472"/>
      <sheetName val="2_4_2482"/>
      <sheetName val="2_4_2492"/>
      <sheetName val="2_4_2502"/>
      <sheetName val="2_4_2513"/>
      <sheetName val="2_4_2522"/>
      <sheetName val="2_4_2532"/>
      <sheetName val="2_4_2542"/>
      <sheetName val="2_4_2552"/>
      <sheetName val="2_4_2562"/>
      <sheetName val="2_4_2572"/>
      <sheetName val="2_4_2582"/>
      <sheetName val="2_4_258A2"/>
      <sheetName val="2_4_2592"/>
      <sheetName val="2_4_2602"/>
      <sheetName val="2_4_2612"/>
      <sheetName val="2_4_2622"/>
      <sheetName val="2_5_112"/>
      <sheetName val="2_5_212"/>
      <sheetName val="2_5_312"/>
      <sheetName val="2_5_410"/>
      <sheetName val="2_5_52"/>
      <sheetName val="2_5_62"/>
      <sheetName val="2_5_72"/>
      <sheetName val="2_5_82"/>
      <sheetName val="2_5_92"/>
      <sheetName val="2_5_102"/>
      <sheetName val="2_5_113"/>
      <sheetName val="2_5_122"/>
      <sheetName val="2_5_132"/>
      <sheetName val="2_5_142"/>
      <sheetName val="2_5_152"/>
      <sheetName val="2_5_162"/>
      <sheetName val="2_5_172"/>
      <sheetName val="2_5_182"/>
      <sheetName val="2_5_192"/>
      <sheetName val="2_5_202"/>
      <sheetName val="2_5_213"/>
      <sheetName val="2_5_222"/>
      <sheetName val="2_5_232"/>
      <sheetName val="2_5_242"/>
      <sheetName val="2_5_252"/>
      <sheetName val="2_5_262"/>
      <sheetName val="2_5_272"/>
      <sheetName val="2_5_282"/>
      <sheetName val="2_5_292"/>
      <sheetName val="2_5_302"/>
      <sheetName val="2_5_313"/>
      <sheetName val="2_5_322"/>
      <sheetName val="2_5_332"/>
      <sheetName val="2_5_342"/>
      <sheetName val="2_5_352"/>
      <sheetName val="2_5_362"/>
      <sheetName val="2_5_372"/>
      <sheetName val="2_5_382"/>
      <sheetName val="2_5_392"/>
      <sheetName val="2_5_402"/>
      <sheetName val="2_5_412"/>
      <sheetName val="2_5_422"/>
      <sheetName val="2_5_432"/>
      <sheetName val="2_5_442"/>
      <sheetName val="2_5_452"/>
      <sheetName val="2_5_462"/>
      <sheetName val="2_5_472"/>
      <sheetName val="2_5_482"/>
      <sheetName val="2_6_112"/>
      <sheetName val="2_6_212"/>
      <sheetName val="2_6_312"/>
      <sheetName val="2_6_412"/>
      <sheetName val="2_6_56"/>
      <sheetName val="2_6_62"/>
      <sheetName val="2_6_72"/>
      <sheetName val="2_6_82"/>
      <sheetName val="2_6_92"/>
      <sheetName val="2_6_102"/>
      <sheetName val="2_6_113"/>
      <sheetName val="2_6_122"/>
      <sheetName val="2_6_132"/>
      <sheetName val="2_6_142"/>
      <sheetName val="2_6_152"/>
      <sheetName val="2_6_162"/>
      <sheetName val="2_6_172"/>
      <sheetName val="2_6_182"/>
      <sheetName val="2_6_192"/>
      <sheetName val="2_6_202"/>
      <sheetName val="2_6_213"/>
      <sheetName val="2_6_222"/>
      <sheetName val="2_6_232"/>
      <sheetName val="2_6_242"/>
      <sheetName val="2_6_252"/>
      <sheetName val="2_6_262"/>
      <sheetName val="2_6_272"/>
      <sheetName val="2_6_282"/>
      <sheetName val="2_6_292"/>
      <sheetName val="2_6_302"/>
      <sheetName val="2_6_313"/>
      <sheetName val="2_6_322"/>
      <sheetName val="2_6_332"/>
      <sheetName val="2_6_342"/>
      <sheetName val="2_6_352"/>
      <sheetName val="2_6_362"/>
      <sheetName val="2_6_372"/>
      <sheetName val="2_6_382"/>
      <sheetName val="2_6_392"/>
      <sheetName val="2_6_402"/>
      <sheetName val="2_6_413"/>
      <sheetName val="2_6_422"/>
      <sheetName val="2_6_432"/>
      <sheetName val="2_6_442"/>
      <sheetName val="2_6_452"/>
      <sheetName val="2_6_462"/>
      <sheetName val="2_6_472"/>
      <sheetName val="2_6_482"/>
      <sheetName val="2_6_492"/>
      <sheetName val="2_6_502"/>
      <sheetName val="2_6_512"/>
      <sheetName val="2_6_522"/>
      <sheetName val="2_6_532"/>
      <sheetName val="2_6_542"/>
      <sheetName val="2_7_13"/>
      <sheetName val="2_7_22"/>
      <sheetName val="2_7_32"/>
      <sheetName val="2_7_42"/>
      <sheetName val="2_7_52"/>
      <sheetName val="2_7_62"/>
      <sheetName val="2_7_72"/>
      <sheetName val="2_7_82"/>
      <sheetName val="2_7_92"/>
      <sheetName val="2_7_102"/>
      <sheetName val="2_7_112"/>
      <sheetName val="2_8_12"/>
      <sheetName val="2_8_22"/>
      <sheetName val="2_8_32"/>
      <sheetName val="2_9_12"/>
      <sheetName val="2_9_22"/>
      <sheetName val="2_9_32"/>
      <sheetName val="2_10_12"/>
      <sheetName val="2_10_22"/>
      <sheetName val="2_10_32"/>
      <sheetName val="2_10_42"/>
      <sheetName val="2_11_12"/>
      <sheetName val="2_11_22"/>
      <sheetName val="2_11_32"/>
      <sheetName val="2_11_42"/>
      <sheetName val="2_12_12"/>
      <sheetName val="3_1_82"/>
      <sheetName val="3_1_132"/>
      <sheetName val="3_3_12"/>
      <sheetName val="3_3_72"/>
      <sheetName val="3_3_252"/>
      <sheetName val="3_15_432"/>
      <sheetName val="6_3_22"/>
      <sheetName val="6_2_12"/>
      <sheetName val="6_4_2_223"/>
      <sheetName val="6_4_2_312"/>
      <sheetName val="6_4_2_47"/>
      <sheetName val="6_4_2_510"/>
      <sheetName val="6_4_2_610"/>
      <sheetName val="6_4_2_710"/>
      <sheetName val="6_4_2_812"/>
      <sheetName val="6_4_2_912"/>
      <sheetName val="6_4_2_104"/>
      <sheetName val="6_4_2_112"/>
      <sheetName val="6_4_2_1212"/>
      <sheetName val="6_4_2_1312"/>
      <sheetName val="6_4_2_1412"/>
      <sheetName val="6_4_2_1512"/>
      <sheetName val="6_4_2_15A2"/>
      <sheetName val="6_4_2_1612"/>
      <sheetName val="6_4_2_1712"/>
      <sheetName val="6_4_2_1812"/>
      <sheetName val="6_4_2_1912"/>
      <sheetName val="6_4_2_2012"/>
      <sheetName val="6_4_2_2112"/>
      <sheetName val="6_4_2_224"/>
      <sheetName val="6_4_2_232"/>
      <sheetName val="6_4_2_242"/>
      <sheetName val="6_4_2_252"/>
      <sheetName val="6_4_2_262"/>
      <sheetName val="6_4_2_282"/>
      <sheetName val="6_4_2_292"/>
      <sheetName val="6_4_2_302"/>
      <sheetName val="6_4_2_313"/>
      <sheetName val="6_4_2_322"/>
      <sheetName val="6_4_2_332"/>
      <sheetName val="6_4_2_342"/>
      <sheetName val="6_4_2_352"/>
      <sheetName val="6_4_2_362"/>
      <sheetName val="6_4_2_372"/>
      <sheetName val="6_4_2_382"/>
      <sheetName val="6_4_2_392"/>
      <sheetName val="6_4_2_39A2"/>
      <sheetName val="6_4_2_402"/>
      <sheetName val="6_4_2_412"/>
      <sheetName val="6_4_2_432"/>
      <sheetName val="6_4_2_43A2"/>
      <sheetName val="6_4_2_442"/>
      <sheetName val="6_4_2_452"/>
      <sheetName val="6_4_2_462"/>
      <sheetName val="3_3_172"/>
      <sheetName val="3_3_182"/>
      <sheetName val="6_4_2_522"/>
      <sheetName val="6_4_2_532"/>
      <sheetName val="6_4_2_542"/>
      <sheetName val="6_4_2_552"/>
      <sheetName val="6_4_2_562"/>
      <sheetName val="6_4_2_572"/>
      <sheetName val="6_4_2_582"/>
      <sheetName val="6_4_2_592"/>
      <sheetName val="6_4_2_602"/>
      <sheetName val="6_4_2_612"/>
      <sheetName val="6_4_2_622"/>
      <sheetName val="6_4_2_632"/>
      <sheetName val="6_4_2_642"/>
      <sheetName val="6_4_2_652"/>
      <sheetName val="6_4_2_662"/>
      <sheetName val="6_4_2_672"/>
      <sheetName val="6_4_2_692"/>
      <sheetName val="6_4_2_702"/>
      <sheetName val="6_4_2_712"/>
      <sheetName val="6_4_2_722"/>
      <sheetName val="6_4_2_732"/>
      <sheetName val="6_4_2_742"/>
      <sheetName val="6_4_2_752"/>
      <sheetName val="6_4_2_762"/>
      <sheetName val="1_7_462"/>
      <sheetName val="6_4_2_782"/>
      <sheetName val="2_1_32A2"/>
      <sheetName val="2_1_32B2"/>
      <sheetName val="2_1_28A2"/>
      <sheetName val="6_4_2_792"/>
      <sheetName val="6_4_2_802"/>
      <sheetName val="6_4_2_813"/>
      <sheetName val="3_3_132"/>
      <sheetName val="6_4_2_822"/>
      <sheetName val="6_4_2_832"/>
      <sheetName val="6_4_2_842"/>
      <sheetName val="6_4_2_852"/>
      <sheetName val="6_4_2_862"/>
      <sheetName val="6_4_2_872"/>
      <sheetName val="6_4_2_882"/>
      <sheetName val="6_4_2_892"/>
      <sheetName val="3_3_52"/>
      <sheetName val="6_4_2_902"/>
      <sheetName val="6_4_2_913"/>
      <sheetName val="6_4_2_922"/>
      <sheetName val="6_4_2_932"/>
      <sheetName val="6_4_2_942"/>
      <sheetName val="3_3_32"/>
      <sheetName val="6_4_2_952"/>
      <sheetName val="6_4_2_95A2"/>
      <sheetName val="6_4_2_962"/>
      <sheetName val="3_1_12"/>
      <sheetName val="6_4_2_972"/>
      <sheetName val="6_4_2_982"/>
      <sheetName val="6_4_2_992"/>
      <sheetName val="6_4_2_1002"/>
      <sheetName val="2_4_1413"/>
      <sheetName val="6_4_2_1012"/>
      <sheetName val="3_5_22"/>
      <sheetName val="6_4_2_1022"/>
      <sheetName val="6_4_2_1052"/>
      <sheetName val="6_4_2_1062"/>
      <sheetName val="3_9_212"/>
      <sheetName val="6_4_2_1082"/>
      <sheetName val="3_15_422"/>
      <sheetName val="3_3_262"/>
      <sheetName val="3_15_872"/>
      <sheetName val="3_3_22"/>
      <sheetName val="1_12_542"/>
      <sheetName val="6_4_2_1142"/>
      <sheetName val="6_4_2_1152"/>
      <sheetName val="6_4_2_1162"/>
      <sheetName val="6_4_2_1172"/>
      <sheetName val="6_4_2_1182"/>
      <sheetName val="6_4_2_1192"/>
      <sheetName val="6_4_2_1202"/>
      <sheetName val="6_4_2_1213"/>
      <sheetName val="6_4_2_1222"/>
      <sheetName val="6_4_2_1232"/>
      <sheetName val="6_4_2_1242"/>
      <sheetName val="6_4_2_1252"/>
      <sheetName val="6_4_2_1262"/>
      <sheetName val="6_4_2_1272"/>
      <sheetName val="6_4_2_1282"/>
      <sheetName val="6_4_2_1292"/>
      <sheetName val="6_4_2_1302"/>
      <sheetName val="6_4_2_1313"/>
      <sheetName val="6_4_2_1322"/>
      <sheetName val="6_4_2_1332"/>
      <sheetName val="6_4_2_1342"/>
      <sheetName val="6_4_2_1352"/>
      <sheetName val="6_4_2_1362"/>
      <sheetName val="6_4_2_1372"/>
      <sheetName val="6_4_2_1382"/>
      <sheetName val="6_4_2_1392"/>
      <sheetName val="6_4_2_1402"/>
      <sheetName val="6_4_2_1413"/>
      <sheetName val="6_4_2_1422"/>
      <sheetName val="6_4_2_1432"/>
      <sheetName val="6_4_2_1442"/>
      <sheetName val="6_4_2_1452"/>
      <sheetName val="6_4_2_1462"/>
      <sheetName val="6_4_2_1472"/>
      <sheetName val="6_4_2_1482"/>
      <sheetName val="6_4_2_1492"/>
      <sheetName val="6_4_2_1502"/>
      <sheetName val="6_4_2_1513"/>
      <sheetName val="3_15_15A2"/>
      <sheetName val="6_2_42"/>
      <sheetName val="6_2_22"/>
      <sheetName val="13_1_12"/>
      <sheetName val="6_4_2_1522"/>
      <sheetName val="6_4_2_1532"/>
      <sheetName val="6_4_2_1542"/>
      <sheetName val="6_4_2_1552"/>
      <sheetName val="6_4_2_1562"/>
      <sheetName val="6_4_2_1572"/>
      <sheetName val="6_4_2_1582"/>
      <sheetName val="6_4_2_1592"/>
      <sheetName val="6_4_2_1602"/>
      <sheetName val="6_4_2_1613"/>
      <sheetName val="6_4_2_1622"/>
      <sheetName val="6_4_2_1632"/>
      <sheetName val="6_4_2_1642"/>
      <sheetName val="6_4_2_1652"/>
      <sheetName val="6_4_2_1662"/>
      <sheetName val="6_4_2_1672"/>
      <sheetName val="6_4_2_1682"/>
      <sheetName val="6_4_2_1692"/>
      <sheetName val="6_4_2_1702"/>
      <sheetName val="6_4_2_1713"/>
      <sheetName val="6_4_2_1722"/>
      <sheetName val="6_4_2_1732"/>
      <sheetName val="6_4_2_1742"/>
      <sheetName val="6_4_2_1752"/>
      <sheetName val="6_4_2_1762"/>
      <sheetName val="6_4_2_1772"/>
      <sheetName val="6_4_2_1782"/>
      <sheetName val="6_4_2_1792"/>
      <sheetName val="6_4_2_1802"/>
      <sheetName val="6_4_2_1813"/>
      <sheetName val="6_4_2_1822"/>
      <sheetName val="6_4_2_1832"/>
      <sheetName val="6_4_2_1842"/>
      <sheetName val="6_4_2_1852"/>
      <sheetName val="6_4_2_1862"/>
      <sheetName val="6_4_2_1872"/>
      <sheetName val="6_4_2_1882"/>
      <sheetName val="6_4_2_1892"/>
      <sheetName val="6_4_2_1902"/>
      <sheetName val="6_4_2_1913"/>
      <sheetName val="6_4_2_1922"/>
      <sheetName val="6_4_2_1932"/>
      <sheetName val="6_4_2_1942"/>
      <sheetName val="6_4_2_1952"/>
      <sheetName val="6_4_2_1962"/>
      <sheetName val="6_4_2_1972"/>
      <sheetName val="6_4_2_1982"/>
      <sheetName val="6_4_2_1992"/>
      <sheetName val="6_4_2_2002"/>
      <sheetName val="6_4_2_2013"/>
      <sheetName val="6_4_2_2022"/>
      <sheetName val="6_4_2_2032"/>
      <sheetName val="6_4_2_2042"/>
      <sheetName val="6_4_2_2052"/>
      <sheetName val="6_4_2_2062"/>
      <sheetName val="6_4_2_2072"/>
      <sheetName val="6_4_2_2082"/>
      <sheetName val="6_4_2_2092"/>
      <sheetName val="6_4_2_2102"/>
      <sheetName val="6_4_2_2113"/>
      <sheetName val="6_4_2_2122"/>
      <sheetName val="6_4_2_2132"/>
      <sheetName val="6_4_2_2142"/>
      <sheetName val="6_4_2_2152"/>
      <sheetName val="6_4_2_2162"/>
      <sheetName val="6_4_2_2172"/>
      <sheetName val="6_4_2_2182"/>
      <sheetName val="6_4_2_2192"/>
      <sheetName val="6_4_2_2202"/>
      <sheetName val="6_4_2_2212"/>
      <sheetName val="3_17_32"/>
      <sheetName val="3_17_10A2"/>
      <sheetName val="3_17_10B2"/>
      <sheetName val="3_11_22"/>
      <sheetName val="3_5_12"/>
      <sheetName val="3_3_42"/>
      <sheetName val="Lista_Base3"/>
      <sheetName val="1_1_113"/>
      <sheetName val="1_1_23"/>
      <sheetName val="1_1_77"/>
      <sheetName val="1_1_89"/>
      <sheetName val="1_1_93"/>
      <sheetName val="1_1_114"/>
      <sheetName val="1_1_123"/>
      <sheetName val="1_1_12A3"/>
      <sheetName val="1_1_133"/>
      <sheetName val="1_1_143"/>
      <sheetName val="1_1_153"/>
      <sheetName val="1_1_163"/>
      <sheetName val="1_1_173"/>
      <sheetName val="1_1_183"/>
      <sheetName val="1_1_243"/>
      <sheetName val="1_1_253"/>
      <sheetName val="1_1_263"/>
      <sheetName val="1_1_273"/>
      <sheetName val="1_1_283"/>
      <sheetName val="1_1_293"/>
      <sheetName val="1_1_323"/>
      <sheetName val="1_1_333"/>
      <sheetName val="1_1_353"/>
      <sheetName val="1_1_363"/>
      <sheetName val="1_1_373"/>
      <sheetName val="1_1_403"/>
      <sheetName val="1_1_413"/>
      <sheetName val="1_1_423"/>
      <sheetName val="1_1_433"/>
      <sheetName val="1_1_443"/>
      <sheetName val="1_1_453"/>
      <sheetName val="1_1_463"/>
      <sheetName val="1_1_473"/>
      <sheetName val="1_1_483"/>
      <sheetName val="1_1_493"/>
      <sheetName val="1_1_503"/>
      <sheetName val="1_1_513"/>
      <sheetName val="1_1_523"/>
      <sheetName val="1_1_533"/>
      <sheetName val="1_1_543"/>
      <sheetName val="1_1_553"/>
      <sheetName val="1_1_583"/>
      <sheetName val="1_1_593"/>
      <sheetName val="1_1_603"/>
      <sheetName val="1_1_613"/>
      <sheetName val="1_1_623"/>
      <sheetName val="1_1_633"/>
      <sheetName val="1_1_643"/>
      <sheetName val="1_1_653"/>
      <sheetName val="1_1_663"/>
      <sheetName val="1_1_703"/>
      <sheetName val="1_1_713"/>
      <sheetName val="1_1_743"/>
      <sheetName val="1_1_753"/>
      <sheetName val="1_1_763"/>
      <sheetName val="1_1_783"/>
      <sheetName val="1_1_793"/>
      <sheetName val="1_1_803"/>
      <sheetName val="1_1_813"/>
      <sheetName val="1_1_823"/>
      <sheetName val="1_1_833"/>
      <sheetName val="1_1_83A3"/>
      <sheetName val="1_1_843"/>
      <sheetName val="1_1_853"/>
      <sheetName val="1_1_863"/>
      <sheetName val="1_2_114"/>
      <sheetName val="1_2_214"/>
      <sheetName val="1_2_314"/>
      <sheetName val="1_2_414"/>
      <sheetName val="1_2_514"/>
      <sheetName val="1_2_63"/>
      <sheetName val="1_2_73"/>
      <sheetName val="1_2_83"/>
      <sheetName val="1_2_93"/>
      <sheetName val="1_2_103"/>
      <sheetName val="1_2_115"/>
      <sheetName val="1_2_123"/>
      <sheetName val="1_2_133"/>
      <sheetName val="1_2_143"/>
      <sheetName val="1_2_153"/>
      <sheetName val="1_2_163"/>
      <sheetName val="1_2_173"/>
      <sheetName val="1_2_183"/>
      <sheetName val="1_2_193"/>
      <sheetName val="1_2_203"/>
      <sheetName val="1_2_215"/>
      <sheetName val="1_2_223"/>
      <sheetName val="1_2_233"/>
      <sheetName val="1_2_243"/>
      <sheetName val="1_2_253"/>
      <sheetName val="1_2_263"/>
      <sheetName val="1_2_273"/>
      <sheetName val="1_2_283"/>
      <sheetName val="1_2_293"/>
      <sheetName val="1_2_303"/>
      <sheetName val="1_2_315"/>
      <sheetName val="1_2_323"/>
      <sheetName val="1_2_333"/>
      <sheetName val="1_2_343"/>
      <sheetName val="1_2_353"/>
      <sheetName val="1_2_363"/>
      <sheetName val="1_2_373"/>
      <sheetName val="1_2_383"/>
      <sheetName val="1_2_393"/>
      <sheetName val="1_2_403"/>
      <sheetName val="1_2_415"/>
      <sheetName val="1_2_423"/>
      <sheetName val="1_2_433"/>
      <sheetName val="1_2_443"/>
      <sheetName val="1_2_453"/>
      <sheetName val="1_2_463"/>
      <sheetName val="1_2_473"/>
      <sheetName val="1_2_483"/>
      <sheetName val="1_2_493"/>
      <sheetName val="1_2_503"/>
      <sheetName val="1_2_515"/>
      <sheetName val="1_2_523"/>
      <sheetName val="1_2_533"/>
      <sheetName val="1_2_543"/>
      <sheetName val="1_2_553"/>
      <sheetName val="1_2_563"/>
      <sheetName val="1_2_573"/>
      <sheetName val="1_2_583"/>
      <sheetName val="1_2_593"/>
      <sheetName val="1_3_114"/>
      <sheetName val="1_3_28"/>
      <sheetName val="1_3_33"/>
      <sheetName val="1_3_43"/>
      <sheetName val="1_3_53"/>
      <sheetName val="1_3_63"/>
      <sheetName val="1_3_73"/>
      <sheetName val="1_3_83"/>
      <sheetName val="1_3_93"/>
      <sheetName val="1_3_103"/>
      <sheetName val="1_3_115"/>
      <sheetName val="1_3_123"/>
      <sheetName val="1_3_133"/>
      <sheetName val="1_3_143"/>
      <sheetName val="1_3_153"/>
      <sheetName val="1_3_163"/>
      <sheetName val="1_3_173"/>
      <sheetName val="1_3_183"/>
      <sheetName val="1_3_193"/>
      <sheetName val="1_3_203"/>
      <sheetName val="1_3_213"/>
      <sheetName val="1_3_223"/>
      <sheetName val="1_3_233"/>
      <sheetName val="1_3_243"/>
      <sheetName val="1_3_253"/>
      <sheetName val="1_4_43"/>
      <sheetName val="1_4_53"/>
      <sheetName val="1_4_63"/>
      <sheetName val="1_4_73"/>
      <sheetName val="1_4_83"/>
      <sheetName val="1_4_93"/>
      <sheetName val="1_4_103"/>
      <sheetName val="1_4_113"/>
      <sheetName val="1_4_123"/>
      <sheetName val="1_4_133"/>
      <sheetName val="1_4_143"/>
      <sheetName val="1_4_153"/>
      <sheetName val="1_4_163"/>
      <sheetName val="1_4_173"/>
      <sheetName val="1_4_183"/>
      <sheetName val="1_4_193"/>
      <sheetName val="1_4_203"/>
      <sheetName val="1_4_213"/>
      <sheetName val="1_4_223"/>
      <sheetName val="1_4_233"/>
      <sheetName val="1_4_243"/>
      <sheetName val="1_4_253"/>
      <sheetName val="1_4_263"/>
      <sheetName val="1_4_273"/>
      <sheetName val="1_4_283"/>
      <sheetName val="1_4_293"/>
      <sheetName val="1_4_303"/>
      <sheetName val="1_4_313"/>
      <sheetName val="1_4_323"/>
      <sheetName val="1_4_333"/>
      <sheetName val="1_4_343"/>
      <sheetName val="1_4_353"/>
      <sheetName val="1_4_363"/>
      <sheetName val="1_4_373"/>
      <sheetName val="1_4_383"/>
      <sheetName val="1_4_393"/>
      <sheetName val="1_5_113"/>
      <sheetName val="1_5_23"/>
      <sheetName val="1_5_33"/>
      <sheetName val="1_5_43"/>
      <sheetName val="1_5_53"/>
      <sheetName val="1_5_63"/>
      <sheetName val="1_5_73"/>
      <sheetName val="1_5_83"/>
      <sheetName val="1_5_93"/>
      <sheetName val="1_5_103"/>
      <sheetName val="1_5_114"/>
      <sheetName val="1_5_123"/>
      <sheetName val="1_5_133"/>
      <sheetName val="1_5_143"/>
      <sheetName val="1_5_153"/>
      <sheetName val="1_5_163"/>
      <sheetName val="1_5_173"/>
      <sheetName val="1_5_183"/>
      <sheetName val="1_6_114"/>
      <sheetName val="1_6_210"/>
      <sheetName val="1_6_314"/>
      <sheetName val="1_6_45"/>
      <sheetName val="1_6_53"/>
      <sheetName val="1_6_63"/>
      <sheetName val="1_6_73"/>
      <sheetName val="1_6_83"/>
      <sheetName val="1_6_93"/>
      <sheetName val="1_6_103"/>
      <sheetName val="1_6_115"/>
      <sheetName val="1_6_123"/>
      <sheetName val="1_6_133"/>
      <sheetName val="1_6_143"/>
      <sheetName val="1_6_153"/>
      <sheetName val="1_6_163"/>
      <sheetName val="1_6_173"/>
      <sheetName val="1_6_183"/>
      <sheetName val="1_6_193"/>
      <sheetName val="1_6_203"/>
      <sheetName val="1_6_213"/>
      <sheetName val="1_6_223"/>
      <sheetName val="1_6_233"/>
      <sheetName val="1_6_243"/>
      <sheetName val="1_6_253"/>
      <sheetName val="1_6_283"/>
      <sheetName val="1_6_293"/>
      <sheetName val="1_6_303"/>
      <sheetName val="1_6_315"/>
      <sheetName val="1_6_323"/>
      <sheetName val="1_6_333"/>
      <sheetName val="1_6_343"/>
      <sheetName val="1_6_353"/>
      <sheetName val="1_6_363"/>
      <sheetName val="1_6_373"/>
      <sheetName val="1_6_383"/>
      <sheetName val="1_6_393"/>
      <sheetName val="1_6_403"/>
      <sheetName val="1_6_413"/>
      <sheetName val="1_6_423"/>
      <sheetName val="1_9_114"/>
      <sheetName val="1_9_26"/>
      <sheetName val="1_9_33"/>
      <sheetName val="1_9_43"/>
      <sheetName val="1_9_53"/>
      <sheetName val="1_9_63"/>
      <sheetName val="1_9_73"/>
      <sheetName val="1_9_83"/>
      <sheetName val="1_9_93"/>
      <sheetName val="1_9_103"/>
      <sheetName val="1_9_115"/>
      <sheetName val="1_9_123"/>
      <sheetName val="1_9_133"/>
      <sheetName val="1_9_143"/>
      <sheetName val="1_9_153"/>
      <sheetName val="1_9_163"/>
      <sheetName val="1_9_173"/>
      <sheetName val="1_9_183"/>
      <sheetName val="1_9_193"/>
      <sheetName val="1_9_203"/>
      <sheetName val="1_9_213"/>
      <sheetName val="1_9_223"/>
      <sheetName val="1_9_233"/>
      <sheetName val="1_10_110"/>
      <sheetName val="1_10_25"/>
      <sheetName val="1_10_33"/>
      <sheetName val="1_10_43"/>
      <sheetName val="1_10_53"/>
      <sheetName val="1_10_63"/>
      <sheetName val="1_10_73"/>
      <sheetName val="1_10_83"/>
      <sheetName val="1_10_93"/>
      <sheetName val="1_10_103"/>
      <sheetName val="1_10_113"/>
      <sheetName val="1_10_143"/>
      <sheetName val="1_10_153"/>
      <sheetName val="1_10_163"/>
      <sheetName val="1_10_173"/>
      <sheetName val="1_10_183"/>
      <sheetName val="1_10_193"/>
      <sheetName val="1_10_203"/>
      <sheetName val="1_10_213"/>
      <sheetName val="1_10_223"/>
      <sheetName val="1_11_114"/>
      <sheetName val="1_11_214"/>
      <sheetName val="1_11_314"/>
      <sheetName val="1_11_48"/>
      <sheetName val="1_11_53"/>
      <sheetName val="1_11_63"/>
      <sheetName val="1_11_73"/>
      <sheetName val="1_11_83"/>
      <sheetName val="1_11_93"/>
      <sheetName val="1_11_103"/>
      <sheetName val="1_11_115"/>
      <sheetName val="1_11_123"/>
      <sheetName val="1_11_133"/>
      <sheetName val="1_11_143"/>
      <sheetName val="1_11_153"/>
      <sheetName val="1_11_163"/>
      <sheetName val="1_11_173"/>
      <sheetName val="1_11_183"/>
      <sheetName val="1_11_193"/>
      <sheetName val="1_11_203"/>
      <sheetName val="1_11_215"/>
      <sheetName val="1_11_223"/>
      <sheetName val="1_11_233"/>
      <sheetName val="1_11_243"/>
      <sheetName val="1_11_253"/>
      <sheetName val="1_11_263"/>
      <sheetName val="1_11_273"/>
      <sheetName val="1_11_283"/>
      <sheetName val="1_11_293"/>
      <sheetName val="1_11_303"/>
      <sheetName val="1_11_315"/>
      <sheetName val="1_11_323"/>
      <sheetName val="1_11_333"/>
      <sheetName val="1_11_343"/>
      <sheetName val="1_11_353"/>
      <sheetName val="1_11_363"/>
      <sheetName val="1_11_373"/>
      <sheetName val="1_11_383"/>
      <sheetName val="1_11_393"/>
      <sheetName val="1_11_403"/>
      <sheetName val="1_11_413"/>
      <sheetName val="1_11_423"/>
      <sheetName val="1_11_433"/>
      <sheetName val="1_11_443"/>
      <sheetName val="1_11_453"/>
      <sheetName val="1_12_CUBIERTAS3"/>
      <sheetName val="1_12_114"/>
      <sheetName val="1_12_214"/>
      <sheetName val="1_12_314"/>
      <sheetName val="1_12_414"/>
      <sheetName val="1_12_57"/>
      <sheetName val="1_12_63"/>
      <sheetName val="1_12_73"/>
      <sheetName val="1_12_83"/>
      <sheetName val="1_12_93"/>
      <sheetName val="1_12_103"/>
      <sheetName val="1_12_115"/>
      <sheetName val="1_12_123"/>
      <sheetName val="1_12_133"/>
      <sheetName val="1_12_143"/>
      <sheetName val="1_12_153"/>
      <sheetName val="1_12_163"/>
      <sheetName val="1_12_173"/>
      <sheetName val="1_12_183"/>
      <sheetName val="1_12_193"/>
      <sheetName val="1_12_203"/>
      <sheetName val="1_12_215"/>
      <sheetName val="1_12_223"/>
      <sheetName val="1_12_233"/>
      <sheetName val="1_12_243"/>
      <sheetName val="1_12_253"/>
      <sheetName val="1_12_263"/>
      <sheetName val="1_12_273"/>
      <sheetName val="1_12_283"/>
      <sheetName val="1_12_293"/>
      <sheetName val="1_12_303"/>
      <sheetName val="1_12_315"/>
      <sheetName val="1_12_323"/>
      <sheetName val="1_12_333"/>
      <sheetName val="1_12_343"/>
      <sheetName val="1_12_353"/>
      <sheetName val="1_12_363"/>
      <sheetName val="1_12_373"/>
      <sheetName val="1_12_383"/>
      <sheetName val="1_12_393"/>
      <sheetName val="1_12_403"/>
      <sheetName val="1_12_415"/>
      <sheetName val="1_12_423"/>
      <sheetName val="1_12_433"/>
      <sheetName val="1_12_443"/>
      <sheetName val="1_12_453"/>
      <sheetName val="1_12_463"/>
      <sheetName val="1_12_473"/>
      <sheetName val="1_12_483"/>
      <sheetName val="1_12_493"/>
      <sheetName val="1_12_503"/>
      <sheetName val="1_12_513"/>
      <sheetName val="1_12_523"/>
      <sheetName val="1_12_533"/>
      <sheetName val="1_12_583"/>
      <sheetName val="1_15_CARPINTERIA_METALICA3"/>
      <sheetName val="1_15_19"/>
      <sheetName val="1_15_23"/>
      <sheetName val="1_15_33"/>
      <sheetName val="1_15_43"/>
      <sheetName val="1_15_53"/>
      <sheetName val="1_15_63"/>
      <sheetName val="1_15_73"/>
      <sheetName val="1_15_83"/>
      <sheetName val="1_15_93"/>
      <sheetName val="1_15_103"/>
      <sheetName val="1_15_113"/>
      <sheetName val="1_15_123"/>
      <sheetName val="1_15_133"/>
      <sheetName val="1_15_143"/>
      <sheetName val="1_15_153"/>
      <sheetName val="1_15_163"/>
      <sheetName val="1_16_APARATOS_SANITARIOS3"/>
      <sheetName val="1_16_19"/>
      <sheetName val="1_16_23"/>
      <sheetName val="1_16_33"/>
      <sheetName val="1_16_43"/>
      <sheetName val="1_16_53"/>
      <sheetName val="1_16_63"/>
      <sheetName val="1_16_73"/>
      <sheetName val="1_16_83"/>
      <sheetName val="1_16_93"/>
      <sheetName val="1_16_103"/>
      <sheetName val="1_16_113"/>
      <sheetName val="1_16_123"/>
      <sheetName val="1_16_133"/>
      <sheetName val="1_16_143"/>
      <sheetName val="1_16_153"/>
      <sheetName val="1_16_163"/>
      <sheetName val="1_17_VIDRIOS_Y_CERRADURAS3"/>
      <sheetName val="1_17_13"/>
      <sheetName val="1_17_23"/>
      <sheetName val="1_17_33"/>
      <sheetName val="1_17_43"/>
      <sheetName val="1_17_53"/>
      <sheetName val="1_17_63"/>
      <sheetName val="1_18_OBRAS_EXTERIORES3"/>
      <sheetName val="1_18_13"/>
      <sheetName val="1_18_23"/>
      <sheetName val="1_18_33"/>
      <sheetName val="1_18_43"/>
      <sheetName val="1_18_53"/>
      <sheetName val="1_18_63"/>
      <sheetName val="1_18_73"/>
      <sheetName val="1_18_83"/>
      <sheetName val="1_18_93"/>
      <sheetName val="1_18_103"/>
      <sheetName val="1_20_OTROS3"/>
      <sheetName val="1_20_14"/>
      <sheetName val="1_20_23"/>
      <sheetName val="1_20_33"/>
      <sheetName val="1_20_43"/>
      <sheetName val="1_20_53"/>
      <sheetName val="1_20_63"/>
      <sheetName val="1_20_73"/>
      <sheetName val="1_20_83"/>
      <sheetName val="1_20_93"/>
      <sheetName val="1_20_103"/>
      <sheetName val="1_20_113"/>
      <sheetName val="2_1_TUBERIA_PVC_-_ACUEDUCTO3"/>
      <sheetName val="2_1_114"/>
      <sheetName val="2_1_214"/>
      <sheetName val="2_1_314"/>
      <sheetName val="2_1_414"/>
      <sheetName val="2_1_55"/>
      <sheetName val="2_1_63"/>
      <sheetName val="2_1_73"/>
      <sheetName val="2_1_83"/>
      <sheetName val="2_1_93"/>
      <sheetName val="2_1_103"/>
      <sheetName val="2_1_115"/>
      <sheetName val="2_1_123"/>
      <sheetName val="2_1_133"/>
      <sheetName val="2_1_143"/>
      <sheetName val="2_1_153"/>
      <sheetName val="2_1_163"/>
      <sheetName val="2_1_173"/>
      <sheetName val="2_1_183"/>
      <sheetName val="2_1_193"/>
      <sheetName val="2_1_203"/>
      <sheetName val="2_1_215"/>
      <sheetName val="2_1_223"/>
      <sheetName val="2_1_233"/>
      <sheetName val="2_1_243"/>
      <sheetName val="2_1_253"/>
      <sheetName val="2_1_263"/>
      <sheetName val="2_1_273"/>
      <sheetName val="2_1_283"/>
      <sheetName val="2_1_293"/>
      <sheetName val="2_1_29A_3"/>
      <sheetName val="2_1_29B3"/>
      <sheetName val="2_1_303"/>
      <sheetName val="2_1_315"/>
      <sheetName val="2_1_323"/>
      <sheetName val="2_1_333"/>
      <sheetName val="2_1_33A3"/>
      <sheetName val="2_1_33B3"/>
      <sheetName val="2_1_343"/>
      <sheetName val="2_1_353"/>
      <sheetName val="2_1_363"/>
      <sheetName val="2_1_373"/>
      <sheetName val="2_1_383"/>
      <sheetName val="2_1_38A3"/>
      <sheetName val="2_1_38B3"/>
      <sheetName val="2_1_393"/>
      <sheetName val="2_1_403"/>
      <sheetName val="2_1_415"/>
      <sheetName val="2_1_423"/>
      <sheetName val="2_1_433"/>
      <sheetName val="2_1_443"/>
      <sheetName val="2_1_453"/>
      <sheetName val="2_1_463"/>
      <sheetName val="2_1_473"/>
      <sheetName val="2_1_483"/>
      <sheetName val="2_1_493"/>
      <sheetName val="2_1_503"/>
      <sheetName val="2_1_513"/>
      <sheetName val="2_1_523"/>
      <sheetName val="2_2_TUBERIA_POLIETILENO_PE_1003"/>
      <sheetName val="2_2_13"/>
      <sheetName val="2_2_23"/>
      <sheetName val="2_2_33"/>
      <sheetName val="2_2_43"/>
      <sheetName val="2_2_53"/>
      <sheetName val="2_2_63"/>
      <sheetName val="2_2_73"/>
      <sheetName val="2_2_83"/>
      <sheetName val="2_2_93"/>
      <sheetName val="2_2_103"/>
      <sheetName val="2_3_TUBERIA_HG_-_ACUEDUCTO3"/>
      <sheetName val="2_3_13"/>
      <sheetName val="2_3_23"/>
      <sheetName val="2_3_33"/>
      <sheetName val="2_3_43"/>
      <sheetName val="2_3_53"/>
      <sheetName val="2_3_63"/>
      <sheetName val="2_4_ACCESORIOS_DE_ACUEDUCTOS3"/>
      <sheetName val="2_4_113"/>
      <sheetName val="2_4_267"/>
      <sheetName val="2_4_314"/>
      <sheetName val="2_4_414"/>
      <sheetName val="2_4_514"/>
      <sheetName val="2_4_614"/>
      <sheetName val="2_4_714"/>
      <sheetName val="2_4_814"/>
      <sheetName val="2_4_914"/>
      <sheetName val="2_4_103"/>
      <sheetName val="2_4_114"/>
      <sheetName val="2_4_1214"/>
      <sheetName val="2_4_1314"/>
      <sheetName val="2_4_1614"/>
      <sheetName val="2_4_1714"/>
      <sheetName val="2_4_1814"/>
      <sheetName val="2_4_1914"/>
      <sheetName val="2_4_2014"/>
      <sheetName val="2_4_2114"/>
      <sheetName val="2_4_2214"/>
      <sheetName val="2_4_2314"/>
      <sheetName val="2_4_2414"/>
      <sheetName val="2_4_2514"/>
      <sheetName val="2_4_268"/>
      <sheetName val="2_4_273"/>
      <sheetName val="2_4_283"/>
      <sheetName val="2_4_293"/>
      <sheetName val="2_4_303"/>
      <sheetName val="2_4_315"/>
      <sheetName val="2_4_323"/>
      <sheetName val="2_4_333"/>
      <sheetName val="2_4_343"/>
      <sheetName val="2_4_353"/>
      <sheetName val="2_4_363"/>
      <sheetName val="2_4_373"/>
      <sheetName val="2_4_383"/>
      <sheetName val="2_4_393"/>
      <sheetName val="2_4_403"/>
      <sheetName val="2_4_415"/>
      <sheetName val="2_4_423"/>
      <sheetName val="2_4_433"/>
      <sheetName val="2_4_443"/>
      <sheetName val="2_4_453"/>
      <sheetName val="2_4_463"/>
      <sheetName val="2_4_473"/>
      <sheetName val="2_4_483"/>
      <sheetName val="2_4_493"/>
      <sheetName val="2_4_503"/>
      <sheetName val="2_4_515"/>
      <sheetName val="2_4_523"/>
      <sheetName val="2_4_533"/>
      <sheetName val="2_4_543"/>
      <sheetName val="2_4_553"/>
      <sheetName val="2_4_563"/>
      <sheetName val="2_4_573"/>
      <sheetName val="2_4_583"/>
      <sheetName val="2_4_593"/>
      <sheetName val="2_4_603"/>
      <sheetName val="2_4_615"/>
      <sheetName val="2_4_623"/>
      <sheetName val="2_4_633"/>
      <sheetName val="2_4_643"/>
      <sheetName val="2_4_653"/>
      <sheetName val="2_4_663"/>
      <sheetName val="2_4_673"/>
      <sheetName val="2_4_683"/>
      <sheetName val="2_4_693"/>
      <sheetName val="2_4_703"/>
      <sheetName val="2_4_715"/>
      <sheetName val="2_4_723"/>
      <sheetName val="2_4_733"/>
      <sheetName val="2_4_743"/>
      <sheetName val="2_4_753"/>
      <sheetName val="2_4_763"/>
      <sheetName val="2_4_773"/>
      <sheetName val="2_4_783"/>
      <sheetName val="2_4_793"/>
      <sheetName val="2_4_803"/>
      <sheetName val="2_4_815"/>
      <sheetName val="2_4_823"/>
      <sheetName val="2_4_833"/>
      <sheetName val="2_4_843"/>
      <sheetName val="2_4_853"/>
      <sheetName val="2_4_863"/>
      <sheetName val="2_4_873"/>
      <sheetName val="2_4_883"/>
      <sheetName val="2_4_893"/>
      <sheetName val="2_4_903"/>
      <sheetName val="2_4_915"/>
      <sheetName val="2_4_923"/>
      <sheetName val="2_4_933"/>
      <sheetName val="2_4_943"/>
      <sheetName val="2_4_953"/>
      <sheetName val="2_4_963"/>
      <sheetName val="2_4_973"/>
      <sheetName val="2_4_983"/>
      <sheetName val="2_4_993"/>
      <sheetName val="2_4_1003"/>
      <sheetName val="2_4_1183"/>
      <sheetName val="2_4_1193"/>
      <sheetName val="2_2_493"/>
      <sheetName val="2_4_1203"/>
      <sheetName val="2_4_1215"/>
      <sheetName val="2_4_1223"/>
      <sheetName val="2_4_1233"/>
      <sheetName val="2_4_1243"/>
      <sheetName val="2_4_1253"/>
      <sheetName val="2_4_1263"/>
      <sheetName val="2_4_1273"/>
      <sheetName val="2_4_1283"/>
      <sheetName val="2_4_1293"/>
      <sheetName val="2_4_1303"/>
      <sheetName val="2_4_1315"/>
      <sheetName val="2_4_1323"/>
      <sheetName val="2_4_1333"/>
      <sheetName val="2_4_1343"/>
      <sheetName val="2_4_1353"/>
      <sheetName val="2_4_1363"/>
      <sheetName val="2_4_1373"/>
      <sheetName val="2_4_1383"/>
      <sheetName val="2_4_1393"/>
      <sheetName val="2_4_1403"/>
      <sheetName val="2_4_1414"/>
      <sheetName val="2_4_1423"/>
      <sheetName val="2_4_1433"/>
      <sheetName val="2_4_1443"/>
      <sheetName val="2_4_1453"/>
      <sheetName val="2_4_1463"/>
      <sheetName val="2_4_1473"/>
      <sheetName val="2_4_1483"/>
      <sheetName val="2_4_1493"/>
      <sheetName val="2_4_1503"/>
      <sheetName val="2_4_1513"/>
      <sheetName val="2_4_1523"/>
      <sheetName val="2_4_1533"/>
      <sheetName val="2_4_1543"/>
      <sheetName val="2_4_1553"/>
      <sheetName val="2_4_1563"/>
      <sheetName val="2_4_1573"/>
      <sheetName val="2_4_1583"/>
      <sheetName val="2_4_1593"/>
      <sheetName val="2_4_1603"/>
      <sheetName val="2_4_1615"/>
      <sheetName val="2_4_1623"/>
      <sheetName val="2_4_1633"/>
      <sheetName val="2_4_1643"/>
      <sheetName val="2_4_1653"/>
      <sheetName val="2_4_1663"/>
      <sheetName val="2_4_1673"/>
      <sheetName val="2_4_1683"/>
      <sheetName val="2_4_1693"/>
      <sheetName val="2_4_169A3"/>
      <sheetName val="2_4_1703"/>
      <sheetName val="2_4_1715"/>
      <sheetName val="2_4_1723"/>
      <sheetName val="2_4_172A3"/>
      <sheetName val="2_4_1733"/>
      <sheetName val="2_4_1743"/>
      <sheetName val="2_4_1753"/>
      <sheetName val="2_4_1773"/>
      <sheetName val="2_4_1783"/>
      <sheetName val="2_4_1815"/>
      <sheetName val="2_4_1823"/>
      <sheetName val="2_4_1833"/>
      <sheetName val="2_4_1843"/>
      <sheetName val="2_4_1853"/>
      <sheetName val="2_4_1863"/>
      <sheetName val="2_4_1873"/>
      <sheetName val="2_4_1883"/>
      <sheetName val="2_4_1763"/>
      <sheetName val="2_4_1793"/>
      <sheetName val="2_4_1803"/>
      <sheetName val="2_4_1893"/>
      <sheetName val="2_4_1903"/>
      <sheetName val="2_4_1915"/>
      <sheetName val="2_4_1923"/>
      <sheetName val="2_4_1933"/>
      <sheetName val="2_4_1943"/>
      <sheetName val="2_4_1953"/>
      <sheetName val="2_4_1963"/>
      <sheetName val="2_4_1973"/>
      <sheetName val="2_4_1983"/>
      <sheetName val="2_4_1993"/>
      <sheetName val="2_4_2003"/>
      <sheetName val="2_4_2015"/>
      <sheetName val="2_4_2023"/>
      <sheetName val="2_4_2033"/>
      <sheetName val="2_4_2043"/>
      <sheetName val="2_4_2053"/>
      <sheetName val="2_4_2063"/>
      <sheetName val="2_4_2073"/>
      <sheetName val="2_4_2083"/>
      <sheetName val="2_4_2093"/>
      <sheetName val="2_4_2103"/>
      <sheetName val="2_4_2115"/>
      <sheetName val="2_4_2123"/>
      <sheetName val="2_4_2133"/>
      <sheetName val="2_4_2143"/>
      <sheetName val="2_4_2153"/>
      <sheetName val="2_4_2163"/>
      <sheetName val="2_4_2173"/>
      <sheetName val="2_4_2183"/>
      <sheetName val="2_4_2193"/>
      <sheetName val="2_4_2203"/>
      <sheetName val="2_4_2215"/>
      <sheetName val="2_4_2223"/>
      <sheetName val="2_4_2233"/>
      <sheetName val="2_4_2243"/>
      <sheetName val="2_4_2253"/>
      <sheetName val="2_4_2263"/>
      <sheetName val="2_4_2273"/>
      <sheetName val="2_4_2283"/>
      <sheetName val="2_4_2293"/>
      <sheetName val="2_4_2303"/>
      <sheetName val="2_4_2315"/>
      <sheetName val="2_4_2323"/>
      <sheetName val="2_4_2333"/>
      <sheetName val="2_4_2343"/>
      <sheetName val="2_4_2353"/>
      <sheetName val="2_4_2363"/>
      <sheetName val="2_4_2373"/>
      <sheetName val="2_4_2383"/>
      <sheetName val="2_4_2393"/>
      <sheetName val="2_4_2403"/>
      <sheetName val="2_4_2415"/>
      <sheetName val="2_4_2423"/>
      <sheetName val="2_4_2433"/>
      <sheetName val="2_4_2443"/>
      <sheetName val="2_4_2453"/>
      <sheetName val="2_4_2463"/>
      <sheetName val="2_4_2473"/>
      <sheetName val="2_4_2483"/>
      <sheetName val="2_4_2493"/>
      <sheetName val="2_4_2503"/>
      <sheetName val="2_4_2515"/>
      <sheetName val="2_4_2523"/>
      <sheetName val="2_4_2533"/>
      <sheetName val="2_4_2543"/>
      <sheetName val="2_4_2553"/>
      <sheetName val="2_4_2563"/>
      <sheetName val="2_4_2573"/>
      <sheetName val="2_4_2583"/>
      <sheetName val="2_4_258A3"/>
      <sheetName val="2_4_2593"/>
      <sheetName val="2_4_2603"/>
      <sheetName val="2_4_2613"/>
      <sheetName val="2_4_2623"/>
      <sheetName val="2_5_114"/>
      <sheetName val="2_5_214"/>
      <sheetName val="2_5_314"/>
      <sheetName val="2_5_413"/>
      <sheetName val="2_5_53"/>
      <sheetName val="2_5_63"/>
      <sheetName val="2_5_73"/>
      <sheetName val="2_5_83"/>
      <sheetName val="2_5_93"/>
      <sheetName val="2_5_103"/>
      <sheetName val="2_5_115"/>
      <sheetName val="2_5_123"/>
      <sheetName val="2_5_133"/>
      <sheetName val="2_5_143"/>
      <sheetName val="2_5_153"/>
      <sheetName val="2_5_163"/>
      <sheetName val="2_5_173"/>
      <sheetName val="2_5_183"/>
      <sheetName val="2_5_193"/>
      <sheetName val="2_5_203"/>
      <sheetName val="2_5_215"/>
      <sheetName val="2_5_223"/>
      <sheetName val="2_5_233"/>
      <sheetName val="2_5_243"/>
      <sheetName val="2_5_253"/>
      <sheetName val="2_5_263"/>
      <sheetName val="2_5_273"/>
      <sheetName val="2_5_283"/>
      <sheetName val="2_5_293"/>
      <sheetName val="2_5_303"/>
      <sheetName val="2_5_315"/>
      <sheetName val="2_5_323"/>
      <sheetName val="2_5_333"/>
      <sheetName val="2_5_343"/>
      <sheetName val="2_5_353"/>
      <sheetName val="2_5_363"/>
      <sheetName val="2_5_373"/>
      <sheetName val="2_5_383"/>
      <sheetName val="2_5_393"/>
      <sheetName val="2_5_403"/>
      <sheetName val="2_5_414"/>
      <sheetName val="2_5_423"/>
      <sheetName val="2_5_433"/>
      <sheetName val="2_5_443"/>
      <sheetName val="2_5_453"/>
      <sheetName val="2_5_463"/>
      <sheetName val="2_5_473"/>
      <sheetName val="2_5_483"/>
      <sheetName val="2_6_114"/>
      <sheetName val="2_6_214"/>
      <sheetName val="2_6_314"/>
      <sheetName val="2_6_414"/>
      <sheetName val="2_6_57"/>
      <sheetName val="2_6_63"/>
      <sheetName val="2_6_73"/>
      <sheetName val="2_6_83"/>
      <sheetName val="2_6_93"/>
      <sheetName val="2_6_103"/>
      <sheetName val="2_6_115"/>
      <sheetName val="2_6_123"/>
      <sheetName val="2_6_133"/>
      <sheetName val="2_6_143"/>
      <sheetName val="2_6_153"/>
      <sheetName val="2_6_163"/>
      <sheetName val="2_6_173"/>
      <sheetName val="2_6_183"/>
      <sheetName val="2_6_193"/>
      <sheetName val="2_6_203"/>
      <sheetName val="2_6_215"/>
      <sheetName val="2_6_223"/>
      <sheetName val="2_6_233"/>
      <sheetName val="2_6_243"/>
      <sheetName val="2_6_253"/>
      <sheetName val="2_6_263"/>
      <sheetName val="2_6_273"/>
      <sheetName val="2_6_283"/>
      <sheetName val="2_6_293"/>
      <sheetName val="2_6_303"/>
      <sheetName val="2_6_315"/>
      <sheetName val="2_6_323"/>
      <sheetName val="2_6_333"/>
      <sheetName val="2_6_343"/>
      <sheetName val="2_6_353"/>
      <sheetName val="2_6_363"/>
      <sheetName val="2_6_373"/>
      <sheetName val="2_6_383"/>
      <sheetName val="2_6_393"/>
      <sheetName val="2_6_403"/>
      <sheetName val="2_6_415"/>
      <sheetName val="2_6_423"/>
      <sheetName val="2_6_433"/>
      <sheetName val="2_6_443"/>
      <sheetName val="2_6_453"/>
      <sheetName val="2_6_463"/>
      <sheetName val="2_6_473"/>
      <sheetName val="2_6_483"/>
      <sheetName val="2_6_493"/>
      <sheetName val="2_6_503"/>
      <sheetName val="2_6_513"/>
      <sheetName val="2_6_523"/>
      <sheetName val="2_6_533"/>
      <sheetName val="2_6_543"/>
      <sheetName val="2_7_14"/>
      <sheetName val="2_7_23"/>
      <sheetName val="2_7_33"/>
      <sheetName val="2_7_43"/>
      <sheetName val="2_7_53"/>
      <sheetName val="2_7_63"/>
      <sheetName val="2_7_73"/>
      <sheetName val="2_7_83"/>
      <sheetName val="2_7_93"/>
      <sheetName val="2_7_103"/>
      <sheetName val="2_7_113"/>
      <sheetName val="2_8_13"/>
      <sheetName val="2_8_23"/>
      <sheetName val="2_8_33"/>
      <sheetName val="2_9_13"/>
      <sheetName val="2_9_23"/>
      <sheetName val="2_9_33"/>
      <sheetName val="2_10_13"/>
      <sheetName val="2_10_23"/>
      <sheetName val="2_10_33"/>
      <sheetName val="2_10_43"/>
      <sheetName val="2_11_13"/>
      <sheetName val="2_11_23"/>
      <sheetName val="2_11_33"/>
      <sheetName val="2_11_43"/>
      <sheetName val="2_12_13"/>
      <sheetName val="3_1_83"/>
      <sheetName val="3_1_133"/>
      <sheetName val="3_3_14"/>
      <sheetName val="3_3_73"/>
      <sheetName val="3_3_253"/>
      <sheetName val="3_15_433"/>
      <sheetName val="6_3_23"/>
      <sheetName val="6_2_13"/>
      <sheetName val="6_4_2_225"/>
      <sheetName val="6_4_2_314"/>
      <sheetName val="6_4_2_48"/>
      <sheetName val="6_4_2_511"/>
      <sheetName val="6_4_2_613"/>
      <sheetName val="6_4_2_713"/>
      <sheetName val="6_4_2_814"/>
      <sheetName val="6_4_2_914"/>
      <sheetName val="6_4_2_107"/>
      <sheetName val="6_4_2_113"/>
      <sheetName val="6_4_2_1214"/>
      <sheetName val="6_4_2_1314"/>
      <sheetName val="6_4_2_1414"/>
      <sheetName val="6_4_2_1514"/>
      <sheetName val="6_4_2_15A3"/>
      <sheetName val="6_4_2_1614"/>
      <sheetName val="6_4_2_1714"/>
      <sheetName val="6_4_2_1814"/>
      <sheetName val="6_4_2_1914"/>
      <sheetName val="6_4_2_2014"/>
      <sheetName val="6_4_2_2114"/>
      <sheetName val="6_4_2_226"/>
      <sheetName val="6_4_2_233"/>
      <sheetName val="6_4_2_243"/>
      <sheetName val="6_4_2_253"/>
      <sheetName val="6_4_2_263"/>
      <sheetName val="6_4_2_283"/>
      <sheetName val="6_4_2_293"/>
      <sheetName val="6_4_2_303"/>
      <sheetName val="6_4_2_315"/>
      <sheetName val="6_4_2_323"/>
      <sheetName val="6_4_2_333"/>
      <sheetName val="6_4_2_343"/>
      <sheetName val="6_4_2_353"/>
      <sheetName val="6_4_2_363"/>
      <sheetName val="6_4_2_373"/>
      <sheetName val="6_4_2_383"/>
      <sheetName val="6_4_2_393"/>
      <sheetName val="6_4_2_39A3"/>
      <sheetName val="6_4_2_403"/>
      <sheetName val="6_4_2_413"/>
      <sheetName val="6_4_2_433"/>
      <sheetName val="6_4_2_43A3"/>
      <sheetName val="6_4_2_443"/>
      <sheetName val="6_4_2_453"/>
      <sheetName val="6_4_2_463"/>
      <sheetName val="3_3_173"/>
      <sheetName val="3_3_183"/>
      <sheetName val="6_4_2_523"/>
      <sheetName val="6_4_2_533"/>
      <sheetName val="6_4_2_543"/>
      <sheetName val="6_4_2_553"/>
      <sheetName val="6_4_2_563"/>
      <sheetName val="6_4_2_573"/>
      <sheetName val="6_4_2_583"/>
      <sheetName val="6_4_2_593"/>
      <sheetName val="6_4_2_603"/>
      <sheetName val="6_4_2_614"/>
      <sheetName val="6_4_2_623"/>
      <sheetName val="6_4_2_633"/>
      <sheetName val="6_4_2_643"/>
      <sheetName val="6_4_2_653"/>
      <sheetName val="6_4_2_663"/>
      <sheetName val="6_4_2_673"/>
      <sheetName val="6_4_2_693"/>
      <sheetName val="6_4_2_703"/>
      <sheetName val="6_4_2_714"/>
      <sheetName val="6_4_2_723"/>
      <sheetName val="6_4_2_733"/>
      <sheetName val="6_4_2_743"/>
      <sheetName val="6_4_2_753"/>
      <sheetName val="6_4_2_763"/>
      <sheetName val="1_7_463"/>
      <sheetName val="6_4_2_783"/>
      <sheetName val="2_1_32A3"/>
      <sheetName val="2_1_32B3"/>
      <sheetName val="2_1_28A3"/>
      <sheetName val="6_4_2_793"/>
      <sheetName val="6_4_2_803"/>
      <sheetName val="6_4_2_815"/>
      <sheetName val="3_3_133"/>
      <sheetName val="6_4_2_823"/>
      <sheetName val="6_4_2_833"/>
      <sheetName val="6_4_2_843"/>
      <sheetName val="6_4_2_853"/>
      <sheetName val="6_4_2_863"/>
      <sheetName val="6_4_2_873"/>
      <sheetName val="6_4_2_883"/>
      <sheetName val="6_4_2_893"/>
      <sheetName val="3_3_53"/>
      <sheetName val="6_4_2_903"/>
      <sheetName val="6_4_2_915"/>
      <sheetName val="6_4_2_923"/>
      <sheetName val="6_4_2_933"/>
      <sheetName val="6_4_2_943"/>
      <sheetName val="3_3_33"/>
      <sheetName val="6_4_2_953"/>
      <sheetName val="6_4_2_95A3"/>
      <sheetName val="6_4_2_963"/>
      <sheetName val="3_1_14"/>
      <sheetName val="6_4_2_973"/>
      <sheetName val="6_4_2_983"/>
      <sheetName val="6_4_2_993"/>
      <sheetName val="6_4_2_1003"/>
      <sheetName val="2_4_1415"/>
      <sheetName val="6_4_2_1013"/>
      <sheetName val="3_5_23"/>
      <sheetName val="6_4_2_1023"/>
      <sheetName val="6_4_2_1053"/>
      <sheetName val="6_4_2_1063"/>
      <sheetName val="3_9_213"/>
      <sheetName val="6_4_2_1083"/>
      <sheetName val="3_15_423"/>
      <sheetName val="3_3_263"/>
      <sheetName val="3_15_873"/>
      <sheetName val="3_3_23"/>
      <sheetName val="1_12_543"/>
      <sheetName val="6_4_2_1143"/>
      <sheetName val="6_4_2_1153"/>
      <sheetName val="6_4_2_1163"/>
      <sheetName val="6_4_2_1173"/>
      <sheetName val="6_4_2_1183"/>
      <sheetName val="6_4_2_1193"/>
      <sheetName val="6_4_2_1203"/>
      <sheetName val="6_4_2_1215"/>
      <sheetName val="6_4_2_1223"/>
      <sheetName val="6_4_2_1233"/>
      <sheetName val="6_4_2_1243"/>
      <sheetName val="6_4_2_1253"/>
      <sheetName val="6_4_2_1263"/>
      <sheetName val="6_4_2_1273"/>
      <sheetName val="6_4_2_1283"/>
      <sheetName val="6_4_2_1293"/>
      <sheetName val="6_4_2_1303"/>
      <sheetName val="6_4_2_1315"/>
      <sheetName val="6_4_2_1323"/>
      <sheetName val="6_4_2_1333"/>
      <sheetName val="6_4_2_1343"/>
      <sheetName val="6_4_2_1353"/>
      <sheetName val="6_4_2_1363"/>
      <sheetName val="6_4_2_1373"/>
      <sheetName val="6_4_2_1383"/>
      <sheetName val="6_4_2_1393"/>
      <sheetName val="6_4_2_1403"/>
      <sheetName val="6_4_2_1415"/>
      <sheetName val="6_4_2_1423"/>
      <sheetName val="6_4_2_1433"/>
      <sheetName val="6_4_2_1443"/>
      <sheetName val="6_4_2_1453"/>
      <sheetName val="6_4_2_1463"/>
      <sheetName val="6_4_2_1473"/>
      <sheetName val="6_4_2_1483"/>
      <sheetName val="6_4_2_1493"/>
      <sheetName val="6_4_2_1503"/>
      <sheetName val="6_4_2_1515"/>
      <sheetName val="3_15_15A3"/>
      <sheetName val="6_2_43"/>
      <sheetName val="6_2_23"/>
      <sheetName val="13_1_13"/>
      <sheetName val="6_4_2_1523"/>
      <sheetName val="6_4_2_1533"/>
      <sheetName val="6_4_2_1543"/>
      <sheetName val="6_4_2_1553"/>
      <sheetName val="6_4_2_1563"/>
      <sheetName val="6_4_2_1573"/>
      <sheetName val="6_4_2_1583"/>
      <sheetName val="6_4_2_1593"/>
      <sheetName val="6_4_2_1603"/>
      <sheetName val="6_4_2_1615"/>
      <sheetName val="6_4_2_1623"/>
      <sheetName val="6_4_2_1633"/>
      <sheetName val="6_4_2_1643"/>
      <sheetName val="6_4_2_1653"/>
      <sheetName val="6_4_2_1663"/>
      <sheetName val="6_4_2_1673"/>
      <sheetName val="6_4_2_1683"/>
      <sheetName val="6_4_2_1693"/>
      <sheetName val="6_4_2_1703"/>
      <sheetName val="6_4_2_1715"/>
      <sheetName val="6_4_2_1723"/>
      <sheetName val="6_4_2_1733"/>
      <sheetName val="6_4_2_1743"/>
      <sheetName val="6_4_2_1753"/>
      <sheetName val="6_4_2_1763"/>
      <sheetName val="6_4_2_1773"/>
      <sheetName val="6_4_2_1783"/>
      <sheetName val="6_4_2_1793"/>
      <sheetName val="6_4_2_1803"/>
      <sheetName val="6_4_2_1815"/>
      <sheetName val="6_4_2_1823"/>
      <sheetName val="6_4_2_1833"/>
      <sheetName val="6_4_2_1843"/>
      <sheetName val="6_4_2_1853"/>
      <sheetName val="6_4_2_1863"/>
      <sheetName val="6_4_2_1873"/>
      <sheetName val="6_4_2_1883"/>
      <sheetName val="6_4_2_1893"/>
      <sheetName val="6_4_2_1903"/>
      <sheetName val="6_4_2_1915"/>
      <sheetName val="6_4_2_1923"/>
      <sheetName val="6_4_2_1933"/>
      <sheetName val="6_4_2_1943"/>
      <sheetName val="6_4_2_1953"/>
      <sheetName val="6_4_2_1963"/>
      <sheetName val="6_4_2_1973"/>
      <sheetName val="6_4_2_1983"/>
      <sheetName val="6_4_2_1993"/>
      <sheetName val="6_4_2_2003"/>
      <sheetName val="6_4_2_2015"/>
      <sheetName val="6_4_2_2023"/>
      <sheetName val="6_4_2_2033"/>
      <sheetName val="6_4_2_2043"/>
      <sheetName val="6_4_2_2053"/>
      <sheetName val="6_4_2_2063"/>
      <sheetName val="6_4_2_2073"/>
      <sheetName val="6_4_2_2083"/>
      <sheetName val="6_4_2_2093"/>
      <sheetName val="6_4_2_2103"/>
      <sheetName val="6_4_2_2115"/>
      <sheetName val="6_4_2_2123"/>
      <sheetName val="6_4_2_2133"/>
      <sheetName val="6_4_2_2143"/>
      <sheetName val="6_4_2_2153"/>
      <sheetName val="6_4_2_2163"/>
      <sheetName val="6_4_2_2173"/>
      <sheetName val="6_4_2_2183"/>
      <sheetName val="6_4_2_2193"/>
      <sheetName val="6_4_2_2203"/>
      <sheetName val="6_4_2_2213"/>
      <sheetName val="3_17_33"/>
      <sheetName val="3_17_10A3"/>
      <sheetName val="3_17_10B3"/>
      <sheetName val="3_11_23"/>
      <sheetName val="3_5_13"/>
      <sheetName val="3_3_43"/>
      <sheetName val="1.1.62A"/>
      <sheetName val="1.2.29A"/>
      <sheetName val="1.2.29B"/>
      <sheetName val="1.2.30A"/>
      <sheetName val="1.2.30B"/>
      <sheetName val="1.2.31A"/>
      <sheetName val="1.2.31B"/>
      <sheetName val="1.2.32A"/>
      <sheetName val="1.2.32B"/>
      <sheetName val="1.2.33A"/>
      <sheetName val="1.2.33B"/>
      <sheetName val="1.2.34A"/>
      <sheetName val="1.2.34B"/>
      <sheetName val="1.2.35A"/>
      <sheetName val="1.2.35B"/>
      <sheetName val="1.2.36A"/>
      <sheetName val="1.2.36B"/>
      <sheetName val="2.1.37A"/>
      <sheetName val="2.1.39A"/>
      <sheetName val="2.1.39B"/>
      <sheetName val="2.1.45A"/>
      <sheetName val="2.1.45B"/>
      <sheetName val="2.2.2A"/>
      <sheetName val="2.2.2B"/>
      <sheetName val="2.4.104"/>
      <sheetName val="2.4.102"/>
      <sheetName val="2.5.6B"/>
      <sheetName val="2.5.6C"/>
      <sheetName val="2.5.6A"/>
      <sheetName val="2.5.6AA"/>
      <sheetName val="2.5.6AB"/>
      <sheetName val="2.5.7C"/>
      <sheetName val="2.5.7D"/>
      <sheetName val="2.5.7A"/>
      <sheetName val="2.5.7A1"/>
      <sheetName val="2.5.7A2"/>
      <sheetName val="2.5.44B"/>
      <sheetName val="2.5.45A"/>
      <sheetName val="2.5.45B"/>
      <sheetName val="2.5.45C"/>
      <sheetName val="2.5.45D"/>
      <sheetName val="3.1.13A"/>
      <sheetName val="3.3.1A"/>
      <sheetName val="6.4.2.55A"/>
      <sheetName val="6.4.2.55B"/>
      <sheetName val="6.4.2.153A"/>
      <sheetName val="6.4.2.153B"/>
      <sheetName val="6.4.2.176A"/>
      <sheetName val="6.4.2.197A"/>
      <sheetName val="6.4.2.197B"/>
      <sheetName val="6.4.2.198A"/>
      <sheetName val="6.4.2.198B"/>
      <sheetName val="3.17.10C"/>
      <sheetName val="3.2.3"/>
      <sheetName val="3.3.19A"/>
      <sheetName val="3.17.2"/>
      <sheetName val="3.15.45"/>
      <sheetName val="3.15.83"/>
      <sheetName val="3.8.4"/>
      <sheetName val="3.4.10A"/>
      <sheetName val="3.3.23"/>
      <sheetName val="3.7.1"/>
      <sheetName val="2.5.7B1"/>
      <sheetName val="2.5.7B2"/>
      <sheetName val="2.5.45D1"/>
      <sheetName val="2.5.45D2"/>
      <sheetName val="3.15.74"/>
      <sheetName val="3.15.78"/>
      <sheetName val="2.4.134A"/>
      <sheetName val="2.4.206A"/>
      <sheetName val="6.4.2.135A"/>
      <sheetName val="2.4.180A"/>
      <sheetName val="6.4.2.124A"/>
      <sheetName val="6.4.2.124B"/>
      <sheetName val="6.4.2.124C"/>
      <sheetName val="6.4.2.120A"/>
      <sheetName val="6.4.2.120B"/>
      <sheetName val="6.4.2.120C"/>
      <sheetName val="6.4.2.135B"/>
      <sheetName val="6.4.2.135C"/>
      <sheetName val="2.4.180B"/>
      <sheetName val="2.4.179A"/>
      <sheetName val="6.4.2.156A"/>
      <sheetName val="6.4.2.120D"/>
      <sheetName val="6.4.2.120E"/>
      <sheetName val="6.4.2.120F"/>
      <sheetName val="6.4.2.120G"/>
      <sheetName val="6.4.2.205A"/>
      <sheetName val="6.4.2.176B"/>
      <sheetName val="6.4.2.132A"/>
      <sheetName val="6.4.2.156B"/>
      <sheetName val="6.4.2.120H"/>
      <sheetName val="6.4.2.120I"/>
      <sheetName val="6.4.2.205B"/>
      <sheetName val="6.4.2.120J"/>
      <sheetName val="6.4.2.120K"/>
      <sheetName val="3.2.7"/>
      <sheetName val="6.4.2.214A"/>
      <sheetName val="2.6.43B"/>
      <sheetName val="6.4.2.206A"/>
      <sheetName val="6.4.2.207A"/>
      <sheetName val="6.4.2.208A"/>
      <sheetName val="6.4.2.209A"/>
      <sheetName val="6.4.2.210A"/>
      <sheetName val="6.4.2.211A"/>
      <sheetName val="6.4.2.212A"/>
      <sheetName val="6.4.2.213A"/>
      <sheetName val="6.4.2.214B"/>
      <sheetName val="6.4.2.215A"/>
      <sheetName val="6.4.2.215B"/>
      <sheetName val="6.4.2.215C"/>
      <sheetName val="6.4.2.215D"/>
      <sheetName val="1.11.20A"/>
      <sheetName val="Hoja6"/>
    </sheetNames>
    <sheetDataSet>
      <sheetData sheetId="0"/>
      <sheetData sheetId="1">
        <row r="3">
          <cell r="J3" t="str">
            <v>Pasamuro</v>
          </cell>
        </row>
      </sheetData>
      <sheetData sheetId="2">
        <row r="2">
          <cell r="B2" t="str">
            <v>AYUDANTE DE ALBAÑILERIA 1(A)</v>
          </cell>
        </row>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(Espesor:0,30 m)</v>
          </cell>
          <cell r="C334" t="str">
            <v>M3</v>
          </cell>
          <cell r="D334">
            <v>487650</v>
          </cell>
        </row>
        <row r="335">
          <cell r="A335" t="str">
            <v>6.4.2.30</v>
          </cell>
          <cell r="B335" t="str">
            <v>Para placa de fondo de cámara de admisión (Espesor:0,20 m)</v>
          </cell>
          <cell r="C335" t="str">
            <v>M3</v>
          </cell>
          <cell r="D335">
            <v>487650</v>
          </cell>
        </row>
        <row r="336">
          <cell r="A336" t="str">
            <v>6.4.2.31</v>
          </cell>
          <cell r="B336" t="str">
            <v>Para placa de fondo de cámara de desagüe (Espesor:0,30 m)</v>
          </cell>
          <cell r="C336" t="str">
            <v>M3</v>
          </cell>
          <cell r="D336">
            <v>487650</v>
          </cell>
        </row>
        <row r="337">
          <cell r="A337" t="str">
            <v>6.4.2.32</v>
          </cell>
          <cell r="B337" t="str">
            <v>Para muros verticales de espesadores de lodos!(Espesor: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distribuciónen espesadores (Espesor: 0,15 m)</v>
          </cell>
          <cell r="C340" t="str">
            <v>M3</v>
          </cell>
          <cell r="D340">
            <v>487650</v>
          </cell>
        </row>
        <row r="341">
          <cell r="A341" t="str">
            <v>6.4.2.36</v>
          </cell>
          <cell r="B341" t="str">
            <v>Para placa de cubierta en cámara de desagüe y:pasarela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salida para tomacorriente monofásica doble incluye aparato</v>
          </cell>
          <cell r="C366" t="str">
            <v>UN</v>
          </cell>
          <cell r="D366">
            <v>69444</v>
          </cell>
        </row>
        <row r="367">
          <cell r="A367" t="str">
            <v>6.4.2.63</v>
          </cell>
          <cell r="B367" t="str">
            <v>salida para tomacorriente monofásica doble incluye aparato</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Bombas dosificadoras de Diafragma Q = 29 gal/hor, presión máxima de descarga 15 psi, motor eléctrico trifásico, 220 V, 60 Hz, IP 55, cabezal en polipropileno reforzado con fibra de vidrio, diafragma en PTFE, asintos en PVC, sellos en viton, conexiones en 3/8".</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Bombas dosificadoras de Diafragma Q = 14 gal/hor, presión máxima de descarga 15 psi, motor eléctrico trifásico, 220 V, 60 Hz, IP 55, cabezal en polipropileno reforzado con fibra de vidrio, diafragma en PTFE, asintos en PVC, sellos en viton, conexiones en 3/8".</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v>0</v>
          </cell>
        </row>
        <row r="429">
          <cell r="A429" t="str">
            <v>2.4.184</v>
          </cell>
          <cell r="B429" t="str">
            <v>SUMINISTRO E INSTALACION TEE PVC UM D=2 x2 x2"</v>
          </cell>
          <cell r="C429" t="str">
            <v>UN</v>
          </cell>
          <cell r="D429">
            <v>0</v>
          </cell>
        </row>
        <row r="430">
          <cell r="A430" t="str">
            <v>6.4.2.98</v>
          </cell>
          <cell r="B430" t="str">
            <v>Suministro e instalación reducción de 6"x4"</v>
          </cell>
          <cell r="C430" t="str">
            <v>UN</v>
          </cell>
          <cell r="D430">
            <v>0</v>
          </cell>
        </row>
        <row r="431">
          <cell r="A431" t="str">
            <v>6.4.2.99</v>
          </cell>
          <cell r="B431" t="str">
            <v>Suministro e instalación reducción de 4"x3"</v>
          </cell>
          <cell r="C431" t="str">
            <v>UN</v>
          </cell>
          <cell r="D431">
            <v>0</v>
          </cell>
        </row>
        <row r="432">
          <cell r="A432" t="str">
            <v>6.4.2.100</v>
          </cell>
          <cell r="B432" t="str">
            <v>Suministro e instalación reducción de 4"x2"</v>
          </cell>
          <cell r="C432" t="str">
            <v>UN</v>
          </cell>
          <cell r="D432">
            <v>0</v>
          </cell>
        </row>
        <row r="433">
          <cell r="A433" t="str">
            <v xml:space="preserve">2.4.14  </v>
          </cell>
          <cell r="B433" t="str">
            <v xml:space="preserve"> CODO PVC GRAN RADIO 90° RDE 21   D =   4"</v>
          </cell>
          <cell r="C433" t="str">
            <v>UN</v>
          </cell>
          <cell r="D433">
            <v>0</v>
          </cell>
        </row>
        <row r="434">
          <cell r="A434" t="str">
            <v>6.4.2.101</v>
          </cell>
          <cell r="B434" t="str">
            <v>Conexiones domiciliarias (incluye collar de derivación, tubería PF+AUD, caja de anden, registro de incorporación, adaptador macho, registro de corte y tapa de registro</v>
          </cell>
          <cell r="C434" t="str">
            <v>UN</v>
          </cell>
          <cell r="D434">
            <v>0</v>
          </cell>
        </row>
        <row r="435">
          <cell r="A435" t="str">
            <v>3.5.2</v>
          </cell>
          <cell r="B435" t="str">
            <v>SUMINISTRO, EXTENDIDA Y COMPACTACIÓN DE MATERIAL GRANULAR (RECEBO) HASTA UN DIÁMETRO DE 5" Y UN ÍNDICE PLÁSTICO MENOR O IGUAL 9%  Y COMPACTO 95% PROCTOR  (**)</v>
          </cell>
          <cell r="C435" t="str">
            <v>M3</v>
          </cell>
          <cell r="D435">
            <v>0</v>
          </cell>
        </row>
        <row r="436">
          <cell r="A436" t="str">
            <v>2.1.18</v>
          </cell>
          <cell r="B436" t="str">
            <v>RELLENO SUBBASE GRANULAR  COMPACTADO CON PLANCHA VIBRADORA</v>
          </cell>
          <cell r="C436" t="str">
            <v>M3</v>
          </cell>
          <cell r="D436">
            <v>0</v>
          </cell>
        </row>
        <row r="437">
          <cell r="A437" t="str">
            <v>2.1.19</v>
          </cell>
          <cell r="B437" t="str">
            <v>RELLENO BASE GRANULAR  COMPACTADO CON PLANCHA VIBRADORA</v>
          </cell>
          <cell r="C437" t="str">
            <v>M3</v>
          </cell>
          <cell r="D437">
            <v>0</v>
          </cell>
        </row>
        <row r="438">
          <cell r="A438" t="str">
            <v>6.4.2.102</v>
          </cell>
          <cell r="B438" t="str">
            <v xml:space="preserve"> Suministro e instalación cinta prevención sobre tubería </v>
          </cell>
          <cell r="C438" t="str">
            <v>ML</v>
          </cell>
          <cell r="D438">
            <v>0</v>
          </cell>
        </row>
        <row r="439">
          <cell r="A439" t="str">
            <v>6.4.2.103</v>
          </cell>
          <cell r="B439" t="str">
            <v xml:space="preserve"> Reposición domiciliarias acueducto D=1/2" </v>
          </cell>
          <cell r="C439" t="str">
            <v>UN</v>
          </cell>
          <cell r="D439">
            <v>0</v>
          </cell>
        </row>
        <row r="440">
          <cell r="A440" t="str">
            <v>6.4.2.104</v>
          </cell>
          <cell r="B440" t="str">
            <v>Construcción de caja para válvula en mampostería de 0,60x0,60</v>
          </cell>
          <cell r="C440" t="str">
            <v>UN</v>
          </cell>
          <cell r="D440">
            <v>0</v>
          </cell>
        </row>
        <row r="441">
          <cell r="A441" t="str">
            <v>6.4.2.105</v>
          </cell>
          <cell r="B441" t="str">
            <v>Suministro e instalación válvula de 4" extremo liso para PVC</v>
          </cell>
          <cell r="C441" t="str">
            <v>UN</v>
          </cell>
          <cell r="D441">
            <v>0</v>
          </cell>
        </row>
        <row r="442">
          <cell r="A442" t="str">
            <v>6.4.2.106</v>
          </cell>
          <cell r="B442" t="str">
            <v>Suministro e instalación de hidrante de 3", incluye válvula de compuerta elástica, tee de 3", unión de reparación y concreto de anclaje</v>
          </cell>
          <cell r="C442" t="str">
            <v>UN</v>
          </cell>
          <cell r="D442">
            <v>0</v>
          </cell>
        </row>
        <row r="443">
          <cell r="A443" t="str">
            <v>6.4.2.107</v>
          </cell>
          <cell r="B443" t="str">
            <v xml:space="preserve"> Construcción de cárcamo </v>
          </cell>
          <cell r="C443" t="str">
            <v>ML</v>
          </cell>
          <cell r="D443">
            <v>0</v>
          </cell>
        </row>
        <row r="444">
          <cell r="A444" t="str">
            <v>3.9.21</v>
          </cell>
          <cell r="B444" t="str">
            <v>IMPRIMACION</v>
          </cell>
          <cell r="C444" t="str">
            <v>M2</v>
          </cell>
          <cell r="D444">
            <v>0</v>
          </cell>
        </row>
        <row r="445">
          <cell r="A445" t="str">
            <v>6.4.2.108</v>
          </cell>
          <cell r="B445" t="str">
            <v xml:space="preserve"> Base asfáltica MDC2 </v>
          </cell>
          <cell r="C445" t="str">
            <v>M3</v>
          </cell>
          <cell r="D445">
            <v>0</v>
          </cell>
        </row>
        <row r="446">
          <cell r="A446" t="str">
            <v>6.4.2.95A</v>
          </cell>
          <cell r="B446" t="str">
            <v>Suministro de tubería PEAD acuaflex PE 100/PN 10 de 200 mm</v>
          </cell>
          <cell r="C446" t="str">
            <v>ML</v>
          </cell>
          <cell r="D446">
            <v>0</v>
          </cell>
        </row>
        <row r="447">
          <cell r="A447" t="str">
            <v>1.1.76</v>
          </cell>
          <cell r="B447" t="str">
            <v>CAMPAMENTO 36 M2</v>
          </cell>
          <cell r="C447" t="str">
            <v>UN</v>
          </cell>
          <cell r="D447">
            <v>0</v>
          </cell>
        </row>
        <row r="448">
          <cell r="A448" t="str">
            <v>3.15.42</v>
          </cell>
          <cell r="B448" t="str">
            <v>DEMOLICION PAVIMENTO ASFALTICO (INCLUYE CARGUE Y TRANSPORTE HASTA 5 KM) &lt;=10 CMS</v>
          </cell>
          <cell r="C448" t="str">
            <v>M2</v>
          </cell>
          <cell r="D448">
            <v>0</v>
          </cell>
        </row>
        <row r="449">
          <cell r="A449" t="str">
            <v>1.1.42</v>
          </cell>
          <cell r="B449" t="str">
            <v>DEMOLICION PLACAS MACIZAS CONCRETO E &lt;=0.20 m. PAVIMENTO RIGIDO</v>
          </cell>
          <cell r="C449" t="str">
            <v>M2</v>
          </cell>
          <cell r="D449">
            <v>0</v>
          </cell>
        </row>
        <row r="450">
          <cell r="A450" t="str">
            <v>2.1.21</v>
          </cell>
          <cell r="B450" t="str">
            <v xml:space="preserve"> RELLENO ARENA DE PEÑA  COMPACTADO CON PLANCHA VIBRADORA</v>
          </cell>
          <cell r="C450" t="str">
            <v>M3</v>
          </cell>
          <cell r="D450">
            <v>0</v>
          </cell>
        </row>
        <row r="451">
          <cell r="A451" t="str">
            <v>3.3.26</v>
          </cell>
          <cell r="B451" t="str">
            <v xml:space="preserve">  RELLENO CON MATERIAL DE AFIRMADO COMPACTADO PLANCHA VIBRADORA INCLUYE ACARREO LIBRE DE 5 KM</v>
          </cell>
          <cell r="C451" t="str">
            <v>M3</v>
          </cell>
          <cell r="D451">
            <v>0</v>
          </cell>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v>0</v>
          </cell>
        </row>
        <row r="456">
          <cell r="A456" t="str">
            <v>3.3.2</v>
          </cell>
          <cell r="B456" t="str">
            <v>EXCAVACION MANUAL EN CONGLOMERADO</v>
          </cell>
          <cell r="C456" t="str">
            <v>M3</v>
          </cell>
          <cell r="D456">
            <v>0</v>
          </cell>
        </row>
        <row r="457">
          <cell r="A457" t="str">
            <v>1.2.11</v>
          </cell>
          <cell r="B457" t="str">
            <v>CONCRETO VIGA DE AMARRE 21,1 MPa</v>
          </cell>
          <cell r="C457" t="str">
            <v>M3</v>
          </cell>
          <cell r="D457">
            <v>0</v>
          </cell>
        </row>
        <row r="458">
          <cell r="A458" t="str">
            <v>1.3.14</v>
          </cell>
          <cell r="B458" t="str">
            <v>COLUMNAS EN CONCRETO 21 MPa - (3000 PSI), ALTURA MENOR A TRES METROS</v>
          </cell>
          <cell r="C458" t="str">
            <v>M3</v>
          </cell>
          <cell r="D458">
            <v>0</v>
          </cell>
        </row>
        <row r="459">
          <cell r="A459" t="str">
            <v>1.4.22</v>
          </cell>
          <cell r="B459" t="str">
            <v>MURO TOLETE COMUN E=0.12 mts.</v>
          </cell>
          <cell r="C459" t="str">
            <v>M2</v>
          </cell>
          <cell r="D459">
            <v>0</v>
          </cell>
        </row>
        <row r="460">
          <cell r="A460" t="str">
            <v>1.5.9</v>
          </cell>
          <cell r="B460" t="str">
            <v>PAÑETE LISO MUROS  1:4</v>
          </cell>
          <cell r="C460" t="str">
            <v>M2</v>
          </cell>
          <cell r="D460">
            <v>0</v>
          </cell>
        </row>
        <row r="461">
          <cell r="A461" t="str">
            <v>1.9.3</v>
          </cell>
          <cell r="B461" t="str">
            <v>ESTUCO Y VINILO TRES MANOS EN MUROS</v>
          </cell>
          <cell r="C461" t="str">
            <v>M2</v>
          </cell>
          <cell r="D461">
            <v>0</v>
          </cell>
        </row>
        <row r="462">
          <cell r="A462" t="str">
            <v>1.12.3</v>
          </cell>
          <cell r="B462" t="str">
            <v>SUMINISTRO E INSTALACIÓN CUBIERTA EN TEJA FIBROCEMENTO NUMERO 4</v>
          </cell>
          <cell r="C462" t="str">
            <v>M2</v>
          </cell>
          <cell r="D462">
            <v>0</v>
          </cell>
        </row>
        <row r="463">
          <cell r="A463" t="str">
            <v>1.12.54</v>
          </cell>
          <cell r="B463" t="str">
            <v>SUMINISTRO E INSTALACIÓN CABALLETE ONDULADO ASBESTO CEMENTO</v>
          </cell>
          <cell r="C463" t="str">
            <v>ML</v>
          </cell>
          <cell r="D463">
            <v>0</v>
          </cell>
        </row>
        <row r="464">
          <cell r="A464" t="str">
            <v>6.4.2.114</v>
          </cell>
          <cell r="B464" t="str">
            <v>CORREA METALICA EN TUBO RECTANGULAR 3" X 1 1/2"</v>
          </cell>
          <cell r="C464" t="str">
            <v>ML</v>
          </cell>
          <cell r="D464">
            <v>0</v>
          </cell>
        </row>
        <row r="465">
          <cell r="A465" t="str">
            <v>6.4.2.115</v>
          </cell>
          <cell r="B465" t="str">
            <v xml:space="preserve">CANALETA GALVANIZADA </v>
          </cell>
          <cell r="C465" t="str">
            <v>ML</v>
          </cell>
          <cell r="D465">
            <v>0</v>
          </cell>
        </row>
        <row r="466">
          <cell r="A466" t="str">
            <v>1.11.27</v>
          </cell>
          <cell r="B466" t="str">
            <v>TABLON DE GRES 30*30</v>
          </cell>
          <cell r="C466" t="str">
            <v>M2</v>
          </cell>
          <cell r="D466">
            <v>0</v>
          </cell>
        </row>
        <row r="467">
          <cell r="A467" t="str">
            <v>6.4.2.116</v>
          </cell>
          <cell r="B467" t="str">
            <v>TABLON DE GRES 48*48</v>
          </cell>
          <cell r="C467" t="str">
            <v>M2</v>
          </cell>
          <cell r="D467">
            <v>0</v>
          </cell>
        </row>
        <row r="468">
          <cell r="A468" t="str">
            <v>1.4.36</v>
          </cell>
          <cell r="B468" t="str">
            <v xml:space="preserve"> MESONES EN CONCRETO A=0.60 mts. 17.5 MPa - (3500PSI) INC. REFUERZO Y MURO TOLETE COMUN</v>
          </cell>
          <cell r="C468" t="str">
            <v>ML</v>
          </cell>
          <cell r="D468">
            <v>0</v>
          </cell>
        </row>
        <row r="469">
          <cell r="A469" t="str">
            <v>6.4.2.106</v>
          </cell>
          <cell r="B469" t="str">
            <v>Suministro e instalación de hidrante de 3", incluye válvula de compuerta elástica, tee de 3", unión de reparación y concreto de anclaje</v>
          </cell>
          <cell r="C469" t="str">
            <v>UN</v>
          </cell>
          <cell r="D469">
            <v>0</v>
          </cell>
        </row>
        <row r="470">
          <cell r="A470" t="str">
            <v>6.4.2.117</v>
          </cell>
          <cell r="B470" t="str">
            <v>GUARDAESCOBA EN CERAMICA PORCELANATO PEGADO</v>
          </cell>
          <cell r="C470" t="str">
            <v>ML</v>
          </cell>
          <cell r="D470">
            <v>0</v>
          </cell>
        </row>
        <row r="471">
          <cell r="A471" t="str">
            <v>6.4.2.118</v>
          </cell>
          <cell r="B471" t="str">
            <v>GUARDAESCOBA TABLON GRESS DE O,10X0,2M E=0,25 M</v>
          </cell>
          <cell r="C471" t="str">
            <v>ML</v>
          </cell>
          <cell r="D471">
            <v>0</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v>0</v>
          </cell>
        </row>
        <row r="473">
          <cell r="A473" t="str">
            <v>6.4.2.120</v>
          </cell>
          <cell r="B473" t="str">
            <v>TAPA DE ALFAJOR 0,85 X 0,75 M E= 1/4" CAL. 12 CURRUGADA, BISAGRA EN HIERRO FUNDIDO, MARCO EN PERFIL DE 1 1/4" X 3/16"</v>
          </cell>
          <cell r="C473" t="str">
            <v xml:space="preserve">UN </v>
          </cell>
          <cell r="D473">
            <v>0</v>
          </cell>
        </row>
        <row r="474">
          <cell r="A474" t="str">
            <v>6.4.2.121</v>
          </cell>
          <cell r="B474" t="str">
            <v>TAPA DE ALFAJOR 0,70 X 0,65 M E= 1/4" CAL. 12 CURRUGADA, BISAGRA EN HIERRO FUNDIDO, MARCO EN PERFIL DE 1 1/4" X 3/16"</v>
          </cell>
          <cell r="C474" t="str">
            <v xml:space="preserve">UN </v>
          </cell>
          <cell r="D474">
            <v>0</v>
          </cell>
        </row>
        <row r="475">
          <cell r="A475" t="str">
            <v>6.4.2.122</v>
          </cell>
          <cell r="B475" t="str">
            <v>TAPA DE ALFAJOR 1,35 X 1,30 M E= 1/4" CAL. 12 CURRUGADA, BISAGRA EN HIERRO FUNDIDO, MARCO EN PERFIL DE 1 1/4" X 3/16"</v>
          </cell>
          <cell r="C475" t="str">
            <v xml:space="preserve">UN </v>
          </cell>
          <cell r="D475">
            <v>0</v>
          </cell>
        </row>
        <row r="476">
          <cell r="A476" t="str">
            <v>6.4.2.123</v>
          </cell>
          <cell r="B476" t="str">
            <v>TAPA DE ALFAJOR 1,80 X 1,00 M E= 1/4" CAL. 12 CURRUGADA, BISAGRA EN HIERRO FUNDIDO, MARCO EN PERFIL DE 1 1/4" X 3/16"</v>
          </cell>
          <cell r="C476" t="str">
            <v xml:space="preserve">UN </v>
          </cell>
          <cell r="D476">
            <v>0</v>
          </cell>
        </row>
        <row r="477">
          <cell r="A477" t="str">
            <v>6.4.2.124</v>
          </cell>
          <cell r="B477" t="str">
            <v>TAPA DE ALFAJOR 1,25 X 1,20 M E= 1/4" CAL. 12 CURRUGADA, BISAGRA EN HIERRO FUNDIDO, MARCO EN PERFIL DE 1 1/4" X 3/16"</v>
          </cell>
          <cell r="C477" t="str">
            <v xml:space="preserve">UN </v>
          </cell>
          <cell r="D477">
            <v>0</v>
          </cell>
        </row>
        <row r="478">
          <cell r="A478" t="str">
            <v>6.4.2.125</v>
          </cell>
          <cell r="B478" t="str">
            <v>SUMINISTRO E INSTALACION DE TEE SANITARIA REDUCIDAS 6X4"</v>
          </cell>
          <cell r="C478" t="str">
            <v xml:space="preserve">UN </v>
          </cell>
          <cell r="D478">
            <v>0</v>
          </cell>
        </row>
        <row r="479">
          <cell r="A479" t="str">
            <v>6.4.2.126</v>
          </cell>
          <cell r="B479" t="str">
            <v>SUMINISTRO E INSTALACION DE TEE SANITARIA 6"</v>
          </cell>
          <cell r="C479" t="str">
            <v xml:space="preserve">UN </v>
          </cell>
          <cell r="D479">
            <v>0</v>
          </cell>
        </row>
        <row r="480">
          <cell r="A480" t="str">
            <v>6.4.2.127</v>
          </cell>
          <cell r="B480" t="str">
            <v>Codo 90° PVC UM Ø:6".</v>
          </cell>
          <cell r="C480" t="str">
            <v xml:space="preserve">UN </v>
          </cell>
          <cell r="D480">
            <v>0</v>
          </cell>
        </row>
        <row r="481">
          <cell r="A481" t="str">
            <v>1.2.8</v>
          </cell>
          <cell r="B481" t="str">
            <v xml:space="preserve"> CONCRETO CICLOPEO 21MPa (3000 PSI) RELACIÓN 60C/40P</v>
          </cell>
          <cell r="C481" t="str">
            <v>M3</v>
          </cell>
          <cell r="D481">
            <v>0</v>
          </cell>
        </row>
        <row r="482">
          <cell r="A482" t="str">
            <v>6.4.2.128</v>
          </cell>
          <cell r="B482" t="str">
            <v>TEE PVC UM D=6"X6"</v>
          </cell>
          <cell r="C482" t="str">
            <v xml:space="preserve">UN </v>
          </cell>
          <cell r="D482">
            <v>0</v>
          </cell>
        </row>
        <row r="483">
          <cell r="A483" t="str">
            <v>2.1.51</v>
          </cell>
          <cell r="B483" t="str">
            <v>SUMINISTRO E INSTALACIÓN TUBERÍA  PVC. D = 6"  RDE 32.5 UNIÓN MECANICA</v>
          </cell>
          <cell r="C483" t="str">
            <v>ML</v>
          </cell>
          <cell r="D483">
            <v>0</v>
          </cell>
        </row>
        <row r="484">
          <cell r="A484" t="str">
            <v>1.1.1</v>
          </cell>
          <cell r="B484" t="str">
            <v>DEMOLICION DE PISOS DE CONCRETO (INCLUYE CARGUE Y TRANSPORTE HASTA 5 KM) &lt;=10 CMS</v>
          </cell>
          <cell r="C484" t="str">
            <v>M2</v>
          </cell>
          <cell r="D484">
            <v>0</v>
          </cell>
        </row>
        <row r="485">
          <cell r="A485" t="str">
            <v>1.1.2</v>
          </cell>
          <cell r="B485" t="str">
            <v>CONFORMACIÓN COMPACTACIÓN SUBRASANTE CBR=95</v>
          </cell>
          <cell r="C485" t="str">
            <v>M2</v>
          </cell>
          <cell r="D485">
            <v>0</v>
          </cell>
        </row>
        <row r="486">
          <cell r="A486" t="str">
            <v>1.1.8</v>
          </cell>
          <cell r="B486" t="str">
            <v xml:space="preserve"> DESMONTE DE CUBIERTA LAMINA</v>
          </cell>
          <cell r="C486" t="str">
            <v>M2</v>
          </cell>
          <cell r="D486">
            <v>0</v>
          </cell>
        </row>
        <row r="487">
          <cell r="A487" t="str">
            <v>1.1.11</v>
          </cell>
          <cell r="B487" t="str">
            <v>DEMOLICIÓN MURO CONCRETO E=10 cm</v>
          </cell>
          <cell r="C487" t="str">
            <v>M2</v>
          </cell>
          <cell r="D487">
            <v>0</v>
          </cell>
        </row>
        <row r="488">
          <cell r="A488" t="str">
            <v>1.1.12</v>
          </cell>
          <cell r="B488" t="str">
            <v>DEMOLICIÓN MURO CONCRETO E=15 cm</v>
          </cell>
          <cell r="C488" t="str">
            <v>M2</v>
          </cell>
          <cell r="D488">
            <v>0</v>
          </cell>
        </row>
        <row r="489">
          <cell r="A489" t="str">
            <v>1.1.13</v>
          </cell>
          <cell r="B489" t="str">
            <v xml:space="preserve"> DEMOLICIÓN MURO CONCRETO E=30 cm</v>
          </cell>
          <cell r="C489" t="str">
            <v>M2</v>
          </cell>
          <cell r="D489">
            <v>0</v>
          </cell>
        </row>
        <row r="490">
          <cell r="A490" t="str">
            <v>1.1.14</v>
          </cell>
          <cell r="B490" t="str">
            <v>DESMONTE ALAMBRE PUAS CERRAMIENTO 3 - 5 LÍNEAS</v>
          </cell>
          <cell r="C490" t="str">
            <v>ML</v>
          </cell>
          <cell r="D490">
            <v>0</v>
          </cell>
        </row>
        <row r="491">
          <cell r="A491" t="str">
            <v>1.1.15</v>
          </cell>
          <cell r="B491" t="str">
            <v>DESMONTE CANALES - BAJANTES</v>
          </cell>
          <cell r="C491" t="str">
            <v>ML</v>
          </cell>
          <cell r="D491">
            <v>0</v>
          </cell>
        </row>
        <row r="492">
          <cell r="A492" t="str">
            <v>1.1.16</v>
          </cell>
          <cell r="B492" t="str">
            <v>DESMONTE CERRAMIENTO POSTE CONCRETO-ALAMBRE</v>
          </cell>
          <cell r="C492" t="str">
            <v>ML</v>
          </cell>
          <cell r="D492">
            <v>0</v>
          </cell>
        </row>
        <row r="493">
          <cell r="A493" t="str">
            <v>1.1.17</v>
          </cell>
          <cell r="B493" t="str">
            <v>DESMONTE CIELO FALSO MADERA</v>
          </cell>
          <cell r="C493" t="str">
            <v>M2</v>
          </cell>
          <cell r="D493">
            <v>0</v>
          </cell>
        </row>
        <row r="494">
          <cell r="A494" t="str">
            <v>1.1.18</v>
          </cell>
          <cell r="B494" t="str">
            <v>DESMONTE CORREA METALICA</v>
          </cell>
          <cell r="C494" t="str">
            <v>ML</v>
          </cell>
          <cell r="D494">
            <v>0</v>
          </cell>
        </row>
        <row r="495">
          <cell r="A495" t="str">
            <v>1.1.25</v>
          </cell>
          <cell r="B495" t="str">
            <v xml:space="preserve"> DESMONTE MALLA ESLABONADA H=2.0 M</v>
          </cell>
          <cell r="C495" t="str">
            <v>ML</v>
          </cell>
          <cell r="D495">
            <v>0</v>
          </cell>
        </row>
        <row r="496">
          <cell r="A496" t="str">
            <v>1.1.26</v>
          </cell>
          <cell r="B496" t="str">
            <v>DESMONTE REJA METALICA</v>
          </cell>
          <cell r="C496" t="str">
            <v>M2</v>
          </cell>
          <cell r="D496">
            <v>0</v>
          </cell>
        </row>
        <row r="497">
          <cell r="A497" t="str">
            <v>1.1.28</v>
          </cell>
          <cell r="B497" t="str">
            <v>DESMONTE VIDRIO</v>
          </cell>
          <cell r="C497" t="str">
            <v>M2</v>
          </cell>
          <cell r="D497">
            <v>0</v>
          </cell>
        </row>
        <row r="498">
          <cell r="A498" t="str">
            <v>1.1.29</v>
          </cell>
          <cell r="B498" t="str">
            <v>RETIRO TUBERIA AGUA (GALVANIZADA-PVC-AC) HASTA 1"</v>
          </cell>
          <cell r="C498" t="str">
            <v>ML</v>
          </cell>
          <cell r="D498">
            <v>0</v>
          </cell>
        </row>
        <row r="499">
          <cell r="A499" t="str">
            <v>1.1.32</v>
          </cell>
          <cell r="B499" t="str">
            <v xml:space="preserve"> DEMOLICIÓN ENCHAPE CERAMICO</v>
          </cell>
          <cell r="C499" t="str">
            <v>M2</v>
          </cell>
          <cell r="D499">
            <v>0</v>
          </cell>
        </row>
        <row r="500">
          <cell r="A500" t="str">
            <v>1.1.33</v>
          </cell>
          <cell r="B500" t="str">
            <v>DEMOLICIÓN GUARDAESCOBA</v>
          </cell>
          <cell r="C500" t="str">
            <v>ML</v>
          </cell>
          <cell r="D500">
            <v>0</v>
          </cell>
        </row>
        <row r="501">
          <cell r="A501" t="str">
            <v>1.1.35</v>
          </cell>
          <cell r="B501" t="str">
            <v>DEMOLICIÓN MESON CONCRETO</v>
          </cell>
          <cell r="C501" t="str">
            <v>M2</v>
          </cell>
          <cell r="D501">
            <v>0</v>
          </cell>
        </row>
        <row r="502">
          <cell r="A502" t="str">
            <v>1.1.36</v>
          </cell>
          <cell r="B502" t="str">
            <v xml:space="preserve"> DEMOLICIÓN PAÑETES</v>
          </cell>
          <cell r="C502" t="str">
            <v>M2</v>
          </cell>
          <cell r="D502">
            <v>0</v>
          </cell>
        </row>
        <row r="503">
          <cell r="A503" t="str">
            <v>1.1.37</v>
          </cell>
          <cell r="B503" t="str">
            <v>DEMOLICIÓN PAÑETES TECHO</v>
          </cell>
          <cell r="C503" t="str">
            <v>M2</v>
          </cell>
          <cell r="D503">
            <v>0</v>
          </cell>
        </row>
        <row r="504">
          <cell r="A504" t="str">
            <v>1.1.40</v>
          </cell>
          <cell r="B504" t="str">
            <v xml:space="preserve"> DEMOLICION PLACAS ALIGERADAS CONCRETO E&lt;=0.25 mts.</v>
          </cell>
          <cell r="C504" t="str">
            <v>M2</v>
          </cell>
          <cell r="D504">
            <v>0</v>
          </cell>
        </row>
        <row r="505">
          <cell r="A505" t="str">
            <v>1.1.41</v>
          </cell>
          <cell r="B505" t="str">
            <v xml:space="preserve"> DEMOLICION PLACAS ALIGERADAS CONCRETO E&gt;=0.25 mts.</v>
          </cell>
          <cell r="C505" t="str">
            <v>M2</v>
          </cell>
          <cell r="D505">
            <v>0</v>
          </cell>
        </row>
        <row r="506">
          <cell r="A506" t="str">
            <v>1.1.42</v>
          </cell>
          <cell r="B506" t="str">
            <v xml:space="preserve"> DEMOLICION PLACAS MACIZA CONCRETO E&lt;=0.20 mts.</v>
          </cell>
          <cell r="C506" t="str">
            <v>M2</v>
          </cell>
          <cell r="D506">
            <v>0</v>
          </cell>
        </row>
        <row r="507">
          <cell r="A507" t="str">
            <v>1.1.43</v>
          </cell>
          <cell r="B507" t="str">
            <v xml:space="preserve"> DEMOLICION PLACAS MACIZA CONCRETO E&lt;=0.15 mts.</v>
          </cell>
          <cell r="C507" t="str">
            <v>M2</v>
          </cell>
          <cell r="D507">
            <v>0</v>
          </cell>
        </row>
        <row r="508">
          <cell r="A508" t="str">
            <v>1.1.44</v>
          </cell>
          <cell r="B508" t="str">
            <v>DEMOLICIÓN CIMIENTO CONCRETO</v>
          </cell>
          <cell r="C508" t="str">
            <v>M3</v>
          </cell>
          <cell r="D508">
            <v>0</v>
          </cell>
        </row>
        <row r="509">
          <cell r="A509" t="str">
            <v>1.1.45</v>
          </cell>
          <cell r="B509" t="str">
            <v xml:space="preserve"> DEMOLICIÓN COLUMNA CONCRETO</v>
          </cell>
          <cell r="C509" t="str">
            <v>M3</v>
          </cell>
          <cell r="D509">
            <v>0</v>
          </cell>
        </row>
        <row r="510">
          <cell r="A510" t="str">
            <v>1.1.46</v>
          </cell>
          <cell r="B510" t="str">
            <v xml:space="preserve"> DEMOLICIÓN CONCRETO CICLOPEO</v>
          </cell>
          <cell r="C510" t="str">
            <v>M3</v>
          </cell>
          <cell r="D510">
            <v>0</v>
          </cell>
        </row>
        <row r="511">
          <cell r="A511" t="str">
            <v>1.1.47</v>
          </cell>
          <cell r="B511" t="str">
            <v xml:space="preserve"> DEMOLICIÓN VIGA AMARRE CONCRETO &lt; 25 CM - 35 CM</v>
          </cell>
          <cell r="C511" t="str">
            <v>ML</v>
          </cell>
          <cell r="D511">
            <v>0</v>
          </cell>
        </row>
        <row r="512">
          <cell r="A512" t="str">
            <v>1.1.48</v>
          </cell>
          <cell r="B512" t="str">
            <v xml:space="preserve"> DEMOLICIÓN VIGA CANAL</v>
          </cell>
          <cell r="C512" t="str">
            <v>ML</v>
          </cell>
          <cell r="D512">
            <v>0</v>
          </cell>
        </row>
        <row r="513">
          <cell r="A513" t="str">
            <v>1.1.49</v>
          </cell>
          <cell r="B513" t="str">
            <v xml:space="preserve"> DEMOLICIÓN ESCALERA CONCRETO REFORZADO</v>
          </cell>
          <cell r="C513" t="str">
            <v>M3</v>
          </cell>
          <cell r="D513">
            <v>0</v>
          </cell>
        </row>
        <row r="514">
          <cell r="A514" t="str">
            <v>1.1.50</v>
          </cell>
          <cell r="B514" t="str">
            <v xml:space="preserve"> DEMOLICIÓN VIGA CONCRETO 25cm-35cm</v>
          </cell>
          <cell r="C514" t="str">
            <v>ML</v>
          </cell>
          <cell r="D514">
            <v>0</v>
          </cell>
        </row>
        <row r="515">
          <cell r="A515" t="str">
            <v>1.1.51</v>
          </cell>
          <cell r="B515" t="str">
            <v xml:space="preserve"> DEMOLICIÓN VIGA CONCRETO 35cm-45cm</v>
          </cell>
          <cell r="C515" t="str">
            <v>ML</v>
          </cell>
          <cell r="D515">
            <v>0</v>
          </cell>
        </row>
        <row r="516">
          <cell r="A516" t="str">
            <v>1.1.52</v>
          </cell>
          <cell r="B516" t="str">
            <v>DEMOLICIÓN SARDINEL</v>
          </cell>
          <cell r="C516" t="str">
            <v>ML</v>
          </cell>
          <cell r="D516">
            <v>0</v>
          </cell>
        </row>
        <row r="517">
          <cell r="A517" t="str">
            <v>1.1.53</v>
          </cell>
          <cell r="B517" t="str">
            <v>DEMOLICIÓN ANDEN/CONTRAPISO CONCRETO E= 7.6CM A 12CM</v>
          </cell>
          <cell r="C517" t="str">
            <v>M2</v>
          </cell>
          <cell r="D517">
            <v>0</v>
          </cell>
        </row>
        <row r="518">
          <cell r="A518" t="str">
            <v>1.1.54</v>
          </cell>
          <cell r="B518" t="str">
            <v xml:space="preserve"> DEMOLICIÓN ANDEN/CONTRAPISO CONCRETO E &gt; A 12CM</v>
          </cell>
          <cell r="C518" t="str">
            <v>M2</v>
          </cell>
          <cell r="D518">
            <v>0</v>
          </cell>
        </row>
        <row r="519">
          <cell r="A519" t="str">
            <v>1.1.55</v>
          </cell>
          <cell r="B519" t="str">
            <v xml:space="preserve"> DEMOLICIÓN CAJA INSPECCION</v>
          </cell>
          <cell r="C519" t="str">
            <v xml:space="preserve">UN </v>
          </cell>
          <cell r="D519">
            <v>0</v>
          </cell>
        </row>
        <row r="520">
          <cell r="A520" t="str">
            <v>1.1.58</v>
          </cell>
          <cell r="B520" t="str">
            <v>DEMOLICIÓN PISO BALDOSA+MORTERO</v>
          </cell>
          <cell r="C520" t="str">
            <v>M2</v>
          </cell>
          <cell r="D520">
            <v>0</v>
          </cell>
        </row>
        <row r="521">
          <cell r="A521" t="str">
            <v>1.1.59</v>
          </cell>
          <cell r="B521" t="str">
            <v>DEMOLICIÓN PISO GRANO PULIDO</v>
          </cell>
          <cell r="C521" t="str">
            <v>M2</v>
          </cell>
          <cell r="D521">
            <v>0</v>
          </cell>
        </row>
        <row r="522">
          <cell r="A522" t="str">
            <v>1.1.60</v>
          </cell>
          <cell r="B522" t="str">
            <v xml:space="preserve"> DEMOLICIÓN CIELO FALSO ESTRUCTURA ALUMINIO</v>
          </cell>
          <cell r="C522" t="str">
            <v>M2</v>
          </cell>
          <cell r="D522">
            <v>0</v>
          </cell>
        </row>
        <row r="523">
          <cell r="A523" t="str">
            <v>1.1.61</v>
          </cell>
          <cell r="B523" t="str">
            <v xml:space="preserve"> ROTURA PAVIMENTO</v>
          </cell>
          <cell r="C523" t="str">
            <v>M2</v>
          </cell>
          <cell r="D523">
            <v>0</v>
          </cell>
        </row>
        <row r="524">
          <cell r="A524" t="str">
            <v>1.1.62</v>
          </cell>
          <cell r="B524" t="str">
            <v>DESCAPOTE MANUAL Y RETIRO (DISTANCIA DE 1 KM A 5 KM)</v>
          </cell>
          <cell r="C524" t="str">
            <v>M2</v>
          </cell>
          <cell r="D524">
            <v>0</v>
          </cell>
        </row>
        <row r="525">
          <cell r="A525" t="str">
            <v>1.1.63</v>
          </cell>
          <cell r="B525" t="str">
            <v xml:space="preserve"> DESCAPOTE MECANICO Y RETIRO (DISTANCIA DE 1 KM A 5 KM)</v>
          </cell>
          <cell r="C525" t="str">
            <v>M3</v>
          </cell>
          <cell r="D525">
            <v>0</v>
          </cell>
        </row>
        <row r="526">
          <cell r="A526" t="str">
            <v>1.1.64</v>
          </cell>
          <cell r="B526" t="str">
            <v>RETIRO TUBERIA EXISTENTE 0" A 12"</v>
          </cell>
          <cell r="C526" t="str">
            <v>ML</v>
          </cell>
          <cell r="D526">
            <v>0</v>
          </cell>
        </row>
        <row r="527">
          <cell r="A527" t="str">
            <v>1.1.65</v>
          </cell>
          <cell r="B527" t="str">
            <v>RETIRO TUBERIA EXISTENTE 12"  A  24"</v>
          </cell>
          <cell r="C527" t="str">
            <v>ML</v>
          </cell>
          <cell r="D527">
            <v>0</v>
          </cell>
        </row>
        <row r="528">
          <cell r="A528" t="str">
            <v>1.1.66</v>
          </cell>
          <cell r="B528" t="str">
            <v xml:space="preserve"> ACARREO MATERIALES PETREOS-TIERRA-VARIOS</v>
          </cell>
          <cell r="C528" t="str">
            <v>M3/Km</v>
          </cell>
          <cell r="D528">
            <v>0</v>
          </cell>
        </row>
        <row r="529">
          <cell r="A529" t="str">
            <v>1.1.70</v>
          </cell>
          <cell r="B529" t="str">
            <v>DEMOLICIÓN CUNETA EN CONCRETO</v>
          </cell>
          <cell r="C529" t="str">
            <v>ML</v>
          </cell>
          <cell r="D529">
            <v>0</v>
          </cell>
        </row>
        <row r="530">
          <cell r="A530" t="str">
            <v>1.1.71</v>
          </cell>
          <cell r="B530" t="str">
            <v>DEMOLICIÓN DE SUMIDEROS</v>
          </cell>
          <cell r="C530" t="str">
            <v xml:space="preserve">UN </v>
          </cell>
          <cell r="D530">
            <v>0</v>
          </cell>
        </row>
        <row r="531">
          <cell r="A531" t="str">
            <v>1.1.74</v>
          </cell>
          <cell r="B531" t="str">
            <v xml:space="preserve"> LOCALIZACION Y REPLANTEO REDES HASTA  H = 0.50 m</v>
          </cell>
          <cell r="C531" t="str">
            <v>M2</v>
          </cell>
          <cell r="D531">
            <v>0</v>
          </cell>
        </row>
        <row r="532">
          <cell r="A532" t="str">
            <v>1.1.75</v>
          </cell>
          <cell r="B532" t="str">
            <v>CAMPAMENTO 18 M2</v>
          </cell>
          <cell r="C532" t="str">
            <v xml:space="preserve">UN </v>
          </cell>
          <cell r="D532">
            <v>0</v>
          </cell>
        </row>
        <row r="533">
          <cell r="A533" t="str">
            <v>1.1.76</v>
          </cell>
          <cell r="B533" t="str">
            <v>CAMPAMENTO 36 M2</v>
          </cell>
          <cell r="C533" t="str">
            <v xml:space="preserve">UN </v>
          </cell>
          <cell r="D533">
            <v>0</v>
          </cell>
        </row>
        <row r="534">
          <cell r="A534" t="str">
            <v>1.1.78</v>
          </cell>
          <cell r="B534" t="str">
            <v xml:space="preserve"> DESMONTE CUBIERTAS TEJA DE ASBESTO Y/ O ASBESTO CEMENTO</v>
          </cell>
          <cell r="C534" t="str">
            <v>M2</v>
          </cell>
          <cell r="D534">
            <v>0</v>
          </cell>
        </row>
        <row r="535">
          <cell r="A535" t="str">
            <v>1.1.79</v>
          </cell>
          <cell r="B535" t="str">
            <v xml:space="preserve"> DEMOLICION MUROS LADRILLO E = 0.15 mts.</v>
          </cell>
          <cell r="C535" t="str">
            <v>M2</v>
          </cell>
          <cell r="D535">
            <v>0</v>
          </cell>
        </row>
        <row r="536">
          <cell r="A536" t="str">
            <v>1.1.80</v>
          </cell>
          <cell r="B536" t="str">
            <v xml:space="preserve"> DEMOLICION MUROS EN LADRILLO E = 0.25 mts.</v>
          </cell>
          <cell r="C536" t="str">
            <v>M2</v>
          </cell>
          <cell r="D536">
            <v>0</v>
          </cell>
        </row>
        <row r="537">
          <cell r="A537" t="str">
            <v>1.1.81</v>
          </cell>
          <cell r="B537" t="str">
            <v>DESMONTE MARCOS Y PUERTAS</v>
          </cell>
          <cell r="C537" t="str">
            <v>M2</v>
          </cell>
          <cell r="D537">
            <v>0</v>
          </cell>
        </row>
        <row r="538">
          <cell r="A538" t="str">
            <v>1.1.82</v>
          </cell>
          <cell r="B538" t="str">
            <v>DESMONTE  VENTANAS</v>
          </cell>
          <cell r="C538" t="str">
            <v>M2</v>
          </cell>
          <cell r="D538">
            <v>0</v>
          </cell>
        </row>
        <row r="539">
          <cell r="A539" t="str">
            <v>1.1.83</v>
          </cell>
          <cell r="B539" t="str">
            <v xml:space="preserve"> DEMOLICION PLACA DE PISO E=0,10 Mts.</v>
          </cell>
          <cell r="C539" t="str">
            <v>M2</v>
          </cell>
          <cell r="D539">
            <v>0</v>
          </cell>
        </row>
        <row r="540">
          <cell r="A540" t="str">
            <v>1.1.84</v>
          </cell>
          <cell r="B540" t="str">
            <v>CERRAMIENTO EN TABLA BURRA H=3.00  mts.</v>
          </cell>
          <cell r="C540" t="str">
            <v>ML</v>
          </cell>
          <cell r="D540">
            <v>0</v>
          </cell>
        </row>
        <row r="541">
          <cell r="A541" t="str">
            <v>1.1.85</v>
          </cell>
          <cell r="B541" t="str">
            <v>CERRAMIENTO ALAMBRE DE PUAS No. 12  4 HILOS POSTES DE MADERA</v>
          </cell>
          <cell r="C541" t="str">
            <v>ML</v>
          </cell>
          <cell r="D541">
            <v>0</v>
          </cell>
        </row>
        <row r="542">
          <cell r="A542" t="str">
            <v>1.2.1</v>
          </cell>
          <cell r="B542" t="str">
            <v>EXCAVACIÓN MECÁNICA EN ROCA INCL. RETIRO</v>
          </cell>
          <cell r="C542" t="str">
            <v>M3</v>
          </cell>
          <cell r="D542">
            <v>0</v>
          </cell>
        </row>
        <row r="543">
          <cell r="A543" t="str">
            <v>1.2.3</v>
          </cell>
          <cell r="B543" t="str">
            <v xml:space="preserve"> RETIRO MATERIAL EXCAVADO A MAQUINA (SIN TRANSPORTE)</v>
          </cell>
          <cell r="C543" t="str">
            <v>M3</v>
          </cell>
          <cell r="D543">
            <v>0</v>
          </cell>
        </row>
        <row r="544">
          <cell r="A544" t="str">
            <v>1.2.4</v>
          </cell>
          <cell r="B544" t="str">
            <v xml:space="preserve"> RELLENO MATERIAL SITIO COMPACTADO CILINDRO</v>
          </cell>
          <cell r="C544" t="str">
            <v>M3</v>
          </cell>
          <cell r="D544">
            <v>0</v>
          </cell>
        </row>
        <row r="545">
          <cell r="A545" t="str">
            <v>1.2.5</v>
          </cell>
          <cell r="B545" t="str">
            <v xml:space="preserve"> EXCAVACIÓN MECÁNICA HUMEDA (debajo del nivel freático)</v>
          </cell>
          <cell r="C545" t="str">
            <v>M3</v>
          </cell>
          <cell r="D545">
            <v>0</v>
          </cell>
        </row>
        <row r="546">
          <cell r="A546" t="str">
            <v>1.2.6</v>
          </cell>
          <cell r="B546" t="str">
            <v>CONCRETO CICLOPEO 10,5MPa (1500 PSI) RELACIÓN 60C/40P</v>
          </cell>
          <cell r="C546" t="str">
            <v>M3</v>
          </cell>
          <cell r="D546">
            <v>0</v>
          </cell>
        </row>
        <row r="547">
          <cell r="A547" t="str">
            <v>1.2.7</v>
          </cell>
          <cell r="B547" t="str">
            <v>CONCRETO CICLOPEO 14MPa (2000 PSI) RELACIÓN 60C/40P</v>
          </cell>
          <cell r="C547" t="str">
            <v>M3</v>
          </cell>
          <cell r="D547">
            <v>0</v>
          </cell>
        </row>
        <row r="548">
          <cell r="A548" t="str">
            <v>1.2.9</v>
          </cell>
          <cell r="B548" t="str">
            <v>CONSTRUCCION DE MUROS EN GAVIONES, INCLUYE MALLA ESLABONADA TRIPLE  TORSION CAL. 12</v>
          </cell>
          <cell r="C548" t="str">
            <v>M3</v>
          </cell>
          <cell r="D548">
            <v>0</v>
          </cell>
        </row>
        <row r="549">
          <cell r="A549" t="str">
            <v>1.2.10</v>
          </cell>
          <cell r="B549" t="str">
            <v xml:space="preserve"> CONCRETO DE ZAPATAS 21MPa  + FORMALETA</v>
          </cell>
          <cell r="C549" t="str">
            <v>M3</v>
          </cell>
          <cell r="D549">
            <v>0</v>
          </cell>
        </row>
        <row r="550">
          <cell r="A550" t="str">
            <v>1.2.12</v>
          </cell>
          <cell r="B550" t="str">
            <v>CONCRETO VIGA DE AMARRE 21,1 MPa TE INVERTIDA</v>
          </cell>
          <cell r="C550" t="str">
            <v>M3</v>
          </cell>
          <cell r="D550">
            <v>0</v>
          </cell>
        </row>
        <row r="551">
          <cell r="A551" t="str">
            <v>1.2.13</v>
          </cell>
          <cell r="B551" t="str">
            <v xml:space="preserve"> PEDESTAL CONCRETO 21,1 Mpa</v>
          </cell>
          <cell r="C551" t="str">
            <v>M3</v>
          </cell>
          <cell r="D551">
            <v>0</v>
          </cell>
        </row>
        <row r="552">
          <cell r="A552" t="str">
            <v>1.2.14</v>
          </cell>
          <cell r="B552" t="str">
            <v xml:space="preserve"> SOLADO CONCRETO ESPESOR E=0.05M 14MPa (2000PSI)</v>
          </cell>
          <cell r="C552" t="str">
            <v>M2</v>
          </cell>
          <cell r="D552">
            <v>0</v>
          </cell>
        </row>
        <row r="553">
          <cell r="A553" t="str">
            <v>1.2.15</v>
          </cell>
          <cell r="B553" t="str">
            <v>SOLADO CONCRETO ESPESOR E=0.07M 14MPa (2000PSI)</v>
          </cell>
          <cell r="C553" t="str">
            <v>M2</v>
          </cell>
          <cell r="D553">
            <v>0</v>
          </cell>
        </row>
        <row r="554">
          <cell r="A554" t="str">
            <v>1.2.16</v>
          </cell>
          <cell r="B554" t="str">
            <v xml:space="preserve">  LOSA FLOTANTE CASETON-VIGAS H = 40 CM - 45 CM</v>
          </cell>
          <cell r="C554" t="str">
            <v>M2</v>
          </cell>
          <cell r="D554">
            <v>0</v>
          </cell>
        </row>
        <row r="555">
          <cell r="A555" t="str">
            <v>1.2.17</v>
          </cell>
          <cell r="B555" t="str">
            <v>LOSA MACIZA CIMIENTO CONCRETO 21 MPa - 3000 PSI H=10 CM</v>
          </cell>
          <cell r="C555" t="str">
            <v>M2</v>
          </cell>
          <cell r="D555">
            <v>0</v>
          </cell>
        </row>
        <row r="556">
          <cell r="A556" t="str">
            <v>1.2.18</v>
          </cell>
          <cell r="B556" t="str">
            <v xml:space="preserve"> LOSA MACIZA CIMIENTO CONCRETO 21 MPa - 3000 PSI H=15 CM</v>
          </cell>
          <cell r="C556" t="str">
            <v>M2</v>
          </cell>
          <cell r="D556">
            <v>0</v>
          </cell>
        </row>
        <row r="557">
          <cell r="A557" t="str">
            <v>1.2.19</v>
          </cell>
          <cell r="B557" t="str">
            <v xml:space="preserve"> LOSA MACIZA CIMIENTO CONCRETO 21 MPa - 3000 PSI H=20 CM</v>
          </cell>
          <cell r="C557" t="str">
            <v>M2</v>
          </cell>
          <cell r="D557">
            <v>0</v>
          </cell>
        </row>
        <row r="558">
          <cell r="A558" t="str">
            <v>1.2.20</v>
          </cell>
          <cell r="B558" t="str">
            <v>MURO DE CONTENCIÓN EN CONCRETO DE 21 MPa - 3000 PSI  0&lt;H&lt;=1.00M</v>
          </cell>
          <cell r="C558" t="str">
            <v>M3</v>
          </cell>
          <cell r="D558">
            <v>0</v>
          </cell>
        </row>
        <row r="559">
          <cell r="A559" t="str">
            <v>1.2.21</v>
          </cell>
          <cell r="B559" t="str">
            <v>MURO DE CONTENCIÓN EN CONCRETO DE 21 MPa - 3000 PSI 1,01&lt;H&lt;=2.00M</v>
          </cell>
          <cell r="C559" t="str">
            <v>M3</v>
          </cell>
          <cell r="D559">
            <v>0</v>
          </cell>
        </row>
        <row r="560">
          <cell r="A560" t="str">
            <v>1.2.22</v>
          </cell>
          <cell r="B560" t="str">
            <v>MURO DE CONTENCIÓN EN CONCRETO DE 21 MPa - 3000 PSI  2,01&lt;H&lt;=3,5 MTS</v>
          </cell>
          <cell r="C560" t="str">
            <v>M3</v>
          </cell>
          <cell r="D560">
            <v>0</v>
          </cell>
        </row>
        <row r="561">
          <cell r="A561" t="str">
            <v>1.2.23</v>
          </cell>
          <cell r="B561" t="str">
            <v>MURO CONTENCION CONCRETO CICLOPEO H&lt;1.5M 40% RAJÓN</v>
          </cell>
          <cell r="C561" t="str">
            <v>M3</v>
          </cell>
          <cell r="D561">
            <v>0</v>
          </cell>
        </row>
        <row r="562">
          <cell r="A562" t="str">
            <v>1.2.24</v>
          </cell>
          <cell r="B562" t="str">
            <v xml:space="preserve"> SUMINISTRO FIGURADA Y AMRRE DE ACERO 37000 PSI  240 Mpa</v>
          </cell>
          <cell r="C562" t="str">
            <v>KG</v>
          </cell>
          <cell r="D562">
            <v>0</v>
          </cell>
        </row>
        <row r="563">
          <cell r="A563" t="str">
            <v>1.2.25</v>
          </cell>
          <cell r="B563" t="str">
            <v>SUMINISTRO FIGURADA Y AMRRE DE ACERO 60000 PSI 420 Mpa</v>
          </cell>
          <cell r="C563" t="str">
            <v>KG</v>
          </cell>
          <cell r="D563">
            <v>0</v>
          </cell>
        </row>
        <row r="564">
          <cell r="A564" t="str">
            <v>1.2.26</v>
          </cell>
          <cell r="B564" t="str">
            <v>SUMINISTRO E INSTALACIÓN MALLA ELECTROSOLDADA U-84</v>
          </cell>
          <cell r="C564" t="str">
            <v>KG</v>
          </cell>
          <cell r="D564">
            <v>0</v>
          </cell>
        </row>
        <row r="565">
          <cell r="A565" t="str">
            <v>1.2.27</v>
          </cell>
          <cell r="B565" t="str">
            <v xml:space="preserve"> CAJAS DE INSPECCION DE 1.20 X 1.20 X 1.20 MTS LADRILLO</v>
          </cell>
          <cell r="C565" t="str">
            <v>KG</v>
          </cell>
          <cell r="D565">
            <v>0</v>
          </cell>
        </row>
        <row r="566">
          <cell r="A566" t="str">
            <v>1.2.28</v>
          </cell>
          <cell r="B566" t="str">
            <v>SUMINISTRO E INSTALACION TUBERIA PVC SANITARIA 2"</v>
          </cell>
          <cell r="C566" t="str">
            <v>UN</v>
          </cell>
          <cell r="D566">
            <v>0</v>
          </cell>
        </row>
        <row r="567">
          <cell r="A567" t="str">
            <v>1.2.29</v>
          </cell>
          <cell r="B567" t="str">
            <v xml:space="preserve"> SUMINISTRO E INSTALACION TUBERIA PVC SANITARIA 3"</v>
          </cell>
          <cell r="C567" t="str">
            <v>ML</v>
          </cell>
          <cell r="D567">
            <v>0</v>
          </cell>
        </row>
        <row r="568">
          <cell r="A568" t="str">
            <v>1.2.30</v>
          </cell>
          <cell r="B568" t="str">
            <v>SUMINISTRO E INSTALACION TUBERIA PVC SANITARIA 4"</v>
          </cell>
          <cell r="C568" t="str">
            <v>ML</v>
          </cell>
          <cell r="D568">
            <v>0</v>
          </cell>
        </row>
        <row r="569">
          <cell r="A569" t="str">
            <v>1.2.31</v>
          </cell>
          <cell r="B569" t="str">
            <v xml:space="preserve"> SUMINISTRO E INSTALACION TUBERIA PVC SANITARIA 6"</v>
          </cell>
          <cell r="C569" t="str">
            <v>ML</v>
          </cell>
          <cell r="D569">
            <v>0</v>
          </cell>
        </row>
        <row r="570">
          <cell r="A570" t="str">
            <v>1.2.32</v>
          </cell>
          <cell r="B570" t="str">
            <v>SUMINISTRO E INSTALACION TUBERIA PVC SANITARIA 8"</v>
          </cell>
          <cell r="C570" t="str">
            <v>ML</v>
          </cell>
          <cell r="D570">
            <v>0</v>
          </cell>
        </row>
        <row r="571">
          <cell r="A571" t="str">
            <v>1.2.33</v>
          </cell>
          <cell r="B571" t="str">
            <v>SUMINISTRO E INSTALACION TUBERIA PVC SANITARIA 10"</v>
          </cell>
          <cell r="C571" t="str">
            <v>ML</v>
          </cell>
          <cell r="D571">
            <v>0</v>
          </cell>
        </row>
        <row r="572">
          <cell r="A572" t="str">
            <v>1.2.34</v>
          </cell>
          <cell r="B572" t="str">
            <v>SUMINISTRO E INSTALACION TUBERIA PVC SANITARIA 12"</v>
          </cell>
          <cell r="C572" t="str">
            <v>ML</v>
          </cell>
          <cell r="D572">
            <v>0</v>
          </cell>
        </row>
        <row r="573">
          <cell r="A573" t="str">
            <v>1.2.35</v>
          </cell>
          <cell r="B573" t="str">
            <v>SUMINISTRO E INSTALACION TUBERIA PVC SANITARIA 16"</v>
          </cell>
          <cell r="C573" t="str">
            <v>ML</v>
          </cell>
          <cell r="D573">
            <v>0</v>
          </cell>
        </row>
        <row r="574">
          <cell r="A574" t="str">
            <v>1.2.36</v>
          </cell>
          <cell r="B574" t="str">
            <v>SUMINISTRO E INSTALACION TUBERIA PVC SANITARIA 18"</v>
          </cell>
          <cell r="C574" t="str">
            <v>ML</v>
          </cell>
          <cell r="D574">
            <v>0</v>
          </cell>
        </row>
        <row r="575">
          <cell r="A575" t="str">
            <v>1.2.37</v>
          </cell>
          <cell r="B575" t="str">
            <v xml:space="preserve">  TUBERIA PVC 4" DRENAJE SIN FILTRO</v>
          </cell>
          <cell r="C575" t="str">
            <v>ML</v>
          </cell>
          <cell r="D575">
            <v>0</v>
          </cell>
        </row>
        <row r="576">
          <cell r="A576" t="str">
            <v>1.2.38</v>
          </cell>
          <cell r="B576" t="str">
            <v>TUBERIA PVC 6 DRENAJE SIN FILTRO</v>
          </cell>
          <cell r="C576" t="str">
            <v>ML</v>
          </cell>
          <cell r="D576">
            <v>0</v>
          </cell>
        </row>
        <row r="577">
          <cell r="A577" t="str">
            <v>1.2.39</v>
          </cell>
          <cell r="B577" t="str">
            <v>TUBERIA PVC 8" DRENAJE CF</v>
          </cell>
          <cell r="C577" t="str">
            <v>ML</v>
          </cell>
          <cell r="D577">
            <v>0</v>
          </cell>
        </row>
        <row r="578">
          <cell r="A578" t="str">
            <v>1.2.40</v>
          </cell>
          <cell r="B578" t="str">
            <v>TUBERIA PVC 8" DRENAJE SF</v>
          </cell>
          <cell r="C578" t="str">
            <v>ML</v>
          </cell>
          <cell r="D578">
            <v>0</v>
          </cell>
        </row>
        <row r="579">
          <cell r="A579" t="str">
            <v>1.2.41</v>
          </cell>
          <cell r="B579" t="str">
            <v>SUMINISTRO E INSTALACION YEE GRESS DE 8" x 6"</v>
          </cell>
          <cell r="C579" t="str">
            <v>UN</v>
          </cell>
          <cell r="D579">
            <v>0</v>
          </cell>
        </row>
        <row r="580">
          <cell r="A580" t="str">
            <v>1.2.42</v>
          </cell>
          <cell r="B580" t="str">
            <v>SUMINISTRO E INSTALACIÓN CODO GRESS 6"</v>
          </cell>
          <cell r="C580" t="str">
            <v>UN</v>
          </cell>
          <cell r="D580">
            <v>0</v>
          </cell>
        </row>
        <row r="581">
          <cell r="A581" t="str">
            <v>1.2.43</v>
          </cell>
          <cell r="B581" t="str">
            <v>SUMINISTRO E INSTALACION CODO GRESS DE 8"</v>
          </cell>
          <cell r="C581" t="str">
            <v>UN</v>
          </cell>
          <cell r="D581">
            <v>0</v>
          </cell>
        </row>
        <row r="582">
          <cell r="A582" t="str">
            <v>1.2.44</v>
          </cell>
          <cell r="B582" t="str">
            <v>SUMINISTRO E INSTALACION TUBERIA DE GRES 3"</v>
          </cell>
          <cell r="C582" t="str">
            <v>ML</v>
          </cell>
          <cell r="D582">
            <v>0</v>
          </cell>
        </row>
        <row r="583">
          <cell r="A583" t="str">
            <v>1.2.45</v>
          </cell>
          <cell r="B583" t="str">
            <v>CONCRETO CICLOPEO 17.5MPa (2500 PSI) RELACIÓN 60C/40P</v>
          </cell>
          <cell r="C583" t="str">
            <v>M3</v>
          </cell>
          <cell r="D583">
            <v>0</v>
          </cell>
        </row>
        <row r="584">
          <cell r="A584" t="str">
            <v>1.2.46</v>
          </cell>
          <cell r="B584" t="str">
            <v xml:space="preserve"> POZO SÉPTICO ETERNIT</v>
          </cell>
          <cell r="C584" t="str">
            <v>UN</v>
          </cell>
          <cell r="D584">
            <v>0</v>
          </cell>
        </row>
        <row r="585">
          <cell r="A585" t="str">
            <v>1.2.48</v>
          </cell>
          <cell r="B585" t="str">
            <v xml:space="preserve"> EXCAVACION MECANICA Y RETIRO MATERIAL COMUN</v>
          </cell>
          <cell r="C585" t="str">
            <v>M3</v>
          </cell>
          <cell r="D585">
            <v>0</v>
          </cell>
        </row>
        <row r="586">
          <cell r="A586" t="str">
            <v>1.2.49</v>
          </cell>
          <cell r="B586" t="str">
            <v>CONCRETO DE ZAPATAS 21 MPa - (3000 PSI)</v>
          </cell>
          <cell r="C586" t="str">
            <v>M3</v>
          </cell>
          <cell r="D586">
            <v>0</v>
          </cell>
        </row>
        <row r="587">
          <cell r="A587" t="str">
            <v>1.2.50</v>
          </cell>
          <cell r="B587" t="str">
            <v>BASE EN CONCRETO POBRE E=0.05 mts. 14 MPa - (2000 PSI)</v>
          </cell>
          <cell r="C587" t="str">
            <v>M2</v>
          </cell>
          <cell r="D587">
            <v>0</v>
          </cell>
        </row>
        <row r="588">
          <cell r="A588" t="str">
            <v>1.2.51</v>
          </cell>
          <cell r="B588" t="str">
            <v>CAJAS DE INSPECCION DE 60x60x60 cm  LADRILLO</v>
          </cell>
          <cell r="C588" t="str">
            <v>UN</v>
          </cell>
          <cell r="D588">
            <v>0</v>
          </cell>
        </row>
        <row r="589">
          <cell r="A589" t="str">
            <v>1.2.52</v>
          </cell>
          <cell r="B589" t="str">
            <v>CAJAS DE INSPECCION DE 80 X 80 X 80 cm LADRILLO</v>
          </cell>
          <cell r="C589" t="str">
            <v>UN</v>
          </cell>
          <cell r="D589">
            <v>0</v>
          </cell>
        </row>
        <row r="590">
          <cell r="A590" t="str">
            <v>1.2.53</v>
          </cell>
          <cell r="B590" t="str">
            <v>CAJAS DE INSPECCION DE 1.00 X 1.00 X 1.00 cm LADRILLO</v>
          </cell>
          <cell r="C590" t="str">
            <v>UN</v>
          </cell>
          <cell r="D590">
            <v>0</v>
          </cell>
        </row>
        <row r="591">
          <cell r="A591" t="str">
            <v>1.2.54</v>
          </cell>
          <cell r="B591" t="str">
            <v>SUMINISTRO E INSTALACION TUBERIA DE GRES D=4"</v>
          </cell>
          <cell r="C591" t="str">
            <v>ML</v>
          </cell>
          <cell r="D591">
            <v>0</v>
          </cell>
        </row>
        <row r="592">
          <cell r="A592" t="str">
            <v>1.2.55</v>
          </cell>
          <cell r="B592" t="str">
            <v>SUMINISTRO E INSTALACION TUBERIA DE GRES D=6"</v>
          </cell>
          <cell r="C592" t="str">
            <v>ML</v>
          </cell>
          <cell r="D592">
            <v>0</v>
          </cell>
        </row>
        <row r="593">
          <cell r="A593" t="str">
            <v>1.2.56</v>
          </cell>
          <cell r="B593" t="str">
            <v>SUMINSTRO E INSTALACION TUBERIA DE GRES DRENAJE D=4"</v>
          </cell>
          <cell r="C593" t="str">
            <v>ML</v>
          </cell>
          <cell r="D593">
            <v>0</v>
          </cell>
        </row>
        <row r="594">
          <cell r="A594" t="str">
            <v>1.2.57</v>
          </cell>
          <cell r="B594" t="str">
            <v xml:space="preserve"> SUMINSTRO E INSTALACION TUBERIA DE GRES DRENAJE D=6</v>
          </cell>
          <cell r="C594" t="str">
            <v>ML</v>
          </cell>
          <cell r="D594">
            <v>0</v>
          </cell>
        </row>
        <row r="595">
          <cell r="A595" t="str">
            <v>1.2.58</v>
          </cell>
          <cell r="B595" t="str">
            <v>SUMINSTRO E INSTALACION CODO DE GRES DE 4"</v>
          </cell>
          <cell r="C595" t="str">
            <v>ML</v>
          </cell>
          <cell r="D595">
            <v>0</v>
          </cell>
        </row>
        <row r="596">
          <cell r="A596" t="str">
            <v>1.2.59</v>
          </cell>
          <cell r="B596" t="str">
            <v>SUMINSTRO E INSTALACION CODO DE GRES DE 6"</v>
          </cell>
          <cell r="C596" t="str">
            <v>ML</v>
          </cell>
          <cell r="D596">
            <v>0</v>
          </cell>
        </row>
        <row r="597">
          <cell r="A597" t="str">
            <v>1.3.1</v>
          </cell>
          <cell r="B597" t="str">
            <v>PLACA FACIL 21 MPa - (3000 PSI)</v>
          </cell>
          <cell r="C597" t="str">
            <v>M2</v>
          </cell>
          <cell r="D597">
            <v>0</v>
          </cell>
        </row>
        <row r="598">
          <cell r="A598" t="str">
            <v>1.3.2</v>
          </cell>
          <cell r="B598" t="str">
            <v>PLACA FACIL 24.5 MPa - (3500 PSI)</v>
          </cell>
          <cell r="C598" t="str">
            <v>M2</v>
          </cell>
          <cell r="D598">
            <v>0</v>
          </cell>
        </row>
        <row r="599">
          <cell r="A599" t="str">
            <v>1.3.3</v>
          </cell>
          <cell r="B599" t="str">
            <v>PLACA CON STEEL DECK 21 MPa - (3000 PSI)</v>
          </cell>
          <cell r="C599" t="str">
            <v>M2</v>
          </cell>
          <cell r="D599">
            <v>0</v>
          </cell>
        </row>
        <row r="600">
          <cell r="A600" t="str">
            <v>1.3.4</v>
          </cell>
          <cell r="B600" t="str">
            <v xml:space="preserve"> PLACA CON STEEL DECK 24.5 MPa - (3500 PSI)</v>
          </cell>
          <cell r="C600" t="str">
            <v>M2</v>
          </cell>
          <cell r="D600">
            <v>0</v>
          </cell>
        </row>
        <row r="601">
          <cell r="A601" t="str">
            <v>1.3.5</v>
          </cell>
          <cell r="B601" t="str">
            <v xml:space="preserve"> PLACA CASETON ESTERILLA DE GUADUA ALTURA DE 40 CMS   21 MPa - (3000 PSI)</v>
          </cell>
          <cell r="C601" t="str">
            <v>M2</v>
          </cell>
          <cell r="D601">
            <v>0</v>
          </cell>
        </row>
        <row r="602">
          <cell r="A602" t="str">
            <v>1.3.6</v>
          </cell>
          <cell r="B602" t="str">
            <v>PLACA CASETON ESTERILLA DE GUADUA ALTURA DE 35 CMS  21 MPa - (3000 PSI)</v>
          </cell>
          <cell r="C602" t="str">
            <v>M2</v>
          </cell>
          <cell r="D602">
            <v>0</v>
          </cell>
        </row>
        <row r="603">
          <cell r="A603" t="str">
            <v>1.3.7</v>
          </cell>
          <cell r="B603" t="str">
            <v>PLACA CASETON ESTERILLA DE GUADUA ALTURA DE 30 CMS  21 MPa - (3000 PSI)</v>
          </cell>
          <cell r="C603" t="str">
            <v>M2</v>
          </cell>
          <cell r="D603">
            <v>0</v>
          </cell>
        </row>
        <row r="604">
          <cell r="A604" t="str">
            <v>1.3.8</v>
          </cell>
          <cell r="B604" t="str">
            <v>PLACA CASETON ESTERILLA DE GUADUA ALTURA DE 40 CMS  24.5 MPa - (3500 PSI)</v>
          </cell>
          <cell r="C604" t="str">
            <v>M2</v>
          </cell>
          <cell r="D604">
            <v>0</v>
          </cell>
        </row>
        <row r="605">
          <cell r="A605" t="str">
            <v>1.3.9</v>
          </cell>
          <cell r="B605" t="str">
            <v>PLACA CASETON ESTERILLA DE GUADUA ALTURA DE 35 CMS  24.5 MPa - (3500 PSI)</v>
          </cell>
          <cell r="C605" t="str">
            <v>M2</v>
          </cell>
          <cell r="D605">
            <v>0</v>
          </cell>
        </row>
        <row r="606">
          <cell r="A606" t="str">
            <v>1.3.10</v>
          </cell>
          <cell r="B606" t="str">
            <v>PLACA CASETON ESTERILLA DE GUADUA ALTURA DE 30 CMS   24.5 Mpa - (3500 PSI)</v>
          </cell>
          <cell r="C606" t="str">
            <v>M2</v>
          </cell>
          <cell r="D606">
            <v>0</v>
          </cell>
        </row>
        <row r="607">
          <cell r="A607" t="str">
            <v>1.3.11</v>
          </cell>
          <cell r="B607" t="str">
            <v xml:space="preserve"> CONSTRUCCION DE VIGA CANAL EN CONCRETO IMPERMEABILZADO 21 MPa - (3000 PSI)</v>
          </cell>
          <cell r="C607" t="str">
            <v>M3</v>
          </cell>
          <cell r="D607">
            <v>0</v>
          </cell>
        </row>
        <row r="608">
          <cell r="A608" t="str">
            <v>1.3.12</v>
          </cell>
          <cell r="B608" t="str">
            <v>CONSTRUCCION DE VIGA CANAL EN CONCRETO IMPERMEABILZADO 24.5 MPa - (3500 PSI)</v>
          </cell>
          <cell r="C608" t="str">
            <v>M3</v>
          </cell>
          <cell r="D608">
            <v>0</v>
          </cell>
        </row>
        <row r="609">
          <cell r="A609" t="str">
            <v>1.3.13</v>
          </cell>
          <cell r="B609" t="str">
            <v>CONSTRUCCION DE VIGA CANAL EN CONCRETO IMPERMEABILZADO 28 MPa - (4000 PSI)</v>
          </cell>
          <cell r="C609" t="str">
            <v>M3</v>
          </cell>
          <cell r="D609">
            <v>0</v>
          </cell>
        </row>
        <row r="610">
          <cell r="A610" t="str">
            <v>1.3.16</v>
          </cell>
          <cell r="B610" t="str">
            <v>VIGA  AEREA  21 MPa - (3000 PSI)</v>
          </cell>
          <cell r="C610" t="str">
            <v>M3</v>
          </cell>
          <cell r="D610">
            <v>0</v>
          </cell>
        </row>
        <row r="611">
          <cell r="A611" t="str">
            <v>1.3.17</v>
          </cell>
          <cell r="B611" t="str">
            <v>VIGA AMARRE SOBRE MURO  21 MPa - (3000 PSI)</v>
          </cell>
          <cell r="C611" t="str">
            <v>M3</v>
          </cell>
          <cell r="D611">
            <v>0</v>
          </cell>
        </row>
        <row r="612">
          <cell r="A612" t="str">
            <v>1.3.18</v>
          </cell>
          <cell r="B612" t="str">
            <v>PLACA ENTREPISO ALIGERADO CASETON DE LONA E=0.30 mts.   28 MPa - (4000 PSI)</v>
          </cell>
          <cell r="C612" t="str">
            <v>M2</v>
          </cell>
          <cell r="D612">
            <v>0</v>
          </cell>
        </row>
        <row r="613">
          <cell r="A613" t="str">
            <v>1.3.19</v>
          </cell>
          <cell r="B613" t="str">
            <v>PLACA ENTREPISO ALIGERADO BLOQUE CONCRETO 21 MPa - (3000 PSI)</v>
          </cell>
          <cell r="C613" t="str">
            <v>M2</v>
          </cell>
          <cell r="D613">
            <v>0</v>
          </cell>
        </row>
        <row r="614">
          <cell r="A614" t="str">
            <v>1.3.20</v>
          </cell>
          <cell r="B614" t="str">
            <v xml:space="preserve"> PLACA MACIZA 21 MPa - (3000 PSI)  E=0.10 mts.</v>
          </cell>
          <cell r="C614" t="str">
            <v>M2</v>
          </cell>
          <cell r="D614">
            <v>0</v>
          </cell>
        </row>
        <row r="615">
          <cell r="A615" t="str">
            <v>1.3.21</v>
          </cell>
          <cell r="B615" t="str">
            <v xml:space="preserve"> PLACA MACIZA 21 MPa (3000 PSI)   E=0.12 mts.</v>
          </cell>
          <cell r="C615" t="str">
            <v>M2</v>
          </cell>
          <cell r="D615">
            <v>0</v>
          </cell>
        </row>
        <row r="616">
          <cell r="A616" t="str">
            <v>1.3.22</v>
          </cell>
          <cell r="B616" t="str">
            <v>PLACA MACIZA 21 MPa - (3000 PSI) E=0.15 mts.</v>
          </cell>
          <cell r="C616" t="str">
            <v>M2</v>
          </cell>
          <cell r="D616">
            <v>0</v>
          </cell>
        </row>
        <row r="617">
          <cell r="A617" t="str">
            <v>1.3.23</v>
          </cell>
          <cell r="B617" t="str">
            <v>REFUERZOS MALLA ELECTROSOLDADA H-257</v>
          </cell>
          <cell r="C617" t="str">
            <v>KG</v>
          </cell>
          <cell r="D617">
            <v>0</v>
          </cell>
        </row>
        <row r="618">
          <cell r="A618" t="str">
            <v>1.3.24</v>
          </cell>
          <cell r="B618" t="str">
            <v>ESCALERAS MACIZA 21 MPa - (3000 PSI)</v>
          </cell>
          <cell r="C618" t="str">
            <v>M3</v>
          </cell>
          <cell r="D618">
            <v>0</v>
          </cell>
        </row>
        <row r="619">
          <cell r="A619" t="str">
            <v>1.3.25</v>
          </cell>
          <cell r="B619" t="str">
            <v xml:space="preserve"> MURO DE CONTENCION H=2.00 M</v>
          </cell>
          <cell r="C619" t="str">
            <v>M3</v>
          </cell>
          <cell r="D619">
            <v>0</v>
          </cell>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v>0</v>
          </cell>
        </row>
        <row r="626">
          <cell r="A626" t="str">
            <v>1.4.10</v>
          </cell>
          <cell r="B626" t="str">
            <v xml:space="preserve"> ENCHAPES LADRILLO PRENSADO</v>
          </cell>
          <cell r="C626" t="str">
            <v>M2</v>
          </cell>
          <cell r="D626">
            <v>0</v>
          </cell>
        </row>
        <row r="627">
          <cell r="A627" t="str">
            <v>1.4.11</v>
          </cell>
          <cell r="B627" t="str">
            <v>MURO EN BLOQUE CONCRETO 0.10</v>
          </cell>
          <cell r="C627" t="str">
            <v>M2</v>
          </cell>
          <cell r="D627">
            <v>0</v>
          </cell>
        </row>
        <row r="628">
          <cell r="A628" t="str">
            <v>1.4.12</v>
          </cell>
          <cell r="B628" t="str">
            <v>MURO EN BLOQUE CONCRETO 0.20</v>
          </cell>
          <cell r="C628" t="str">
            <v>M2</v>
          </cell>
          <cell r="D628">
            <v>0</v>
          </cell>
        </row>
        <row r="629">
          <cell r="A629" t="str">
            <v>1.4.13</v>
          </cell>
          <cell r="B629" t="str">
            <v>MURO PRENSADO SANTA FE 0.245 LIVIANO</v>
          </cell>
          <cell r="C629" t="str">
            <v>M2</v>
          </cell>
          <cell r="D629">
            <v>0</v>
          </cell>
        </row>
        <row r="630">
          <cell r="A630" t="str">
            <v>1.4.14</v>
          </cell>
          <cell r="B630" t="str">
            <v>MURO PRENSADO SANTA FE 0.245 MACIZO</v>
          </cell>
          <cell r="C630" t="str">
            <v>M2</v>
          </cell>
          <cell r="D630">
            <v>0</v>
          </cell>
        </row>
        <row r="631">
          <cell r="A631" t="str">
            <v>1.4.15</v>
          </cell>
          <cell r="B631" t="str">
            <v>MURO TERMOACÚSTICO CON PAÑETE</v>
          </cell>
          <cell r="C631" t="str">
            <v>M2</v>
          </cell>
          <cell r="D631">
            <v>0</v>
          </cell>
        </row>
        <row r="632">
          <cell r="A632" t="str">
            <v>1.5.1</v>
          </cell>
          <cell r="B632" t="str">
            <v>PAÑETE IMPERMEABILIZADO 1:3</v>
          </cell>
          <cell r="C632" t="str">
            <v>M2</v>
          </cell>
          <cell r="D632">
            <v>0</v>
          </cell>
        </row>
        <row r="633">
          <cell r="A633" t="str">
            <v>1.4.16</v>
          </cell>
          <cell r="B633" t="str">
            <v>REMATES LADRILLO PRENSADO</v>
          </cell>
          <cell r="C633" t="str">
            <v>ML</v>
          </cell>
          <cell r="D633">
            <v>0</v>
          </cell>
        </row>
        <row r="634">
          <cell r="A634" t="str">
            <v>1.4.17</v>
          </cell>
          <cell r="B634" t="str">
            <v>SOBRECIMIENTOS 0.15</v>
          </cell>
          <cell r="C634" t="str">
            <v>ML</v>
          </cell>
          <cell r="D634">
            <v>0</v>
          </cell>
        </row>
        <row r="635">
          <cell r="A635" t="str">
            <v>1.4.18</v>
          </cell>
          <cell r="B635" t="str">
            <v>SOBRECIMIENTOS 0.25</v>
          </cell>
          <cell r="C635" t="str">
            <v>ML</v>
          </cell>
          <cell r="D635">
            <v>0</v>
          </cell>
        </row>
        <row r="636">
          <cell r="A636" t="str">
            <v>1.4.19</v>
          </cell>
          <cell r="B636" t="str">
            <v>SOBRECIMIENTO TOLETE COMUN E=0.12 mts.INCLUYE PAÑETE IMP.</v>
          </cell>
          <cell r="C636" t="str">
            <v>M2</v>
          </cell>
          <cell r="D636">
            <v>0</v>
          </cell>
        </row>
        <row r="637">
          <cell r="A637" t="str">
            <v>1.4.20</v>
          </cell>
          <cell r="B637" t="str">
            <v>SOBRERCIMIENTO TOLETE COMUN E=0.23 mts.INCLUYE PAÑETE IMP.</v>
          </cell>
          <cell r="C637" t="str">
            <v>M2</v>
          </cell>
          <cell r="D637">
            <v>0</v>
          </cell>
        </row>
        <row r="638">
          <cell r="A638" t="str">
            <v>1.4.21</v>
          </cell>
          <cell r="B638" t="str">
            <v>MURO TOLETE COMUN E=0.06 mts.</v>
          </cell>
          <cell r="C638" t="str">
            <v>M2</v>
          </cell>
          <cell r="D638">
            <v>0</v>
          </cell>
        </row>
        <row r="639">
          <cell r="A639" t="str">
            <v>1.4.23</v>
          </cell>
          <cell r="B639" t="str">
            <v>MURO TOLETE COMUN E=0.25 mts</v>
          </cell>
          <cell r="C639" t="str">
            <v>M2</v>
          </cell>
          <cell r="D639">
            <v>0</v>
          </cell>
        </row>
        <row r="640">
          <cell r="A640" t="str">
            <v>1.4.24</v>
          </cell>
          <cell r="B640" t="str">
            <v>MURO PRENSADO TIPO SANTA FE E=0.12 mts</v>
          </cell>
          <cell r="C640" t="str">
            <v>M2</v>
          </cell>
          <cell r="D640">
            <v>0</v>
          </cell>
        </row>
        <row r="641">
          <cell r="A641" t="str">
            <v>1.4.25</v>
          </cell>
          <cell r="B641" t="str">
            <v>MURO SEMIPRENSADO TIPO MAGUNCIA E=0.12 mts.</v>
          </cell>
          <cell r="C641" t="str">
            <v>M2</v>
          </cell>
          <cell r="D641">
            <v>0</v>
          </cell>
        </row>
        <row r="642">
          <cell r="A642" t="str">
            <v>1.4.26</v>
          </cell>
          <cell r="B642" t="str">
            <v xml:space="preserve"> MURO PRENSADO TIPO SANTA FE E=0.25 mts.</v>
          </cell>
          <cell r="C642" t="str">
            <v>M2</v>
          </cell>
          <cell r="D642">
            <v>0</v>
          </cell>
        </row>
        <row r="643">
          <cell r="A643" t="str">
            <v>1.4.27</v>
          </cell>
          <cell r="B643" t="str">
            <v>MURO SEMIPRENSADO TIPO MAGUNCIA E=0.25 mts.</v>
          </cell>
          <cell r="C643" t="str">
            <v>M2</v>
          </cell>
          <cell r="D643">
            <v>0</v>
          </cell>
        </row>
        <row r="644">
          <cell r="A644" t="str">
            <v>1.4.28</v>
          </cell>
          <cell r="B644" t="str">
            <v>MURO EN BLOQUE No.4 E=0.10 mts.</v>
          </cell>
          <cell r="C644" t="str">
            <v>M2</v>
          </cell>
          <cell r="D644">
            <v>0</v>
          </cell>
        </row>
        <row r="645">
          <cell r="A645" t="str">
            <v>1.4.29</v>
          </cell>
          <cell r="B645" t="str">
            <v xml:space="preserve"> MURO EN BLOQUE No.4 E=0.25 mts.</v>
          </cell>
          <cell r="C645" t="str">
            <v>M2</v>
          </cell>
          <cell r="D645">
            <v>0</v>
          </cell>
        </row>
        <row r="646">
          <cell r="A646" t="str">
            <v>1.4.30</v>
          </cell>
          <cell r="B646" t="str">
            <v xml:space="preserve"> MURO EN BLOQUE No.5 E=0.12 mts.</v>
          </cell>
          <cell r="C646" t="str">
            <v>M2</v>
          </cell>
          <cell r="D646">
            <v>0</v>
          </cell>
        </row>
        <row r="647">
          <cell r="A647" t="str">
            <v>1.4.31</v>
          </cell>
          <cell r="B647" t="str">
            <v>MURO EN BLOQUE No.5 E=0.23 mts.</v>
          </cell>
          <cell r="C647" t="str">
            <v>M2</v>
          </cell>
          <cell r="D647">
            <v>0</v>
          </cell>
        </row>
        <row r="648">
          <cell r="A648" t="str">
            <v>1.4.32</v>
          </cell>
          <cell r="B648" t="str">
            <v>MURO LADRILLO VITRIFICADO E=0.12 mts.</v>
          </cell>
          <cell r="C648" t="str">
            <v>M2</v>
          </cell>
          <cell r="D648">
            <v>0</v>
          </cell>
        </row>
        <row r="649">
          <cell r="A649" t="str">
            <v>1.4.33</v>
          </cell>
          <cell r="B649" t="str">
            <v>DINTELES EN CONCRETO DE 15X20 cms. 17.5 MPa - (2500 PSI)  INC. REFUERZO</v>
          </cell>
          <cell r="C649" t="str">
            <v>ML</v>
          </cell>
          <cell r="D649">
            <v>0</v>
          </cell>
        </row>
        <row r="650">
          <cell r="A650" t="str">
            <v>1.4.34</v>
          </cell>
          <cell r="B650" t="str">
            <v>ALFAGIA EN CONCRETO E=0.15mts. 17.5 MPa - (2500 PSI) INC. REFUERZO</v>
          </cell>
          <cell r="C650" t="str">
            <v>ML</v>
          </cell>
          <cell r="D650">
            <v>0</v>
          </cell>
        </row>
        <row r="651">
          <cell r="A651" t="str">
            <v>1.4.35</v>
          </cell>
          <cell r="B651" t="str">
            <v>ALFAGIA EN CONCRETO E=0.25mts. 17.5 MPa - (2500 PSI) INC. REFUERZO</v>
          </cell>
          <cell r="C651" t="str">
            <v>ML</v>
          </cell>
          <cell r="D651">
            <v>0</v>
          </cell>
        </row>
        <row r="652">
          <cell r="A652" t="str">
            <v>1.4.36</v>
          </cell>
          <cell r="B652" t="str">
            <v>MESONES EN CONCRETO A=0.60 mts. 17.5 MPa - (3500PSI) INC. REFUERZO</v>
          </cell>
          <cell r="C652" t="str">
            <v>M2</v>
          </cell>
          <cell r="D652">
            <v>0</v>
          </cell>
        </row>
        <row r="653">
          <cell r="A653" t="str">
            <v>1.4.37</v>
          </cell>
          <cell r="B653" t="str">
            <v>ALFAGIA LADRILLO PRENSADO MAGUNCIA</v>
          </cell>
          <cell r="C653" t="str">
            <v>ML</v>
          </cell>
          <cell r="D653">
            <v>0</v>
          </cell>
        </row>
        <row r="654">
          <cell r="A654" t="str">
            <v>1.4.38</v>
          </cell>
          <cell r="B654" t="str">
            <v>PASAMANOS EN CONCRETO 17.5 MPA (2500 PSI) INC. REFUERZO</v>
          </cell>
          <cell r="C654" t="str">
            <v>ML</v>
          </cell>
          <cell r="D654">
            <v>0</v>
          </cell>
        </row>
        <row r="655">
          <cell r="A655" t="str">
            <v>1.4.39</v>
          </cell>
          <cell r="B655" t="str">
            <v>LAVADA DE FACHADA INC. ACIDO MURIATICO</v>
          </cell>
          <cell r="C655" t="str">
            <v>M2</v>
          </cell>
          <cell r="D655">
            <v>0</v>
          </cell>
        </row>
        <row r="656">
          <cell r="A656" t="str">
            <v>1.5.2</v>
          </cell>
          <cell r="B656" t="str">
            <v>ASEO GENERAL</v>
          </cell>
          <cell r="C656" t="str">
            <v>M2</v>
          </cell>
          <cell r="D656">
            <v>0</v>
          </cell>
        </row>
        <row r="657">
          <cell r="A657" t="str">
            <v>1.5.3</v>
          </cell>
          <cell r="B657" t="str">
            <v>ENTRAMADO MADERA CIELO RASO</v>
          </cell>
          <cell r="C657" t="str">
            <v>M2</v>
          </cell>
          <cell r="D657">
            <v>0</v>
          </cell>
        </row>
        <row r="658">
          <cell r="A658" t="str">
            <v>1.5.4</v>
          </cell>
          <cell r="B658" t="str">
            <v>GUADUA BAJO ENTRAMADO</v>
          </cell>
          <cell r="C658" t="str">
            <v>M2</v>
          </cell>
          <cell r="D658">
            <v>0</v>
          </cell>
        </row>
        <row r="659">
          <cell r="A659" t="str">
            <v>1.5.5</v>
          </cell>
          <cell r="B659" t="str">
            <v>MALLA BAJO ENTRAMADO</v>
          </cell>
          <cell r="C659" t="str">
            <v>M2</v>
          </cell>
          <cell r="D659">
            <v>0</v>
          </cell>
        </row>
        <row r="660">
          <cell r="A660" t="str">
            <v>1.5.6</v>
          </cell>
          <cell r="B660" t="str">
            <v>PAÑETE BAJO MALLA 1:5</v>
          </cell>
          <cell r="C660" t="str">
            <v>M2</v>
          </cell>
          <cell r="D660">
            <v>0</v>
          </cell>
        </row>
        <row r="661">
          <cell r="A661" t="str">
            <v>1.5.7</v>
          </cell>
          <cell r="B661" t="str">
            <v>PAÑETE BAJO MALLA 1:6</v>
          </cell>
          <cell r="C661" t="str">
            <v>M2</v>
          </cell>
          <cell r="D661">
            <v>0</v>
          </cell>
        </row>
        <row r="662">
          <cell r="A662" t="str">
            <v>1.5.8</v>
          </cell>
          <cell r="B662" t="str">
            <v xml:space="preserve"> PAÑETE RUSTICO PLACAS 1:5</v>
          </cell>
          <cell r="C662" t="str">
            <v>M2</v>
          </cell>
          <cell r="D662">
            <v>0</v>
          </cell>
        </row>
        <row r="663">
          <cell r="A663" t="str">
            <v>1.5.10</v>
          </cell>
          <cell r="B663" t="str">
            <v xml:space="preserve"> PAÑETE LISO MUROS  1:5</v>
          </cell>
          <cell r="C663" t="str">
            <v>M2</v>
          </cell>
          <cell r="D663">
            <v>0</v>
          </cell>
        </row>
        <row r="664">
          <cell r="A664" t="str">
            <v>1.5.11</v>
          </cell>
          <cell r="B664" t="str">
            <v xml:space="preserve"> PAÑETE LISO BAJO PLACA 1.4</v>
          </cell>
          <cell r="C664" t="str">
            <v>M2</v>
          </cell>
          <cell r="D664">
            <v>0</v>
          </cell>
        </row>
        <row r="665">
          <cell r="A665" t="str">
            <v>1.5.12</v>
          </cell>
          <cell r="B665" t="str">
            <v xml:space="preserve"> PAÑETE RUSTICO MUROS 1:5</v>
          </cell>
          <cell r="C665" t="str">
            <v>M2</v>
          </cell>
          <cell r="D665">
            <v>0</v>
          </cell>
        </row>
        <row r="666">
          <cell r="A666" t="str">
            <v>1.5.13</v>
          </cell>
          <cell r="B666" t="str">
            <v>PAÑETE LISO BAJO MALLA 1:4</v>
          </cell>
          <cell r="C666" t="str">
            <v>M2</v>
          </cell>
          <cell r="D666">
            <v>0</v>
          </cell>
        </row>
        <row r="667">
          <cell r="A667" t="str">
            <v>1.5.14</v>
          </cell>
          <cell r="B667" t="str">
            <v>PAÑETE RUSTICO PLACAS  1:5</v>
          </cell>
          <cell r="C667" t="str">
            <v>M2</v>
          </cell>
          <cell r="D667">
            <v>0</v>
          </cell>
        </row>
        <row r="668">
          <cell r="A668" t="str">
            <v>1.5.15</v>
          </cell>
          <cell r="B668" t="str">
            <v>PAÑETE LISO CULATAS  1:4</v>
          </cell>
          <cell r="C668" t="str">
            <v>M2</v>
          </cell>
          <cell r="D668">
            <v>0</v>
          </cell>
        </row>
        <row r="669">
          <cell r="A669" t="str">
            <v>1.5.16</v>
          </cell>
          <cell r="B669" t="str">
            <v>PAÑETE LISO CULATAS  1:5</v>
          </cell>
          <cell r="C669" t="str">
            <v>M2</v>
          </cell>
          <cell r="D669">
            <v>0</v>
          </cell>
        </row>
        <row r="670">
          <cell r="A670" t="str">
            <v>1.5.18</v>
          </cell>
          <cell r="B670" t="str">
            <v>GOTERAS</v>
          </cell>
          <cell r="C670" t="str">
            <v>ML</v>
          </cell>
          <cell r="D670">
            <v>0</v>
          </cell>
        </row>
        <row r="671">
          <cell r="A671" t="str">
            <v>1.6.1</v>
          </cell>
          <cell r="B671" t="str">
            <v>TUBERIA PVC DRENAJES  D= 6`` CON HIDROSELLO</v>
          </cell>
          <cell r="C671" t="str">
            <v>ML</v>
          </cell>
          <cell r="D671">
            <v>0</v>
          </cell>
        </row>
        <row r="672">
          <cell r="A672" t="str">
            <v>1.6.2</v>
          </cell>
          <cell r="B672" t="str">
            <v>TUBERIA DE 4`` PVC AN</v>
          </cell>
          <cell r="C672" t="str">
            <v>ML</v>
          </cell>
          <cell r="D672">
            <v>0</v>
          </cell>
        </row>
        <row r="673">
          <cell r="A673" t="str">
            <v>1.6.3</v>
          </cell>
          <cell r="B673" t="str">
            <v>TUBERIA DE 6`` PVC AN</v>
          </cell>
          <cell r="C673" t="str">
            <v>ML</v>
          </cell>
          <cell r="D673">
            <v>0</v>
          </cell>
        </row>
        <row r="674">
          <cell r="A674" t="str">
            <v>1.6.4</v>
          </cell>
          <cell r="B674" t="str">
            <v>ACCESORIO SIFON EN PVC 135  4``</v>
          </cell>
          <cell r="C674" t="str">
            <v>UN</v>
          </cell>
          <cell r="D674">
            <v>0</v>
          </cell>
        </row>
        <row r="675">
          <cell r="A675" t="str">
            <v>1.6.5</v>
          </cell>
          <cell r="B675" t="str">
            <v>ACCESORIO CODO 90° 1/4 CXC SANITARIO  EN PVC  6``</v>
          </cell>
          <cell r="C675" t="str">
            <v>UN</v>
          </cell>
          <cell r="D675">
            <v>0</v>
          </cell>
        </row>
        <row r="676">
          <cell r="A676" t="str">
            <v>1.6.6</v>
          </cell>
          <cell r="B676" t="str">
            <v>REGISTROS 3/4`` EN  BRONCE</v>
          </cell>
          <cell r="C676" t="str">
            <v>UN</v>
          </cell>
          <cell r="D676">
            <v>0</v>
          </cell>
        </row>
        <row r="677">
          <cell r="A677" t="str">
            <v>1.6.7</v>
          </cell>
          <cell r="B677" t="str">
            <v>REGISTROS 1`` EN BRONCE</v>
          </cell>
          <cell r="C677" t="str">
            <v>UN</v>
          </cell>
          <cell r="D677">
            <v>0</v>
          </cell>
        </row>
        <row r="678">
          <cell r="A678" t="str">
            <v>1.6.8</v>
          </cell>
          <cell r="B678" t="str">
            <v xml:space="preserve">SUMINISTRO E INSTALACIÓN DE ACOMETIDA 2" X 1/2" INCLUYE TUBERÍA PF + UAD 1/2", REGISTRO DE CORTE, COLLAR DERIVACIÓN Y ACCESORIOS </v>
          </cell>
          <cell r="C678" t="str">
            <v>UN</v>
          </cell>
          <cell r="D678">
            <v>0</v>
          </cell>
        </row>
        <row r="679">
          <cell r="A679" t="str">
            <v>1.6.9</v>
          </cell>
          <cell r="B679" t="str">
            <v xml:space="preserve">SUMINISTRO E INSTALACIÓN DE ACOMETIDA 3" X 1/2" INCLUYE TUBERÍA PF + UAD 1/2", REGISTRO DE CORTE, COLLAR DERIVACIÓN Y ACCESORIOS COMPLEMENTARIOS PARA SU CONEXIÓN.  </v>
          </cell>
          <cell r="C679" t="str">
            <v>UN</v>
          </cell>
          <cell r="D679">
            <v>0</v>
          </cell>
        </row>
        <row r="680">
          <cell r="A680" t="str">
            <v>1.6.10</v>
          </cell>
          <cell r="B680" t="str">
            <v xml:space="preserve">SUMINISTRO E INSTALACIÓN DE ACOMETIDA 3" X  3/4"  INCLUYE TUBERÍA PF + UAD  3/4" , REGISTRO DE CORTE, COLLAR DERIVACIÓN Y ACCESORIOS COMPLEMENTARIOS PARA SU CONEXIÓN.  </v>
          </cell>
          <cell r="C680" t="str">
            <v>UN</v>
          </cell>
          <cell r="D680">
            <v>0</v>
          </cell>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v>0</v>
          </cell>
        </row>
        <row r="682">
          <cell r="A682" t="str">
            <v>1.6.12</v>
          </cell>
          <cell r="B682" t="str">
            <v>RED SUMINISTRO TUBERIA PVC-P 1/2" RDE 9</v>
          </cell>
          <cell r="C682" t="str">
            <v>ML</v>
          </cell>
          <cell r="D682">
            <v>0</v>
          </cell>
        </row>
        <row r="683">
          <cell r="A683" t="str">
            <v>1.6.13</v>
          </cell>
          <cell r="B683" t="str">
            <v>RED SUMINISTRO PVC-P 3/4" RDE 11</v>
          </cell>
          <cell r="C683" t="str">
            <v>ML</v>
          </cell>
          <cell r="D683">
            <v>0</v>
          </cell>
        </row>
        <row r="684">
          <cell r="A684" t="str">
            <v>1.6.14</v>
          </cell>
          <cell r="B684" t="str">
            <v xml:space="preserve"> RED SUMINISTRO PVC 1" RDE 13.5</v>
          </cell>
          <cell r="C684" t="str">
            <v>ML</v>
          </cell>
          <cell r="D684">
            <v>0</v>
          </cell>
        </row>
        <row r="685">
          <cell r="A685" t="str">
            <v>1.6.15</v>
          </cell>
          <cell r="B685" t="str">
            <v>RED SUMINISTRO CPVC 1/2"  A.CAL. 82°C  100 PSI</v>
          </cell>
          <cell r="C685" t="str">
            <v>ML</v>
          </cell>
          <cell r="D685">
            <v>0</v>
          </cell>
        </row>
        <row r="686">
          <cell r="A686" t="str">
            <v>1.6.16</v>
          </cell>
          <cell r="B686" t="str">
            <v xml:space="preserve"> RED SUMINISTRO CPVC 3/4"  A.C. 82°C  100 PSI</v>
          </cell>
          <cell r="C686" t="str">
            <v>ML</v>
          </cell>
          <cell r="D686">
            <v>0</v>
          </cell>
        </row>
        <row r="687">
          <cell r="A687" t="str">
            <v>1.6.17</v>
          </cell>
          <cell r="B687" t="str">
            <v xml:space="preserve"> PUNTO AGUA FRIA PVC-P 1"  PARAL DE TECHO</v>
          </cell>
          <cell r="C687" t="str">
            <v>UN</v>
          </cell>
          <cell r="D687">
            <v>0</v>
          </cell>
        </row>
        <row r="688">
          <cell r="A688" t="str">
            <v>1.6.18</v>
          </cell>
          <cell r="B688" t="str">
            <v xml:space="preserve"> PUNTO AGUA CALIENTE CPVC 1/2"  PARAL DE TECHO</v>
          </cell>
          <cell r="C688" t="str">
            <v>UN</v>
          </cell>
          <cell r="D688">
            <v>0</v>
          </cell>
        </row>
        <row r="689">
          <cell r="A689" t="str">
            <v>1.6.19</v>
          </cell>
          <cell r="B689" t="str">
            <v>BAJANTE DE AGUA LLUVIA. PVC. 3.</v>
          </cell>
          <cell r="C689" t="str">
            <v>ML</v>
          </cell>
          <cell r="D689">
            <v>0</v>
          </cell>
        </row>
        <row r="690">
          <cell r="A690" t="str">
            <v>1.6.20</v>
          </cell>
          <cell r="B690" t="str">
            <v xml:space="preserve"> BAJANTE DE AGUA LLUVIA PVC 4"</v>
          </cell>
          <cell r="C690" t="str">
            <v>ML</v>
          </cell>
          <cell r="D690">
            <v>0</v>
          </cell>
        </row>
        <row r="691">
          <cell r="A691" t="str">
            <v>1.6.21</v>
          </cell>
          <cell r="B691" t="str">
            <v>BAJANTE DE AGUA NEGRA PVC 3"</v>
          </cell>
          <cell r="C691" t="str">
            <v>ML</v>
          </cell>
          <cell r="D691">
            <v>0</v>
          </cell>
        </row>
        <row r="692">
          <cell r="A692" t="str">
            <v>1.6.22</v>
          </cell>
          <cell r="B692" t="str">
            <v>BAJANTE DE AGUA NEGRA PVC 4"</v>
          </cell>
          <cell r="C692" t="str">
            <v>ML</v>
          </cell>
          <cell r="D692">
            <v>0</v>
          </cell>
        </row>
        <row r="693">
          <cell r="A693" t="str">
            <v>1.6.23</v>
          </cell>
          <cell r="B693" t="str">
            <v xml:space="preserve">  BAJANTE DE AGUA NEGRA PVC 6"</v>
          </cell>
          <cell r="C693" t="str">
            <v>ML</v>
          </cell>
          <cell r="D693">
            <v>0</v>
          </cell>
        </row>
        <row r="694">
          <cell r="A694" t="str">
            <v>1.6.24</v>
          </cell>
          <cell r="B694" t="str">
            <v xml:space="preserve"> SUMINISTRO E INSTALACIÓN TANQUE ELEVADO PVC 250 LTS.  INCLUYE  ACCESORIOS</v>
          </cell>
          <cell r="C694" t="str">
            <v>UN</v>
          </cell>
          <cell r="D694">
            <v>0</v>
          </cell>
        </row>
        <row r="695">
          <cell r="A695" t="str">
            <v>1.6.25</v>
          </cell>
          <cell r="B695" t="str">
            <v>SALIDA SANITARIA PVC  3"</v>
          </cell>
          <cell r="C695" t="str">
            <v>UN</v>
          </cell>
          <cell r="D695">
            <v>0</v>
          </cell>
        </row>
        <row r="696">
          <cell r="A696" t="str">
            <v>1.6.28</v>
          </cell>
          <cell r="B696" t="str">
            <v>BAJANTE  PVC 3"</v>
          </cell>
          <cell r="C696" t="str">
            <v>ML</v>
          </cell>
          <cell r="D696">
            <v>0</v>
          </cell>
        </row>
        <row r="697">
          <cell r="A697" t="str">
            <v>1.6.29</v>
          </cell>
          <cell r="B697" t="str">
            <v>CHEQUE  RED-WHITE  1"</v>
          </cell>
          <cell r="C697" t="str">
            <v>UN</v>
          </cell>
          <cell r="D697">
            <v>0</v>
          </cell>
        </row>
        <row r="698">
          <cell r="A698" t="str">
            <v>1.6.30</v>
          </cell>
          <cell r="B698" t="str">
            <v xml:space="preserve"> CHEQUE   RED-W HITE   1 1/2"</v>
          </cell>
          <cell r="C698" t="str">
            <v>UN</v>
          </cell>
          <cell r="D698">
            <v>0</v>
          </cell>
        </row>
        <row r="699">
          <cell r="A699" t="str">
            <v>1.6.31</v>
          </cell>
          <cell r="B699" t="str">
            <v xml:space="preserve"> REVENTILACION  PVC 3"</v>
          </cell>
          <cell r="C699" t="str">
            <v>ML</v>
          </cell>
          <cell r="D699">
            <v>0</v>
          </cell>
        </row>
        <row r="700">
          <cell r="A700" t="str">
            <v>1.6.32</v>
          </cell>
          <cell r="B700" t="str">
            <v>REGISTRO CORTINA  ROSCADO RED-WHITE  1/2"</v>
          </cell>
          <cell r="C700" t="str">
            <v>UN</v>
          </cell>
          <cell r="D700">
            <v>0</v>
          </cell>
        </row>
        <row r="701">
          <cell r="A701" t="str">
            <v>1.6.33</v>
          </cell>
          <cell r="B701" t="str">
            <v>RED SUMINISTRO PARA GAS EXTERIOR</v>
          </cell>
          <cell r="C701" t="str">
            <v>ML</v>
          </cell>
          <cell r="D701">
            <v>0</v>
          </cell>
        </row>
        <row r="702">
          <cell r="A702" t="str">
            <v>1.6.34</v>
          </cell>
          <cell r="B702" t="str">
            <v>RED SUMINISTRO GALVANIZADA 1/2"</v>
          </cell>
          <cell r="C702" t="str">
            <v>ML</v>
          </cell>
          <cell r="D702">
            <v>0</v>
          </cell>
        </row>
        <row r="703">
          <cell r="A703" t="str">
            <v>1.6.35</v>
          </cell>
          <cell r="B703" t="str">
            <v>RED SUMINISTRO GALVANIZADA 3/4"</v>
          </cell>
          <cell r="C703" t="str">
            <v>ML</v>
          </cell>
          <cell r="D703">
            <v>0</v>
          </cell>
        </row>
        <row r="704">
          <cell r="A704" t="str">
            <v>1.6.36</v>
          </cell>
          <cell r="B704" t="str">
            <v xml:space="preserve"> PUNTO SUMINISTRO GALVANIZADO</v>
          </cell>
          <cell r="C704" t="str">
            <v>UN</v>
          </cell>
          <cell r="D704">
            <v>0</v>
          </cell>
        </row>
        <row r="705">
          <cell r="A705" t="str">
            <v>1.6.37</v>
          </cell>
          <cell r="B705" t="str">
            <v xml:space="preserve"> INSTALACION LAVAMANOS Y SANITARIOS</v>
          </cell>
          <cell r="C705" t="str">
            <v>UN</v>
          </cell>
          <cell r="D705">
            <v>0</v>
          </cell>
        </row>
        <row r="706">
          <cell r="A706" t="str">
            <v>1.6.38</v>
          </cell>
          <cell r="B706" t="str">
            <v>SUMINISTRO E INSTALACIÓN TANQUE ELEVADO PVC 500 LTS. INC. ACCESORIOS</v>
          </cell>
          <cell r="C706" t="str">
            <v>UN</v>
          </cell>
          <cell r="D706">
            <v>0</v>
          </cell>
        </row>
        <row r="707">
          <cell r="A707" t="str">
            <v>1.6.39</v>
          </cell>
          <cell r="B707" t="str">
            <v>SUMINISTRO E INSTALACIÓN TANQUE ELEVADO PVC 1000 LTS. INC. ACCESORIOS</v>
          </cell>
          <cell r="C707" t="str">
            <v>UN</v>
          </cell>
          <cell r="D707">
            <v>0</v>
          </cell>
        </row>
        <row r="708">
          <cell r="A708" t="str">
            <v>1.6.40</v>
          </cell>
          <cell r="B708" t="str">
            <v>SUMINISTRO E INSTALACIÓN TANQUE ELEVADO PVC 2000 LTS. INC. ACCESORIOS</v>
          </cell>
          <cell r="C708" t="str">
            <v>UN</v>
          </cell>
          <cell r="D708">
            <v>0</v>
          </cell>
        </row>
        <row r="709">
          <cell r="A709" t="str">
            <v>1.6.41</v>
          </cell>
          <cell r="B709" t="str">
            <v>SUMINISTRO E INSTALACIÓN TANQUE ELEVADO PVC 5000 LTS. INC. ACCESORIOS</v>
          </cell>
          <cell r="C709" t="str">
            <v>UN</v>
          </cell>
          <cell r="D709">
            <v>0</v>
          </cell>
        </row>
        <row r="710">
          <cell r="A710" t="str">
            <v>1.6.42</v>
          </cell>
          <cell r="B710" t="str">
            <v xml:space="preserve"> CONEXIÓN TANQUE ELEVADO PVC 2" INCLUY. VALVULA Y REGISTRO</v>
          </cell>
          <cell r="C710" t="str">
            <v>UN</v>
          </cell>
          <cell r="D710">
            <v>0</v>
          </cell>
        </row>
        <row r="711">
          <cell r="A711" t="str">
            <v>1.9.1</v>
          </cell>
          <cell r="B711" t="str">
            <v>ADHERENTE EPOXICO SIKADUR 32</v>
          </cell>
          <cell r="C711" t="str">
            <v>M2</v>
          </cell>
          <cell r="D711">
            <v>0</v>
          </cell>
        </row>
        <row r="712">
          <cell r="A712" t="str">
            <v>1.9.2</v>
          </cell>
          <cell r="B712" t="str">
            <v xml:space="preserve"> ESTUCO MUROS</v>
          </cell>
          <cell r="C712" t="str">
            <v>M2</v>
          </cell>
          <cell r="D712">
            <v>0</v>
          </cell>
        </row>
        <row r="713">
          <cell r="A713" t="str">
            <v>1.9.3</v>
          </cell>
          <cell r="B713">
            <v>0</v>
          </cell>
          <cell r="C713">
            <v>0</v>
          </cell>
          <cell r="D713">
            <v>0</v>
          </cell>
        </row>
        <row r="714">
          <cell r="A714" t="str">
            <v>1.9.4</v>
          </cell>
          <cell r="B714" t="str">
            <v>VINILO TIPO II SOBRE PAÑETE DOS MANOS EN MUROS</v>
          </cell>
          <cell r="C714" t="str">
            <v>M2</v>
          </cell>
          <cell r="D714">
            <v>0</v>
          </cell>
        </row>
        <row r="715">
          <cell r="A715" t="str">
            <v>1.9.5</v>
          </cell>
          <cell r="B715" t="str">
            <v>CARBURO SOBRE PAÑETE EN MUROS</v>
          </cell>
          <cell r="C715" t="str">
            <v>M2</v>
          </cell>
          <cell r="D715">
            <v>0</v>
          </cell>
        </row>
        <row r="716">
          <cell r="A716" t="str">
            <v>1.9.6</v>
          </cell>
          <cell r="B716" t="str">
            <v>MARMOLINA SOBRE PAÑETE.</v>
          </cell>
          <cell r="C716" t="str">
            <v>M2</v>
          </cell>
          <cell r="D716">
            <v>0</v>
          </cell>
        </row>
        <row r="717">
          <cell r="A717" t="str">
            <v>1.9.7</v>
          </cell>
          <cell r="B717" t="str">
            <v>ESTUCO BAJO PLACA</v>
          </cell>
          <cell r="C717" t="str">
            <v>M2</v>
          </cell>
          <cell r="D717">
            <v>0</v>
          </cell>
        </row>
        <row r="718">
          <cell r="A718" t="str">
            <v>1.9.8</v>
          </cell>
          <cell r="B718" t="str">
            <v xml:space="preserve"> ESTUCO Y VINILO TRES MANOS BAJO PLACA</v>
          </cell>
          <cell r="C718" t="str">
            <v>M2</v>
          </cell>
          <cell r="D718">
            <v>0</v>
          </cell>
        </row>
        <row r="719">
          <cell r="A719" t="str">
            <v>1.9.9</v>
          </cell>
          <cell r="B719" t="str">
            <v xml:space="preserve"> VINILO TIPO II SOBRE PAÑETE DOS MANOS BAJO PLACA</v>
          </cell>
          <cell r="C719" t="str">
            <v>M2</v>
          </cell>
          <cell r="D719">
            <v>0</v>
          </cell>
        </row>
        <row r="720">
          <cell r="A720" t="str">
            <v>1.9.10</v>
          </cell>
          <cell r="B720" t="str">
            <v>CARBURO SOBRE PAÑETE BAJO PLACA</v>
          </cell>
          <cell r="C720" t="str">
            <v>M2</v>
          </cell>
          <cell r="D720">
            <v>0</v>
          </cell>
        </row>
        <row r="721">
          <cell r="A721" t="str">
            <v>1.9.11</v>
          </cell>
          <cell r="B721" t="str">
            <v xml:space="preserve"> ESMALTE MARCOS LAMINA 3 MANOS</v>
          </cell>
          <cell r="C721" t="str">
            <v>ML</v>
          </cell>
          <cell r="D721">
            <v>0</v>
          </cell>
        </row>
        <row r="722">
          <cell r="A722" t="str">
            <v>1.9.12</v>
          </cell>
          <cell r="B722" t="str">
            <v>ESMALTE MADERA LLENA 3 MANOS</v>
          </cell>
          <cell r="C722" t="str">
            <v>M2</v>
          </cell>
          <cell r="D722">
            <v>0</v>
          </cell>
        </row>
        <row r="723">
          <cell r="A723" t="str">
            <v>1.9.13</v>
          </cell>
          <cell r="B723" t="str">
            <v xml:space="preserve"> ESMALTE MADERA LINEAL 3 MANOS</v>
          </cell>
          <cell r="C723" t="str">
            <v>ML</v>
          </cell>
          <cell r="D723">
            <v>0</v>
          </cell>
        </row>
        <row r="724">
          <cell r="A724" t="str">
            <v>1.9.14</v>
          </cell>
          <cell r="B724" t="str">
            <v>ESMALTE LAMINA LLENA 3 MANOS</v>
          </cell>
          <cell r="C724" t="str">
            <v>M2</v>
          </cell>
          <cell r="D724">
            <v>0</v>
          </cell>
        </row>
        <row r="725">
          <cell r="A725" t="str">
            <v>1.9.15</v>
          </cell>
          <cell r="B725" t="str">
            <v>ESMALTE LAMINA LINEAL 3 MANOS</v>
          </cell>
          <cell r="C725" t="str">
            <v>ML</v>
          </cell>
          <cell r="D725">
            <v>0</v>
          </cell>
        </row>
        <row r="726">
          <cell r="A726" t="str">
            <v>1.9.16</v>
          </cell>
          <cell r="B726" t="str">
            <v>ESMALTE MARCOS MADERA 3 MANOS</v>
          </cell>
          <cell r="C726" t="str">
            <v>ML</v>
          </cell>
          <cell r="D726">
            <v>0</v>
          </cell>
        </row>
        <row r="727">
          <cell r="A727" t="str">
            <v>1.9.17</v>
          </cell>
          <cell r="B727" t="str">
            <v xml:space="preserve"> FILOS Y DILATACIONES EN ESTUCO</v>
          </cell>
          <cell r="C727" t="str">
            <v>ML</v>
          </cell>
          <cell r="D727">
            <v>0</v>
          </cell>
        </row>
        <row r="728">
          <cell r="A728" t="str">
            <v>1.9.18</v>
          </cell>
          <cell r="B728" t="str">
            <v>MARMOPLAST FACHADA</v>
          </cell>
          <cell r="C728" t="str">
            <v>M2</v>
          </cell>
          <cell r="D728">
            <v>0</v>
          </cell>
        </row>
        <row r="729">
          <cell r="A729" t="str">
            <v>1.9.19</v>
          </cell>
          <cell r="B729" t="str">
            <v>SICOPLAST FACHADA</v>
          </cell>
          <cell r="C729" t="str">
            <v>M2</v>
          </cell>
          <cell r="D729">
            <v>0</v>
          </cell>
        </row>
        <row r="730">
          <cell r="A730" t="str">
            <v>1.9.20</v>
          </cell>
          <cell r="B730" t="str">
            <v>PINTURA FACHADA</v>
          </cell>
          <cell r="C730" t="str">
            <v>M2</v>
          </cell>
          <cell r="D730">
            <v>0</v>
          </cell>
        </row>
        <row r="731">
          <cell r="A731" t="str">
            <v>1.9.21</v>
          </cell>
          <cell r="B731" t="str">
            <v xml:space="preserve"> TINTILLA SOBRE MADERA LLENA</v>
          </cell>
          <cell r="C731" t="str">
            <v>M2</v>
          </cell>
          <cell r="D731">
            <v>0</v>
          </cell>
        </row>
        <row r="732">
          <cell r="A732" t="str">
            <v>1.9.22</v>
          </cell>
          <cell r="B732" t="str">
            <v xml:space="preserve"> TINTILLA SOBRE MADERA LINEAL</v>
          </cell>
          <cell r="C732" t="str">
            <v>ML</v>
          </cell>
          <cell r="D732">
            <v>0</v>
          </cell>
        </row>
        <row r="733">
          <cell r="A733" t="str">
            <v>1.9.23</v>
          </cell>
          <cell r="B733" t="str">
            <v>TINTILLA SOBRE MUEBLES</v>
          </cell>
          <cell r="C733" t="str">
            <v>ML</v>
          </cell>
          <cell r="D733">
            <v>0</v>
          </cell>
        </row>
        <row r="734">
          <cell r="A734" t="str">
            <v>1.10.1</v>
          </cell>
          <cell r="B734" t="str">
            <v>MURETE DUCHA  0.20 X 0.30</v>
          </cell>
          <cell r="C734" t="str">
            <v>ML</v>
          </cell>
          <cell r="D734">
            <v>0</v>
          </cell>
        </row>
        <row r="735">
          <cell r="A735" t="str">
            <v>1.10.2</v>
          </cell>
          <cell r="B735" t="str">
            <v>ENCHAPE EN PORCELANA OLIMPIA 20X20 O SIMILAR</v>
          </cell>
          <cell r="C735" t="str">
            <v>M2</v>
          </cell>
          <cell r="D735">
            <v>0</v>
          </cell>
        </row>
        <row r="736">
          <cell r="A736" t="str">
            <v>1.10.3</v>
          </cell>
          <cell r="B736" t="str">
            <v xml:space="preserve"> MURETE DUCHA  0.10 X 0.20</v>
          </cell>
          <cell r="C736" t="str">
            <v>ML</v>
          </cell>
          <cell r="D736">
            <v>0</v>
          </cell>
        </row>
        <row r="737">
          <cell r="A737" t="str">
            <v>1.10.4</v>
          </cell>
          <cell r="B737" t="str">
            <v>ENCHAPE EN PORCELANA ATLANTIS O SIMILAR 20*20</v>
          </cell>
          <cell r="C737" t="str">
            <v>M2</v>
          </cell>
          <cell r="D737">
            <v>0</v>
          </cell>
        </row>
        <row r="738">
          <cell r="A738" t="str">
            <v>1.10.5</v>
          </cell>
          <cell r="B738" t="str">
            <v>ESPACATO TRAVERTINO</v>
          </cell>
          <cell r="C738" t="str">
            <v>M2</v>
          </cell>
          <cell r="D738">
            <v>0</v>
          </cell>
        </row>
        <row r="739">
          <cell r="A739" t="str">
            <v>1.10.6</v>
          </cell>
          <cell r="B739" t="str">
            <v>INCRUSTACIONES 3 PIEZAS EN PORCELANA COLOR BLANCO</v>
          </cell>
          <cell r="C739" t="str">
            <v>JGO</v>
          </cell>
          <cell r="D739">
            <v>0</v>
          </cell>
        </row>
        <row r="740">
          <cell r="A740" t="str">
            <v>1.10.7</v>
          </cell>
          <cell r="B740" t="str">
            <v>INCRUSTACIONES 6 PIEZAS EN PORCELANA COLOR BLANCO</v>
          </cell>
          <cell r="C740" t="str">
            <v>JGO</v>
          </cell>
          <cell r="D740">
            <v>0</v>
          </cell>
        </row>
        <row r="741">
          <cell r="A741" t="str">
            <v>1.10.8</v>
          </cell>
          <cell r="B741" t="str">
            <v xml:space="preserve"> INCRUSTACIONES 8 PIEZAS EN PORCELANA COLOR BLANCO</v>
          </cell>
          <cell r="C741" t="str">
            <v>JGO</v>
          </cell>
          <cell r="D741">
            <v>0</v>
          </cell>
        </row>
        <row r="742">
          <cell r="A742" t="str">
            <v>1.10.9</v>
          </cell>
          <cell r="B742" t="str">
            <v>ENCHAPE EN PIEDRA CREMA</v>
          </cell>
          <cell r="C742" t="str">
            <v>M2</v>
          </cell>
          <cell r="D742">
            <v>0</v>
          </cell>
        </row>
        <row r="743">
          <cell r="A743" t="str">
            <v>1.10.10</v>
          </cell>
          <cell r="B743" t="str">
            <v>ENCHAPE EN PIEDRA MUÑECA</v>
          </cell>
          <cell r="C743" t="str">
            <v>M2</v>
          </cell>
          <cell r="D743">
            <v>0</v>
          </cell>
        </row>
        <row r="744">
          <cell r="A744" t="str">
            <v>1.10.11</v>
          </cell>
          <cell r="B744" t="str">
            <v>ENCHAPE EN PIEDRA SANTA ROSEÑA O SIMILAR</v>
          </cell>
          <cell r="C744" t="str">
            <v>M2</v>
          </cell>
          <cell r="D744">
            <v>0</v>
          </cell>
        </row>
        <row r="745">
          <cell r="A745" t="str">
            <v>1.10.14</v>
          </cell>
          <cell r="B745" t="str">
            <v>REJILLAS DE PISO SOSCO 4*4*3 ALUMINIO</v>
          </cell>
          <cell r="C745" t="str">
            <v>UN</v>
          </cell>
          <cell r="D745">
            <v>0</v>
          </cell>
        </row>
        <row r="746">
          <cell r="A746" t="str">
            <v>1.10.15</v>
          </cell>
          <cell r="B746" t="str">
            <v>REJILLAS DE PISO SOSCO 5*5*4 ALUMINIO</v>
          </cell>
          <cell r="C746" t="str">
            <v>UN</v>
          </cell>
          <cell r="D746">
            <v>0</v>
          </cell>
        </row>
        <row r="747">
          <cell r="A747" t="str">
            <v>1.10.16</v>
          </cell>
          <cell r="B747" t="str">
            <v>REJILLAS PLANA BRONCE 20*20</v>
          </cell>
          <cell r="C747" t="str">
            <v>UN</v>
          </cell>
          <cell r="D747">
            <v>0</v>
          </cell>
        </row>
        <row r="748">
          <cell r="A748" t="str">
            <v>1.10.17</v>
          </cell>
          <cell r="B748" t="str">
            <v>REJILLAS PLASTICAS SOSCO 4*4*3</v>
          </cell>
          <cell r="C748" t="str">
            <v>UN</v>
          </cell>
          <cell r="D748">
            <v>0</v>
          </cell>
        </row>
        <row r="749">
          <cell r="A749" t="str">
            <v>1.10.18</v>
          </cell>
          <cell r="B749" t="str">
            <v>REJILLAS PLASTICA SOSCO 5*3</v>
          </cell>
          <cell r="C749" t="str">
            <v>UN</v>
          </cell>
          <cell r="D749">
            <v>0</v>
          </cell>
        </row>
        <row r="750">
          <cell r="A750" t="str">
            <v>1.10.19</v>
          </cell>
          <cell r="B750" t="str">
            <v>REJILLAS CUPULA TRAGANTE 6*4</v>
          </cell>
          <cell r="C750" t="str">
            <v>UN</v>
          </cell>
          <cell r="D750">
            <v>0</v>
          </cell>
        </row>
        <row r="751">
          <cell r="A751" t="str">
            <v>1.10.20</v>
          </cell>
          <cell r="B751" t="str">
            <v>REJILLAS CUPULA TRAGANTE 5*3</v>
          </cell>
          <cell r="C751" t="str">
            <v>UN</v>
          </cell>
          <cell r="D751">
            <v>0</v>
          </cell>
        </row>
        <row r="752">
          <cell r="A752" t="str">
            <v>1.10.21</v>
          </cell>
          <cell r="B752" t="str">
            <v>REJILLAS VENTILACION 20*20 ALUMINIO</v>
          </cell>
          <cell r="C752" t="str">
            <v>UN</v>
          </cell>
          <cell r="D752">
            <v>0</v>
          </cell>
        </row>
        <row r="753">
          <cell r="A753" t="str">
            <v>1.10.22</v>
          </cell>
          <cell r="B753" t="str">
            <v>TUBO CORTINA DUCHA</v>
          </cell>
          <cell r="C753" t="str">
            <v>UN</v>
          </cell>
          <cell r="D753">
            <v>0</v>
          </cell>
        </row>
        <row r="754">
          <cell r="A754" t="str">
            <v>1.11.1</v>
          </cell>
          <cell r="B754" t="str">
            <v>PISO TABLON GRESS 25 X 25</v>
          </cell>
          <cell r="C754" t="str">
            <v>M2</v>
          </cell>
          <cell r="D754">
            <v>0</v>
          </cell>
        </row>
        <row r="755">
          <cell r="A755" t="str">
            <v>1.11.2</v>
          </cell>
          <cell r="B755" t="str">
            <v>GUARDESCOBA EN PINO</v>
          </cell>
          <cell r="C755" t="str">
            <v>ML</v>
          </cell>
          <cell r="D755">
            <v>0</v>
          </cell>
        </row>
        <row r="756">
          <cell r="A756" t="str">
            <v>1.11.3</v>
          </cell>
          <cell r="B756" t="str">
            <v>BOCA PUERTA EN GRANITO PULIDO</v>
          </cell>
          <cell r="C756" t="str">
            <v>ML</v>
          </cell>
          <cell r="D756">
            <v>0</v>
          </cell>
        </row>
        <row r="757">
          <cell r="A757" t="str">
            <v>1.11.4</v>
          </cell>
          <cell r="B757" t="str">
            <v>BOCA PUERTA EN GRANITO SIN PULIDO</v>
          </cell>
          <cell r="C757" t="str">
            <v>ML</v>
          </cell>
          <cell r="D757">
            <v>0</v>
          </cell>
        </row>
        <row r="758">
          <cell r="A758" t="str">
            <v>1.11.5</v>
          </cell>
          <cell r="B758" t="str">
            <v>PULIDA Y DESTRONADO DE PISO EN BALDOSIN DE CEMENTO</v>
          </cell>
          <cell r="C758" t="str">
            <v>M2</v>
          </cell>
          <cell r="D758">
            <v>0</v>
          </cell>
        </row>
        <row r="759">
          <cell r="A759" t="str">
            <v>1.11.6</v>
          </cell>
          <cell r="B759" t="str">
            <v>PULIDAD DE PISO EN MARMOL</v>
          </cell>
          <cell r="C759" t="str">
            <v>M2</v>
          </cell>
          <cell r="D759">
            <v>0</v>
          </cell>
        </row>
        <row r="760">
          <cell r="A760" t="str">
            <v>1.11.7</v>
          </cell>
          <cell r="B760" t="str">
            <v>ALISTADO ENDURECIDO</v>
          </cell>
          <cell r="C760" t="str">
            <v>M2</v>
          </cell>
          <cell r="D760">
            <v>0</v>
          </cell>
        </row>
        <row r="761">
          <cell r="A761" t="str">
            <v>1.11.8</v>
          </cell>
          <cell r="B761" t="str">
            <v>ALISTADO PARA LISTÓN</v>
          </cell>
          <cell r="C761" t="str">
            <v>M2</v>
          </cell>
          <cell r="D761">
            <v>0</v>
          </cell>
        </row>
        <row r="762">
          <cell r="A762" t="str">
            <v>1.11.9</v>
          </cell>
          <cell r="B762" t="str">
            <v>ALISTADO TERRAZAS 0.08</v>
          </cell>
          <cell r="C762" t="str">
            <v>M2</v>
          </cell>
          <cell r="D762">
            <v>0</v>
          </cell>
        </row>
        <row r="763">
          <cell r="A763" t="str">
            <v>1.11.10</v>
          </cell>
          <cell r="B763" t="str">
            <v>CAÑUELA CONCRETO .20X.12</v>
          </cell>
          <cell r="C763" t="str">
            <v>ML</v>
          </cell>
          <cell r="D763">
            <v>0</v>
          </cell>
        </row>
        <row r="764">
          <cell r="A764" t="str">
            <v>1.11.11</v>
          </cell>
          <cell r="B764" t="str">
            <v>ADOQUÍN CONCRETO 6 CM</v>
          </cell>
          <cell r="C764" t="str">
            <v>M2</v>
          </cell>
          <cell r="D764">
            <v>0</v>
          </cell>
        </row>
        <row r="765">
          <cell r="A765" t="str">
            <v>1.11.12</v>
          </cell>
          <cell r="B765" t="str">
            <v>ADOQUÍN CONCRETO 8 CM</v>
          </cell>
          <cell r="C765" t="str">
            <v>M2</v>
          </cell>
          <cell r="D765">
            <v>0</v>
          </cell>
        </row>
        <row r="766">
          <cell r="A766" t="str">
            <v>1.11.13</v>
          </cell>
          <cell r="B766" t="str">
            <v>PIRLANES ALUMINIO</v>
          </cell>
          <cell r="C766" t="str">
            <v>ML</v>
          </cell>
          <cell r="D766">
            <v>0</v>
          </cell>
        </row>
        <row r="767">
          <cell r="A767" t="str">
            <v>1.11.14</v>
          </cell>
          <cell r="B767" t="str">
            <v>PIRLANES LADRILLO</v>
          </cell>
          <cell r="C767" t="str">
            <v>ML</v>
          </cell>
          <cell r="D767">
            <v>0</v>
          </cell>
        </row>
        <row r="768">
          <cell r="A768" t="str">
            <v>1.11.15</v>
          </cell>
          <cell r="B768" t="str">
            <v xml:space="preserve"> PISO EN GRAMA</v>
          </cell>
          <cell r="C768" t="str">
            <v>M2</v>
          </cell>
          <cell r="D768">
            <v>0</v>
          </cell>
        </row>
        <row r="769">
          <cell r="A769" t="str">
            <v>1.11.16</v>
          </cell>
          <cell r="B769" t="str">
            <v xml:space="preserve"> PISO EN POLVO DE LADRILLO</v>
          </cell>
          <cell r="C769" t="str">
            <v>M3</v>
          </cell>
          <cell r="D769">
            <v>0</v>
          </cell>
        </row>
        <row r="770">
          <cell r="A770" t="str">
            <v>1.11.17</v>
          </cell>
          <cell r="B770" t="str">
            <v xml:space="preserve"> PISO VINILO PISOPAK 1.6MM</v>
          </cell>
          <cell r="C770" t="str">
            <v>M2</v>
          </cell>
          <cell r="D770">
            <v>0</v>
          </cell>
        </row>
        <row r="771">
          <cell r="A771" t="str">
            <v>1.11.19</v>
          </cell>
          <cell r="B771" t="str">
            <v>PLACA BASE EN CONCRETO E= 0.08 2500 PSI</v>
          </cell>
          <cell r="C771" t="str">
            <v>M2</v>
          </cell>
          <cell r="D771">
            <v>0</v>
          </cell>
        </row>
        <row r="772">
          <cell r="A772" t="str">
            <v>1.11.20</v>
          </cell>
          <cell r="B772" t="str">
            <v>PLACA BASE EN CONCRETO E=0.10 2500 PSI</v>
          </cell>
          <cell r="C772" t="str">
            <v>M2</v>
          </cell>
          <cell r="D772">
            <v>0</v>
          </cell>
        </row>
        <row r="773">
          <cell r="A773" t="str">
            <v>6.4.2.129</v>
          </cell>
          <cell r="B773" t="str">
            <v>PINTURA EPOXICA PARA MUROS A DOS MANOS</v>
          </cell>
          <cell r="C773" t="str">
            <v>M2</v>
          </cell>
          <cell r="D773">
            <v>0</v>
          </cell>
        </row>
        <row r="774">
          <cell r="A774" t="str">
            <v>1.11.21</v>
          </cell>
          <cell r="B774" t="str">
            <v>POYOS COCINA Y BASE MUEBLES A=0.60 M E=0.08 m</v>
          </cell>
          <cell r="C774" t="str">
            <v>ML</v>
          </cell>
          <cell r="D774">
            <v>0</v>
          </cell>
        </row>
        <row r="775">
          <cell r="A775" t="str">
            <v>1.11.22</v>
          </cell>
          <cell r="B775" t="str">
            <v>ALISTADO PISO E=0.04 - 1:5</v>
          </cell>
          <cell r="C775" t="str">
            <v>M2</v>
          </cell>
          <cell r="D775">
            <v>0</v>
          </cell>
        </row>
        <row r="776">
          <cell r="A776" t="str">
            <v>1.11.23</v>
          </cell>
          <cell r="B776" t="str">
            <v>ALISTADO PENDIENTADO E IMPERMEABILIZADO E=0.04 - 1:3</v>
          </cell>
          <cell r="C776" t="str">
            <v>M2</v>
          </cell>
          <cell r="D776">
            <v>0</v>
          </cell>
        </row>
        <row r="777">
          <cell r="A777" t="str">
            <v>1.11.24</v>
          </cell>
          <cell r="B777" t="str">
            <v>BALDOSIN DE GRANITO No. 5  30*30*1.7</v>
          </cell>
          <cell r="C777" t="str">
            <v>M2</v>
          </cell>
          <cell r="D777">
            <v>0</v>
          </cell>
        </row>
        <row r="778">
          <cell r="A778" t="str">
            <v>1.11.25</v>
          </cell>
          <cell r="B778" t="str">
            <v xml:space="preserve">  BALDOSIN DE CEMENTO 25*25</v>
          </cell>
          <cell r="C778" t="str">
            <v>M2</v>
          </cell>
          <cell r="D778">
            <v>0</v>
          </cell>
        </row>
        <row r="779">
          <cell r="A779" t="str">
            <v>1.11.26</v>
          </cell>
          <cell r="B779" t="str">
            <v>PISO PLANCHUELA DE MARMOL BRECCIA</v>
          </cell>
          <cell r="C779" t="str">
            <v>M2</v>
          </cell>
          <cell r="D779">
            <v>0</v>
          </cell>
        </row>
        <row r="780">
          <cell r="A780" t="str">
            <v>1.11.28</v>
          </cell>
          <cell r="B780" t="str">
            <v>TABLETA DE GRES 20*20</v>
          </cell>
          <cell r="C780" t="str">
            <v>M2</v>
          </cell>
          <cell r="D780">
            <v>0</v>
          </cell>
        </row>
        <row r="781">
          <cell r="A781" t="str">
            <v>1.11.29</v>
          </cell>
          <cell r="B781" t="str">
            <v>PISO CERAMICA  20,5*20,5</v>
          </cell>
          <cell r="C781" t="str">
            <v>M2</v>
          </cell>
          <cell r="D781">
            <v>0</v>
          </cell>
        </row>
        <row r="782">
          <cell r="A782" t="str">
            <v>1.11.30</v>
          </cell>
          <cell r="B782" t="str">
            <v>PISO CERAMICA 30*30</v>
          </cell>
          <cell r="C782" t="str">
            <v>M2</v>
          </cell>
          <cell r="D782">
            <v>0</v>
          </cell>
        </row>
        <row r="783">
          <cell r="A783" t="str">
            <v>1.11.31</v>
          </cell>
          <cell r="B783" t="str">
            <v>ADOQUIN GRES PEATONAL 10*20*2.5</v>
          </cell>
          <cell r="C783" t="str">
            <v>M2</v>
          </cell>
          <cell r="D783">
            <v>0</v>
          </cell>
        </row>
        <row r="784">
          <cell r="A784" t="str">
            <v>1.11.32</v>
          </cell>
          <cell r="B784" t="str">
            <v xml:space="preserve"> ADOQUIN GRES VEHICULAR 10*20*5</v>
          </cell>
          <cell r="C784" t="str">
            <v>M2</v>
          </cell>
          <cell r="D784">
            <v>0</v>
          </cell>
        </row>
        <row r="785">
          <cell r="A785" t="str">
            <v>1.11.33</v>
          </cell>
          <cell r="B785" t="str">
            <v xml:space="preserve"> ADOQUIN GRES VEHICULAR 10*20*5</v>
          </cell>
          <cell r="C785" t="str">
            <v>M2</v>
          </cell>
          <cell r="D785">
            <v>0</v>
          </cell>
        </row>
        <row r="786">
          <cell r="A786" t="str">
            <v>1.11.34</v>
          </cell>
          <cell r="B786" t="str">
            <v>PISO GRANITO PULIDO</v>
          </cell>
          <cell r="C786" t="str">
            <v>M2</v>
          </cell>
          <cell r="D786">
            <v>0</v>
          </cell>
        </row>
        <row r="787">
          <cell r="A787" t="str">
            <v>1.11.35</v>
          </cell>
          <cell r="B787" t="str">
            <v>PISO EN GRANITO LAVADO</v>
          </cell>
          <cell r="C787" t="str">
            <v>M2</v>
          </cell>
          <cell r="D787">
            <v>0</v>
          </cell>
        </row>
        <row r="788">
          <cell r="A788" t="str">
            <v>1.11.36</v>
          </cell>
          <cell r="B788" t="str">
            <v>PISO LISTON MADERA M.H. AMARILLO E= 0.08 M</v>
          </cell>
          <cell r="C788" t="str">
            <v>M2</v>
          </cell>
          <cell r="D788">
            <v>0</v>
          </cell>
        </row>
        <row r="789">
          <cell r="A789" t="str">
            <v>1.11.37</v>
          </cell>
          <cell r="B789" t="str">
            <v xml:space="preserve"> PISO ALFOMBRA RESIDENCIAL ALFA BERBER O SIMILAR</v>
          </cell>
          <cell r="C789" t="str">
            <v>M2</v>
          </cell>
          <cell r="D789">
            <v>0</v>
          </cell>
        </row>
        <row r="790">
          <cell r="A790" t="str">
            <v>1.11.38</v>
          </cell>
          <cell r="B790" t="str">
            <v>PISO ALFOMBRA RESIDENCIAL TERUEL 7 mm O SIMILAR</v>
          </cell>
          <cell r="C790" t="str">
            <v>M2</v>
          </cell>
          <cell r="D790">
            <v>0</v>
          </cell>
        </row>
        <row r="791">
          <cell r="A791" t="str">
            <v>1.11.39</v>
          </cell>
          <cell r="B791" t="str">
            <v>PASOS ESCALERA GRAVILLA LAVADA</v>
          </cell>
          <cell r="C791" t="str">
            <v>ML</v>
          </cell>
          <cell r="D791">
            <v>0</v>
          </cell>
        </row>
        <row r="792">
          <cell r="A792" t="str">
            <v>1.11.40</v>
          </cell>
          <cell r="B792" t="str">
            <v>PASO ESCALERA GRANITO</v>
          </cell>
          <cell r="C792" t="str">
            <v>ML</v>
          </cell>
          <cell r="D792">
            <v>0</v>
          </cell>
        </row>
        <row r="793">
          <cell r="A793" t="str">
            <v>1.11.41</v>
          </cell>
          <cell r="B793" t="str">
            <v>GUARDAESCOBA  GRANITO</v>
          </cell>
          <cell r="C793" t="str">
            <v>ML</v>
          </cell>
          <cell r="D793">
            <v>0</v>
          </cell>
        </row>
        <row r="794">
          <cell r="A794" t="str">
            <v>1.11.42</v>
          </cell>
          <cell r="B794" t="str">
            <v>GUARDAESCOBA BALDOSIN</v>
          </cell>
          <cell r="C794" t="str">
            <v>ML</v>
          </cell>
          <cell r="D794">
            <v>0</v>
          </cell>
        </row>
        <row r="795">
          <cell r="A795" t="str">
            <v>1.11.43</v>
          </cell>
          <cell r="B795" t="str">
            <v>GUARDAESCOBA GRAVILLA LAVADA</v>
          </cell>
          <cell r="C795" t="str">
            <v>ML</v>
          </cell>
          <cell r="D795">
            <v>0</v>
          </cell>
        </row>
        <row r="796">
          <cell r="A796" t="str">
            <v>1.11.44</v>
          </cell>
          <cell r="B796" t="str">
            <v xml:space="preserve"> GUARDAESCOBA VIROLA 8 CM</v>
          </cell>
          <cell r="C796" t="str">
            <v>ML</v>
          </cell>
          <cell r="D796">
            <v>0</v>
          </cell>
        </row>
        <row r="797">
          <cell r="A797" t="str">
            <v>1.11.45</v>
          </cell>
          <cell r="B797" t="str">
            <v>GUARDAESCOBA VINISOL 7 CM</v>
          </cell>
          <cell r="C797" t="str">
            <v>ML</v>
          </cell>
          <cell r="D797">
            <v>0</v>
          </cell>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v>0</v>
          </cell>
        </row>
        <row r="803">
          <cell r="A803" t="str">
            <v>1.12.7</v>
          </cell>
          <cell r="B803" t="str">
            <v xml:space="preserve"> SUMINISTRO E INSTALACIÓN CUBIERTA EN TEJA FIBROCEMENTO TEJA 1000</v>
          </cell>
          <cell r="C803" t="str">
            <v>M2</v>
          </cell>
          <cell r="D803">
            <v>0</v>
          </cell>
        </row>
        <row r="804">
          <cell r="A804" t="str">
            <v>1.12.8</v>
          </cell>
          <cell r="B804" t="str">
            <v>SUMINISTRO E INSTALACIÓN CUBIERTA EN TEJA TECHOLINE</v>
          </cell>
          <cell r="C804" t="str">
            <v>M2</v>
          </cell>
          <cell r="D804">
            <v>0</v>
          </cell>
        </row>
        <row r="805">
          <cell r="A805" t="str">
            <v>1.12.9</v>
          </cell>
          <cell r="B805" t="str">
            <v>SUMINISTRO E INSTALACIÓN CANAL EN LAMINA CAL. 22</v>
          </cell>
          <cell r="C805" t="str">
            <v>ML</v>
          </cell>
          <cell r="D805">
            <v>0</v>
          </cell>
        </row>
        <row r="806">
          <cell r="A806" t="str">
            <v>1.12.10</v>
          </cell>
          <cell r="B806" t="str">
            <v>SUMINISTRO E INSTALACIÓN BAJANTE EN LAMINA 12 X 6  CAL. 22</v>
          </cell>
          <cell r="C806" t="str">
            <v>ML</v>
          </cell>
          <cell r="D806">
            <v>0</v>
          </cell>
        </row>
        <row r="807">
          <cell r="A807" t="str">
            <v>1.12.11</v>
          </cell>
          <cell r="B807" t="str">
            <v xml:space="preserve"> SUMINISTRO E INSTALACIÓN CANAL PLASTICA  ALL 3 M</v>
          </cell>
          <cell r="C807" t="str">
            <v>ML</v>
          </cell>
          <cell r="D807">
            <v>0</v>
          </cell>
        </row>
        <row r="808">
          <cell r="A808" t="str">
            <v>1.12.12</v>
          </cell>
          <cell r="B808" t="str">
            <v>SUMINISTRO E INSTALACIÓN BAJANTE PLASTICA ALL X 3M</v>
          </cell>
          <cell r="C808" t="str">
            <v>ML</v>
          </cell>
          <cell r="D808">
            <v>0</v>
          </cell>
        </row>
        <row r="809">
          <cell r="A809" t="str">
            <v>1.12.13</v>
          </cell>
          <cell r="B809" t="str">
            <v>SUMINISTRO E INSTALACIÓN CUBIERTA LAMINA POLICARBONATO  Cal. 6 mm</v>
          </cell>
          <cell r="C809" t="str">
            <v>M2</v>
          </cell>
          <cell r="D809">
            <v>0</v>
          </cell>
        </row>
        <row r="810">
          <cell r="A810" t="str">
            <v>1.12.14</v>
          </cell>
          <cell r="B810" t="str">
            <v xml:space="preserve"> SUMINISTRO E INSTALACIÓN CUBIERTA ARQUITECTONICA EN ACERO</v>
          </cell>
          <cell r="C810" t="str">
            <v>M2</v>
          </cell>
          <cell r="D810">
            <v>0</v>
          </cell>
        </row>
        <row r="811">
          <cell r="A811" t="str">
            <v>1.12.15</v>
          </cell>
          <cell r="B811" t="str">
            <v>SUMINISTRO E INSTALACIÓN CUBIERTA TEJA ONDULADA THERMOACUSTICA 0.83 X 3.05</v>
          </cell>
          <cell r="C811" t="str">
            <v>M2</v>
          </cell>
          <cell r="D811">
            <v>0</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v>0</v>
          </cell>
        </row>
        <row r="813">
          <cell r="A813" t="str">
            <v>1.12.17</v>
          </cell>
          <cell r="B813" t="str">
            <v>SUMINISTRO E INSTALACIÓN PERFILERIA METALICA PARA ESTRUCTURA DE CUBIERTA. DIMENSIONES Y CALIBRES SEGÚN DISEÑO</v>
          </cell>
          <cell r="C813" t="str">
            <v>M2</v>
          </cell>
          <cell r="D813">
            <v>0</v>
          </cell>
        </row>
        <row r="814">
          <cell r="A814" t="str">
            <v>1.12.18</v>
          </cell>
          <cell r="B814" t="str">
            <v xml:space="preserve"> BAJANTE PAVCO</v>
          </cell>
          <cell r="C814" t="str">
            <v>ML</v>
          </cell>
          <cell r="D814">
            <v>0</v>
          </cell>
        </row>
        <row r="815">
          <cell r="A815" t="str">
            <v>1.12.19</v>
          </cell>
          <cell r="B815" t="str">
            <v>CANAL PAVCO AMAZONA</v>
          </cell>
          <cell r="C815" t="str">
            <v>ML</v>
          </cell>
          <cell r="D815">
            <v>0</v>
          </cell>
        </row>
        <row r="816">
          <cell r="A816" t="str">
            <v>1.12.20</v>
          </cell>
          <cell r="B816" t="str">
            <v xml:space="preserve"> CANAL PAVCO RAINGO</v>
          </cell>
          <cell r="C816" t="str">
            <v>ML</v>
          </cell>
          <cell r="D816">
            <v>0</v>
          </cell>
        </row>
        <row r="817">
          <cell r="A817" t="str">
            <v>1.12.21</v>
          </cell>
          <cell r="B817" t="str">
            <v>1.12.21   CANAL PVC 3</v>
          </cell>
          <cell r="C817" t="str">
            <v>ML</v>
          </cell>
          <cell r="D817">
            <v>0</v>
          </cell>
        </row>
        <row r="818">
          <cell r="A818" t="str">
            <v>1.12.22</v>
          </cell>
          <cell r="B818" t="str">
            <v>CUBIERTA CORPATECHO CORPACERO</v>
          </cell>
          <cell r="C818" t="str">
            <v>M2</v>
          </cell>
          <cell r="D818">
            <v>0</v>
          </cell>
        </row>
        <row r="819">
          <cell r="A819" t="str">
            <v>1.12.23</v>
          </cell>
          <cell r="B819" t="str">
            <v>CUBIERTA SENCILLA HUNTER DOUGLAS</v>
          </cell>
          <cell r="C819" t="str">
            <v>M2</v>
          </cell>
          <cell r="D819">
            <v>0</v>
          </cell>
        </row>
        <row r="820">
          <cell r="A820" t="str">
            <v>1.12.24</v>
          </cell>
          <cell r="B820" t="str">
            <v>CUBIERTA TEJA CALIFORNIA DINALSA</v>
          </cell>
          <cell r="C820" t="str">
            <v>M2</v>
          </cell>
          <cell r="D820">
            <v>0</v>
          </cell>
        </row>
        <row r="821">
          <cell r="A821" t="str">
            <v>1.12.25</v>
          </cell>
          <cell r="B821" t="str">
            <v>CUBIERTA TEJA DURALUM 812 DINALSA</v>
          </cell>
          <cell r="C821" t="str">
            <v>M2</v>
          </cell>
          <cell r="D821">
            <v>0</v>
          </cell>
        </row>
        <row r="822">
          <cell r="A822" t="str">
            <v>1.12.26</v>
          </cell>
          <cell r="B822" t="str">
            <v xml:space="preserve">  ESTRUCTURA DE MADERA P/TEJA DE BARRO</v>
          </cell>
          <cell r="C822" t="str">
            <v>ML</v>
          </cell>
          <cell r="D822">
            <v>0</v>
          </cell>
        </row>
        <row r="823">
          <cell r="A823" t="str">
            <v>1.12.27</v>
          </cell>
          <cell r="B823" t="str">
            <v>ESTRUCTURA DE MADERA P/TEJA FIBROCEMENTO</v>
          </cell>
          <cell r="C823" t="str">
            <v>ML</v>
          </cell>
          <cell r="D823">
            <v>0</v>
          </cell>
        </row>
        <row r="824">
          <cell r="A824" t="str">
            <v>1.12.28</v>
          </cell>
          <cell r="B824" t="str">
            <v>ESTRUCTURA METÁLICA P/TEJA FIBROCEMENTO</v>
          </cell>
          <cell r="C824" t="str">
            <v>ML</v>
          </cell>
          <cell r="D824">
            <v>0</v>
          </cell>
        </row>
        <row r="825">
          <cell r="A825" t="str">
            <v>1.12.29</v>
          </cell>
          <cell r="B825" t="str">
            <v xml:space="preserve"> IMPERMEABILIZACIÓN AUTOPROTEGIDA</v>
          </cell>
          <cell r="C825" t="str">
            <v>ML</v>
          </cell>
          <cell r="D825">
            <v>0</v>
          </cell>
        </row>
        <row r="826">
          <cell r="A826" t="str">
            <v>1.12.30</v>
          </cell>
          <cell r="B826" t="str">
            <v>SHINGLE CON IMPERMEABILIZANTE</v>
          </cell>
          <cell r="C826" t="str">
            <v>M2</v>
          </cell>
          <cell r="D826">
            <v>0</v>
          </cell>
        </row>
        <row r="827">
          <cell r="A827" t="str">
            <v>1.12.31</v>
          </cell>
          <cell r="B827" t="str">
            <v>TRAGANTES  6</v>
          </cell>
          <cell r="C827" t="str">
            <v>UN</v>
          </cell>
          <cell r="D827">
            <v>0</v>
          </cell>
        </row>
        <row r="828">
          <cell r="A828" t="str">
            <v>1.12.32</v>
          </cell>
          <cell r="B828" t="str">
            <v>SUMINISTRO E INSTALACIÓN CANALETA 90 L= 4.50 mts.</v>
          </cell>
          <cell r="C828" t="str">
            <v>M2</v>
          </cell>
          <cell r="D828">
            <v>0</v>
          </cell>
        </row>
        <row r="829">
          <cell r="A829" t="str">
            <v>1.12.33</v>
          </cell>
          <cell r="B829" t="str">
            <v>SUMINISTRO E INSTALACIÓN CANALETA 90 L= 5.00</v>
          </cell>
          <cell r="C829" t="str">
            <v>M2</v>
          </cell>
          <cell r="D829">
            <v>0</v>
          </cell>
        </row>
        <row r="830">
          <cell r="A830" t="str">
            <v>1.12.34</v>
          </cell>
          <cell r="B830" t="str">
            <v>SUMINISTRO E INSTALACIÓN CANALETA 90 L= 6.00 mts.</v>
          </cell>
          <cell r="C830" t="str">
            <v>M2</v>
          </cell>
          <cell r="D830">
            <v>0</v>
          </cell>
        </row>
        <row r="831">
          <cell r="A831" t="str">
            <v>1.12.35</v>
          </cell>
          <cell r="B831" t="str">
            <v xml:space="preserve"> SUMINISTRO E INSTALACIÓN CANALETA 90 L=  7.00 mts.</v>
          </cell>
          <cell r="C831" t="str">
            <v>M2</v>
          </cell>
          <cell r="D831">
            <v>0</v>
          </cell>
        </row>
        <row r="832">
          <cell r="A832" t="str">
            <v>1.12.36</v>
          </cell>
          <cell r="B832" t="str">
            <v>SUMINISTRO E INSTALACIÓN CANALETA 90 L= 8.00 mts.</v>
          </cell>
          <cell r="C832" t="str">
            <v>M2</v>
          </cell>
          <cell r="D832">
            <v>0</v>
          </cell>
        </row>
        <row r="833">
          <cell r="A833" t="str">
            <v>1.12.37</v>
          </cell>
          <cell r="B833" t="str">
            <v xml:space="preserve"> SUMINISTRO E INSTALACIÓN CANALETA 90 L= 9.00 mts.</v>
          </cell>
          <cell r="C833" t="str">
            <v>M2</v>
          </cell>
          <cell r="D833">
            <v>0</v>
          </cell>
        </row>
        <row r="834">
          <cell r="A834" t="str">
            <v>1.12.38</v>
          </cell>
          <cell r="B834" t="str">
            <v>SUMINISTRO E INSTALACIÓN CANALETA 43 L= 3.50 mts.</v>
          </cell>
          <cell r="C834" t="str">
            <v>M2</v>
          </cell>
          <cell r="D834">
            <v>0</v>
          </cell>
        </row>
        <row r="835">
          <cell r="A835" t="str">
            <v>1.12.39</v>
          </cell>
          <cell r="B835" t="str">
            <v>SUMINISTRO E INSTALACIÓN CANALETA 43 L= 4.00 mts.</v>
          </cell>
          <cell r="C835" t="str">
            <v>M2</v>
          </cell>
          <cell r="D835">
            <v>0</v>
          </cell>
        </row>
        <row r="836">
          <cell r="A836" t="str">
            <v>1.12.40</v>
          </cell>
          <cell r="B836" t="str">
            <v>SUMINISTRO E INSTALACIÓN CANALETA 43 L= 4.50 mts.</v>
          </cell>
          <cell r="C836" t="str">
            <v>M2</v>
          </cell>
          <cell r="D836">
            <v>0</v>
          </cell>
        </row>
        <row r="837">
          <cell r="A837" t="str">
            <v>1.12.41</v>
          </cell>
          <cell r="B837" t="str">
            <v xml:space="preserve"> SUMINISTRO E INSTALACIÓN CANALETA 43 L= 5.00 mts.</v>
          </cell>
          <cell r="C837" t="str">
            <v>M2</v>
          </cell>
          <cell r="D837">
            <v>0</v>
          </cell>
        </row>
        <row r="838">
          <cell r="A838" t="str">
            <v>1.12.42</v>
          </cell>
          <cell r="B838" t="str">
            <v>SUMINISTRO E INSTALACIÓN CANALETA 43 L= 5.50 mts.</v>
          </cell>
          <cell r="C838" t="str">
            <v>M2</v>
          </cell>
          <cell r="D838">
            <v>0</v>
          </cell>
        </row>
        <row r="839">
          <cell r="A839" t="str">
            <v>1.12.43</v>
          </cell>
          <cell r="B839" t="str">
            <v>SUMINISTRO E INSTALACIÓN CANALETA 43 L= 6.00 mts.</v>
          </cell>
          <cell r="C839" t="str">
            <v>M2</v>
          </cell>
          <cell r="D839">
            <v>0</v>
          </cell>
        </row>
        <row r="840">
          <cell r="A840" t="str">
            <v>1.12.44</v>
          </cell>
          <cell r="B840" t="str">
            <v>SUMINISTRO E INTALACION CUBIERTA ARQUITECTONICA METALICA TIPO ACESCO O SIMILAR 0.73 X 3.66  M</v>
          </cell>
          <cell r="C840" t="str">
            <v>M2</v>
          </cell>
          <cell r="D840">
            <v>0</v>
          </cell>
        </row>
        <row r="841">
          <cell r="A841" t="str">
            <v>1.12.45</v>
          </cell>
          <cell r="B841" t="str">
            <v>SUMINISTRO E INSTALACIÓN ENTRAMADO PARA TEJA DE BARRO</v>
          </cell>
          <cell r="C841" t="str">
            <v>M2</v>
          </cell>
          <cell r="D841">
            <v>0</v>
          </cell>
        </row>
        <row r="842">
          <cell r="A842" t="str">
            <v>1.12.46</v>
          </cell>
          <cell r="B842" t="str">
            <v>SUMINISTRO E INSTALACIÓN ENTRAMADO PARA TEJA  ESPAÑOLA EN FIBROCEMENTO</v>
          </cell>
          <cell r="C842" t="str">
            <v>M2</v>
          </cell>
          <cell r="D842">
            <v>0</v>
          </cell>
        </row>
        <row r="843">
          <cell r="A843" t="str">
            <v>1.12.47</v>
          </cell>
          <cell r="B843" t="str">
            <v>SUMINISTRO E INSTALACIÓN ENTRAMADO PARA TEJA  ONDULADA</v>
          </cell>
          <cell r="C843" t="str">
            <v>M2</v>
          </cell>
          <cell r="D843">
            <v>0</v>
          </cell>
        </row>
        <row r="844">
          <cell r="A844" t="str">
            <v>1.12.48</v>
          </cell>
          <cell r="B844" t="str">
            <v>SUMINISTRO E INSTALACIÓN CABALLETE ARTICULADO TEJA ESPAÑOLA EN FIBROCEMENTO</v>
          </cell>
          <cell r="C844" t="str">
            <v>ML</v>
          </cell>
          <cell r="D844">
            <v>0</v>
          </cell>
        </row>
        <row r="845">
          <cell r="A845" t="str">
            <v>1.12.49</v>
          </cell>
          <cell r="B845" t="str">
            <v>ALISTADO E IMPERMEABILIZADO PARA TEJA BARRO</v>
          </cell>
          <cell r="C845" t="str">
            <v>M2</v>
          </cell>
          <cell r="D845">
            <v>0</v>
          </cell>
        </row>
        <row r="846">
          <cell r="A846" t="str">
            <v>1.12.50</v>
          </cell>
          <cell r="B846" t="str">
            <v>AFINADO CUBIERTAS PLANAS</v>
          </cell>
          <cell r="C846" t="str">
            <v>M2</v>
          </cell>
          <cell r="D846">
            <v>0</v>
          </cell>
        </row>
        <row r="847">
          <cell r="A847" t="str">
            <v>1.12.51</v>
          </cell>
          <cell r="B847" t="str">
            <v>SUMINISTRO E INSTALACIÓN TEJA DE BARRO TIPO ESPAÑOLA</v>
          </cell>
          <cell r="C847" t="str">
            <v>M2</v>
          </cell>
          <cell r="D847">
            <v>0</v>
          </cell>
        </row>
        <row r="848">
          <cell r="A848" t="str">
            <v>1.12.52</v>
          </cell>
          <cell r="B848" t="str">
            <v>SUMINISTRO E INSTALACIÓN TEJA  ESPAÑOLA ETERNIT (NO INCLUYE ENTRAMADO)</v>
          </cell>
          <cell r="C848" t="str">
            <v>M2</v>
          </cell>
          <cell r="D848">
            <v>0</v>
          </cell>
        </row>
        <row r="849">
          <cell r="A849" t="str">
            <v>1.12.53</v>
          </cell>
          <cell r="B849" t="str">
            <v>SUMINISTRO E INSTALACION TEJA DE BARRO SOBRE ETERNIT.</v>
          </cell>
          <cell r="C849" t="str">
            <v>M2</v>
          </cell>
          <cell r="D849">
            <v>0</v>
          </cell>
        </row>
        <row r="850">
          <cell r="A850" t="str">
            <v>1.15.4</v>
          </cell>
          <cell r="B850" t="str">
            <v>SUMINISTRO E INSTALACIÓN PUERTA VENTANA EN LAMINA CAL 18 INC. ANTICORR.</v>
          </cell>
          <cell r="C850" t="str">
            <v>M2</v>
          </cell>
          <cell r="D850">
            <v>0</v>
          </cell>
        </row>
        <row r="851">
          <cell r="A851" t="str">
            <v>1.15.5</v>
          </cell>
          <cell r="B851" t="str">
            <v>VENTANA EN ALUMINIO  CORREDIZA</v>
          </cell>
          <cell r="C851" t="str">
            <v>M2</v>
          </cell>
          <cell r="D851">
            <v>0</v>
          </cell>
        </row>
        <row r="852">
          <cell r="A852" t="str">
            <v>1.15.6</v>
          </cell>
          <cell r="B852" t="str">
            <v>VENTANA EN ALUMINIO  PROYECTANTE</v>
          </cell>
          <cell r="C852" t="str">
            <v>M2</v>
          </cell>
          <cell r="D852">
            <v>0</v>
          </cell>
        </row>
        <row r="853">
          <cell r="A853" t="str">
            <v>1.15.7</v>
          </cell>
          <cell r="B853" t="str">
            <v xml:space="preserve"> PUERTA DE ACCESO EN ALUMINIO PERFIL  1 1/2" X 1 1/2"</v>
          </cell>
          <cell r="C853" t="str">
            <v>M2</v>
          </cell>
          <cell r="D853">
            <v>0</v>
          </cell>
        </row>
        <row r="854">
          <cell r="A854" t="str">
            <v>1.15.8</v>
          </cell>
          <cell r="B854" t="str">
            <v>SUMINISTRO E INSTALACIÓN REJA  BANCARIA INC. ANTICORROSIVO</v>
          </cell>
          <cell r="C854" t="str">
            <v>M2</v>
          </cell>
          <cell r="D854">
            <v>0</v>
          </cell>
        </row>
        <row r="855">
          <cell r="A855" t="str">
            <v>1.15.9</v>
          </cell>
          <cell r="B855" t="str">
            <v>SUMINISTRO E INSTALACIÓN REJA EN LAMINA CAL. 18 INC. ANTICORROSIVO</v>
          </cell>
          <cell r="C855" t="str">
            <v>M2</v>
          </cell>
          <cell r="D855">
            <v>0</v>
          </cell>
        </row>
        <row r="856">
          <cell r="A856" t="str">
            <v>1.15.10</v>
          </cell>
          <cell r="B856" t="str">
            <v>ESCALERA DE GATO INC. ANTICORR. TUBO D=1"</v>
          </cell>
          <cell r="C856" t="str">
            <v>M2</v>
          </cell>
          <cell r="D856">
            <v>0</v>
          </cell>
        </row>
        <row r="857">
          <cell r="A857" t="str">
            <v>1.15.11</v>
          </cell>
          <cell r="B857" t="str">
            <v>SUMINISTRO E INSTALACION PUERTA Y MARCO CAL. 18  1 X 2  INCLUYE  ANTICORROSIVO</v>
          </cell>
          <cell r="C857" t="str">
            <v>UN</v>
          </cell>
          <cell r="D857">
            <v>0</v>
          </cell>
        </row>
        <row r="858">
          <cell r="A858" t="str">
            <v>1.15.12</v>
          </cell>
          <cell r="B858" t="str">
            <v xml:space="preserve"> CORREA 2 D=1/2" 1 D=1/2" CELOSIA EN 3/8" INC. ANTICORR.</v>
          </cell>
          <cell r="C858" t="str">
            <v>ML</v>
          </cell>
          <cell r="D858">
            <v>0</v>
          </cell>
        </row>
        <row r="859">
          <cell r="A859" t="str">
            <v>1.15.13</v>
          </cell>
          <cell r="B859" t="str">
            <v>CORREA 2 D=1/2" 1 D=5/8" CELOSIA EN 3/8 INC. ANTICORR.</v>
          </cell>
          <cell r="C859" t="str">
            <v>ML</v>
          </cell>
          <cell r="D859">
            <v>0</v>
          </cell>
        </row>
        <row r="860">
          <cell r="A860" t="str">
            <v>1.15.14</v>
          </cell>
          <cell r="B860" t="str">
            <v>SUMINISTRO E INSTALACION TEMPLETES INC. ANTICORR.</v>
          </cell>
          <cell r="C860" t="str">
            <v>ML</v>
          </cell>
          <cell r="D860">
            <v>0</v>
          </cell>
        </row>
        <row r="861">
          <cell r="A861" t="str">
            <v>1.15.15</v>
          </cell>
          <cell r="B861" t="str">
            <v>DIVISIONES PARA BAÑO EN ALUMINIO Y VIDRIO TEMPLADO DE 0,05 MM</v>
          </cell>
          <cell r="C861" t="str">
            <v>M2</v>
          </cell>
          <cell r="D861">
            <v>0</v>
          </cell>
        </row>
        <row r="862">
          <cell r="A862" t="str">
            <v>1.15.16</v>
          </cell>
          <cell r="B862" t="str">
            <v>DIVISIONES PARA BAÑOS EN ALUMINIO Y ACRILICO 0.05 MM</v>
          </cell>
          <cell r="C862" t="str">
            <v>M2</v>
          </cell>
          <cell r="D862">
            <v>0</v>
          </cell>
        </row>
        <row r="863">
          <cell r="A863" t="str">
            <v>1.16.1</v>
          </cell>
          <cell r="B863" t="str">
            <v>APARATOS SANITARIOS BAJO CONSUMO CON VALVULA ANTIVANDALICA</v>
          </cell>
          <cell r="C863" t="str">
            <v>UN</v>
          </cell>
          <cell r="D863">
            <v>0</v>
          </cell>
        </row>
        <row r="864">
          <cell r="A864" t="str">
            <v>1.16.2</v>
          </cell>
          <cell r="B864" t="str">
            <v>SUMINISTRO E INSTALACION DE SECADOR ELECTRICO PARA MANOS, AUTOMATICO (MANOS LIBRES)</v>
          </cell>
          <cell r="C864" t="str">
            <v>UN</v>
          </cell>
          <cell r="D864">
            <v>0</v>
          </cell>
        </row>
        <row r="865">
          <cell r="A865" t="str">
            <v>1.16.3</v>
          </cell>
          <cell r="B865" t="str">
            <v>SUMINISTRO E INSTALACION DE DISPENSADOR DE JABON</v>
          </cell>
          <cell r="C865" t="str">
            <v>UN</v>
          </cell>
          <cell r="D865">
            <v>0</v>
          </cell>
        </row>
        <row r="866">
          <cell r="A866" t="str">
            <v>1.16.4</v>
          </cell>
          <cell r="B866" t="str">
            <v>SUMINISTRO EN INSTALACION DE PROTECTOR DE PAPEL HIGIENICO</v>
          </cell>
          <cell r="C866" t="str">
            <v>UN</v>
          </cell>
          <cell r="D866">
            <v>0</v>
          </cell>
        </row>
        <row r="867">
          <cell r="A867" t="str">
            <v>1.16.5</v>
          </cell>
          <cell r="B867" t="str">
            <v>SUMINISTRO E INSTALACION DE GABINETES PARA TOALLAS DE PAPEL PARA BAÑOS EN  ACERO INOXIDABLE</v>
          </cell>
          <cell r="C867" t="str">
            <v>UN</v>
          </cell>
          <cell r="D867">
            <v>0</v>
          </cell>
        </row>
        <row r="868">
          <cell r="A868" t="str">
            <v>1.16.6</v>
          </cell>
          <cell r="B868" t="str">
            <v>DUCHA MEZCLADORA BAÑERA TAYRONA O SIMILAR</v>
          </cell>
          <cell r="C868" t="str">
            <v>UN</v>
          </cell>
          <cell r="D868">
            <v>0</v>
          </cell>
        </row>
        <row r="869">
          <cell r="A869" t="str">
            <v>1.16.7</v>
          </cell>
          <cell r="B869" t="str">
            <v>SUMINISTRO E INSTALACIÓN LAVAMANOS ACUACER BLANCO DE COLGAR INC. GRIFERIA</v>
          </cell>
          <cell r="C869" t="str">
            <v>UN</v>
          </cell>
          <cell r="D869">
            <v>0</v>
          </cell>
        </row>
        <row r="870">
          <cell r="A870" t="str">
            <v>1.16.8</v>
          </cell>
          <cell r="B870" t="str">
            <v>SUMINISTRO E INSTALACIÓN LAVAMANOS SOBREPONER ENNA COLOR BLANCO INC. GRIFERIA</v>
          </cell>
          <cell r="C870" t="str">
            <v>UN</v>
          </cell>
          <cell r="D870">
            <v>0</v>
          </cell>
        </row>
        <row r="871">
          <cell r="A871" t="str">
            <v>1.16.9</v>
          </cell>
          <cell r="B871" t="str">
            <v>SUMININISTRO E INSTALACIÓN. LAVAMANOS AVANTI CON PEDESTAL COLOR BLANCO INC. GRIFERIA</v>
          </cell>
          <cell r="C871" t="str">
            <v>UN</v>
          </cell>
          <cell r="D871">
            <v>0</v>
          </cell>
        </row>
        <row r="872">
          <cell r="A872" t="str">
            <v>1.16.10</v>
          </cell>
          <cell r="B872" t="str">
            <v>SUMINISTRO E INSTALACIÓN LAVAMANOS ENSO CON PEDESTAL INC. GRIFERIA</v>
          </cell>
          <cell r="C872" t="str">
            <v>UN</v>
          </cell>
          <cell r="D872">
            <v>0</v>
          </cell>
        </row>
        <row r="873">
          <cell r="A873" t="str">
            <v>1.16.11</v>
          </cell>
          <cell r="B873" t="str">
            <v>SUMINISTRO E INSTALACIÓN SANITARIO AVANTI PLUS BLANCO LAVAMANOS CON PEDESTAL, SANITARIO, GRIFERIA  E INCRUSTACIONES</v>
          </cell>
          <cell r="C873" t="str">
            <v>UN</v>
          </cell>
          <cell r="D873">
            <v>0</v>
          </cell>
        </row>
        <row r="874">
          <cell r="A874" t="str">
            <v>1.16.12</v>
          </cell>
          <cell r="B874" t="str">
            <v>SUMINISTRO E INSTALACIÓN COMBO ACUACER LAVAMANOS, SANITARIO, GRIFERIA  E INCRUSTACIONES</v>
          </cell>
          <cell r="C874" t="str">
            <v>UN</v>
          </cell>
          <cell r="D874">
            <v>0</v>
          </cell>
        </row>
        <row r="875">
          <cell r="A875" t="str">
            <v>1.16.13</v>
          </cell>
          <cell r="B875" t="str">
            <v xml:space="preserve"> SUMINISTRO E INSTALACIÓN COMBO SENSACION LAVAMANOS, SANITARIO, GRIFERIA E INCRUSTACIONES</v>
          </cell>
          <cell r="C875" t="str">
            <v>UN</v>
          </cell>
          <cell r="D875">
            <v>0</v>
          </cell>
        </row>
        <row r="876">
          <cell r="A876" t="str">
            <v>1.16.14</v>
          </cell>
          <cell r="B876" t="str">
            <v xml:space="preserve"> SUMINISTRO E INSTALACIÓN SANITARIO GANAMAX II  LAVAMANOS SEMIPEDESTAL, SANITARIO, GRIFERIA E INCRUSTACIONES</v>
          </cell>
          <cell r="C876" t="str">
            <v>UN</v>
          </cell>
          <cell r="D876">
            <v>0</v>
          </cell>
        </row>
        <row r="877">
          <cell r="A877" t="str">
            <v>1.16.15</v>
          </cell>
          <cell r="B877" t="str">
            <v>SUMINISTRO E INSTALACIÓN ORINAL MEDIANO COMPLETO. GRIF TRADICIONAL CROMO</v>
          </cell>
          <cell r="C877" t="str">
            <v>UN</v>
          </cell>
          <cell r="D877">
            <v>0</v>
          </cell>
        </row>
        <row r="878">
          <cell r="A878" t="str">
            <v>1.16.16</v>
          </cell>
          <cell r="B878" t="str">
            <v>SUMINISTRO E INSTALACIÓN DUCHA SENCILLA</v>
          </cell>
          <cell r="C878" t="str">
            <v>UN</v>
          </cell>
          <cell r="D878">
            <v>0</v>
          </cell>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v>0</v>
          </cell>
        </row>
        <row r="884">
          <cell r="A884" t="str">
            <v>1.17.5</v>
          </cell>
          <cell r="B884" t="str">
            <v xml:space="preserve"> CERADURA ALCOBA  </v>
          </cell>
          <cell r="C884" t="str">
            <v>UN</v>
          </cell>
          <cell r="D884">
            <v>0</v>
          </cell>
        </row>
        <row r="885">
          <cell r="A885" t="str">
            <v>1.17.6</v>
          </cell>
          <cell r="B885" t="str">
            <v xml:space="preserve"> CERRADURA ENTRADA DOBLE CILINDRO  </v>
          </cell>
          <cell r="C885" t="str">
            <v>UN</v>
          </cell>
          <cell r="D885">
            <v>0</v>
          </cell>
        </row>
        <row r="886">
          <cell r="A886" t="str">
            <v>1.18.1</v>
          </cell>
          <cell r="B886" t="str">
            <v xml:space="preserve">  FACHADA EN GRANIPLAS</v>
          </cell>
          <cell r="C886" t="str">
            <v>M2</v>
          </cell>
          <cell r="D886">
            <v>0</v>
          </cell>
        </row>
        <row r="887">
          <cell r="A887" t="str">
            <v>1.18.2</v>
          </cell>
          <cell r="B887" t="str">
            <v>ESTUCO Y PINTURA DE FACHADAS</v>
          </cell>
          <cell r="C887" t="str">
            <v>M2</v>
          </cell>
          <cell r="D887">
            <v>0</v>
          </cell>
        </row>
        <row r="888">
          <cell r="A888" t="str">
            <v>1.18.3</v>
          </cell>
          <cell r="B888" t="str">
            <v>MURO CARA DOBLE EN ETEBOARD 10 MM</v>
          </cell>
          <cell r="C888" t="str">
            <v>M2</v>
          </cell>
          <cell r="D888">
            <v>0</v>
          </cell>
        </row>
        <row r="889">
          <cell r="A889" t="str">
            <v>1.18.4</v>
          </cell>
          <cell r="B889" t="str">
            <v xml:space="preserve"> CONCRETO SARDINELES H=0.40 -  A=0.20   17.5 MPa - (2500 PSI)</v>
          </cell>
          <cell r="C889" t="str">
            <v>ML</v>
          </cell>
          <cell r="D889">
            <v>0</v>
          </cell>
        </row>
        <row r="890">
          <cell r="A890" t="str">
            <v>1.18.5</v>
          </cell>
          <cell r="B890" t="str">
            <v xml:space="preserve"> CONCRETO ANDENES 0.10m 17.5 MPa - (2500PSI)</v>
          </cell>
          <cell r="C890" t="str">
            <v>M2</v>
          </cell>
          <cell r="D890">
            <v>0</v>
          </cell>
        </row>
        <row r="891">
          <cell r="A891" t="str">
            <v>1.18.6</v>
          </cell>
          <cell r="B891" t="str">
            <v>CONCRETO ESTRIADO RAMPAS 17.5 MPa - (2500 PSI)</v>
          </cell>
          <cell r="C891" t="str">
            <v>M2</v>
          </cell>
          <cell r="D891">
            <v>0</v>
          </cell>
        </row>
        <row r="892">
          <cell r="A892" t="str">
            <v>1.18.7</v>
          </cell>
          <cell r="B892" t="str">
            <v xml:space="preserve">  PISO EN GRAMA INCL. TIERRA NEGRA</v>
          </cell>
          <cell r="C892" t="str">
            <v>M2</v>
          </cell>
          <cell r="D892">
            <v>0</v>
          </cell>
        </row>
        <row r="893">
          <cell r="A893" t="str">
            <v>1.18.8</v>
          </cell>
          <cell r="B893" t="str">
            <v xml:space="preserve"> PRADIZACION (PASTO)</v>
          </cell>
          <cell r="C893" t="str">
            <v>M2</v>
          </cell>
          <cell r="D893">
            <v>0</v>
          </cell>
        </row>
        <row r="894">
          <cell r="A894" t="str">
            <v>1.18.9</v>
          </cell>
          <cell r="B894" t="str">
            <v>ASEO GENERAL ENTREGA</v>
          </cell>
          <cell r="C894" t="str">
            <v>M2</v>
          </cell>
          <cell r="D894">
            <v>0</v>
          </cell>
        </row>
        <row r="895">
          <cell r="A895" t="str">
            <v>1.18.10</v>
          </cell>
          <cell r="B895" t="str">
            <v xml:space="preserve"> SUMIDERO EN CONCRETO 17.5 MPa - (2500 PSI) DE 0,7 X 0,3 MTS</v>
          </cell>
          <cell r="C895" t="str">
            <v>UN</v>
          </cell>
          <cell r="D895">
            <v>0</v>
          </cell>
        </row>
        <row r="896">
          <cell r="A896" t="str">
            <v>1.20.1</v>
          </cell>
          <cell r="B896" t="str">
            <v>ACABADO MESON PARA BAÑOS Y COCINA EN MARMOL</v>
          </cell>
          <cell r="C896" t="str">
            <v>M2</v>
          </cell>
          <cell r="D896">
            <v>0</v>
          </cell>
        </row>
        <row r="897">
          <cell r="A897" t="str">
            <v>1.20.2</v>
          </cell>
          <cell r="B897" t="str">
            <v>ACABADO MESON PARA BAÑOS Y COCINA EN GRANITO PULIDO</v>
          </cell>
          <cell r="C897" t="str">
            <v>M2</v>
          </cell>
          <cell r="D897">
            <v>0</v>
          </cell>
        </row>
        <row r="898">
          <cell r="A898" t="str">
            <v>1.20.3</v>
          </cell>
          <cell r="B898" t="str">
            <v>ACABADO MESON PARA BAÑOS Y COCINA EN ACERO INOXIDABLE</v>
          </cell>
          <cell r="C898" t="str">
            <v>ML</v>
          </cell>
          <cell r="D898">
            <v>0</v>
          </cell>
        </row>
        <row r="899">
          <cell r="A899" t="str">
            <v>1.20.4</v>
          </cell>
          <cell r="B899" t="str">
            <v>SUMINISTRO E INSTALACION DE CANECA EN MALLA METALICA M-120, INCLUYE ESTRUCTURA DE APOYO Y ANCLAJE</v>
          </cell>
          <cell r="C899" t="str">
            <v>UN</v>
          </cell>
          <cell r="D899">
            <v>0</v>
          </cell>
        </row>
        <row r="900">
          <cell r="A900" t="str">
            <v>1.20.5</v>
          </cell>
          <cell r="B900" t="str">
            <v xml:space="preserve"> BORDE CONTENEDOR DE RAÍCES A-70</v>
          </cell>
          <cell r="C900" t="str">
            <v>ML</v>
          </cell>
          <cell r="D900">
            <v>0</v>
          </cell>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v>0</v>
          </cell>
        </row>
        <row r="902">
          <cell r="A902" t="str">
            <v>1.20.7</v>
          </cell>
          <cell r="B902" t="str">
            <v>CERRAMIENTO EN MALLA ESLABONADA CAL 10 MM (INCLUYE TUBO AGUA NEGRA DE 2"  Y ANGULO 1"X1"X3/16") H=2.1</v>
          </cell>
          <cell r="C902" t="str">
            <v>M2</v>
          </cell>
          <cell r="D902">
            <v>0</v>
          </cell>
        </row>
        <row r="903">
          <cell r="A903" t="str">
            <v>1.20.8</v>
          </cell>
          <cell r="B903" t="str">
            <v>ACABADO MESON PARA BAÑOS Y COCINA EN FIBRA DE VIDRIO 60 CMS</v>
          </cell>
          <cell r="C903" t="str">
            <v>ML</v>
          </cell>
          <cell r="D903">
            <v>0</v>
          </cell>
        </row>
        <row r="904">
          <cell r="A904" t="str">
            <v>1.20.9</v>
          </cell>
          <cell r="B904" t="str">
            <v>SUMINISTRO E INSTALACION TUBO AGUA NEGRA TIPO PESADO D=2"</v>
          </cell>
          <cell r="C904" t="str">
            <v>ML</v>
          </cell>
          <cell r="D904">
            <v>0</v>
          </cell>
        </row>
        <row r="905">
          <cell r="A905" t="str">
            <v>1.20.10</v>
          </cell>
          <cell r="B905" t="str">
            <v xml:space="preserve">  SUMINISTRO E INSTALACION ALAMBRE DE PUAS</v>
          </cell>
          <cell r="C905" t="str">
            <v>ML</v>
          </cell>
          <cell r="D905">
            <v>0</v>
          </cell>
        </row>
        <row r="906">
          <cell r="A906" t="str">
            <v>1.20.11</v>
          </cell>
          <cell r="B906" t="str">
            <v>CERRAMIENTO MALLA ESLABONADA C. 10 INC. ANGULO</v>
          </cell>
          <cell r="C906" t="str">
            <v>M2</v>
          </cell>
          <cell r="D906">
            <v>0</v>
          </cell>
        </row>
        <row r="907">
          <cell r="A907" t="str">
            <v>2.1.1</v>
          </cell>
          <cell r="B907" t="str">
            <v>RELLENO CON MATERIAL SELECCIONADO PROVENIENTE DE EXCAVACION COMPACTADO CON PLANCHA VIBRADORA</v>
          </cell>
          <cell r="C907" t="str">
            <v>M3</v>
          </cell>
          <cell r="D907">
            <v>0</v>
          </cell>
        </row>
        <row r="908">
          <cell r="A908" t="str">
            <v>2.1.2</v>
          </cell>
          <cell r="B908" t="str">
            <v>SUMINISTRO E INSTALACIÓN TUBERÍA  PVC D= 3"  RDE 9 UNIÓN MECÁNICA</v>
          </cell>
          <cell r="C908" t="str">
            <v>ML</v>
          </cell>
          <cell r="D908">
            <v>0</v>
          </cell>
        </row>
        <row r="909">
          <cell r="A909" t="str">
            <v>2.1.3</v>
          </cell>
          <cell r="B909" t="str">
            <v>SUMINISTRO E INSTALACIÓN TUBERÍA  PVC D= 4"  RDE 9 UNIÓN MECÁNICA</v>
          </cell>
          <cell r="C909" t="str">
            <v>ML</v>
          </cell>
          <cell r="D909">
            <v>0</v>
          </cell>
        </row>
        <row r="910">
          <cell r="A910" t="str">
            <v>2.1.4</v>
          </cell>
          <cell r="B910" t="str">
            <v xml:space="preserve"> SUMINISTRO E INSTALACIÓN TUBERÍA  PVC D= 6"  RDE 9 UNIÓN MECÁNICA</v>
          </cell>
          <cell r="C910" t="str">
            <v>ML</v>
          </cell>
          <cell r="D910">
            <v>0</v>
          </cell>
        </row>
        <row r="911">
          <cell r="A911" t="str">
            <v>2.1.5</v>
          </cell>
          <cell r="B911" t="str">
            <v>SUMINISTRO E INSTALACIÓN TUBERÍA  PVC D= 3"  RDE 11 UNIÓN MECÁNICA</v>
          </cell>
          <cell r="C911" t="str">
            <v>ML</v>
          </cell>
          <cell r="D911">
            <v>0</v>
          </cell>
        </row>
        <row r="912">
          <cell r="A912" t="str">
            <v>2.1.6</v>
          </cell>
          <cell r="B912" t="str">
            <v>SUMINISTRO E INSTALACIÓN TUBERÍA  PVC D= 4"  RDE 11 UNIÓN MECÁNICA</v>
          </cell>
          <cell r="C912" t="str">
            <v>ML</v>
          </cell>
          <cell r="D912">
            <v>0</v>
          </cell>
        </row>
        <row r="913">
          <cell r="A913" t="str">
            <v>2.1.7</v>
          </cell>
          <cell r="B913" t="str">
            <v>SUMINISTRO E INSTALACIÓN TUBERÍA  PVC D= 6"  RDE 11 UNIÓN MECÁNICA</v>
          </cell>
          <cell r="C913" t="str">
            <v>ML</v>
          </cell>
          <cell r="D913">
            <v>0</v>
          </cell>
        </row>
        <row r="914">
          <cell r="A914" t="str">
            <v>2.1.8</v>
          </cell>
          <cell r="B914" t="str">
            <v>SUMINISTRO E INSTALACIÓN TUBERÍA  PVC D= 8"  RDE 11 UNIÓN MECÁNICA</v>
          </cell>
          <cell r="C914" t="str">
            <v>ML</v>
          </cell>
          <cell r="D914">
            <v>0</v>
          </cell>
        </row>
        <row r="915">
          <cell r="A915" t="str">
            <v>2.1.9</v>
          </cell>
          <cell r="B915" t="str">
            <v>SUMINISTRO E INSTALACIÓN TUBERÍA  PVC D= 3"  RDE 13.5 UNIÓN MECÁNICA</v>
          </cell>
          <cell r="C915" t="str">
            <v>ML</v>
          </cell>
          <cell r="D915">
            <v>0</v>
          </cell>
        </row>
        <row r="916">
          <cell r="A916" t="str">
            <v>2.1.10</v>
          </cell>
          <cell r="B916" t="str">
            <v>SUMINISTRO E INSTALACIÓN TUBERÍA  PVC D= 4"  RDE 13.5 UNIÓN MECÁNICA</v>
          </cell>
          <cell r="C916" t="str">
            <v>ML</v>
          </cell>
          <cell r="D916">
            <v>0</v>
          </cell>
        </row>
        <row r="917">
          <cell r="A917" t="str">
            <v>2.1.11</v>
          </cell>
          <cell r="B917" t="str">
            <v>SUMINISTRO E INSTALACIÓN TUBERÍA  PVC D= 6"  RDE 13.5 UNIÓN MECÁNICA</v>
          </cell>
          <cell r="C917" t="str">
            <v>ML</v>
          </cell>
          <cell r="D917">
            <v>0</v>
          </cell>
        </row>
        <row r="918">
          <cell r="A918" t="str">
            <v>2.1.12</v>
          </cell>
          <cell r="B918" t="str">
            <v xml:space="preserve"> SUMINISTRO E INSTALACIÓN TUBERÍA  PVC D= 8"  RDE 13.5 UNIÓN MECÁNICA</v>
          </cell>
          <cell r="C918" t="str">
            <v>ML</v>
          </cell>
          <cell r="D918">
            <v>0</v>
          </cell>
        </row>
        <row r="919">
          <cell r="A919" t="str">
            <v>2.1.13</v>
          </cell>
          <cell r="B919" t="str">
            <v xml:space="preserve">  SUMINISTRO E INSTALACIÓN TUBERÍA  PVC D= 2"  RDE 21 UNIÓN MECÁNICA</v>
          </cell>
          <cell r="C919" t="str">
            <v>ML</v>
          </cell>
          <cell r="D919">
            <v>0</v>
          </cell>
        </row>
        <row r="920">
          <cell r="A920" t="str">
            <v>2.1.14</v>
          </cell>
          <cell r="B920" t="str">
            <v>SUMINISTRO E INSTALACIÓN TUBERÍA  PVC D= 12"  RDE 21 UNIÓN MECÁNICA</v>
          </cell>
          <cell r="C920" t="str">
            <v>ML</v>
          </cell>
          <cell r="D920">
            <v>0</v>
          </cell>
        </row>
        <row r="921">
          <cell r="A921" t="str">
            <v>2.1.15</v>
          </cell>
          <cell r="B921" t="str">
            <v>SUMINISTRO E INSTALACIÓN TUBERÍA  PVC D= 16"  RDE 21 UNIÓN MECÁNICA</v>
          </cell>
          <cell r="C921" t="str">
            <v>ML</v>
          </cell>
          <cell r="D921">
            <v>0</v>
          </cell>
        </row>
        <row r="922">
          <cell r="A922" t="str">
            <v>2.1.17</v>
          </cell>
          <cell r="B922" t="str">
            <v xml:space="preserve"> ENTIBADOS EN MADERA TIPO 2 PARA EXCAVACIONES 1 A 7 USOS</v>
          </cell>
          <cell r="C922" t="str">
            <v>M2</v>
          </cell>
          <cell r="D922">
            <v>0</v>
          </cell>
        </row>
        <row r="923">
          <cell r="A923" t="str">
            <v>2.1.20</v>
          </cell>
          <cell r="B923" t="str">
            <v>RELLENO GRAVILLA  COMPACTADO CON PLANCHA VIBRADORA</v>
          </cell>
          <cell r="C923" t="str">
            <v>M3</v>
          </cell>
          <cell r="D923">
            <v>0</v>
          </cell>
        </row>
        <row r="924">
          <cell r="A924" t="str">
            <v>2.1.21</v>
          </cell>
          <cell r="B924" t="str">
            <v>RELLENO ARENA DE PEÑA  COMPACTADO CON PLANCHA VIBRADORA</v>
          </cell>
          <cell r="C924" t="str">
            <v>M3</v>
          </cell>
          <cell r="D924">
            <v>0</v>
          </cell>
        </row>
        <row r="925">
          <cell r="A925" t="str">
            <v>2.1.22</v>
          </cell>
          <cell r="B925" t="str">
            <v>RELLENO ARENA DE RIO  COMPACTADO CON PLANCHA VIBRADORA</v>
          </cell>
          <cell r="C925" t="str">
            <v>M3</v>
          </cell>
          <cell r="D925">
            <v>0</v>
          </cell>
        </row>
        <row r="926">
          <cell r="A926" t="str">
            <v>2.1.23</v>
          </cell>
          <cell r="B926" t="str">
            <v>BOMBEO AGUAS NIVEL FREATICO Y ESCORRENTIA CON MOTOBOMBA D=3"</v>
          </cell>
          <cell r="C926" t="str">
            <v>HR</v>
          </cell>
          <cell r="D926">
            <v>0</v>
          </cell>
        </row>
        <row r="927">
          <cell r="A927" t="str">
            <v>2.1.24</v>
          </cell>
          <cell r="B927" t="str">
            <v>SUMINISTRO E INSTALACIÓN TUBERÍA  PVC BIAXIAL D= 3"  RDE 46 PR 160 PSI</v>
          </cell>
          <cell r="C927" t="str">
            <v>ML</v>
          </cell>
          <cell r="D927">
            <v>0</v>
          </cell>
        </row>
        <row r="928">
          <cell r="A928" t="str">
            <v>2.1.25</v>
          </cell>
          <cell r="B928" t="str">
            <v>SUMINISTRO E INSTALACIÓN TUBERÍA  PVC BIAXIAL D= 4"  RDE 46 PR 160 PSI</v>
          </cell>
          <cell r="C928" t="str">
            <v>ML</v>
          </cell>
          <cell r="D928">
            <v>0</v>
          </cell>
        </row>
        <row r="929">
          <cell r="A929" t="str">
            <v>2.1.26</v>
          </cell>
          <cell r="B929" t="str">
            <v>SUMINISTRO E INSTALACIÓN TUBERÍA  PVC BIAXIAL D= 6"  RDE 46 PR 160 PSI</v>
          </cell>
          <cell r="C929" t="str">
            <v>ML</v>
          </cell>
          <cell r="D929">
            <v>0</v>
          </cell>
        </row>
        <row r="930">
          <cell r="A930" t="str">
            <v>2.1.27</v>
          </cell>
          <cell r="B930" t="str">
            <v>SUMINISTRO E INSTALACIÓN TUBERÍA  PVC PRESIÓN D = ½"  RDE 9</v>
          </cell>
          <cell r="C930" t="str">
            <v>ML</v>
          </cell>
          <cell r="D930">
            <v>0</v>
          </cell>
        </row>
        <row r="931">
          <cell r="A931" t="str">
            <v>2.1.28</v>
          </cell>
          <cell r="B931" t="str">
            <v>SUMINISTRO E INSTALACIÓN TUBERÍA  PVC PRESIÓN  D = 3/4"  RDE 11 E.L.</v>
          </cell>
          <cell r="C931" t="str">
            <v>ML</v>
          </cell>
          <cell r="D931">
            <v>0</v>
          </cell>
        </row>
        <row r="932">
          <cell r="A932" t="str">
            <v>2.1.29</v>
          </cell>
          <cell r="B932" t="str">
            <v>SUMINISTRO E INSTALACIÓN TUBERÍA  PVC PRESIÓN  D = ½"  RDE 13.5  E.L.</v>
          </cell>
          <cell r="C932" t="str">
            <v>ML</v>
          </cell>
          <cell r="D932">
            <v>0</v>
          </cell>
        </row>
        <row r="933">
          <cell r="A933" t="str">
            <v>2.1.30</v>
          </cell>
          <cell r="B933" t="str">
            <v>SUMINISTRO E INSTALACIÓN TUBERÍA  PVC PRESIÓN D = 1"  RDE 13.5 E.L.</v>
          </cell>
          <cell r="C933" t="str">
            <v>ML</v>
          </cell>
          <cell r="D933">
            <v>0</v>
          </cell>
        </row>
        <row r="934">
          <cell r="A934" t="str">
            <v>2.1.31</v>
          </cell>
          <cell r="B934" t="str">
            <v>SUMINISTRO E INSTALACIÓN TUBERÍA  PVC. D = 3/4"  RDE 21  E.L</v>
          </cell>
          <cell r="C934" t="str">
            <v>ML</v>
          </cell>
          <cell r="D934">
            <v>0</v>
          </cell>
        </row>
        <row r="935">
          <cell r="A935" t="str">
            <v>2.1.32</v>
          </cell>
          <cell r="B935" t="str">
            <v>SUMINISTRO E INSTALACIÓN TUBERÍA  PVC. D =  1"  RDE 21  E.L.</v>
          </cell>
          <cell r="C935" t="str">
            <v>ML</v>
          </cell>
          <cell r="D935">
            <v>0</v>
          </cell>
        </row>
        <row r="936">
          <cell r="A936" t="str">
            <v>2.1.32B</v>
          </cell>
          <cell r="B936" t="str">
            <v>INSTALACION TUBERÍA  PVC. D = 1"  RDE 21  E.L.</v>
          </cell>
          <cell r="C936" t="str">
            <v>ML</v>
          </cell>
          <cell r="D936">
            <v>0</v>
          </cell>
        </row>
        <row r="937">
          <cell r="A937" t="str">
            <v>2.1.36</v>
          </cell>
          <cell r="B937" t="str">
            <v>SUMINISTRO E INSTALACIÓN TUBERÍA  PVC.  D = 2½"  RDE 21 UNIÓN MECANICA</v>
          </cell>
          <cell r="C937" t="str">
            <v>ML</v>
          </cell>
          <cell r="D937">
            <v>0</v>
          </cell>
        </row>
        <row r="938">
          <cell r="A938" t="str">
            <v>2.1.34</v>
          </cell>
          <cell r="B938" t="str">
            <v>SUMINISTRO E INSTALACIÓN TUBERÍA  PVC. D = 1 1/4"  RDE 21  E</v>
          </cell>
          <cell r="C938" t="str">
            <v>ML</v>
          </cell>
          <cell r="D938">
            <v>0</v>
          </cell>
        </row>
        <row r="939">
          <cell r="A939" t="str">
            <v>2.1.37</v>
          </cell>
          <cell r="B939" t="str">
            <v>SUMINISTRO E INSTALACIÓN TUBERÍA  PVC. D =  3"  RDE 21 UNIÓN MECANICA</v>
          </cell>
          <cell r="C939" t="str">
            <v>ML</v>
          </cell>
          <cell r="D939">
            <v>0</v>
          </cell>
        </row>
        <row r="940">
          <cell r="A940" t="str">
            <v>2.1.39</v>
          </cell>
          <cell r="B940" t="str">
            <v>SUMINISTRO E INSTALACIÓN TUBERÍA  PVC. D = 6"  RDE 21 UNIÓN MECANICA</v>
          </cell>
          <cell r="C940" t="str">
            <v>ML</v>
          </cell>
          <cell r="D940">
            <v>0</v>
          </cell>
        </row>
        <row r="941">
          <cell r="A941" t="str">
            <v>2.1.40</v>
          </cell>
          <cell r="B941" t="str">
            <v>SUMINISTRO E INSTALACIÓN TUBERÍA  PVC. D = 8"  RDE 21 UNIÓN MECANICA</v>
          </cell>
          <cell r="C941" t="str">
            <v>ML</v>
          </cell>
          <cell r="D941">
            <v>0</v>
          </cell>
        </row>
        <row r="942">
          <cell r="A942" t="str">
            <v>2.1.41</v>
          </cell>
          <cell r="B942" t="str">
            <v>SUMINISTRO E INSTALACIÓN TUBERÍA  PVC. D = 10"  RDE 21 UNIÓN MECANICA</v>
          </cell>
          <cell r="C942" t="str">
            <v>ML</v>
          </cell>
          <cell r="D942">
            <v>0</v>
          </cell>
        </row>
        <row r="943">
          <cell r="A943" t="str">
            <v>2.1.42</v>
          </cell>
          <cell r="B943" t="str">
            <v>SUMINISTRO E INSTALACIÓN TUBERÍA  PVC. D = 2"  RDE 26 UNIÓN MECANICA</v>
          </cell>
          <cell r="C943" t="str">
            <v>ML</v>
          </cell>
          <cell r="D943">
            <v>0</v>
          </cell>
        </row>
        <row r="944">
          <cell r="A944" t="str">
            <v>2.1.43</v>
          </cell>
          <cell r="B944" t="str">
            <v>SUMINISTRO E INSTALACIÓN TUBERÍA  PVC. D = 2½"  RDE 26 UNIÓN MECANICA</v>
          </cell>
          <cell r="C944" t="str">
            <v>ML</v>
          </cell>
          <cell r="D944">
            <v>0</v>
          </cell>
        </row>
        <row r="945">
          <cell r="A945" t="str">
            <v>2.1.44</v>
          </cell>
          <cell r="B945" t="str">
            <v>SUMINISTRO E INSTALACIÓN TUBERÍA  PVC.  D = 3"  RDE 26 UNIÓN MECANICA</v>
          </cell>
          <cell r="C945" t="str">
            <v>ML</v>
          </cell>
          <cell r="D945">
            <v>0</v>
          </cell>
        </row>
        <row r="946">
          <cell r="A946" t="str">
            <v>2.1.45</v>
          </cell>
          <cell r="B946" t="str">
            <v>SUMINISTRO E INSTALACIÓN TUBERÍA  PVC. D = 4"  RDE 26 UNIÓN MECANICA</v>
          </cell>
          <cell r="C946" t="str">
            <v>ML</v>
          </cell>
          <cell r="D946">
            <v>0</v>
          </cell>
        </row>
        <row r="947">
          <cell r="A947" t="str">
            <v>2.1.46</v>
          </cell>
          <cell r="B947" t="str">
            <v>SUMINISTRO E INSTALACIÓN TUBERÍA  PVC. D = 6"  RDE 26 UNIÓN MECANICA</v>
          </cell>
          <cell r="C947" t="str">
            <v>ML</v>
          </cell>
          <cell r="D947">
            <v>0</v>
          </cell>
        </row>
        <row r="948">
          <cell r="A948" t="str">
            <v>2.1.47</v>
          </cell>
          <cell r="B948" t="str">
            <v>SUMINISTRO E INSTALACIÓN TUBERÍA  PVC. D = 8"  RDE 26 UNIÓN MECANICA</v>
          </cell>
          <cell r="C948" t="str">
            <v>ML</v>
          </cell>
          <cell r="D948">
            <v>0</v>
          </cell>
        </row>
        <row r="949">
          <cell r="A949" t="str">
            <v>2.1.48</v>
          </cell>
          <cell r="B949" t="str">
            <v>SUMINISTRO E INSTALACIÓN TUBERÍA  PVC. D = 10"  RDE 26 UNIÓN MECANICA</v>
          </cell>
          <cell r="C949" t="str">
            <v>ML</v>
          </cell>
          <cell r="D949">
            <v>0</v>
          </cell>
        </row>
        <row r="950">
          <cell r="A950" t="str">
            <v>2.1.49</v>
          </cell>
          <cell r="B950" t="str">
            <v>SUMINISTRO E INSTALACIÓN TUBERÍA  PVC. D = 3"  RDE 32.5 UNIÓN MECANICA</v>
          </cell>
          <cell r="C950" t="str">
            <v>ML</v>
          </cell>
          <cell r="D950">
            <v>0</v>
          </cell>
        </row>
        <row r="951">
          <cell r="A951" t="str">
            <v>2.1.50</v>
          </cell>
          <cell r="B951" t="str">
            <v>SUMINISTRO E INSTALACIÓN TUBERÍA  PVC. D = 4"  RDE 32.5 UNIÓN MECANICA</v>
          </cell>
          <cell r="C951" t="str">
            <v>ML</v>
          </cell>
          <cell r="D951">
            <v>0</v>
          </cell>
        </row>
        <row r="952">
          <cell r="A952" t="str">
            <v>2.1.52</v>
          </cell>
          <cell r="B952" t="str">
            <v>SUMINISTRO E INSTALACIÓN TUBERÍA  PVC. D = 8"  RDE 32.5 UNIÓN MECANICA</v>
          </cell>
          <cell r="C952" t="str">
            <v>ML</v>
          </cell>
          <cell r="D952">
            <v>0</v>
          </cell>
        </row>
        <row r="953">
          <cell r="A953" t="str">
            <v>2.2.1</v>
          </cell>
          <cell r="B953" t="str">
            <v>SUMINISTRO E INSTALACIÓN TUBERÍA PN 10 DIAMETRO 63 mm</v>
          </cell>
          <cell r="C953" t="str">
            <v>ML</v>
          </cell>
          <cell r="D953">
            <v>0</v>
          </cell>
        </row>
        <row r="954">
          <cell r="A954" t="str">
            <v>2.2.2</v>
          </cell>
          <cell r="B954" t="str">
            <v>SUMINISTRO E INSTALACIÓN TUBERÍA PN 10 DIAMETRO 90 mm</v>
          </cell>
          <cell r="C954" t="str">
            <v>ML</v>
          </cell>
          <cell r="D954">
            <v>0</v>
          </cell>
        </row>
        <row r="955">
          <cell r="A955" t="str">
            <v>2.2.3</v>
          </cell>
          <cell r="B955" t="str">
            <v>SUMINISTRO E INSTALACIÓN TUBERÍA PN 10 DIAMETRO 110 mm</v>
          </cell>
          <cell r="C955" t="str">
            <v>ML</v>
          </cell>
          <cell r="D955">
            <v>0</v>
          </cell>
        </row>
        <row r="956">
          <cell r="A956" t="str">
            <v>2.2.4</v>
          </cell>
          <cell r="B956" t="str">
            <v>SUMINISTRO E INSTALACIÓN TUBERÍA PN 10 DIAMETRO 160 mm</v>
          </cell>
          <cell r="C956" t="str">
            <v>ML</v>
          </cell>
          <cell r="D956">
            <v>0</v>
          </cell>
        </row>
        <row r="957">
          <cell r="A957" t="str">
            <v>2.2.5</v>
          </cell>
          <cell r="B957" t="str">
            <v>SUMINISTRO E INSTALACIÓN TUBERÍA PN 10 DIAMETRO 200 mm</v>
          </cell>
          <cell r="C957" t="str">
            <v>ML</v>
          </cell>
          <cell r="D957">
            <v>0</v>
          </cell>
        </row>
        <row r="958">
          <cell r="A958" t="str">
            <v>2.2.6</v>
          </cell>
          <cell r="B958" t="str">
            <v>SUMINISTRO E INSTALACIÓN TUBERÍA PN 16 DIAMETRO 63 mm</v>
          </cell>
          <cell r="C958" t="str">
            <v>ML</v>
          </cell>
          <cell r="D958">
            <v>0</v>
          </cell>
        </row>
        <row r="959">
          <cell r="A959" t="str">
            <v>2.2.7</v>
          </cell>
          <cell r="B959" t="str">
            <v>SUMINISTRO E INSTALACIÓN TUBERÍA PN 16 DIAMETRO 90 mm</v>
          </cell>
          <cell r="C959" t="str">
            <v>ML</v>
          </cell>
          <cell r="D959">
            <v>0</v>
          </cell>
        </row>
        <row r="960">
          <cell r="A960" t="str">
            <v>2.2.8</v>
          </cell>
          <cell r="B960" t="str">
            <v>SUMINISTRO E INSTALACIÓN TUBERÍA PN 16 DIAMETRO 110 mm</v>
          </cell>
          <cell r="C960" t="str">
            <v>ML</v>
          </cell>
          <cell r="D960">
            <v>0</v>
          </cell>
        </row>
        <row r="961">
          <cell r="A961" t="str">
            <v>2.2.9</v>
          </cell>
          <cell r="B961" t="str">
            <v>SUMINISTRO E INSTALACIÓN TUBERÍA PN 16 DIAMETRO 160 mm</v>
          </cell>
          <cell r="C961" t="str">
            <v>ML</v>
          </cell>
          <cell r="D961">
            <v>0</v>
          </cell>
        </row>
        <row r="962">
          <cell r="A962" t="str">
            <v>2.2.10</v>
          </cell>
          <cell r="B962" t="str">
            <v>SUMINISTRO E INSTALACIÓN TUBERÍA PN 16 DIAMETRO 200 mm</v>
          </cell>
          <cell r="C962" t="str">
            <v>ML</v>
          </cell>
          <cell r="D962">
            <v>0</v>
          </cell>
        </row>
        <row r="963">
          <cell r="A963" t="str">
            <v>2.3.1</v>
          </cell>
          <cell r="B963" t="str">
            <v>SUMINISTRO E INSTALACIÓN TUBERÍA  H.G.  D = 6"</v>
          </cell>
          <cell r="C963" t="str">
            <v>ML</v>
          </cell>
          <cell r="D963">
            <v>0</v>
          </cell>
        </row>
        <row r="964">
          <cell r="A964" t="str">
            <v>2.3.2</v>
          </cell>
          <cell r="B964" t="str">
            <v>SUMINISTRO E INSTALACIÓN TUBERÍA  H.G.  D = 1½"</v>
          </cell>
          <cell r="C964" t="str">
            <v>ML</v>
          </cell>
          <cell r="D964">
            <v>0</v>
          </cell>
        </row>
        <row r="965">
          <cell r="A965" t="str">
            <v>2.3.3</v>
          </cell>
          <cell r="B965" t="str">
            <v>SUMINISTRO E INSTALACIÓN TUBERÍA  H.G.  D = 2"</v>
          </cell>
          <cell r="C965" t="str">
            <v>ML</v>
          </cell>
          <cell r="D965">
            <v>0</v>
          </cell>
        </row>
        <row r="966">
          <cell r="A966" t="str">
            <v>2.3.4</v>
          </cell>
          <cell r="B966" t="str">
            <v>SUMINISTRO E INSTALACIÓN TUBERÍA  H.G.  D = 2½"</v>
          </cell>
          <cell r="C966" t="str">
            <v>ML</v>
          </cell>
          <cell r="D966">
            <v>0</v>
          </cell>
        </row>
        <row r="967">
          <cell r="A967" t="str">
            <v>2.3.5</v>
          </cell>
          <cell r="B967" t="str">
            <v>SUMINISTRO E INSTALACIÓN TUBERÍA  H.G.  D = 3"</v>
          </cell>
          <cell r="C967" t="str">
            <v>ML</v>
          </cell>
          <cell r="D967">
            <v>0</v>
          </cell>
        </row>
        <row r="968">
          <cell r="A968" t="str">
            <v>2.3.6</v>
          </cell>
          <cell r="B968" t="str">
            <v>SUMINISTRO E INSTALACIÓN TUBERÍA  H.G.  D = 4"</v>
          </cell>
          <cell r="C968" t="str">
            <v>ML</v>
          </cell>
          <cell r="D968">
            <v>0</v>
          </cell>
        </row>
        <row r="969">
          <cell r="A969" t="str">
            <v>2.4.1</v>
          </cell>
          <cell r="B969" t="str">
            <v>CODO PVC DE 90° PRESIÓN SOLDAR DIÁMETRO 1/2"</v>
          </cell>
          <cell r="C969" t="str">
            <v>UN</v>
          </cell>
          <cell r="D969">
            <v>0</v>
          </cell>
        </row>
        <row r="970">
          <cell r="A970" t="str">
            <v>2.4.2</v>
          </cell>
          <cell r="B970" t="str">
            <v>CODO PVC DE 90° PRESIÓN SOLDAR DIÁMETRO 3/4"</v>
          </cell>
          <cell r="C970" t="str">
            <v>UN</v>
          </cell>
          <cell r="D970">
            <v>0</v>
          </cell>
        </row>
        <row r="971">
          <cell r="A971" t="str">
            <v>2.4.3</v>
          </cell>
          <cell r="B971" t="str">
            <v>CODO PVC DE 90° PRESIÓN SOLDAR DIÁMETRO 1"</v>
          </cell>
          <cell r="C971" t="str">
            <v>UN</v>
          </cell>
          <cell r="D971">
            <v>0</v>
          </cell>
        </row>
        <row r="972">
          <cell r="A972" t="str">
            <v>2.4.4</v>
          </cell>
          <cell r="B972" t="str">
            <v>CODO PVC DE 90° PRESIÓN SOLDAR DIÁMETRO 1 1/4"</v>
          </cell>
          <cell r="C972" t="str">
            <v>UN</v>
          </cell>
          <cell r="D972">
            <v>0</v>
          </cell>
        </row>
        <row r="973">
          <cell r="A973" t="str">
            <v>2.4.5</v>
          </cell>
          <cell r="B973" t="str">
            <v>CODO PVC DE 90° PRESIÓN SOLDAR DIÁMETRO 1 1/2"</v>
          </cell>
          <cell r="C973" t="str">
            <v>UN</v>
          </cell>
          <cell r="D973">
            <v>0</v>
          </cell>
        </row>
        <row r="974">
          <cell r="A974" t="str">
            <v>2.4.6</v>
          </cell>
          <cell r="B974" t="str">
            <v>CODO PVC DE 45° PRESIÓN SOLDAR DIÁMETRO 1/2"</v>
          </cell>
          <cell r="C974" t="str">
            <v>UN</v>
          </cell>
          <cell r="D974">
            <v>0</v>
          </cell>
        </row>
        <row r="975">
          <cell r="A975" t="str">
            <v>2.4.7</v>
          </cell>
          <cell r="B975" t="str">
            <v>CODO PVC DE 45° PRESIÓN SOLDAR DIÁMETRO 3/4"</v>
          </cell>
          <cell r="C975" t="str">
            <v>UN</v>
          </cell>
          <cell r="D975">
            <v>0</v>
          </cell>
        </row>
        <row r="976">
          <cell r="A976" t="str">
            <v>2.4.8</v>
          </cell>
          <cell r="B976" t="str">
            <v>CODO PVC DE 45° PRESIÓN SOLDAR DIÁMETRO 1"</v>
          </cell>
          <cell r="C976" t="str">
            <v>UN</v>
          </cell>
          <cell r="D976">
            <v>0</v>
          </cell>
        </row>
        <row r="977">
          <cell r="A977" t="str">
            <v>2.4.9</v>
          </cell>
          <cell r="B977" t="str">
            <v>CODO PVC DE 45° PRESIÓN SOLDAR DIÁMETRO 1 1/4"</v>
          </cell>
          <cell r="C977" t="str">
            <v>UN</v>
          </cell>
          <cell r="D977">
            <v>0</v>
          </cell>
        </row>
        <row r="978">
          <cell r="A978" t="str">
            <v>2.4.10</v>
          </cell>
          <cell r="B978" t="str">
            <v>CODO PVC DE 45° PRESIÓN SOLDAR DIÁMETRO 1 1/2"</v>
          </cell>
          <cell r="C978" t="str">
            <v>UN</v>
          </cell>
          <cell r="D978">
            <v>0</v>
          </cell>
        </row>
        <row r="979">
          <cell r="A979" t="str">
            <v>2.4.11</v>
          </cell>
          <cell r="B979" t="str">
            <v>CODO PVC GRAN RADIO 90° RDE 21   D =   2"</v>
          </cell>
          <cell r="C979" t="str">
            <v>UN</v>
          </cell>
          <cell r="D979">
            <v>0</v>
          </cell>
        </row>
        <row r="980">
          <cell r="A980" t="str">
            <v>2.4.12</v>
          </cell>
          <cell r="B980" t="str">
            <v>CODO PVC GRAN RADIO 90° RDE 21   D =   2 1/2"</v>
          </cell>
          <cell r="C980" t="str">
            <v>UN</v>
          </cell>
          <cell r="D980">
            <v>0</v>
          </cell>
        </row>
        <row r="981">
          <cell r="A981" t="str">
            <v>2.4.13</v>
          </cell>
          <cell r="B981" t="str">
            <v>CODO PVC GRAN RADIO 90° RDE 21   D =   3"</v>
          </cell>
          <cell r="C981" t="str">
            <v>UN</v>
          </cell>
          <cell r="D981">
            <v>0</v>
          </cell>
        </row>
        <row r="982">
          <cell r="A982" t="str">
            <v>2.4.16</v>
          </cell>
          <cell r="B982" t="str">
            <v>CODO PVC GRAN RADIO 90° RDE 21   D =   8"</v>
          </cell>
          <cell r="C982" t="str">
            <v>UN</v>
          </cell>
          <cell r="D982">
            <v>0</v>
          </cell>
        </row>
        <row r="983">
          <cell r="A983" t="str">
            <v>2.4.17</v>
          </cell>
          <cell r="B983" t="str">
            <v>CODO PVC GRAN RADIO 90° RDE 21   D =   10"</v>
          </cell>
          <cell r="C983" t="str">
            <v>UN</v>
          </cell>
          <cell r="D983">
            <v>0</v>
          </cell>
        </row>
        <row r="984">
          <cell r="A984" t="str">
            <v>2.4.18</v>
          </cell>
          <cell r="B984" t="str">
            <v>CODO PVC GRAN RADIO 90° RDE 21   D =   12"</v>
          </cell>
          <cell r="C984" t="str">
            <v>UN</v>
          </cell>
          <cell r="D984">
            <v>0</v>
          </cell>
        </row>
        <row r="985">
          <cell r="A985" t="str">
            <v>2.4.19</v>
          </cell>
          <cell r="B985" t="str">
            <v>CODO PVC GRAN RADIO 45° RDE 21   D =   2"</v>
          </cell>
          <cell r="C985" t="str">
            <v>UN</v>
          </cell>
          <cell r="D985">
            <v>0</v>
          </cell>
        </row>
        <row r="986">
          <cell r="A986" t="str">
            <v>2.4.20</v>
          </cell>
          <cell r="B986" t="str">
            <v>CODO PVC GRAN RADIO 45° RDE 21   D =   2 1/2"</v>
          </cell>
          <cell r="C986" t="str">
            <v>UN</v>
          </cell>
          <cell r="D986">
            <v>0</v>
          </cell>
        </row>
        <row r="987">
          <cell r="A987" t="str">
            <v>2.4.21</v>
          </cell>
          <cell r="B987" t="str">
            <v>CODO PVC GRAN RADIO 45° RDE 21   D =   3"</v>
          </cell>
          <cell r="C987" t="str">
            <v>UN</v>
          </cell>
          <cell r="D987">
            <v>0</v>
          </cell>
        </row>
        <row r="988">
          <cell r="A988" t="str">
            <v>2.4.22</v>
          </cell>
          <cell r="B988" t="str">
            <v>CODO PVC GRAN RADIO 45° RDE 21   D =   4"</v>
          </cell>
          <cell r="C988" t="str">
            <v>UN</v>
          </cell>
          <cell r="D988">
            <v>0</v>
          </cell>
        </row>
        <row r="989">
          <cell r="A989" t="str">
            <v>2.4.23</v>
          </cell>
          <cell r="B989" t="str">
            <v>CODO PVC GRAN RADIO 45° RDE 21   D =   6"</v>
          </cell>
          <cell r="C989" t="str">
            <v>UN</v>
          </cell>
          <cell r="D989">
            <v>0</v>
          </cell>
        </row>
        <row r="990">
          <cell r="A990" t="str">
            <v>2.4.24</v>
          </cell>
          <cell r="B990" t="str">
            <v>CODO PVC GRAN RADIO 45° RDE 21   D =   8"</v>
          </cell>
          <cell r="C990" t="str">
            <v>UN</v>
          </cell>
          <cell r="D990">
            <v>0</v>
          </cell>
        </row>
        <row r="991">
          <cell r="A991" t="str">
            <v>2.4.25</v>
          </cell>
          <cell r="B991" t="str">
            <v>CODO PVC GRAN RADIO 45° RDE 21   D =   10"</v>
          </cell>
          <cell r="C991" t="str">
            <v>UN</v>
          </cell>
          <cell r="D991">
            <v>0</v>
          </cell>
        </row>
        <row r="992">
          <cell r="A992" t="str">
            <v>2.4.26</v>
          </cell>
          <cell r="B992" t="str">
            <v>CODO PVC GRAN RADIO 45° RDE 21   D =   12"</v>
          </cell>
          <cell r="C992" t="str">
            <v>UN</v>
          </cell>
          <cell r="D992">
            <v>0</v>
          </cell>
        </row>
        <row r="993">
          <cell r="A993" t="str">
            <v>2.4.27</v>
          </cell>
          <cell r="B993" t="str">
            <v>CODO PVC GRAN RADIO 22 1/2° RDE 21   D =   2"</v>
          </cell>
          <cell r="C993" t="str">
            <v>UN</v>
          </cell>
          <cell r="D993">
            <v>0</v>
          </cell>
        </row>
        <row r="994">
          <cell r="A994" t="str">
            <v>2.4.28</v>
          </cell>
          <cell r="B994" t="str">
            <v>CODO PVC GRAN RADIO 22 1/2° RDE 21   D =   3"</v>
          </cell>
          <cell r="C994" t="str">
            <v>UN</v>
          </cell>
          <cell r="D994">
            <v>0</v>
          </cell>
        </row>
        <row r="995">
          <cell r="A995" t="str">
            <v>2.4.29</v>
          </cell>
          <cell r="B995" t="str">
            <v>CODO PVC GRAN RADIO 22 1/2° RDE 21   D =   4"</v>
          </cell>
          <cell r="C995" t="str">
            <v>UN</v>
          </cell>
          <cell r="D995">
            <v>0</v>
          </cell>
        </row>
        <row r="996">
          <cell r="A996" t="str">
            <v>2.4.30</v>
          </cell>
          <cell r="B996" t="str">
            <v>CODO PVC GRAN RADIO 22 1/2° RDE 21   D =   6"</v>
          </cell>
          <cell r="C996" t="str">
            <v>UN</v>
          </cell>
          <cell r="D996">
            <v>0</v>
          </cell>
        </row>
        <row r="997">
          <cell r="A997" t="str">
            <v>2.4.31</v>
          </cell>
          <cell r="B997" t="str">
            <v>CODO PVC GRAN RADIO 22 1/2° RDE 21   D =   8"</v>
          </cell>
          <cell r="C997" t="str">
            <v>UN</v>
          </cell>
          <cell r="D997">
            <v>0</v>
          </cell>
        </row>
        <row r="998">
          <cell r="A998" t="str">
            <v>2.4.32</v>
          </cell>
          <cell r="B998" t="str">
            <v>CODO PVC GRAN RADIO 22 1/2° RDE 21   D =   10"</v>
          </cell>
          <cell r="C998" t="str">
            <v>UN</v>
          </cell>
          <cell r="D998">
            <v>0</v>
          </cell>
        </row>
        <row r="999">
          <cell r="A999" t="str">
            <v>2.4.33</v>
          </cell>
          <cell r="B999" t="str">
            <v>CODO PVC GRAN RADIO 22 1/2° RDE 21   D =   12"</v>
          </cell>
          <cell r="C999" t="str">
            <v>UN</v>
          </cell>
          <cell r="D999">
            <v>0</v>
          </cell>
        </row>
        <row r="1000">
          <cell r="A1000" t="str">
            <v>2.4.34</v>
          </cell>
          <cell r="B1000" t="str">
            <v>CODO PVC GRAN RADIO 22 1/2° RDE 21   D =   2 1/2"</v>
          </cell>
          <cell r="C1000" t="str">
            <v>UN</v>
          </cell>
          <cell r="D1000">
            <v>0</v>
          </cell>
        </row>
        <row r="1001">
          <cell r="A1001" t="str">
            <v>2.4.35</v>
          </cell>
          <cell r="B1001" t="str">
            <v>CODO PVC GRAN RADIO 11 1/4° RDE 21   D =   2"</v>
          </cell>
          <cell r="C1001" t="str">
            <v>UN</v>
          </cell>
          <cell r="D1001">
            <v>0</v>
          </cell>
        </row>
        <row r="1002">
          <cell r="A1002" t="str">
            <v>2.4.36</v>
          </cell>
          <cell r="B1002" t="str">
            <v>CODO PVC GRAN RADIO 11 1/4° RDE 21   D =   2  1/2"</v>
          </cell>
          <cell r="C1002" t="str">
            <v>UN</v>
          </cell>
          <cell r="D1002">
            <v>0</v>
          </cell>
        </row>
        <row r="1003">
          <cell r="A1003" t="str">
            <v>2.4.37</v>
          </cell>
          <cell r="B1003" t="str">
            <v>CODO PVC GRAN RADIO 11 1/4° RDE 21   D =   3"</v>
          </cell>
          <cell r="C1003" t="str">
            <v>UN</v>
          </cell>
          <cell r="D1003">
            <v>0</v>
          </cell>
        </row>
        <row r="1004">
          <cell r="A1004" t="str">
            <v>2.4.38</v>
          </cell>
          <cell r="B1004" t="str">
            <v>CODO PVC GRAN RADIO 11 1/4° RDE 21   D =   4"</v>
          </cell>
          <cell r="C1004" t="str">
            <v>UN</v>
          </cell>
          <cell r="D1004">
            <v>0</v>
          </cell>
        </row>
        <row r="1005">
          <cell r="A1005" t="str">
            <v>2.4.39</v>
          </cell>
          <cell r="B1005" t="str">
            <v>CODO PVC GRAN RADIO 11 1/4° RDE 21   D =   6"</v>
          </cell>
          <cell r="C1005" t="str">
            <v>UN</v>
          </cell>
          <cell r="D1005">
            <v>0</v>
          </cell>
        </row>
        <row r="1006">
          <cell r="A1006" t="str">
            <v>2.4.40</v>
          </cell>
          <cell r="B1006" t="str">
            <v>CODO PVC GRAN RADIO 11 1/4° RDE 21   D =   8"</v>
          </cell>
          <cell r="C1006" t="str">
            <v>UN</v>
          </cell>
          <cell r="D1006">
            <v>0</v>
          </cell>
        </row>
        <row r="1007">
          <cell r="A1007" t="str">
            <v>2.4.41</v>
          </cell>
          <cell r="B1007" t="str">
            <v>CODO PVC GRAN RADIO 11 1/4° RDE 21   D =   10"</v>
          </cell>
          <cell r="C1007" t="str">
            <v>UN</v>
          </cell>
          <cell r="D1007">
            <v>0</v>
          </cell>
        </row>
        <row r="1008">
          <cell r="A1008" t="str">
            <v>2.4.42</v>
          </cell>
          <cell r="B1008" t="str">
            <v>CODO PVC GRAN RADIO 11 1/4° RDE 21   D =   12"</v>
          </cell>
          <cell r="C1008" t="str">
            <v>UN</v>
          </cell>
          <cell r="D1008">
            <v>0</v>
          </cell>
        </row>
        <row r="1009">
          <cell r="A1009" t="str">
            <v>2.4.43</v>
          </cell>
          <cell r="B1009" t="str">
            <v>CODO PVC GRAN RADIO 6°   D =   8"</v>
          </cell>
          <cell r="C1009" t="str">
            <v>UN</v>
          </cell>
          <cell r="D1009">
            <v>0</v>
          </cell>
        </row>
        <row r="1010">
          <cell r="A1010" t="str">
            <v>2.4.44</v>
          </cell>
          <cell r="B1010" t="str">
            <v>CODO PVC GRAN RADIO 6°   D =   10"</v>
          </cell>
          <cell r="C1010" t="str">
            <v>UN</v>
          </cell>
          <cell r="D1010">
            <v>0</v>
          </cell>
        </row>
        <row r="1011">
          <cell r="A1011" t="str">
            <v>2.4.45</v>
          </cell>
          <cell r="B1011" t="str">
            <v>CODO PVC GRAN RADIO 6°   D =   12"</v>
          </cell>
          <cell r="C1011" t="str">
            <v>UN</v>
          </cell>
          <cell r="D1011">
            <v>0</v>
          </cell>
        </row>
        <row r="1012">
          <cell r="A1012" t="str">
            <v>2.4.46</v>
          </cell>
          <cell r="B1012" t="str">
            <v>CODO PVC RADIO CORTO 90°   D =   1 1/2"</v>
          </cell>
          <cell r="C1012" t="str">
            <v>UN</v>
          </cell>
          <cell r="D1012">
            <v>0</v>
          </cell>
        </row>
        <row r="1013">
          <cell r="A1013" t="str">
            <v>2.4.47</v>
          </cell>
          <cell r="B1013" t="str">
            <v>CODO PVC RADIO CORTO 90°   D =   2"</v>
          </cell>
          <cell r="C1013" t="str">
            <v>UN</v>
          </cell>
          <cell r="D1013">
            <v>0</v>
          </cell>
        </row>
        <row r="1014">
          <cell r="A1014" t="str">
            <v>2.4.48</v>
          </cell>
          <cell r="B1014" t="str">
            <v>CODO PVC RADIO CORTO 90°   D =   2  1/2"</v>
          </cell>
          <cell r="C1014" t="str">
            <v>UN</v>
          </cell>
          <cell r="D1014">
            <v>0</v>
          </cell>
        </row>
        <row r="1015">
          <cell r="A1015" t="str">
            <v>2.4.49</v>
          </cell>
          <cell r="B1015" t="str">
            <v>CODO PVC RADIO CORTO 90°   D =   4"</v>
          </cell>
          <cell r="C1015" t="str">
            <v>UN</v>
          </cell>
          <cell r="D1015">
            <v>0</v>
          </cell>
        </row>
        <row r="1016">
          <cell r="A1016" t="str">
            <v>2.4.50</v>
          </cell>
          <cell r="B1016" t="str">
            <v>CODO PVC RADIO CORTO 90°   D =   6"</v>
          </cell>
          <cell r="C1016" t="str">
            <v>UN</v>
          </cell>
          <cell r="D1016">
            <v>0</v>
          </cell>
        </row>
        <row r="1017">
          <cell r="A1017" t="str">
            <v>2.4.51</v>
          </cell>
          <cell r="B1017" t="str">
            <v xml:space="preserve"> CODO PVC RADIO CORTO 90°   D =   8"</v>
          </cell>
          <cell r="C1017" t="str">
            <v>UN</v>
          </cell>
          <cell r="D1017">
            <v>0</v>
          </cell>
        </row>
        <row r="1018">
          <cell r="A1018" t="str">
            <v>2.4.52</v>
          </cell>
          <cell r="B1018" t="str">
            <v>CODO PVC RADIO CORTO 45°   D =   2"</v>
          </cell>
          <cell r="C1018" t="str">
            <v>UN</v>
          </cell>
          <cell r="D1018">
            <v>0</v>
          </cell>
        </row>
        <row r="1019">
          <cell r="A1019" t="str">
            <v>2.4.53</v>
          </cell>
          <cell r="B1019" t="str">
            <v>CODO PVC RADIO CORTO 45°   D =   2 1/2"</v>
          </cell>
          <cell r="C1019" t="str">
            <v>UN</v>
          </cell>
          <cell r="D1019">
            <v>0</v>
          </cell>
        </row>
        <row r="1020">
          <cell r="A1020" t="str">
            <v>2.4.54</v>
          </cell>
          <cell r="B1020" t="str">
            <v>CODO PVC RADIO CORTO 45°   D =   3"</v>
          </cell>
          <cell r="C1020" t="str">
            <v>UN</v>
          </cell>
          <cell r="D1020">
            <v>0</v>
          </cell>
        </row>
        <row r="1021">
          <cell r="A1021" t="str">
            <v>2.4.55</v>
          </cell>
          <cell r="B1021" t="str">
            <v>CODO PVC RADIO CORTO 45°   D =   4"</v>
          </cell>
          <cell r="C1021" t="str">
            <v>UN</v>
          </cell>
          <cell r="D1021">
            <v>0</v>
          </cell>
        </row>
        <row r="1022">
          <cell r="A1022" t="str">
            <v>2.4.56</v>
          </cell>
          <cell r="B1022" t="str">
            <v>CODO PVC RADIO CORTO 45°   D =   6"</v>
          </cell>
          <cell r="C1022" t="str">
            <v>UN</v>
          </cell>
          <cell r="D1022">
            <v>0</v>
          </cell>
        </row>
        <row r="1023">
          <cell r="A1023" t="str">
            <v>2.4.57</v>
          </cell>
          <cell r="B1023" t="str">
            <v>CODO PVC RADIO CORTO 45°   D =   8"</v>
          </cell>
          <cell r="C1023" t="str">
            <v>UN</v>
          </cell>
          <cell r="D1023">
            <v>0</v>
          </cell>
        </row>
        <row r="1024">
          <cell r="A1024" t="str">
            <v>2.4.58</v>
          </cell>
          <cell r="B1024" t="str">
            <v>COLLAR PVC DE DERIVACIÓN DE 2"*1/2"</v>
          </cell>
          <cell r="C1024" t="str">
            <v>UN</v>
          </cell>
          <cell r="D1024">
            <v>0</v>
          </cell>
        </row>
        <row r="1025">
          <cell r="A1025" t="str">
            <v>2.4.59</v>
          </cell>
          <cell r="B1025" t="str">
            <v>COLLAR PVC DE DERIVACIÓN DE 2"*3/4"</v>
          </cell>
          <cell r="C1025" t="str">
            <v>UN</v>
          </cell>
          <cell r="D1025">
            <v>0</v>
          </cell>
        </row>
        <row r="1026">
          <cell r="A1026" t="str">
            <v>2.4.60</v>
          </cell>
          <cell r="B1026" t="str">
            <v>COLLAR PVC DE DERIVACIÓN DE 2 1/2"*1/2"</v>
          </cell>
          <cell r="C1026" t="str">
            <v>UN</v>
          </cell>
          <cell r="D1026">
            <v>0</v>
          </cell>
        </row>
        <row r="1027">
          <cell r="A1027" t="str">
            <v>2.4.61</v>
          </cell>
          <cell r="B1027" t="str">
            <v>COLLAR PVC DE DERIVACIÓN DE 2 1/2"*3/4"</v>
          </cell>
          <cell r="C1027" t="str">
            <v>UN</v>
          </cell>
          <cell r="D1027">
            <v>0</v>
          </cell>
        </row>
        <row r="1028">
          <cell r="A1028" t="str">
            <v>2.4.62</v>
          </cell>
          <cell r="B1028" t="str">
            <v>COLLAR PVC DE DERIVACIÓN DE 3"*1/2"</v>
          </cell>
          <cell r="C1028" t="str">
            <v>UN</v>
          </cell>
          <cell r="D1028">
            <v>0</v>
          </cell>
        </row>
        <row r="1029">
          <cell r="A1029" t="str">
            <v>2.4.63</v>
          </cell>
          <cell r="B1029" t="str">
            <v>COLLAR PVC DE DERIVACIÓN DE 3"*3/4"</v>
          </cell>
          <cell r="C1029" t="str">
            <v>UN</v>
          </cell>
          <cell r="D1029">
            <v>0</v>
          </cell>
        </row>
        <row r="1030">
          <cell r="A1030" t="str">
            <v>2.4.64</v>
          </cell>
          <cell r="B1030" t="str">
            <v>COLLAR PVC DE DERIVACIÓN DE 4"*1/2"</v>
          </cell>
          <cell r="C1030" t="str">
            <v>UN</v>
          </cell>
          <cell r="D1030">
            <v>0</v>
          </cell>
        </row>
        <row r="1031">
          <cell r="A1031" t="str">
            <v>2.4.65</v>
          </cell>
          <cell r="B1031" t="str">
            <v>COLLAR PVC DE DERIVACIÓN DE 4"*3/4"</v>
          </cell>
          <cell r="C1031" t="str">
            <v>UN</v>
          </cell>
          <cell r="D1031">
            <v>0</v>
          </cell>
        </row>
        <row r="1032">
          <cell r="A1032" t="str">
            <v>2.4.66</v>
          </cell>
          <cell r="B1032" t="str">
            <v>COLLAR PVC DE DERIVACIÓN DE 6"*1/2"</v>
          </cell>
          <cell r="C1032" t="str">
            <v>UN</v>
          </cell>
          <cell r="D1032">
            <v>0</v>
          </cell>
        </row>
        <row r="1033">
          <cell r="A1033" t="str">
            <v>2.4.67</v>
          </cell>
          <cell r="B1033" t="str">
            <v>COLLAR PVC DE DERIVACIÓN DE 6"*3/4"</v>
          </cell>
          <cell r="C1033" t="str">
            <v>UN</v>
          </cell>
          <cell r="D1033">
            <v>0</v>
          </cell>
        </row>
        <row r="1034">
          <cell r="A1034" t="str">
            <v>2.4.68</v>
          </cell>
          <cell r="B1034" t="str">
            <v>COLLAR PVC DE DERIVACIÓN DE 8"*1"</v>
          </cell>
          <cell r="C1034" t="str">
            <v>UN</v>
          </cell>
          <cell r="D1034">
            <v>0</v>
          </cell>
        </row>
        <row r="1035">
          <cell r="A1035" t="str">
            <v>2.4.69</v>
          </cell>
          <cell r="B1035" t="str">
            <v>ADAPTADOR PVC MACHO   D = 1/2"</v>
          </cell>
          <cell r="C1035" t="str">
            <v>UN</v>
          </cell>
          <cell r="D1035">
            <v>0</v>
          </cell>
        </row>
        <row r="1036">
          <cell r="A1036" t="str">
            <v>2.4.70</v>
          </cell>
          <cell r="B1036" t="str">
            <v>ADAPTADOR PVC MACHO   D = 3/4"</v>
          </cell>
          <cell r="C1036" t="str">
            <v>UN</v>
          </cell>
          <cell r="D1036">
            <v>0</v>
          </cell>
        </row>
        <row r="1037">
          <cell r="A1037" t="str">
            <v>2.4.71</v>
          </cell>
          <cell r="B1037" t="str">
            <v>ADAPTADOR PVC MACHO   D = 1"</v>
          </cell>
          <cell r="C1037" t="str">
            <v>UN</v>
          </cell>
          <cell r="D1037">
            <v>0</v>
          </cell>
        </row>
        <row r="1038">
          <cell r="A1038" t="str">
            <v>2.4.72</v>
          </cell>
          <cell r="B1038" t="str">
            <v>ADAPTADOR PVC MACHO   D = 1 1/4"</v>
          </cell>
          <cell r="C1038" t="str">
            <v>UN</v>
          </cell>
          <cell r="D1038">
            <v>0</v>
          </cell>
        </row>
        <row r="1039">
          <cell r="A1039" t="str">
            <v>2.4.73</v>
          </cell>
          <cell r="B1039" t="str">
            <v>ADAPTADOR PVC MACHO   D = 1 1/2"</v>
          </cell>
          <cell r="C1039" t="str">
            <v>UN</v>
          </cell>
          <cell r="D1039">
            <v>0</v>
          </cell>
        </row>
        <row r="1040">
          <cell r="A1040" t="str">
            <v>2.4.74</v>
          </cell>
          <cell r="B1040" t="str">
            <v>ADAPTADOR PVC HEMBRA   D =  1/2"</v>
          </cell>
          <cell r="C1040" t="str">
            <v>UN</v>
          </cell>
          <cell r="D1040">
            <v>0</v>
          </cell>
        </row>
        <row r="1041">
          <cell r="A1041" t="str">
            <v>2.4.75</v>
          </cell>
          <cell r="B1041" t="str">
            <v>ADAPTADOR PVC HEMBRA   D =  3/4"</v>
          </cell>
          <cell r="C1041" t="str">
            <v>UN</v>
          </cell>
          <cell r="D1041">
            <v>0</v>
          </cell>
        </row>
        <row r="1042">
          <cell r="A1042" t="str">
            <v>2.4.76</v>
          </cell>
          <cell r="B1042" t="str">
            <v>ADAPTADOR PVC HEMBRA   D =  1"</v>
          </cell>
          <cell r="C1042" t="str">
            <v>UN</v>
          </cell>
          <cell r="D1042">
            <v>0</v>
          </cell>
        </row>
        <row r="1043">
          <cell r="A1043" t="str">
            <v>2.4.77</v>
          </cell>
          <cell r="B1043" t="str">
            <v>ADAPTADOR PVC  HEMBRA   D =  1 1/4"</v>
          </cell>
          <cell r="C1043" t="str">
            <v>UN</v>
          </cell>
          <cell r="D1043">
            <v>0</v>
          </cell>
        </row>
        <row r="1044">
          <cell r="A1044" t="str">
            <v>2.4.78</v>
          </cell>
          <cell r="B1044" t="str">
            <v>ADAPTADOR PVC HEMBRA   D =  1 1/2"</v>
          </cell>
          <cell r="C1044" t="str">
            <v>UN</v>
          </cell>
          <cell r="D1044">
            <v>0</v>
          </cell>
        </row>
        <row r="1045">
          <cell r="A1045" t="str">
            <v>2.4.79</v>
          </cell>
          <cell r="B1045" t="str">
            <v>ADAPTADOR PVC  MACHO UNION MECANICA PF + UAD D = 1/2"</v>
          </cell>
          <cell r="C1045" t="str">
            <v>UN</v>
          </cell>
          <cell r="D1045">
            <v>0</v>
          </cell>
        </row>
        <row r="1046">
          <cell r="A1046" t="str">
            <v>2.4.80</v>
          </cell>
          <cell r="B1046" t="str">
            <v>ADAPTADOR PVC  HEMBRA UNION MECANICA PF + UAD D = 1/2"</v>
          </cell>
          <cell r="C1046" t="str">
            <v>UN</v>
          </cell>
          <cell r="D1046">
            <v>0</v>
          </cell>
        </row>
        <row r="1047">
          <cell r="A1047" t="str">
            <v>2.4.81</v>
          </cell>
          <cell r="B1047" t="str">
            <v>UNION PVC  PRESION SOLDAR D = 1/2"</v>
          </cell>
          <cell r="C1047" t="str">
            <v>UN</v>
          </cell>
          <cell r="D1047">
            <v>0</v>
          </cell>
        </row>
        <row r="1048">
          <cell r="A1048" t="str">
            <v>2.4.82</v>
          </cell>
          <cell r="B1048" t="str">
            <v>UNION PVC  PRESION SOLDAR D = 3/4"</v>
          </cell>
          <cell r="C1048" t="str">
            <v>UN</v>
          </cell>
          <cell r="D1048">
            <v>0</v>
          </cell>
        </row>
        <row r="1049">
          <cell r="A1049" t="str">
            <v>2.4.83</v>
          </cell>
          <cell r="B1049" t="str">
            <v>UNION PVC PRESION SOLDAR D = 1"</v>
          </cell>
          <cell r="C1049" t="str">
            <v>UN</v>
          </cell>
          <cell r="D1049">
            <v>0</v>
          </cell>
        </row>
        <row r="1050">
          <cell r="A1050" t="str">
            <v>2.4.84</v>
          </cell>
          <cell r="B1050" t="str">
            <v>UNION PVC  PRESION SOLDAR D = 1 1/4"</v>
          </cell>
          <cell r="C1050" t="str">
            <v>UN</v>
          </cell>
          <cell r="D1050">
            <v>0</v>
          </cell>
        </row>
        <row r="1051">
          <cell r="A1051" t="str">
            <v>2.4.85</v>
          </cell>
          <cell r="B1051" t="str">
            <v>UNION PVC  PRESION SOLDAR D = 1 1/2"</v>
          </cell>
          <cell r="C1051" t="str">
            <v>UN</v>
          </cell>
          <cell r="D1051">
            <v>0</v>
          </cell>
        </row>
        <row r="1052">
          <cell r="A1052" t="str">
            <v>2.4.86</v>
          </cell>
          <cell r="B1052" t="str">
            <v>UNION PVC   MECANICA D = 2"</v>
          </cell>
          <cell r="C1052" t="str">
            <v>UN</v>
          </cell>
          <cell r="D1052">
            <v>0</v>
          </cell>
        </row>
        <row r="1053">
          <cell r="A1053" t="str">
            <v>2.4.87</v>
          </cell>
          <cell r="B1053" t="str">
            <v>UNION PVC  MECANICA D = 2 1/2"</v>
          </cell>
          <cell r="C1053" t="str">
            <v>UN</v>
          </cell>
          <cell r="D1053">
            <v>0</v>
          </cell>
        </row>
        <row r="1054">
          <cell r="A1054" t="str">
            <v>2.4.88</v>
          </cell>
          <cell r="B1054" t="str">
            <v>UNION PVC  MECANICA D = 3"</v>
          </cell>
          <cell r="C1054" t="str">
            <v>UN</v>
          </cell>
          <cell r="D1054">
            <v>0</v>
          </cell>
        </row>
        <row r="1055">
          <cell r="A1055" t="str">
            <v>2.4.89</v>
          </cell>
          <cell r="B1055" t="str">
            <v>UNION PVC  MECANICA D = 4"</v>
          </cell>
          <cell r="C1055" t="str">
            <v>UN</v>
          </cell>
          <cell r="D1055">
            <v>0</v>
          </cell>
        </row>
        <row r="1056">
          <cell r="A1056" t="str">
            <v>2.4.90</v>
          </cell>
          <cell r="B1056" t="str">
            <v>UNION PVC  MECANICA D = 6"</v>
          </cell>
          <cell r="C1056" t="str">
            <v>UN</v>
          </cell>
          <cell r="D1056">
            <v>0</v>
          </cell>
        </row>
        <row r="1057">
          <cell r="A1057" t="str">
            <v>2.4.91</v>
          </cell>
          <cell r="B1057" t="str">
            <v>UNION PVC  MECANICA D = 8"</v>
          </cell>
          <cell r="C1057" t="str">
            <v>UN</v>
          </cell>
          <cell r="D1057">
            <v>0</v>
          </cell>
        </row>
        <row r="1058">
          <cell r="A1058" t="str">
            <v>2.4.92</v>
          </cell>
          <cell r="B1058" t="str">
            <v>UNION PVC  MECANICA D = 10"</v>
          </cell>
          <cell r="C1058" t="str">
            <v>UN</v>
          </cell>
          <cell r="D1058">
            <v>0</v>
          </cell>
        </row>
        <row r="1059">
          <cell r="A1059" t="str">
            <v>2.4.93</v>
          </cell>
          <cell r="B1059" t="str">
            <v>UNION PVC  MECANICA D = 12"</v>
          </cell>
          <cell r="C1059" t="str">
            <v>UN</v>
          </cell>
          <cell r="D1059">
            <v>0</v>
          </cell>
        </row>
        <row r="1060">
          <cell r="A1060" t="str">
            <v>2.4.94</v>
          </cell>
          <cell r="B1060" t="str">
            <v>UNION PVC  MECANICA RAPIDA D = 2"</v>
          </cell>
          <cell r="C1060" t="str">
            <v>UN</v>
          </cell>
          <cell r="D1060">
            <v>0</v>
          </cell>
        </row>
        <row r="1061">
          <cell r="A1061" t="str">
            <v>2.4.95</v>
          </cell>
          <cell r="B1061" t="str">
            <v>UNION PVC  MECANICA RAPIDA D = 2 1/2"</v>
          </cell>
          <cell r="C1061" t="str">
            <v>UN</v>
          </cell>
          <cell r="D1061">
            <v>0</v>
          </cell>
        </row>
        <row r="1062">
          <cell r="A1062" t="str">
            <v>2.4.96</v>
          </cell>
          <cell r="B1062" t="str">
            <v>UNION PVC  MECANICA RAPIDA D = 3"</v>
          </cell>
          <cell r="C1062" t="str">
            <v>UN</v>
          </cell>
          <cell r="D1062">
            <v>0</v>
          </cell>
        </row>
        <row r="1063">
          <cell r="A1063" t="str">
            <v>2.4.97</v>
          </cell>
          <cell r="B1063" t="str">
            <v>UNION PVC  MECANICA RAPIDA D = 4"</v>
          </cell>
          <cell r="C1063" t="str">
            <v>UN</v>
          </cell>
          <cell r="D1063">
            <v>0</v>
          </cell>
        </row>
        <row r="1064">
          <cell r="A1064" t="str">
            <v>2.4.98</v>
          </cell>
          <cell r="B1064" t="str">
            <v>UNION PVC  MECANICA RAPIDA D = 6"</v>
          </cell>
          <cell r="C1064" t="str">
            <v>UN</v>
          </cell>
          <cell r="D1064">
            <v>0</v>
          </cell>
        </row>
        <row r="1065">
          <cell r="A1065" t="str">
            <v>2.4.99</v>
          </cell>
          <cell r="B1065" t="str">
            <v>UNION PVC  MECANICA RAPIDA D = 8"</v>
          </cell>
          <cell r="C1065" t="str">
            <v>UN</v>
          </cell>
          <cell r="D1065">
            <v>0</v>
          </cell>
        </row>
        <row r="1066">
          <cell r="A1066" t="str">
            <v>2.4.100</v>
          </cell>
          <cell r="B1066" t="str">
            <v>UNION PVC  MECANICA RAPIDA D = 10"</v>
          </cell>
          <cell r="C1066" t="str">
            <v>UN</v>
          </cell>
          <cell r="D1066">
            <v>0</v>
          </cell>
        </row>
        <row r="1067">
          <cell r="A1067" t="str">
            <v>2.4.181</v>
          </cell>
          <cell r="B1067" t="str">
            <v>SUMINISTRO E INSTALACION TEE PRESION PVC REDUCCION  D=3/4" x 1/2"</v>
          </cell>
          <cell r="C1067" t="str">
            <v>UN</v>
          </cell>
          <cell r="D1067">
            <v>0</v>
          </cell>
        </row>
        <row r="1068">
          <cell r="A1068" t="str">
            <v>6.4.2.131</v>
          </cell>
          <cell r="B1068" t="str">
            <v>SUMINISTRO E INSTALACION DE PASAMURO HD SOLDADO EL x EL L:0,20m D=2"</v>
          </cell>
          <cell r="C1068" t="str">
            <v>UN</v>
          </cell>
          <cell r="D1068">
            <v>0</v>
          </cell>
        </row>
        <row r="1069">
          <cell r="A1069" t="str">
            <v>6.4.2.132</v>
          </cell>
          <cell r="B1069" t="str">
            <v>SUMINISTRO E INSTALACION DE PASAMURO HD SOLDADO EL x EL L:0,20m D=3"</v>
          </cell>
          <cell r="C1069" t="str">
            <v>UN</v>
          </cell>
          <cell r="D1069">
            <v>0</v>
          </cell>
        </row>
        <row r="1070">
          <cell r="A1070" t="str">
            <v>6.4.2.133</v>
          </cell>
          <cell r="B1070" t="str">
            <v>PASAMURO HD SOLDADO EL x EL L:0,35m D=6"</v>
          </cell>
          <cell r="C1070" t="str">
            <v>UN</v>
          </cell>
          <cell r="D1070">
            <v>0</v>
          </cell>
        </row>
        <row r="1071">
          <cell r="A1071" t="str">
            <v>6.4.2.134</v>
          </cell>
          <cell r="B1071" t="str">
            <v>SUMINISTRO E INSTALACION DE PASAMURO HD SOLDADO EL x EL L:0,35m D=3"</v>
          </cell>
          <cell r="C1071" t="str">
            <v>UN</v>
          </cell>
          <cell r="D1071">
            <v>0</v>
          </cell>
        </row>
        <row r="1072">
          <cell r="A1072" t="str">
            <v>6.4.2.135</v>
          </cell>
          <cell r="B1072" t="str">
            <v>SUMINISTRO E INSTALACION DE PASAMURO HD SOLDADO EL x EL L:0,25m D=6"</v>
          </cell>
          <cell r="C1072" t="str">
            <v>UN</v>
          </cell>
          <cell r="D1072">
            <v>0</v>
          </cell>
        </row>
        <row r="1073">
          <cell r="A1073" t="str">
            <v>6.4.2.136</v>
          </cell>
          <cell r="B1073" t="str">
            <v>SUMINISTRO E INSTALACION DE MACROMEDIDOR Ø:2".</v>
          </cell>
          <cell r="C1073" t="str">
            <v>UN</v>
          </cell>
          <cell r="D1073">
            <v>0</v>
          </cell>
        </row>
        <row r="1074">
          <cell r="A1074" t="str">
            <v>6.4.2.137</v>
          </cell>
          <cell r="B1074" t="str">
            <v>LAMINA EN FIBRA DE VIDRIO PARA SEDIMENTADOR 0,90m x 1,50m.</v>
          </cell>
          <cell r="C1074" t="str">
            <v>UN</v>
          </cell>
          <cell r="D1074">
            <v>0</v>
          </cell>
        </row>
        <row r="1075">
          <cell r="A1075" t="str">
            <v>6.4.2.138</v>
          </cell>
          <cell r="B1075" t="str">
            <v>POCETA EN ACERO INOXIDABLE DE SOBREPONER INCLUYE SALPICADOR Y GRIFERIA</v>
          </cell>
          <cell r="C1075" t="str">
            <v>UN</v>
          </cell>
          <cell r="D1075">
            <v>0</v>
          </cell>
        </row>
        <row r="1076">
          <cell r="A1076" t="str">
            <v>3.15.15A</v>
          </cell>
          <cell r="B1076" t="str">
            <v>MONTAJE DE ESTRUCTURA METALICA</v>
          </cell>
          <cell r="C1076" t="str">
            <v>KG</v>
          </cell>
          <cell r="D1076">
            <v>0</v>
          </cell>
        </row>
        <row r="1077">
          <cell r="A1077" t="str">
            <v>6.4.2.139</v>
          </cell>
          <cell r="B1077" t="str">
            <v>SUMINISTRO E INSTALACIÓN TABIQUE EN PRFV e:10 mm. (2,95m x 0,30m). Según diseño.</v>
          </cell>
          <cell r="C1077" t="str">
            <v>UN</v>
          </cell>
          <cell r="D1077">
            <v>0</v>
          </cell>
        </row>
        <row r="1078">
          <cell r="A1078" t="str">
            <v>6.4.2.140</v>
          </cell>
          <cell r="B1078" t="str">
            <v>SUMINISTRO E INSTALACION DE TEE 6X3" PVC</v>
          </cell>
          <cell r="C1078" t="str">
            <v>UN</v>
          </cell>
          <cell r="D1078">
            <v>0</v>
          </cell>
        </row>
        <row r="1079">
          <cell r="A1079" t="str">
            <v>6.2.4</v>
          </cell>
          <cell r="B1079" t="str">
            <v>CONCRETO CLASE D 21 MPa -(3000 PSI)</v>
          </cell>
          <cell r="C1079" t="str">
            <v>M3</v>
          </cell>
          <cell r="D1079">
            <v>0</v>
          </cell>
        </row>
        <row r="1080">
          <cell r="A1080" t="str">
            <v>6.2.2</v>
          </cell>
          <cell r="B1080" t="str">
            <v>CONCRETO FLUIDO - 28.0MPa - (4000 PSI)</v>
          </cell>
          <cell r="C1080" t="str">
            <v>M3</v>
          </cell>
          <cell r="D1080">
            <v>0</v>
          </cell>
        </row>
        <row r="1081">
          <cell r="A1081" t="str">
            <v>6.4.2.141</v>
          </cell>
          <cell r="B1081" t="str">
            <v>SUMINISTRO E INSTALACION TAPA EN CONCRETO e= 0,10m L=1,20m A=0,60m (incluye dos manijas metálicas)</v>
          </cell>
          <cell r="C1081" t="str">
            <v>UN</v>
          </cell>
          <cell r="D1081">
            <v>0</v>
          </cell>
        </row>
        <row r="1082">
          <cell r="A1082" t="str">
            <v>1.1.12A</v>
          </cell>
          <cell r="B1082" t="str">
            <v>DEMOLICIÓN MURO CONCRETO E=25 cm</v>
          </cell>
          <cell r="C1082" t="str">
            <v>M2</v>
          </cell>
          <cell r="D1082">
            <v>0</v>
          </cell>
        </row>
        <row r="1083">
          <cell r="A1083" t="str">
            <v>6.4.2.142</v>
          </cell>
          <cell r="B1083" t="str">
            <v>SUMINISTRO E INSTALACION DE TEE 6X4" PVC</v>
          </cell>
          <cell r="C1083" t="str">
            <v>UN</v>
          </cell>
          <cell r="D1083">
            <v>0</v>
          </cell>
        </row>
        <row r="1084">
          <cell r="A1084" t="str">
            <v>6.4.2.143</v>
          </cell>
          <cell r="B1084" t="str">
            <v>SUMINISTRO E INSTALACION DE TEE 6" PVC</v>
          </cell>
          <cell r="C1084" t="str">
            <v>UN</v>
          </cell>
          <cell r="D1084">
            <v>0</v>
          </cell>
        </row>
        <row r="1085">
          <cell r="A1085" t="str">
            <v>1.1.83A</v>
          </cell>
          <cell r="B1085" t="str">
            <v xml:space="preserve">  DEMOLICION PLACA DE PISO E=0,20 Mts.</v>
          </cell>
          <cell r="C1085" t="str">
            <v>M2</v>
          </cell>
          <cell r="D1085">
            <v>0</v>
          </cell>
        </row>
        <row r="1086">
          <cell r="A1086" t="str">
            <v>6.4.2.144</v>
          </cell>
          <cell r="B1086" t="str">
            <v>VARILLA PARA REFUERZO LOGITUDINAL PARA COLUMNETA N 4, L=0,5 m, 0,996 kg</v>
          </cell>
          <cell r="C1086" t="str">
            <v>UN</v>
          </cell>
          <cell r="D1086">
            <v>0</v>
          </cell>
        </row>
        <row r="1087">
          <cell r="A1087" t="str">
            <v>6.4.2.145</v>
          </cell>
          <cell r="B1087" t="str">
            <v>VARILLA PARA REFUERZO TRANSVERSAL PARA COLUMNETAS N 3, L=0,7 m, 0,557 kg</v>
          </cell>
          <cell r="C1087" t="str">
            <v>UN</v>
          </cell>
          <cell r="D1087">
            <v>0</v>
          </cell>
        </row>
        <row r="1088">
          <cell r="A1088" t="str">
            <v>6.4.2.146</v>
          </cell>
          <cell r="B1088" t="str">
            <v>VARILLA PARA REFUERZO LOGITUDINAL PARA VIGUETAS N 2 , L=3,65 m, 0,251 kg</v>
          </cell>
          <cell r="C1088" t="str">
            <v>UN</v>
          </cell>
          <cell r="D1088">
            <v>0</v>
          </cell>
        </row>
        <row r="1089">
          <cell r="A1089" t="str">
            <v>6.4.2.147</v>
          </cell>
          <cell r="B1089" t="str">
            <v>VARILLA PARA REFUERZO TRANSVERSAL PARA VIGUETAS N 2 , L=0,25 m, 0,251 kg</v>
          </cell>
          <cell r="C1089" t="str">
            <v>UN</v>
          </cell>
          <cell r="D1089">
            <v>0</v>
          </cell>
        </row>
        <row r="1090">
          <cell r="A1090" t="str">
            <v>6.4.2.148</v>
          </cell>
          <cell r="B1090" t="str">
            <v>PASO DE ESCALERA EN ACERO EN VARILLA N°6 incluye anticorrosivo L= 1.40 m</v>
          </cell>
          <cell r="C1090" t="str">
            <v>UN</v>
          </cell>
          <cell r="D1090">
            <v>0</v>
          </cell>
        </row>
        <row r="1091">
          <cell r="A1091" t="str">
            <v>6.4.2.149</v>
          </cell>
          <cell r="B1091" t="str">
            <v>SUMINISTRO E INSTALACION CODO 90° presion PVC Ø3"</v>
          </cell>
          <cell r="C1091" t="str">
            <v>UN</v>
          </cell>
          <cell r="D1091">
            <v>0</v>
          </cell>
        </row>
        <row r="1092">
          <cell r="A1092" t="str">
            <v>6.4.2.150</v>
          </cell>
          <cell r="B1092" t="str">
            <v>TAPA DE ALFAJOR 0,80 X 0,90 M E= 1/4" CAL. 12 CURRUGADA, BISAGRA EN HIERRO FUNDIDO, MARCO EN PERFIL DE 1 1/4" X 3/16" Y MANIJA DE AGARRE EN VARILLA DE 1/2"</v>
          </cell>
          <cell r="C1092" t="str">
            <v xml:space="preserve">UN </v>
          </cell>
          <cell r="D1092">
            <v>0</v>
          </cell>
        </row>
        <row r="1093">
          <cell r="A1093" t="str">
            <v>6.4.2.151</v>
          </cell>
          <cell r="B1093" t="str">
            <v>TAPA DE ALFAJOR 1.0 X 1.0 M E= 1/4" CAL. 12 CURRUGADA, BISAGRA EN HIERRO FUNDIDO, MARCO EN PERFIL DE 1 1/4" X 3/16" Y MANIJA DE AGARRE EN VARILLA DE 1/2"</v>
          </cell>
          <cell r="C1093" t="str">
            <v>UN</v>
          </cell>
          <cell r="D1093">
            <v>0</v>
          </cell>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v>0</v>
          </cell>
        </row>
        <row r="1096">
          <cell r="A1096" t="str">
            <v>6.4.2.154</v>
          </cell>
          <cell r="B1096" t="str">
            <v>SUMINISTRO E INSTALACIÓN UNIVERSAL D=2" HD</v>
          </cell>
          <cell r="C1096" t="str">
            <v>UN</v>
          </cell>
          <cell r="D1096">
            <v>0</v>
          </cell>
        </row>
        <row r="1097">
          <cell r="A1097" t="str">
            <v>6.4.2.155</v>
          </cell>
          <cell r="B1097" t="str">
            <v xml:space="preserve"> SUMINISTRO E INSTALACIÓN NIPLE BRIDA - LISO D=2" HD 1,0 m</v>
          </cell>
          <cell r="C1097" t="str">
            <v>UN</v>
          </cell>
          <cell r="D1097">
            <v>0</v>
          </cell>
        </row>
        <row r="1098">
          <cell r="A1098" t="str">
            <v>6.4.2.156</v>
          </cell>
          <cell r="B1098" t="str">
            <v>SUMINISTRO E INSTALACIÓN REDUCCION 3X2" PVC</v>
          </cell>
          <cell r="C1098" t="str">
            <v>UN</v>
          </cell>
          <cell r="D1098">
            <v>0</v>
          </cell>
        </row>
        <row r="1099">
          <cell r="A1099" t="str">
            <v>6.4.2.157</v>
          </cell>
          <cell r="B1099" t="str">
            <v>SUMINISTRO E INSTALACIÓN NIPLE D=2" PVC 0,20 M</v>
          </cell>
          <cell r="C1099" t="str">
            <v>UN</v>
          </cell>
          <cell r="D1099">
            <v>0</v>
          </cell>
        </row>
        <row r="1100">
          <cell r="A1100" t="str">
            <v>6.4.2.158</v>
          </cell>
          <cell r="B1100" t="str">
            <v>SUMINISTRO E INSTALACIÓN NIPLE D=2" PVC 0,10 M</v>
          </cell>
          <cell r="C1100" t="str">
            <v>UN</v>
          </cell>
          <cell r="D1100">
            <v>0</v>
          </cell>
        </row>
        <row r="1101">
          <cell r="A1101" t="str">
            <v>6.4.2.159</v>
          </cell>
          <cell r="B1101" t="str">
            <v>SUMINISTRO E INSTALACIÓN NIPLE PVC D=6" L=1 m</v>
          </cell>
          <cell r="C1101" t="str">
            <v>UN</v>
          </cell>
          <cell r="D1101">
            <v>0</v>
          </cell>
        </row>
        <row r="1102">
          <cell r="A1102" t="str">
            <v>6.4.2.160</v>
          </cell>
          <cell r="B1102" t="str">
            <v>SUMINISTRO E INSTALACIÓN PASAMURO HD ELxEL L=0,20 M  D=3"</v>
          </cell>
          <cell r="C1102" t="str">
            <v>UN</v>
          </cell>
          <cell r="D1102">
            <v>0</v>
          </cell>
        </row>
        <row r="1103">
          <cell r="A1103" t="str">
            <v>6.4.2.161</v>
          </cell>
          <cell r="B1103" t="str">
            <v>SUMINISTRO E INSTALACIÓN ABRAZADERA ACERO GALVANIZADO DE 2 AGUJEROS D=4"</v>
          </cell>
          <cell r="C1103" t="str">
            <v>UN</v>
          </cell>
          <cell r="D1103">
            <v>0</v>
          </cell>
        </row>
        <row r="1104">
          <cell r="A1104" t="str">
            <v>6.4.2.162</v>
          </cell>
          <cell r="B1104" t="str">
            <v>SUMINISTRO E INSTALACIÓN NIPLE PVC D=4" L= 0,1 m</v>
          </cell>
          <cell r="C1104" t="str">
            <v>UN</v>
          </cell>
          <cell r="D1104">
            <v>0</v>
          </cell>
        </row>
        <row r="1105">
          <cell r="A1105" t="str">
            <v>6.4.2.163</v>
          </cell>
          <cell r="B1105" t="str">
            <v>SUMINISTRO E INSTALACIÓN MACROMEDIDOR DE 6"</v>
          </cell>
          <cell r="C1105" t="str">
            <v>UN</v>
          </cell>
          <cell r="D1105">
            <v>0</v>
          </cell>
        </row>
        <row r="1106">
          <cell r="A1106" t="str">
            <v>6.4.2.164</v>
          </cell>
          <cell r="B1106" t="str">
            <v>SUMINISTRO E INSTALACIÓN DE TEE PVC D=4"</v>
          </cell>
          <cell r="C1106" t="str">
            <v>UN</v>
          </cell>
          <cell r="D1106">
            <v>0</v>
          </cell>
        </row>
        <row r="1107">
          <cell r="A1107" t="str">
            <v>6.4.2.165</v>
          </cell>
          <cell r="B1107" t="str">
            <v>DESMONTAJE SISTEMA DE BOMBEO DE 36 PH</v>
          </cell>
          <cell r="C1107" t="str">
            <v>UN</v>
          </cell>
          <cell r="D1107">
            <v>0</v>
          </cell>
        </row>
        <row r="1108">
          <cell r="A1108" t="str">
            <v>6.4.2.166</v>
          </cell>
          <cell r="B1108" t="str">
            <v>DESMONTAJE SISTEMA DE BOMBEO DE 100 PH INCLUYENDO SUCCIÓN E IMPULSIÓN, ACCESORIOS REQUERIDOS Y TRASLADO DE TABLERO DE FUERZA, MEDIDOR Y LINEA DE FUERZA AL TABLERO.</v>
          </cell>
          <cell r="C1108" t="str">
            <v>UN</v>
          </cell>
          <cell r="D1108">
            <v>0</v>
          </cell>
        </row>
        <row r="1109">
          <cell r="A1109" t="str">
            <v>6.4.2.167</v>
          </cell>
          <cell r="B1109" t="str">
            <v>TRASLADO DE VÁLVULA ANTICIPADORA</v>
          </cell>
          <cell r="C1109" t="str">
            <v>UN</v>
          </cell>
          <cell r="D1109">
            <v>0</v>
          </cell>
        </row>
        <row r="1110">
          <cell r="A1110" t="str">
            <v>6.4.2.168</v>
          </cell>
          <cell r="B1110" t="str">
            <v>DESMONTAJE BRIDA CIEGA O TAPÓN DE LA LINEA DE 100 HP</v>
          </cell>
          <cell r="C1110" t="str">
            <v>UN</v>
          </cell>
          <cell r="D1110">
            <v>0</v>
          </cell>
        </row>
        <row r="1111">
          <cell r="A1111" t="str">
            <v>6.4.2.169</v>
          </cell>
          <cell r="B1111" t="str">
            <v>DEMOLICION DE CUBIERTA TEJA GALVANIZADA</v>
          </cell>
          <cell r="C1111" t="str">
            <v>M2</v>
          </cell>
          <cell r="D1111">
            <v>0</v>
          </cell>
        </row>
        <row r="1112">
          <cell r="A1112" t="str">
            <v>6.4.2.170</v>
          </cell>
          <cell r="B1112" t="str">
            <v>CORREA  PHR C 203 X 67 MM, E=3,0 MM</v>
          </cell>
          <cell r="C1112" t="str">
            <v>ML</v>
          </cell>
          <cell r="D1112">
            <v>0</v>
          </cell>
        </row>
        <row r="1113">
          <cell r="A1113" t="str">
            <v>1.12.58</v>
          </cell>
          <cell r="B1113" t="str">
            <v>SUMINISTRO E INSTALACIÓN TEJA THERMOACUSTICA TIPO TRAPEZOIDAL a 360</v>
          </cell>
          <cell r="C1113" t="str">
            <v>M2</v>
          </cell>
          <cell r="D1113">
            <v>0</v>
          </cell>
        </row>
        <row r="1114">
          <cell r="A1114" t="str">
            <v>6.4.2.171</v>
          </cell>
          <cell r="B1114" t="str">
            <v>ESCALERA VERTICAL CON PROTECCION EN TUBO D= 2" HG L= 6,15</v>
          </cell>
          <cell r="C1114" t="str">
            <v>UN</v>
          </cell>
          <cell r="D1114">
            <v>0</v>
          </cell>
        </row>
        <row r="1115">
          <cell r="A1115" t="str">
            <v>6.4.2.172</v>
          </cell>
          <cell r="B1115" t="str">
            <v>SUMINISTRO E INSTALACION CODO  90°  Ø3" PVC.</v>
          </cell>
          <cell r="C1115" t="str">
            <v>UN</v>
          </cell>
          <cell r="D1115">
            <v>0</v>
          </cell>
        </row>
        <row r="1116">
          <cell r="A1116" t="str">
            <v>6.4.2.173</v>
          </cell>
          <cell r="B1116" t="str">
            <v>SUMINISTRO E INSTALACIÓN MACROMEDIDOR DE 3"</v>
          </cell>
          <cell r="C1116" t="str">
            <v>UN</v>
          </cell>
          <cell r="D1116">
            <v>0</v>
          </cell>
        </row>
        <row r="1117">
          <cell r="A1117" t="str">
            <v>6.4.2.174</v>
          </cell>
          <cell r="B1117" t="str">
            <v>SUMINISTRO E INSTALACIÓN PASAMURO HG ELxEL L=0,15 M  D=2,5"</v>
          </cell>
          <cell r="C1117" t="str">
            <v>UN</v>
          </cell>
          <cell r="D1117">
            <v>0</v>
          </cell>
        </row>
        <row r="1118">
          <cell r="A1118" t="str">
            <v>6.4.2.175</v>
          </cell>
          <cell r="B1118" t="str">
            <v>SUMINISTRO E INSTALACIÓN PASAMURO HG ELxEL L=0,25 M  D=4"</v>
          </cell>
          <cell r="C1118" t="str">
            <v>UN</v>
          </cell>
          <cell r="D1118">
            <v>0</v>
          </cell>
        </row>
        <row r="1119">
          <cell r="A1119" t="str">
            <v>6.4.2.176</v>
          </cell>
          <cell r="B1119" t="str">
            <v>SUMINISTRO E INSTALACIÓN PASAMURO HG ELxEL L=0,20 M  D=4"</v>
          </cell>
          <cell r="C1119" t="str">
            <v>UN</v>
          </cell>
          <cell r="D1119">
            <v>0</v>
          </cell>
        </row>
        <row r="1120">
          <cell r="A1120" t="str">
            <v>6.4.2.177</v>
          </cell>
          <cell r="B1120" t="str">
            <v>SUMINISTRO E INSTALACIÓN PASAMURO HG ELxEB L=0,20 M  D=3"</v>
          </cell>
          <cell r="C1120" t="str">
            <v>UN</v>
          </cell>
          <cell r="D1120">
            <v>0</v>
          </cell>
        </row>
        <row r="1121">
          <cell r="A1121" t="str">
            <v>6.4.2.178</v>
          </cell>
          <cell r="B1121" t="str">
            <v>SUMINISTRO E INSTALACIÓN PASAMURO HG ELxEL L=0,20 M  D=3"</v>
          </cell>
          <cell r="C1121" t="str">
            <v>UN</v>
          </cell>
          <cell r="D1121">
            <v>0</v>
          </cell>
        </row>
        <row r="1122">
          <cell r="A1122" t="str">
            <v>6.4.2.179</v>
          </cell>
          <cell r="B1122" t="str">
            <v>SUMINISTRO E INSTALACIÓN TUBERÍA PRESION PVC D= 3" (Caja de Inspeccion)</v>
          </cell>
          <cell r="C1122" t="str">
            <v>ML</v>
          </cell>
          <cell r="D1122">
            <v>0</v>
          </cell>
        </row>
        <row r="1123">
          <cell r="A1123" t="str">
            <v>6.4.2.180</v>
          </cell>
          <cell r="B1123" t="str">
            <v>SUMINISTRO E INSTALACIÓN TUBERÍA PRESION PVC D= 3" (Filtro y edim a C. I)</v>
          </cell>
          <cell r="C1123" t="str">
            <v>ML</v>
          </cell>
          <cell r="D1123">
            <v>0</v>
          </cell>
        </row>
        <row r="1124">
          <cell r="A1124" t="str">
            <v>6.4.2.181</v>
          </cell>
          <cell r="B1124" t="str">
            <v xml:space="preserve">SUMINISTRO E INSTALACION LAMINA  EN PRFV esp=12mm, ancho=0,25m, H=0,26m, ANCLADO AL MURO EN ANGULO DE 1 1/2". </v>
          </cell>
          <cell r="C1124" t="str">
            <v>M2</v>
          </cell>
          <cell r="D1124">
            <v>0</v>
          </cell>
        </row>
        <row r="1125">
          <cell r="A1125" t="str">
            <v>6.4.2.182</v>
          </cell>
          <cell r="B1125" t="str">
            <v>SUMINISTRO E INSTALACION NIPLE PVC Ø1" L=0,40 m. (tubo conector para medida nivel)</v>
          </cell>
          <cell r="C1125" t="str">
            <v>UN</v>
          </cell>
          <cell r="D1125">
            <v>0</v>
          </cell>
        </row>
        <row r="1126">
          <cell r="A1126" t="str">
            <v>6.4.2.183</v>
          </cell>
          <cell r="B1126" t="str">
            <v>SUMINISTRO E INSTALACION NIPLE PVC Ø2" L=0,35 m. (tubo para medida nivel)</v>
          </cell>
          <cell r="C1126" t="str">
            <v>UN</v>
          </cell>
          <cell r="D1126">
            <v>0</v>
          </cell>
        </row>
        <row r="1127">
          <cell r="A1127" t="str">
            <v>6.4.2.184</v>
          </cell>
          <cell r="B1127" t="str">
            <v>CANAL PARSHALL PREFRABRICADO EN PRFV esp=8 mm anclado a muro, según diseño.</v>
          </cell>
          <cell r="C1127" t="str">
            <v>UN</v>
          </cell>
          <cell r="D1127">
            <v>0</v>
          </cell>
        </row>
        <row r="1128">
          <cell r="A1128" t="str">
            <v>6.4.2.185</v>
          </cell>
          <cell r="B1128" t="str">
            <v>MARCO EN DOBLE ANGULO 1 1/4" x 3/16". PARA SOPORTE BAFLE EN  PRFV, L= 4,6 m. según diseño.</v>
          </cell>
          <cell r="C1128" t="str">
            <v>UN</v>
          </cell>
          <cell r="D1128">
            <v>0</v>
          </cell>
        </row>
        <row r="1129">
          <cell r="A1129" t="str">
            <v>6.4.2.186</v>
          </cell>
          <cell r="B1129" t="str">
            <v>BAFLE PRFV B=0,6m H=2,00m Esp= 2cm. Incluye orificio superior, inferior y rendija según diseño. (SECCION A)</v>
          </cell>
          <cell r="C1129" t="str">
            <v>UN</v>
          </cell>
          <cell r="D1129">
            <v>0</v>
          </cell>
        </row>
        <row r="1130">
          <cell r="A1130" t="str">
            <v>6.4.2.187</v>
          </cell>
          <cell r="B1130" t="str">
            <v>BAFLE PRFV B=0,6m H=2,00m Esp= 2cm. Incluye orificio superior, inferior y rendija según diseño. (SECCION B)</v>
          </cell>
          <cell r="C1130" t="str">
            <v>UN</v>
          </cell>
          <cell r="D1130">
            <v>0</v>
          </cell>
        </row>
        <row r="1131">
          <cell r="A1131" t="str">
            <v>6.4.2.188</v>
          </cell>
          <cell r="B1131" t="str">
            <v>BAFLE PRFV B=0,6m H=2,00m Esp= 2cm. Incluye orificio superior, inferior y rendija según diseño. (SECCION C)</v>
          </cell>
          <cell r="C1131" t="str">
            <v>UN</v>
          </cell>
          <cell r="D1131">
            <v>0</v>
          </cell>
        </row>
        <row r="1132">
          <cell r="A1132" t="str">
            <v>6.4.2.189</v>
          </cell>
          <cell r="B1132" t="str">
            <v>CANALETA DE LAVADO EN PRFV ancho efectivo= 0,20m altura efectiva= 0,13m y esp= 0,02m. L=1,7m.</v>
          </cell>
          <cell r="C1132" t="str">
            <v>UN</v>
          </cell>
          <cell r="D1132">
            <v>0</v>
          </cell>
        </row>
        <row r="1133">
          <cell r="A1133" t="str">
            <v>2.4.169A</v>
          </cell>
          <cell r="B1133" t="str">
            <v>GRAVA PARA LECHO FILTRANTE TAMAÑO 38,1 mm</v>
          </cell>
          <cell r="C1133" t="str">
            <v>M3</v>
          </cell>
          <cell r="D1133">
            <v>0</v>
          </cell>
        </row>
        <row r="1134">
          <cell r="A1134" t="str">
            <v>2.4.172A</v>
          </cell>
          <cell r="B1134" t="str">
            <v>ANTRACITA PARA FILTRO TE = 0,8 mm</v>
          </cell>
          <cell r="C1134" t="str">
            <v>M3</v>
          </cell>
          <cell r="D1134">
            <v>0</v>
          </cell>
        </row>
        <row r="1135">
          <cell r="A1135" t="str">
            <v>2.4.258A</v>
          </cell>
          <cell r="B1135" t="str">
            <v>ARENAPARA FILTRO TE= 0,55 mm</v>
          </cell>
          <cell r="C1135" t="str">
            <v>M3</v>
          </cell>
          <cell r="D1135">
            <v>0</v>
          </cell>
        </row>
        <row r="1136">
          <cell r="A1136" t="str">
            <v>6.4.2.190</v>
          </cell>
          <cell r="B1136" t="str">
            <v>VIGA TRIANGULAR BASE= 0,30 m, ALTURA= 0,25 m, e= 0,10 m. INCLUYE NIPLE EN PVC UBICADO HORIZONTALMENTE D= 1/2", CADA 0,075 m. L= 1,34 SEGÚN DISEÑO</v>
          </cell>
          <cell r="C1136" t="str">
            <v>UN</v>
          </cell>
          <cell r="D1136">
            <v>0</v>
          </cell>
        </row>
        <row r="1137">
          <cell r="A1137" t="str">
            <v>6.4.2.191</v>
          </cell>
          <cell r="B1137" t="str">
            <v>MULTIPLES DE ALIMENTACION PVC D= 3" L= 0,25 m</v>
          </cell>
          <cell r="C1137" t="str">
            <v>UN</v>
          </cell>
          <cell r="D1137">
            <v>0</v>
          </cell>
        </row>
        <row r="1138">
          <cell r="A1138" t="str">
            <v>6.4.2.192</v>
          </cell>
          <cell r="B1138" t="str">
            <v>MULTIPLES SUCCIONADORES PVC 2" C/ 0,4 m L= 0,50 m</v>
          </cell>
          <cell r="C1138" t="str">
            <v>UN</v>
          </cell>
          <cell r="D1138">
            <v>0</v>
          </cell>
        </row>
        <row r="1139">
          <cell r="A1139" t="str">
            <v>6.4.2.193</v>
          </cell>
          <cell r="B1139" t="str">
            <v>PLACAS EN FIBROCEMENTO H= 0,05 M, ANCHO=0,10 M, L= 1,2 M SOPORTADAS POR DOS SECCIONES DE ANGULO DE 2 1/2" X 3/16". L= 1,1 M, ANCLADAS CON PERNOS EXPANSIVOS A LOS MUROS Y LAS PLACAS.</v>
          </cell>
          <cell r="C1139" t="str">
            <v>UN</v>
          </cell>
          <cell r="D1139">
            <v>0</v>
          </cell>
        </row>
        <row r="1140">
          <cell r="A1140" t="str">
            <v>6.4.2.194</v>
          </cell>
          <cell r="B1140" t="str">
            <v>MÚLTIPLE DE RECOLECCIÓN Ø 2,5" C/0,506 m, CON 7 ORIFICIOS DE Ø1/2" C/0,15 m. L=1,20M. (EN UN EXTREMO CON ADAPTADOR MACHO Y CON TAPON POR EL OPUESTO)</v>
          </cell>
          <cell r="C1140" t="str">
            <v>UN</v>
          </cell>
          <cell r="D1140">
            <v>0</v>
          </cell>
        </row>
        <row r="1141">
          <cell r="A1141" t="str">
            <v>6.4.2.195</v>
          </cell>
          <cell r="B1141" t="str">
            <v>MODULO HEXAGONAL INCLINACIÓN = 60° en PAD cal. 60, e=6mm.</v>
          </cell>
          <cell r="C1141" t="str">
            <v>UN</v>
          </cell>
          <cell r="D1141">
            <v>0</v>
          </cell>
        </row>
        <row r="1142">
          <cell r="A1142" t="str">
            <v>3.17.10A</v>
          </cell>
          <cell r="B1142" t="str">
            <v xml:space="preserve">POZO DE INSPECCIÓN D=1.50 M, H  3.50  &lt; H &lt; 4,5 </v>
          </cell>
          <cell r="C1142" t="str">
            <v>UN</v>
          </cell>
          <cell r="D1142">
            <v>0</v>
          </cell>
        </row>
        <row r="1143">
          <cell r="A1143" t="str">
            <v>3.17.10B</v>
          </cell>
          <cell r="B1143" t="str">
            <v>POZO DE INSPECCIÓN D=1.50 M, H  5.50  &lt; H &lt; 6.50</v>
          </cell>
          <cell r="C1143" t="str">
            <v>UN</v>
          </cell>
          <cell r="D1143">
            <v>0</v>
          </cell>
        </row>
        <row r="1144">
          <cell r="A1144" t="str">
            <v>6.4.2.196</v>
          </cell>
          <cell r="B1144" t="str">
            <v>SUMINISTRO E INSTALACION TUBERÍA DE ALCANTARILALDO Ø=18"</v>
          </cell>
          <cell r="C1144" t="str">
            <v>ML</v>
          </cell>
          <cell r="D1144">
            <v>0</v>
          </cell>
        </row>
        <row r="1145">
          <cell r="A1145" t="str">
            <v>6.4.2.197</v>
          </cell>
          <cell r="B1145" t="str">
            <v>SUMINISTRO E INSTALACION TUBERÍA DE ALCANTARILALDO Ø=27"</v>
          </cell>
          <cell r="C1145" t="str">
            <v>ML</v>
          </cell>
          <cell r="D1145">
            <v>0</v>
          </cell>
        </row>
        <row r="1146">
          <cell r="A1146" t="str">
            <v>6.4.2.198</v>
          </cell>
          <cell r="B1146" t="str">
            <v>SUMINISTRO E INSTALACION TUBERÍA DE ALCANTARILALDO Ø=30"</v>
          </cell>
          <cell r="C1146" t="str">
            <v>ML</v>
          </cell>
          <cell r="D1146">
            <v>0</v>
          </cell>
        </row>
        <row r="1147">
          <cell r="A1147" t="str">
            <v>3.17.3</v>
          </cell>
          <cell r="B1147" t="str">
            <v>PLACA DE FONDO O BASE DE POZO DE INSPECCION DIAMETRO = 1,95 m</v>
          </cell>
          <cell r="C1147" t="str">
            <v>UN</v>
          </cell>
          <cell r="D1147">
            <v>0</v>
          </cell>
        </row>
        <row r="1148">
          <cell r="A1148" t="str">
            <v>6.4.2.199</v>
          </cell>
          <cell r="B1148" t="str">
            <v>CAÑUELA POZO DE INSPECCION PARA TUBERIA ENTRE 24" Y 34" (Concreto fc´= 28 Mpa elab. En obra)</v>
          </cell>
          <cell r="C1148" t="str">
            <v>ML</v>
          </cell>
          <cell r="D1148">
            <v>0</v>
          </cell>
        </row>
        <row r="1149">
          <cell r="A1149" t="str">
            <v>3.11.2</v>
          </cell>
          <cell r="B1149" t="str">
            <v>CARGUE Y TRANSPORTE DE MATERIALES SUELTOS,  PRODUCTO DE SOBRANTES Y/O DERRUMBES (INCLUYE ACARREO LIBRE 5 KM.)</v>
          </cell>
          <cell r="C1149" t="str">
            <v>M3</v>
          </cell>
          <cell r="D1149">
            <v>0</v>
          </cell>
        </row>
        <row r="1150">
          <cell r="A1150" t="str">
            <v>3.5.1</v>
          </cell>
          <cell r="B1150" t="str">
            <v>SUMINISTRO, EXTENDIDA MATERIAL GRANULAR (RECEBO) PARA AFIRMADO, SIN COMPACTAR HASTA UN DIÁMETRO DE 5" Y UN ÍNDICE PLÁSTICO MENOR O IGUAL 9%  (**)</v>
          </cell>
          <cell r="C1150" t="str">
            <v>M3</v>
          </cell>
          <cell r="D1150">
            <v>0</v>
          </cell>
        </row>
        <row r="1151">
          <cell r="A1151" t="str">
            <v>6.4.2.200</v>
          </cell>
          <cell r="B1151" t="str">
            <v>VALVULA DE COMPUERTA COLUMNA DE SUSPENSION PSS RECTANGULAR de 0,15 x 0,15 m. de Vástago ascendente L= 0,20 m. D= 6"</v>
          </cell>
          <cell r="C1151" t="str">
            <v>UN</v>
          </cell>
          <cell r="D1151">
            <v>0</v>
          </cell>
        </row>
        <row r="1152">
          <cell r="A1152" t="str">
            <v>6.4.2.201</v>
          </cell>
          <cell r="B1152" t="str">
            <v>VALVULA DE COMPUERTA COLUMNA DE SUSPENSION PSS RECTANGULAR de 0,15 x 0,15 m. de Vástago ascendente L= 0,60 m. D= 6"</v>
          </cell>
          <cell r="C1152" t="str">
            <v>UN</v>
          </cell>
          <cell r="D1152">
            <v>0</v>
          </cell>
        </row>
        <row r="1153">
          <cell r="A1153" t="str">
            <v>6.4.2.202</v>
          </cell>
          <cell r="B1153" t="str">
            <v>VALVULA DE COMPUERTA COLUMNA DE SUSPENSION PSS RECTANGULAR de 0,20 x 0,20 m. de Vástago ascendente L= 2,56 m. D= 8"</v>
          </cell>
          <cell r="C1153" t="str">
            <v>UN</v>
          </cell>
          <cell r="D1153">
            <v>0</v>
          </cell>
        </row>
        <row r="1154">
          <cell r="A1154" t="str">
            <v>6.4.2.203</v>
          </cell>
          <cell r="B1154" t="str">
            <v>VALVULA DE COMPUERTA COLUMNA DE SUSPENSION PSS RECTANGULAR de 0,15 x 0,15 m. de Vástago ascendente L= 1,30 m. D= 6"</v>
          </cell>
          <cell r="C1154" t="str">
            <v>UN</v>
          </cell>
          <cell r="D1154">
            <v>0</v>
          </cell>
        </row>
        <row r="1155">
          <cell r="A1155" t="str">
            <v>6.4.2.204</v>
          </cell>
          <cell r="B1155" t="str">
            <v>PASAMURO HG 4" EL x ER L= 0,45 m   Z= 0,125 EL</v>
          </cell>
          <cell r="C1155" t="str">
            <v>UN</v>
          </cell>
          <cell r="D1155">
            <v>0</v>
          </cell>
        </row>
        <row r="1156">
          <cell r="A1156" t="str">
            <v>6.4.2.205</v>
          </cell>
          <cell r="B1156" t="str">
            <v>SUMINISTRO E INSTALACION DE REGLILLA DE MEDICION CANALETA PARSHALL EN ACRILICO COLOR AZUL segun detalle.</v>
          </cell>
          <cell r="C1156" t="str">
            <v>UN</v>
          </cell>
          <cell r="D1156">
            <v>0</v>
          </cell>
        </row>
        <row r="1157">
          <cell r="A1157" t="str">
            <v>6.4.2.206</v>
          </cell>
          <cell r="B1157" t="str">
            <v>PLATINA CABLE SUPERIOR EN ACERO 250MM X 250MM, ESP: 1".</v>
          </cell>
          <cell r="C1157" t="str">
            <v>UN</v>
          </cell>
          <cell r="D1157">
            <v>0</v>
          </cell>
        </row>
        <row r="1158">
          <cell r="A1158" t="str">
            <v>6.4.2.207</v>
          </cell>
          <cell r="B1158" t="str">
            <v>PLATINA CABLE INFERIOR EN ACERO 250MM X 250MM, ESP: 1".</v>
          </cell>
          <cell r="C1158" t="str">
            <v>UN</v>
          </cell>
          <cell r="D1158">
            <v>0</v>
          </cell>
        </row>
        <row r="1159">
          <cell r="A1159" t="str">
            <v>6.4.2.208</v>
          </cell>
          <cell r="B1159" t="str">
            <v>VARILLA DE ANCLAJE A CABLE SUPERIOR, 1 1/4".L=2,70 M.</v>
          </cell>
          <cell r="C1159" t="str">
            <v>UN</v>
          </cell>
          <cell r="D1159">
            <v>0</v>
          </cell>
        </row>
        <row r="1160">
          <cell r="A1160" t="str">
            <v>6.4.2.209</v>
          </cell>
          <cell r="B1160" t="str">
            <v>VARILLA DE ANCLAJE A CABLE INFERIOR 1". L=1,70 M.</v>
          </cell>
          <cell r="C1160" t="str">
            <v>UN</v>
          </cell>
          <cell r="D1160">
            <v>0</v>
          </cell>
        </row>
        <row r="1161">
          <cell r="A1161" t="str">
            <v>6.4.2.210</v>
          </cell>
          <cell r="B1161" t="str">
            <v xml:space="preserve">CABLE SUPERIOR PRINCIPAL EN ACERO FU: 1770 MPA. (REF. 6 X 37, 6 TORONES X 37 ALAMBRES C/U) 32MM. </v>
          </cell>
          <cell r="C1161" t="str">
            <v>ML.</v>
          </cell>
          <cell r="D1161">
            <v>0</v>
          </cell>
        </row>
        <row r="1162">
          <cell r="A1162" t="str">
            <v>6.4.2.211</v>
          </cell>
          <cell r="B1162" t="str">
            <v xml:space="preserve">CABLE INFERIOR SECUNDARIO EN ACERO FU: 1770 MPA. |(REF. 6 X 19, 6 TORONES X 19 ALAMBRES C/U) 24MM. </v>
          </cell>
          <cell r="C1162" t="str">
            <v>ML.</v>
          </cell>
          <cell r="D1162">
            <v>0</v>
          </cell>
        </row>
        <row r="1163">
          <cell r="A1163" t="str">
            <v>6.4.2.212</v>
          </cell>
          <cell r="B1163" t="str">
            <v>CABLE EN ACERO 10 MM FU: 1770 MPA. PARA PENDOLONES SUPERIORES.</v>
          </cell>
          <cell r="C1163" t="str">
            <v>ML.</v>
          </cell>
          <cell r="D1163">
            <v>0</v>
          </cell>
        </row>
        <row r="1164">
          <cell r="A1164" t="str">
            <v>6.4.2.213</v>
          </cell>
          <cell r="B1164" t="str">
            <v>CABLE EN ACERO 6 MM FU: 1770 MPA. PARA PENDOLONES INFERIORES.</v>
          </cell>
          <cell r="C1164" t="str">
            <v>ML.</v>
          </cell>
          <cell r="D1164">
            <v>0</v>
          </cell>
        </row>
        <row r="1165">
          <cell r="A1165" t="str">
            <v>6.4.2.214</v>
          </cell>
          <cell r="B1165" t="str">
            <v>ABRAZADERA PLATINA 1/2" INCLUYE 2 ARMELLAS SOLDADAS A PLATINA DE 5/8" Y PERNO DE 5/8".</v>
          </cell>
          <cell r="C1165" t="str">
            <v>UN</v>
          </cell>
          <cell r="D1165">
            <v>0</v>
          </cell>
        </row>
        <row r="1166">
          <cell r="A1166" t="str">
            <v>6.4.2.215</v>
          </cell>
          <cell r="B1166" t="str">
            <v>SUJETACABLES EN ACERO DE 1 1/4".</v>
          </cell>
          <cell r="C1166" t="str">
            <v>UN</v>
          </cell>
          <cell r="D1166">
            <v>0</v>
          </cell>
        </row>
        <row r="1167">
          <cell r="A1167" t="str">
            <v>6.4.2.216</v>
          </cell>
          <cell r="B1167" t="str">
            <v>SUJETACABLES EN ACERO DE 1".</v>
          </cell>
          <cell r="C1167" t="str">
            <v>UN</v>
          </cell>
          <cell r="D1167">
            <v>0</v>
          </cell>
        </row>
        <row r="1168">
          <cell r="A1168" t="str">
            <v>6.4.2.217</v>
          </cell>
          <cell r="B1168" t="str">
            <v>SUJETACABLES EN ACERO DE 10MM.</v>
          </cell>
          <cell r="C1168" t="str">
            <v>UN</v>
          </cell>
          <cell r="D1168">
            <v>0</v>
          </cell>
        </row>
        <row r="1169">
          <cell r="A1169" t="str">
            <v>6.4.2.218</v>
          </cell>
          <cell r="B1169" t="str">
            <v>SUJETACABLES EN ACERO DE 8MM.</v>
          </cell>
          <cell r="C1169" t="str">
            <v>UN</v>
          </cell>
          <cell r="D1169">
            <v>0</v>
          </cell>
        </row>
        <row r="1170">
          <cell r="A1170" t="str">
            <v>6.4.2.219</v>
          </cell>
          <cell r="B1170" t="str">
            <v>COLUMNA EN PERFIL CIRCULAR Ø 6", 4MM. SEGÚN DISEÑO.</v>
          </cell>
          <cell r="C1170" t="str">
            <v>KG</v>
          </cell>
          <cell r="D1170">
            <v>0</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v>0</v>
          </cell>
        </row>
        <row r="1172">
          <cell r="A1172" t="str">
            <v>6.4.2.221</v>
          </cell>
          <cell r="B1172" t="str">
            <v>SUMINISTRO E INSTALACIÓN DE TUBERÍA DE ACERO 16”*3/8 , QUE SERVIRÁ COMO CAMISA PARA INSTALACIÓN TUBERÍA DE 12" EN PVC.</v>
          </cell>
          <cell r="C1172" t="str">
            <v>ML</v>
          </cell>
          <cell r="D1172">
            <v>0</v>
          </cell>
        </row>
        <row r="1173">
          <cell r="A1173" t="str">
            <v>3.3.4</v>
          </cell>
          <cell r="B1173" t="str">
            <v>SUMINISTRO E INSTALACIÓN CONCRETO DE 14 Mpa - (2000 P.S.I).  POBRE</v>
          </cell>
          <cell r="C1173" t="str">
            <v>M3</v>
          </cell>
          <cell r="D1173">
            <v>0</v>
          </cell>
        </row>
        <row r="1174">
          <cell r="A1174">
            <v>0</v>
          </cell>
          <cell r="B1174">
            <v>0</v>
          </cell>
          <cell r="C1174">
            <v>0</v>
          </cell>
          <cell r="D1174">
            <v>0</v>
          </cell>
        </row>
        <row r="1175">
          <cell r="A1175">
            <v>0</v>
          </cell>
          <cell r="B1175">
            <v>0</v>
          </cell>
          <cell r="C1175">
            <v>0</v>
          </cell>
          <cell r="D1175">
            <v>0</v>
          </cell>
        </row>
        <row r="1176">
          <cell r="A1176">
            <v>0</v>
          </cell>
          <cell r="B1176">
            <v>0</v>
          </cell>
          <cell r="C1176">
            <v>0</v>
          </cell>
          <cell r="D1176">
            <v>0</v>
          </cell>
        </row>
        <row r="1177">
          <cell r="A1177">
            <v>0</v>
          </cell>
          <cell r="B1177">
            <v>0</v>
          </cell>
          <cell r="C1177">
            <v>0</v>
          </cell>
          <cell r="D1177">
            <v>0</v>
          </cell>
        </row>
        <row r="1178">
          <cell r="A1178">
            <v>0</v>
          </cell>
          <cell r="B1178">
            <v>0</v>
          </cell>
          <cell r="C1178">
            <v>0</v>
          </cell>
          <cell r="D1178">
            <v>0</v>
          </cell>
        </row>
        <row r="1179">
          <cell r="A1179">
            <v>0</v>
          </cell>
          <cell r="B1179">
            <v>0</v>
          </cell>
          <cell r="C1179">
            <v>0</v>
          </cell>
          <cell r="D1179">
            <v>0</v>
          </cell>
        </row>
        <row r="1180">
          <cell r="A1180">
            <v>0</v>
          </cell>
          <cell r="B1180">
            <v>0</v>
          </cell>
          <cell r="C1180">
            <v>0</v>
          </cell>
          <cell r="D1180">
            <v>0</v>
          </cell>
        </row>
        <row r="1181">
          <cell r="A1181">
            <v>0</v>
          </cell>
          <cell r="B1181">
            <v>0</v>
          </cell>
          <cell r="C1181">
            <v>0</v>
          </cell>
          <cell r="D1181">
            <v>0</v>
          </cell>
        </row>
        <row r="1182">
          <cell r="A1182">
            <v>0</v>
          </cell>
          <cell r="B1182">
            <v>0</v>
          </cell>
          <cell r="C1182">
            <v>0</v>
          </cell>
          <cell r="D1182">
            <v>0</v>
          </cell>
        </row>
        <row r="1183">
          <cell r="A1183">
            <v>0</v>
          </cell>
          <cell r="B1183">
            <v>0</v>
          </cell>
          <cell r="C1183">
            <v>0</v>
          </cell>
          <cell r="D1183">
            <v>0</v>
          </cell>
        </row>
        <row r="1184">
          <cell r="A1184">
            <v>0</v>
          </cell>
          <cell r="B1184">
            <v>0</v>
          </cell>
          <cell r="C1184">
            <v>0</v>
          </cell>
          <cell r="D1184">
            <v>0</v>
          </cell>
        </row>
        <row r="1185">
          <cell r="A1185">
            <v>0</v>
          </cell>
          <cell r="B1185">
            <v>0</v>
          </cell>
          <cell r="C1185">
            <v>0</v>
          </cell>
          <cell r="D1185">
            <v>0</v>
          </cell>
        </row>
        <row r="1186">
          <cell r="A1186">
            <v>0</v>
          </cell>
          <cell r="B1186">
            <v>0</v>
          </cell>
          <cell r="C1186">
            <v>0</v>
          </cell>
          <cell r="D1186">
            <v>0</v>
          </cell>
        </row>
        <row r="1187">
          <cell r="A1187">
            <v>0</v>
          </cell>
          <cell r="B1187">
            <v>0</v>
          </cell>
          <cell r="C1187">
            <v>0</v>
          </cell>
          <cell r="D1187">
            <v>0</v>
          </cell>
        </row>
        <row r="1188">
          <cell r="A1188">
            <v>0</v>
          </cell>
          <cell r="B1188">
            <v>0</v>
          </cell>
          <cell r="C1188">
            <v>0</v>
          </cell>
          <cell r="D1188">
            <v>0</v>
          </cell>
        </row>
        <row r="1189">
          <cell r="A1189">
            <v>0</v>
          </cell>
          <cell r="B1189">
            <v>0</v>
          </cell>
          <cell r="C1189">
            <v>0</v>
          </cell>
          <cell r="D1189">
            <v>0</v>
          </cell>
        </row>
        <row r="1190">
          <cell r="A1190">
            <v>0</v>
          </cell>
          <cell r="B1190">
            <v>0</v>
          </cell>
          <cell r="C1190">
            <v>0</v>
          </cell>
          <cell r="D1190">
            <v>0</v>
          </cell>
        </row>
        <row r="1191">
          <cell r="A1191">
            <v>0</v>
          </cell>
          <cell r="B1191">
            <v>0</v>
          </cell>
          <cell r="C1191">
            <v>0</v>
          </cell>
          <cell r="D1191">
            <v>0</v>
          </cell>
        </row>
        <row r="1192">
          <cell r="A1192">
            <v>0</v>
          </cell>
          <cell r="B1192">
            <v>0</v>
          </cell>
          <cell r="C1192">
            <v>0</v>
          </cell>
          <cell r="D1192">
            <v>0</v>
          </cell>
        </row>
        <row r="1193">
          <cell r="A1193">
            <v>0</v>
          </cell>
          <cell r="B1193">
            <v>0</v>
          </cell>
          <cell r="C1193">
            <v>0</v>
          </cell>
          <cell r="D1193">
            <v>0</v>
          </cell>
        </row>
        <row r="1194">
          <cell r="A1194">
            <v>0</v>
          </cell>
          <cell r="B1194">
            <v>0</v>
          </cell>
          <cell r="C1194">
            <v>0</v>
          </cell>
          <cell r="D1194">
            <v>0</v>
          </cell>
        </row>
        <row r="1195">
          <cell r="A1195">
            <v>0</v>
          </cell>
          <cell r="B1195">
            <v>0</v>
          </cell>
          <cell r="C1195">
            <v>0</v>
          </cell>
          <cell r="D1195">
            <v>0</v>
          </cell>
        </row>
        <row r="1196">
          <cell r="A1196">
            <v>0</v>
          </cell>
          <cell r="B1196">
            <v>0</v>
          </cell>
          <cell r="C1196">
            <v>0</v>
          </cell>
          <cell r="D1196">
            <v>0</v>
          </cell>
        </row>
        <row r="1197">
          <cell r="A1197">
            <v>0</v>
          </cell>
          <cell r="B1197">
            <v>0</v>
          </cell>
          <cell r="C1197">
            <v>0</v>
          </cell>
          <cell r="D1197">
            <v>0</v>
          </cell>
        </row>
        <row r="1198">
          <cell r="A1198">
            <v>0</v>
          </cell>
          <cell r="B1198">
            <v>0</v>
          </cell>
          <cell r="C1198">
            <v>0</v>
          </cell>
          <cell r="D1198">
            <v>0</v>
          </cell>
        </row>
        <row r="1199">
          <cell r="A1199">
            <v>0</v>
          </cell>
          <cell r="B1199">
            <v>0</v>
          </cell>
          <cell r="C1199">
            <v>0</v>
          </cell>
          <cell r="D1199">
            <v>0</v>
          </cell>
        </row>
        <row r="1200">
          <cell r="A1200">
            <v>0</v>
          </cell>
          <cell r="B1200">
            <v>0</v>
          </cell>
          <cell r="C1200">
            <v>0</v>
          </cell>
          <cell r="D1200">
            <v>0</v>
          </cell>
        </row>
        <row r="1201">
          <cell r="A1201">
            <v>0</v>
          </cell>
          <cell r="B1201">
            <v>0</v>
          </cell>
          <cell r="C1201">
            <v>0</v>
          </cell>
          <cell r="D1201">
            <v>0</v>
          </cell>
        </row>
        <row r="1202">
          <cell r="A1202">
            <v>0</v>
          </cell>
          <cell r="B1202">
            <v>0</v>
          </cell>
          <cell r="C1202">
            <v>0</v>
          </cell>
          <cell r="D1202">
            <v>0</v>
          </cell>
        </row>
        <row r="1203">
          <cell r="A1203">
            <v>0</v>
          </cell>
          <cell r="B1203">
            <v>0</v>
          </cell>
          <cell r="C1203">
            <v>0</v>
          </cell>
          <cell r="D1203">
            <v>0</v>
          </cell>
        </row>
        <row r="1204">
          <cell r="A1204">
            <v>0</v>
          </cell>
          <cell r="B1204">
            <v>0</v>
          </cell>
          <cell r="C1204">
            <v>0</v>
          </cell>
          <cell r="D1204">
            <v>0</v>
          </cell>
        </row>
        <row r="1205">
          <cell r="A1205">
            <v>0</v>
          </cell>
          <cell r="B1205">
            <v>0</v>
          </cell>
          <cell r="C1205">
            <v>0</v>
          </cell>
          <cell r="D1205">
            <v>0</v>
          </cell>
        </row>
        <row r="1206">
          <cell r="A1206">
            <v>0</v>
          </cell>
          <cell r="B1206">
            <v>0</v>
          </cell>
          <cell r="C1206">
            <v>0</v>
          </cell>
          <cell r="D1206">
            <v>0</v>
          </cell>
        </row>
        <row r="1207">
          <cell r="A1207">
            <v>0</v>
          </cell>
          <cell r="B1207">
            <v>0</v>
          </cell>
          <cell r="C1207">
            <v>0</v>
          </cell>
          <cell r="D1207">
            <v>0</v>
          </cell>
        </row>
        <row r="1208">
          <cell r="A1208">
            <v>0</v>
          </cell>
          <cell r="B1208">
            <v>0</v>
          </cell>
          <cell r="C1208">
            <v>0</v>
          </cell>
          <cell r="D1208">
            <v>0</v>
          </cell>
        </row>
        <row r="1209">
          <cell r="A1209">
            <v>0</v>
          </cell>
          <cell r="B1209">
            <v>0</v>
          </cell>
          <cell r="C1209">
            <v>0</v>
          </cell>
          <cell r="D1209">
            <v>0</v>
          </cell>
        </row>
        <row r="1210">
          <cell r="A1210">
            <v>0</v>
          </cell>
          <cell r="B1210">
            <v>0</v>
          </cell>
          <cell r="C1210">
            <v>0</v>
          </cell>
          <cell r="D1210">
            <v>0</v>
          </cell>
        </row>
        <row r="1211">
          <cell r="A1211">
            <v>0</v>
          </cell>
          <cell r="B1211">
            <v>0</v>
          </cell>
          <cell r="C1211">
            <v>0</v>
          </cell>
          <cell r="D1211">
            <v>0</v>
          </cell>
        </row>
        <row r="1212">
          <cell r="A1212">
            <v>0</v>
          </cell>
          <cell r="B1212">
            <v>0</v>
          </cell>
          <cell r="C1212">
            <v>0</v>
          </cell>
          <cell r="D1212">
            <v>0</v>
          </cell>
        </row>
        <row r="1213">
          <cell r="A1213">
            <v>0</v>
          </cell>
          <cell r="B1213">
            <v>0</v>
          </cell>
          <cell r="C1213">
            <v>0</v>
          </cell>
          <cell r="D1213">
            <v>0</v>
          </cell>
        </row>
        <row r="1214">
          <cell r="A1214">
            <v>0</v>
          </cell>
          <cell r="B1214">
            <v>0</v>
          </cell>
          <cell r="C1214">
            <v>0</v>
          </cell>
          <cell r="D1214">
            <v>0</v>
          </cell>
        </row>
        <row r="1215">
          <cell r="A1215">
            <v>0</v>
          </cell>
          <cell r="B1215">
            <v>0</v>
          </cell>
          <cell r="C1215">
            <v>0</v>
          </cell>
          <cell r="D1215">
            <v>0</v>
          </cell>
        </row>
        <row r="1216">
          <cell r="A1216">
            <v>0</v>
          </cell>
          <cell r="B1216">
            <v>0</v>
          </cell>
          <cell r="C1216">
            <v>0</v>
          </cell>
          <cell r="D1216">
            <v>0</v>
          </cell>
        </row>
        <row r="1217">
          <cell r="A1217">
            <v>0</v>
          </cell>
          <cell r="B1217">
            <v>0</v>
          </cell>
          <cell r="C1217">
            <v>0</v>
          </cell>
          <cell r="D1217">
            <v>0</v>
          </cell>
        </row>
        <row r="1218">
          <cell r="A1218">
            <v>0</v>
          </cell>
          <cell r="B1218">
            <v>0</v>
          </cell>
          <cell r="C1218">
            <v>0</v>
          </cell>
          <cell r="D1218">
            <v>0</v>
          </cell>
        </row>
        <row r="1219">
          <cell r="A1219">
            <v>0</v>
          </cell>
          <cell r="B1219">
            <v>0</v>
          </cell>
          <cell r="C1219">
            <v>0</v>
          </cell>
          <cell r="D1219">
            <v>0</v>
          </cell>
        </row>
        <row r="1220">
          <cell r="A1220">
            <v>0</v>
          </cell>
          <cell r="B1220">
            <v>0</v>
          </cell>
          <cell r="C1220">
            <v>0</v>
          </cell>
          <cell r="D1220">
            <v>0</v>
          </cell>
        </row>
        <row r="1221">
          <cell r="A1221">
            <v>0</v>
          </cell>
          <cell r="B1221">
            <v>0</v>
          </cell>
          <cell r="C1221">
            <v>0</v>
          </cell>
          <cell r="D1221">
            <v>0</v>
          </cell>
        </row>
        <row r="1222">
          <cell r="A1222">
            <v>0</v>
          </cell>
          <cell r="B1222">
            <v>0</v>
          </cell>
          <cell r="C1222">
            <v>0</v>
          </cell>
          <cell r="D1222">
            <v>0</v>
          </cell>
        </row>
        <row r="1223">
          <cell r="A1223">
            <v>0</v>
          </cell>
          <cell r="B1223">
            <v>0</v>
          </cell>
          <cell r="C1223">
            <v>0</v>
          </cell>
          <cell r="D1223">
            <v>0</v>
          </cell>
        </row>
        <row r="1224">
          <cell r="A1224">
            <v>0</v>
          </cell>
          <cell r="B1224">
            <v>0</v>
          </cell>
          <cell r="C1224">
            <v>0</v>
          </cell>
          <cell r="D1224">
            <v>0</v>
          </cell>
        </row>
        <row r="1225">
          <cell r="A1225">
            <v>0</v>
          </cell>
          <cell r="B1225">
            <v>0</v>
          </cell>
          <cell r="C1225">
            <v>0</v>
          </cell>
          <cell r="D1225">
            <v>0</v>
          </cell>
        </row>
        <row r="1226">
          <cell r="A1226">
            <v>0</v>
          </cell>
          <cell r="B1226">
            <v>0</v>
          </cell>
          <cell r="C1226">
            <v>0</v>
          </cell>
          <cell r="D1226">
            <v>0</v>
          </cell>
        </row>
        <row r="1227">
          <cell r="A1227">
            <v>0</v>
          </cell>
          <cell r="B1227">
            <v>0</v>
          </cell>
          <cell r="C1227">
            <v>0</v>
          </cell>
          <cell r="D1227">
            <v>0</v>
          </cell>
        </row>
        <row r="1228">
          <cell r="A1228">
            <v>0</v>
          </cell>
          <cell r="B1228">
            <v>0</v>
          </cell>
          <cell r="C1228">
            <v>0</v>
          </cell>
          <cell r="D1228">
            <v>0</v>
          </cell>
        </row>
        <row r="1229">
          <cell r="A1229">
            <v>0</v>
          </cell>
          <cell r="B1229">
            <v>0</v>
          </cell>
          <cell r="C1229">
            <v>0</v>
          </cell>
          <cell r="D1229">
            <v>0</v>
          </cell>
        </row>
        <row r="1230">
          <cell r="A1230">
            <v>0</v>
          </cell>
          <cell r="B1230">
            <v>0</v>
          </cell>
          <cell r="C1230">
            <v>0</v>
          </cell>
          <cell r="D1230">
            <v>0</v>
          </cell>
        </row>
        <row r="1231">
          <cell r="A1231">
            <v>0</v>
          </cell>
          <cell r="B1231">
            <v>0</v>
          </cell>
          <cell r="C1231">
            <v>0</v>
          </cell>
          <cell r="D1231">
            <v>0</v>
          </cell>
        </row>
        <row r="1232">
          <cell r="A1232">
            <v>0</v>
          </cell>
          <cell r="B1232">
            <v>0</v>
          </cell>
          <cell r="C1232">
            <v>0</v>
          </cell>
          <cell r="D1232">
            <v>0</v>
          </cell>
        </row>
        <row r="1233">
          <cell r="A1233">
            <v>0</v>
          </cell>
          <cell r="B1233">
            <v>0</v>
          </cell>
          <cell r="C1233">
            <v>0</v>
          </cell>
          <cell r="D1233">
            <v>0</v>
          </cell>
        </row>
        <row r="1234">
          <cell r="A1234">
            <v>0</v>
          </cell>
          <cell r="B1234">
            <v>0</v>
          </cell>
          <cell r="C1234">
            <v>0</v>
          </cell>
          <cell r="D1234">
            <v>0</v>
          </cell>
        </row>
        <row r="1235">
          <cell r="A1235">
            <v>0</v>
          </cell>
          <cell r="B1235">
            <v>0</v>
          </cell>
          <cell r="C1235">
            <v>0</v>
          </cell>
          <cell r="D1235">
            <v>0</v>
          </cell>
        </row>
        <row r="1236">
          <cell r="A1236">
            <v>0</v>
          </cell>
          <cell r="B1236">
            <v>0</v>
          </cell>
          <cell r="C1236">
            <v>0</v>
          </cell>
          <cell r="D1236">
            <v>0</v>
          </cell>
        </row>
        <row r="1237">
          <cell r="A1237">
            <v>0</v>
          </cell>
          <cell r="B1237">
            <v>0</v>
          </cell>
          <cell r="C1237">
            <v>0</v>
          </cell>
          <cell r="D1237">
            <v>0</v>
          </cell>
        </row>
        <row r="1238">
          <cell r="A1238">
            <v>0</v>
          </cell>
          <cell r="B1238">
            <v>0</v>
          </cell>
          <cell r="C1238">
            <v>0</v>
          </cell>
          <cell r="D1238">
            <v>0</v>
          </cell>
        </row>
        <row r="1239">
          <cell r="A1239">
            <v>0</v>
          </cell>
          <cell r="B1239">
            <v>0</v>
          </cell>
          <cell r="C1239">
            <v>0</v>
          </cell>
          <cell r="D1239">
            <v>0</v>
          </cell>
        </row>
        <row r="1240">
          <cell r="A1240">
            <v>0</v>
          </cell>
          <cell r="B1240">
            <v>0</v>
          </cell>
          <cell r="C1240">
            <v>0</v>
          </cell>
          <cell r="D1240">
            <v>0</v>
          </cell>
        </row>
        <row r="1241">
          <cell r="A1241">
            <v>0</v>
          </cell>
          <cell r="B1241">
            <v>0</v>
          </cell>
          <cell r="C1241">
            <v>0</v>
          </cell>
          <cell r="D1241">
            <v>0</v>
          </cell>
        </row>
        <row r="1242">
          <cell r="A1242">
            <v>0</v>
          </cell>
          <cell r="B1242">
            <v>0</v>
          </cell>
          <cell r="C1242">
            <v>0</v>
          </cell>
          <cell r="D1242">
            <v>0</v>
          </cell>
        </row>
        <row r="1243">
          <cell r="A1243">
            <v>0</v>
          </cell>
          <cell r="B1243">
            <v>0</v>
          </cell>
          <cell r="C1243">
            <v>0</v>
          </cell>
          <cell r="D1243">
            <v>0</v>
          </cell>
        </row>
        <row r="1244">
          <cell r="A1244">
            <v>0</v>
          </cell>
          <cell r="B1244">
            <v>0</v>
          </cell>
          <cell r="C1244">
            <v>0</v>
          </cell>
          <cell r="D1244">
            <v>0</v>
          </cell>
        </row>
        <row r="1245">
          <cell r="A1245">
            <v>0</v>
          </cell>
          <cell r="B1245">
            <v>0</v>
          </cell>
          <cell r="C1245">
            <v>0</v>
          </cell>
          <cell r="D1245">
            <v>0</v>
          </cell>
        </row>
        <row r="1246">
          <cell r="A1246">
            <v>0</v>
          </cell>
          <cell r="B1246">
            <v>0</v>
          </cell>
          <cell r="C1246">
            <v>0</v>
          </cell>
          <cell r="D1246">
            <v>0</v>
          </cell>
        </row>
        <row r="1247">
          <cell r="A1247">
            <v>0</v>
          </cell>
          <cell r="B1247">
            <v>0</v>
          </cell>
          <cell r="C1247">
            <v>0</v>
          </cell>
          <cell r="D1247">
            <v>0</v>
          </cell>
        </row>
        <row r="1248">
          <cell r="A1248">
            <v>0</v>
          </cell>
          <cell r="B1248">
            <v>0</v>
          </cell>
          <cell r="C1248">
            <v>0</v>
          </cell>
          <cell r="D1248">
            <v>0</v>
          </cell>
        </row>
        <row r="1249">
          <cell r="A1249">
            <v>0</v>
          </cell>
          <cell r="B1249">
            <v>0</v>
          </cell>
          <cell r="C1249">
            <v>0</v>
          </cell>
          <cell r="D1249">
            <v>0</v>
          </cell>
        </row>
        <row r="1250">
          <cell r="A1250">
            <v>0</v>
          </cell>
          <cell r="B1250">
            <v>0</v>
          </cell>
          <cell r="C1250">
            <v>0</v>
          </cell>
          <cell r="D1250">
            <v>0</v>
          </cell>
        </row>
        <row r="1251">
          <cell r="A1251">
            <v>0</v>
          </cell>
          <cell r="B1251">
            <v>0</v>
          </cell>
          <cell r="C1251">
            <v>0</v>
          </cell>
          <cell r="D1251">
            <v>0</v>
          </cell>
        </row>
        <row r="1252">
          <cell r="A1252">
            <v>0</v>
          </cell>
          <cell r="B1252">
            <v>0</v>
          </cell>
          <cell r="C1252">
            <v>0</v>
          </cell>
          <cell r="D1252">
            <v>0</v>
          </cell>
        </row>
        <row r="1253">
          <cell r="A1253">
            <v>0</v>
          </cell>
          <cell r="B1253">
            <v>0</v>
          </cell>
          <cell r="C1253">
            <v>0</v>
          </cell>
          <cell r="D1253">
            <v>0</v>
          </cell>
        </row>
        <row r="1254">
          <cell r="A1254">
            <v>0</v>
          </cell>
          <cell r="B1254">
            <v>0</v>
          </cell>
          <cell r="C1254">
            <v>0</v>
          </cell>
          <cell r="D1254">
            <v>0</v>
          </cell>
        </row>
        <row r="1255">
          <cell r="A1255">
            <v>0</v>
          </cell>
          <cell r="B1255">
            <v>0</v>
          </cell>
          <cell r="C1255">
            <v>0</v>
          </cell>
          <cell r="D1255">
            <v>0</v>
          </cell>
        </row>
        <row r="1256">
          <cell r="A1256">
            <v>0</v>
          </cell>
          <cell r="B1256">
            <v>0</v>
          </cell>
          <cell r="C1256">
            <v>0</v>
          </cell>
          <cell r="D1256">
            <v>0</v>
          </cell>
        </row>
        <row r="1257">
          <cell r="A1257">
            <v>0</v>
          </cell>
          <cell r="B1257">
            <v>0</v>
          </cell>
          <cell r="C1257">
            <v>0</v>
          </cell>
          <cell r="D1257">
            <v>0</v>
          </cell>
        </row>
        <row r="1258">
          <cell r="A1258">
            <v>0</v>
          </cell>
          <cell r="B1258">
            <v>0</v>
          </cell>
          <cell r="C1258">
            <v>0</v>
          </cell>
          <cell r="D1258">
            <v>0</v>
          </cell>
        </row>
        <row r="1259">
          <cell r="A1259">
            <v>0</v>
          </cell>
          <cell r="B1259">
            <v>0</v>
          </cell>
          <cell r="C1259">
            <v>0</v>
          </cell>
          <cell r="D1259">
            <v>0</v>
          </cell>
        </row>
        <row r="1260">
          <cell r="A1260">
            <v>0</v>
          </cell>
          <cell r="B1260">
            <v>0</v>
          </cell>
          <cell r="C1260">
            <v>0</v>
          </cell>
          <cell r="D1260">
            <v>0</v>
          </cell>
        </row>
        <row r="1261">
          <cell r="A1261">
            <v>0</v>
          </cell>
          <cell r="B1261">
            <v>0</v>
          </cell>
          <cell r="C1261">
            <v>0</v>
          </cell>
          <cell r="D1261">
            <v>0</v>
          </cell>
        </row>
        <row r="1262">
          <cell r="A1262">
            <v>0</v>
          </cell>
          <cell r="B1262">
            <v>0</v>
          </cell>
          <cell r="C1262">
            <v>0</v>
          </cell>
          <cell r="D1262">
            <v>0</v>
          </cell>
        </row>
        <row r="1263">
          <cell r="A1263">
            <v>0</v>
          </cell>
          <cell r="B1263">
            <v>0</v>
          </cell>
          <cell r="C1263">
            <v>0</v>
          </cell>
          <cell r="D1263">
            <v>0</v>
          </cell>
        </row>
        <row r="1264">
          <cell r="A1264">
            <v>0</v>
          </cell>
          <cell r="B1264">
            <v>0</v>
          </cell>
          <cell r="C1264">
            <v>0</v>
          </cell>
          <cell r="D1264">
            <v>0</v>
          </cell>
        </row>
        <row r="1265">
          <cell r="A1265">
            <v>0</v>
          </cell>
          <cell r="B1265">
            <v>0</v>
          </cell>
          <cell r="C1265">
            <v>0</v>
          </cell>
          <cell r="D1265">
            <v>0</v>
          </cell>
        </row>
        <row r="1266">
          <cell r="A1266">
            <v>0</v>
          </cell>
          <cell r="B1266">
            <v>0</v>
          </cell>
          <cell r="C1266">
            <v>0</v>
          </cell>
          <cell r="D1266">
            <v>0</v>
          </cell>
        </row>
        <row r="1267">
          <cell r="A1267">
            <v>0</v>
          </cell>
          <cell r="B1267">
            <v>0</v>
          </cell>
          <cell r="C1267">
            <v>0</v>
          </cell>
          <cell r="D1267">
            <v>0</v>
          </cell>
        </row>
        <row r="1268">
          <cell r="A1268">
            <v>0</v>
          </cell>
          <cell r="B1268">
            <v>0</v>
          </cell>
          <cell r="C1268">
            <v>0</v>
          </cell>
          <cell r="D1268">
            <v>0</v>
          </cell>
        </row>
        <row r="1269">
          <cell r="A1269">
            <v>0</v>
          </cell>
          <cell r="B1269">
            <v>0</v>
          </cell>
          <cell r="C1269">
            <v>0</v>
          </cell>
          <cell r="D1269">
            <v>0</v>
          </cell>
        </row>
        <row r="1270">
          <cell r="A1270">
            <v>0</v>
          </cell>
          <cell r="B1270">
            <v>0</v>
          </cell>
          <cell r="C1270">
            <v>0</v>
          </cell>
          <cell r="D1270">
            <v>0</v>
          </cell>
        </row>
        <row r="1271">
          <cell r="A1271">
            <v>0</v>
          </cell>
          <cell r="B1271">
            <v>0</v>
          </cell>
          <cell r="C1271">
            <v>0</v>
          </cell>
          <cell r="D1271">
            <v>0</v>
          </cell>
        </row>
        <row r="1272">
          <cell r="A1272">
            <v>0</v>
          </cell>
          <cell r="B1272">
            <v>0</v>
          </cell>
          <cell r="C1272">
            <v>0</v>
          </cell>
          <cell r="D1272">
            <v>0</v>
          </cell>
        </row>
        <row r="1273">
          <cell r="A1273">
            <v>0</v>
          </cell>
          <cell r="B1273">
            <v>0</v>
          </cell>
          <cell r="C1273">
            <v>0</v>
          </cell>
          <cell r="D1273">
            <v>0</v>
          </cell>
        </row>
        <row r="1274">
          <cell r="A1274">
            <v>0</v>
          </cell>
          <cell r="B1274">
            <v>0</v>
          </cell>
          <cell r="C1274">
            <v>0</v>
          </cell>
          <cell r="D1274">
            <v>0</v>
          </cell>
        </row>
        <row r="1275">
          <cell r="A1275">
            <v>0</v>
          </cell>
          <cell r="B1275">
            <v>0</v>
          </cell>
          <cell r="C1275">
            <v>0</v>
          </cell>
          <cell r="D1275">
            <v>0</v>
          </cell>
        </row>
        <row r="1276">
          <cell r="A1276">
            <v>0</v>
          </cell>
          <cell r="B1276">
            <v>0</v>
          </cell>
          <cell r="C1276">
            <v>0</v>
          </cell>
          <cell r="D1276">
            <v>0</v>
          </cell>
        </row>
        <row r="1277">
          <cell r="A1277">
            <v>0</v>
          </cell>
          <cell r="B1277">
            <v>0</v>
          </cell>
          <cell r="C1277">
            <v>0</v>
          </cell>
          <cell r="D1277">
            <v>0</v>
          </cell>
        </row>
        <row r="1278">
          <cell r="A1278">
            <v>0</v>
          </cell>
          <cell r="B1278">
            <v>0</v>
          </cell>
          <cell r="C1278">
            <v>0</v>
          </cell>
          <cell r="D1278">
            <v>0</v>
          </cell>
        </row>
        <row r="1279">
          <cell r="A1279">
            <v>0</v>
          </cell>
          <cell r="B1279">
            <v>0</v>
          </cell>
          <cell r="C1279">
            <v>0</v>
          </cell>
          <cell r="D1279">
            <v>0</v>
          </cell>
        </row>
        <row r="1280">
          <cell r="A1280">
            <v>0</v>
          </cell>
          <cell r="B1280">
            <v>0</v>
          </cell>
          <cell r="C1280">
            <v>0</v>
          </cell>
          <cell r="D1280">
            <v>0</v>
          </cell>
        </row>
        <row r="1281">
          <cell r="A1281">
            <v>0</v>
          </cell>
          <cell r="B1281">
            <v>0</v>
          </cell>
          <cell r="C1281">
            <v>0</v>
          </cell>
          <cell r="D1281">
            <v>0</v>
          </cell>
        </row>
        <row r="1282">
          <cell r="A1282">
            <v>0</v>
          </cell>
          <cell r="B1282">
            <v>0</v>
          </cell>
          <cell r="C1282">
            <v>0</v>
          </cell>
          <cell r="D1282">
            <v>0</v>
          </cell>
        </row>
        <row r="1283">
          <cell r="A1283">
            <v>0</v>
          </cell>
          <cell r="B1283">
            <v>0</v>
          </cell>
          <cell r="C1283">
            <v>0</v>
          </cell>
          <cell r="D1283">
            <v>0</v>
          </cell>
        </row>
        <row r="1284">
          <cell r="A1284">
            <v>0</v>
          </cell>
          <cell r="B1284">
            <v>0</v>
          </cell>
          <cell r="C1284">
            <v>0</v>
          </cell>
          <cell r="D1284">
            <v>0</v>
          </cell>
        </row>
        <row r="1285">
          <cell r="A1285">
            <v>0</v>
          </cell>
          <cell r="B1285">
            <v>0</v>
          </cell>
          <cell r="C1285">
            <v>0</v>
          </cell>
          <cell r="D1285">
            <v>0</v>
          </cell>
        </row>
        <row r="1286">
          <cell r="A1286">
            <v>0</v>
          </cell>
          <cell r="B1286">
            <v>0</v>
          </cell>
          <cell r="C1286">
            <v>0</v>
          </cell>
          <cell r="D1286">
            <v>0</v>
          </cell>
        </row>
        <row r="1287">
          <cell r="A1287">
            <v>0</v>
          </cell>
          <cell r="B1287">
            <v>0</v>
          </cell>
          <cell r="C1287">
            <v>0</v>
          </cell>
          <cell r="D1287">
            <v>0</v>
          </cell>
        </row>
        <row r="1288">
          <cell r="A1288">
            <v>0</v>
          </cell>
          <cell r="B1288">
            <v>0</v>
          </cell>
          <cell r="C1288">
            <v>0</v>
          </cell>
          <cell r="D1288">
            <v>0</v>
          </cell>
        </row>
        <row r="1289">
          <cell r="A1289">
            <v>0</v>
          </cell>
          <cell r="B1289">
            <v>0</v>
          </cell>
          <cell r="C1289">
            <v>0</v>
          </cell>
          <cell r="D1289">
            <v>0</v>
          </cell>
        </row>
        <row r="1290">
          <cell r="A1290">
            <v>0</v>
          </cell>
          <cell r="B1290">
            <v>0</v>
          </cell>
          <cell r="C1290">
            <v>0</v>
          </cell>
          <cell r="D1290">
            <v>0</v>
          </cell>
        </row>
        <row r="1291">
          <cell r="A1291">
            <v>0</v>
          </cell>
          <cell r="B1291">
            <v>0</v>
          </cell>
          <cell r="C1291">
            <v>0</v>
          </cell>
          <cell r="D1291">
            <v>0</v>
          </cell>
        </row>
        <row r="1292">
          <cell r="A1292">
            <v>0</v>
          </cell>
          <cell r="B1292">
            <v>0</v>
          </cell>
          <cell r="C1292">
            <v>0</v>
          </cell>
          <cell r="D1292">
            <v>0</v>
          </cell>
        </row>
        <row r="1293">
          <cell r="A1293">
            <v>0</v>
          </cell>
          <cell r="B1293">
            <v>0</v>
          </cell>
          <cell r="C1293">
            <v>0</v>
          </cell>
          <cell r="D1293">
            <v>0</v>
          </cell>
        </row>
        <row r="1294">
          <cell r="A1294">
            <v>0</v>
          </cell>
          <cell r="B1294">
            <v>0</v>
          </cell>
          <cell r="C1294">
            <v>0</v>
          </cell>
          <cell r="D1294">
            <v>0</v>
          </cell>
        </row>
        <row r="1295">
          <cell r="A1295">
            <v>0</v>
          </cell>
          <cell r="B1295">
            <v>0</v>
          </cell>
          <cell r="C1295">
            <v>0</v>
          </cell>
          <cell r="D1295">
            <v>0</v>
          </cell>
        </row>
        <row r="1296">
          <cell r="A1296">
            <v>0</v>
          </cell>
          <cell r="B1296">
            <v>0</v>
          </cell>
          <cell r="C1296">
            <v>0</v>
          </cell>
          <cell r="D1296">
            <v>0</v>
          </cell>
        </row>
        <row r="1297">
          <cell r="A1297">
            <v>0</v>
          </cell>
          <cell r="B1297">
            <v>0</v>
          </cell>
          <cell r="C1297">
            <v>0</v>
          </cell>
          <cell r="D1297">
            <v>0</v>
          </cell>
        </row>
        <row r="1298">
          <cell r="A1298">
            <v>0</v>
          </cell>
          <cell r="B1298">
            <v>0</v>
          </cell>
          <cell r="C1298">
            <v>0</v>
          </cell>
          <cell r="D1298">
            <v>0</v>
          </cell>
        </row>
        <row r="1299">
          <cell r="A1299">
            <v>0</v>
          </cell>
          <cell r="B1299">
            <v>0</v>
          </cell>
          <cell r="C1299">
            <v>0</v>
          </cell>
          <cell r="D1299">
            <v>0</v>
          </cell>
        </row>
        <row r="1300">
          <cell r="A1300">
            <v>0</v>
          </cell>
          <cell r="B1300">
            <v>0</v>
          </cell>
          <cell r="C1300">
            <v>0</v>
          </cell>
          <cell r="D1300">
            <v>0</v>
          </cell>
        </row>
        <row r="1301">
          <cell r="A1301">
            <v>0</v>
          </cell>
          <cell r="B1301">
            <v>0</v>
          </cell>
          <cell r="C1301">
            <v>0</v>
          </cell>
          <cell r="D1301">
            <v>0</v>
          </cell>
        </row>
        <row r="1302">
          <cell r="A1302">
            <v>0</v>
          </cell>
          <cell r="B1302">
            <v>0</v>
          </cell>
          <cell r="C1302">
            <v>0</v>
          </cell>
          <cell r="D1302">
            <v>0</v>
          </cell>
        </row>
        <row r="1303">
          <cell r="A1303">
            <v>0</v>
          </cell>
          <cell r="B1303">
            <v>0</v>
          </cell>
          <cell r="C1303">
            <v>0</v>
          </cell>
          <cell r="D1303">
            <v>0</v>
          </cell>
        </row>
        <row r="1304">
          <cell r="A1304">
            <v>0</v>
          </cell>
          <cell r="B1304">
            <v>0</v>
          </cell>
          <cell r="C1304">
            <v>0</v>
          </cell>
          <cell r="D1304">
            <v>0</v>
          </cell>
        </row>
        <row r="1305">
          <cell r="A1305">
            <v>0</v>
          </cell>
          <cell r="B1305">
            <v>0</v>
          </cell>
          <cell r="C1305">
            <v>0</v>
          </cell>
          <cell r="D1305">
            <v>0</v>
          </cell>
        </row>
        <row r="1306">
          <cell r="A1306">
            <v>0</v>
          </cell>
          <cell r="B1306">
            <v>0</v>
          </cell>
          <cell r="C1306">
            <v>0</v>
          </cell>
          <cell r="D1306">
            <v>0</v>
          </cell>
        </row>
        <row r="1307">
          <cell r="A1307">
            <v>0</v>
          </cell>
          <cell r="B1307">
            <v>0</v>
          </cell>
          <cell r="C1307">
            <v>0</v>
          </cell>
          <cell r="D1307">
            <v>0</v>
          </cell>
        </row>
        <row r="1308">
          <cell r="A1308">
            <v>0</v>
          </cell>
          <cell r="B1308">
            <v>0</v>
          </cell>
          <cell r="C1308">
            <v>0</v>
          </cell>
          <cell r="D1308">
            <v>0</v>
          </cell>
        </row>
        <row r="1309">
          <cell r="A1309">
            <v>0</v>
          </cell>
          <cell r="B1309">
            <v>0</v>
          </cell>
          <cell r="C1309">
            <v>0</v>
          </cell>
          <cell r="D1309">
            <v>0</v>
          </cell>
        </row>
        <row r="1310">
          <cell r="A1310">
            <v>0</v>
          </cell>
          <cell r="B1310">
            <v>0</v>
          </cell>
          <cell r="C1310">
            <v>0</v>
          </cell>
          <cell r="D1310">
            <v>0</v>
          </cell>
        </row>
        <row r="1311">
          <cell r="A1311">
            <v>0</v>
          </cell>
          <cell r="B1311">
            <v>0</v>
          </cell>
          <cell r="C1311">
            <v>0</v>
          </cell>
          <cell r="D1311">
            <v>0</v>
          </cell>
        </row>
        <row r="1312">
          <cell r="A1312">
            <v>0</v>
          </cell>
          <cell r="B1312">
            <v>0</v>
          </cell>
          <cell r="C1312">
            <v>0</v>
          </cell>
          <cell r="D1312">
            <v>0</v>
          </cell>
        </row>
        <row r="1313">
          <cell r="A1313">
            <v>0</v>
          </cell>
          <cell r="B1313">
            <v>0</v>
          </cell>
          <cell r="C1313">
            <v>0</v>
          </cell>
          <cell r="D1313">
            <v>0</v>
          </cell>
        </row>
        <row r="1314">
          <cell r="A1314">
            <v>0</v>
          </cell>
          <cell r="B1314">
            <v>0</v>
          </cell>
          <cell r="C1314">
            <v>0</v>
          </cell>
          <cell r="D1314">
            <v>0</v>
          </cell>
        </row>
        <row r="1315">
          <cell r="A1315">
            <v>0</v>
          </cell>
          <cell r="B1315">
            <v>0</v>
          </cell>
          <cell r="C1315">
            <v>0</v>
          </cell>
          <cell r="D1315">
            <v>0</v>
          </cell>
        </row>
        <row r="1316">
          <cell r="A1316">
            <v>0</v>
          </cell>
          <cell r="B1316">
            <v>0</v>
          </cell>
          <cell r="C1316">
            <v>0</v>
          </cell>
          <cell r="D1316">
            <v>0</v>
          </cell>
        </row>
        <row r="1317">
          <cell r="A1317">
            <v>0</v>
          </cell>
          <cell r="B1317">
            <v>0</v>
          </cell>
          <cell r="C1317">
            <v>0</v>
          </cell>
          <cell r="D1317">
            <v>0</v>
          </cell>
        </row>
        <row r="1318">
          <cell r="A1318">
            <v>0</v>
          </cell>
          <cell r="B1318">
            <v>0</v>
          </cell>
          <cell r="C1318">
            <v>0</v>
          </cell>
          <cell r="D1318">
            <v>0</v>
          </cell>
        </row>
        <row r="1319">
          <cell r="A1319">
            <v>0</v>
          </cell>
          <cell r="B1319">
            <v>0</v>
          </cell>
          <cell r="C1319">
            <v>0</v>
          </cell>
          <cell r="D1319">
            <v>0</v>
          </cell>
        </row>
        <row r="1320">
          <cell r="A1320">
            <v>0</v>
          </cell>
          <cell r="B1320">
            <v>0</v>
          </cell>
          <cell r="C1320">
            <v>0</v>
          </cell>
          <cell r="D1320">
            <v>0</v>
          </cell>
        </row>
        <row r="1321">
          <cell r="A1321">
            <v>0</v>
          </cell>
          <cell r="B1321">
            <v>0</v>
          </cell>
          <cell r="C1321">
            <v>0</v>
          </cell>
          <cell r="D1321">
            <v>0</v>
          </cell>
        </row>
        <row r="1322">
          <cell r="A1322">
            <v>0</v>
          </cell>
          <cell r="B1322">
            <v>0</v>
          </cell>
          <cell r="C1322">
            <v>0</v>
          </cell>
          <cell r="D1322">
            <v>0</v>
          </cell>
        </row>
        <row r="1323">
          <cell r="A1323">
            <v>0</v>
          </cell>
          <cell r="B1323">
            <v>0</v>
          </cell>
          <cell r="C1323">
            <v>0</v>
          </cell>
          <cell r="D1323">
            <v>0</v>
          </cell>
        </row>
        <row r="1324">
          <cell r="A1324">
            <v>0</v>
          </cell>
          <cell r="B1324">
            <v>0</v>
          </cell>
          <cell r="C1324">
            <v>0</v>
          </cell>
          <cell r="D1324">
            <v>0</v>
          </cell>
        </row>
        <row r="1325">
          <cell r="A1325">
            <v>0</v>
          </cell>
          <cell r="B1325">
            <v>0</v>
          </cell>
          <cell r="C1325">
            <v>0</v>
          </cell>
          <cell r="D1325">
            <v>0</v>
          </cell>
        </row>
        <row r="1326">
          <cell r="A1326">
            <v>0</v>
          </cell>
          <cell r="B1326">
            <v>0</v>
          </cell>
          <cell r="C1326">
            <v>0</v>
          </cell>
          <cell r="D1326">
            <v>0</v>
          </cell>
        </row>
        <row r="1327">
          <cell r="A1327">
            <v>0</v>
          </cell>
          <cell r="B1327">
            <v>0</v>
          </cell>
          <cell r="C1327">
            <v>0</v>
          </cell>
          <cell r="D1327">
            <v>0</v>
          </cell>
        </row>
        <row r="1328">
          <cell r="A1328">
            <v>0</v>
          </cell>
          <cell r="B1328">
            <v>0</v>
          </cell>
          <cell r="C1328">
            <v>0</v>
          </cell>
          <cell r="D1328">
            <v>0</v>
          </cell>
        </row>
        <row r="1329">
          <cell r="A1329">
            <v>0</v>
          </cell>
          <cell r="B1329">
            <v>0</v>
          </cell>
          <cell r="C1329">
            <v>0</v>
          </cell>
          <cell r="D1329">
            <v>0</v>
          </cell>
        </row>
        <row r="1330">
          <cell r="A1330">
            <v>0</v>
          </cell>
          <cell r="B1330">
            <v>0</v>
          </cell>
          <cell r="C1330">
            <v>0</v>
          </cell>
          <cell r="D1330">
            <v>0</v>
          </cell>
        </row>
        <row r="1331">
          <cell r="A1331">
            <v>0</v>
          </cell>
          <cell r="B1331">
            <v>0</v>
          </cell>
          <cell r="C1331">
            <v>0</v>
          </cell>
          <cell r="D1331">
            <v>0</v>
          </cell>
        </row>
        <row r="1332">
          <cell r="A1332">
            <v>0</v>
          </cell>
          <cell r="B1332">
            <v>0</v>
          </cell>
          <cell r="C1332">
            <v>0</v>
          </cell>
          <cell r="D1332">
            <v>0</v>
          </cell>
        </row>
        <row r="1333">
          <cell r="A1333">
            <v>0</v>
          </cell>
          <cell r="B1333">
            <v>0</v>
          </cell>
          <cell r="C1333">
            <v>0</v>
          </cell>
          <cell r="D1333">
            <v>0</v>
          </cell>
        </row>
        <row r="1334">
          <cell r="A1334">
            <v>0</v>
          </cell>
          <cell r="B1334">
            <v>0</v>
          </cell>
          <cell r="C1334">
            <v>0</v>
          </cell>
          <cell r="D1334">
            <v>0</v>
          </cell>
        </row>
        <row r="1335">
          <cell r="A1335">
            <v>0</v>
          </cell>
          <cell r="B1335">
            <v>0</v>
          </cell>
          <cell r="C1335">
            <v>0</v>
          </cell>
          <cell r="D1335">
            <v>0</v>
          </cell>
        </row>
        <row r="1336">
          <cell r="A1336">
            <v>0</v>
          </cell>
          <cell r="B1336">
            <v>0</v>
          </cell>
          <cell r="C1336">
            <v>0</v>
          </cell>
          <cell r="D1336">
            <v>0</v>
          </cell>
        </row>
        <row r="1337">
          <cell r="A1337">
            <v>0</v>
          </cell>
          <cell r="B1337">
            <v>0</v>
          </cell>
          <cell r="C1337">
            <v>0</v>
          </cell>
          <cell r="D1337">
            <v>0</v>
          </cell>
        </row>
        <row r="1338">
          <cell r="A1338">
            <v>0</v>
          </cell>
          <cell r="B1338">
            <v>0</v>
          </cell>
          <cell r="C1338">
            <v>0</v>
          </cell>
          <cell r="D1338">
            <v>0</v>
          </cell>
        </row>
        <row r="1339">
          <cell r="A1339">
            <v>0</v>
          </cell>
          <cell r="B1339">
            <v>0</v>
          </cell>
          <cell r="C1339">
            <v>0</v>
          </cell>
          <cell r="D1339">
            <v>0</v>
          </cell>
        </row>
        <row r="1340">
          <cell r="A1340">
            <v>0</v>
          </cell>
          <cell r="B1340">
            <v>0</v>
          </cell>
          <cell r="C1340">
            <v>0</v>
          </cell>
          <cell r="D1340">
            <v>0</v>
          </cell>
        </row>
        <row r="1341">
          <cell r="A1341">
            <v>0</v>
          </cell>
          <cell r="B1341">
            <v>0</v>
          </cell>
          <cell r="C1341">
            <v>0</v>
          </cell>
          <cell r="D1341">
            <v>0</v>
          </cell>
        </row>
        <row r="1342">
          <cell r="A1342">
            <v>0</v>
          </cell>
          <cell r="B1342">
            <v>0</v>
          </cell>
          <cell r="C1342">
            <v>0</v>
          </cell>
          <cell r="D1342">
            <v>0</v>
          </cell>
        </row>
        <row r="1343">
          <cell r="A1343">
            <v>0</v>
          </cell>
          <cell r="B1343">
            <v>0</v>
          </cell>
          <cell r="C1343">
            <v>0</v>
          </cell>
          <cell r="D1343">
            <v>0</v>
          </cell>
        </row>
        <row r="1344">
          <cell r="A1344">
            <v>0</v>
          </cell>
          <cell r="B1344">
            <v>0</v>
          </cell>
          <cell r="C1344">
            <v>0</v>
          </cell>
          <cell r="D1344">
            <v>0</v>
          </cell>
        </row>
        <row r="1345">
          <cell r="A1345">
            <v>0</v>
          </cell>
          <cell r="B1345">
            <v>0</v>
          </cell>
          <cell r="C1345">
            <v>0</v>
          </cell>
          <cell r="D1345">
            <v>0</v>
          </cell>
        </row>
        <row r="1346">
          <cell r="A1346">
            <v>0</v>
          </cell>
          <cell r="B1346">
            <v>0</v>
          </cell>
          <cell r="C1346">
            <v>0</v>
          </cell>
          <cell r="D1346">
            <v>0</v>
          </cell>
        </row>
        <row r="1347">
          <cell r="A1347">
            <v>0</v>
          </cell>
          <cell r="B1347">
            <v>0</v>
          </cell>
          <cell r="C1347">
            <v>0</v>
          </cell>
          <cell r="D1347">
            <v>0</v>
          </cell>
        </row>
        <row r="1348">
          <cell r="A1348">
            <v>0</v>
          </cell>
          <cell r="B1348">
            <v>0</v>
          </cell>
          <cell r="C1348">
            <v>0</v>
          </cell>
          <cell r="D1348">
            <v>0</v>
          </cell>
        </row>
        <row r="1349">
          <cell r="A1349">
            <v>0</v>
          </cell>
          <cell r="B1349">
            <v>0</v>
          </cell>
          <cell r="C1349">
            <v>0</v>
          </cell>
          <cell r="D1349">
            <v>0</v>
          </cell>
        </row>
        <row r="1350">
          <cell r="A1350">
            <v>0</v>
          </cell>
          <cell r="B1350">
            <v>0</v>
          </cell>
          <cell r="C1350">
            <v>0</v>
          </cell>
          <cell r="D1350">
            <v>0</v>
          </cell>
        </row>
        <row r="1351">
          <cell r="A1351">
            <v>0</v>
          </cell>
          <cell r="B1351">
            <v>0</v>
          </cell>
          <cell r="C1351">
            <v>0</v>
          </cell>
          <cell r="D1351">
            <v>0</v>
          </cell>
        </row>
        <row r="1352">
          <cell r="A1352">
            <v>0</v>
          </cell>
          <cell r="B1352">
            <v>0</v>
          </cell>
          <cell r="C1352">
            <v>0</v>
          </cell>
          <cell r="D1352">
            <v>0</v>
          </cell>
        </row>
        <row r="1353">
          <cell r="A1353">
            <v>0</v>
          </cell>
          <cell r="B1353">
            <v>0</v>
          </cell>
          <cell r="C1353">
            <v>0</v>
          </cell>
          <cell r="D1353">
            <v>0</v>
          </cell>
        </row>
        <row r="1354">
          <cell r="A1354">
            <v>0</v>
          </cell>
          <cell r="B1354">
            <v>0</v>
          </cell>
          <cell r="C1354">
            <v>0</v>
          </cell>
          <cell r="D1354">
            <v>0</v>
          </cell>
        </row>
        <row r="1355">
          <cell r="A1355">
            <v>0</v>
          </cell>
          <cell r="B1355">
            <v>0</v>
          </cell>
          <cell r="C1355">
            <v>0</v>
          </cell>
          <cell r="D1355">
            <v>0</v>
          </cell>
        </row>
        <row r="1356">
          <cell r="A1356">
            <v>0</v>
          </cell>
          <cell r="B1356">
            <v>0</v>
          </cell>
          <cell r="C1356">
            <v>0</v>
          </cell>
          <cell r="D1356">
            <v>0</v>
          </cell>
        </row>
        <row r="1357">
          <cell r="A1357">
            <v>0</v>
          </cell>
          <cell r="B1357">
            <v>0</v>
          </cell>
          <cell r="C1357">
            <v>0</v>
          </cell>
          <cell r="D1357">
            <v>0</v>
          </cell>
        </row>
        <row r="1358">
          <cell r="A1358">
            <v>0</v>
          </cell>
          <cell r="B1358">
            <v>0</v>
          </cell>
          <cell r="C1358">
            <v>0</v>
          </cell>
          <cell r="D1358">
            <v>0</v>
          </cell>
        </row>
        <row r="1359">
          <cell r="A1359">
            <v>0</v>
          </cell>
          <cell r="B1359">
            <v>0</v>
          </cell>
          <cell r="C1359">
            <v>0</v>
          </cell>
          <cell r="D1359">
            <v>0</v>
          </cell>
        </row>
        <row r="1360">
          <cell r="A1360">
            <v>0</v>
          </cell>
          <cell r="B1360">
            <v>0</v>
          </cell>
          <cell r="C1360">
            <v>0</v>
          </cell>
          <cell r="D1360">
            <v>0</v>
          </cell>
        </row>
        <row r="1361">
          <cell r="A1361">
            <v>0</v>
          </cell>
          <cell r="B1361">
            <v>0</v>
          </cell>
          <cell r="C1361">
            <v>0</v>
          </cell>
          <cell r="D1361">
            <v>0</v>
          </cell>
        </row>
        <row r="1362">
          <cell r="A1362">
            <v>0</v>
          </cell>
          <cell r="B1362">
            <v>0</v>
          </cell>
          <cell r="C1362">
            <v>0</v>
          </cell>
          <cell r="D1362">
            <v>0</v>
          </cell>
        </row>
        <row r="1363">
          <cell r="A1363">
            <v>0</v>
          </cell>
          <cell r="B1363">
            <v>0</v>
          </cell>
          <cell r="C1363">
            <v>0</v>
          </cell>
          <cell r="D1363">
            <v>0</v>
          </cell>
        </row>
        <row r="1364">
          <cell r="A1364">
            <v>0</v>
          </cell>
          <cell r="B1364">
            <v>0</v>
          </cell>
          <cell r="C1364">
            <v>0</v>
          </cell>
          <cell r="D1364">
            <v>0</v>
          </cell>
        </row>
        <row r="1365">
          <cell r="A1365">
            <v>0</v>
          </cell>
          <cell r="B1365">
            <v>0</v>
          </cell>
          <cell r="C1365">
            <v>0</v>
          </cell>
          <cell r="D1365">
            <v>0</v>
          </cell>
        </row>
        <row r="1366">
          <cell r="A1366">
            <v>0</v>
          </cell>
          <cell r="B1366">
            <v>0</v>
          </cell>
          <cell r="C1366">
            <v>0</v>
          </cell>
          <cell r="D1366">
            <v>0</v>
          </cell>
        </row>
        <row r="1367">
          <cell r="A1367">
            <v>0</v>
          </cell>
          <cell r="B1367">
            <v>0</v>
          </cell>
          <cell r="C1367">
            <v>0</v>
          </cell>
          <cell r="D1367">
            <v>0</v>
          </cell>
        </row>
        <row r="1368">
          <cell r="A1368">
            <v>0</v>
          </cell>
          <cell r="B1368">
            <v>0</v>
          </cell>
          <cell r="C1368">
            <v>0</v>
          </cell>
          <cell r="D1368">
            <v>0</v>
          </cell>
        </row>
        <row r="1369">
          <cell r="A1369">
            <v>0</v>
          </cell>
          <cell r="B1369">
            <v>0</v>
          </cell>
          <cell r="C1369">
            <v>0</v>
          </cell>
          <cell r="D1369">
            <v>0</v>
          </cell>
        </row>
        <row r="1370">
          <cell r="A1370">
            <v>0</v>
          </cell>
          <cell r="B1370">
            <v>0</v>
          </cell>
          <cell r="C1370">
            <v>0</v>
          </cell>
          <cell r="D1370">
            <v>0</v>
          </cell>
        </row>
        <row r="1371">
          <cell r="A1371">
            <v>0</v>
          </cell>
          <cell r="B1371">
            <v>0</v>
          </cell>
          <cell r="C1371">
            <v>0</v>
          </cell>
          <cell r="D1371">
            <v>0</v>
          </cell>
        </row>
        <row r="1372">
          <cell r="A1372">
            <v>0</v>
          </cell>
          <cell r="B1372">
            <v>0</v>
          </cell>
          <cell r="C1372">
            <v>0</v>
          </cell>
          <cell r="D1372">
            <v>0</v>
          </cell>
        </row>
        <row r="1373">
          <cell r="A1373">
            <v>0</v>
          </cell>
          <cell r="B1373">
            <v>0</v>
          </cell>
          <cell r="C1373">
            <v>0</v>
          </cell>
          <cell r="D1373">
            <v>0</v>
          </cell>
        </row>
        <row r="1374">
          <cell r="A1374">
            <v>0</v>
          </cell>
          <cell r="B1374">
            <v>0</v>
          </cell>
          <cell r="C1374">
            <v>0</v>
          </cell>
          <cell r="D1374">
            <v>0</v>
          </cell>
        </row>
        <row r="1375">
          <cell r="A1375">
            <v>0</v>
          </cell>
          <cell r="B1375">
            <v>0</v>
          </cell>
          <cell r="C1375">
            <v>0</v>
          </cell>
          <cell r="D1375">
            <v>0</v>
          </cell>
        </row>
        <row r="1376">
          <cell r="A1376">
            <v>0</v>
          </cell>
          <cell r="B1376">
            <v>0</v>
          </cell>
          <cell r="C1376">
            <v>0</v>
          </cell>
          <cell r="D1376">
            <v>0</v>
          </cell>
        </row>
        <row r="1377">
          <cell r="A1377">
            <v>0</v>
          </cell>
          <cell r="B1377">
            <v>0</v>
          </cell>
          <cell r="C1377">
            <v>0</v>
          </cell>
          <cell r="D1377">
            <v>0</v>
          </cell>
        </row>
        <row r="1378">
          <cell r="A1378">
            <v>0</v>
          </cell>
          <cell r="B1378">
            <v>0</v>
          </cell>
          <cell r="C1378">
            <v>0</v>
          </cell>
          <cell r="D1378">
            <v>0</v>
          </cell>
        </row>
        <row r="1379">
          <cell r="A1379">
            <v>0</v>
          </cell>
          <cell r="B1379">
            <v>0</v>
          </cell>
          <cell r="C1379">
            <v>0</v>
          </cell>
          <cell r="D1379">
            <v>0</v>
          </cell>
        </row>
        <row r="1380">
          <cell r="A1380">
            <v>0</v>
          </cell>
          <cell r="B1380">
            <v>0</v>
          </cell>
          <cell r="C1380">
            <v>0</v>
          </cell>
          <cell r="D1380">
            <v>0</v>
          </cell>
        </row>
        <row r="1381">
          <cell r="A1381">
            <v>0</v>
          </cell>
          <cell r="B1381">
            <v>0</v>
          </cell>
          <cell r="C1381">
            <v>0</v>
          </cell>
          <cell r="D1381">
            <v>0</v>
          </cell>
        </row>
        <row r="1382">
          <cell r="A1382">
            <v>0</v>
          </cell>
          <cell r="B1382">
            <v>0</v>
          </cell>
          <cell r="C1382">
            <v>0</v>
          </cell>
          <cell r="D1382">
            <v>0</v>
          </cell>
        </row>
        <row r="1383">
          <cell r="A1383">
            <v>0</v>
          </cell>
          <cell r="B1383">
            <v>0</v>
          </cell>
          <cell r="C1383">
            <v>0</v>
          </cell>
          <cell r="D1383">
            <v>0</v>
          </cell>
        </row>
        <row r="1384">
          <cell r="A1384">
            <v>0</v>
          </cell>
          <cell r="B1384">
            <v>0</v>
          </cell>
          <cell r="C1384">
            <v>0</v>
          </cell>
          <cell r="D1384">
            <v>0</v>
          </cell>
        </row>
        <row r="1385">
          <cell r="A1385">
            <v>0</v>
          </cell>
          <cell r="B1385">
            <v>0</v>
          </cell>
          <cell r="C1385">
            <v>0</v>
          </cell>
          <cell r="D1385">
            <v>0</v>
          </cell>
        </row>
        <row r="1386">
          <cell r="A1386">
            <v>0</v>
          </cell>
          <cell r="B1386">
            <v>0</v>
          </cell>
          <cell r="C1386">
            <v>0</v>
          </cell>
          <cell r="D1386">
            <v>0</v>
          </cell>
        </row>
        <row r="1387">
          <cell r="A1387">
            <v>0</v>
          </cell>
          <cell r="B1387">
            <v>0</v>
          </cell>
          <cell r="C1387">
            <v>0</v>
          </cell>
          <cell r="D1387">
            <v>0</v>
          </cell>
        </row>
        <row r="1388">
          <cell r="A1388">
            <v>0</v>
          </cell>
          <cell r="B1388">
            <v>0</v>
          </cell>
          <cell r="C1388">
            <v>0</v>
          </cell>
          <cell r="D1388">
            <v>0</v>
          </cell>
        </row>
        <row r="1389">
          <cell r="A1389">
            <v>0</v>
          </cell>
          <cell r="B1389">
            <v>0</v>
          </cell>
          <cell r="C1389">
            <v>0</v>
          </cell>
          <cell r="D1389">
            <v>0</v>
          </cell>
        </row>
        <row r="1390">
          <cell r="A1390">
            <v>0</v>
          </cell>
          <cell r="B1390">
            <v>0</v>
          </cell>
          <cell r="C1390">
            <v>0</v>
          </cell>
          <cell r="D1390">
            <v>0</v>
          </cell>
        </row>
        <row r="1391">
          <cell r="A1391">
            <v>0</v>
          </cell>
          <cell r="B1391">
            <v>0</v>
          </cell>
          <cell r="C1391">
            <v>0</v>
          </cell>
          <cell r="D1391">
            <v>0</v>
          </cell>
        </row>
        <row r="1392">
          <cell r="A1392">
            <v>0</v>
          </cell>
          <cell r="B1392">
            <v>0</v>
          </cell>
          <cell r="C1392">
            <v>0</v>
          </cell>
          <cell r="D1392">
            <v>0</v>
          </cell>
        </row>
        <row r="1393">
          <cell r="A1393">
            <v>0</v>
          </cell>
          <cell r="B1393">
            <v>0</v>
          </cell>
          <cell r="C1393">
            <v>0</v>
          </cell>
          <cell r="D1393">
            <v>0</v>
          </cell>
        </row>
        <row r="1394">
          <cell r="A1394">
            <v>0</v>
          </cell>
          <cell r="B1394">
            <v>0</v>
          </cell>
          <cell r="C1394">
            <v>0</v>
          </cell>
          <cell r="D1394">
            <v>0</v>
          </cell>
        </row>
        <row r="1395">
          <cell r="A1395">
            <v>0</v>
          </cell>
          <cell r="B1395">
            <v>0</v>
          </cell>
          <cell r="C1395">
            <v>0</v>
          </cell>
          <cell r="D1395">
            <v>0</v>
          </cell>
        </row>
        <row r="1396">
          <cell r="A1396">
            <v>0</v>
          </cell>
          <cell r="B1396">
            <v>0</v>
          </cell>
          <cell r="C1396">
            <v>0</v>
          </cell>
          <cell r="D1396">
            <v>0</v>
          </cell>
        </row>
        <row r="1397">
          <cell r="A1397">
            <v>0</v>
          </cell>
          <cell r="B1397">
            <v>0</v>
          </cell>
          <cell r="C1397">
            <v>0</v>
          </cell>
          <cell r="D1397">
            <v>0</v>
          </cell>
        </row>
        <row r="1398">
          <cell r="A1398">
            <v>0</v>
          </cell>
          <cell r="B1398">
            <v>0</v>
          </cell>
          <cell r="C1398">
            <v>0</v>
          </cell>
          <cell r="D1398">
            <v>0</v>
          </cell>
        </row>
        <row r="1399">
          <cell r="A1399">
            <v>0</v>
          </cell>
          <cell r="B1399">
            <v>0</v>
          </cell>
          <cell r="C1399">
            <v>0</v>
          </cell>
          <cell r="D1399">
            <v>0</v>
          </cell>
        </row>
        <row r="1400">
          <cell r="A1400">
            <v>0</v>
          </cell>
          <cell r="B1400">
            <v>0</v>
          </cell>
          <cell r="C1400">
            <v>0</v>
          </cell>
          <cell r="D1400">
            <v>0</v>
          </cell>
        </row>
        <row r="1401">
          <cell r="A1401">
            <v>0</v>
          </cell>
          <cell r="B1401">
            <v>0</v>
          </cell>
          <cell r="C1401">
            <v>0</v>
          </cell>
          <cell r="D1401">
            <v>0</v>
          </cell>
        </row>
        <row r="1402">
          <cell r="A1402">
            <v>0</v>
          </cell>
          <cell r="B1402">
            <v>0</v>
          </cell>
          <cell r="C1402">
            <v>0</v>
          </cell>
          <cell r="D1402">
            <v>0</v>
          </cell>
        </row>
        <row r="1403">
          <cell r="A1403">
            <v>0</v>
          </cell>
          <cell r="B1403">
            <v>0</v>
          </cell>
          <cell r="C1403">
            <v>0</v>
          </cell>
          <cell r="D1403">
            <v>0</v>
          </cell>
        </row>
        <row r="1404">
          <cell r="A1404">
            <v>0</v>
          </cell>
          <cell r="B1404">
            <v>0</v>
          </cell>
          <cell r="C1404">
            <v>0</v>
          </cell>
          <cell r="D1404">
            <v>0</v>
          </cell>
        </row>
        <row r="1405">
          <cell r="A1405">
            <v>0</v>
          </cell>
          <cell r="B1405">
            <v>0</v>
          </cell>
          <cell r="C1405">
            <v>0</v>
          </cell>
          <cell r="D1405">
            <v>0</v>
          </cell>
        </row>
        <row r="1406">
          <cell r="A1406">
            <v>0</v>
          </cell>
          <cell r="B1406">
            <v>0</v>
          </cell>
          <cell r="C1406">
            <v>0</v>
          </cell>
          <cell r="D1406">
            <v>0</v>
          </cell>
        </row>
        <row r="1407">
          <cell r="A1407">
            <v>0</v>
          </cell>
          <cell r="B1407">
            <v>0</v>
          </cell>
          <cell r="C1407">
            <v>0</v>
          </cell>
          <cell r="D1407">
            <v>0</v>
          </cell>
        </row>
        <row r="1408">
          <cell r="A1408">
            <v>0</v>
          </cell>
          <cell r="B1408">
            <v>0</v>
          </cell>
          <cell r="C1408">
            <v>0</v>
          </cell>
          <cell r="D1408">
            <v>0</v>
          </cell>
        </row>
        <row r="1409">
          <cell r="A1409">
            <v>0</v>
          </cell>
          <cell r="B1409">
            <v>0</v>
          </cell>
          <cell r="C1409">
            <v>0</v>
          </cell>
          <cell r="D1409">
            <v>0</v>
          </cell>
        </row>
        <row r="1410">
          <cell r="A1410">
            <v>0</v>
          </cell>
          <cell r="B1410">
            <v>0</v>
          </cell>
          <cell r="C1410">
            <v>0</v>
          </cell>
          <cell r="D1410">
            <v>0</v>
          </cell>
        </row>
        <row r="1411">
          <cell r="A1411">
            <v>0</v>
          </cell>
          <cell r="B1411">
            <v>0</v>
          </cell>
          <cell r="C1411">
            <v>0</v>
          </cell>
          <cell r="D1411">
            <v>0</v>
          </cell>
        </row>
        <row r="1412">
          <cell r="A1412">
            <v>0</v>
          </cell>
          <cell r="B1412">
            <v>0</v>
          </cell>
          <cell r="C1412">
            <v>0</v>
          </cell>
          <cell r="D1412">
            <v>0</v>
          </cell>
        </row>
        <row r="1413">
          <cell r="A1413">
            <v>0</v>
          </cell>
          <cell r="B1413">
            <v>0</v>
          </cell>
          <cell r="C1413">
            <v>0</v>
          </cell>
          <cell r="D1413">
            <v>0</v>
          </cell>
        </row>
        <row r="1414">
          <cell r="A1414">
            <v>0</v>
          </cell>
          <cell r="B1414">
            <v>0</v>
          </cell>
          <cell r="C1414">
            <v>0</v>
          </cell>
          <cell r="D1414">
            <v>0</v>
          </cell>
        </row>
        <row r="1415">
          <cell r="A1415">
            <v>0</v>
          </cell>
          <cell r="B1415">
            <v>0</v>
          </cell>
          <cell r="C1415">
            <v>0</v>
          </cell>
          <cell r="D1415">
            <v>0</v>
          </cell>
        </row>
        <row r="1416">
          <cell r="A1416">
            <v>0</v>
          </cell>
          <cell r="B1416">
            <v>0</v>
          </cell>
          <cell r="C1416">
            <v>0</v>
          </cell>
          <cell r="D1416">
            <v>0</v>
          </cell>
        </row>
        <row r="1417">
          <cell r="A1417">
            <v>0</v>
          </cell>
          <cell r="B1417">
            <v>0</v>
          </cell>
          <cell r="C1417">
            <v>0</v>
          </cell>
          <cell r="D1417">
            <v>0</v>
          </cell>
        </row>
        <row r="1418">
          <cell r="A1418">
            <v>0</v>
          </cell>
          <cell r="B1418">
            <v>0</v>
          </cell>
          <cell r="C1418">
            <v>0</v>
          </cell>
          <cell r="D1418">
            <v>0</v>
          </cell>
        </row>
        <row r="1419">
          <cell r="A1419">
            <v>0</v>
          </cell>
          <cell r="B1419">
            <v>0</v>
          </cell>
          <cell r="C1419">
            <v>0</v>
          </cell>
          <cell r="D1419">
            <v>0</v>
          </cell>
        </row>
        <row r="1420">
          <cell r="A1420">
            <v>0</v>
          </cell>
          <cell r="B1420">
            <v>0</v>
          </cell>
          <cell r="C1420">
            <v>0</v>
          </cell>
          <cell r="D1420">
            <v>0</v>
          </cell>
        </row>
        <row r="1421">
          <cell r="A1421">
            <v>0</v>
          </cell>
          <cell r="B1421">
            <v>0</v>
          </cell>
          <cell r="C1421">
            <v>0</v>
          </cell>
          <cell r="D1421">
            <v>0</v>
          </cell>
        </row>
        <row r="1422">
          <cell r="A1422">
            <v>0</v>
          </cell>
          <cell r="B1422">
            <v>0</v>
          </cell>
          <cell r="C1422">
            <v>0</v>
          </cell>
          <cell r="D1422">
            <v>0</v>
          </cell>
        </row>
        <row r="1423">
          <cell r="A1423">
            <v>0</v>
          </cell>
          <cell r="B1423">
            <v>0</v>
          </cell>
          <cell r="C1423">
            <v>0</v>
          </cell>
          <cell r="D1423">
            <v>0</v>
          </cell>
        </row>
        <row r="1424">
          <cell r="A1424">
            <v>0</v>
          </cell>
          <cell r="B1424">
            <v>0</v>
          </cell>
          <cell r="C1424">
            <v>0</v>
          </cell>
          <cell r="D1424">
            <v>0</v>
          </cell>
        </row>
        <row r="1425">
          <cell r="A1425">
            <v>0</v>
          </cell>
          <cell r="B1425">
            <v>0</v>
          </cell>
          <cell r="C1425">
            <v>0</v>
          </cell>
          <cell r="D1425">
            <v>0</v>
          </cell>
        </row>
        <row r="1426">
          <cell r="A1426">
            <v>0</v>
          </cell>
          <cell r="B1426">
            <v>0</v>
          </cell>
          <cell r="C1426">
            <v>0</v>
          </cell>
          <cell r="D1426">
            <v>0</v>
          </cell>
        </row>
        <row r="1427">
          <cell r="A1427">
            <v>0</v>
          </cell>
          <cell r="B1427">
            <v>0</v>
          </cell>
          <cell r="C1427">
            <v>0</v>
          </cell>
          <cell r="D1427">
            <v>0</v>
          </cell>
        </row>
        <row r="1428">
          <cell r="A1428">
            <v>0</v>
          </cell>
          <cell r="B1428">
            <v>0</v>
          </cell>
          <cell r="C1428">
            <v>0</v>
          </cell>
          <cell r="D1428">
            <v>0</v>
          </cell>
        </row>
        <row r="1429">
          <cell r="A1429">
            <v>0</v>
          </cell>
          <cell r="B1429">
            <v>0</v>
          </cell>
          <cell r="C1429">
            <v>0</v>
          </cell>
          <cell r="D1429">
            <v>0</v>
          </cell>
        </row>
        <row r="1430">
          <cell r="A1430">
            <v>0</v>
          </cell>
          <cell r="B1430">
            <v>0</v>
          </cell>
          <cell r="C1430">
            <v>0</v>
          </cell>
          <cell r="D1430">
            <v>0</v>
          </cell>
        </row>
        <row r="1431">
          <cell r="A1431">
            <v>0</v>
          </cell>
          <cell r="B1431">
            <v>0</v>
          </cell>
          <cell r="C1431">
            <v>0</v>
          </cell>
          <cell r="D1431">
            <v>0</v>
          </cell>
        </row>
        <row r="1432">
          <cell r="A1432">
            <v>0</v>
          </cell>
          <cell r="B1432">
            <v>0</v>
          </cell>
          <cell r="C1432">
            <v>0</v>
          </cell>
          <cell r="D1432">
            <v>0</v>
          </cell>
        </row>
        <row r="1433">
          <cell r="A1433">
            <v>0</v>
          </cell>
          <cell r="B1433">
            <v>0</v>
          </cell>
          <cell r="C1433">
            <v>0</v>
          </cell>
          <cell r="D1433">
            <v>0</v>
          </cell>
        </row>
        <row r="1434">
          <cell r="A1434">
            <v>0</v>
          </cell>
          <cell r="B1434">
            <v>0</v>
          </cell>
          <cell r="C1434">
            <v>0</v>
          </cell>
          <cell r="D1434">
            <v>0</v>
          </cell>
        </row>
        <row r="1435">
          <cell r="A1435">
            <v>0</v>
          </cell>
          <cell r="B1435">
            <v>0</v>
          </cell>
          <cell r="C1435">
            <v>0</v>
          </cell>
          <cell r="D1435">
            <v>0</v>
          </cell>
        </row>
        <row r="1436">
          <cell r="A1436">
            <v>0</v>
          </cell>
          <cell r="B1436">
            <v>0</v>
          </cell>
          <cell r="C1436">
            <v>0</v>
          </cell>
          <cell r="D1436">
            <v>0</v>
          </cell>
        </row>
        <row r="1437">
          <cell r="A1437">
            <v>0</v>
          </cell>
          <cell r="B1437">
            <v>0</v>
          </cell>
          <cell r="C1437">
            <v>0</v>
          </cell>
          <cell r="D1437">
            <v>0</v>
          </cell>
        </row>
        <row r="1438">
          <cell r="A1438">
            <v>0</v>
          </cell>
          <cell r="B1438">
            <v>0</v>
          </cell>
          <cell r="C1438">
            <v>0</v>
          </cell>
          <cell r="D1438">
            <v>0</v>
          </cell>
        </row>
        <row r="1439">
          <cell r="A1439">
            <v>0</v>
          </cell>
          <cell r="B1439">
            <v>0</v>
          </cell>
          <cell r="C1439">
            <v>0</v>
          </cell>
          <cell r="D1439">
            <v>0</v>
          </cell>
        </row>
        <row r="1440">
          <cell r="A1440">
            <v>0</v>
          </cell>
          <cell r="B1440">
            <v>0</v>
          </cell>
          <cell r="C1440">
            <v>0</v>
          </cell>
          <cell r="D1440">
            <v>0</v>
          </cell>
        </row>
        <row r="1441">
          <cell r="A1441">
            <v>0</v>
          </cell>
          <cell r="B1441">
            <v>0</v>
          </cell>
          <cell r="C1441">
            <v>0</v>
          </cell>
          <cell r="D1441">
            <v>0</v>
          </cell>
        </row>
        <row r="1442">
          <cell r="A1442">
            <v>0</v>
          </cell>
          <cell r="B1442">
            <v>0</v>
          </cell>
          <cell r="C1442">
            <v>0</v>
          </cell>
          <cell r="D1442">
            <v>0</v>
          </cell>
        </row>
        <row r="1443">
          <cell r="A1443">
            <v>0</v>
          </cell>
          <cell r="B1443">
            <v>0</v>
          </cell>
          <cell r="C1443">
            <v>0</v>
          </cell>
          <cell r="D1443">
            <v>0</v>
          </cell>
        </row>
        <row r="1444">
          <cell r="A1444">
            <v>0</v>
          </cell>
          <cell r="B1444">
            <v>0</v>
          </cell>
          <cell r="C1444">
            <v>0</v>
          </cell>
          <cell r="D1444">
            <v>0</v>
          </cell>
        </row>
        <row r="1445">
          <cell r="A1445">
            <v>0</v>
          </cell>
          <cell r="B1445">
            <v>0</v>
          </cell>
          <cell r="C1445">
            <v>0</v>
          </cell>
          <cell r="D1445">
            <v>0</v>
          </cell>
        </row>
        <row r="1446">
          <cell r="A1446">
            <v>0</v>
          </cell>
          <cell r="B1446">
            <v>0</v>
          </cell>
          <cell r="C1446">
            <v>0</v>
          </cell>
          <cell r="D1446">
            <v>0</v>
          </cell>
        </row>
        <row r="1447">
          <cell r="A1447">
            <v>0</v>
          </cell>
          <cell r="B1447">
            <v>0</v>
          </cell>
          <cell r="C1447">
            <v>0</v>
          </cell>
          <cell r="D1447">
            <v>0</v>
          </cell>
        </row>
        <row r="1448">
          <cell r="A1448">
            <v>0</v>
          </cell>
          <cell r="B1448">
            <v>0</v>
          </cell>
          <cell r="C1448">
            <v>0</v>
          </cell>
          <cell r="D1448">
            <v>0</v>
          </cell>
        </row>
        <row r="1449">
          <cell r="A1449">
            <v>0</v>
          </cell>
          <cell r="B1449">
            <v>0</v>
          </cell>
          <cell r="C1449">
            <v>0</v>
          </cell>
          <cell r="D1449">
            <v>0</v>
          </cell>
        </row>
        <row r="1450">
          <cell r="A1450">
            <v>0</v>
          </cell>
          <cell r="B1450">
            <v>0</v>
          </cell>
          <cell r="C1450">
            <v>0</v>
          </cell>
          <cell r="D1450">
            <v>0</v>
          </cell>
        </row>
        <row r="1451">
          <cell r="A1451">
            <v>0</v>
          </cell>
          <cell r="B1451">
            <v>0</v>
          </cell>
          <cell r="C1451">
            <v>0</v>
          </cell>
          <cell r="D1451">
            <v>0</v>
          </cell>
        </row>
        <row r="1452">
          <cell r="A1452">
            <v>0</v>
          </cell>
          <cell r="B1452">
            <v>0</v>
          </cell>
          <cell r="C1452">
            <v>0</v>
          </cell>
          <cell r="D1452">
            <v>0</v>
          </cell>
        </row>
        <row r="1453">
          <cell r="A1453">
            <v>0</v>
          </cell>
          <cell r="B1453">
            <v>0</v>
          </cell>
          <cell r="C1453">
            <v>0</v>
          </cell>
          <cell r="D1453">
            <v>0</v>
          </cell>
        </row>
        <row r="1454">
          <cell r="A1454">
            <v>0</v>
          </cell>
          <cell r="B1454">
            <v>0</v>
          </cell>
          <cell r="C1454">
            <v>0</v>
          </cell>
          <cell r="D1454">
            <v>0</v>
          </cell>
        </row>
        <row r="1455">
          <cell r="A1455">
            <v>0</v>
          </cell>
          <cell r="B1455">
            <v>0</v>
          </cell>
          <cell r="C1455">
            <v>0</v>
          </cell>
          <cell r="D1455">
            <v>0</v>
          </cell>
        </row>
        <row r="1456">
          <cell r="A1456">
            <v>0</v>
          </cell>
          <cell r="B1456">
            <v>0</v>
          </cell>
          <cell r="C1456">
            <v>0</v>
          </cell>
          <cell r="D1456">
            <v>0</v>
          </cell>
        </row>
        <row r="1457">
          <cell r="A1457">
            <v>0</v>
          </cell>
          <cell r="B1457">
            <v>0</v>
          </cell>
          <cell r="C1457">
            <v>0</v>
          </cell>
          <cell r="D1457">
            <v>0</v>
          </cell>
        </row>
        <row r="1458">
          <cell r="A1458">
            <v>0</v>
          </cell>
          <cell r="B1458">
            <v>0</v>
          </cell>
          <cell r="C1458">
            <v>0</v>
          </cell>
          <cell r="D1458">
            <v>0</v>
          </cell>
        </row>
        <row r="1459">
          <cell r="A1459">
            <v>0</v>
          </cell>
          <cell r="B1459">
            <v>0</v>
          </cell>
          <cell r="C1459">
            <v>0</v>
          </cell>
          <cell r="D1459">
            <v>0</v>
          </cell>
        </row>
        <row r="1460">
          <cell r="A1460">
            <v>0</v>
          </cell>
          <cell r="B1460">
            <v>0</v>
          </cell>
          <cell r="C1460">
            <v>0</v>
          </cell>
          <cell r="D1460">
            <v>0</v>
          </cell>
        </row>
        <row r="1461">
          <cell r="A1461">
            <v>0</v>
          </cell>
          <cell r="B1461">
            <v>0</v>
          </cell>
          <cell r="C1461">
            <v>0</v>
          </cell>
          <cell r="D1461">
            <v>0</v>
          </cell>
        </row>
        <row r="1462">
          <cell r="A1462">
            <v>0</v>
          </cell>
          <cell r="B1462">
            <v>0</v>
          </cell>
          <cell r="C1462">
            <v>0</v>
          </cell>
          <cell r="D1462">
            <v>0</v>
          </cell>
        </row>
        <row r="1463">
          <cell r="A1463">
            <v>0</v>
          </cell>
          <cell r="B1463">
            <v>0</v>
          </cell>
          <cell r="C1463">
            <v>0</v>
          </cell>
          <cell r="D1463">
            <v>0</v>
          </cell>
        </row>
        <row r="1464">
          <cell r="A1464">
            <v>0</v>
          </cell>
          <cell r="B1464">
            <v>0</v>
          </cell>
          <cell r="C1464">
            <v>0</v>
          </cell>
          <cell r="D1464">
            <v>0</v>
          </cell>
        </row>
        <row r="1465">
          <cell r="A1465">
            <v>0</v>
          </cell>
          <cell r="B1465">
            <v>0</v>
          </cell>
          <cell r="C1465">
            <v>0</v>
          </cell>
          <cell r="D1465">
            <v>0</v>
          </cell>
        </row>
        <row r="1466">
          <cell r="A1466">
            <v>0</v>
          </cell>
          <cell r="B1466">
            <v>0</v>
          </cell>
          <cell r="C1466">
            <v>0</v>
          </cell>
          <cell r="D1466">
            <v>0</v>
          </cell>
        </row>
        <row r="1467">
          <cell r="A1467">
            <v>0</v>
          </cell>
          <cell r="B1467">
            <v>0</v>
          </cell>
          <cell r="C1467">
            <v>0</v>
          </cell>
          <cell r="D1467">
            <v>0</v>
          </cell>
        </row>
        <row r="1468">
          <cell r="A1468">
            <v>0</v>
          </cell>
          <cell r="B1468">
            <v>0</v>
          </cell>
          <cell r="C1468">
            <v>0</v>
          </cell>
          <cell r="D1468">
            <v>0</v>
          </cell>
        </row>
        <row r="1469">
          <cell r="A1469">
            <v>0</v>
          </cell>
          <cell r="B1469">
            <v>0</v>
          </cell>
          <cell r="C1469">
            <v>0</v>
          </cell>
          <cell r="D1469">
            <v>0</v>
          </cell>
        </row>
        <row r="1470">
          <cell r="A1470">
            <v>0</v>
          </cell>
          <cell r="B1470">
            <v>0</v>
          </cell>
          <cell r="C1470">
            <v>0</v>
          </cell>
          <cell r="D1470">
            <v>0</v>
          </cell>
        </row>
        <row r="1471">
          <cell r="A1471">
            <v>0</v>
          </cell>
          <cell r="B1471">
            <v>0</v>
          </cell>
          <cell r="C1471">
            <v>0</v>
          </cell>
          <cell r="D1471">
            <v>0</v>
          </cell>
        </row>
        <row r="1472">
          <cell r="A1472">
            <v>0</v>
          </cell>
          <cell r="B1472">
            <v>0</v>
          </cell>
          <cell r="C1472">
            <v>0</v>
          </cell>
          <cell r="D1472">
            <v>0</v>
          </cell>
        </row>
        <row r="1473">
          <cell r="A1473">
            <v>0</v>
          </cell>
          <cell r="B1473">
            <v>0</v>
          </cell>
          <cell r="C1473">
            <v>0</v>
          </cell>
          <cell r="D1473">
            <v>0</v>
          </cell>
        </row>
        <row r="1474">
          <cell r="A1474">
            <v>0</v>
          </cell>
          <cell r="B1474">
            <v>0</v>
          </cell>
          <cell r="C1474">
            <v>0</v>
          </cell>
          <cell r="D1474">
            <v>0</v>
          </cell>
        </row>
        <row r="1475">
          <cell r="A1475">
            <v>0</v>
          </cell>
          <cell r="B1475">
            <v>0</v>
          </cell>
          <cell r="C1475">
            <v>0</v>
          </cell>
          <cell r="D1475">
            <v>0</v>
          </cell>
        </row>
        <row r="1476">
          <cell r="A1476">
            <v>0</v>
          </cell>
          <cell r="B1476">
            <v>0</v>
          </cell>
          <cell r="C1476">
            <v>0</v>
          </cell>
          <cell r="D1476">
            <v>0</v>
          </cell>
        </row>
        <row r="1477">
          <cell r="A1477">
            <v>0</v>
          </cell>
          <cell r="B1477">
            <v>0</v>
          </cell>
          <cell r="C1477">
            <v>0</v>
          </cell>
          <cell r="D1477">
            <v>0</v>
          </cell>
        </row>
        <row r="1478">
          <cell r="A1478">
            <v>0</v>
          </cell>
          <cell r="B1478">
            <v>0</v>
          </cell>
          <cell r="C1478">
            <v>0</v>
          </cell>
          <cell r="D1478">
            <v>0</v>
          </cell>
        </row>
        <row r="1479">
          <cell r="A1479">
            <v>0</v>
          </cell>
          <cell r="B1479">
            <v>0</v>
          </cell>
          <cell r="C1479">
            <v>0</v>
          </cell>
          <cell r="D1479">
            <v>0</v>
          </cell>
        </row>
        <row r="1480">
          <cell r="A1480">
            <v>0</v>
          </cell>
          <cell r="B1480">
            <v>0</v>
          </cell>
          <cell r="C1480">
            <v>0</v>
          </cell>
          <cell r="D1480">
            <v>0</v>
          </cell>
        </row>
        <row r="1481">
          <cell r="A1481">
            <v>0</v>
          </cell>
          <cell r="B1481">
            <v>0</v>
          </cell>
          <cell r="C1481">
            <v>0</v>
          </cell>
          <cell r="D1481">
            <v>0</v>
          </cell>
        </row>
        <row r="1482">
          <cell r="A1482">
            <v>0</v>
          </cell>
          <cell r="B1482">
            <v>0</v>
          </cell>
          <cell r="C1482">
            <v>0</v>
          </cell>
          <cell r="D1482">
            <v>0</v>
          </cell>
        </row>
        <row r="1483">
          <cell r="A1483">
            <v>0</v>
          </cell>
          <cell r="B1483">
            <v>0</v>
          </cell>
          <cell r="C1483">
            <v>0</v>
          </cell>
          <cell r="D1483">
            <v>0</v>
          </cell>
        </row>
        <row r="1484">
          <cell r="A1484">
            <v>0</v>
          </cell>
          <cell r="B1484">
            <v>0</v>
          </cell>
          <cell r="C1484">
            <v>0</v>
          </cell>
          <cell r="D1484">
            <v>0</v>
          </cell>
        </row>
        <row r="1485">
          <cell r="A1485">
            <v>0</v>
          </cell>
          <cell r="B1485">
            <v>0</v>
          </cell>
          <cell r="C1485">
            <v>0</v>
          </cell>
          <cell r="D1485">
            <v>0</v>
          </cell>
        </row>
        <row r="1486">
          <cell r="A1486">
            <v>0</v>
          </cell>
          <cell r="B1486">
            <v>0</v>
          </cell>
          <cell r="C1486">
            <v>0</v>
          </cell>
          <cell r="D1486">
            <v>0</v>
          </cell>
        </row>
        <row r="1487">
          <cell r="A1487">
            <v>0</v>
          </cell>
          <cell r="B1487">
            <v>0</v>
          </cell>
          <cell r="C1487">
            <v>0</v>
          </cell>
          <cell r="D1487">
            <v>0</v>
          </cell>
        </row>
        <row r="1488">
          <cell r="A1488">
            <v>0</v>
          </cell>
          <cell r="B1488">
            <v>0</v>
          </cell>
          <cell r="C1488">
            <v>0</v>
          </cell>
          <cell r="D1488">
            <v>0</v>
          </cell>
        </row>
        <row r="1489">
          <cell r="A1489">
            <v>0</v>
          </cell>
          <cell r="B1489">
            <v>0</v>
          </cell>
          <cell r="C1489">
            <v>0</v>
          </cell>
          <cell r="D1489">
            <v>0</v>
          </cell>
        </row>
        <row r="1490">
          <cell r="A1490">
            <v>0</v>
          </cell>
          <cell r="B1490">
            <v>0</v>
          </cell>
          <cell r="C1490">
            <v>0</v>
          </cell>
          <cell r="D1490">
            <v>0</v>
          </cell>
        </row>
        <row r="1491">
          <cell r="A1491">
            <v>0</v>
          </cell>
          <cell r="B1491">
            <v>0</v>
          </cell>
          <cell r="C1491">
            <v>0</v>
          </cell>
          <cell r="D1491">
            <v>0</v>
          </cell>
        </row>
        <row r="1492">
          <cell r="A1492">
            <v>0</v>
          </cell>
          <cell r="B1492">
            <v>0</v>
          </cell>
          <cell r="C1492">
            <v>0</v>
          </cell>
          <cell r="D1492">
            <v>0</v>
          </cell>
        </row>
        <row r="1493">
          <cell r="A1493">
            <v>0</v>
          </cell>
          <cell r="B1493">
            <v>0</v>
          </cell>
          <cell r="C1493">
            <v>0</v>
          </cell>
          <cell r="D1493">
            <v>0</v>
          </cell>
        </row>
        <row r="1494">
          <cell r="A1494">
            <v>0</v>
          </cell>
          <cell r="B1494">
            <v>0</v>
          </cell>
          <cell r="C1494">
            <v>0</v>
          </cell>
          <cell r="D1494">
            <v>0</v>
          </cell>
        </row>
        <row r="1495">
          <cell r="A1495">
            <v>0</v>
          </cell>
          <cell r="B1495">
            <v>0</v>
          </cell>
          <cell r="C1495">
            <v>0</v>
          </cell>
          <cell r="D1495">
            <v>0</v>
          </cell>
        </row>
        <row r="1496">
          <cell r="A1496">
            <v>0</v>
          </cell>
          <cell r="B1496">
            <v>0</v>
          </cell>
          <cell r="C1496">
            <v>0</v>
          </cell>
          <cell r="D1496">
            <v>0</v>
          </cell>
        </row>
        <row r="1497">
          <cell r="A1497">
            <v>0</v>
          </cell>
          <cell r="B1497">
            <v>0</v>
          </cell>
          <cell r="C1497">
            <v>0</v>
          </cell>
          <cell r="D1497">
            <v>0</v>
          </cell>
        </row>
        <row r="1498">
          <cell r="A1498">
            <v>0</v>
          </cell>
          <cell r="B1498">
            <v>0</v>
          </cell>
          <cell r="C1498">
            <v>0</v>
          </cell>
          <cell r="D1498">
            <v>0</v>
          </cell>
        </row>
        <row r="1499">
          <cell r="A1499">
            <v>0</v>
          </cell>
          <cell r="B1499">
            <v>0</v>
          </cell>
          <cell r="C1499">
            <v>0</v>
          </cell>
          <cell r="D1499">
            <v>0</v>
          </cell>
        </row>
        <row r="1500">
          <cell r="A1500">
            <v>0</v>
          </cell>
          <cell r="B1500">
            <v>0</v>
          </cell>
          <cell r="C1500">
            <v>0</v>
          </cell>
          <cell r="D1500">
            <v>0</v>
          </cell>
        </row>
        <row r="1501">
          <cell r="A1501">
            <v>0</v>
          </cell>
          <cell r="B1501">
            <v>0</v>
          </cell>
          <cell r="C1501">
            <v>0</v>
          </cell>
          <cell r="D1501">
            <v>0</v>
          </cell>
        </row>
        <row r="1502">
          <cell r="A1502">
            <v>0</v>
          </cell>
          <cell r="B1502">
            <v>0</v>
          </cell>
          <cell r="C1502">
            <v>0</v>
          </cell>
          <cell r="D1502">
            <v>0</v>
          </cell>
        </row>
        <row r="1503">
          <cell r="A1503">
            <v>0</v>
          </cell>
          <cell r="B1503">
            <v>0</v>
          </cell>
          <cell r="C1503">
            <v>0</v>
          </cell>
          <cell r="D1503">
            <v>0</v>
          </cell>
        </row>
        <row r="1504">
          <cell r="A1504">
            <v>0</v>
          </cell>
          <cell r="B1504">
            <v>0</v>
          </cell>
          <cell r="C1504">
            <v>0</v>
          </cell>
          <cell r="D1504">
            <v>0</v>
          </cell>
        </row>
        <row r="1505">
          <cell r="A1505">
            <v>0</v>
          </cell>
          <cell r="B1505">
            <v>0</v>
          </cell>
          <cell r="C1505">
            <v>0</v>
          </cell>
          <cell r="D1505">
            <v>0</v>
          </cell>
        </row>
        <row r="1506">
          <cell r="A1506">
            <v>0</v>
          </cell>
          <cell r="B1506">
            <v>0</v>
          </cell>
          <cell r="C1506">
            <v>0</v>
          </cell>
          <cell r="D1506">
            <v>0</v>
          </cell>
        </row>
        <row r="1507">
          <cell r="A1507">
            <v>0</v>
          </cell>
          <cell r="B1507">
            <v>0</v>
          </cell>
          <cell r="C1507">
            <v>0</v>
          </cell>
          <cell r="D1507">
            <v>0</v>
          </cell>
        </row>
        <row r="1508">
          <cell r="A1508">
            <v>0</v>
          </cell>
          <cell r="B1508">
            <v>0</v>
          </cell>
          <cell r="C1508">
            <v>0</v>
          </cell>
          <cell r="D1508">
            <v>0</v>
          </cell>
        </row>
        <row r="1509">
          <cell r="A1509">
            <v>0</v>
          </cell>
          <cell r="B1509">
            <v>0</v>
          </cell>
          <cell r="C1509">
            <v>0</v>
          </cell>
          <cell r="D1509">
            <v>0</v>
          </cell>
        </row>
        <row r="1510">
          <cell r="A1510">
            <v>0</v>
          </cell>
          <cell r="B1510">
            <v>0</v>
          </cell>
          <cell r="C1510">
            <v>0</v>
          </cell>
          <cell r="D1510">
            <v>0</v>
          </cell>
        </row>
        <row r="1511">
          <cell r="A1511">
            <v>0</v>
          </cell>
          <cell r="B1511">
            <v>0</v>
          </cell>
          <cell r="C1511">
            <v>0</v>
          </cell>
          <cell r="D1511">
            <v>0</v>
          </cell>
        </row>
        <row r="1512">
          <cell r="A1512">
            <v>0</v>
          </cell>
          <cell r="B1512">
            <v>0</v>
          </cell>
          <cell r="C1512">
            <v>0</v>
          </cell>
          <cell r="D1512">
            <v>0</v>
          </cell>
        </row>
        <row r="1513">
          <cell r="A1513">
            <v>0</v>
          </cell>
          <cell r="B1513">
            <v>0</v>
          </cell>
          <cell r="C1513">
            <v>0</v>
          </cell>
          <cell r="D1513">
            <v>0</v>
          </cell>
        </row>
        <row r="1514">
          <cell r="A1514">
            <v>0</v>
          </cell>
          <cell r="B1514">
            <v>0</v>
          </cell>
          <cell r="C1514">
            <v>0</v>
          </cell>
          <cell r="D1514">
            <v>0</v>
          </cell>
        </row>
        <row r="1515">
          <cell r="A1515">
            <v>0</v>
          </cell>
          <cell r="B1515">
            <v>0</v>
          </cell>
          <cell r="C1515">
            <v>0</v>
          </cell>
          <cell r="D1515">
            <v>0</v>
          </cell>
        </row>
        <row r="1516">
          <cell r="A1516">
            <v>0</v>
          </cell>
          <cell r="B1516">
            <v>0</v>
          </cell>
          <cell r="C1516">
            <v>0</v>
          </cell>
          <cell r="D1516">
            <v>0</v>
          </cell>
        </row>
        <row r="1517">
          <cell r="A1517">
            <v>0</v>
          </cell>
          <cell r="B1517">
            <v>0</v>
          </cell>
          <cell r="C1517">
            <v>0</v>
          </cell>
          <cell r="D1517">
            <v>0</v>
          </cell>
        </row>
        <row r="1518">
          <cell r="A1518">
            <v>0</v>
          </cell>
          <cell r="B1518">
            <v>0</v>
          </cell>
          <cell r="C1518">
            <v>0</v>
          </cell>
          <cell r="D1518">
            <v>0</v>
          </cell>
        </row>
        <row r="1519">
          <cell r="A1519">
            <v>0</v>
          </cell>
          <cell r="B1519">
            <v>0</v>
          </cell>
          <cell r="C1519">
            <v>0</v>
          </cell>
          <cell r="D1519">
            <v>0</v>
          </cell>
        </row>
        <row r="1520">
          <cell r="A1520">
            <v>0</v>
          </cell>
          <cell r="B1520">
            <v>0</v>
          </cell>
          <cell r="C1520">
            <v>0</v>
          </cell>
          <cell r="D1520">
            <v>0</v>
          </cell>
        </row>
        <row r="1521">
          <cell r="A1521">
            <v>0</v>
          </cell>
          <cell r="B1521">
            <v>0</v>
          </cell>
          <cell r="C1521">
            <v>0</v>
          </cell>
          <cell r="D1521">
            <v>0</v>
          </cell>
        </row>
        <row r="1522">
          <cell r="A1522">
            <v>0</v>
          </cell>
          <cell r="B1522">
            <v>0</v>
          </cell>
          <cell r="C1522">
            <v>0</v>
          </cell>
          <cell r="D1522">
            <v>0</v>
          </cell>
        </row>
        <row r="1523">
          <cell r="A1523">
            <v>0</v>
          </cell>
          <cell r="B1523">
            <v>0</v>
          </cell>
          <cell r="C1523">
            <v>0</v>
          </cell>
          <cell r="D1523">
            <v>0</v>
          </cell>
        </row>
        <row r="1524">
          <cell r="A1524">
            <v>0</v>
          </cell>
          <cell r="B1524">
            <v>0</v>
          </cell>
          <cell r="C1524">
            <v>0</v>
          </cell>
          <cell r="D1524">
            <v>0</v>
          </cell>
        </row>
        <row r="1525">
          <cell r="A1525">
            <v>0</v>
          </cell>
          <cell r="B1525">
            <v>0</v>
          </cell>
          <cell r="C1525">
            <v>0</v>
          </cell>
          <cell r="D1525">
            <v>0</v>
          </cell>
        </row>
        <row r="1526">
          <cell r="A1526">
            <v>0</v>
          </cell>
          <cell r="B1526">
            <v>0</v>
          </cell>
          <cell r="C1526">
            <v>0</v>
          </cell>
          <cell r="D1526">
            <v>0</v>
          </cell>
        </row>
        <row r="1527">
          <cell r="A1527">
            <v>0</v>
          </cell>
          <cell r="B1527">
            <v>0</v>
          </cell>
          <cell r="C1527">
            <v>0</v>
          </cell>
          <cell r="D1527">
            <v>0</v>
          </cell>
        </row>
        <row r="1528">
          <cell r="A1528">
            <v>0</v>
          </cell>
          <cell r="B1528">
            <v>0</v>
          </cell>
          <cell r="C1528">
            <v>0</v>
          </cell>
          <cell r="D1528">
            <v>0</v>
          </cell>
        </row>
        <row r="1529">
          <cell r="A1529">
            <v>0</v>
          </cell>
          <cell r="B1529">
            <v>0</v>
          </cell>
          <cell r="C1529">
            <v>0</v>
          </cell>
          <cell r="D1529">
            <v>0</v>
          </cell>
        </row>
        <row r="1530">
          <cell r="A1530">
            <v>0</v>
          </cell>
          <cell r="B1530">
            <v>0</v>
          </cell>
          <cell r="C1530">
            <v>0</v>
          </cell>
          <cell r="D1530">
            <v>0</v>
          </cell>
        </row>
        <row r="1531">
          <cell r="A1531">
            <v>0</v>
          </cell>
          <cell r="B1531">
            <v>0</v>
          </cell>
          <cell r="C1531">
            <v>0</v>
          </cell>
          <cell r="D1531">
            <v>0</v>
          </cell>
        </row>
        <row r="1532">
          <cell r="A1532">
            <v>0</v>
          </cell>
          <cell r="B1532">
            <v>0</v>
          </cell>
          <cell r="C1532">
            <v>0</v>
          </cell>
          <cell r="D1532">
            <v>0</v>
          </cell>
        </row>
        <row r="1533">
          <cell r="A1533">
            <v>0</v>
          </cell>
          <cell r="B1533">
            <v>0</v>
          </cell>
          <cell r="C1533">
            <v>0</v>
          </cell>
          <cell r="D1533">
            <v>0</v>
          </cell>
        </row>
        <row r="1534">
          <cell r="A1534">
            <v>0</v>
          </cell>
          <cell r="B1534">
            <v>0</v>
          </cell>
          <cell r="C1534">
            <v>0</v>
          </cell>
          <cell r="D1534">
            <v>0</v>
          </cell>
        </row>
        <row r="1535">
          <cell r="A1535">
            <v>0</v>
          </cell>
          <cell r="B1535">
            <v>0</v>
          </cell>
          <cell r="C1535">
            <v>0</v>
          </cell>
          <cell r="D1535">
            <v>0</v>
          </cell>
        </row>
        <row r="1536">
          <cell r="A1536">
            <v>0</v>
          </cell>
          <cell r="B1536">
            <v>0</v>
          </cell>
          <cell r="C1536">
            <v>0</v>
          </cell>
          <cell r="D1536">
            <v>0</v>
          </cell>
        </row>
        <row r="1537">
          <cell r="A1537">
            <v>0</v>
          </cell>
          <cell r="B1537">
            <v>0</v>
          </cell>
          <cell r="C1537">
            <v>0</v>
          </cell>
          <cell r="D1537">
            <v>0</v>
          </cell>
        </row>
        <row r="1538">
          <cell r="A1538">
            <v>0</v>
          </cell>
          <cell r="B1538">
            <v>0</v>
          </cell>
          <cell r="C1538">
            <v>0</v>
          </cell>
          <cell r="D1538">
            <v>0</v>
          </cell>
        </row>
        <row r="1539">
          <cell r="A1539">
            <v>0</v>
          </cell>
          <cell r="B1539">
            <v>0</v>
          </cell>
          <cell r="C1539">
            <v>0</v>
          </cell>
          <cell r="D1539">
            <v>0</v>
          </cell>
        </row>
        <row r="1540">
          <cell r="A1540">
            <v>0</v>
          </cell>
          <cell r="B1540">
            <v>0</v>
          </cell>
          <cell r="C1540">
            <v>0</v>
          </cell>
          <cell r="D1540">
            <v>0</v>
          </cell>
        </row>
        <row r="1541">
          <cell r="A1541">
            <v>0</v>
          </cell>
          <cell r="B1541">
            <v>0</v>
          </cell>
          <cell r="C1541">
            <v>0</v>
          </cell>
          <cell r="D1541">
            <v>0</v>
          </cell>
        </row>
        <row r="1542">
          <cell r="A1542">
            <v>0</v>
          </cell>
          <cell r="B1542">
            <v>0</v>
          </cell>
          <cell r="C1542">
            <v>0</v>
          </cell>
          <cell r="D1542">
            <v>0</v>
          </cell>
        </row>
        <row r="1543">
          <cell r="A1543">
            <v>0</v>
          </cell>
          <cell r="B1543">
            <v>0</v>
          </cell>
          <cell r="C1543">
            <v>0</v>
          </cell>
          <cell r="D1543">
            <v>0</v>
          </cell>
        </row>
        <row r="1544">
          <cell r="A1544">
            <v>0</v>
          </cell>
          <cell r="B1544">
            <v>0</v>
          </cell>
          <cell r="C1544">
            <v>0</v>
          </cell>
          <cell r="D1544">
            <v>0</v>
          </cell>
        </row>
        <row r="1545">
          <cell r="A1545">
            <v>0</v>
          </cell>
          <cell r="B1545">
            <v>0</v>
          </cell>
          <cell r="C1545">
            <v>0</v>
          </cell>
          <cell r="D1545">
            <v>0</v>
          </cell>
        </row>
        <row r="1546">
          <cell r="A1546">
            <v>0</v>
          </cell>
          <cell r="B1546">
            <v>0</v>
          </cell>
          <cell r="C1546">
            <v>0</v>
          </cell>
          <cell r="D1546">
            <v>0</v>
          </cell>
        </row>
        <row r="1547">
          <cell r="A1547">
            <v>0</v>
          </cell>
          <cell r="B1547">
            <v>0</v>
          </cell>
          <cell r="C1547">
            <v>0</v>
          </cell>
          <cell r="D1547">
            <v>0</v>
          </cell>
        </row>
        <row r="1548">
          <cell r="A1548">
            <v>0</v>
          </cell>
          <cell r="B1548">
            <v>0</v>
          </cell>
          <cell r="C1548">
            <v>0</v>
          </cell>
          <cell r="D1548">
            <v>0</v>
          </cell>
        </row>
        <row r="1549">
          <cell r="A1549">
            <v>0</v>
          </cell>
          <cell r="B1549">
            <v>0</v>
          </cell>
          <cell r="C1549">
            <v>0</v>
          </cell>
          <cell r="D1549">
            <v>0</v>
          </cell>
        </row>
        <row r="1550">
          <cell r="A1550">
            <v>0</v>
          </cell>
          <cell r="B1550">
            <v>0</v>
          </cell>
          <cell r="C1550">
            <v>0</v>
          </cell>
          <cell r="D1550">
            <v>0</v>
          </cell>
        </row>
        <row r="1551">
          <cell r="A1551">
            <v>0</v>
          </cell>
          <cell r="B1551">
            <v>0</v>
          </cell>
          <cell r="C1551">
            <v>0</v>
          </cell>
          <cell r="D1551">
            <v>0</v>
          </cell>
        </row>
        <row r="1552">
          <cell r="A1552">
            <v>0</v>
          </cell>
          <cell r="B1552">
            <v>0</v>
          </cell>
          <cell r="C1552">
            <v>0</v>
          </cell>
          <cell r="D1552">
            <v>0</v>
          </cell>
        </row>
        <row r="1553">
          <cell r="A1553">
            <v>0</v>
          </cell>
          <cell r="B1553">
            <v>0</v>
          </cell>
          <cell r="C1553">
            <v>0</v>
          </cell>
          <cell r="D1553">
            <v>0</v>
          </cell>
        </row>
        <row r="1554">
          <cell r="A1554">
            <v>0</v>
          </cell>
          <cell r="B1554">
            <v>0</v>
          </cell>
          <cell r="C1554">
            <v>0</v>
          </cell>
          <cell r="D1554">
            <v>0</v>
          </cell>
        </row>
        <row r="1555">
          <cell r="A1555">
            <v>0</v>
          </cell>
          <cell r="B1555">
            <v>0</v>
          </cell>
          <cell r="C1555">
            <v>0</v>
          </cell>
          <cell r="D1555">
            <v>0</v>
          </cell>
        </row>
        <row r="1556">
          <cell r="A1556">
            <v>0</v>
          </cell>
          <cell r="B1556">
            <v>0</v>
          </cell>
          <cell r="C1556">
            <v>0</v>
          </cell>
          <cell r="D1556">
            <v>0</v>
          </cell>
        </row>
        <row r="1557">
          <cell r="A1557">
            <v>0</v>
          </cell>
          <cell r="B1557">
            <v>0</v>
          </cell>
          <cell r="C1557">
            <v>0</v>
          </cell>
          <cell r="D1557">
            <v>0</v>
          </cell>
        </row>
        <row r="1558">
          <cell r="A1558">
            <v>0</v>
          </cell>
          <cell r="B1558">
            <v>0</v>
          </cell>
          <cell r="C1558">
            <v>0</v>
          </cell>
          <cell r="D1558">
            <v>0</v>
          </cell>
        </row>
        <row r="1559">
          <cell r="A1559">
            <v>0</v>
          </cell>
          <cell r="B1559">
            <v>0</v>
          </cell>
          <cell r="C1559">
            <v>0</v>
          </cell>
          <cell r="D1559">
            <v>0</v>
          </cell>
        </row>
        <row r="1560">
          <cell r="A1560">
            <v>0</v>
          </cell>
          <cell r="B1560">
            <v>0</v>
          </cell>
          <cell r="C1560">
            <v>0</v>
          </cell>
          <cell r="D1560">
            <v>0</v>
          </cell>
        </row>
        <row r="1561">
          <cell r="A1561">
            <v>0</v>
          </cell>
          <cell r="B1561">
            <v>0</v>
          </cell>
          <cell r="C1561">
            <v>0</v>
          </cell>
          <cell r="D1561">
            <v>0</v>
          </cell>
        </row>
        <row r="1562">
          <cell r="A1562">
            <v>0</v>
          </cell>
          <cell r="B1562">
            <v>0</v>
          </cell>
          <cell r="C1562">
            <v>0</v>
          </cell>
          <cell r="D1562">
            <v>0</v>
          </cell>
        </row>
        <row r="1563">
          <cell r="A1563">
            <v>0</v>
          </cell>
          <cell r="B1563">
            <v>0</v>
          </cell>
          <cell r="C1563">
            <v>0</v>
          </cell>
          <cell r="D1563">
            <v>0</v>
          </cell>
        </row>
        <row r="1564">
          <cell r="A1564">
            <v>0</v>
          </cell>
          <cell r="B1564">
            <v>0</v>
          </cell>
          <cell r="C1564">
            <v>0</v>
          </cell>
          <cell r="D1564">
            <v>0</v>
          </cell>
        </row>
        <row r="1565">
          <cell r="A1565">
            <v>0</v>
          </cell>
          <cell r="B1565">
            <v>0</v>
          </cell>
          <cell r="C1565">
            <v>0</v>
          </cell>
          <cell r="D1565">
            <v>0</v>
          </cell>
        </row>
        <row r="1566">
          <cell r="A1566">
            <v>0</v>
          </cell>
          <cell r="B1566">
            <v>0</v>
          </cell>
          <cell r="C1566">
            <v>0</v>
          </cell>
          <cell r="D1566">
            <v>0</v>
          </cell>
        </row>
        <row r="1567">
          <cell r="A1567">
            <v>0</v>
          </cell>
          <cell r="B1567">
            <v>0</v>
          </cell>
          <cell r="C1567">
            <v>0</v>
          </cell>
          <cell r="D1567">
            <v>0</v>
          </cell>
        </row>
        <row r="1568">
          <cell r="A1568">
            <v>0</v>
          </cell>
          <cell r="B1568">
            <v>0</v>
          </cell>
          <cell r="C1568">
            <v>0</v>
          </cell>
          <cell r="D1568">
            <v>0</v>
          </cell>
        </row>
        <row r="1569">
          <cell r="A1569">
            <v>0</v>
          </cell>
          <cell r="B1569">
            <v>0</v>
          </cell>
          <cell r="C1569">
            <v>0</v>
          </cell>
          <cell r="D1569">
            <v>0</v>
          </cell>
        </row>
        <row r="1570">
          <cell r="A1570">
            <v>0</v>
          </cell>
          <cell r="B1570">
            <v>0</v>
          </cell>
          <cell r="C1570">
            <v>0</v>
          </cell>
          <cell r="D1570">
            <v>0</v>
          </cell>
        </row>
        <row r="1571">
          <cell r="A1571">
            <v>0</v>
          </cell>
          <cell r="B1571">
            <v>0</v>
          </cell>
          <cell r="C1571">
            <v>0</v>
          </cell>
          <cell r="D1571">
            <v>0</v>
          </cell>
        </row>
        <row r="1572">
          <cell r="A1572">
            <v>0</v>
          </cell>
          <cell r="B1572">
            <v>0</v>
          </cell>
          <cell r="C1572">
            <v>0</v>
          </cell>
          <cell r="D1572">
            <v>0</v>
          </cell>
        </row>
        <row r="1573">
          <cell r="A1573">
            <v>0</v>
          </cell>
          <cell r="B1573">
            <v>0</v>
          </cell>
          <cell r="C1573">
            <v>0</v>
          </cell>
          <cell r="D1573">
            <v>0</v>
          </cell>
        </row>
        <row r="1574">
          <cell r="A1574">
            <v>0</v>
          </cell>
          <cell r="B1574">
            <v>0</v>
          </cell>
          <cell r="C1574">
            <v>0</v>
          </cell>
          <cell r="D1574">
            <v>0</v>
          </cell>
        </row>
        <row r="1575">
          <cell r="A1575">
            <v>0</v>
          </cell>
          <cell r="B1575">
            <v>0</v>
          </cell>
          <cell r="C1575">
            <v>0</v>
          </cell>
          <cell r="D1575">
            <v>0</v>
          </cell>
        </row>
        <row r="1576">
          <cell r="A1576">
            <v>0</v>
          </cell>
          <cell r="B1576">
            <v>0</v>
          </cell>
          <cell r="C1576">
            <v>0</v>
          </cell>
          <cell r="D1576">
            <v>0</v>
          </cell>
        </row>
        <row r="1577">
          <cell r="A1577">
            <v>0</v>
          </cell>
          <cell r="B1577">
            <v>0</v>
          </cell>
          <cell r="C1577">
            <v>0</v>
          </cell>
          <cell r="D1577">
            <v>0</v>
          </cell>
        </row>
        <row r="1578">
          <cell r="A1578">
            <v>0</v>
          </cell>
          <cell r="B1578">
            <v>0</v>
          </cell>
          <cell r="C1578">
            <v>0</v>
          </cell>
          <cell r="D1578">
            <v>0</v>
          </cell>
        </row>
        <row r="1579">
          <cell r="A1579">
            <v>0</v>
          </cell>
          <cell r="B1579">
            <v>0</v>
          </cell>
          <cell r="C1579">
            <v>0</v>
          </cell>
          <cell r="D1579">
            <v>0</v>
          </cell>
        </row>
        <row r="1580">
          <cell r="A1580">
            <v>0</v>
          </cell>
          <cell r="B1580">
            <v>0</v>
          </cell>
          <cell r="C1580">
            <v>0</v>
          </cell>
          <cell r="D1580">
            <v>0</v>
          </cell>
        </row>
        <row r="1581">
          <cell r="A1581">
            <v>0</v>
          </cell>
          <cell r="B1581">
            <v>0</v>
          </cell>
          <cell r="C1581">
            <v>0</v>
          </cell>
          <cell r="D1581">
            <v>0</v>
          </cell>
        </row>
        <row r="1582">
          <cell r="A1582">
            <v>0</v>
          </cell>
          <cell r="B1582">
            <v>0</v>
          </cell>
          <cell r="C1582">
            <v>0</v>
          </cell>
          <cell r="D1582">
            <v>0</v>
          </cell>
        </row>
        <row r="1583">
          <cell r="A1583">
            <v>0</v>
          </cell>
          <cell r="B1583">
            <v>0</v>
          </cell>
          <cell r="C1583">
            <v>0</v>
          </cell>
          <cell r="D1583">
            <v>0</v>
          </cell>
        </row>
        <row r="1584">
          <cell r="A1584">
            <v>0</v>
          </cell>
          <cell r="B1584">
            <v>0</v>
          </cell>
          <cell r="C1584">
            <v>0</v>
          </cell>
          <cell r="D1584">
            <v>0</v>
          </cell>
        </row>
        <row r="1585">
          <cell r="A1585">
            <v>0</v>
          </cell>
          <cell r="B1585">
            <v>0</v>
          </cell>
          <cell r="C1585">
            <v>0</v>
          </cell>
          <cell r="D1585">
            <v>0</v>
          </cell>
        </row>
        <row r="1586">
          <cell r="A1586">
            <v>0</v>
          </cell>
          <cell r="B1586">
            <v>0</v>
          </cell>
          <cell r="C1586">
            <v>0</v>
          </cell>
          <cell r="D1586">
            <v>0</v>
          </cell>
        </row>
        <row r="1587">
          <cell r="A1587">
            <v>0</v>
          </cell>
          <cell r="B1587">
            <v>0</v>
          </cell>
          <cell r="C1587">
            <v>0</v>
          </cell>
          <cell r="D1587">
            <v>0</v>
          </cell>
        </row>
        <row r="1588">
          <cell r="A1588">
            <v>0</v>
          </cell>
          <cell r="B1588">
            <v>0</v>
          </cell>
          <cell r="C1588">
            <v>0</v>
          </cell>
          <cell r="D1588">
            <v>0</v>
          </cell>
        </row>
        <row r="1589">
          <cell r="A1589">
            <v>0</v>
          </cell>
          <cell r="B1589">
            <v>0</v>
          </cell>
          <cell r="C1589">
            <v>0</v>
          </cell>
          <cell r="D1589">
            <v>0</v>
          </cell>
        </row>
        <row r="1590">
          <cell r="A1590">
            <v>0</v>
          </cell>
          <cell r="B1590">
            <v>0</v>
          </cell>
          <cell r="C1590">
            <v>0</v>
          </cell>
          <cell r="D1590">
            <v>0</v>
          </cell>
        </row>
        <row r="1591">
          <cell r="A1591">
            <v>0</v>
          </cell>
          <cell r="B1591">
            <v>0</v>
          </cell>
          <cell r="C1591">
            <v>0</v>
          </cell>
          <cell r="D1591">
            <v>0</v>
          </cell>
        </row>
        <row r="1592">
          <cell r="A1592">
            <v>0</v>
          </cell>
          <cell r="B1592">
            <v>0</v>
          </cell>
          <cell r="C1592">
            <v>0</v>
          </cell>
          <cell r="D1592">
            <v>0</v>
          </cell>
        </row>
        <row r="1593">
          <cell r="A1593">
            <v>0</v>
          </cell>
          <cell r="B1593">
            <v>0</v>
          </cell>
          <cell r="C1593">
            <v>0</v>
          </cell>
          <cell r="D1593">
            <v>0</v>
          </cell>
        </row>
        <row r="1594">
          <cell r="A1594">
            <v>0</v>
          </cell>
          <cell r="B1594">
            <v>0</v>
          </cell>
          <cell r="C1594">
            <v>0</v>
          </cell>
          <cell r="D1594">
            <v>0</v>
          </cell>
        </row>
        <row r="1595">
          <cell r="A1595">
            <v>0</v>
          </cell>
          <cell r="B1595">
            <v>0</v>
          </cell>
          <cell r="C1595">
            <v>0</v>
          </cell>
          <cell r="D1595">
            <v>0</v>
          </cell>
        </row>
        <row r="1596">
          <cell r="A1596">
            <v>0</v>
          </cell>
          <cell r="B1596">
            <v>0</v>
          </cell>
          <cell r="C1596">
            <v>0</v>
          </cell>
          <cell r="D1596">
            <v>0</v>
          </cell>
        </row>
        <row r="1597">
          <cell r="A1597">
            <v>0</v>
          </cell>
          <cell r="B1597">
            <v>0</v>
          </cell>
          <cell r="C1597">
            <v>0</v>
          </cell>
          <cell r="D1597">
            <v>0</v>
          </cell>
        </row>
        <row r="1598">
          <cell r="A1598">
            <v>0</v>
          </cell>
          <cell r="B1598">
            <v>0</v>
          </cell>
          <cell r="C1598">
            <v>0</v>
          </cell>
          <cell r="D1598">
            <v>0</v>
          </cell>
        </row>
        <row r="1599">
          <cell r="A1599">
            <v>0</v>
          </cell>
          <cell r="B1599">
            <v>0</v>
          </cell>
          <cell r="C1599">
            <v>0</v>
          </cell>
          <cell r="D1599">
            <v>0</v>
          </cell>
        </row>
        <row r="1600">
          <cell r="A1600">
            <v>0</v>
          </cell>
          <cell r="B1600">
            <v>0</v>
          </cell>
          <cell r="C1600">
            <v>0</v>
          </cell>
          <cell r="D1600">
            <v>0</v>
          </cell>
        </row>
        <row r="1601">
          <cell r="A1601">
            <v>0</v>
          </cell>
          <cell r="B1601">
            <v>0</v>
          </cell>
          <cell r="C1601">
            <v>0</v>
          </cell>
          <cell r="D1601">
            <v>0</v>
          </cell>
        </row>
        <row r="1602">
          <cell r="A1602">
            <v>0</v>
          </cell>
          <cell r="B1602">
            <v>0</v>
          </cell>
          <cell r="C1602">
            <v>0</v>
          </cell>
          <cell r="D1602">
            <v>0</v>
          </cell>
        </row>
        <row r="1603">
          <cell r="A1603">
            <v>0</v>
          </cell>
          <cell r="B1603">
            <v>0</v>
          </cell>
          <cell r="C1603">
            <v>0</v>
          </cell>
          <cell r="D1603">
            <v>0</v>
          </cell>
        </row>
        <row r="1604">
          <cell r="A1604">
            <v>0</v>
          </cell>
          <cell r="B1604">
            <v>0</v>
          </cell>
          <cell r="C1604">
            <v>0</v>
          </cell>
          <cell r="D1604">
            <v>0</v>
          </cell>
        </row>
        <row r="1605">
          <cell r="A1605">
            <v>0</v>
          </cell>
          <cell r="B1605">
            <v>0</v>
          </cell>
          <cell r="C1605">
            <v>0</v>
          </cell>
          <cell r="D1605">
            <v>0</v>
          </cell>
        </row>
        <row r="1606">
          <cell r="A1606">
            <v>0</v>
          </cell>
          <cell r="B1606">
            <v>0</v>
          </cell>
          <cell r="C1606">
            <v>0</v>
          </cell>
          <cell r="D1606">
            <v>0</v>
          </cell>
        </row>
        <row r="1607">
          <cell r="A1607">
            <v>0</v>
          </cell>
          <cell r="B1607">
            <v>0</v>
          </cell>
          <cell r="C1607">
            <v>0</v>
          </cell>
          <cell r="D1607">
            <v>0</v>
          </cell>
        </row>
        <row r="1608">
          <cell r="A1608">
            <v>0</v>
          </cell>
          <cell r="B1608">
            <v>0</v>
          </cell>
          <cell r="C1608">
            <v>0</v>
          </cell>
          <cell r="D1608">
            <v>0</v>
          </cell>
        </row>
        <row r="1609">
          <cell r="A1609">
            <v>0</v>
          </cell>
          <cell r="B1609">
            <v>0</v>
          </cell>
          <cell r="C1609">
            <v>0</v>
          </cell>
          <cell r="D1609">
            <v>0</v>
          </cell>
        </row>
        <row r="1610">
          <cell r="A1610">
            <v>0</v>
          </cell>
          <cell r="B1610">
            <v>0</v>
          </cell>
          <cell r="C1610">
            <v>0</v>
          </cell>
          <cell r="D1610">
            <v>0</v>
          </cell>
        </row>
        <row r="1611">
          <cell r="A1611">
            <v>0</v>
          </cell>
          <cell r="B1611">
            <v>0</v>
          </cell>
          <cell r="C1611">
            <v>0</v>
          </cell>
          <cell r="D1611">
            <v>0</v>
          </cell>
        </row>
        <row r="1612">
          <cell r="A1612">
            <v>0</v>
          </cell>
          <cell r="B1612">
            <v>0</v>
          </cell>
          <cell r="C1612">
            <v>0</v>
          </cell>
          <cell r="D1612">
            <v>0</v>
          </cell>
        </row>
        <row r="1613">
          <cell r="A1613">
            <v>0</v>
          </cell>
          <cell r="B1613">
            <v>0</v>
          </cell>
          <cell r="C1613">
            <v>0</v>
          </cell>
          <cell r="D1613">
            <v>0</v>
          </cell>
        </row>
        <row r="1614">
          <cell r="A1614">
            <v>0</v>
          </cell>
          <cell r="B1614">
            <v>0</v>
          </cell>
          <cell r="C1614">
            <v>0</v>
          </cell>
          <cell r="D1614">
            <v>0</v>
          </cell>
        </row>
        <row r="1615">
          <cell r="A1615">
            <v>0</v>
          </cell>
          <cell r="B1615">
            <v>0</v>
          </cell>
          <cell r="C1615">
            <v>0</v>
          </cell>
          <cell r="D1615">
            <v>0</v>
          </cell>
        </row>
        <row r="1616">
          <cell r="A1616">
            <v>0</v>
          </cell>
          <cell r="B1616">
            <v>0</v>
          </cell>
          <cell r="C1616">
            <v>0</v>
          </cell>
          <cell r="D1616">
            <v>0</v>
          </cell>
        </row>
        <row r="1617">
          <cell r="A1617">
            <v>0</v>
          </cell>
          <cell r="B1617">
            <v>0</v>
          </cell>
          <cell r="C1617">
            <v>0</v>
          </cell>
          <cell r="D1617">
            <v>0</v>
          </cell>
        </row>
        <row r="1618">
          <cell r="A1618">
            <v>0</v>
          </cell>
          <cell r="B1618">
            <v>0</v>
          </cell>
          <cell r="C1618">
            <v>0</v>
          </cell>
          <cell r="D1618">
            <v>0</v>
          </cell>
        </row>
        <row r="1619">
          <cell r="A1619">
            <v>0</v>
          </cell>
          <cell r="B1619">
            <v>0</v>
          </cell>
          <cell r="C1619">
            <v>0</v>
          </cell>
          <cell r="D1619">
            <v>0</v>
          </cell>
        </row>
        <row r="1620">
          <cell r="A1620">
            <v>0</v>
          </cell>
          <cell r="B1620">
            <v>0</v>
          </cell>
          <cell r="C1620">
            <v>0</v>
          </cell>
          <cell r="D1620">
            <v>0</v>
          </cell>
        </row>
        <row r="1621">
          <cell r="A1621">
            <v>0</v>
          </cell>
          <cell r="B1621">
            <v>0</v>
          </cell>
          <cell r="C1621">
            <v>0</v>
          </cell>
          <cell r="D1621">
            <v>0</v>
          </cell>
        </row>
        <row r="1622">
          <cell r="A1622">
            <v>0</v>
          </cell>
          <cell r="B1622">
            <v>0</v>
          </cell>
          <cell r="C1622">
            <v>0</v>
          </cell>
          <cell r="D1622">
            <v>0</v>
          </cell>
        </row>
        <row r="1623">
          <cell r="A1623">
            <v>0</v>
          </cell>
          <cell r="B1623">
            <v>0</v>
          </cell>
          <cell r="C1623">
            <v>0</v>
          </cell>
          <cell r="D1623">
            <v>0</v>
          </cell>
        </row>
        <row r="1624">
          <cell r="A1624">
            <v>0</v>
          </cell>
          <cell r="B1624">
            <v>0</v>
          </cell>
          <cell r="C1624">
            <v>0</v>
          </cell>
          <cell r="D1624">
            <v>0</v>
          </cell>
        </row>
        <row r="1625">
          <cell r="A1625">
            <v>0</v>
          </cell>
          <cell r="B1625">
            <v>0</v>
          </cell>
          <cell r="C1625">
            <v>0</v>
          </cell>
          <cell r="D1625">
            <v>0</v>
          </cell>
        </row>
        <row r="1626">
          <cell r="A1626">
            <v>0</v>
          </cell>
          <cell r="B1626">
            <v>0</v>
          </cell>
          <cell r="C1626">
            <v>0</v>
          </cell>
          <cell r="D1626">
            <v>0</v>
          </cell>
        </row>
        <row r="1627">
          <cell r="A1627">
            <v>0</v>
          </cell>
          <cell r="B1627">
            <v>0</v>
          </cell>
          <cell r="C1627">
            <v>0</v>
          </cell>
          <cell r="D1627">
            <v>0</v>
          </cell>
        </row>
        <row r="1628">
          <cell r="A1628">
            <v>0</v>
          </cell>
          <cell r="B1628">
            <v>0</v>
          </cell>
          <cell r="C1628">
            <v>0</v>
          </cell>
          <cell r="D1628">
            <v>0</v>
          </cell>
        </row>
        <row r="1629">
          <cell r="A1629">
            <v>0</v>
          </cell>
          <cell r="B1629">
            <v>0</v>
          </cell>
          <cell r="C1629">
            <v>0</v>
          </cell>
          <cell r="D1629">
            <v>0</v>
          </cell>
        </row>
        <row r="1630">
          <cell r="A1630">
            <v>0</v>
          </cell>
          <cell r="B1630">
            <v>0</v>
          </cell>
          <cell r="C1630">
            <v>0</v>
          </cell>
          <cell r="D1630">
            <v>0</v>
          </cell>
        </row>
        <row r="1631">
          <cell r="A1631">
            <v>0</v>
          </cell>
          <cell r="B1631">
            <v>0</v>
          </cell>
          <cell r="C1631">
            <v>0</v>
          </cell>
          <cell r="D1631">
            <v>0</v>
          </cell>
        </row>
        <row r="1632">
          <cell r="A1632">
            <v>0</v>
          </cell>
          <cell r="B1632">
            <v>0</v>
          </cell>
          <cell r="C1632">
            <v>0</v>
          </cell>
          <cell r="D1632">
            <v>0</v>
          </cell>
        </row>
        <row r="1633">
          <cell r="A1633">
            <v>0</v>
          </cell>
          <cell r="B1633">
            <v>0</v>
          </cell>
          <cell r="C1633">
            <v>0</v>
          </cell>
          <cell r="D1633">
            <v>0</v>
          </cell>
        </row>
        <row r="1634">
          <cell r="A1634">
            <v>0</v>
          </cell>
          <cell r="B1634">
            <v>0</v>
          </cell>
          <cell r="C1634">
            <v>0</v>
          </cell>
          <cell r="D1634">
            <v>0</v>
          </cell>
        </row>
        <row r="1635">
          <cell r="A1635">
            <v>0</v>
          </cell>
          <cell r="B1635">
            <v>0</v>
          </cell>
          <cell r="C1635">
            <v>0</v>
          </cell>
          <cell r="D1635">
            <v>0</v>
          </cell>
        </row>
        <row r="1636">
          <cell r="A1636">
            <v>0</v>
          </cell>
          <cell r="B1636">
            <v>0</v>
          </cell>
          <cell r="C1636">
            <v>0</v>
          </cell>
          <cell r="D1636">
            <v>0</v>
          </cell>
        </row>
        <row r="1637">
          <cell r="A1637">
            <v>0</v>
          </cell>
          <cell r="B1637">
            <v>0</v>
          </cell>
          <cell r="C1637">
            <v>0</v>
          </cell>
          <cell r="D1637">
            <v>0</v>
          </cell>
        </row>
        <row r="1638">
          <cell r="A1638">
            <v>0</v>
          </cell>
          <cell r="B1638">
            <v>0</v>
          </cell>
          <cell r="C1638">
            <v>0</v>
          </cell>
          <cell r="D1638">
            <v>0</v>
          </cell>
        </row>
        <row r="1639">
          <cell r="A1639">
            <v>0</v>
          </cell>
          <cell r="B1639">
            <v>0</v>
          </cell>
          <cell r="C1639">
            <v>0</v>
          </cell>
          <cell r="D1639">
            <v>0</v>
          </cell>
        </row>
        <row r="1640">
          <cell r="A1640">
            <v>0</v>
          </cell>
          <cell r="B1640">
            <v>0</v>
          </cell>
          <cell r="C1640">
            <v>0</v>
          </cell>
          <cell r="D1640">
            <v>0</v>
          </cell>
        </row>
        <row r="1641">
          <cell r="A1641">
            <v>0</v>
          </cell>
          <cell r="B1641">
            <v>0</v>
          </cell>
          <cell r="C1641">
            <v>0</v>
          </cell>
          <cell r="D1641">
            <v>0</v>
          </cell>
        </row>
        <row r="1642">
          <cell r="A1642">
            <v>0</v>
          </cell>
          <cell r="B1642">
            <v>0</v>
          </cell>
          <cell r="C1642">
            <v>0</v>
          </cell>
          <cell r="D1642">
            <v>0</v>
          </cell>
        </row>
        <row r="1643">
          <cell r="A1643">
            <v>0</v>
          </cell>
          <cell r="B1643">
            <v>0</v>
          </cell>
          <cell r="C1643">
            <v>0</v>
          </cell>
          <cell r="D1643">
            <v>0</v>
          </cell>
        </row>
        <row r="1644">
          <cell r="A1644">
            <v>0</v>
          </cell>
          <cell r="B1644">
            <v>0</v>
          </cell>
          <cell r="C1644">
            <v>0</v>
          </cell>
          <cell r="D1644">
            <v>0</v>
          </cell>
        </row>
        <row r="1645">
          <cell r="A1645">
            <v>0</v>
          </cell>
          <cell r="B1645">
            <v>0</v>
          </cell>
          <cell r="C1645">
            <v>0</v>
          </cell>
          <cell r="D1645">
            <v>0</v>
          </cell>
        </row>
        <row r="1646">
          <cell r="A1646">
            <v>0</v>
          </cell>
          <cell r="B1646">
            <v>0</v>
          </cell>
          <cell r="C1646">
            <v>0</v>
          </cell>
          <cell r="D1646">
            <v>0</v>
          </cell>
        </row>
        <row r="1647">
          <cell r="A1647">
            <v>0</v>
          </cell>
          <cell r="B1647">
            <v>0</v>
          </cell>
          <cell r="C1647">
            <v>0</v>
          </cell>
          <cell r="D1647">
            <v>0</v>
          </cell>
        </row>
        <row r="1648">
          <cell r="A1648">
            <v>0</v>
          </cell>
          <cell r="B1648">
            <v>0</v>
          </cell>
          <cell r="C1648">
            <v>0</v>
          </cell>
          <cell r="D1648">
            <v>0</v>
          </cell>
        </row>
        <row r="1649">
          <cell r="A1649">
            <v>0</v>
          </cell>
          <cell r="B1649">
            <v>0</v>
          </cell>
          <cell r="C1649">
            <v>0</v>
          </cell>
          <cell r="D1649">
            <v>0</v>
          </cell>
        </row>
        <row r="1650">
          <cell r="A1650">
            <v>0</v>
          </cell>
          <cell r="B1650">
            <v>0</v>
          </cell>
          <cell r="C1650">
            <v>0</v>
          </cell>
          <cell r="D1650">
            <v>0</v>
          </cell>
        </row>
        <row r="1651">
          <cell r="A1651">
            <v>0</v>
          </cell>
          <cell r="B1651">
            <v>0</v>
          </cell>
          <cell r="C1651">
            <v>0</v>
          </cell>
          <cell r="D1651">
            <v>0</v>
          </cell>
        </row>
        <row r="1652">
          <cell r="A1652">
            <v>0</v>
          </cell>
          <cell r="B1652">
            <v>0</v>
          </cell>
          <cell r="C1652">
            <v>0</v>
          </cell>
          <cell r="D1652">
            <v>0</v>
          </cell>
        </row>
        <row r="1653">
          <cell r="A1653">
            <v>0</v>
          </cell>
          <cell r="B1653">
            <v>0</v>
          </cell>
          <cell r="C1653">
            <v>0</v>
          </cell>
          <cell r="D1653">
            <v>0</v>
          </cell>
        </row>
        <row r="1654">
          <cell r="A1654">
            <v>0</v>
          </cell>
          <cell r="B1654">
            <v>0</v>
          </cell>
          <cell r="C1654">
            <v>0</v>
          </cell>
          <cell r="D1654">
            <v>0</v>
          </cell>
        </row>
        <row r="1655">
          <cell r="A1655">
            <v>0</v>
          </cell>
          <cell r="B1655">
            <v>0</v>
          </cell>
          <cell r="C1655">
            <v>0</v>
          </cell>
          <cell r="D1655">
            <v>0</v>
          </cell>
        </row>
        <row r="1656">
          <cell r="A1656">
            <v>0</v>
          </cell>
          <cell r="B1656">
            <v>0</v>
          </cell>
          <cell r="C1656">
            <v>0</v>
          </cell>
          <cell r="D1656">
            <v>0</v>
          </cell>
        </row>
        <row r="1657">
          <cell r="A1657">
            <v>0</v>
          </cell>
          <cell r="B1657">
            <v>0</v>
          </cell>
          <cell r="C1657">
            <v>0</v>
          </cell>
          <cell r="D1657">
            <v>0</v>
          </cell>
        </row>
        <row r="1658">
          <cell r="A1658">
            <v>0</v>
          </cell>
          <cell r="B1658">
            <v>0</v>
          </cell>
          <cell r="C1658">
            <v>0</v>
          </cell>
          <cell r="D1658">
            <v>0</v>
          </cell>
        </row>
        <row r="1659">
          <cell r="A1659">
            <v>0</v>
          </cell>
          <cell r="B1659">
            <v>0</v>
          </cell>
          <cell r="C1659">
            <v>0</v>
          </cell>
          <cell r="D1659">
            <v>0</v>
          </cell>
        </row>
        <row r="1660">
          <cell r="A1660">
            <v>0</v>
          </cell>
          <cell r="B1660">
            <v>0</v>
          </cell>
          <cell r="C1660">
            <v>0</v>
          </cell>
          <cell r="D1660">
            <v>0</v>
          </cell>
        </row>
        <row r="1661">
          <cell r="A1661">
            <v>0</v>
          </cell>
          <cell r="B1661">
            <v>0</v>
          </cell>
          <cell r="C1661">
            <v>0</v>
          </cell>
          <cell r="D1661">
            <v>0</v>
          </cell>
        </row>
        <row r="1662">
          <cell r="A1662">
            <v>0</v>
          </cell>
          <cell r="B1662">
            <v>0</v>
          </cell>
          <cell r="C1662">
            <v>0</v>
          </cell>
          <cell r="D1662">
            <v>0</v>
          </cell>
        </row>
        <row r="1663">
          <cell r="A1663">
            <v>0</v>
          </cell>
          <cell r="B1663">
            <v>0</v>
          </cell>
          <cell r="C1663">
            <v>0</v>
          </cell>
          <cell r="D1663">
            <v>0</v>
          </cell>
        </row>
        <row r="1664">
          <cell r="A1664">
            <v>0</v>
          </cell>
          <cell r="B1664">
            <v>0</v>
          </cell>
          <cell r="C1664">
            <v>0</v>
          </cell>
          <cell r="D1664">
            <v>0</v>
          </cell>
        </row>
        <row r="1665">
          <cell r="A1665">
            <v>0</v>
          </cell>
          <cell r="B1665">
            <v>0</v>
          </cell>
          <cell r="C1665">
            <v>0</v>
          </cell>
          <cell r="D1665">
            <v>0</v>
          </cell>
        </row>
        <row r="1666">
          <cell r="A1666">
            <v>0</v>
          </cell>
          <cell r="B1666">
            <v>0</v>
          </cell>
          <cell r="C1666">
            <v>0</v>
          </cell>
          <cell r="D1666">
            <v>0</v>
          </cell>
        </row>
        <row r="1667">
          <cell r="A1667">
            <v>0</v>
          </cell>
          <cell r="B1667">
            <v>0</v>
          </cell>
          <cell r="C1667">
            <v>0</v>
          </cell>
          <cell r="D1667">
            <v>0</v>
          </cell>
        </row>
        <row r="1668">
          <cell r="A1668">
            <v>0</v>
          </cell>
          <cell r="B1668">
            <v>0</v>
          </cell>
          <cell r="C1668">
            <v>0</v>
          </cell>
          <cell r="D1668">
            <v>0</v>
          </cell>
        </row>
        <row r="1669">
          <cell r="A1669">
            <v>0</v>
          </cell>
          <cell r="B1669">
            <v>0</v>
          </cell>
          <cell r="C1669">
            <v>0</v>
          </cell>
          <cell r="D1669">
            <v>0</v>
          </cell>
        </row>
        <row r="1670">
          <cell r="A1670">
            <v>0</v>
          </cell>
          <cell r="B1670">
            <v>0</v>
          </cell>
          <cell r="C1670">
            <v>0</v>
          </cell>
          <cell r="D1670">
            <v>0</v>
          </cell>
        </row>
        <row r="1671">
          <cell r="A1671">
            <v>0</v>
          </cell>
          <cell r="B1671">
            <v>0</v>
          </cell>
          <cell r="C1671">
            <v>0</v>
          </cell>
          <cell r="D1671">
            <v>0</v>
          </cell>
        </row>
        <row r="1672">
          <cell r="A1672">
            <v>0</v>
          </cell>
          <cell r="B1672">
            <v>0</v>
          </cell>
          <cell r="C1672">
            <v>0</v>
          </cell>
          <cell r="D1672">
            <v>0</v>
          </cell>
        </row>
        <row r="1673">
          <cell r="A1673">
            <v>0</v>
          </cell>
          <cell r="B1673">
            <v>0</v>
          </cell>
          <cell r="C1673">
            <v>0</v>
          </cell>
          <cell r="D1673">
            <v>0</v>
          </cell>
        </row>
        <row r="1674">
          <cell r="A1674">
            <v>0</v>
          </cell>
          <cell r="B1674">
            <v>0</v>
          </cell>
          <cell r="C1674">
            <v>0</v>
          </cell>
          <cell r="D1674">
            <v>0</v>
          </cell>
        </row>
        <row r="1675">
          <cell r="A1675">
            <v>0</v>
          </cell>
          <cell r="B1675">
            <v>0</v>
          </cell>
          <cell r="C1675">
            <v>0</v>
          </cell>
          <cell r="D1675">
            <v>0</v>
          </cell>
        </row>
        <row r="1676">
          <cell r="A1676">
            <v>0</v>
          </cell>
          <cell r="B1676">
            <v>0</v>
          </cell>
          <cell r="C1676">
            <v>0</v>
          </cell>
          <cell r="D1676">
            <v>0</v>
          </cell>
        </row>
        <row r="1677">
          <cell r="A1677">
            <v>0</v>
          </cell>
          <cell r="B1677">
            <v>0</v>
          </cell>
          <cell r="C1677">
            <v>0</v>
          </cell>
          <cell r="D1677">
            <v>0</v>
          </cell>
        </row>
        <row r="1678">
          <cell r="A1678">
            <v>0</v>
          </cell>
          <cell r="B1678">
            <v>0</v>
          </cell>
          <cell r="C1678">
            <v>0</v>
          </cell>
          <cell r="D1678">
            <v>0</v>
          </cell>
        </row>
        <row r="1679">
          <cell r="A1679">
            <v>0</v>
          </cell>
          <cell r="B1679">
            <v>0</v>
          </cell>
          <cell r="C1679">
            <v>0</v>
          </cell>
          <cell r="D1679">
            <v>0</v>
          </cell>
        </row>
        <row r="1680">
          <cell r="A1680">
            <v>0</v>
          </cell>
          <cell r="B1680">
            <v>0</v>
          </cell>
          <cell r="C1680">
            <v>0</v>
          </cell>
          <cell r="D1680">
            <v>0</v>
          </cell>
        </row>
        <row r="1681">
          <cell r="A1681">
            <v>0</v>
          </cell>
          <cell r="B1681">
            <v>0</v>
          </cell>
          <cell r="C1681">
            <v>0</v>
          </cell>
          <cell r="D1681">
            <v>0</v>
          </cell>
        </row>
        <row r="1682">
          <cell r="A1682">
            <v>0</v>
          </cell>
          <cell r="B1682">
            <v>0</v>
          </cell>
          <cell r="C1682">
            <v>0</v>
          </cell>
          <cell r="D1682">
            <v>0</v>
          </cell>
        </row>
        <row r="1683">
          <cell r="A1683">
            <v>0</v>
          </cell>
          <cell r="B1683">
            <v>0</v>
          </cell>
          <cell r="C1683">
            <v>0</v>
          </cell>
          <cell r="D1683">
            <v>0</v>
          </cell>
        </row>
        <row r="1684">
          <cell r="A1684">
            <v>0</v>
          </cell>
          <cell r="B1684">
            <v>0</v>
          </cell>
          <cell r="C1684">
            <v>0</v>
          </cell>
          <cell r="D1684">
            <v>0</v>
          </cell>
        </row>
        <row r="1685">
          <cell r="A1685">
            <v>0</v>
          </cell>
          <cell r="B1685">
            <v>0</v>
          </cell>
          <cell r="C1685">
            <v>0</v>
          </cell>
          <cell r="D1685">
            <v>0</v>
          </cell>
        </row>
        <row r="1686">
          <cell r="A1686">
            <v>0</v>
          </cell>
          <cell r="B1686">
            <v>0</v>
          </cell>
          <cell r="C1686">
            <v>0</v>
          </cell>
          <cell r="D1686">
            <v>0</v>
          </cell>
        </row>
        <row r="1687">
          <cell r="A1687">
            <v>0</v>
          </cell>
          <cell r="B1687">
            <v>0</v>
          </cell>
          <cell r="C1687">
            <v>0</v>
          </cell>
          <cell r="D1687">
            <v>0</v>
          </cell>
        </row>
        <row r="1688">
          <cell r="A1688">
            <v>0</v>
          </cell>
          <cell r="B1688">
            <v>0</v>
          </cell>
          <cell r="C1688">
            <v>0</v>
          </cell>
          <cell r="D1688">
            <v>0</v>
          </cell>
        </row>
        <row r="1689">
          <cell r="A1689">
            <v>0</v>
          </cell>
          <cell r="B1689">
            <v>0</v>
          </cell>
          <cell r="C1689">
            <v>0</v>
          </cell>
          <cell r="D1689">
            <v>0</v>
          </cell>
        </row>
        <row r="1690">
          <cell r="A1690">
            <v>0</v>
          </cell>
          <cell r="B1690">
            <v>0</v>
          </cell>
          <cell r="C1690">
            <v>0</v>
          </cell>
          <cell r="D1690">
            <v>0</v>
          </cell>
        </row>
        <row r="1691">
          <cell r="A1691">
            <v>0</v>
          </cell>
          <cell r="B1691">
            <v>0</v>
          </cell>
          <cell r="C1691">
            <v>0</v>
          </cell>
          <cell r="D1691">
            <v>0</v>
          </cell>
        </row>
        <row r="1692">
          <cell r="A1692">
            <v>0</v>
          </cell>
          <cell r="B1692">
            <v>0</v>
          </cell>
          <cell r="C1692">
            <v>0</v>
          </cell>
          <cell r="D1692">
            <v>0</v>
          </cell>
        </row>
        <row r="1693">
          <cell r="A1693">
            <v>0</v>
          </cell>
          <cell r="B1693">
            <v>0</v>
          </cell>
          <cell r="C1693">
            <v>0</v>
          </cell>
          <cell r="D1693">
            <v>0</v>
          </cell>
        </row>
        <row r="1694">
          <cell r="A1694">
            <v>0</v>
          </cell>
          <cell r="B1694">
            <v>0</v>
          </cell>
          <cell r="C1694">
            <v>0</v>
          </cell>
          <cell r="D1694">
            <v>0</v>
          </cell>
        </row>
        <row r="1695">
          <cell r="A1695">
            <v>0</v>
          </cell>
          <cell r="B1695">
            <v>0</v>
          </cell>
          <cell r="C1695">
            <v>0</v>
          </cell>
          <cell r="D1695">
            <v>0</v>
          </cell>
        </row>
        <row r="1696">
          <cell r="A1696">
            <v>0</v>
          </cell>
          <cell r="B1696">
            <v>0</v>
          </cell>
          <cell r="C1696">
            <v>0</v>
          </cell>
          <cell r="D1696">
            <v>0</v>
          </cell>
        </row>
        <row r="1697">
          <cell r="A1697">
            <v>0</v>
          </cell>
          <cell r="B1697">
            <v>0</v>
          </cell>
          <cell r="C1697">
            <v>0</v>
          </cell>
          <cell r="D1697">
            <v>0</v>
          </cell>
        </row>
        <row r="1698">
          <cell r="A1698">
            <v>0</v>
          </cell>
          <cell r="B1698">
            <v>0</v>
          </cell>
          <cell r="C1698">
            <v>0</v>
          </cell>
          <cell r="D1698">
            <v>0</v>
          </cell>
        </row>
        <row r="1699">
          <cell r="A1699">
            <v>0</v>
          </cell>
          <cell r="B1699">
            <v>0</v>
          </cell>
          <cell r="C1699">
            <v>0</v>
          </cell>
          <cell r="D1699">
            <v>0</v>
          </cell>
        </row>
        <row r="1700">
          <cell r="A1700">
            <v>0</v>
          </cell>
          <cell r="B1700">
            <v>0</v>
          </cell>
          <cell r="C1700">
            <v>0</v>
          </cell>
          <cell r="D1700">
            <v>0</v>
          </cell>
        </row>
        <row r="1701">
          <cell r="A1701">
            <v>0</v>
          </cell>
          <cell r="B1701">
            <v>0</v>
          </cell>
          <cell r="C1701">
            <v>0</v>
          </cell>
          <cell r="D1701">
            <v>0</v>
          </cell>
        </row>
        <row r="1702">
          <cell r="A1702">
            <v>0</v>
          </cell>
          <cell r="B1702">
            <v>0</v>
          </cell>
          <cell r="C1702">
            <v>0</v>
          </cell>
          <cell r="D1702">
            <v>0</v>
          </cell>
        </row>
        <row r="1703">
          <cell r="A1703">
            <v>0</v>
          </cell>
          <cell r="B1703">
            <v>0</v>
          </cell>
          <cell r="C1703">
            <v>0</v>
          </cell>
          <cell r="D1703">
            <v>0</v>
          </cell>
        </row>
        <row r="1704">
          <cell r="A1704">
            <v>0</v>
          </cell>
          <cell r="B1704">
            <v>0</v>
          </cell>
          <cell r="C1704">
            <v>0</v>
          </cell>
          <cell r="D1704">
            <v>0</v>
          </cell>
        </row>
        <row r="1705">
          <cell r="A1705">
            <v>0</v>
          </cell>
          <cell r="B1705">
            <v>0</v>
          </cell>
          <cell r="C1705">
            <v>0</v>
          </cell>
          <cell r="D1705">
            <v>0</v>
          </cell>
        </row>
        <row r="1706">
          <cell r="A1706">
            <v>0</v>
          </cell>
          <cell r="B1706">
            <v>0</v>
          </cell>
          <cell r="C1706">
            <v>0</v>
          </cell>
          <cell r="D1706">
            <v>0</v>
          </cell>
        </row>
        <row r="1707">
          <cell r="A1707">
            <v>0</v>
          </cell>
          <cell r="B1707">
            <v>0</v>
          </cell>
          <cell r="C1707">
            <v>0</v>
          </cell>
          <cell r="D1707">
            <v>0</v>
          </cell>
        </row>
        <row r="1708">
          <cell r="A1708">
            <v>0</v>
          </cell>
          <cell r="B1708">
            <v>0</v>
          </cell>
          <cell r="C1708">
            <v>0</v>
          </cell>
          <cell r="D1708">
            <v>0</v>
          </cell>
        </row>
        <row r="1709">
          <cell r="A1709">
            <v>0</v>
          </cell>
          <cell r="B1709">
            <v>0</v>
          </cell>
          <cell r="C1709">
            <v>0</v>
          </cell>
          <cell r="D1709">
            <v>0</v>
          </cell>
        </row>
        <row r="1710">
          <cell r="A1710">
            <v>0</v>
          </cell>
          <cell r="B1710">
            <v>0</v>
          </cell>
          <cell r="C1710">
            <v>0</v>
          </cell>
          <cell r="D1710">
            <v>0</v>
          </cell>
        </row>
        <row r="1711">
          <cell r="A1711">
            <v>0</v>
          </cell>
          <cell r="B1711">
            <v>0</v>
          </cell>
          <cell r="C1711">
            <v>0</v>
          </cell>
          <cell r="D1711">
            <v>0</v>
          </cell>
        </row>
        <row r="1712">
          <cell r="A1712">
            <v>0</v>
          </cell>
          <cell r="B1712">
            <v>0</v>
          </cell>
          <cell r="C1712">
            <v>0</v>
          </cell>
          <cell r="D1712">
            <v>0</v>
          </cell>
        </row>
        <row r="1713">
          <cell r="A1713">
            <v>0</v>
          </cell>
          <cell r="B1713">
            <v>0</v>
          </cell>
          <cell r="C1713">
            <v>0</v>
          </cell>
          <cell r="D1713">
            <v>0</v>
          </cell>
        </row>
        <row r="1714">
          <cell r="A1714">
            <v>0</v>
          </cell>
          <cell r="B1714">
            <v>0</v>
          </cell>
          <cell r="C1714">
            <v>0</v>
          </cell>
          <cell r="D1714">
            <v>0</v>
          </cell>
        </row>
        <row r="1715">
          <cell r="A1715">
            <v>0</v>
          </cell>
          <cell r="B1715">
            <v>0</v>
          </cell>
          <cell r="C1715">
            <v>0</v>
          </cell>
          <cell r="D1715">
            <v>0</v>
          </cell>
        </row>
        <row r="1716">
          <cell r="A1716">
            <v>0</v>
          </cell>
          <cell r="B1716">
            <v>0</v>
          </cell>
          <cell r="C1716">
            <v>0</v>
          </cell>
          <cell r="D1716">
            <v>0</v>
          </cell>
        </row>
        <row r="1717">
          <cell r="A1717">
            <v>0</v>
          </cell>
          <cell r="B1717">
            <v>0</v>
          </cell>
          <cell r="C1717">
            <v>0</v>
          </cell>
          <cell r="D1717">
            <v>0</v>
          </cell>
        </row>
        <row r="1718">
          <cell r="A1718">
            <v>0</v>
          </cell>
          <cell r="B1718">
            <v>0</v>
          </cell>
          <cell r="C1718">
            <v>0</v>
          </cell>
          <cell r="D1718">
            <v>0</v>
          </cell>
        </row>
        <row r="1719">
          <cell r="A1719">
            <v>0</v>
          </cell>
          <cell r="B1719">
            <v>0</v>
          </cell>
          <cell r="C1719">
            <v>0</v>
          </cell>
          <cell r="D1719">
            <v>0</v>
          </cell>
        </row>
        <row r="1720">
          <cell r="A1720">
            <v>0</v>
          </cell>
          <cell r="B1720">
            <v>0</v>
          </cell>
          <cell r="C1720">
            <v>0</v>
          </cell>
          <cell r="D1720">
            <v>0</v>
          </cell>
        </row>
        <row r="1721">
          <cell r="A1721">
            <v>0</v>
          </cell>
          <cell r="B1721">
            <v>0</v>
          </cell>
          <cell r="C1721">
            <v>0</v>
          </cell>
          <cell r="D1721">
            <v>0</v>
          </cell>
        </row>
        <row r="1722">
          <cell r="A1722">
            <v>0</v>
          </cell>
          <cell r="B1722">
            <v>0</v>
          </cell>
          <cell r="C1722">
            <v>0</v>
          </cell>
          <cell r="D1722">
            <v>0</v>
          </cell>
        </row>
        <row r="1723">
          <cell r="A1723">
            <v>0</v>
          </cell>
          <cell r="B1723">
            <v>0</v>
          </cell>
          <cell r="C1723">
            <v>0</v>
          </cell>
          <cell r="D1723">
            <v>0</v>
          </cell>
        </row>
        <row r="1724">
          <cell r="A1724">
            <v>0</v>
          </cell>
          <cell r="B1724">
            <v>0</v>
          </cell>
          <cell r="C1724">
            <v>0</v>
          </cell>
          <cell r="D1724">
            <v>0</v>
          </cell>
        </row>
        <row r="1725">
          <cell r="A1725">
            <v>0</v>
          </cell>
          <cell r="B1725">
            <v>0</v>
          </cell>
          <cell r="C1725">
            <v>0</v>
          </cell>
          <cell r="D1725">
            <v>0</v>
          </cell>
        </row>
        <row r="1726">
          <cell r="A1726">
            <v>0</v>
          </cell>
          <cell r="B1726">
            <v>0</v>
          </cell>
          <cell r="C1726">
            <v>0</v>
          </cell>
          <cell r="D1726">
            <v>0</v>
          </cell>
        </row>
        <row r="1727">
          <cell r="A1727">
            <v>0</v>
          </cell>
          <cell r="B1727">
            <v>0</v>
          </cell>
          <cell r="C1727">
            <v>0</v>
          </cell>
          <cell r="D1727">
            <v>0</v>
          </cell>
        </row>
        <row r="1728">
          <cell r="A1728">
            <v>0</v>
          </cell>
          <cell r="B1728">
            <v>0</v>
          </cell>
          <cell r="C1728">
            <v>0</v>
          </cell>
          <cell r="D1728">
            <v>0</v>
          </cell>
        </row>
        <row r="1729">
          <cell r="A1729">
            <v>0</v>
          </cell>
          <cell r="B1729">
            <v>0</v>
          </cell>
          <cell r="C1729">
            <v>0</v>
          </cell>
          <cell r="D1729">
            <v>0</v>
          </cell>
        </row>
        <row r="1730">
          <cell r="A1730">
            <v>0</v>
          </cell>
          <cell r="B1730">
            <v>0</v>
          </cell>
          <cell r="C1730">
            <v>0</v>
          </cell>
          <cell r="D1730">
            <v>0</v>
          </cell>
        </row>
        <row r="1731">
          <cell r="A1731">
            <v>0</v>
          </cell>
          <cell r="B1731">
            <v>0</v>
          </cell>
          <cell r="C1731">
            <v>0</v>
          </cell>
          <cell r="D1731">
            <v>0</v>
          </cell>
        </row>
        <row r="1732">
          <cell r="A1732">
            <v>0</v>
          </cell>
          <cell r="B1732">
            <v>0</v>
          </cell>
          <cell r="C1732">
            <v>0</v>
          </cell>
          <cell r="D1732">
            <v>0</v>
          </cell>
        </row>
        <row r="1733">
          <cell r="A1733">
            <v>0</v>
          </cell>
          <cell r="B1733">
            <v>0</v>
          </cell>
          <cell r="C1733">
            <v>0</v>
          </cell>
          <cell r="D1733">
            <v>0</v>
          </cell>
        </row>
        <row r="1734">
          <cell r="A1734">
            <v>0</v>
          </cell>
          <cell r="B1734">
            <v>0</v>
          </cell>
          <cell r="C1734">
            <v>0</v>
          </cell>
          <cell r="D1734">
            <v>0</v>
          </cell>
        </row>
        <row r="1735">
          <cell r="A1735">
            <v>0</v>
          </cell>
          <cell r="B1735">
            <v>0</v>
          </cell>
          <cell r="C1735">
            <v>0</v>
          </cell>
          <cell r="D1735">
            <v>0</v>
          </cell>
        </row>
        <row r="1736">
          <cell r="A1736">
            <v>0</v>
          </cell>
          <cell r="B1736">
            <v>0</v>
          </cell>
          <cell r="C1736">
            <v>0</v>
          </cell>
          <cell r="D1736">
            <v>0</v>
          </cell>
        </row>
        <row r="1737">
          <cell r="A1737">
            <v>0</v>
          </cell>
          <cell r="B1737">
            <v>0</v>
          </cell>
          <cell r="C1737">
            <v>0</v>
          </cell>
          <cell r="D1737">
            <v>0</v>
          </cell>
        </row>
        <row r="1738">
          <cell r="A1738">
            <v>0</v>
          </cell>
          <cell r="B1738">
            <v>0</v>
          </cell>
          <cell r="C1738">
            <v>0</v>
          </cell>
          <cell r="D1738">
            <v>0</v>
          </cell>
        </row>
        <row r="1739">
          <cell r="A1739">
            <v>0</v>
          </cell>
          <cell r="B1739">
            <v>0</v>
          </cell>
          <cell r="C1739">
            <v>0</v>
          </cell>
          <cell r="D1739">
            <v>0</v>
          </cell>
        </row>
        <row r="1740">
          <cell r="A1740">
            <v>0</v>
          </cell>
          <cell r="B1740">
            <v>0</v>
          </cell>
          <cell r="C1740">
            <v>0</v>
          </cell>
          <cell r="D1740">
            <v>0</v>
          </cell>
        </row>
        <row r="1741">
          <cell r="A1741">
            <v>0</v>
          </cell>
          <cell r="B1741">
            <v>0</v>
          </cell>
          <cell r="C1741">
            <v>0</v>
          </cell>
          <cell r="D1741">
            <v>0</v>
          </cell>
        </row>
        <row r="1742">
          <cell r="A1742">
            <v>0</v>
          </cell>
          <cell r="B1742">
            <v>0</v>
          </cell>
          <cell r="C1742">
            <v>0</v>
          </cell>
          <cell r="D1742">
            <v>0</v>
          </cell>
        </row>
        <row r="1743">
          <cell r="A1743">
            <v>0</v>
          </cell>
          <cell r="B1743">
            <v>0</v>
          </cell>
          <cell r="C1743">
            <v>0</v>
          </cell>
          <cell r="D1743">
            <v>0</v>
          </cell>
        </row>
        <row r="1744">
          <cell r="A1744">
            <v>0</v>
          </cell>
          <cell r="B1744">
            <v>0</v>
          </cell>
          <cell r="C1744">
            <v>0</v>
          </cell>
          <cell r="D1744">
            <v>0</v>
          </cell>
        </row>
        <row r="1745">
          <cell r="A1745">
            <v>0</v>
          </cell>
          <cell r="B1745">
            <v>0</v>
          </cell>
          <cell r="C1745">
            <v>0</v>
          </cell>
          <cell r="D1745">
            <v>0</v>
          </cell>
        </row>
        <row r="1746">
          <cell r="A1746">
            <v>0</v>
          </cell>
          <cell r="B1746">
            <v>0</v>
          </cell>
          <cell r="C1746">
            <v>0</v>
          </cell>
          <cell r="D1746">
            <v>0</v>
          </cell>
        </row>
        <row r="1747">
          <cell r="A1747">
            <v>0</v>
          </cell>
          <cell r="B1747">
            <v>0</v>
          </cell>
          <cell r="C1747">
            <v>0</v>
          </cell>
          <cell r="D1747">
            <v>0</v>
          </cell>
        </row>
        <row r="1748">
          <cell r="A1748">
            <v>0</v>
          </cell>
          <cell r="B1748">
            <v>0</v>
          </cell>
          <cell r="C1748">
            <v>0</v>
          </cell>
          <cell r="D1748">
            <v>0</v>
          </cell>
        </row>
        <row r="1749">
          <cell r="A1749">
            <v>0</v>
          </cell>
          <cell r="B1749">
            <v>0</v>
          </cell>
          <cell r="C1749">
            <v>0</v>
          </cell>
          <cell r="D1749">
            <v>0</v>
          </cell>
        </row>
        <row r="1750">
          <cell r="A1750">
            <v>0</v>
          </cell>
          <cell r="B1750">
            <v>0</v>
          </cell>
          <cell r="C1750">
            <v>0</v>
          </cell>
          <cell r="D1750">
            <v>0</v>
          </cell>
        </row>
        <row r="1751">
          <cell r="A1751">
            <v>0</v>
          </cell>
          <cell r="B1751">
            <v>0</v>
          </cell>
          <cell r="C1751">
            <v>0</v>
          </cell>
          <cell r="D1751">
            <v>0</v>
          </cell>
        </row>
        <row r="1752">
          <cell r="A1752">
            <v>0</v>
          </cell>
          <cell r="B1752">
            <v>0</v>
          </cell>
          <cell r="C1752">
            <v>0</v>
          </cell>
          <cell r="D1752">
            <v>0</v>
          </cell>
        </row>
        <row r="1753">
          <cell r="A1753">
            <v>0</v>
          </cell>
          <cell r="B1753">
            <v>0</v>
          </cell>
          <cell r="C1753">
            <v>0</v>
          </cell>
          <cell r="D1753">
            <v>0</v>
          </cell>
        </row>
        <row r="1754">
          <cell r="A1754">
            <v>0</v>
          </cell>
          <cell r="B1754">
            <v>0</v>
          </cell>
          <cell r="C1754">
            <v>0</v>
          </cell>
          <cell r="D1754">
            <v>0</v>
          </cell>
        </row>
        <row r="1755">
          <cell r="A1755">
            <v>0</v>
          </cell>
          <cell r="B1755">
            <v>0</v>
          </cell>
          <cell r="C1755">
            <v>0</v>
          </cell>
          <cell r="D1755">
            <v>0</v>
          </cell>
        </row>
        <row r="1756">
          <cell r="A1756">
            <v>0</v>
          </cell>
          <cell r="B1756">
            <v>0</v>
          </cell>
          <cell r="C1756">
            <v>0</v>
          </cell>
          <cell r="D1756">
            <v>0</v>
          </cell>
        </row>
        <row r="1757">
          <cell r="A1757">
            <v>0</v>
          </cell>
          <cell r="B1757">
            <v>0</v>
          </cell>
          <cell r="C1757">
            <v>0</v>
          </cell>
          <cell r="D1757">
            <v>0</v>
          </cell>
        </row>
        <row r="1758">
          <cell r="A1758">
            <v>0</v>
          </cell>
          <cell r="B1758">
            <v>0</v>
          </cell>
          <cell r="C1758">
            <v>0</v>
          </cell>
          <cell r="D1758">
            <v>0</v>
          </cell>
        </row>
        <row r="1759">
          <cell r="A1759">
            <v>0</v>
          </cell>
          <cell r="B1759">
            <v>0</v>
          </cell>
          <cell r="C1759">
            <v>0</v>
          </cell>
          <cell r="D1759">
            <v>0</v>
          </cell>
        </row>
        <row r="1760">
          <cell r="A1760">
            <v>0</v>
          </cell>
          <cell r="B1760">
            <v>0</v>
          </cell>
          <cell r="C1760">
            <v>0</v>
          </cell>
          <cell r="D1760">
            <v>0</v>
          </cell>
        </row>
        <row r="1761">
          <cell r="A1761">
            <v>0</v>
          </cell>
          <cell r="B1761">
            <v>0</v>
          </cell>
          <cell r="C1761">
            <v>0</v>
          </cell>
          <cell r="D1761">
            <v>0</v>
          </cell>
        </row>
        <row r="1762">
          <cell r="A1762">
            <v>0</v>
          </cell>
          <cell r="B1762">
            <v>0</v>
          </cell>
          <cell r="C1762">
            <v>0</v>
          </cell>
          <cell r="D1762">
            <v>0</v>
          </cell>
        </row>
        <row r="1763">
          <cell r="A1763">
            <v>0</v>
          </cell>
          <cell r="B1763">
            <v>0</v>
          </cell>
          <cell r="C1763">
            <v>0</v>
          </cell>
          <cell r="D1763">
            <v>0</v>
          </cell>
        </row>
        <row r="1764">
          <cell r="A1764">
            <v>0</v>
          </cell>
          <cell r="B1764">
            <v>0</v>
          </cell>
          <cell r="C1764">
            <v>0</v>
          </cell>
          <cell r="D1764">
            <v>0</v>
          </cell>
        </row>
        <row r="1765">
          <cell r="A1765">
            <v>0</v>
          </cell>
          <cell r="B1765">
            <v>0</v>
          </cell>
          <cell r="C1765">
            <v>0</v>
          </cell>
          <cell r="D1765">
            <v>0</v>
          </cell>
        </row>
        <row r="1766">
          <cell r="A1766">
            <v>0</v>
          </cell>
          <cell r="B1766">
            <v>0</v>
          </cell>
          <cell r="C1766">
            <v>0</v>
          </cell>
          <cell r="D1766">
            <v>0</v>
          </cell>
        </row>
        <row r="1767">
          <cell r="A1767">
            <v>0</v>
          </cell>
          <cell r="B1767">
            <v>0</v>
          </cell>
          <cell r="C1767">
            <v>0</v>
          </cell>
          <cell r="D1767">
            <v>0</v>
          </cell>
        </row>
        <row r="1768">
          <cell r="A1768">
            <v>0</v>
          </cell>
          <cell r="B1768">
            <v>0</v>
          </cell>
          <cell r="C1768">
            <v>0</v>
          </cell>
          <cell r="D1768">
            <v>0</v>
          </cell>
        </row>
        <row r="1769">
          <cell r="A1769">
            <v>0</v>
          </cell>
          <cell r="B1769">
            <v>0</v>
          </cell>
          <cell r="C1769">
            <v>0</v>
          </cell>
          <cell r="D1769">
            <v>0</v>
          </cell>
        </row>
        <row r="1770">
          <cell r="A1770">
            <v>0</v>
          </cell>
          <cell r="B1770">
            <v>0</v>
          </cell>
          <cell r="C1770">
            <v>0</v>
          </cell>
          <cell r="D1770">
            <v>0</v>
          </cell>
        </row>
        <row r="1771">
          <cell r="A1771">
            <v>0</v>
          </cell>
          <cell r="B1771">
            <v>0</v>
          </cell>
          <cell r="C1771">
            <v>0</v>
          </cell>
          <cell r="D1771">
            <v>0</v>
          </cell>
        </row>
        <row r="1772">
          <cell r="A1772">
            <v>0</v>
          </cell>
          <cell r="B1772">
            <v>0</v>
          </cell>
          <cell r="C1772">
            <v>0</v>
          </cell>
          <cell r="D1772">
            <v>0</v>
          </cell>
        </row>
        <row r="1773">
          <cell r="A1773">
            <v>0</v>
          </cell>
          <cell r="B1773">
            <v>0</v>
          </cell>
          <cell r="C1773">
            <v>0</v>
          </cell>
          <cell r="D1773">
            <v>0</v>
          </cell>
        </row>
        <row r="1774">
          <cell r="A1774">
            <v>0</v>
          </cell>
          <cell r="B1774">
            <v>0</v>
          </cell>
          <cell r="C1774">
            <v>0</v>
          </cell>
          <cell r="D1774">
            <v>0</v>
          </cell>
        </row>
        <row r="1775">
          <cell r="A1775">
            <v>0</v>
          </cell>
          <cell r="B1775">
            <v>0</v>
          </cell>
          <cell r="C1775">
            <v>0</v>
          </cell>
          <cell r="D1775">
            <v>0</v>
          </cell>
        </row>
        <row r="1776">
          <cell r="A1776">
            <v>0</v>
          </cell>
          <cell r="B1776">
            <v>0</v>
          </cell>
          <cell r="C1776">
            <v>0</v>
          </cell>
          <cell r="D1776">
            <v>0</v>
          </cell>
        </row>
        <row r="1777">
          <cell r="A1777">
            <v>0</v>
          </cell>
          <cell r="B1777">
            <v>0</v>
          </cell>
          <cell r="C1777">
            <v>0</v>
          </cell>
          <cell r="D1777">
            <v>0</v>
          </cell>
        </row>
        <row r="1778">
          <cell r="A1778">
            <v>0</v>
          </cell>
          <cell r="B1778">
            <v>0</v>
          </cell>
          <cell r="C1778">
            <v>0</v>
          </cell>
          <cell r="D1778">
            <v>0</v>
          </cell>
        </row>
        <row r="1779">
          <cell r="A1779">
            <v>0</v>
          </cell>
          <cell r="B1779">
            <v>0</v>
          </cell>
          <cell r="C1779">
            <v>0</v>
          </cell>
          <cell r="D1779">
            <v>0</v>
          </cell>
        </row>
        <row r="1780">
          <cell r="A1780">
            <v>0</v>
          </cell>
          <cell r="B1780">
            <v>0</v>
          </cell>
          <cell r="C1780">
            <v>0</v>
          </cell>
          <cell r="D1780">
            <v>0</v>
          </cell>
        </row>
        <row r="1781">
          <cell r="A1781">
            <v>0</v>
          </cell>
          <cell r="B1781">
            <v>0</v>
          </cell>
          <cell r="C1781">
            <v>0</v>
          </cell>
          <cell r="D1781">
            <v>0</v>
          </cell>
        </row>
        <row r="1782">
          <cell r="A1782">
            <v>0</v>
          </cell>
          <cell r="B1782">
            <v>0</v>
          </cell>
          <cell r="C1782">
            <v>0</v>
          </cell>
          <cell r="D1782">
            <v>0</v>
          </cell>
        </row>
        <row r="1783">
          <cell r="A1783">
            <v>0</v>
          </cell>
          <cell r="B1783">
            <v>0</v>
          </cell>
          <cell r="C1783">
            <v>0</v>
          </cell>
          <cell r="D1783">
            <v>0</v>
          </cell>
        </row>
        <row r="1784">
          <cell r="A1784">
            <v>0</v>
          </cell>
          <cell r="B1784">
            <v>0</v>
          </cell>
          <cell r="C1784">
            <v>0</v>
          </cell>
          <cell r="D1784">
            <v>0</v>
          </cell>
        </row>
        <row r="1785">
          <cell r="A1785">
            <v>0</v>
          </cell>
          <cell r="B1785">
            <v>0</v>
          </cell>
          <cell r="C1785">
            <v>0</v>
          </cell>
          <cell r="D1785">
            <v>0</v>
          </cell>
        </row>
        <row r="1786">
          <cell r="A1786">
            <v>0</v>
          </cell>
          <cell r="B1786">
            <v>0</v>
          </cell>
          <cell r="C1786">
            <v>0</v>
          </cell>
          <cell r="D1786">
            <v>0</v>
          </cell>
        </row>
        <row r="1787">
          <cell r="A1787">
            <v>0</v>
          </cell>
          <cell r="B1787">
            <v>0</v>
          </cell>
          <cell r="C1787">
            <v>0</v>
          </cell>
          <cell r="D1787">
            <v>0</v>
          </cell>
        </row>
        <row r="1788">
          <cell r="A1788">
            <v>0</v>
          </cell>
          <cell r="B1788">
            <v>0</v>
          </cell>
          <cell r="C1788">
            <v>0</v>
          </cell>
          <cell r="D1788">
            <v>0</v>
          </cell>
        </row>
        <row r="1789">
          <cell r="A1789">
            <v>0</v>
          </cell>
          <cell r="B1789">
            <v>0</v>
          </cell>
          <cell r="C1789">
            <v>0</v>
          </cell>
          <cell r="D1789">
            <v>0</v>
          </cell>
        </row>
        <row r="1790">
          <cell r="A1790">
            <v>0</v>
          </cell>
          <cell r="B1790">
            <v>0</v>
          </cell>
          <cell r="C1790">
            <v>0</v>
          </cell>
          <cell r="D1790">
            <v>0</v>
          </cell>
        </row>
        <row r="1791">
          <cell r="A1791">
            <v>0</v>
          </cell>
          <cell r="B1791">
            <v>0</v>
          </cell>
          <cell r="C1791">
            <v>0</v>
          </cell>
          <cell r="D1791">
            <v>0</v>
          </cell>
        </row>
        <row r="1792">
          <cell r="A1792">
            <v>0</v>
          </cell>
          <cell r="B1792">
            <v>0</v>
          </cell>
          <cell r="C1792">
            <v>0</v>
          </cell>
          <cell r="D1792">
            <v>0</v>
          </cell>
        </row>
        <row r="1793">
          <cell r="A1793">
            <v>0</v>
          </cell>
          <cell r="B1793">
            <v>0</v>
          </cell>
          <cell r="C1793">
            <v>0</v>
          </cell>
          <cell r="D1793">
            <v>0</v>
          </cell>
        </row>
        <row r="1794">
          <cell r="A1794">
            <v>0</v>
          </cell>
          <cell r="B1794">
            <v>0</v>
          </cell>
          <cell r="C1794">
            <v>0</v>
          </cell>
          <cell r="D1794">
            <v>0</v>
          </cell>
        </row>
        <row r="1795">
          <cell r="A1795">
            <v>0</v>
          </cell>
          <cell r="B1795">
            <v>0</v>
          </cell>
          <cell r="C1795">
            <v>0</v>
          </cell>
          <cell r="D1795">
            <v>0</v>
          </cell>
        </row>
        <row r="1796">
          <cell r="A1796">
            <v>0</v>
          </cell>
          <cell r="B1796">
            <v>0</v>
          </cell>
          <cell r="C1796">
            <v>0</v>
          </cell>
          <cell r="D1796">
            <v>0</v>
          </cell>
        </row>
        <row r="1797">
          <cell r="A1797">
            <v>0</v>
          </cell>
          <cell r="B1797">
            <v>0</v>
          </cell>
          <cell r="C1797">
            <v>0</v>
          </cell>
          <cell r="D1797">
            <v>0</v>
          </cell>
        </row>
        <row r="1798">
          <cell r="A1798">
            <v>0</v>
          </cell>
          <cell r="B1798">
            <v>0</v>
          </cell>
          <cell r="C1798">
            <v>0</v>
          </cell>
          <cell r="D1798">
            <v>0</v>
          </cell>
        </row>
        <row r="1799">
          <cell r="A1799">
            <v>0</v>
          </cell>
          <cell r="B1799">
            <v>0</v>
          </cell>
          <cell r="C1799">
            <v>0</v>
          </cell>
          <cell r="D1799">
            <v>0</v>
          </cell>
        </row>
        <row r="1800">
          <cell r="A1800">
            <v>0</v>
          </cell>
          <cell r="B1800">
            <v>0</v>
          </cell>
          <cell r="C1800">
            <v>0</v>
          </cell>
          <cell r="D1800">
            <v>0</v>
          </cell>
        </row>
        <row r="1801">
          <cell r="A1801">
            <v>0</v>
          </cell>
          <cell r="B1801">
            <v>0</v>
          </cell>
          <cell r="C1801">
            <v>0</v>
          </cell>
          <cell r="D1801">
            <v>0</v>
          </cell>
        </row>
        <row r="1802">
          <cell r="A1802">
            <v>0</v>
          </cell>
          <cell r="B1802">
            <v>0</v>
          </cell>
          <cell r="C1802">
            <v>0</v>
          </cell>
          <cell r="D1802">
            <v>0</v>
          </cell>
        </row>
        <row r="1803">
          <cell r="A1803">
            <v>0</v>
          </cell>
          <cell r="B1803">
            <v>0</v>
          </cell>
          <cell r="C1803">
            <v>0</v>
          </cell>
          <cell r="D1803">
            <v>0</v>
          </cell>
        </row>
        <row r="1804">
          <cell r="A1804">
            <v>0</v>
          </cell>
          <cell r="B1804">
            <v>0</v>
          </cell>
          <cell r="C1804">
            <v>0</v>
          </cell>
          <cell r="D1804">
            <v>0</v>
          </cell>
        </row>
        <row r="1805">
          <cell r="A1805">
            <v>0</v>
          </cell>
          <cell r="B1805">
            <v>0</v>
          </cell>
          <cell r="C1805">
            <v>0</v>
          </cell>
          <cell r="D1805">
            <v>0</v>
          </cell>
        </row>
        <row r="1806">
          <cell r="A1806">
            <v>0</v>
          </cell>
          <cell r="B1806">
            <v>0</v>
          </cell>
          <cell r="C1806">
            <v>0</v>
          </cell>
          <cell r="D1806">
            <v>0</v>
          </cell>
        </row>
        <row r="1807">
          <cell r="A1807">
            <v>0</v>
          </cell>
          <cell r="B1807">
            <v>0</v>
          </cell>
          <cell r="C1807">
            <v>0</v>
          </cell>
          <cell r="D1807">
            <v>0</v>
          </cell>
        </row>
        <row r="1808">
          <cell r="A1808">
            <v>0</v>
          </cell>
          <cell r="B1808">
            <v>0</v>
          </cell>
          <cell r="C1808">
            <v>0</v>
          </cell>
          <cell r="D1808">
            <v>0</v>
          </cell>
        </row>
        <row r="1809">
          <cell r="A1809">
            <v>0</v>
          </cell>
          <cell r="B1809">
            <v>0</v>
          </cell>
          <cell r="C1809">
            <v>0</v>
          </cell>
          <cell r="D1809">
            <v>0</v>
          </cell>
        </row>
        <row r="1810">
          <cell r="A1810">
            <v>0</v>
          </cell>
          <cell r="B1810">
            <v>0</v>
          </cell>
          <cell r="C1810">
            <v>0</v>
          </cell>
          <cell r="D1810">
            <v>0</v>
          </cell>
        </row>
        <row r="1811">
          <cell r="A1811">
            <v>0</v>
          </cell>
          <cell r="B1811">
            <v>0</v>
          </cell>
          <cell r="C1811">
            <v>0</v>
          </cell>
          <cell r="D1811">
            <v>0</v>
          </cell>
        </row>
        <row r="1812">
          <cell r="A1812">
            <v>0</v>
          </cell>
          <cell r="B1812">
            <v>0</v>
          </cell>
          <cell r="C1812">
            <v>0</v>
          </cell>
          <cell r="D1812">
            <v>0</v>
          </cell>
        </row>
        <row r="1813">
          <cell r="A1813">
            <v>0</v>
          </cell>
          <cell r="B1813">
            <v>0</v>
          </cell>
          <cell r="C1813">
            <v>0</v>
          </cell>
          <cell r="D1813">
            <v>0</v>
          </cell>
        </row>
        <row r="1814">
          <cell r="A1814">
            <v>0</v>
          </cell>
          <cell r="B1814">
            <v>0</v>
          </cell>
          <cell r="C1814">
            <v>0</v>
          </cell>
          <cell r="D1814">
            <v>0</v>
          </cell>
        </row>
        <row r="1815">
          <cell r="A1815">
            <v>0</v>
          </cell>
          <cell r="B1815">
            <v>0</v>
          </cell>
          <cell r="C1815">
            <v>0</v>
          </cell>
          <cell r="D1815">
            <v>0</v>
          </cell>
        </row>
        <row r="1816">
          <cell r="A1816">
            <v>0</v>
          </cell>
          <cell r="B1816">
            <v>0</v>
          </cell>
          <cell r="C1816">
            <v>0</v>
          </cell>
          <cell r="D1816">
            <v>0</v>
          </cell>
        </row>
        <row r="1817">
          <cell r="A1817">
            <v>0</v>
          </cell>
          <cell r="B1817">
            <v>0</v>
          </cell>
          <cell r="C1817">
            <v>0</v>
          </cell>
          <cell r="D1817">
            <v>0</v>
          </cell>
        </row>
        <row r="1818">
          <cell r="A1818">
            <v>0</v>
          </cell>
          <cell r="B1818">
            <v>0</v>
          </cell>
          <cell r="C1818">
            <v>0</v>
          </cell>
          <cell r="D1818">
            <v>0</v>
          </cell>
        </row>
        <row r="1819">
          <cell r="A1819">
            <v>0</v>
          </cell>
          <cell r="B1819">
            <v>0</v>
          </cell>
          <cell r="C1819">
            <v>0</v>
          </cell>
          <cell r="D1819">
            <v>0</v>
          </cell>
        </row>
        <row r="1820">
          <cell r="A1820">
            <v>0</v>
          </cell>
          <cell r="B1820">
            <v>0</v>
          </cell>
          <cell r="C1820">
            <v>0</v>
          </cell>
          <cell r="D1820">
            <v>0</v>
          </cell>
        </row>
        <row r="1821">
          <cell r="A1821">
            <v>0</v>
          </cell>
          <cell r="B1821">
            <v>0</v>
          </cell>
          <cell r="C1821">
            <v>0</v>
          </cell>
          <cell r="D1821">
            <v>0</v>
          </cell>
        </row>
        <row r="1822">
          <cell r="A1822">
            <v>0</v>
          </cell>
          <cell r="B1822">
            <v>0</v>
          </cell>
          <cell r="C1822">
            <v>0</v>
          </cell>
          <cell r="D1822">
            <v>0</v>
          </cell>
        </row>
        <row r="1823">
          <cell r="A1823">
            <v>0</v>
          </cell>
          <cell r="B1823">
            <v>0</v>
          </cell>
          <cell r="C1823">
            <v>0</v>
          </cell>
          <cell r="D1823">
            <v>0</v>
          </cell>
        </row>
        <row r="1824">
          <cell r="A1824">
            <v>0</v>
          </cell>
          <cell r="B1824">
            <v>0</v>
          </cell>
          <cell r="C1824">
            <v>0</v>
          </cell>
          <cell r="D1824">
            <v>0</v>
          </cell>
        </row>
        <row r="1825">
          <cell r="A1825">
            <v>0</v>
          </cell>
          <cell r="B1825">
            <v>0</v>
          </cell>
          <cell r="C1825">
            <v>0</v>
          </cell>
          <cell r="D1825">
            <v>0</v>
          </cell>
        </row>
        <row r="1826">
          <cell r="A1826">
            <v>0</v>
          </cell>
          <cell r="B1826">
            <v>0</v>
          </cell>
          <cell r="C1826">
            <v>0</v>
          </cell>
          <cell r="D1826">
            <v>0</v>
          </cell>
        </row>
        <row r="1827">
          <cell r="A1827">
            <v>0</v>
          </cell>
          <cell r="B1827">
            <v>0</v>
          </cell>
          <cell r="C1827">
            <v>0</v>
          </cell>
          <cell r="D1827">
            <v>0</v>
          </cell>
        </row>
        <row r="1828">
          <cell r="A1828">
            <v>0</v>
          </cell>
          <cell r="B1828">
            <v>0</v>
          </cell>
          <cell r="C1828">
            <v>0</v>
          </cell>
          <cell r="D1828">
            <v>0</v>
          </cell>
        </row>
        <row r="1829">
          <cell r="A1829">
            <v>0</v>
          </cell>
          <cell r="B1829">
            <v>0</v>
          </cell>
          <cell r="C1829">
            <v>0</v>
          </cell>
          <cell r="D1829">
            <v>0</v>
          </cell>
        </row>
        <row r="1830">
          <cell r="A1830">
            <v>0</v>
          </cell>
          <cell r="B1830">
            <v>0</v>
          </cell>
          <cell r="C1830">
            <v>0</v>
          </cell>
          <cell r="D1830">
            <v>0</v>
          </cell>
        </row>
        <row r="1831">
          <cell r="A1831">
            <v>0</v>
          </cell>
          <cell r="B1831">
            <v>0</v>
          </cell>
          <cell r="C1831">
            <v>0</v>
          </cell>
          <cell r="D1831">
            <v>0</v>
          </cell>
        </row>
        <row r="1832">
          <cell r="A1832">
            <v>0</v>
          </cell>
          <cell r="B1832">
            <v>0</v>
          </cell>
          <cell r="C1832">
            <v>0</v>
          </cell>
          <cell r="D1832">
            <v>0</v>
          </cell>
        </row>
        <row r="1833">
          <cell r="A1833">
            <v>0</v>
          </cell>
          <cell r="B1833">
            <v>0</v>
          </cell>
          <cell r="C1833">
            <v>0</v>
          </cell>
          <cell r="D1833">
            <v>0</v>
          </cell>
        </row>
        <row r="1834">
          <cell r="A1834">
            <v>0</v>
          </cell>
          <cell r="B1834">
            <v>0</v>
          </cell>
          <cell r="C1834">
            <v>0</v>
          </cell>
          <cell r="D1834">
            <v>0</v>
          </cell>
        </row>
        <row r="1835">
          <cell r="A1835">
            <v>0</v>
          </cell>
          <cell r="B1835">
            <v>0</v>
          </cell>
          <cell r="C1835">
            <v>0</v>
          </cell>
          <cell r="D1835">
            <v>0</v>
          </cell>
        </row>
        <row r="1836">
          <cell r="A1836">
            <v>0</v>
          </cell>
          <cell r="B1836">
            <v>0</v>
          </cell>
          <cell r="C1836">
            <v>0</v>
          </cell>
          <cell r="D1836">
            <v>0</v>
          </cell>
        </row>
        <row r="1837">
          <cell r="A1837">
            <v>0</v>
          </cell>
          <cell r="B1837">
            <v>0</v>
          </cell>
          <cell r="C1837">
            <v>0</v>
          </cell>
          <cell r="D1837">
            <v>0</v>
          </cell>
        </row>
        <row r="1838">
          <cell r="A1838">
            <v>0</v>
          </cell>
          <cell r="B1838">
            <v>0</v>
          </cell>
          <cell r="C1838">
            <v>0</v>
          </cell>
          <cell r="D1838">
            <v>0</v>
          </cell>
        </row>
        <row r="1839">
          <cell r="A1839">
            <v>0</v>
          </cell>
          <cell r="B1839">
            <v>0</v>
          </cell>
          <cell r="C1839">
            <v>0</v>
          </cell>
          <cell r="D1839">
            <v>0</v>
          </cell>
        </row>
        <row r="1840">
          <cell r="A1840">
            <v>0</v>
          </cell>
          <cell r="B1840">
            <v>0</v>
          </cell>
          <cell r="C1840">
            <v>0</v>
          </cell>
          <cell r="D1840">
            <v>0</v>
          </cell>
        </row>
        <row r="1841">
          <cell r="A1841">
            <v>0</v>
          </cell>
          <cell r="B1841">
            <v>0</v>
          </cell>
          <cell r="C1841">
            <v>0</v>
          </cell>
          <cell r="D1841">
            <v>0</v>
          </cell>
        </row>
        <row r="1842">
          <cell r="A1842">
            <v>0</v>
          </cell>
          <cell r="B1842">
            <v>0</v>
          </cell>
          <cell r="C1842">
            <v>0</v>
          </cell>
          <cell r="D1842">
            <v>0</v>
          </cell>
        </row>
        <row r="1843">
          <cell r="A1843">
            <v>0</v>
          </cell>
          <cell r="B1843">
            <v>0</v>
          </cell>
          <cell r="C1843">
            <v>0</v>
          </cell>
          <cell r="D1843">
            <v>0</v>
          </cell>
        </row>
        <row r="1844">
          <cell r="A1844">
            <v>0</v>
          </cell>
          <cell r="B1844">
            <v>0</v>
          </cell>
          <cell r="C1844">
            <v>0</v>
          </cell>
          <cell r="D1844">
            <v>0</v>
          </cell>
        </row>
        <row r="1845">
          <cell r="A1845">
            <v>0</v>
          </cell>
          <cell r="B1845">
            <v>0</v>
          </cell>
          <cell r="C1845">
            <v>0</v>
          </cell>
          <cell r="D1845">
            <v>0</v>
          </cell>
        </row>
        <row r="1846">
          <cell r="A1846">
            <v>0</v>
          </cell>
          <cell r="B1846">
            <v>0</v>
          </cell>
          <cell r="C1846">
            <v>0</v>
          </cell>
          <cell r="D1846">
            <v>0</v>
          </cell>
        </row>
        <row r="1847">
          <cell r="A1847">
            <v>0</v>
          </cell>
          <cell r="B1847">
            <v>0</v>
          </cell>
          <cell r="C1847">
            <v>0</v>
          </cell>
          <cell r="D1847">
            <v>0</v>
          </cell>
        </row>
        <row r="1848">
          <cell r="A1848">
            <v>0</v>
          </cell>
          <cell r="B1848">
            <v>0</v>
          </cell>
          <cell r="C1848">
            <v>0</v>
          </cell>
          <cell r="D1848">
            <v>0</v>
          </cell>
        </row>
        <row r="1849">
          <cell r="A1849">
            <v>0</v>
          </cell>
          <cell r="B1849">
            <v>0</v>
          </cell>
          <cell r="C1849">
            <v>0</v>
          </cell>
          <cell r="D1849">
            <v>0</v>
          </cell>
        </row>
        <row r="1850">
          <cell r="A1850">
            <v>0</v>
          </cell>
          <cell r="B1850">
            <v>0</v>
          </cell>
          <cell r="C1850">
            <v>0</v>
          </cell>
          <cell r="D1850">
            <v>0</v>
          </cell>
        </row>
        <row r="1851">
          <cell r="A1851">
            <v>0</v>
          </cell>
          <cell r="B1851">
            <v>0</v>
          </cell>
          <cell r="C1851">
            <v>0</v>
          </cell>
          <cell r="D1851">
            <v>0</v>
          </cell>
        </row>
        <row r="1852">
          <cell r="A1852">
            <v>0</v>
          </cell>
          <cell r="B1852">
            <v>0</v>
          </cell>
          <cell r="C1852">
            <v>0</v>
          </cell>
          <cell r="D1852">
            <v>0</v>
          </cell>
        </row>
        <row r="1853">
          <cell r="A1853">
            <v>0</v>
          </cell>
          <cell r="B1853">
            <v>0</v>
          </cell>
          <cell r="C1853">
            <v>0</v>
          </cell>
          <cell r="D1853">
            <v>0</v>
          </cell>
        </row>
        <row r="1854">
          <cell r="A1854">
            <v>0</v>
          </cell>
          <cell r="B1854">
            <v>0</v>
          </cell>
          <cell r="C1854">
            <v>0</v>
          </cell>
          <cell r="D1854">
            <v>0</v>
          </cell>
        </row>
        <row r="1855">
          <cell r="A1855">
            <v>0</v>
          </cell>
          <cell r="B1855">
            <v>0</v>
          </cell>
          <cell r="C1855">
            <v>0</v>
          </cell>
          <cell r="D1855">
            <v>0</v>
          </cell>
        </row>
        <row r="1856">
          <cell r="A1856">
            <v>0</v>
          </cell>
          <cell r="B1856">
            <v>0</v>
          </cell>
          <cell r="C1856">
            <v>0</v>
          </cell>
          <cell r="D1856">
            <v>0</v>
          </cell>
        </row>
        <row r="1857">
          <cell r="A1857">
            <v>0</v>
          </cell>
          <cell r="B1857">
            <v>0</v>
          </cell>
          <cell r="C1857">
            <v>0</v>
          </cell>
          <cell r="D1857">
            <v>0</v>
          </cell>
        </row>
        <row r="1858">
          <cell r="A1858">
            <v>0</v>
          </cell>
          <cell r="B1858">
            <v>0</v>
          </cell>
          <cell r="C1858">
            <v>0</v>
          </cell>
          <cell r="D1858">
            <v>0</v>
          </cell>
        </row>
        <row r="1859">
          <cell r="A1859">
            <v>0</v>
          </cell>
          <cell r="B1859">
            <v>0</v>
          </cell>
          <cell r="C1859">
            <v>0</v>
          </cell>
          <cell r="D1859">
            <v>0</v>
          </cell>
        </row>
        <row r="1860">
          <cell r="A1860">
            <v>0</v>
          </cell>
          <cell r="B1860">
            <v>0</v>
          </cell>
          <cell r="C1860">
            <v>0</v>
          </cell>
          <cell r="D1860">
            <v>0</v>
          </cell>
        </row>
        <row r="1861">
          <cell r="A1861">
            <v>0</v>
          </cell>
          <cell r="B1861">
            <v>0</v>
          </cell>
          <cell r="C1861">
            <v>0</v>
          </cell>
          <cell r="D1861">
            <v>0</v>
          </cell>
        </row>
        <row r="1862">
          <cell r="A1862">
            <v>0</v>
          </cell>
          <cell r="B1862">
            <v>0</v>
          </cell>
          <cell r="C1862">
            <v>0</v>
          </cell>
          <cell r="D1862">
            <v>0</v>
          </cell>
        </row>
        <row r="1863">
          <cell r="A1863">
            <v>0</v>
          </cell>
          <cell r="B1863">
            <v>0</v>
          </cell>
          <cell r="C1863">
            <v>0</v>
          </cell>
          <cell r="D1863">
            <v>0</v>
          </cell>
        </row>
        <row r="1864">
          <cell r="A1864">
            <v>0</v>
          </cell>
          <cell r="B1864">
            <v>0</v>
          </cell>
          <cell r="C1864">
            <v>0</v>
          </cell>
          <cell r="D1864">
            <v>0</v>
          </cell>
        </row>
        <row r="1865">
          <cell r="A1865">
            <v>0</v>
          </cell>
          <cell r="B1865">
            <v>0</v>
          </cell>
          <cell r="C1865">
            <v>0</v>
          </cell>
          <cell r="D1865">
            <v>0</v>
          </cell>
        </row>
        <row r="1866">
          <cell r="A1866">
            <v>0</v>
          </cell>
          <cell r="B1866">
            <v>0</v>
          </cell>
          <cell r="C1866">
            <v>0</v>
          </cell>
          <cell r="D1866">
            <v>0</v>
          </cell>
        </row>
        <row r="1867">
          <cell r="A1867">
            <v>0</v>
          </cell>
          <cell r="B1867">
            <v>0</v>
          </cell>
          <cell r="C1867">
            <v>0</v>
          </cell>
          <cell r="D1867">
            <v>0</v>
          </cell>
        </row>
        <row r="1868">
          <cell r="A1868">
            <v>0</v>
          </cell>
          <cell r="B1868">
            <v>0</v>
          </cell>
          <cell r="C1868">
            <v>0</v>
          </cell>
          <cell r="D1868">
            <v>0</v>
          </cell>
        </row>
        <row r="1869">
          <cell r="A1869">
            <v>0</v>
          </cell>
          <cell r="B1869">
            <v>0</v>
          </cell>
          <cell r="C1869">
            <v>0</v>
          </cell>
          <cell r="D1869">
            <v>0</v>
          </cell>
        </row>
        <row r="1870">
          <cell r="A1870">
            <v>0</v>
          </cell>
          <cell r="B1870">
            <v>0</v>
          </cell>
          <cell r="C1870">
            <v>0</v>
          </cell>
          <cell r="D1870">
            <v>0</v>
          </cell>
        </row>
        <row r="1871">
          <cell r="A1871">
            <v>0</v>
          </cell>
          <cell r="B1871">
            <v>0</v>
          </cell>
          <cell r="C1871">
            <v>0</v>
          </cell>
          <cell r="D1871">
            <v>0</v>
          </cell>
        </row>
        <row r="1872">
          <cell r="A1872">
            <v>0</v>
          </cell>
          <cell r="B1872">
            <v>0</v>
          </cell>
          <cell r="C1872">
            <v>0</v>
          </cell>
          <cell r="D1872">
            <v>0</v>
          </cell>
        </row>
        <row r="1873">
          <cell r="A1873">
            <v>0</v>
          </cell>
          <cell r="B1873">
            <v>0</v>
          </cell>
          <cell r="C1873">
            <v>0</v>
          </cell>
          <cell r="D1873">
            <v>0</v>
          </cell>
        </row>
        <row r="1874">
          <cell r="A1874">
            <v>0</v>
          </cell>
          <cell r="B1874">
            <v>0</v>
          </cell>
          <cell r="C1874">
            <v>0</v>
          </cell>
          <cell r="D1874">
            <v>0</v>
          </cell>
        </row>
        <row r="1875">
          <cell r="A1875">
            <v>0</v>
          </cell>
          <cell r="B1875">
            <v>0</v>
          </cell>
          <cell r="C1875">
            <v>0</v>
          </cell>
          <cell r="D1875">
            <v>0</v>
          </cell>
        </row>
        <row r="1876">
          <cell r="A1876">
            <v>0</v>
          </cell>
          <cell r="B1876">
            <v>0</v>
          </cell>
          <cell r="C1876">
            <v>0</v>
          </cell>
          <cell r="D1876">
            <v>0</v>
          </cell>
        </row>
        <row r="1877">
          <cell r="A1877">
            <v>0</v>
          </cell>
          <cell r="B1877">
            <v>0</v>
          </cell>
          <cell r="C1877">
            <v>0</v>
          </cell>
          <cell r="D1877">
            <v>0</v>
          </cell>
        </row>
        <row r="1878">
          <cell r="A1878">
            <v>0</v>
          </cell>
          <cell r="B1878">
            <v>0</v>
          </cell>
          <cell r="C1878">
            <v>0</v>
          </cell>
          <cell r="D1878">
            <v>0</v>
          </cell>
        </row>
        <row r="1879">
          <cell r="A1879">
            <v>0</v>
          </cell>
          <cell r="B1879">
            <v>0</v>
          </cell>
          <cell r="C1879">
            <v>0</v>
          </cell>
          <cell r="D1879">
            <v>0</v>
          </cell>
        </row>
        <row r="1880">
          <cell r="A1880">
            <v>0</v>
          </cell>
          <cell r="B1880">
            <v>0</v>
          </cell>
          <cell r="C1880">
            <v>0</v>
          </cell>
          <cell r="D1880">
            <v>0</v>
          </cell>
        </row>
        <row r="1881">
          <cell r="A1881">
            <v>0</v>
          </cell>
          <cell r="B1881">
            <v>0</v>
          </cell>
          <cell r="C1881">
            <v>0</v>
          </cell>
          <cell r="D1881">
            <v>0</v>
          </cell>
        </row>
        <row r="1882">
          <cell r="A1882">
            <v>0</v>
          </cell>
          <cell r="B1882">
            <v>0</v>
          </cell>
          <cell r="C1882">
            <v>0</v>
          </cell>
          <cell r="D1882">
            <v>0</v>
          </cell>
        </row>
        <row r="1883">
          <cell r="A1883">
            <v>0</v>
          </cell>
          <cell r="B1883">
            <v>0</v>
          </cell>
          <cell r="C1883">
            <v>0</v>
          </cell>
          <cell r="D1883">
            <v>0</v>
          </cell>
        </row>
        <row r="1884">
          <cell r="A1884">
            <v>0</v>
          </cell>
          <cell r="B1884">
            <v>0</v>
          </cell>
          <cell r="C1884">
            <v>0</v>
          </cell>
          <cell r="D1884">
            <v>0</v>
          </cell>
        </row>
        <row r="1885">
          <cell r="A1885">
            <v>0</v>
          </cell>
          <cell r="B1885">
            <v>0</v>
          </cell>
          <cell r="C1885">
            <v>0</v>
          </cell>
          <cell r="D1885">
            <v>0</v>
          </cell>
        </row>
        <row r="1886">
          <cell r="A1886">
            <v>0</v>
          </cell>
          <cell r="B1886">
            <v>0</v>
          </cell>
          <cell r="C1886">
            <v>0</v>
          </cell>
          <cell r="D1886">
            <v>0</v>
          </cell>
        </row>
        <row r="1887">
          <cell r="A1887">
            <v>0</v>
          </cell>
          <cell r="B1887">
            <v>0</v>
          </cell>
          <cell r="C1887">
            <v>0</v>
          </cell>
          <cell r="D1887">
            <v>0</v>
          </cell>
        </row>
        <row r="1888">
          <cell r="A1888">
            <v>0</v>
          </cell>
          <cell r="B1888">
            <v>0</v>
          </cell>
          <cell r="C1888">
            <v>0</v>
          </cell>
          <cell r="D1888">
            <v>0</v>
          </cell>
        </row>
        <row r="1889">
          <cell r="A1889">
            <v>0</v>
          </cell>
          <cell r="B1889">
            <v>0</v>
          </cell>
          <cell r="C1889">
            <v>0</v>
          </cell>
          <cell r="D1889">
            <v>0</v>
          </cell>
        </row>
        <row r="1890">
          <cell r="A1890">
            <v>0</v>
          </cell>
          <cell r="B1890">
            <v>0</v>
          </cell>
          <cell r="C1890">
            <v>0</v>
          </cell>
          <cell r="D1890">
            <v>0</v>
          </cell>
        </row>
        <row r="1891">
          <cell r="A1891">
            <v>0</v>
          </cell>
          <cell r="B1891">
            <v>0</v>
          </cell>
          <cell r="C1891">
            <v>0</v>
          </cell>
          <cell r="D1891">
            <v>0</v>
          </cell>
        </row>
        <row r="1892">
          <cell r="A1892">
            <v>0</v>
          </cell>
          <cell r="B1892">
            <v>0</v>
          </cell>
          <cell r="C1892">
            <v>0</v>
          </cell>
          <cell r="D1892">
            <v>0</v>
          </cell>
        </row>
        <row r="1893">
          <cell r="A1893">
            <v>0</v>
          </cell>
          <cell r="B1893">
            <v>0</v>
          </cell>
          <cell r="C1893">
            <v>0</v>
          </cell>
          <cell r="D1893">
            <v>0</v>
          </cell>
        </row>
        <row r="1894">
          <cell r="A1894">
            <v>0</v>
          </cell>
          <cell r="B1894">
            <v>0</v>
          </cell>
          <cell r="C1894">
            <v>0</v>
          </cell>
          <cell r="D1894">
            <v>0</v>
          </cell>
        </row>
        <row r="1895">
          <cell r="A1895">
            <v>0</v>
          </cell>
          <cell r="B1895">
            <v>0</v>
          </cell>
          <cell r="C1895">
            <v>0</v>
          </cell>
          <cell r="D1895">
            <v>0</v>
          </cell>
        </row>
        <row r="1896">
          <cell r="A1896">
            <v>0</v>
          </cell>
          <cell r="B1896">
            <v>0</v>
          </cell>
          <cell r="C1896">
            <v>0</v>
          </cell>
          <cell r="D1896">
            <v>0</v>
          </cell>
        </row>
        <row r="1897">
          <cell r="A1897">
            <v>0</v>
          </cell>
          <cell r="B1897">
            <v>0</v>
          </cell>
          <cell r="C1897">
            <v>0</v>
          </cell>
          <cell r="D1897">
            <v>0</v>
          </cell>
        </row>
        <row r="1898">
          <cell r="A1898">
            <v>0</v>
          </cell>
          <cell r="B1898">
            <v>0</v>
          </cell>
          <cell r="C1898">
            <v>0</v>
          </cell>
          <cell r="D1898">
            <v>0</v>
          </cell>
        </row>
        <row r="1899">
          <cell r="A1899">
            <v>0</v>
          </cell>
          <cell r="B1899">
            <v>0</v>
          </cell>
          <cell r="C1899">
            <v>0</v>
          </cell>
          <cell r="D1899">
            <v>0</v>
          </cell>
        </row>
        <row r="1900">
          <cell r="A1900">
            <v>0</v>
          </cell>
          <cell r="B1900">
            <v>0</v>
          </cell>
          <cell r="C1900">
            <v>0</v>
          </cell>
          <cell r="D1900">
            <v>0</v>
          </cell>
        </row>
        <row r="1901">
          <cell r="A1901">
            <v>0</v>
          </cell>
          <cell r="B1901">
            <v>0</v>
          </cell>
          <cell r="C1901">
            <v>0</v>
          </cell>
          <cell r="D1901">
            <v>0</v>
          </cell>
        </row>
        <row r="1902">
          <cell r="A1902">
            <v>0</v>
          </cell>
          <cell r="B1902">
            <v>0</v>
          </cell>
          <cell r="C1902">
            <v>0</v>
          </cell>
          <cell r="D1902">
            <v>0</v>
          </cell>
        </row>
        <row r="1903">
          <cell r="A1903">
            <v>0</v>
          </cell>
          <cell r="B1903">
            <v>0</v>
          </cell>
          <cell r="C1903">
            <v>0</v>
          </cell>
          <cell r="D1903">
            <v>0</v>
          </cell>
        </row>
        <row r="1904">
          <cell r="A1904">
            <v>0</v>
          </cell>
          <cell r="B1904">
            <v>0</v>
          </cell>
          <cell r="C1904">
            <v>0</v>
          </cell>
          <cell r="D1904">
            <v>0</v>
          </cell>
        </row>
        <row r="1905">
          <cell r="A1905">
            <v>0</v>
          </cell>
          <cell r="B1905">
            <v>0</v>
          </cell>
          <cell r="C1905">
            <v>0</v>
          </cell>
          <cell r="D1905">
            <v>0</v>
          </cell>
        </row>
        <row r="1906">
          <cell r="A1906">
            <v>0</v>
          </cell>
          <cell r="B1906">
            <v>0</v>
          </cell>
          <cell r="C1906">
            <v>0</v>
          </cell>
          <cell r="D1906">
            <v>0</v>
          </cell>
        </row>
        <row r="1907">
          <cell r="A1907">
            <v>0</v>
          </cell>
          <cell r="B1907">
            <v>0</v>
          </cell>
          <cell r="C1907">
            <v>0</v>
          </cell>
          <cell r="D1907">
            <v>0</v>
          </cell>
        </row>
        <row r="1908">
          <cell r="A1908">
            <v>0</v>
          </cell>
          <cell r="B1908">
            <v>0</v>
          </cell>
          <cell r="C1908">
            <v>0</v>
          </cell>
          <cell r="D1908">
            <v>0</v>
          </cell>
        </row>
        <row r="1909">
          <cell r="A1909">
            <v>0</v>
          </cell>
          <cell r="B1909">
            <v>0</v>
          </cell>
          <cell r="C1909">
            <v>0</v>
          </cell>
          <cell r="D1909">
            <v>0</v>
          </cell>
        </row>
        <row r="1910">
          <cell r="A1910">
            <v>0</v>
          </cell>
          <cell r="B1910">
            <v>0</v>
          </cell>
          <cell r="C1910">
            <v>0</v>
          </cell>
          <cell r="D1910">
            <v>0</v>
          </cell>
        </row>
        <row r="1911">
          <cell r="A1911">
            <v>0</v>
          </cell>
          <cell r="B1911">
            <v>0</v>
          </cell>
          <cell r="C1911">
            <v>0</v>
          </cell>
          <cell r="D1911">
            <v>0</v>
          </cell>
        </row>
        <row r="1912">
          <cell r="A1912">
            <v>0</v>
          </cell>
          <cell r="B1912">
            <v>0</v>
          </cell>
          <cell r="C1912">
            <v>0</v>
          </cell>
          <cell r="D1912">
            <v>0</v>
          </cell>
        </row>
        <row r="1913">
          <cell r="A1913">
            <v>0</v>
          </cell>
          <cell r="B1913">
            <v>0</v>
          </cell>
          <cell r="C1913">
            <v>0</v>
          </cell>
          <cell r="D1913">
            <v>0</v>
          </cell>
        </row>
        <row r="1914">
          <cell r="A1914">
            <v>0</v>
          </cell>
          <cell r="B1914">
            <v>0</v>
          </cell>
          <cell r="C1914">
            <v>0</v>
          </cell>
          <cell r="D1914">
            <v>0</v>
          </cell>
        </row>
        <row r="1915">
          <cell r="A1915">
            <v>0</v>
          </cell>
          <cell r="B1915">
            <v>0</v>
          </cell>
          <cell r="C1915">
            <v>0</v>
          </cell>
          <cell r="D1915">
            <v>0</v>
          </cell>
        </row>
        <row r="1916">
          <cell r="A1916">
            <v>0</v>
          </cell>
          <cell r="B1916">
            <v>0</v>
          </cell>
          <cell r="C1916">
            <v>0</v>
          </cell>
          <cell r="D1916">
            <v>0</v>
          </cell>
        </row>
        <row r="1917">
          <cell r="A1917">
            <v>0</v>
          </cell>
          <cell r="B1917">
            <v>0</v>
          </cell>
          <cell r="C1917">
            <v>0</v>
          </cell>
          <cell r="D1917">
            <v>0</v>
          </cell>
        </row>
        <row r="1918">
          <cell r="A1918">
            <v>0</v>
          </cell>
          <cell r="B1918">
            <v>0</v>
          </cell>
          <cell r="C1918">
            <v>0</v>
          </cell>
          <cell r="D1918">
            <v>0</v>
          </cell>
        </row>
        <row r="1919">
          <cell r="A1919">
            <v>0</v>
          </cell>
          <cell r="B1919">
            <v>0</v>
          </cell>
          <cell r="C1919">
            <v>0</v>
          </cell>
          <cell r="D1919">
            <v>0</v>
          </cell>
        </row>
        <row r="1920">
          <cell r="A1920">
            <v>0</v>
          </cell>
          <cell r="B1920">
            <v>0</v>
          </cell>
          <cell r="C1920">
            <v>0</v>
          </cell>
          <cell r="D1920">
            <v>0</v>
          </cell>
        </row>
        <row r="1921">
          <cell r="A1921">
            <v>0</v>
          </cell>
          <cell r="B1921">
            <v>0</v>
          </cell>
          <cell r="C1921">
            <v>0</v>
          </cell>
          <cell r="D1921">
            <v>0</v>
          </cell>
        </row>
        <row r="1922">
          <cell r="A1922">
            <v>0</v>
          </cell>
          <cell r="B1922">
            <v>0</v>
          </cell>
          <cell r="C1922">
            <v>0</v>
          </cell>
          <cell r="D1922">
            <v>0</v>
          </cell>
        </row>
        <row r="1923">
          <cell r="A1923">
            <v>0</v>
          </cell>
          <cell r="B1923">
            <v>0</v>
          </cell>
          <cell r="C1923">
            <v>0</v>
          </cell>
          <cell r="D1923">
            <v>0</v>
          </cell>
        </row>
        <row r="1924">
          <cell r="A1924">
            <v>0</v>
          </cell>
          <cell r="B1924">
            <v>0</v>
          </cell>
          <cell r="C1924">
            <v>0</v>
          </cell>
          <cell r="D1924">
            <v>0</v>
          </cell>
        </row>
        <row r="1925">
          <cell r="A1925">
            <v>0</v>
          </cell>
          <cell r="B1925">
            <v>0</v>
          </cell>
          <cell r="C1925">
            <v>0</v>
          </cell>
          <cell r="D1925">
            <v>0</v>
          </cell>
        </row>
        <row r="1926">
          <cell r="A1926">
            <v>0</v>
          </cell>
          <cell r="B1926">
            <v>0</v>
          </cell>
          <cell r="C1926">
            <v>0</v>
          </cell>
          <cell r="D1926">
            <v>0</v>
          </cell>
        </row>
        <row r="1927">
          <cell r="A1927">
            <v>0</v>
          </cell>
          <cell r="B1927">
            <v>0</v>
          </cell>
          <cell r="C1927">
            <v>0</v>
          </cell>
          <cell r="D1927">
            <v>0</v>
          </cell>
        </row>
        <row r="1928">
          <cell r="A1928">
            <v>0</v>
          </cell>
          <cell r="B1928">
            <v>0</v>
          </cell>
          <cell r="C1928">
            <v>0</v>
          </cell>
          <cell r="D1928">
            <v>0</v>
          </cell>
        </row>
        <row r="1929">
          <cell r="A1929">
            <v>0</v>
          </cell>
          <cell r="B1929">
            <v>0</v>
          </cell>
          <cell r="C1929">
            <v>0</v>
          </cell>
          <cell r="D1929">
            <v>0</v>
          </cell>
        </row>
        <row r="1930">
          <cell r="A1930">
            <v>0</v>
          </cell>
          <cell r="B1930">
            <v>0</v>
          </cell>
          <cell r="C1930">
            <v>0</v>
          </cell>
          <cell r="D1930">
            <v>0</v>
          </cell>
        </row>
        <row r="1931">
          <cell r="A1931">
            <v>0</v>
          </cell>
          <cell r="B1931">
            <v>0</v>
          </cell>
          <cell r="C1931">
            <v>0</v>
          </cell>
          <cell r="D1931">
            <v>0</v>
          </cell>
        </row>
        <row r="1932">
          <cell r="A1932">
            <v>0</v>
          </cell>
          <cell r="B1932">
            <v>0</v>
          </cell>
          <cell r="C1932">
            <v>0</v>
          </cell>
          <cell r="D1932">
            <v>0</v>
          </cell>
        </row>
        <row r="1933">
          <cell r="A1933">
            <v>0</v>
          </cell>
          <cell r="B1933">
            <v>0</v>
          </cell>
          <cell r="C1933">
            <v>0</v>
          </cell>
          <cell r="D1933">
            <v>0</v>
          </cell>
        </row>
        <row r="1934">
          <cell r="A1934">
            <v>0</v>
          </cell>
          <cell r="B1934">
            <v>0</v>
          </cell>
          <cell r="C1934">
            <v>0</v>
          </cell>
          <cell r="D1934">
            <v>0</v>
          </cell>
        </row>
        <row r="1935">
          <cell r="A1935">
            <v>0</v>
          </cell>
          <cell r="B1935">
            <v>0</v>
          </cell>
          <cell r="C1935">
            <v>0</v>
          </cell>
          <cell r="D1935">
            <v>0</v>
          </cell>
        </row>
        <row r="1936">
          <cell r="A1936">
            <v>0</v>
          </cell>
          <cell r="B1936">
            <v>0</v>
          </cell>
          <cell r="C1936">
            <v>0</v>
          </cell>
          <cell r="D1936">
            <v>0</v>
          </cell>
        </row>
        <row r="1937">
          <cell r="A1937">
            <v>0</v>
          </cell>
          <cell r="B1937">
            <v>0</v>
          </cell>
          <cell r="C1937">
            <v>0</v>
          </cell>
          <cell r="D1937">
            <v>0</v>
          </cell>
        </row>
        <row r="1938">
          <cell r="A1938">
            <v>0</v>
          </cell>
          <cell r="B1938">
            <v>0</v>
          </cell>
          <cell r="C1938">
            <v>0</v>
          </cell>
          <cell r="D1938">
            <v>0</v>
          </cell>
        </row>
        <row r="1939">
          <cell r="A1939">
            <v>0</v>
          </cell>
          <cell r="B1939">
            <v>0</v>
          </cell>
          <cell r="C1939">
            <v>0</v>
          </cell>
          <cell r="D1939">
            <v>0</v>
          </cell>
        </row>
        <row r="1940">
          <cell r="A1940">
            <v>0</v>
          </cell>
          <cell r="B1940">
            <v>0</v>
          </cell>
          <cell r="C1940">
            <v>0</v>
          </cell>
          <cell r="D1940">
            <v>0</v>
          </cell>
        </row>
        <row r="1941">
          <cell r="A1941">
            <v>0</v>
          </cell>
          <cell r="B1941">
            <v>0</v>
          </cell>
          <cell r="C1941">
            <v>0</v>
          </cell>
          <cell r="D1941">
            <v>0</v>
          </cell>
        </row>
        <row r="1942">
          <cell r="A1942">
            <v>0</v>
          </cell>
          <cell r="B1942">
            <v>0</v>
          </cell>
          <cell r="C1942">
            <v>0</v>
          </cell>
          <cell r="D1942">
            <v>0</v>
          </cell>
        </row>
        <row r="1943">
          <cell r="A1943">
            <v>0</v>
          </cell>
          <cell r="B1943">
            <v>0</v>
          </cell>
          <cell r="C1943">
            <v>0</v>
          </cell>
          <cell r="D1943">
            <v>0</v>
          </cell>
        </row>
        <row r="1944">
          <cell r="A1944">
            <v>0</v>
          </cell>
          <cell r="B1944">
            <v>0</v>
          </cell>
          <cell r="C1944">
            <v>0</v>
          </cell>
          <cell r="D1944">
            <v>0</v>
          </cell>
        </row>
        <row r="1945">
          <cell r="A1945">
            <v>0</v>
          </cell>
          <cell r="B1945">
            <v>0</v>
          </cell>
          <cell r="C1945">
            <v>0</v>
          </cell>
          <cell r="D1945">
            <v>0</v>
          </cell>
        </row>
        <row r="1946">
          <cell r="A1946">
            <v>0</v>
          </cell>
          <cell r="B1946">
            <v>0</v>
          </cell>
          <cell r="C1946">
            <v>0</v>
          </cell>
          <cell r="D1946">
            <v>0</v>
          </cell>
        </row>
        <row r="1947">
          <cell r="A1947">
            <v>0</v>
          </cell>
          <cell r="B1947">
            <v>0</v>
          </cell>
          <cell r="C1947">
            <v>0</v>
          </cell>
          <cell r="D1947">
            <v>0</v>
          </cell>
        </row>
        <row r="1948">
          <cell r="A1948">
            <v>0</v>
          </cell>
          <cell r="B1948">
            <v>0</v>
          </cell>
          <cell r="C1948">
            <v>0</v>
          </cell>
          <cell r="D1948">
            <v>0</v>
          </cell>
        </row>
        <row r="1949">
          <cell r="A1949">
            <v>0</v>
          </cell>
          <cell r="B1949">
            <v>0</v>
          </cell>
          <cell r="C1949">
            <v>0</v>
          </cell>
          <cell r="D1949">
            <v>0</v>
          </cell>
        </row>
        <row r="1950">
          <cell r="A1950">
            <v>0</v>
          </cell>
          <cell r="B1950">
            <v>0</v>
          </cell>
          <cell r="C1950">
            <v>0</v>
          </cell>
          <cell r="D1950">
            <v>0</v>
          </cell>
        </row>
        <row r="1951">
          <cell r="A1951">
            <v>0</v>
          </cell>
          <cell r="B1951">
            <v>0</v>
          </cell>
          <cell r="C1951">
            <v>0</v>
          </cell>
          <cell r="D1951">
            <v>0</v>
          </cell>
        </row>
        <row r="1952">
          <cell r="A1952">
            <v>0</v>
          </cell>
          <cell r="B1952">
            <v>0</v>
          </cell>
          <cell r="C1952">
            <v>0</v>
          </cell>
          <cell r="D1952">
            <v>0</v>
          </cell>
        </row>
        <row r="1953">
          <cell r="A1953">
            <v>0</v>
          </cell>
          <cell r="B1953">
            <v>0</v>
          </cell>
          <cell r="C1953">
            <v>0</v>
          </cell>
          <cell r="D1953">
            <v>0</v>
          </cell>
        </row>
        <row r="1954">
          <cell r="A1954">
            <v>0</v>
          </cell>
          <cell r="B1954">
            <v>0</v>
          </cell>
          <cell r="C1954">
            <v>0</v>
          </cell>
          <cell r="D1954">
            <v>0</v>
          </cell>
        </row>
        <row r="1955">
          <cell r="A1955">
            <v>0</v>
          </cell>
          <cell r="B1955">
            <v>0</v>
          </cell>
          <cell r="C1955">
            <v>0</v>
          </cell>
          <cell r="D1955">
            <v>0</v>
          </cell>
        </row>
        <row r="1956">
          <cell r="A1956">
            <v>0</v>
          </cell>
          <cell r="B1956">
            <v>0</v>
          </cell>
          <cell r="C1956">
            <v>0</v>
          </cell>
          <cell r="D1956">
            <v>0</v>
          </cell>
        </row>
        <row r="1957">
          <cell r="A1957">
            <v>0</v>
          </cell>
          <cell r="B1957">
            <v>0</v>
          </cell>
          <cell r="C1957">
            <v>0</v>
          </cell>
          <cell r="D1957">
            <v>0</v>
          </cell>
        </row>
        <row r="1958">
          <cell r="A1958">
            <v>0</v>
          </cell>
          <cell r="B1958">
            <v>0</v>
          </cell>
          <cell r="C1958">
            <v>0</v>
          </cell>
          <cell r="D1958">
            <v>0</v>
          </cell>
        </row>
        <row r="1959">
          <cell r="A1959">
            <v>0</v>
          </cell>
          <cell r="B1959">
            <v>0</v>
          </cell>
          <cell r="C1959">
            <v>0</v>
          </cell>
          <cell r="D1959">
            <v>0</v>
          </cell>
        </row>
        <row r="1960">
          <cell r="A1960">
            <v>0</v>
          </cell>
          <cell r="B1960">
            <v>0</v>
          </cell>
          <cell r="C1960">
            <v>0</v>
          </cell>
          <cell r="D1960">
            <v>0</v>
          </cell>
        </row>
        <row r="1961">
          <cell r="A1961">
            <v>0</v>
          </cell>
          <cell r="B1961">
            <v>0</v>
          </cell>
          <cell r="C1961">
            <v>0</v>
          </cell>
          <cell r="D1961">
            <v>0</v>
          </cell>
        </row>
        <row r="1962">
          <cell r="A1962">
            <v>0</v>
          </cell>
          <cell r="B1962">
            <v>0</v>
          </cell>
          <cell r="C1962">
            <v>0</v>
          </cell>
          <cell r="D1962">
            <v>0</v>
          </cell>
        </row>
        <row r="1963">
          <cell r="A1963">
            <v>0</v>
          </cell>
          <cell r="B1963">
            <v>0</v>
          </cell>
          <cell r="C1963">
            <v>0</v>
          </cell>
          <cell r="D1963">
            <v>0</v>
          </cell>
        </row>
        <row r="1964">
          <cell r="A1964">
            <v>0</v>
          </cell>
          <cell r="B1964">
            <v>0</v>
          </cell>
          <cell r="C1964">
            <v>0</v>
          </cell>
          <cell r="D1964">
            <v>0</v>
          </cell>
        </row>
        <row r="1965">
          <cell r="A1965">
            <v>0</v>
          </cell>
          <cell r="B1965">
            <v>0</v>
          </cell>
          <cell r="C1965">
            <v>0</v>
          </cell>
          <cell r="D1965">
            <v>0</v>
          </cell>
        </row>
        <row r="1966">
          <cell r="A1966">
            <v>0</v>
          </cell>
          <cell r="B1966">
            <v>0</v>
          </cell>
          <cell r="C1966">
            <v>0</v>
          </cell>
          <cell r="D1966">
            <v>0</v>
          </cell>
        </row>
        <row r="1967">
          <cell r="A1967">
            <v>0</v>
          </cell>
          <cell r="B1967">
            <v>0</v>
          </cell>
          <cell r="C1967">
            <v>0</v>
          </cell>
          <cell r="D1967">
            <v>0</v>
          </cell>
        </row>
        <row r="1968">
          <cell r="A1968">
            <v>0</v>
          </cell>
          <cell r="B1968">
            <v>0</v>
          </cell>
          <cell r="C1968">
            <v>0</v>
          </cell>
          <cell r="D1968">
            <v>0</v>
          </cell>
        </row>
        <row r="1969">
          <cell r="A1969">
            <v>0</v>
          </cell>
          <cell r="B1969">
            <v>0</v>
          </cell>
          <cell r="C1969">
            <v>0</v>
          </cell>
          <cell r="D1969">
            <v>0</v>
          </cell>
        </row>
        <row r="1970">
          <cell r="A1970">
            <v>0</v>
          </cell>
          <cell r="B1970">
            <v>0</v>
          </cell>
          <cell r="C1970">
            <v>0</v>
          </cell>
          <cell r="D1970">
            <v>0</v>
          </cell>
        </row>
        <row r="1971">
          <cell r="A1971">
            <v>0</v>
          </cell>
          <cell r="B1971">
            <v>0</v>
          </cell>
          <cell r="C1971">
            <v>0</v>
          </cell>
          <cell r="D1971">
            <v>0</v>
          </cell>
        </row>
        <row r="1972">
          <cell r="A1972">
            <v>0</v>
          </cell>
          <cell r="B1972">
            <v>0</v>
          </cell>
          <cell r="C1972">
            <v>0</v>
          </cell>
          <cell r="D1972">
            <v>0</v>
          </cell>
        </row>
        <row r="1973">
          <cell r="A1973">
            <v>0</v>
          </cell>
          <cell r="B1973">
            <v>0</v>
          </cell>
          <cell r="C1973">
            <v>0</v>
          </cell>
          <cell r="D1973">
            <v>0</v>
          </cell>
        </row>
        <row r="1974">
          <cell r="A1974">
            <v>0</v>
          </cell>
          <cell r="B1974">
            <v>0</v>
          </cell>
          <cell r="C1974">
            <v>0</v>
          </cell>
          <cell r="D1974">
            <v>0</v>
          </cell>
        </row>
        <row r="1975">
          <cell r="A1975">
            <v>0</v>
          </cell>
          <cell r="B1975">
            <v>0</v>
          </cell>
          <cell r="C1975">
            <v>0</v>
          </cell>
          <cell r="D1975">
            <v>0</v>
          </cell>
        </row>
        <row r="1976">
          <cell r="A1976">
            <v>0</v>
          </cell>
          <cell r="B1976">
            <v>0</v>
          </cell>
          <cell r="C1976">
            <v>0</v>
          </cell>
          <cell r="D1976">
            <v>0</v>
          </cell>
        </row>
        <row r="1977">
          <cell r="A1977">
            <v>0</v>
          </cell>
          <cell r="B1977">
            <v>0</v>
          </cell>
          <cell r="C1977">
            <v>0</v>
          </cell>
          <cell r="D1977">
            <v>0</v>
          </cell>
        </row>
        <row r="1978">
          <cell r="A1978">
            <v>0</v>
          </cell>
          <cell r="B1978">
            <v>0</v>
          </cell>
          <cell r="C1978">
            <v>0</v>
          </cell>
          <cell r="D1978">
            <v>0</v>
          </cell>
        </row>
        <row r="1979">
          <cell r="A1979">
            <v>0</v>
          </cell>
          <cell r="B1979">
            <v>0</v>
          </cell>
          <cell r="C1979">
            <v>0</v>
          </cell>
          <cell r="D1979">
            <v>0</v>
          </cell>
        </row>
        <row r="1980">
          <cell r="A1980">
            <v>0</v>
          </cell>
          <cell r="B1980">
            <v>0</v>
          </cell>
          <cell r="C1980">
            <v>0</v>
          </cell>
          <cell r="D1980">
            <v>0</v>
          </cell>
        </row>
        <row r="1981">
          <cell r="A1981">
            <v>0</v>
          </cell>
          <cell r="B1981">
            <v>0</v>
          </cell>
          <cell r="C1981">
            <v>0</v>
          </cell>
          <cell r="D1981">
            <v>0</v>
          </cell>
        </row>
        <row r="1982">
          <cell r="A1982">
            <v>0</v>
          </cell>
          <cell r="B1982">
            <v>0</v>
          </cell>
          <cell r="C1982">
            <v>0</v>
          </cell>
          <cell r="D1982">
            <v>0</v>
          </cell>
        </row>
        <row r="1983">
          <cell r="A1983">
            <v>0</v>
          </cell>
          <cell r="B1983">
            <v>0</v>
          </cell>
          <cell r="C1983">
            <v>0</v>
          </cell>
          <cell r="D1983">
            <v>0</v>
          </cell>
        </row>
        <row r="1984">
          <cell r="A1984">
            <v>0</v>
          </cell>
          <cell r="B1984">
            <v>0</v>
          </cell>
          <cell r="C1984">
            <v>0</v>
          </cell>
          <cell r="D1984">
            <v>0</v>
          </cell>
        </row>
        <row r="1985">
          <cell r="A1985">
            <v>0</v>
          </cell>
          <cell r="B1985">
            <v>0</v>
          </cell>
          <cell r="C1985">
            <v>0</v>
          </cell>
          <cell r="D1985">
            <v>0</v>
          </cell>
        </row>
        <row r="1986">
          <cell r="A1986">
            <v>0</v>
          </cell>
          <cell r="B1986">
            <v>0</v>
          </cell>
          <cell r="C1986">
            <v>0</v>
          </cell>
          <cell r="D1986">
            <v>0</v>
          </cell>
        </row>
        <row r="1987">
          <cell r="A1987">
            <v>0</v>
          </cell>
          <cell r="B1987">
            <v>0</v>
          </cell>
          <cell r="C1987">
            <v>0</v>
          </cell>
          <cell r="D1987">
            <v>0</v>
          </cell>
        </row>
        <row r="1988">
          <cell r="A1988">
            <v>0</v>
          </cell>
          <cell r="B1988">
            <v>0</v>
          </cell>
          <cell r="C1988">
            <v>0</v>
          </cell>
          <cell r="D1988">
            <v>0</v>
          </cell>
        </row>
        <row r="1989">
          <cell r="A1989">
            <v>0</v>
          </cell>
          <cell r="B1989">
            <v>0</v>
          </cell>
          <cell r="C1989">
            <v>0</v>
          </cell>
          <cell r="D1989">
            <v>0</v>
          </cell>
        </row>
        <row r="1990">
          <cell r="A1990">
            <v>0</v>
          </cell>
          <cell r="B1990">
            <v>0</v>
          </cell>
          <cell r="C1990">
            <v>0</v>
          </cell>
          <cell r="D1990">
            <v>0</v>
          </cell>
        </row>
        <row r="1991">
          <cell r="A1991">
            <v>0</v>
          </cell>
          <cell r="B1991">
            <v>0</v>
          </cell>
          <cell r="C1991">
            <v>0</v>
          </cell>
          <cell r="D1991">
            <v>0</v>
          </cell>
        </row>
        <row r="1992">
          <cell r="A1992">
            <v>0</v>
          </cell>
          <cell r="B1992">
            <v>0</v>
          </cell>
          <cell r="C1992">
            <v>0</v>
          </cell>
          <cell r="D1992">
            <v>0</v>
          </cell>
        </row>
        <row r="1993">
          <cell r="A1993">
            <v>0</v>
          </cell>
          <cell r="B1993">
            <v>0</v>
          </cell>
          <cell r="C1993">
            <v>0</v>
          </cell>
          <cell r="D1993">
            <v>0</v>
          </cell>
        </row>
        <row r="1994">
          <cell r="A1994">
            <v>0</v>
          </cell>
          <cell r="B1994">
            <v>0</v>
          </cell>
          <cell r="C1994">
            <v>0</v>
          </cell>
          <cell r="D1994">
            <v>0</v>
          </cell>
        </row>
        <row r="1995">
          <cell r="A1995">
            <v>0</v>
          </cell>
          <cell r="B1995">
            <v>0</v>
          </cell>
          <cell r="C1995">
            <v>0</v>
          </cell>
          <cell r="D1995">
            <v>0</v>
          </cell>
        </row>
        <row r="1996">
          <cell r="A1996">
            <v>0</v>
          </cell>
          <cell r="B1996">
            <v>0</v>
          </cell>
          <cell r="C1996">
            <v>0</v>
          </cell>
          <cell r="D1996">
            <v>0</v>
          </cell>
        </row>
        <row r="1997">
          <cell r="A1997">
            <v>0</v>
          </cell>
          <cell r="B1997">
            <v>0</v>
          </cell>
          <cell r="C1997">
            <v>0</v>
          </cell>
          <cell r="D1997">
            <v>0</v>
          </cell>
        </row>
        <row r="1998">
          <cell r="A1998">
            <v>0</v>
          </cell>
          <cell r="B1998">
            <v>0</v>
          </cell>
          <cell r="C1998">
            <v>0</v>
          </cell>
          <cell r="D1998">
            <v>0</v>
          </cell>
        </row>
        <row r="1999">
          <cell r="A1999">
            <v>0</v>
          </cell>
          <cell r="B1999">
            <v>0</v>
          </cell>
          <cell r="C1999">
            <v>0</v>
          </cell>
          <cell r="D1999">
            <v>0</v>
          </cell>
        </row>
      </sheetData>
      <sheetData sheetId="3">
        <row r="2">
          <cell r="B2" t="str">
            <v>AYUDANTE DE ALBAÑILERIA 1(A)</v>
          </cell>
        </row>
      </sheetData>
      <sheetData sheetId="4">
        <row r="2">
          <cell r="B2" t="str">
            <v>TRANSPORTE DE MAQUINARIA Y EQUIPO</v>
          </cell>
        </row>
      </sheetData>
      <sheetData sheetId="5">
        <row r="2">
          <cell r="B2" t="str">
            <v>YESO CORRIENTE</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row r="4">
          <cell r="A4" t="str">
            <v>1.1.7</v>
          </cell>
        </row>
      </sheetData>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row r="4">
          <cell r="A4" t="str">
            <v>1.1.7</v>
          </cell>
        </row>
      </sheetData>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row r="4">
          <cell r="A4" t="str">
            <v>1.1.7</v>
          </cell>
        </row>
      </sheetData>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row r="4">
          <cell r="A4" t="str">
            <v>1.1.7</v>
          </cell>
        </row>
      </sheetData>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refreshError="1"/>
      <sheetData sheetId="5753" refreshError="1"/>
      <sheetData sheetId="5754"/>
      <sheetData sheetId="5755" refreshError="1"/>
      <sheetData sheetId="5756" refreshError="1"/>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refreshError="1"/>
      <sheetData sheetId="5784"/>
      <sheetData sheetId="5785"/>
      <sheetData sheetId="5786"/>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sheetData sheetId="5803" refreshError="1"/>
      <sheetData sheetId="5804" refreshError="1"/>
      <sheetData sheetId="5805"/>
      <sheetData sheetId="5806"/>
      <sheetData sheetId="5807" refreshError="1"/>
      <sheetData sheetId="5808"/>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sheetData sheetId="5819"/>
      <sheetData sheetId="5820"/>
      <sheetData sheetId="582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sheetData sheetId="5833" refreshError="1"/>
      <sheetData sheetId="5834"/>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ISTORICOS WTI"/>
      <sheetName val="Gráfico1"/>
      <sheetName val="Hoja1"/>
      <sheetName val="HISTORICOS FUEL OIL EXP"/>
      <sheetName val="ESTIMACION NYMEX CRUDO"/>
      <sheetName val="ESTIMACION NYMEX GAS NATURAL"/>
      <sheetName val="PROYECCION"/>
      <sheetName val="FUEL OIL EXP vs FUEL OIL 30"/>
      <sheetName val="PRECIOS GAS"/>
      <sheetName val="Lista Base"/>
    </sheetNames>
    <sheetDataSet>
      <sheetData sheetId="0" refreshError="1"/>
      <sheetData sheetId="1" refreshError="1"/>
      <sheetData sheetId="2" refreshError="1"/>
      <sheetData sheetId="3">
        <row r="2">
          <cell r="B2" t="str">
            <v>BARRILES</v>
          </cell>
          <cell r="C2" t="str">
            <v>VALOR US$</v>
          </cell>
          <cell r="D2" t="str">
            <v>PRECIO US$/BL</v>
          </cell>
          <cell r="E2" t="str">
            <v>mes</v>
          </cell>
          <cell r="F2" t="str">
            <v>año</v>
          </cell>
        </row>
        <row r="3">
          <cell r="B3">
            <v>1445131</v>
          </cell>
          <cell r="C3">
            <v>28270367</v>
          </cell>
          <cell r="D3">
            <v>19.562494334423661</v>
          </cell>
          <cell r="E3">
            <v>1</v>
          </cell>
          <cell r="F3">
            <v>2000</v>
          </cell>
        </row>
        <row r="4">
          <cell r="B4">
            <v>295171</v>
          </cell>
          <cell r="C4">
            <v>6985221.6999999993</v>
          </cell>
          <cell r="D4">
            <v>23.664999949181997</v>
          </cell>
          <cell r="E4" t="e">
            <v>#VALUE!</v>
          </cell>
          <cell r="F4" t="e">
            <v>#VALUE!</v>
          </cell>
        </row>
        <row r="5">
          <cell r="B5">
            <v>1216350</v>
          </cell>
          <cell r="C5">
            <v>22579045</v>
          </cell>
          <cell r="D5">
            <v>18.562950630986148</v>
          </cell>
          <cell r="E5">
            <v>2</v>
          </cell>
          <cell r="F5">
            <v>2000</v>
          </cell>
        </row>
        <row r="6">
          <cell r="B6">
            <v>921179</v>
          </cell>
          <cell r="C6">
            <v>15593823.300000001</v>
          </cell>
          <cell r="D6">
            <v>16.92811418844763</v>
          </cell>
          <cell r="E6" t="e">
            <v>#VALUE!</v>
          </cell>
          <cell r="F6" t="e">
            <v>#VALUE!</v>
          </cell>
        </row>
        <row r="7">
          <cell r="B7">
            <v>2128655</v>
          </cell>
          <cell r="C7">
            <v>41064141</v>
          </cell>
          <cell r="D7">
            <v>19.291120919078008</v>
          </cell>
          <cell r="E7">
            <v>3</v>
          </cell>
          <cell r="F7">
            <v>2000</v>
          </cell>
        </row>
        <row r="8">
          <cell r="B8">
            <v>1541204</v>
          </cell>
          <cell r="C8">
            <v>28350347</v>
          </cell>
          <cell r="D8">
            <v>18.394934739333664</v>
          </cell>
          <cell r="E8">
            <v>4</v>
          </cell>
          <cell r="F8">
            <v>2000</v>
          </cell>
        </row>
        <row r="9">
          <cell r="B9">
            <v>708485</v>
          </cell>
          <cell r="C9">
            <v>15684652</v>
          </cell>
          <cell r="D9">
            <v>22.138297917387099</v>
          </cell>
          <cell r="E9">
            <v>5</v>
          </cell>
          <cell r="F9">
            <v>2000</v>
          </cell>
        </row>
        <row r="10">
          <cell r="B10">
            <v>1158216</v>
          </cell>
          <cell r="C10">
            <v>27479833</v>
          </cell>
          <cell r="D10">
            <v>23.726000158865013</v>
          </cell>
          <cell r="E10">
            <v>6</v>
          </cell>
          <cell r="F10">
            <v>2000</v>
          </cell>
        </row>
        <row r="11">
          <cell r="B11">
            <v>1835824</v>
          </cell>
          <cell r="C11">
            <v>38153851.030000001</v>
          </cell>
          <cell r="D11">
            <v>20.782956879308692</v>
          </cell>
          <cell r="E11">
            <v>7</v>
          </cell>
          <cell r="F11">
            <v>2000</v>
          </cell>
        </row>
        <row r="12">
          <cell r="B12">
            <v>318961</v>
          </cell>
          <cell r="C12">
            <v>5744487.6100000003</v>
          </cell>
          <cell r="D12">
            <v>18.010000000000002</v>
          </cell>
          <cell r="E12" t="e">
            <v>#VALUE!</v>
          </cell>
          <cell r="F12" t="e">
            <v>#VALUE!</v>
          </cell>
        </row>
        <row r="13">
          <cell r="B13">
            <v>1504912</v>
          </cell>
          <cell r="C13">
            <v>30961059.09</v>
          </cell>
          <cell r="D13">
            <v>20.573335244851528</v>
          </cell>
          <cell r="E13">
            <v>8</v>
          </cell>
          <cell r="F13">
            <v>2000</v>
          </cell>
        </row>
        <row r="14">
          <cell r="B14">
            <v>1185951</v>
          </cell>
          <cell r="C14">
            <v>25216571.48</v>
          </cell>
          <cell r="D14">
            <v>21.262743131883191</v>
          </cell>
          <cell r="E14" t="e">
            <v>#VALUE!</v>
          </cell>
          <cell r="F14" t="e">
            <v>#VALUE!</v>
          </cell>
        </row>
        <row r="15">
          <cell r="B15">
            <v>1236115</v>
          </cell>
          <cell r="C15">
            <v>30505332.710000001</v>
          </cell>
          <cell r="D15">
            <v>24.678393765952197</v>
          </cell>
          <cell r="E15">
            <v>9</v>
          </cell>
          <cell r="F15">
            <v>2000</v>
          </cell>
        </row>
        <row r="16">
          <cell r="B16">
            <v>1567005</v>
          </cell>
          <cell r="C16">
            <v>37983194.770000003</v>
          </cell>
          <cell r="D16">
            <v>24.239357736573911</v>
          </cell>
          <cell r="E16">
            <v>10</v>
          </cell>
          <cell r="F16">
            <v>2000</v>
          </cell>
        </row>
        <row r="17">
          <cell r="B17">
            <v>1395744</v>
          </cell>
          <cell r="C17">
            <v>33098959.809999999</v>
          </cell>
          <cell r="D17">
            <v>23.714205334216015</v>
          </cell>
          <cell r="E17">
            <v>11</v>
          </cell>
          <cell r="F17">
            <v>2000</v>
          </cell>
        </row>
        <row r="18">
          <cell r="B18">
            <v>1399461</v>
          </cell>
          <cell r="C18">
            <v>30951569.080000002</v>
          </cell>
          <cell r="D18">
            <v>22.116778588327936</v>
          </cell>
          <cell r="E18">
            <v>12</v>
          </cell>
          <cell r="F18">
            <v>2000</v>
          </cell>
        </row>
        <row r="19">
          <cell r="B19">
            <v>1486715</v>
          </cell>
          <cell r="C19">
            <v>29843301</v>
          </cell>
          <cell r="D19">
            <v>20.073316674682101</v>
          </cell>
          <cell r="E19">
            <v>1</v>
          </cell>
          <cell r="F19">
            <v>2001</v>
          </cell>
        </row>
        <row r="20">
          <cell r="B20">
            <v>316650</v>
          </cell>
          <cell r="C20">
            <v>5851692</v>
          </cell>
          <cell r="D20">
            <v>18.48</v>
          </cell>
          <cell r="E20" t="e">
            <v>#VALUE!</v>
          </cell>
          <cell r="F20" t="e">
            <v>#VALUE!</v>
          </cell>
        </row>
        <row r="21">
          <cell r="B21">
            <v>954282</v>
          </cell>
          <cell r="C21">
            <v>17260761</v>
          </cell>
          <cell r="D21">
            <v>18.087694203600194</v>
          </cell>
          <cell r="E21">
            <v>2</v>
          </cell>
          <cell r="F21">
            <v>2001</v>
          </cell>
        </row>
        <row r="22">
          <cell r="B22">
            <v>637632</v>
          </cell>
          <cell r="C22">
            <v>11409069</v>
          </cell>
          <cell r="D22">
            <v>17.892873946100572</v>
          </cell>
          <cell r="E22" t="e">
            <v>#VALUE!</v>
          </cell>
          <cell r="F22" t="e">
            <v>#VALUE!</v>
          </cell>
        </row>
        <row r="23">
          <cell r="B23">
            <v>1556613</v>
          </cell>
          <cell r="C23">
            <v>28326009</v>
          </cell>
          <cell r="D23">
            <v>18.197207012918433</v>
          </cell>
          <cell r="E23">
            <v>3</v>
          </cell>
          <cell r="F23">
            <v>2001</v>
          </cell>
        </row>
        <row r="24">
          <cell r="B24">
            <v>1556065</v>
          </cell>
          <cell r="C24">
            <v>31003911</v>
          </cell>
          <cell r="D24">
            <v>19.924560349342734</v>
          </cell>
          <cell r="E24">
            <v>4</v>
          </cell>
          <cell r="F24">
            <v>2001</v>
          </cell>
        </row>
        <row r="25">
          <cell r="B25">
            <v>1935031</v>
          </cell>
          <cell r="C25">
            <v>34350152</v>
          </cell>
          <cell r="D25">
            <v>17.751732142792545</v>
          </cell>
          <cell r="E25">
            <v>5</v>
          </cell>
          <cell r="F25">
            <v>2001</v>
          </cell>
        </row>
        <row r="26">
          <cell r="B26">
            <v>1756911</v>
          </cell>
          <cell r="C26">
            <v>26349119</v>
          </cell>
          <cell r="D26">
            <v>14.997412504105217</v>
          </cell>
          <cell r="E26">
            <v>6</v>
          </cell>
          <cell r="F26">
            <v>2001</v>
          </cell>
        </row>
        <row r="27">
          <cell r="B27">
            <v>1318295</v>
          </cell>
          <cell r="C27">
            <v>20990542.170000002</v>
          </cell>
          <cell r="D27">
            <v>15.922492439097471</v>
          </cell>
          <cell r="E27">
            <v>7</v>
          </cell>
          <cell r="F27">
            <v>2001</v>
          </cell>
        </row>
        <row r="28">
          <cell r="B28">
            <v>464185</v>
          </cell>
          <cell r="C28">
            <v>7340424</v>
          </cell>
          <cell r="D28">
            <v>15.813574329200643</v>
          </cell>
          <cell r="E28" t="e">
            <v>#VALUE!</v>
          </cell>
          <cell r="F28" t="e">
            <v>#VALUE!</v>
          </cell>
        </row>
        <row r="29">
          <cell r="B29">
            <v>1101122</v>
          </cell>
          <cell r="C29">
            <v>17666245</v>
          </cell>
          <cell r="D29">
            <v>16.043857992120763</v>
          </cell>
          <cell r="E29">
            <v>8</v>
          </cell>
          <cell r="F29">
            <v>2001</v>
          </cell>
        </row>
        <row r="30">
          <cell r="B30">
            <v>636937</v>
          </cell>
          <cell r="C30">
            <v>10325821</v>
          </cell>
          <cell r="D30">
            <v>16.211683416099238</v>
          </cell>
          <cell r="E30" t="e">
            <v>#VALUE!</v>
          </cell>
          <cell r="F30" t="e">
            <v>#VALUE!</v>
          </cell>
        </row>
        <row r="31">
          <cell r="B31">
            <v>1700118</v>
          </cell>
          <cell r="C31">
            <v>29436802</v>
          </cell>
          <cell r="D31">
            <v>17.314564047907265</v>
          </cell>
          <cell r="E31">
            <v>9</v>
          </cell>
          <cell r="F31">
            <v>2001</v>
          </cell>
        </row>
        <row r="32">
          <cell r="B32">
            <v>1501004</v>
          </cell>
          <cell r="C32">
            <v>23353499</v>
          </cell>
          <cell r="D32">
            <v>15.55858545346981</v>
          </cell>
          <cell r="E32">
            <v>10</v>
          </cell>
          <cell r="F32">
            <v>2001</v>
          </cell>
        </row>
        <row r="33">
          <cell r="B33">
            <v>1123378</v>
          </cell>
          <cell r="C33">
            <v>14857873</v>
          </cell>
          <cell r="D33">
            <v>13.226067272102533</v>
          </cell>
          <cell r="E33">
            <v>11</v>
          </cell>
          <cell r="F33">
            <v>2001</v>
          </cell>
        </row>
        <row r="34">
          <cell r="B34">
            <v>1524932</v>
          </cell>
          <cell r="C34">
            <v>20844837</v>
          </cell>
          <cell r="D34">
            <v>13.669355092554946</v>
          </cell>
          <cell r="E34">
            <v>12</v>
          </cell>
          <cell r="F34">
            <v>2001</v>
          </cell>
        </row>
        <row r="35">
          <cell r="B35">
            <v>1338406</v>
          </cell>
          <cell r="C35">
            <v>18716949.77</v>
          </cell>
          <cell r="D35">
            <v>13.984508265802754</v>
          </cell>
          <cell r="E35">
            <v>1</v>
          </cell>
          <cell r="F35">
            <v>2002</v>
          </cell>
        </row>
        <row r="36">
          <cell r="B36">
            <v>728052</v>
          </cell>
          <cell r="C36">
            <v>9680947.3100000005</v>
          </cell>
          <cell r="D36">
            <v>13.297054757077792</v>
          </cell>
          <cell r="E36" t="e">
            <v>#VALUE!</v>
          </cell>
          <cell r="F36" t="e">
            <v>#VALUE!</v>
          </cell>
        </row>
        <row r="37">
          <cell r="B37">
            <v>1348260</v>
          </cell>
          <cell r="C37">
            <v>17437505.310000002</v>
          </cell>
          <cell r="D37">
            <v>12.933340238529663</v>
          </cell>
          <cell r="E37">
            <v>2</v>
          </cell>
          <cell r="F37">
            <v>2002</v>
          </cell>
        </row>
        <row r="38">
          <cell r="B38">
            <v>620208</v>
          </cell>
          <cell r="C38">
            <v>7756558</v>
          </cell>
          <cell r="D38">
            <v>12.506381730000259</v>
          </cell>
          <cell r="E38" t="e">
            <v>#VALUE!</v>
          </cell>
          <cell r="F38" t="e">
            <v>#VALUE!</v>
          </cell>
        </row>
        <row r="39">
          <cell r="B39">
            <v>1297763</v>
          </cell>
          <cell r="C39">
            <v>20751550</v>
          </cell>
          <cell r="D39">
            <v>15.990246293044262</v>
          </cell>
          <cell r="E39">
            <v>3</v>
          </cell>
          <cell r="F39">
            <v>2002</v>
          </cell>
        </row>
        <row r="40">
          <cell r="B40">
            <v>1589150</v>
          </cell>
          <cell r="C40">
            <v>32001527</v>
          </cell>
          <cell r="D40">
            <v>20.137511877418746</v>
          </cell>
          <cell r="E40">
            <v>4</v>
          </cell>
          <cell r="F40">
            <v>2002</v>
          </cell>
        </row>
        <row r="41">
          <cell r="B41">
            <v>1215787</v>
          </cell>
          <cell r="C41">
            <v>26044498</v>
          </cell>
          <cell r="D41">
            <v>21.421925057596436</v>
          </cell>
          <cell r="E41">
            <v>5</v>
          </cell>
          <cell r="F41">
            <v>2002</v>
          </cell>
        </row>
        <row r="42">
          <cell r="B42">
            <v>1545281</v>
          </cell>
          <cell r="C42">
            <v>31336111.010000002</v>
          </cell>
          <cell r="D42">
            <v>20.278584289847608</v>
          </cell>
          <cell r="E42">
            <v>6</v>
          </cell>
          <cell r="F42">
            <v>2002</v>
          </cell>
        </row>
        <row r="43">
          <cell r="B43">
            <v>1878148</v>
          </cell>
          <cell r="C43">
            <v>38923115</v>
          </cell>
          <cell r="D43">
            <v>20.724200116284766</v>
          </cell>
          <cell r="E43">
            <v>7</v>
          </cell>
          <cell r="F43">
            <v>2002</v>
          </cell>
        </row>
        <row r="44">
          <cell r="B44">
            <v>286983</v>
          </cell>
          <cell r="C44">
            <v>6586260</v>
          </cell>
          <cell r="D44">
            <v>22.950000522679044</v>
          </cell>
          <cell r="E44" t="e">
            <v>#VALUE!</v>
          </cell>
          <cell r="F44" t="e">
            <v>#VALUE!</v>
          </cell>
        </row>
        <row r="45">
          <cell r="B45">
            <v>1076661</v>
          </cell>
          <cell r="C45">
            <v>24983577</v>
          </cell>
          <cell r="D45">
            <v>23.204682811024082</v>
          </cell>
          <cell r="E45">
            <v>8</v>
          </cell>
          <cell r="F45">
            <v>2002</v>
          </cell>
        </row>
        <row r="46">
          <cell r="B46">
            <v>789678</v>
          </cell>
          <cell r="C46">
            <v>18397317</v>
          </cell>
          <cell r="D46">
            <v>23.297238874579257</v>
          </cell>
          <cell r="E46" t="e">
            <v>#VALUE!</v>
          </cell>
          <cell r="F46" t="e">
            <v>#VALUE!</v>
          </cell>
        </row>
        <row r="47">
          <cell r="B47">
            <v>1383383</v>
          </cell>
          <cell r="C47">
            <v>32107013</v>
          </cell>
          <cell r="D47">
            <v>23.2090556266775</v>
          </cell>
          <cell r="E47">
            <v>9</v>
          </cell>
          <cell r="F47">
            <v>2002</v>
          </cell>
        </row>
        <row r="48">
          <cell r="B48">
            <v>1594924</v>
          </cell>
          <cell r="C48">
            <v>38967720.945</v>
          </cell>
          <cell r="D48">
            <v>24.432337180329597</v>
          </cell>
          <cell r="E48">
            <v>10</v>
          </cell>
          <cell r="F48">
            <v>2002</v>
          </cell>
        </row>
        <row r="49">
          <cell r="B49">
            <v>1731294</v>
          </cell>
          <cell r="C49">
            <v>36645253</v>
          </cell>
          <cell r="D49">
            <v>21.166395193421799</v>
          </cell>
          <cell r="E49">
            <v>11</v>
          </cell>
          <cell r="F49">
            <v>2002</v>
          </cell>
        </row>
        <row r="50">
          <cell r="B50">
            <v>1538442</v>
          </cell>
          <cell r="C50">
            <v>34898981</v>
          </cell>
          <cell r="D50">
            <v>22.68462574474696</v>
          </cell>
          <cell r="E50">
            <v>12</v>
          </cell>
          <cell r="F50">
            <v>2002</v>
          </cell>
        </row>
        <row r="51">
          <cell r="B51">
            <v>1960701</v>
          </cell>
          <cell r="C51">
            <v>54716462.5</v>
          </cell>
          <cell r="D51">
            <v>27.906581625653274</v>
          </cell>
          <cell r="E51">
            <v>1</v>
          </cell>
          <cell r="F51">
            <v>2003</v>
          </cell>
        </row>
        <row r="52">
          <cell r="B52">
            <v>0</v>
          </cell>
          <cell r="C52">
            <v>0</v>
          </cell>
          <cell r="D52">
            <v>0</v>
          </cell>
          <cell r="E52" t="e">
            <v>#VALUE!</v>
          </cell>
          <cell r="F52" t="e">
            <v>#VALUE!</v>
          </cell>
        </row>
        <row r="53">
          <cell r="B53">
            <v>936581</v>
          </cell>
          <cell r="C53">
            <v>31143896.899999999</v>
          </cell>
          <cell r="D53">
            <v>33.252753258927953</v>
          </cell>
          <cell r="E53">
            <v>2</v>
          </cell>
          <cell r="F53">
            <v>2003</v>
          </cell>
        </row>
        <row r="54">
          <cell r="B54">
            <v>936581</v>
          </cell>
          <cell r="C54">
            <v>31143896.899999999</v>
          </cell>
          <cell r="D54">
            <v>33.252753258927953</v>
          </cell>
          <cell r="E54" t="e">
            <v>#VALUE!</v>
          </cell>
          <cell r="F54" t="e">
            <v>#VALUE!</v>
          </cell>
        </row>
        <row r="55">
          <cell r="B55">
            <v>1907433</v>
          </cell>
          <cell r="C55">
            <v>37361915.299999997</v>
          </cell>
          <cell r="D55">
            <v>19.587537439060767</v>
          </cell>
          <cell r="E55">
            <v>3</v>
          </cell>
          <cell r="F55">
            <v>2003</v>
          </cell>
        </row>
        <row r="56">
          <cell r="B56">
            <v>1515950</v>
          </cell>
          <cell r="C56">
            <v>28353602.100000001</v>
          </cell>
          <cell r="D56">
            <v>18.703520630627661</v>
          </cell>
          <cell r="E56">
            <v>4</v>
          </cell>
          <cell r="F56">
            <v>2003</v>
          </cell>
        </row>
        <row r="57">
          <cell r="B57">
            <v>1443576</v>
          </cell>
          <cell r="C57">
            <v>27978160</v>
          </cell>
          <cell r="D57">
            <v>19.381147927092165</v>
          </cell>
          <cell r="E57">
            <v>5</v>
          </cell>
          <cell r="F57">
            <v>2003</v>
          </cell>
        </row>
        <row r="58">
          <cell r="B58">
            <v>1984116</v>
          </cell>
          <cell r="C58">
            <v>40418821</v>
          </cell>
          <cell r="D58">
            <v>20.371198558955221</v>
          </cell>
          <cell r="E58">
            <v>6</v>
          </cell>
          <cell r="F58">
            <v>2003</v>
          </cell>
        </row>
        <row r="59">
          <cell r="B59">
            <v>1646533</v>
          </cell>
          <cell r="C59">
            <v>40590002</v>
          </cell>
          <cell r="D59">
            <v>24.651799872823684</v>
          </cell>
          <cell r="E59">
            <v>7</v>
          </cell>
          <cell r="F59">
            <v>2003</v>
          </cell>
        </row>
        <row r="60">
          <cell r="B60">
            <v>308051</v>
          </cell>
          <cell r="C60">
            <v>7628113</v>
          </cell>
          <cell r="D60">
            <v>24.762500365199269</v>
          </cell>
          <cell r="E60" t="e">
            <v>#VALUE!</v>
          </cell>
          <cell r="F60" t="e">
            <v>#VALUE!</v>
          </cell>
        </row>
        <row r="61">
          <cell r="B61">
            <v>1495272</v>
          </cell>
          <cell r="C61">
            <v>37953808.600000001</v>
          </cell>
          <cell r="D61">
            <v>25.382544848027649</v>
          </cell>
          <cell r="E61">
            <v>8</v>
          </cell>
          <cell r="F61">
            <v>2003</v>
          </cell>
        </row>
        <row r="62">
          <cell r="B62">
            <v>1187221</v>
          </cell>
          <cell r="C62">
            <v>30325695.600000001</v>
          </cell>
          <cell r="D62">
            <v>25.543429235163462</v>
          </cell>
          <cell r="E62" t="e">
            <v>#VALUE!</v>
          </cell>
          <cell r="F62" t="e">
            <v>#VALUE!</v>
          </cell>
        </row>
        <row r="63">
          <cell r="B63">
            <v>1472473</v>
          </cell>
          <cell r="C63">
            <v>31638159.100000001</v>
          </cell>
          <cell r="D63">
            <v>21.486410345045378</v>
          </cell>
          <cell r="E63">
            <v>9</v>
          </cell>
          <cell r="F63">
            <v>2003</v>
          </cell>
        </row>
        <row r="64">
          <cell r="B64">
            <v>1716926</v>
          </cell>
          <cell r="C64">
            <v>39039760.200000003</v>
          </cell>
          <cell r="D64">
            <v>22.73817287407844</v>
          </cell>
          <cell r="E64">
            <v>10</v>
          </cell>
          <cell r="F64">
            <v>2003</v>
          </cell>
        </row>
        <row r="65">
          <cell r="B65">
            <v>1381468</v>
          </cell>
          <cell r="C65">
            <v>31200895</v>
          </cell>
          <cell r="D65">
            <v>22.585318661018569</v>
          </cell>
          <cell r="E65">
            <v>11</v>
          </cell>
          <cell r="F65">
            <v>2003</v>
          </cell>
        </row>
        <row r="66">
          <cell r="B66">
            <v>1529291</v>
          </cell>
          <cell r="C66">
            <v>35279318</v>
          </cell>
          <cell r="D66">
            <v>23.069067953711883</v>
          </cell>
          <cell r="E66">
            <v>12</v>
          </cell>
          <cell r="F66">
            <v>2003</v>
          </cell>
        </row>
        <row r="67">
          <cell r="B67">
            <v>2024866</v>
          </cell>
          <cell r="C67">
            <v>44783088</v>
          </cell>
          <cell r="D67">
            <v>22.116568701336288</v>
          </cell>
          <cell r="E67">
            <v>1</v>
          </cell>
          <cell r="F67">
            <v>2004</v>
          </cell>
        </row>
        <row r="68">
          <cell r="B68">
            <v>320398</v>
          </cell>
          <cell r="C68">
            <v>5792796</v>
          </cell>
          <cell r="D68">
            <v>18.080000499378897</v>
          </cell>
          <cell r="E68" t="e">
            <v>#VALUE!</v>
          </cell>
          <cell r="F68" t="e">
            <v>#VALUE!</v>
          </cell>
        </row>
        <row r="69">
          <cell r="B69">
            <v>1521068</v>
          </cell>
          <cell r="C69">
            <v>28617324.300000001</v>
          </cell>
          <cell r="D69">
            <v>18.813967751606111</v>
          </cell>
          <cell r="E69">
            <v>2</v>
          </cell>
          <cell r="F69">
            <v>2004</v>
          </cell>
        </row>
        <row r="70">
          <cell r="B70">
            <v>1200670</v>
          </cell>
          <cell r="C70">
            <v>22824528.300000001</v>
          </cell>
          <cell r="D70">
            <v>19.009826430243116</v>
          </cell>
          <cell r="E70" t="e">
            <v>#VALUE!</v>
          </cell>
          <cell r="F70" t="e">
            <v>#VALUE!</v>
          </cell>
        </row>
        <row r="71">
          <cell r="B71">
            <v>2410706</v>
          </cell>
          <cell r="C71">
            <v>45155476.5</v>
          </cell>
          <cell r="D71">
            <v>18.731225002136302</v>
          </cell>
          <cell r="E71">
            <v>3</v>
          </cell>
          <cell r="F71">
            <v>2004</v>
          </cell>
        </row>
        <row r="72">
          <cell r="B72">
            <v>1472877</v>
          </cell>
          <cell r="C72">
            <v>32757387.800000001</v>
          </cell>
          <cell r="D72">
            <v>22.240409620083685</v>
          </cell>
          <cell r="E72">
            <v>4</v>
          </cell>
          <cell r="F72">
            <v>2004</v>
          </cell>
        </row>
        <row r="73">
          <cell r="B73">
            <v>1690755</v>
          </cell>
          <cell r="C73">
            <v>39912485</v>
          </cell>
          <cell r="D73">
            <v>23.606309015794718</v>
          </cell>
          <cell r="E73">
            <v>5</v>
          </cell>
          <cell r="F73">
            <v>2004</v>
          </cell>
        </row>
        <row r="74">
          <cell r="B74">
            <v>2061213</v>
          </cell>
          <cell r="C74">
            <v>53412405</v>
          </cell>
          <cell r="D74">
            <v>25.913093406649384</v>
          </cell>
          <cell r="E74">
            <v>6</v>
          </cell>
          <cell r="F74">
            <v>2004</v>
          </cell>
        </row>
        <row r="75">
          <cell r="B75">
            <v>1626904</v>
          </cell>
          <cell r="C75">
            <v>38863151</v>
          </cell>
          <cell r="D75">
            <v>23.887796083850063</v>
          </cell>
          <cell r="E75">
            <v>7</v>
          </cell>
          <cell r="F75">
            <v>2004</v>
          </cell>
        </row>
        <row r="76">
          <cell r="B76">
            <v>857708</v>
          </cell>
          <cell r="C76">
            <v>20245476</v>
          </cell>
          <cell r="D76">
            <v>23.604158991171822</v>
          </cell>
          <cell r="E76" t="e">
            <v>#VALUE!</v>
          </cell>
          <cell r="F76" t="e">
            <v>#VALUE!</v>
          </cell>
        </row>
        <row r="77">
          <cell r="B77">
            <v>2223947</v>
          </cell>
          <cell r="C77">
            <v>53249939</v>
          </cell>
          <cell r="D77">
            <v>23.943888500939995</v>
          </cell>
          <cell r="E77">
            <v>8</v>
          </cell>
          <cell r="F77">
            <v>2004</v>
          </cell>
        </row>
        <row r="78">
          <cell r="B78">
            <v>1366239</v>
          </cell>
          <cell r="C78">
            <v>33004463</v>
          </cell>
          <cell r="D78">
            <v>24.157166498687271</v>
          </cell>
          <cell r="E78" t="e">
            <v>#VALUE!</v>
          </cell>
          <cell r="F78" t="e">
            <v>#VALUE!</v>
          </cell>
        </row>
        <row r="79">
          <cell r="B79">
            <v>1646563</v>
          </cell>
          <cell r="C79">
            <v>39007446</v>
          </cell>
          <cell r="D79">
            <v>23.690223817734275</v>
          </cell>
          <cell r="E79">
            <v>9</v>
          </cell>
          <cell r="F79">
            <v>2004</v>
          </cell>
        </row>
        <row r="80">
          <cell r="B80">
            <v>1891968</v>
          </cell>
          <cell r="C80">
            <v>52548241.210000001</v>
          </cell>
          <cell r="D80">
            <v>27.774381601591571</v>
          </cell>
          <cell r="E80">
            <v>10</v>
          </cell>
          <cell r="F80">
            <v>2004</v>
          </cell>
        </row>
        <row r="81">
          <cell r="B81">
            <v>1660865</v>
          </cell>
          <cell r="C81">
            <v>41103505</v>
          </cell>
          <cell r="D81">
            <v>24.748251664042531</v>
          </cell>
          <cell r="E81">
            <v>11</v>
          </cell>
          <cell r="F81">
            <v>2004</v>
          </cell>
        </row>
        <row r="82">
          <cell r="B82">
            <v>2095615</v>
          </cell>
          <cell r="C82">
            <v>36320017</v>
          </cell>
          <cell r="D82">
            <v>17.331435879204911</v>
          </cell>
          <cell r="E82">
            <v>12</v>
          </cell>
          <cell r="F82">
            <v>2004</v>
          </cell>
        </row>
        <row r="83">
          <cell r="B83">
            <v>1513382</v>
          </cell>
          <cell r="C83">
            <v>34766750</v>
          </cell>
          <cell r="D83">
            <v>22.972884572434456</v>
          </cell>
          <cell r="E83">
            <v>1</v>
          </cell>
          <cell r="F83">
            <v>2005</v>
          </cell>
        </row>
        <row r="84">
          <cell r="B84">
            <v>549208</v>
          </cell>
          <cell r="C84">
            <v>13431449</v>
          </cell>
          <cell r="D84">
            <v>24.456033051230136</v>
          </cell>
          <cell r="E84" t="e">
            <v>#VALUE!</v>
          </cell>
          <cell r="F84" t="e">
            <v>#VALUE!</v>
          </cell>
        </row>
        <row r="85">
          <cell r="B85">
            <v>1598376</v>
          </cell>
          <cell r="C85">
            <v>41294218.590000004</v>
          </cell>
          <cell r="D85">
            <v>25.835109254643466</v>
          </cell>
          <cell r="E85">
            <v>2</v>
          </cell>
          <cell r="F85">
            <v>2005</v>
          </cell>
        </row>
        <row r="86">
          <cell r="B86">
            <v>1049168</v>
          </cell>
          <cell r="C86">
            <v>27862769.590000004</v>
          </cell>
          <cell r="D86">
            <v>26.557014310386901</v>
          </cell>
          <cell r="E86" t="e">
            <v>#VALUE!</v>
          </cell>
          <cell r="F86" t="e">
            <v>#VALUE!</v>
          </cell>
        </row>
        <row r="87">
          <cell r="B87">
            <v>2317639</v>
          </cell>
          <cell r="C87">
            <v>65470027</v>
          </cell>
          <cell r="D87">
            <v>28.248587031888917</v>
          </cell>
          <cell r="E87">
            <v>3</v>
          </cell>
          <cell r="F87">
            <v>2005</v>
          </cell>
        </row>
        <row r="88">
          <cell r="B88">
            <v>1602419</v>
          </cell>
          <cell r="C88">
            <v>48601923.880000003</v>
          </cell>
          <cell r="D88">
            <v>30.330346732034506</v>
          </cell>
          <cell r="E88">
            <v>4</v>
          </cell>
          <cell r="F88">
            <v>2005</v>
          </cell>
        </row>
        <row r="89">
          <cell r="B89">
            <v>1922569</v>
          </cell>
          <cell r="C89">
            <v>58785383</v>
          </cell>
          <cell r="D89">
            <v>30.576475018581906</v>
          </cell>
          <cell r="E89">
            <v>29</v>
          </cell>
          <cell r="F89">
            <v>30</v>
          </cell>
        </row>
      </sheetData>
      <sheetData sheetId="4"/>
      <sheetData sheetId="5" refreshError="1"/>
      <sheetData sheetId="6" refreshError="1"/>
      <sheetData sheetId="7" refreshError="1"/>
      <sheetData sheetId="8" refreshError="1"/>
      <sheetData sheetId="9"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actividad"/>
      <sheetName val="aCant"/>
      <sheetName val="retropliegos"/>
      <sheetName val="orden"/>
      <sheetName val="precmatuni"/>
      <sheetName val="Prest"/>
      <sheetName val="dMO no calificada"/>
      <sheetName val="dCuadrilla"/>
      <sheetName val="cAnalisisbas"/>
      <sheetName val="cAnalisis"/>
      <sheetName val="precmatuni "/>
      <sheetName val="AUI"/>
      <sheetName val="cPresup"/>
      <sheetName val="rCuadrillas"/>
      <sheetName val="PPTO"/>
      <sheetName val="bEDT"/>
      <sheetName val="bCantDurRen"/>
      <sheetName val="btiempo"/>
      <sheetName val="bmatrizacti"/>
      <sheetName val="dganttpersonal"/>
      <sheetName val="distrib1"/>
      <sheetName val="distrib1 (2)"/>
      <sheetName val="distrib1 (3)"/>
      <sheetName val="distrib1 (4)"/>
      <sheetName val="distrib1 (5)"/>
      <sheetName val="histograma"/>
      <sheetName val="dganttequipos"/>
      <sheetName val="efondoscerc"/>
      <sheetName val="efondoslejano"/>
      <sheetName val="efondosnivelado"/>
      <sheetName val="ecurvaScosto"/>
      <sheetName val="bPertTiempo"/>
      <sheetName val="bCPM"/>
      <sheetName val="bMatSec"/>
      <sheetName val="bGanntPersonal"/>
      <sheetName val="bPertCosto"/>
      <sheetName val="bFlujoFonLejano"/>
      <sheetName val="bFlujoFonNivelado"/>
      <sheetName val="ecurvaScosto "/>
      <sheetName val="aUnitb"/>
      <sheetName val="zprocedimiento"/>
      <sheetName val="Lista Base"/>
    </sheetNames>
    <sheetDataSet>
      <sheetData sheetId="0">
        <row r="3">
          <cell r="A3">
            <v>0</v>
          </cell>
        </row>
        <row r="4">
          <cell r="A4">
            <v>0</v>
          </cell>
        </row>
        <row r="5">
          <cell r="A5">
            <v>0</v>
          </cell>
        </row>
        <row r="6">
          <cell r="A6">
            <v>0</v>
          </cell>
        </row>
        <row r="7">
          <cell r="A7">
            <v>0</v>
          </cell>
        </row>
        <row r="8">
          <cell r="A8">
            <v>0</v>
          </cell>
        </row>
        <row r="9">
          <cell r="A9">
            <v>0</v>
          </cell>
        </row>
        <row r="10">
          <cell r="A10">
            <v>0</v>
          </cell>
        </row>
        <row r="11">
          <cell r="A11">
            <v>0</v>
          </cell>
        </row>
        <row r="12">
          <cell r="A12">
            <v>0</v>
          </cell>
        </row>
        <row r="13">
          <cell r="A13">
            <v>0</v>
          </cell>
        </row>
        <row r="14">
          <cell r="A14">
            <v>0</v>
          </cell>
        </row>
        <row r="15">
          <cell r="A15">
            <v>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2">
          <cell r="B2" t="str">
            <v>PRIMERA ETAPA DE LA CONSTRUCCION DEL PARQUE ELAINE MARTINEZ PACHECO DEL MUNICIPIO DE MARIA LA BAJA</v>
          </cell>
        </row>
      </sheetData>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esupuesto"/>
      <sheetName val="Datos"/>
      <sheetName val="A.1.1"/>
      <sheetName val="A.1.2"/>
      <sheetName val="A.1.3"/>
      <sheetName val="A.1.4"/>
      <sheetName val="A.1.5"/>
      <sheetName val="A.1.6"/>
      <sheetName val="A.1.1."/>
      <sheetName val="A.1.2."/>
      <sheetName val="A.1.3."/>
      <sheetName val="A.1.4."/>
      <sheetName val="A.1.1,"/>
      <sheetName val="A.2,1"/>
      <sheetName val="A.2.2"/>
      <sheetName val="A.2.3"/>
      <sheetName val="A.2.4"/>
      <sheetName val="A.2.5"/>
      <sheetName val="A.2.6"/>
      <sheetName val="A.2.7"/>
      <sheetName val="A.2.8"/>
      <sheetName val="A.2.9"/>
      <sheetName val="A.2.10"/>
      <sheetName val="A.2.11"/>
      <sheetName val="A.2.12"/>
      <sheetName val="A.3.1"/>
      <sheetName val="A.3.2"/>
      <sheetName val="A.3.3."/>
      <sheetName val="A.3.4"/>
      <sheetName val="A.3.5"/>
      <sheetName val="A.3.6"/>
      <sheetName val="A.3.1."/>
      <sheetName val="A.3.2."/>
      <sheetName val="A.3.3,"/>
      <sheetName val="A.3.4."/>
      <sheetName val="A.3.5."/>
      <sheetName val="A.3.6."/>
      <sheetName val="A.4.7"/>
      <sheetName val="A.3.7."/>
      <sheetName val="A.3.8."/>
      <sheetName val="A.3.9"/>
      <sheetName val="A.3.10"/>
      <sheetName val="A.3.11"/>
      <sheetName val="A.4.1"/>
      <sheetName val="A.5.2"/>
      <sheetName val="A.5.3"/>
      <sheetName val="A.5.1"/>
      <sheetName val="A.7.1"/>
      <sheetName val="Hoja1"/>
    </sheetNames>
    <sheetDataSet>
      <sheetData sheetId="0">
        <row r="2">
          <cell r="AS2" t="str">
            <v>Adaptador terminal PVC de 1 1/2"</v>
          </cell>
        </row>
        <row r="3">
          <cell r="AS3" t="str">
            <v>Adaptador terminal PVC de 1 1/4"</v>
          </cell>
        </row>
        <row r="4">
          <cell r="AS4" t="str">
            <v>Adaptador terminal PVC de 1"</v>
          </cell>
        </row>
        <row r="5">
          <cell r="AS5" t="str">
            <v>Adaptador terminal PVC de 1/2"</v>
          </cell>
        </row>
        <row r="6">
          <cell r="AS6" t="str">
            <v>Adaptador terminal PVC de 2 1/2"</v>
          </cell>
        </row>
        <row r="7">
          <cell r="AS7" t="str">
            <v>Adaptador terminal PVC de 2"</v>
          </cell>
        </row>
        <row r="8">
          <cell r="AS8" t="str">
            <v>Adaptador terminal PVC de 3"</v>
          </cell>
        </row>
        <row r="9">
          <cell r="AS9" t="str">
            <v>Adaptador terminal PVC de 3/4"</v>
          </cell>
        </row>
        <row r="10">
          <cell r="AS10" t="str">
            <v>Adaptador terminal PVC de 4"</v>
          </cell>
        </row>
        <row r="11">
          <cell r="AS11" t="str">
            <v>Aislador  de suspención de disco 6" ANS 52-1</v>
          </cell>
        </row>
        <row r="12">
          <cell r="AS12" t="str">
            <v>Aislador carrete 2 1/2" ANSI 53-1</v>
          </cell>
        </row>
        <row r="13">
          <cell r="AS13" t="str">
            <v>Aislador carrete 3" ANSI 53-2</v>
          </cell>
        </row>
        <row r="14">
          <cell r="AS14" t="str">
            <v>Aislador de barraje pequeño</v>
          </cell>
        </row>
        <row r="15">
          <cell r="AS15" t="str">
            <v>Aislador tensor 3 1/2" ANSI 54-1</v>
          </cell>
        </row>
        <row r="16">
          <cell r="AS16" t="str">
            <v>Aislador tensor 4 1/4" ANSI 54-2</v>
          </cell>
        </row>
        <row r="17">
          <cell r="AS17" t="str">
            <v>Aislador tipo pin para 13.2 KV ANSI 55-4</v>
          </cell>
        </row>
        <row r="19">
          <cell r="AS19" t="str">
            <v>Alambre de cobre tipo THW No. 10  AWG</v>
          </cell>
        </row>
        <row r="20">
          <cell r="AS20" t="str">
            <v>Alambre de cobre tipo THW No. 12  AWG</v>
          </cell>
        </row>
        <row r="21">
          <cell r="AS21" t="str">
            <v>Alambre de cobre tipo THW No. 14  AWG</v>
          </cell>
        </row>
        <row r="22">
          <cell r="AS22" t="str">
            <v>Alambre de cobre tipo THW No. 8  AWG</v>
          </cell>
        </row>
        <row r="23">
          <cell r="AS23" t="str">
            <v>Alambre desnudo No. 10 AWG</v>
          </cell>
        </row>
        <row r="24">
          <cell r="AS24" t="str">
            <v>Alambre desnudo No. 12 AWG</v>
          </cell>
        </row>
        <row r="25">
          <cell r="AS25" t="str">
            <v>Alambre desnudo No. 14 AWG</v>
          </cell>
        </row>
        <row r="26">
          <cell r="AS26" t="str">
            <v>Arandela cuadrada plana de 2x2"x 5/8"</v>
          </cell>
        </row>
        <row r="27">
          <cell r="AS27" t="str">
            <v>Arandela cuadrada plana de 4x4"x 5/8"</v>
          </cell>
        </row>
        <row r="28">
          <cell r="AS28" t="str">
            <v>Arandela de presión guaza 1/2"</v>
          </cell>
        </row>
        <row r="29">
          <cell r="AS29" t="str">
            <v>Arandela de presión guaza 5/8"</v>
          </cell>
        </row>
        <row r="30">
          <cell r="AS30" t="str">
            <v>Arandela redonda de 1/2"</v>
          </cell>
        </row>
        <row r="31">
          <cell r="AS31" t="str">
            <v>Arandela redonda de 5/8"</v>
          </cell>
        </row>
        <row r="32">
          <cell r="AS32" t="str">
            <v>Boquilla terminal para tuberia IMC 1 1/2"</v>
          </cell>
        </row>
        <row r="33">
          <cell r="AS33" t="str">
            <v>Boquilla terminal para tuberia IMC 1 1/4"</v>
          </cell>
        </row>
        <row r="34">
          <cell r="AS34" t="str">
            <v>Boquilla terminal para tuberia IMC 1"</v>
          </cell>
        </row>
        <row r="35">
          <cell r="AS35" t="str">
            <v>Boquilla terminal para tuberia IMC 1/2"</v>
          </cell>
        </row>
        <row r="36">
          <cell r="AS36" t="str">
            <v>Boquilla terminal para tuberia IMC 1/2"</v>
          </cell>
        </row>
        <row r="37">
          <cell r="AS37" t="str">
            <v>Boquilla terminal para tuberia IMC 2 1/2"</v>
          </cell>
        </row>
        <row r="38">
          <cell r="AS38" t="str">
            <v>Boquilla terminal para tuberia IMC 2"</v>
          </cell>
        </row>
        <row r="39">
          <cell r="AS39" t="str">
            <v>Boquilla terminal para tuberia IMC 3"</v>
          </cell>
        </row>
        <row r="40">
          <cell r="AS40" t="str">
            <v>Boquilla terminal para tuberia IMC 3/4"</v>
          </cell>
        </row>
        <row r="41">
          <cell r="AS41" t="str">
            <v>Boquilla terminal para tuberia IMC 3/4"</v>
          </cell>
        </row>
        <row r="42">
          <cell r="AS42" t="str">
            <v>Boquilla terminal para tuberia IMC 4"</v>
          </cell>
        </row>
        <row r="46">
          <cell r="AS46" t="str">
            <v>Borna de ponchar estañada 1/0 AWG</v>
          </cell>
        </row>
        <row r="47">
          <cell r="AS47" t="str">
            <v>Borna de ponchar estañada 2/0 AWG</v>
          </cell>
        </row>
        <row r="48">
          <cell r="AS48" t="str">
            <v>Borna de ponchar estañada 250 AWG</v>
          </cell>
        </row>
        <row r="49">
          <cell r="AS49" t="str">
            <v>Borna de ponchar estañada 3/0 AWG</v>
          </cell>
        </row>
        <row r="50">
          <cell r="AS50" t="str">
            <v>Borna de ponchar estañada 350 AWG</v>
          </cell>
        </row>
        <row r="51">
          <cell r="AS51" t="str">
            <v>Borna de ponchar estañada 4/0 AWG</v>
          </cell>
        </row>
        <row r="52">
          <cell r="AS52" t="str">
            <v>Borna de ponchar estañada 4/0 AWG</v>
          </cell>
        </row>
        <row r="53">
          <cell r="AS53" t="str">
            <v>Borna de ponchar estañada No.2 AWG</v>
          </cell>
        </row>
        <row r="54">
          <cell r="AS54" t="str">
            <v>Borna de ponchar estañada No.4 AWG</v>
          </cell>
        </row>
        <row r="55">
          <cell r="AS55" t="str">
            <v>Borna de ponchar estañada No.6 AWG</v>
          </cell>
        </row>
        <row r="56">
          <cell r="AS56" t="str">
            <v>Brazo soporte luminaria horizontal 1 1/2"x1.20 m, con collarin.</v>
          </cell>
        </row>
        <row r="57">
          <cell r="AS57" t="str">
            <v>Breaker bipolar enchufable de 2x15A, 10 KA.</v>
          </cell>
        </row>
        <row r="58">
          <cell r="AS58" t="str">
            <v>Breaker bipolar enchufable de 2x20A, 10 KA.</v>
          </cell>
        </row>
        <row r="59">
          <cell r="AS59" t="str">
            <v>Breaker bipolar enchufable de 2x30A, 10 KA.</v>
          </cell>
        </row>
        <row r="61">
          <cell r="AS61" t="str">
            <v>Breaker bipolar enchufable de 2x40A, 10 KA.</v>
          </cell>
        </row>
        <row r="62">
          <cell r="AS62" t="str">
            <v>Breaker bipolar enchufable de 2x50A, 10 KA.</v>
          </cell>
        </row>
        <row r="63">
          <cell r="AS63" t="str">
            <v>Breaker bipolar enchufable de 2x60A, 10 KA.</v>
          </cell>
        </row>
        <row r="64">
          <cell r="AS64" t="str">
            <v>Breaker bipolar enchufable de 2x70A, 10 KA.</v>
          </cell>
        </row>
        <row r="65">
          <cell r="AS65" t="str">
            <v>Breaker de riel ABB bipolar 2x10 A</v>
          </cell>
        </row>
        <row r="66">
          <cell r="AS66" t="str">
            <v>Breaker de riel ABB bipolar 2x16 A</v>
          </cell>
        </row>
        <row r="67">
          <cell r="AS67" t="str">
            <v>Breaker de riel ABB bipolar 2x20 A</v>
          </cell>
        </row>
        <row r="68">
          <cell r="AS68" t="str">
            <v>Breaker de riel ABB bipolar 2x25 A</v>
          </cell>
        </row>
        <row r="69">
          <cell r="AS69" t="str">
            <v>Breaker de riel ABB monopolar 1x10 A</v>
          </cell>
        </row>
        <row r="70">
          <cell r="AS70" t="str">
            <v>Breaker de riel ABB monopolar 1x16 A</v>
          </cell>
        </row>
        <row r="71">
          <cell r="AS71" t="str">
            <v>Breaker de riel ABB monopolar 1x25 A</v>
          </cell>
        </row>
        <row r="72">
          <cell r="AS72" t="str">
            <v>Breaker de riel ABB monopolar 1x6 A</v>
          </cell>
        </row>
        <row r="73">
          <cell r="AS73" t="str">
            <v>Breaker de riel ABB tripolar 3x16 A</v>
          </cell>
        </row>
        <row r="74">
          <cell r="AS74" t="str">
            <v>Breaker de riel ABB tripolar 3x40 A</v>
          </cell>
        </row>
        <row r="75">
          <cell r="AS75" t="str">
            <v>Breaker de riel ABB tripolar 3x50 A</v>
          </cell>
        </row>
        <row r="76">
          <cell r="AS76" t="str">
            <v>Breaker de riel ABB tripolar 3x63 A</v>
          </cell>
        </row>
        <row r="77">
          <cell r="AS77" t="str">
            <v>Breaker industrial ABB 3x10 A</v>
          </cell>
        </row>
        <row r="78">
          <cell r="AS78" t="str">
            <v>Breaker industrial graduable ABB 3x140 - 200 A, 40 KA</v>
          </cell>
        </row>
        <row r="79">
          <cell r="AS79" t="str">
            <v>Breaker industrial graduable ABB 3x175 - 250 A, 50 KA</v>
          </cell>
        </row>
        <row r="80">
          <cell r="AS80" t="str">
            <v>Breaker industrial graduable ABB 3x22.4 - 32.25 A, 25 KA</v>
          </cell>
        </row>
        <row r="81">
          <cell r="AS81" t="str">
            <v>Breaker industrial graduable ABB 3x224 - 320 A, 70 KA</v>
          </cell>
        </row>
        <row r="82">
          <cell r="AS82" t="str">
            <v>Breaker industrial graduable ABB 3x28 - 40 A, 25 KA</v>
          </cell>
        </row>
        <row r="83">
          <cell r="AS83" t="str">
            <v>Breaker industrial graduable ABB 3x35 - 50 A, 25 KA</v>
          </cell>
        </row>
        <row r="84">
          <cell r="AS84" t="str">
            <v>Breaker industrial graduable ABB 3x350 - 500 A, 70 KA</v>
          </cell>
        </row>
        <row r="85">
          <cell r="AS85" t="str">
            <v>Breaker industrial graduable ABB 3x44 - 63 A, 25 KA</v>
          </cell>
        </row>
        <row r="86">
          <cell r="AS86" t="str">
            <v>Breaker industrial graduable ABB 3x560 - 800 A, 70 KA</v>
          </cell>
        </row>
        <row r="87">
          <cell r="AS87" t="str">
            <v>Breaker industrial graduable ABB 3x70 - 100 A, 25 KA</v>
          </cell>
        </row>
        <row r="88">
          <cell r="AS88" t="str">
            <v>Breaker industrial graduable ABB 3x87 - 125 A, 25 KA</v>
          </cell>
        </row>
        <row r="89">
          <cell r="AS89" t="str">
            <v>Breaker monopolar enchufable de 15A, 10 KA.</v>
          </cell>
        </row>
        <row r="90">
          <cell r="AS90" t="str">
            <v>Breaker monopolar enchufable de 20A, 10 KA.</v>
          </cell>
        </row>
        <row r="91">
          <cell r="AS91" t="str">
            <v>Breaker monopolar enchufable de 30A, 10 KA.</v>
          </cell>
        </row>
        <row r="92">
          <cell r="AS92" t="str">
            <v>Breaker monopolar enchufable de 40A, 10 KA.</v>
          </cell>
        </row>
        <row r="93">
          <cell r="AS93" t="str">
            <v>Breaker monopolar enchufable de 50A, 10 KA.</v>
          </cell>
        </row>
        <row r="94">
          <cell r="AS94" t="str">
            <v>Breaker tripolar enchufable de 3x100A, 10 KA.</v>
          </cell>
        </row>
        <row r="95">
          <cell r="AS95" t="str">
            <v>Breaker tripolar enchufable de 3x15A, 10 KA.</v>
          </cell>
        </row>
        <row r="96">
          <cell r="AS96" t="str">
            <v>Breaker tripolar enchufable de 3x20A, 10 KA.</v>
          </cell>
        </row>
        <row r="97">
          <cell r="AS97" t="str">
            <v>Breaker tripolar enchufable de 3x30A, 10 KA.</v>
          </cell>
        </row>
        <row r="98">
          <cell r="AS98" t="str">
            <v>Breaker tripolar enchufable de 3x40A, 10 KA.</v>
          </cell>
        </row>
        <row r="99">
          <cell r="AS99" t="str">
            <v>Breaker tripolar enchufable de 3x50A, 10 KA.</v>
          </cell>
        </row>
        <row r="100">
          <cell r="AS100" t="str">
            <v>Breaker tripolar enchufable de 3x60A, 10 KA.</v>
          </cell>
        </row>
        <row r="101">
          <cell r="AS101" t="str">
            <v>Breaker tripolar enchufable de 3x70A, 10 KA.</v>
          </cell>
        </row>
        <row r="102">
          <cell r="AS102" t="str">
            <v>Cable de acero reforzado 3/8"</v>
          </cell>
        </row>
        <row r="103">
          <cell r="AS103" t="str">
            <v>Cable de acero reforzado 5/16"</v>
          </cell>
        </row>
        <row r="104">
          <cell r="AS104" t="str">
            <v>Cable de cobre Aislado THW  1/0 AWG</v>
          </cell>
        </row>
        <row r="105">
          <cell r="AS105" t="str">
            <v>Cable de cobre Aislado THW  2/0 AWG</v>
          </cell>
        </row>
        <row r="106">
          <cell r="AS106" t="str">
            <v>Cable de cobre Aislado THW  3/0 AWG</v>
          </cell>
        </row>
        <row r="107">
          <cell r="AS107" t="str">
            <v>Cable de cobre Aislado THW  4/0 AWG</v>
          </cell>
        </row>
        <row r="108">
          <cell r="AS108" t="str">
            <v>Cable de cobre Aislado THW No. 2 AWG</v>
          </cell>
        </row>
        <row r="109">
          <cell r="AS109" t="str">
            <v>Cable de cobre Aislado THW No. 4 AWG</v>
          </cell>
        </row>
        <row r="110">
          <cell r="AS110" t="str">
            <v>Cable de cobre Aislado THW No. 6 AWG</v>
          </cell>
        </row>
        <row r="111">
          <cell r="AS111" t="str">
            <v>Cable de cobre Aislado THW No. 8 AWG</v>
          </cell>
        </row>
        <row r="112">
          <cell r="AS112" t="str">
            <v>Cable de cobre Aislado THW/THHN 250 MCM</v>
          </cell>
        </row>
        <row r="113">
          <cell r="AS113" t="str">
            <v>Cable de cobre Aislado THW/THHN 350 MCM</v>
          </cell>
        </row>
        <row r="114">
          <cell r="AS114" t="str">
            <v>Cable desnudo  1/0 AWG</v>
          </cell>
        </row>
        <row r="115">
          <cell r="AS115" t="str">
            <v>Cable desnudo  2/0 AWG</v>
          </cell>
        </row>
        <row r="116">
          <cell r="AS116" t="str">
            <v>Cable desnudo No. 2 AWG</v>
          </cell>
        </row>
        <row r="117">
          <cell r="AS117" t="str">
            <v>Cable desnudo No. 4 AWG</v>
          </cell>
        </row>
        <row r="118">
          <cell r="AS118" t="str">
            <v>Cable desnudo No. 6 AWG</v>
          </cell>
        </row>
        <row r="119">
          <cell r="AS119" t="str">
            <v>Cable desnudo No. 8 AWG</v>
          </cell>
        </row>
        <row r="120">
          <cell r="AS120" t="str">
            <v>Cable tipo ACSR  1/0 AWG</v>
          </cell>
        </row>
        <row r="121">
          <cell r="AS121" t="str">
            <v>Cable tipo ACSR  2/0 AWG</v>
          </cell>
        </row>
        <row r="122">
          <cell r="AS122" t="str">
            <v>Cable tipo ACSR No. 2 AWG</v>
          </cell>
        </row>
        <row r="123">
          <cell r="AS123" t="str">
            <v>Cable tipo ACSR No. 4 AWG</v>
          </cell>
        </row>
        <row r="125">
          <cell r="AS125" t="str">
            <v>Caja metalica doble fondo 10 x10 cm</v>
          </cell>
        </row>
        <row r="126">
          <cell r="AS126" t="str">
            <v>Caja metalica galvanizada 2400</v>
          </cell>
        </row>
        <row r="127">
          <cell r="AS127" t="str">
            <v>Caja metálica galvanizada 5800</v>
          </cell>
        </row>
        <row r="128">
          <cell r="AS128" t="str">
            <v>Caja metálica galvanizada octogonal para roseta</v>
          </cell>
        </row>
        <row r="129">
          <cell r="AS129" t="str">
            <v>caja monofásica de 12 circuitos, barraje de 100 A, barra neutro y barra tierra</v>
          </cell>
        </row>
        <row r="130">
          <cell r="AS130" t="str">
            <v>Caja monofásica de 6 circuitos, barraje de 100 A, barra neutro y barra tierra</v>
          </cell>
        </row>
        <row r="131">
          <cell r="AS131" t="str">
            <v>Caja monofásica de 9 circuitos, barraje de 100 A, barra neutro y barra tierra</v>
          </cell>
        </row>
        <row r="132">
          <cell r="AS132" t="str">
            <v>Capacete roscado en aluminio para tuberia EMT 1 1/2"</v>
          </cell>
        </row>
        <row r="133">
          <cell r="AS133" t="str">
            <v>Capacete roscado en aluminio para tuberia EMT 1 1/4"</v>
          </cell>
        </row>
        <row r="134">
          <cell r="AS134" t="str">
            <v>Capacete roscado en aluminio para tuberia EMT 1"</v>
          </cell>
        </row>
        <row r="135">
          <cell r="AS135" t="str">
            <v>Capacete roscado en aluminio para tuberia EMT 1/2"</v>
          </cell>
        </row>
        <row r="136">
          <cell r="AS136" t="str">
            <v>Capacete roscado en aluminio para tuberia EMT 2"</v>
          </cell>
        </row>
        <row r="137">
          <cell r="AS137" t="str">
            <v>Capacete roscado en aluminio para tuberia EMT 3"</v>
          </cell>
        </row>
        <row r="138">
          <cell r="AS138" t="str">
            <v>Capacete roscado en aluminio para tuberia EMT 3/4"</v>
          </cell>
        </row>
        <row r="139">
          <cell r="AS139" t="str">
            <v>Capacete roscado en aluminio para tuberia EMT 4"</v>
          </cell>
        </row>
        <row r="140">
          <cell r="AS140" t="str">
            <v>Capacete roscado en aluminio para tuberia IMC 1 1/2"</v>
          </cell>
        </row>
        <row r="141">
          <cell r="AS141" t="str">
            <v>Capacete roscado en aluminio para tuberia IMC 1 1/4"</v>
          </cell>
        </row>
        <row r="142">
          <cell r="AS142" t="str">
            <v>Capacete roscado en aluminio para tuberia IMC 1"</v>
          </cell>
        </row>
        <row r="143">
          <cell r="AS143" t="str">
            <v>Capacete roscado en aluminio para tuberia IMC 1/2"</v>
          </cell>
        </row>
        <row r="144">
          <cell r="AS144" t="str">
            <v>Capacete roscado en aluminio para tuberia IMC 2"</v>
          </cell>
        </row>
        <row r="145">
          <cell r="AS145" t="str">
            <v>Capacete roscado en aluminio para tuberia IMC 3"</v>
          </cell>
        </row>
        <row r="146">
          <cell r="AS146" t="str">
            <v>Capacete roscado en aluminio para tuberia IMC 3/4"</v>
          </cell>
        </row>
        <row r="147">
          <cell r="AS147" t="str">
            <v>Capacete roscado en aluminio para tuberia IMC 4"</v>
          </cell>
        </row>
        <row r="148">
          <cell r="AS148" t="str">
            <v>cinta aislante 23 de 3M</v>
          </cell>
        </row>
        <row r="149">
          <cell r="AS149" t="str">
            <v>Cinta aislante 33 de 3M</v>
          </cell>
        </row>
        <row r="150">
          <cell r="AS150" t="str">
            <v>Cinta aislante rojo, amarillo, azul, vede, café de 3M</v>
          </cell>
        </row>
        <row r="151">
          <cell r="AS151" t="str">
            <v>Cinta band it en acero inoxidable 1/2"x30 m</v>
          </cell>
        </row>
        <row r="152">
          <cell r="AS152" t="str">
            <v>Cinta band it en acero inoxidable 3/4"x30 m</v>
          </cell>
        </row>
        <row r="153">
          <cell r="AS153" t="str">
            <v>Cinta band it en acero inoxidable 5/8"x30 m</v>
          </cell>
        </row>
        <row r="155">
          <cell r="AS155" t="str">
            <v>Collarin 6-8" patina 1/4" dos salida</v>
          </cell>
        </row>
        <row r="156">
          <cell r="AS156" t="str">
            <v>Collarin 6-8" patina 1/4"una salida</v>
          </cell>
        </row>
        <row r="157">
          <cell r="AS157" t="str">
            <v>Collarin 7-9" patina 1/4" dos salida</v>
          </cell>
        </row>
        <row r="158">
          <cell r="AS158" t="str">
            <v>Collarin 7-9" patina 1/4"una salida</v>
          </cell>
        </row>
        <row r="159">
          <cell r="AS159" t="str">
            <v>Collarin 8-10" patina 1/4"dos salida</v>
          </cell>
        </row>
        <row r="160">
          <cell r="AS160" t="str">
            <v>Collarin 8-10" patina 1/4"una salida</v>
          </cell>
        </row>
        <row r="161">
          <cell r="AS161" t="str">
            <v>Collarin para transformador 10-12"</v>
          </cell>
        </row>
        <row r="162">
          <cell r="AS162" t="str">
            <v>Collarin para transformador 7 -8"</v>
          </cell>
        </row>
        <row r="163">
          <cell r="AS163" t="str">
            <v>Collarin para transformador 9-10"</v>
          </cell>
        </row>
        <row r="164">
          <cell r="AS164" t="str">
            <v>Cortacircuitos de 15 KV 100A, tipo expulsión.</v>
          </cell>
        </row>
        <row r="165">
          <cell r="AS165" t="str">
            <v>Cruceta metálica galvanizada de 2 1/2"x1/4"x1.50 m</v>
          </cell>
        </row>
        <row r="166">
          <cell r="AS166" t="str">
            <v>Cruceta metálica galvanizada de 2 1/2"x1/4"x2.0 m</v>
          </cell>
        </row>
        <row r="167">
          <cell r="AS167" t="str">
            <v>Cruceta metálica galvanizada de 2 1/2"x1/4"x2.40 m</v>
          </cell>
        </row>
        <row r="168">
          <cell r="AS168" t="str">
            <v>Cruceta metálica galvanizada de 2 1/2"x1/4"x2.50 m</v>
          </cell>
        </row>
        <row r="169">
          <cell r="AS169" t="str">
            <v>Cruceta metálica galvanizada de 3"x1/4"x3.0 m</v>
          </cell>
        </row>
        <row r="170">
          <cell r="AS170" t="str">
            <v>Cruceta metálica galvanizada de 3"x1/4"x4.0 m</v>
          </cell>
        </row>
        <row r="171">
          <cell r="AS171" t="str">
            <v>CT!S 100/5 A</v>
          </cell>
        </row>
        <row r="172">
          <cell r="AS172" t="str">
            <v>CT!S 150/5 A</v>
          </cell>
        </row>
        <row r="173">
          <cell r="AS173" t="str">
            <v>CT!S 200/5 A</v>
          </cell>
        </row>
        <row r="174">
          <cell r="AS174" t="str">
            <v>CT!S 300/5 A</v>
          </cell>
        </row>
        <row r="175">
          <cell r="AS175" t="str">
            <v>CT!S 400/5 A</v>
          </cell>
        </row>
        <row r="176">
          <cell r="AS176" t="str">
            <v>CT!S 500/5 A</v>
          </cell>
        </row>
        <row r="177">
          <cell r="AS177" t="str">
            <v>CT!S 600/5 A</v>
          </cell>
        </row>
        <row r="178">
          <cell r="AS178" t="str">
            <v>Curva 90 galvanizada EMT 1 "</v>
          </cell>
        </row>
        <row r="179">
          <cell r="AS179" t="str">
            <v>Curva 90 galvanizada EMT 1 1/2"</v>
          </cell>
        </row>
        <row r="180">
          <cell r="AS180" t="str">
            <v>Curva 90 galvanizada EMT 1 1/4"</v>
          </cell>
        </row>
        <row r="181">
          <cell r="AS181" t="str">
            <v>Curva 90 galvanizada EMT 1/2"</v>
          </cell>
        </row>
        <row r="182">
          <cell r="AS182" t="str">
            <v>Curva 90 galvanizada EMT 2"</v>
          </cell>
        </row>
        <row r="183">
          <cell r="AS183" t="str">
            <v>Curva 90 galvanizada EMT 3"</v>
          </cell>
        </row>
        <row r="184">
          <cell r="AS184" t="str">
            <v>Curva 90 galvanizada EMT 3/4"</v>
          </cell>
        </row>
        <row r="185">
          <cell r="AS185" t="str">
            <v>Curva 90 galvanizada EMT 4"</v>
          </cell>
        </row>
        <row r="186">
          <cell r="AS186" t="str">
            <v>Curva 90 galvanizada IMC 1 "</v>
          </cell>
        </row>
        <row r="188">
          <cell r="AS188" t="str">
            <v>Curva 90 galvanizada IMC 1 1/2"</v>
          </cell>
        </row>
        <row r="189">
          <cell r="AS189" t="str">
            <v>Curva 90 galvanizada IMC 1 1/4"</v>
          </cell>
        </row>
        <row r="190">
          <cell r="AS190" t="str">
            <v>Curva 90 galvanizada IMC 1/2"</v>
          </cell>
        </row>
        <row r="191">
          <cell r="AS191" t="str">
            <v>Curva 90 galvanizada IMC 2"</v>
          </cell>
        </row>
        <row r="192">
          <cell r="AS192" t="str">
            <v>Curva 90 galvanizada IMC 3"</v>
          </cell>
        </row>
        <row r="193">
          <cell r="AS193" t="str">
            <v>Curva 90 galvanizada IMC 3/4"</v>
          </cell>
        </row>
        <row r="194">
          <cell r="AS194" t="str">
            <v>Curva 90 galvanizada IMC 4"</v>
          </cell>
        </row>
        <row r="195">
          <cell r="AS195" t="str">
            <v>Curva PVC de 1"</v>
          </cell>
        </row>
        <row r="196">
          <cell r="AS196" t="str">
            <v>Curva PVC de 1/2"</v>
          </cell>
        </row>
        <row r="197">
          <cell r="AS197" t="str">
            <v>Curva PVC de 2"</v>
          </cell>
        </row>
        <row r="198">
          <cell r="AS198" t="str">
            <v>Curva PVC de 3"</v>
          </cell>
        </row>
        <row r="199">
          <cell r="AS199" t="str">
            <v>Curva PVC de 4"</v>
          </cell>
        </row>
        <row r="200">
          <cell r="AS200" t="str">
            <v>Curval PVC de 1 1/2"</v>
          </cell>
        </row>
        <row r="201">
          <cell r="AS201" t="str">
            <v>Curval PVC de 1 1/4"</v>
          </cell>
        </row>
        <row r="202">
          <cell r="AS202" t="str">
            <v>Curval PVC de 2 1/2"</v>
          </cell>
        </row>
        <row r="203">
          <cell r="AS203" t="str">
            <v>Curval PVC de 3/4"</v>
          </cell>
        </row>
        <row r="204">
          <cell r="AS204" t="str">
            <v>Diagonal recta cruceta metálica de 1 1/2x3/16x0.68 m.</v>
          </cell>
        </row>
        <row r="205">
          <cell r="AS205" t="str">
            <v>Diagonal recta cruceta metálica de 1 1/2x3/16x1.10 m.</v>
          </cell>
        </row>
        <row r="206">
          <cell r="AS206" t="str">
            <v>Ducto PVC de 2"x6 m tipo DB</v>
          </cell>
        </row>
        <row r="207">
          <cell r="AS207" t="str">
            <v>Ducto PVC de 3"x6 m tipo DB</v>
          </cell>
        </row>
        <row r="208">
          <cell r="AS208" t="str">
            <v>Ducto PVC de 4"x6 m tipo DB</v>
          </cell>
        </row>
        <row r="209">
          <cell r="AS209" t="str">
            <v>Esparrago  5/8x10" 4T</v>
          </cell>
        </row>
        <row r="210">
          <cell r="AS210" t="str">
            <v>Esparrago  5/8x12" 4T</v>
          </cell>
        </row>
        <row r="211">
          <cell r="AS211" t="str">
            <v>Espigo cruceta metálica 5/8"x8"</v>
          </cell>
        </row>
        <row r="212">
          <cell r="AS212" t="str">
            <v>Grapa de retensión en acero tipo pistola 6 - 2/0 AWG</v>
          </cell>
        </row>
        <row r="213">
          <cell r="AS213" t="str">
            <v>Grapa de retensión tipo pistola aluminio 6-2/0 2 ues.</v>
          </cell>
        </row>
        <row r="214">
          <cell r="AS214" t="str">
            <v>Grapa prensora 1 1/2"x3/8"x6".</v>
          </cell>
        </row>
        <row r="215">
          <cell r="AS215" t="str">
            <v>Guarda cobos 3/8"</v>
          </cell>
        </row>
        <row r="216">
          <cell r="AS216" t="str">
            <v>Hebilla para cinta band it de 1/2"</v>
          </cell>
        </row>
        <row r="217">
          <cell r="AS217" t="str">
            <v>Hebilla para cinta band it de 3/4"</v>
          </cell>
        </row>
        <row r="218">
          <cell r="AS218" t="str">
            <v>Hebilla para cinta band it de 5/8"</v>
          </cell>
        </row>
        <row r="220">
          <cell r="AS220" t="str">
            <v>Interruptor doble con luz piloto</v>
          </cell>
        </row>
        <row r="221">
          <cell r="AS221" t="str">
            <v>Interruptor doble conmutable</v>
          </cell>
        </row>
        <row r="222">
          <cell r="AS222" t="str">
            <v>Interruptor sencillo con luz piloto</v>
          </cell>
        </row>
        <row r="223">
          <cell r="AS223" t="str">
            <v>Interruptor sencillo conmutable</v>
          </cell>
        </row>
        <row r="224">
          <cell r="AS224" t="str">
            <v>Interruptor triple con luz piloto</v>
          </cell>
        </row>
        <row r="225">
          <cell r="AS225" t="str">
            <v>Interruptor triple conmutable</v>
          </cell>
        </row>
        <row r="227">
          <cell r="AS227" t="str">
            <v>Lámpara ahorradora de 55 W</v>
          </cell>
        </row>
        <row r="228">
          <cell r="AS228" t="str">
            <v>Lámpara fluorescente electrónica 2x36W sylvania ref.0046126</v>
          </cell>
        </row>
        <row r="230">
          <cell r="AS230" t="str">
            <v>Medidor bifásico electromecánico 15-60 A/208/120V</v>
          </cell>
        </row>
        <row r="231">
          <cell r="AS231" t="str">
            <v>Medidor trifásico electromecánico 20-100 A/208/120V</v>
          </cell>
        </row>
        <row r="232">
          <cell r="AS232" t="str">
            <v>Medidor trifásico electrónico 0-5 A/208/120V</v>
          </cell>
        </row>
        <row r="234">
          <cell r="AS234" t="str">
            <v>Pararrayo de 12 KV 10 KA</v>
          </cell>
        </row>
        <row r="235">
          <cell r="AS235" t="str">
            <v>Percha tipo pesado 1 puesto.</v>
          </cell>
        </row>
        <row r="236">
          <cell r="AS236" t="str">
            <v>Percha tipo pesado 2 puesto.</v>
          </cell>
        </row>
        <row r="237">
          <cell r="AS237" t="str">
            <v>Percha tipo pesado 3 puesto.</v>
          </cell>
        </row>
        <row r="238">
          <cell r="AS238" t="str">
            <v>Percha tipo pesado 4 puesto.</v>
          </cell>
        </row>
        <row r="239">
          <cell r="AS239" t="str">
            <v>Percha tipo pesado 5 puesto.</v>
          </cell>
        </row>
        <row r="240">
          <cell r="AS240" t="str">
            <v>Perno de carreaje de 5/8"x2 1/2" 1 tuerca.</v>
          </cell>
        </row>
        <row r="241">
          <cell r="AS241" t="str">
            <v>Perno de máquina de 1/2x1 1/2".</v>
          </cell>
        </row>
        <row r="242">
          <cell r="AS242" t="str">
            <v>Perno de máquina de 5/8x10".</v>
          </cell>
        </row>
        <row r="243">
          <cell r="AS243" t="str">
            <v>Perno de máquina de 5/8x12".</v>
          </cell>
        </row>
        <row r="244">
          <cell r="AS244" t="str">
            <v>Perno de máquina de 5/8x8".</v>
          </cell>
        </row>
        <row r="245">
          <cell r="AS245" t="str">
            <v>Perno de ojo de 5/8"x6"</v>
          </cell>
        </row>
        <row r="246">
          <cell r="AS246" t="str">
            <v>Poste en concreto de 10 m 510 kgF</v>
          </cell>
        </row>
        <row r="247">
          <cell r="AS247" t="str">
            <v>Poste en concreto de 10 m 750 kgF</v>
          </cell>
        </row>
        <row r="248">
          <cell r="AS248" t="str">
            <v>Poste en concreto de 12 m 1050 kgF</v>
          </cell>
        </row>
        <row r="249">
          <cell r="AS249" t="str">
            <v>Poste en concreto de 12 m 510 kgF</v>
          </cell>
        </row>
        <row r="250">
          <cell r="AS250" t="str">
            <v>Poste en concreto de 12 m 750 kgF</v>
          </cell>
        </row>
        <row r="251">
          <cell r="AS251" t="str">
            <v>Poste en concreto de 14 m 1050 kgF</v>
          </cell>
        </row>
        <row r="252">
          <cell r="AS252" t="str">
            <v>Poste en concreto de 14 m 750 kgF</v>
          </cell>
        </row>
        <row r="253">
          <cell r="AS253" t="str">
            <v>Poste en concreto de 8 m 1050 kgF</v>
          </cell>
        </row>
        <row r="254">
          <cell r="AS254" t="str">
            <v>Poste en concreto de 8 m 510 kgF</v>
          </cell>
        </row>
        <row r="255">
          <cell r="AS255" t="str">
            <v>Poste en concreto de 8 m 750 kgF</v>
          </cell>
        </row>
        <row r="257">
          <cell r="AS257" t="str">
            <v>Reflector SHP-S 250W sylvania, ref.0039022</v>
          </cell>
        </row>
        <row r="258">
          <cell r="AS258" t="str">
            <v>Reflector SHP-S 400W sylvania, ref.0039020</v>
          </cell>
        </row>
        <row r="259">
          <cell r="AS259" t="str">
            <v>Roseta de plafon de losa 200 W</v>
          </cell>
        </row>
        <row r="260">
          <cell r="AS260" t="str">
            <v>Suplemeto metalico para caja de 10x10 ref.2400</v>
          </cell>
        </row>
        <row r="261">
          <cell r="AS261" t="str">
            <v>Tablero bifásica con puerta de 12 circuitos, barraje de 125 A, barra neutro y barra tierra</v>
          </cell>
        </row>
        <row r="262">
          <cell r="AS262" t="str">
            <v>Tablero bifásica con puerta de 12 circuitos, barraje de 125 A, barra neutro y barra tierra</v>
          </cell>
        </row>
        <row r="263">
          <cell r="AS263" t="str">
            <v>Tablero bifásica con puerta de 18 circuitos, barraje de 225 A, barra neutro y barra tierra</v>
          </cell>
        </row>
        <row r="264">
          <cell r="AS264" t="str">
            <v>Tablero bifásica con puerta de 24 circuitos, barraje de 225 A, barra neutro y barra tierra</v>
          </cell>
        </row>
        <row r="265">
          <cell r="AS265" t="str">
            <v>Tablero bifásica con puerta de 8 circuitos, barraje de 125 A, barra neutro y barra tierra</v>
          </cell>
        </row>
        <row r="266">
          <cell r="AS266" t="str">
            <v>Tablero trifásica con puerta de 12 circuitos, barraje de 225 A, barra neutro y barra tierra</v>
          </cell>
        </row>
        <row r="267">
          <cell r="AS267" t="str">
            <v>Tablero trifásica con puerta de 18 circuitos, barraje de 225 A, barra neutro y barra tierra</v>
          </cell>
        </row>
        <row r="268">
          <cell r="AS268" t="str">
            <v>Tablero trifásica con puerta de 24 circuitos, barraje de 225 A, barra neutro y barra tierra</v>
          </cell>
        </row>
        <row r="269">
          <cell r="AS269" t="str">
            <v>Tablero trifásica con puerta de 30 circuitos, barraje de 225 A, barra neutro y barra tierra</v>
          </cell>
        </row>
        <row r="270">
          <cell r="AS270" t="str">
            <v>Tablero trifásica con puerta de 42 circuitos, barraje de 225 A, barra neutro y barra tierra</v>
          </cell>
        </row>
        <row r="271">
          <cell r="AS271" t="str">
            <v>Tablero trifásica con puerta y espacio para totalizador de 12 circuitos, barraje de 225 A, barra neutro y barra tierra</v>
          </cell>
        </row>
        <row r="272">
          <cell r="AS272" t="str">
            <v>Tablero trifásica con puerta y espacio para totalizador de 18 circuitos, barraje de 225 A, barra neutro y barra tierra</v>
          </cell>
        </row>
        <row r="273">
          <cell r="AS273" t="str">
            <v>Tablero trifásica con puerta y espacio para totalizador de 24 circuitos, barraje de 225 A, barra neutro y barra tierra</v>
          </cell>
        </row>
        <row r="274">
          <cell r="AS274" t="str">
            <v>Tablero trifásica con puerta y espacio para totalizador de 30 circuitos, barraje de 225 A, barra neutro y barra tierra</v>
          </cell>
        </row>
        <row r="275">
          <cell r="AS275" t="str">
            <v>Tablero trifásica con puerta y espacio para totalizador de 42 circuitos, barraje de 225 A, barra neutro y barra tierra</v>
          </cell>
        </row>
        <row r="276">
          <cell r="AS276" t="str">
            <v>TABLEROS DE CIRCUITOS Y CAJAS</v>
          </cell>
        </row>
        <row r="277">
          <cell r="AS277" t="str">
            <v>Terminal conector  EMT 1 "</v>
          </cell>
        </row>
        <row r="278">
          <cell r="AS278" t="str">
            <v>Terminal conector  EMT 1 1/2"</v>
          </cell>
        </row>
        <row r="279">
          <cell r="AS279" t="str">
            <v>Terminal conector  EMT 1 1/4"</v>
          </cell>
        </row>
        <row r="280">
          <cell r="AS280" t="str">
            <v>Terminal conector  EMT 1/2"</v>
          </cell>
        </row>
        <row r="281">
          <cell r="AS281" t="str">
            <v>Terminal conector  EMT 2"</v>
          </cell>
        </row>
        <row r="282">
          <cell r="AS282" t="str">
            <v>Terminal conector  EMT 3"</v>
          </cell>
        </row>
        <row r="283">
          <cell r="AS283" t="str">
            <v>Terminal conector  EMT 3/4"</v>
          </cell>
        </row>
        <row r="284">
          <cell r="AS284" t="str">
            <v>Terminal conector  EMT 4"</v>
          </cell>
        </row>
        <row r="286">
          <cell r="AS286" t="str">
            <v>Terminales premoldeados tipo exterior 15 KV</v>
          </cell>
        </row>
        <row r="287">
          <cell r="AS287" t="str">
            <v>Terminales premoldeados tipo interior 15 KV</v>
          </cell>
        </row>
        <row r="288">
          <cell r="AS288" t="str">
            <v>Toma bipolar 2x20A/250V</v>
          </cell>
        </row>
        <row r="289">
          <cell r="AS289" t="str">
            <v xml:space="preserve">Toma doble común </v>
          </cell>
        </row>
        <row r="290">
          <cell r="AS290" t="str">
            <v>Toma doble con polo a tierra</v>
          </cell>
        </row>
        <row r="291">
          <cell r="AS291" t="str">
            <v>Toma doble con polo a tierra, color naranja.</v>
          </cell>
        </row>
        <row r="292">
          <cell r="AS292" t="str">
            <v>Toma doble con protección de falla a tierra GFCI</v>
          </cell>
        </row>
        <row r="293">
          <cell r="AS293" t="str">
            <v>Toma sencilla 120V</v>
          </cell>
        </row>
        <row r="294">
          <cell r="AS294" t="str">
            <v>Toma tripolar 3x20A/250V</v>
          </cell>
        </row>
        <row r="296">
          <cell r="AS296" t="str">
            <v>Transformador monofásico 10 KVA/13200/240/120 V</v>
          </cell>
        </row>
        <row r="297">
          <cell r="AS297" t="str">
            <v>Transformador monofásico 15 KVA/13200/240/120 V</v>
          </cell>
        </row>
        <row r="298">
          <cell r="AS298" t="str">
            <v>Transformador monofásico 25 KVA/13200/240/120 V</v>
          </cell>
        </row>
        <row r="299">
          <cell r="AS299" t="str">
            <v>Transformador monofásico 37,5 KVA/13200/240/120 V</v>
          </cell>
        </row>
        <row r="300">
          <cell r="AS300" t="str">
            <v>Transformador trifásico 112,5 KVA/13200/208/120 V</v>
          </cell>
        </row>
        <row r="301">
          <cell r="AS301" t="str">
            <v>Transformador trifásico 15 KVA/13200/208/120 V</v>
          </cell>
        </row>
        <row r="302">
          <cell r="AS302" t="str">
            <v>Transformador trifásico 150 KVA/13200/208/120 V</v>
          </cell>
        </row>
        <row r="303">
          <cell r="AS303" t="str">
            <v>Transformador trifásico 225 KVA/13200/208/120 V</v>
          </cell>
        </row>
        <row r="304">
          <cell r="AS304" t="str">
            <v>Transformador trifásico 30 KVA/13200/208/120 V</v>
          </cell>
        </row>
        <row r="305">
          <cell r="AS305" t="str">
            <v>Transformador trifásico 45 KVA/13200/208/120 V</v>
          </cell>
        </row>
        <row r="306">
          <cell r="AS306" t="str">
            <v>Transformador trifásico 75 KVA/13200/208/120 V</v>
          </cell>
        </row>
        <row r="308">
          <cell r="AS308" t="str">
            <v>Tuberia PVC conduit de 1 1/2"x3 m.</v>
          </cell>
        </row>
        <row r="309">
          <cell r="AS309" t="str">
            <v>Tuberia PVC conduit de 1 1/4"x3 m.</v>
          </cell>
        </row>
        <row r="310">
          <cell r="AS310" t="str">
            <v>Tuberia PVC conduit de 1"x3 m.</v>
          </cell>
        </row>
        <row r="311">
          <cell r="AS311" t="str">
            <v>Tuberia PVC conduit de 1/2"x3 m.</v>
          </cell>
        </row>
        <row r="312">
          <cell r="AS312" t="str">
            <v>Tuberia PVC conduit de 2"x3 m.</v>
          </cell>
        </row>
        <row r="313">
          <cell r="AS313" t="str">
            <v>Tuberia PVC conduit de 3/4"x3 m.</v>
          </cell>
        </row>
        <row r="315">
          <cell r="AS315" t="str">
            <v>Tubo metálico conduit galvanizado EMT 1 1/2"x3 m.</v>
          </cell>
        </row>
        <row r="316">
          <cell r="AS316" t="str">
            <v>Tubo metálico conduit galvanizado EMT 1 1/4"x3 m.</v>
          </cell>
        </row>
        <row r="317">
          <cell r="AS317" t="str">
            <v>Tubo metálico conduit galvanizado EMT 1"x3 m.</v>
          </cell>
        </row>
        <row r="319">
          <cell r="AS319" t="str">
            <v>Tubo metálico conduit galvanizado EMT 1/2"x3 m.</v>
          </cell>
        </row>
        <row r="320">
          <cell r="AS320" t="str">
            <v>Tubo metálico conduit galvanizado EMT 2 1/2"x3 m.</v>
          </cell>
        </row>
        <row r="321">
          <cell r="AS321" t="str">
            <v>Tubo metálico conduit galvanizado EMT 2"x3 m.</v>
          </cell>
        </row>
        <row r="322">
          <cell r="AS322" t="str">
            <v>Tubo metálico conduit galvanizado EMT 3"x3 m.</v>
          </cell>
        </row>
        <row r="323">
          <cell r="AS323" t="str">
            <v>Tubo metálico conduit galvanizado EMT 3/4"x3 m.</v>
          </cell>
        </row>
        <row r="324">
          <cell r="AS324" t="str">
            <v>Tubo metálico conduit galvanizado EMT 4"x3 m.</v>
          </cell>
        </row>
        <row r="325">
          <cell r="AS325" t="str">
            <v>Tubo metálico conduit galvanizado IMC 1 1/2"x3 m.</v>
          </cell>
        </row>
        <row r="326">
          <cell r="AS326" t="str">
            <v>Tubo metálico conduit galvanizado IMC 1 1/4"x3 m.</v>
          </cell>
        </row>
        <row r="327">
          <cell r="AS327" t="str">
            <v>Tubo metálico conduit galvanizado IMC 1"x3 m.</v>
          </cell>
        </row>
        <row r="328">
          <cell r="AS328" t="str">
            <v>Tubo metálico conduit galvanizado IMC 1/2"x3 m.</v>
          </cell>
        </row>
        <row r="329">
          <cell r="AS329" t="str">
            <v>Tubo metálico conduit galvanizado IMC 2 1/2"x3 m.</v>
          </cell>
        </row>
        <row r="330">
          <cell r="AS330" t="str">
            <v>Tubo metálico conduit galvanizado IMC 2"x3 m.</v>
          </cell>
        </row>
        <row r="331">
          <cell r="AS331" t="str">
            <v>Tubo metálico conduit galvanizado IMC 3"x3 m.</v>
          </cell>
        </row>
        <row r="332">
          <cell r="AS332" t="str">
            <v>Tubo metálico conduit galvanizado IMC 3/4"x3 m.</v>
          </cell>
        </row>
        <row r="333">
          <cell r="AS333" t="str">
            <v>Tubo metálico conduit galvanizado IMC 4"x3 m.</v>
          </cell>
        </row>
        <row r="334">
          <cell r="AS334" t="str">
            <v>Tuerca de ojo alargado de 5/8"</v>
          </cell>
        </row>
        <row r="335">
          <cell r="AS335" t="str">
            <v>Unión EMT 1 1/2"</v>
          </cell>
        </row>
        <row r="336">
          <cell r="AS336" t="str">
            <v>Unión EMT 1 1/4"</v>
          </cell>
        </row>
        <row r="337">
          <cell r="AS337" t="str">
            <v>Unión EMT 1/2"</v>
          </cell>
        </row>
        <row r="338">
          <cell r="AS338" t="str">
            <v>Unión EMT 2"</v>
          </cell>
        </row>
        <row r="339">
          <cell r="AS339" t="str">
            <v>Unión EMT 3"</v>
          </cell>
        </row>
        <row r="340">
          <cell r="AS340" t="str">
            <v>Unión EMT 3/4"</v>
          </cell>
        </row>
        <row r="341">
          <cell r="AS341" t="str">
            <v>Unión EMT 4"</v>
          </cell>
        </row>
        <row r="342">
          <cell r="AS342" t="str">
            <v>Varilla copper weld de 5/8"x2.4 m</v>
          </cell>
        </row>
        <row r="343">
          <cell r="AS343" t="str">
            <v>Varilla de anclaje de 5/8x1.50 m</v>
          </cell>
        </row>
        <row r="351">
          <cell r="AS351" t="str">
            <v>Varilla de anclaje de 5/8x1.80 m</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CONT_ADI"/>
      <sheetName val="TOTALES"/>
      <sheetName val="EST.VÍA CRITERIO TECNICO 90BLB"/>
      <sheetName val="ESTADO VÍA-CRIT.TECNICO"/>
      <sheetName val="MATRIZ DE PRECI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ESTADO RED"/>
      <sheetName val="CARRETERAS"/>
      <sheetName val="GENERALIDADES "/>
      <sheetName val="5.2"/>
      <sheetName val="MATRIZ DE PRECIOS"/>
      <sheetName val="INDICE"/>
      <sheetName val="PR 1"/>
      <sheetName val="items"/>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desmonte"/>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4.12"/>
      <sheetName val="14.01"/>
      <sheetName val="14.02"/>
      <sheetName val="14.03"/>
      <sheetName val="14.05"/>
      <sheetName val="14.06 "/>
      <sheetName val="14.07"/>
      <sheetName val="14.08"/>
      <sheetName val="14.09"/>
      <sheetName val="14.10"/>
      <sheetName val="15.1.01"/>
      <sheetName val="15.2.01"/>
      <sheetName val="15.2.02"/>
      <sheetName val="15.2.03"/>
      <sheetName val="15.2.04"/>
      <sheetName val="15.3.01"/>
      <sheetName val="15.3.02"/>
      <sheetName val="15.3.03"/>
      <sheetName val="15.3.04"/>
      <sheetName val="15.3.05"/>
      <sheetName val="15.3.06"/>
      <sheetName val="15.3.07"/>
      <sheetName val="15.4.01"/>
      <sheetName val="15.4.02"/>
      <sheetName val="15.5.01"/>
      <sheetName val="15.5.02"/>
      <sheetName val="15.5.03"/>
      <sheetName val="15.5.04"/>
      <sheetName val="15.5.05"/>
      <sheetName val="15.5.06"/>
      <sheetName val="15.5.07"/>
      <sheetName val="15.6.01"/>
      <sheetName val="15.6.02"/>
      <sheetName val="15.6.03"/>
      <sheetName val="15.6.04"/>
      <sheetName val="15.6.05"/>
      <sheetName val="15.6.06"/>
      <sheetName val="15.6.07"/>
      <sheetName val="15.7.01"/>
      <sheetName val="16.1.01"/>
      <sheetName val="16.2.01"/>
      <sheetName val="16.2.02"/>
      <sheetName val="16.2.03"/>
      <sheetName val="16.3.01"/>
      <sheetName val="16.3.02"/>
      <sheetName val="16.3.03"/>
      <sheetName val="16,3,04"/>
      <sheetName val="16,3,05"/>
      <sheetName val="16,3,06"/>
      <sheetName val="16,3,07"/>
      <sheetName val="16,3,08"/>
      <sheetName val="16,3,09"/>
      <sheetName val="16,3,10"/>
      <sheetName val="17.1.01"/>
      <sheetName val="18.1"/>
      <sheetName val="18.2"/>
      <sheetName val="18.3"/>
      <sheetName val="APU GUIA"/>
      <sheetName val="PRESUPUESTO"/>
      <sheetName val="diseño"/>
      <sheetName val="19.01"/>
      <sheetName val="19.02"/>
      <sheetName val="19.03"/>
      <sheetName val="19.04"/>
      <sheetName val="19.05"/>
      <sheetName val="19.06"/>
      <sheetName val="19,07"/>
      <sheetName val="19,08"/>
      <sheetName val="19,09"/>
      <sheetName val="19,10"/>
      <sheetName val="19,11"/>
      <sheetName val="19,12"/>
      <sheetName val="19,13"/>
      <sheetName val="19,14"/>
      <sheetName val="19,15"/>
      <sheetName val="MODIFI"/>
      <sheetName val="ADICIONAL"/>
      <sheetName val="presupuesto hugo"/>
      <sheetName val="MODIFI gilberto"/>
      <sheetName val="ADICIONAL gilberto"/>
      <sheetName val="MATERI"/>
      <sheetName val="memorias"/>
      <sheetName val="pañete 1-4"/>
      <sheetName val="CCTO 3000"/>
      <sheetName val="EQ"/>
      <sheetName val="M.DE.O"/>
      <sheetName val="14_12"/>
      <sheetName val="14_01"/>
      <sheetName val="14_02"/>
      <sheetName val="14_03"/>
      <sheetName val="14_05"/>
      <sheetName val="14_06_"/>
      <sheetName val="14_07"/>
      <sheetName val="14_08"/>
      <sheetName val="14_09"/>
      <sheetName val="14_10"/>
      <sheetName val="15_1_01"/>
      <sheetName val="15_2_01"/>
      <sheetName val="15_2_02"/>
      <sheetName val="15_2_03"/>
      <sheetName val="15_2_04"/>
      <sheetName val="15_3_01"/>
      <sheetName val="15_3_02"/>
      <sheetName val="15_3_03"/>
      <sheetName val="15_3_04"/>
      <sheetName val="15_3_05"/>
      <sheetName val="15_3_06"/>
      <sheetName val="15_3_07"/>
      <sheetName val="15_4_01"/>
      <sheetName val="15_4_02"/>
      <sheetName val="15_5_01"/>
      <sheetName val="15_5_02"/>
      <sheetName val="15_5_03"/>
      <sheetName val="15_5_04"/>
      <sheetName val="15_5_05"/>
      <sheetName val="15_5_06"/>
      <sheetName val="15_5_07"/>
      <sheetName val="15_6_01"/>
      <sheetName val="15_6_02"/>
      <sheetName val="15_6_03"/>
      <sheetName val="15_6_04"/>
      <sheetName val="15_6_05"/>
      <sheetName val="15_6_06"/>
      <sheetName val="15_6_07"/>
      <sheetName val="15_7_01"/>
      <sheetName val="16_1_01"/>
      <sheetName val="16_2_01"/>
      <sheetName val="16_2_02"/>
      <sheetName val="16_2_03"/>
      <sheetName val="16_3_01"/>
      <sheetName val="16_3_02"/>
      <sheetName val="16_3_03"/>
      <sheetName val="17_1_01"/>
      <sheetName val="18_1"/>
      <sheetName val="18_2"/>
      <sheetName val="18_3"/>
      <sheetName val="APU_GUIA"/>
      <sheetName val="19_01"/>
      <sheetName val="19_02"/>
      <sheetName val="19_03"/>
      <sheetName val="19_04"/>
      <sheetName val="19_05"/>
      <sheetName val="19_06"/>
      <sheetName val="presupuesto_hugo"/>
      <sheetName val="MODIFI_gilberto"/>
      <sheetName val="ADICIONAL_gilberto"/>
      <sheetName val="pañete_1-4"/>
      <sheetName val="CCTO_3000"/>
      <sheetName val="M_DE_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row r="3">
          <cell r="I3">
            <v>1</v>
          </cell>
        </row>
        <row r="10">
          <cell r="E10" t="str">
            <v>AYUDANTE</v>
          </cell>
          <cell r="F10" t="str">
            <v>DIA</v>
          </cell>
          <cell r="G10">
            <v>19000</v>
          </cell>
        </row>
        <row r="11">
          <cell r="E11" t="str">
            <v>CADENERO 1</v>
          </cell>
          <cell r="F11" t="str">
            <v>DIA</v>
          </cell>
          <cell r="G11">
            <v>25000</v>
          </cell>
        </row>
        <row r="12">
          <cell r="E12" t="str">
            <v>CADENERO 2</v>
          </cell>
          <cell r="F12" t="str">
            <v>DIA</v>
          </cell>
          <cell r="G12">
            <v>20000</v>
          </cell>
        </row>
        <row r="13">
          <cell r="E13" t="str">
            <v>OFICIAL</v>
          </cell>
          <cell r="F13" t="str">
            <v>DIA</v>
          </cell>
          <cell r="G13">
            <v>25000</v>
          </cell>
        </row>
        <row r="14">
          <cell r="E14" t="str">
            <v>TOPOGRAFO</v>
          </cell>
          <cell r="F14" t="str">
            <v>DIA</v>
          </cell>
          <cell r="G14">
            <v>55000</v>
          </cell>
        </row>
        <row r="15">
          <cell r="E15" t="str">
            <v>TECNICO INSTALADOR</v>
          </cell>
          <cell r="F15" t="str">
            <v>DIA</v>
          </cell>
          <cell r="G15">
            <v>60000</v>
          </cell>
        </row>
        <row r="16">
          <cell r="E16" t="str">
            <v>AYUDANTE DE MAQUINARIA</v>
          </cell>
          <cell r="F16" t="str">
            <v>DIA</v>
          </cell>
          <cell r="G16">
            <v>25000</v>
          </cell>
        </row>
        <row r="17">
          <cell r="E17" t="str">
            <v>TECNICO GEOMEMBRANA</v>
          </cell>
          <cell r="F17" t="str">
            <v>DIA</v>
          </cell>
          <cell r="G17">
            <v>80000</v>
          </cell>
        </row>
        <row r="18">
          <cell r="E18" t="str">
            <v>OPERADOR MAQUINARIA</v>
          </cell>
          <cell r="F18" t="str">
            <v>DIA</v>
          </cell>
          <cell r="G18">
            <v>75000</v>
          </cell>
        </row>
        <row r="19">
          <cell r="E19" t="str">
            <v>ORNAMENTADOR</v>
          </cell>
          <cell r="F19" t="str">
            <v>DIA</v>
          </cell>
          <cell r="G19">
            <v>90000</v>
          </cell>
        </row>
        <row r="20">
          <cell r="E20" t="str">
            <v>SOLDADOR</v>
          </cell>
          <cell r="F20" t="str">
            <v>DIA</v>
          </cell>
          <cell r="G20">
            <v>45000</v>
          </cell>
        </row>
        <row r="21">
          <cell r="E21" t="str">
            <v>TECNICO ELECTRICO</v>
          </cell>
          <cell r="F21" t="str">
            <v>DIA</v>
          </cell>
          <cell r="G21">
            <v>50000</v>
          </cell>
        </row>
        <row r="22">
          <cell r="E22" t="str">
            <v>AYUDANTE ELCTRICO</v>
          </cell>
          <cell r="F22" t="str">
            <v>DIA</v>
          </cell>
          <cell r="G22">
            <v>30000</v>
          </cell>
        </row>
      </sheetData>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row r="3">
          <cell r="I3">
            <v>1</v>
          </cell>
        </row>
      </sheetData>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 val="MATRIZ_PRESUP_obra_PP127"/>
      <sheetName val="MATRIZ_PRESUP_REDES_PP127"/>
      <sheetName val="MATRIZ_CANT__OBRA"/>
      <sheetName val="COSTOS_OFICINA"/>
      <sheetName val="COSTOS_CAMPAMENTO"/>
      <sheetName val="ANEXO_GAST__OPERAC__AIU_CONST,"/>
      <sheetName val="AIU_CONSTRUCCION"/>
      <sheetName val="PMT_PEATONALES"/>
      <sheetName val="AIU_PMT_NUEVO"/>
      <sheetName val="PPTO_MANTENIMIENTO"/>
      <sheetName val="AIU_mantenimto_nuevo"/>
      <sheetName val="ANEXO_GAST__OPERAC__AIU_MANT,"/>
      <sheetName val="AIU_social_nuevo"/>
      <sheetName val="AMBIENTAL_308_RYS"/>
      <sheetName val="AIU_ambiental_corregido"/>
      <sheetName val="PPTO_INTERVENTORIA_"/>
      <sheetName val="PPTO_PRECONSTRUCCION"/>
      <sheetName val="PPTO_MANTENIMIENTO_R1"/>
      <sheetName val="MATRIZ_PRESUP_obra_PP1271"/>
      <sheetName val="MATRIZ_PRESUP_REDES_PP1271"/>
      <sheetName val="MATRIZ_CANT__OBRA1"/>
      <sheetName val="COSTOS_OFICINA1"/>
      <sheetName val="COSTOS_CAMPAMENTO1"/>
      <sheetName val="ANEXO_GAST__OPERAC__AIU_CONST,1"/>
      <sheetName val="AIU_CONSTRUCCION1"/>
      <sheetName val="PMT_PEATONALES1"/>
      <sheetName val="AIU_PMT_NUEVO1"/>
      <sheetName val="PPTO_MANTENIMIENTO1"/>
      <sheetName val="AIU_mantenimto_nuevo1"/>
      <sheetName val="ANEXO_GAST__OPERAC__AIU_MANT,1"/>
      <sheetName val="AIU_social_nuevo1"/>
      <sheetName val="AMBIENTAL_308_RYS1"/>
      <sheetName val="AIU_ambiental_corregido1"/>
      <sheetName val="PPTO_INTERVENTORIA_1"/>
      <sheetName val="PPTO_PRECONSTRUCCION1"/>
      <sheetName val="PPTO_MANTENIMIENTO_R11"/>
      <sheetName val="MATRIZ_PRESUP_obra_PP1272"/>
      <sheetName val="MATRIZ_PRESUP_REDES_PP1272"/>
      <sheetName val="MATRIZ_CANT__OBRA2"/>
      <sheetName val="COSTOS_OFICINA2"/>
      <sheetName val="COSTOS_CAMPAMENTO2"/>
      <sheetName val="ANEXO_GAST__OPERAC__AIU_CONST,2"/>
      <sheetName val="AIU_CONSTRUCCION2"/>
      <sheetName val="PMT_PEATONALES2"/>
      <sheetName val="AIU_PMT_NUEVO2"/>
      <sheetName val="PPTO_MANTENIMIENTO2"/>
      <sheetName val="AIU_mantenimto_nuevo2"/>
      <sheetName val="ANEXO_GAST__OPERAC__AIU_MANT,2"/>
      <sheetName val="AIU_social_nuevo2"/>
      <sheetName val="AMBIENTAL_308_RYS2"/>
      <sheetName val="AIU_ambiental_corregido2"/>
      <sheetName val="PPTO_INTERVENTORIA_2"/>
      <sheetName val="PPTO_PRECONSTRUCCION2"/>
      <sheetName val="PPTO_MANTENIMIENTO_R12"/>
      <sheetName val="MATRIZ_PRESUP_obra_PP1273"/>
      <sheetName val="MATRIZ_PRESUP_REDES_PP1273"/>
      <sheetName val="MATRIZ_CANT__OBRA3"/>
      <sheetName val="COSTOS_OFICINA3"/>
      <sheetName val="COSTOS_CAMPAMENTO3"/>
      <sheetName val="ANEXO_GAST__OPERAC__AIU_CONST,3"/>
      <sheetName val="AIU_CONSTRUCCION3"/>
      <sheetName val="PMT_PEATONALES3"/>
      <sheetName val="AIU_PMT_NUEVO3"/>
      <sheetName val="PPTO_MANTENIMIENTO3"/>
      <sheetName val="AIU_mantenimto_nuevo3"/>
      <sheetName val="ANEXO_GAST__OPERAC__AIU_MANT,3"/>
      <sheetName val="AIU_social_nuevo3"/>
      <sheetName val="AMBIENTAL_308_RYS3"/>
      <sheetName val="AIU_ambiental_corregido3"/>
      <sheetName val="PPTO_INTERVENTORIA_3"/>
      <sheetName val="PPTO_PRECONSTRUCCION3"/>
      <sheetName val="PPTO_MANTENIMIENTO_R13"/>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 val="items"/>
      <sheetName val="PU_(2)"/>
    </sheetNames>
    <sheetDataSet>
      <sheetData sheetId="0"/>
      <sheetData sheetId="1"/>
      <sheetData sheetId="2"/>
      <sheetData sheetId="3"/>
      <sheetData sheetId="4"/>
      <sheetData sheetId="5" refreshError="1"/>
      <sheetData sheetId="6"/>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PRESUPUESTO MPAL"/>
      <sheetName val="PPTO MPAL"/>
      <sheetName val="APU"/>
      <sheetName val="NEW APU"/>
      <sheetName val="INSUMOS"/>
      <sheetName val="APU BASICOS"/>
      <sheetName val="Hoja3"/>
      <sheetName val="cto 077"/>
      <sheetName val="JAWAR"/>
      <sheetName val="cto 080"/>
      <sheetName val="Hoja1"/>
      <sheetName val="Hoja2"/>
      <sheetName val="cto 164"/>
      <sheetName val="CTO 165"/>
      <sheetName val="Hoja5"/>
      <sheetName val="PU (2)"/>
    </sheetNames>
    <sheetDataSet>
      <sheetData sheetId="0" refreshError="1"/>
      <sheetData sheetId="1" refreshError="1"/>
      <sheetData sheetId="2" refreshError="1"/>
      <sheetData sheetId="3" refreshError="1"/>
      <sheetData sheetId="4" refreshError="1"/>
      <sheetData sheetId="5" refreshError="1">
        <row r="16">
          <cell r="G16" t="str">
            <v>Ayudante</v>
          </cell>
          <cell r="L16" t="str">
            <v xml:space="preserve">Estacion </v>
          </cell>
        </row>
        <row r="17">
          <cell r="L17" t="str">
            <v>Nivel de Precision</v>
          </cell>
        </row>
        <row r="18">
          <cell r="L18" t="str">
            <v>Cinta y Jalones</v>
          </cell>
        </row>
        <row r="23">
          <cell r="L23" t="str">
            <v>Retroexcavadora</v>
          </cell>
        </row>
        <row r="24">
          <cell r="L24" t="str">
            <v>Retrocargadora 4 x 4</v>
          </cell>
        </row>
        <row r="25">
          <cell r="L25" t="str">
            <v>Camioneta</v>
          </cell>
        </row>
        <row r="26">
          <cell r="L26" t="str">
            <v>Volqueta 7 m3</v>
          </cell>
        </row>
        <row r="29">
          <cell r="L29" t="str">
            <v>Compresor de 2 Martillos</v>
          </cell>
        </row>
        <row r="30">
          <cell r="L30" t="str">
            <v>Cortadora de Concreto</v>
          </cell>
        </row>
        <row r="31">
          <cell r="L31" t="str">
            <v>Benitin</v>
          </cell>
        </row>
        <row r="32">
          <cell r="L32" t="str">
            <v>Canguro</v>
          </cell>
        </row>
        <row r="33">
          <cell r="L33" t="str">
            <v>Vibrador para concreto</v>
          </cell>
        </row>
        <row r="34">
          <cell r="L34" t="str">
            <v>Andamios</v>
          </cell>
        </row>
        <row r="35">
          <cell r="L35" t="str">
            <v>Mezcladora</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CA"/>
      <sheetName val="DATOS DE ENTRADA"/>
      <sheetName val="ACTIVIDADES"/>
      <sheetName val="PPTO"/>
      <sheetName val="APU"/>
      <sheetName val="UNITARIOS BASICOS "/>
      <sheetName val="HERRAMIENTAS Y EQUIPOS"/>
      <sheetName val="LISTA DE MATERIALES"/>
      <sheetName val="TRANSPORTE"/>
      <sheetName val="Salarios"/>
      <sheetName val="Cuadrillas"/>
      <sheetName val="BD MATERIALES"/>
      <sheetName val="Hoja1"/>
    </sheetNames>
    <sheetDataSet>
      <sheetData sheetId="0"/>
      <sheetData sheetId="1"/>
      <sheetData sheetId="2">
        <row r="9">
          <cell r="B9">
            <v>1.1000000000000001</v>
          </cell>
        </row>
      </sheetData>
      <sheetData sheetId="3"/>
      <sheetData sheetId="4"/>
      <sheetData sheetId="5"/>
      <sheetData sheetId="6">
        <row r="2">
          <cell r="C2" t="str">
            <v>DESCRIPCION</v>
          </cell>
        </row>
      </sheetData>
      <sheetData sheetId="7">
        <row r="2">
          <cell r="A2" t="str">
            <v>DESCRIPCION</v>
          </cell>
          <cell r="B2" t="str">
            <v>UND</v>
          </cell>
          <cell r="C2" t="str">
            <v>PRECIO UND CON IVA</v>
          </cell>
          <cell r="D2" t="str">
            <v>Fc Zona</v>
          </cell>
          <cell r="E2" t="str">
            <v>VALOR UND</v>
          </cell>
        </row>
        <row r="3">
          <cell r="A3" t="str">
            <v>TUBERIA</v>
          </cell>
          <cell r="B3">
            <v>0</v>
          </cell>
          <cell r="C3">
            <v>0</v>
          </cell>
          <cell r="D3">
            <v>0</v>
          </cell>
          <cell r="E3">
            <v>0</v>
          </cell>
        </row>
        <row r="4">
          <cell r="A4" t="str">
            <v>Tuberia Conduit PVC 1/2"</v>
          </cell>
          <cell r="B4" t="str">
            <v>ML</v>
          </cell>
          <cell r="C4">
            <v>900</v>
          </cell>
          <cell r="D4">
            <v>1</v>
          </cell>
          <cell r="E4">
            <v>900</v>
          </cell>
        </row>
        <row r="5">
          <cell r="A5" t="str">
            <v>Tuberia Conduit PVC 3/4"</v>
          </cell>
          <cell r="B5" t="str">
            <v>ML</v>
          </cell>
          <cell r="C5">
            <v>1200</v>
          </cell>
          <cell r="D5">
            <v>1</v>
          </cell>
          <cell r="E5">
            <v>1200</v>
          </cell>
        </row>
        <row r="6">
          <cell r="A6" t="str">
            <v>Tuberia Conduit PVC 1"</v>
          </cell>
          <cell r="B6" t="str">
            <v>ML</v>
          </cell>
          <cell r="C6">
            <v>1960</v>
          </cell>
          <cell r="D6">
            <v>1</v>
          </cell>
          <cell r="E6">
            <v>1960</v>
          </cell>
        </row>
        <row r="7">
          <cell r="A7" t="str">
            <v>Tuberia Conduit PVC 1.1/4"</v>
          </cell>
          <cell r="B7" t="str">
            <v>ML</v>
          </cell>
          <cell r="C7">
            <v>2600</v>
          </cell>
          <cell r="D7">
            <v>1</v>
          </cell>
          <cell r="E7">
            <v>2600</v>
          </cell>
        </row>
        <row r="8">
          <cell r="A8" t="str">
            <v>Tuberia Conduit PVC 1.1/2"</v>
          </cell>
          <cell r="B8" t="str">
            <v>ML</v>
          </cell>
          <cell r="C8">
            <v>2850</v>
          </cell>
          <cell r="D8">
            <v>1</v>
          </cell>
          <cell r="E8">
            <v>2850</v>
          </cell>
        </row>
        <row r="9">
          <cell r="A9" t="str">
            <v>Tuberia Conduit PVC 2"</v>
          </cell>
          <cell r="B9" t="str">
            <v>ML</v>
          </cell>
          <cell r="C9">
            <v>5100</v>
          </cell>
          <cell r="D9">
            <v>1</v>
          </cell>
          <cell r="E9">
            <v>5100</v>
          </cell>
        </row>
        <row r="10">
          <cell r="A10" t="str">
            <v>Tuberia ducto EB LIV PVC 3"</v>
          </cell>
          <cell r="B10" t="str">
            <v>ML</v>
          </cell>
          <cell r="C10">
            <v>7900</v>
          </cell>
          <cell r="D10">
            <v>1</v>
          </cell>
          <cell r="E10">
            <v>7900</v>
          </cell>
        </row>
        <row r="11">
          <cell r="A11" t="str">
            <v>Tuberia ducto EB LIV PVC 4"</v>
          </cell>
          <cell r="B11" t="str">
            <v>ML</v>
          </cell>
          <cell r="C11">
            <v>13500</v>
          </cell>
          <cell r="D11">
            <v>1</v>
          </cell>
          <cell r="E11">
            <v>13500</v>
          </cell>
        </row>
        <row r="12">
          <cell r="A12" t="str">
            <v>Tuberia ducto EB LIV PVC 6"</v>
          </cell>
          <cell r="B12" t="str">
            <v>ML</v>
          </cell>
          <cell r="C12">
            <v>15800</v>
          </cell>
          <cell r="D12">
            <v>1</v>
          </cell>
          <cell r="E12">
            <v>15800</v>
          </cell>
        </row>
        <row r="13">
          <cell r="A13" t="str">
            <v>Tuberia EMT 1/2"</v>
          </cell>
          <cell r="B13" t="str">
            <v>ML</v>
          </cell>
          <cell r="C13">
            <v>4000</v>
          </cell>
          <cell r="D13">
            <v>1</v>
          </cell>
          <cell r="E13">
            <v>4000</v>
          </cell>
        </row>
        <row r="14">
          <cell r="A14" t="str">
            <v>Tuberia EMT 3/4"</v>
          </cell>
          <cell r="B14" t="str">
            <v>ML</v>
          </cell>
          <cell r="C14">
            <v>5340</v>
          </cell>
          <cell r="D14">
            <v>1</v>
          </cell>
          <cell r="E14">
            <v>5340</v>
          </cell>
        </row>
        <row r="15">
          <cell r="A15" t="str">
            <v>Tuberia EMT 1"</v>
          </cell>
          <cell r="B15" t="str">
            <v>ML</v>
          </cell>
          <cell r="C15">
            <v>8000</v>
          </cell>
          <cell r="D15">
            <v>1</v>
          </cell>
          <cell r="E15">
            <v>8000</v>
          </cell>
        </row>
        <row r="16">
          <cell r="A16" t="str">
            <v>Tuberia EMT 1.1/4"</v>
          </cell>
          <cell r="B16" t="str">
            <v>ML</v>
          </cell>
          <cell r="C16">
            <v>12600</v>
          </cell>
          <cell r="D16">
            <v>1</v>
          </cell>
          <cell r="E16">
            <v>12600</v>
          </cell>
        </row>
        <row r="17">
          <cell r="A17" t="str">
            <v>Tuberia IMC 1"</v>
          </cell>
          <cell r="B17" t="str">
            <v>ML</v>
          </cell>
          <cell r="C17">
            <v>16700</v>
          </cell>
          <cell r="D17">
            <v>1</v>
          </cell>
          <cell r="E17">
            <v>16700</v>
          </cell>
        </row>
        <row r="18">
          <cell r="A18" t="str">
            <v>Tuberia IMC 4"</v>
          </cell>
          <cell r="B18" t="str">
            <v>ML</v>
          </cell>
          <cell r="C18">
            <v>38999</v>
          </cell>
          <cell r="D18">
            <v>1</v>
          </cell>
          <cell r="E18">
            <v>38999</v>
          </cell>
        </row>
        <row r="19">
          <cell r="A19" t="str">
            <v>DUCTOS PORTACABLES</v>
          </cell>
          <cell r="B19">
            <v>0</v>
          </cell>
          <cell r="C19">
            <v>0</v>
          </cell>
          <cell r="D19">
            <v>0</v>
          </cell>
          <cell r="E19">
            <v>0</v>
          </cell>
        </row>
        <row r="20">
          <cell r="A20" t="str">
            <v>Bandeja porta cable tipo escalera fabricada en lamina cold rolled calibre 16 dimenciones 40cm * 8cm * 2,44 mt   CERTIFICACION RETIE</v>
          </cell>
          <cell r="B20" t="str">
            <v>ML</v>
          </cell>
          <cell r="C20">
            <v>32684</v>
          </cell>
          <cell r="D20">
            <v>1</v>
          </cell>
          <cell r="E20">
            <v>32684</v>
          </cell>
        </row>
        <row r="21">
          <cell r="A21" t="str">
            <v>Tapa inferior de 30cm para bandeja portacable de 40*8cm</v>
          </cell>
          <cell r="B21" t="str">
            <v>ML</v>
          </cell>
          <cell r="C21">
            <v>11360</v>
          </cell>
          <cell r="D21">
            <v>1</v>
          </cell>
          <cell r="E21">
            <v>11360</v>
          </cell>
        </row>
        <row r="22">
          <cell r="A22" t="str">
            <v>curva de 40x8cm</v>
          </cell>
          <cell r="B22" t="str">
            <v>UN</v>
          </cell>
          <cell r="C22">
            <v>38115</v>
          </cell>
          <cell r="D22">
            <v>1</v>
          </cell>
          <cell r="E22">
            <v>38115</v>
          </cell>
        </row>
        <row r="23">
          <cell r="A23" t="str">
            <v>tee de 40x8cm</v>
          </cell>
          <cell r="B23" t="str">
            <v>UN</v>
          </cell>
          <cell r="C23">
            <v>48510</v>
          </cell>
          <cell r="D23">
            <v>1</v>
          </cell>
          <cell r="E23">
            <v>48510</v>
          </cell>
        </row>
        <row r="24">
          <cell r="A24" t="str">
            <v xml:space="preserve">Soporte tipo peldaño de 50cm para 40*8 </v>
          </cell>
          <cell r="B24" t="str">
            <v>UN</v>
          </cell>
          <cell r="C24">
            <v>6930</v>
          </cell>
          <cell r="D24">
            <v>1</v>
          </cell>
          <cell r="E24">
            <v>6930</v>
          </cell>
        </row>
        <row r="25">
          <cell r="A25" t="str">
            <v>Bandeja porta cable tipo escalera fabricada en lamina cold rolled calibre 16 dimenciones 30cm * 8cm * 2,44 mt  incluye platinas de union y tornilleria CERTIFICACION RETIE</v>
          </cell>
          <cell r="B25" t="str">
            <v>ML</v>
          </cell>
          <cell r="C25">
            <v>25560</v>
          </cell>
          <cell r="D25">
            <v>1</v>
          </cell>
          <cell r="E25">
            <v>25560</v>
          </cell>
        </row>
        <row r="26">
          <cell r="A26" t="str">
            <v>Tapa inferior de 30cm para bandeja portacable de 30*8</v>
          </cell>
          <cell r="B26" t="str">
            <v>ML</v>
          </cell>
          <cell r="C26">
            <v>8613</v>
          </cell>
          <cell r="D26">
            <v>1</v>
          </cell>
          <cell r="E26">
            <v>8613</v>
          </cell>
        </row>
        <row r="27">
          <cell r="A27" t="str">
            <v>curva de 30x8cm</v>
          </cell>
          <cell r="B27" t="str">
            <v>UN</v>
          </cell>
          <cell r="C27">
            <v>34146</v>
          </cell>
          <cell r="D27">
            <v>1</v>
          </cell>
          <cell r="E27">
            <v>34146</v>
          </cell>
        </row>
        <row r="28">
          <cell r="A28" t="str">
            <v>tee de 30x8cm</v>
          </cell>
          <cell r="B28" t="str">
            <v>UN</v>
          </cell>
          <cell r="C28">
            <v>43394</v>
          </cell>
          <cell r="D28">
            <v>1</v>
          </cell>
          <cell r="E28">
            <v>43394</v>
          </cell>
        </row>
        <row r="29">
          <cell r="A29" t="str">
            <v xml:space="preserve">Soporte tipo peldaño de 40cm para 30*8 </v>
          </cell>
          <cell r="B29" t="str">
            <v>UN</v>
          </cell>
          <cell r="C29">
            <v>6050</v>
          </cell>
          <cell r="D29">
            <v>1</v>
          </cell>
          <cell r="E29">
            <v>6050</v>
          </cell>
        </row>
        <row r="30">
          <cell r="A30" t="str">
            <v>Bandeja porta cable tipo escalera fabricada en lamina cold rolled calibre 16 dimenciones 20cm * 8cm * 2,44 mt  incluye platinas de union y tornilleria CERTIFICACION RETIE</v>
          </cell>
          <cell r="B30" t="str">
            <v>ML</v>
          </cell>
          <cell r="C30">
            <v>23550</v>
          </cell>
          <cell r="D30">
            <v>1</v>
          </cell>
          <cell r="E30">
            <v>23550</v>
          </cell>
        </row>
        <row r="31">
          <cell r="A31" t="str">
            <v>Tapa inferior de 30cm para bandeja portacable de 20*8</v>
          </cell>
          <cell r="B31" t="str">
            <v>ML</v>
          </cell>
          <cell r="C31">
            <v>10500</v>
          </cell>
          <cell r="D31">
            <v>1</v>
          </cell>
          <cell r="E31">
            <v>10500</v>
          </cell>
        </row>
        <row r="32">
          <cell r="A32" t="str">
            <v>curva de 20x8cm</v>
          </cell>
          <cell r="B32" t="str">
            <v>UN</v>
          </cell>
          <cell r="C32">
            <v>31750</v>
          </cell>
          <cell r="D32">
            <v>1</v>
          </cell>
          <cell r="E32">
            <v>31750</v>
          </cell>
        </row>
        <row r="33">
          <cell r="A33" t="str">
            <v>tee de 20x8cm</v>
          </cell>
          <cell r="B33" t="str">
            <v>UN</v>
          </cell>
          <cell r="C33">
            <v>40219</v>
          </cell>
          <cell r="D33">
            <v>1</v>
          </cell>
          <cell r="E33">
            <v>40219</v>
          </cell>
        </row>
        <row r="34">
          <cell r="A34" t="str">
            <v xml:space="preserve">Soporte tipo peldaño de 30cm para 20*8 </v>
          </cell>
          <cell r="B34" t="str">
            <v>UN</v>
          </cell>
          <cell r="C34">
            <v>5040</v>
          </cell>
          <cell r="D34">
            <v>1</v>
          </cell>
          <cell r="E34">
            <v>5040</v>
          </cell>
        </row>
        <row r="35">
          <cell r="A35" t="str">
            <v>Sum e inst de canaleta metálica  de doble compartimiento con tapa, de 12*5 cm., en lámina C.R cal 20, pintura electrostática color gris institucional.</v>
          </cell>
          <cell r="B35" t="str">
            <v>UN</v>
          </cell>
          <cell r="C35">
            <v>19132</v>
          </cell>
          <cell r="D35">
            <v>1</v>
          </cell>
          <cell r="E35">
            <v>19132</v>
          </cell>
        </row>
        <row r="36">
          <cell r="A36" t="str">
            <v>CABLES</v>
          </cell>
          <cell r="B36">
            <v>0</v>
          </cell>
          <cell r="C36">
            <v>0</v>
          </cell>
          <cell r="D36">
            <v>0</v>
          </cell>
          <cell r="E36">
            <v>0</v>
          </cell>
        </row>
        <row r="37">
          <cell r="A37" t="str">
            <v xml:space="preserve">Alambre AWG N° 12 </v>
          </cell>
          <cell r="B37" t="str">
            <v>ML</v>
          </cell>
          <cell r="C37">
            <v>819</v>
          </cell>
          <cell r="D37">
            <v>1</v>
          </cell>
          <cell r="E37">
            <v>819</v>
          </cell>
        </row>
        <row r="38">
          <cell r="A38" t="str">
            <v>Alambre AWG N° 12  ( Blanco.)</v>
          </cell>
          <cell r="B38" t="str">
            <v>ML</v>
          </cell>
          <cell r="C38">
            <v>819</v>
          </cell>
          <cell r="D38">
            <v>1</v>
          </cell>
          <cell r="E38">
            <v>819</v>
          </cell>
        </row>
        <row r="39">
          <cell r="A39" t="str">
            <v>Alambre AWG N° 12T</v>
          </cell>
          <cell r="B39" t="str">
            <v>ML</v>
          </cell>
          <cell r="C39">
            <v>810</v>
          </cell>
          <cell r="D39">
            <v>1</v>
          </cell>
          <cell r="E39">
            <v>810</v>
          </cell>
        </row>
        <row r="40">
          <cell r="A40" t="str">
            <v xml:space="preserve">Cable AWG N° 12 </v>
          </cell>
          <cell r="B40" t="str">
            <v>ML</v>
          </cell>
          <cell r="C40">
            <v>1194</v>
          </cell>
          <cell r="D40">
            <v>1</v>
          </cell>
          <cell r="E40">
            <v>1194</v>
          </cell>
        </row>
        <row r="41">
          <cell r="A41" t="str">
            <v>Cable AWG N° 12  ( Blanco.)</v>
          </cell>
          <cell r="B41" t="str">
            <v>ML</v>
          </cell>
          <cell r="C41">
            <v>1194</v>
          </cell>
          <cell r="D41">
            <v>1</v>
          </cell>
          <cell r="E41">
            <v>1194</v>
          </cell>
        </row>
        <row r="42">
          <cell r="A42" t="str">
            <v>Cable AWG N° 12T</v>
          </cell>
          <cell r="B42" t="str">
            <v>ML</v>
          </cell>
          <cell r="C42">
            <v>1194</v>
          </cell>
          <cell r="D42">
            <v>1</v>
          </cell>
          <cell r="E42">
            <v>1194</v>
          </cell>
        </row>
        <row r="43">
          <cell r="A43" t="str">
            <v>cable triplex 3x12 AWG</v>
          </cell>
          <cell r="B43" t="str">
            <v>ML</v>
          </cell>
          <cell r="C43">
            <v>3816</v>
          </cell>
          <cell r="D43">
            <v>1</v>
          </cell>
          <cell r="E43">
            <v>3816</v>
          </cell>
        </row>
        <row r="44">
          <cell r="A44" t="str">
            <v>Cable AWG N° 6</v>
          </cell>
          <cell r="B44" t="str">
            <v>ML</v>
          </cell>
          <cell r="C44">
            <v>3832</v>
          </cell>
          <cell r="D44">
            <v>1</v>
          </cell>
          <cell r="E44">
            <v>3832</v>
          </cell>
        </row>
        <row r="45">
          <cell r="A45" t="str">
            <v>Cable AWG N° 6T</v>
          </cell>
          <cell r="B45" t="str">
            <v>ML</v>
          </cell>
          <cell r="C45">
            <v>3700</v>
          </cell>
          <cell r="D45">
            <v>1</v>
          </cell>
          <cell r="E45">
            <v>3700</v>
          </cell>
        </row>
        <row r="46">
          <cell r="A46" t="str">
            <v>Cable AWG N° 8</v>
          </cell>
          <cell r="B46" t="str">
            <v>ML</v>
          </cell>
          <cell r="C46">
            <v>2487</v>
          </cell>
          <cell r="D46">
            <v>1</v>
          </cell>
          <cell r="E46">
            <v>2487</v>
          </cell>
        </row>
        <row r="47">
          <cell r="A47" t="str">
            <v>Cable AWG N° 8T</v>
          </cell>
          <cell r="B47" t="str">
            <v>ML</v>
          </cell>
          <cell r="C47">
            <v>2450</v>
          </cell>
          <cell r="D47">
            <v>1</v>
          </cell>
          <cell r="E47">
            <v>2450</v>
          </cell>
        </row>
        <row r="48">
          <cell r="A48" t="str">
            <v>Alambre AWG N° 10 Negro</v>
          </cell>
          <cell r="B48" t="str">
            <v>ML</v>
          </cell>
          <cell r="C48">
            <v>1334</v>
          </cell>
          <cell r="D48">
            <v>1</v>
          </cell>
          <cell r="E48">
            <v>1334</v>
          </cell>
        </row>
        <row r="49">
          <cell r="A49" t="str">
            <v>Cable AWG N° 10</v>
          </cell>
          <cell r="B49" t="str">
            <v>ML</v>
          </cell>
          <cell r="C49">
            <v>1718</v>
          </cell>
          <cell r="D49">
            <v>1</v>
          </cell>
          <cell r="E49">
            <v>1718</v>
          </cell>
        </row>
        <row r="50">
          <cell r="A50" t="str">
            <v>Cable AWG N° 10T</v>
          </cell>
          <cell r="B50" t="str">
            <v>ML</v>
          </cell>
          <cell r="C50">
            <v>1627</v>
          </cell>
          <cell r="D50">
            <v>1</v>
          </cell>
          <cell r="E50">
            <v>1627</v>
          </cell>
        </row>
        <row r="51">
          <cell r="A51" t="str">
            <v>Cable THHN/THWN 250</v>
          </cell>
          <cell r="B51" t="str">
            <v>ML</v>
          </cell>
          <cell r="C51">
            <v>43600</v>
          </cell>
          <cell r="D51">
            <v>1</v>
          </cell>
          <cell r="E51">
            <v>43600</v>
          </cell>
        </row>
        <row r="52">
          <cell r="A52" t="str">
            <v>Cable THHN/THWN 4/0</v>
          </cell>
          <cell r="B52" t="str">
            <v>ML</v>
          </cell>
          <cell r="C52">
            <v>29337</v>
          </cell>
          <cell r="D52">
            <v>1</v>
          </cell>
          <cell r="E52">
            <v>29337</v>
          </cell>
        </row>
        <row r="53">
          <cell r="A53" t="str">
            <v>Cable THHN/THWN 2/0</v>
          </cell>
          <cell r="B53" t="str">
            <v>ML</v>
          </cell>
          <cell r="C53">
            <v>18722</v>
          </cell>
          <cell r="D53">
            <v>1</v>
          </cell>
          <cell r="E53">
            <v>18722</v>
          </cell>
        </row>
        <row r="54">
          <cell r="A54" t="str">
            <v>Cable THHN/THWN 1/0</v>
          </cell>
          <cell r="B54" t="str">
            <v>ML</v>
          </cell>
          <cell r="C54">
            <v>14974</v>
          </cell>
          <cell r="D54">
            <v>1</v>
          </cell>
          <cell r="E54">
            <v>14974</v>
          </cell>
        </row>
        <row r="55">
          <cell r="A55" t="str">
            <v>Cable THHN/THWN No 2</v>
          </cell>
          <cell r="B55" t="str">
            <v>ML</v>
          </cell>
          <cell r="C55">
            <v>9171</v>
          </cell>
          <cell r="D55">
            <v>1</v>
          </cell>
          <cell r="E55">
            <v>9171</v>
          </cell>
        </row>
        <row r="56">
          <cell r="A56" t="str">
            <v>Cable THHN/THWN No 4</v>
          </cell>
          <cell r="B56" t="str">
            <v>ML</v>
          </cell>
          <cell r="C56">
            <v>5907</v>
          </cell>
          <cell r="D56">
            <v>1</v>
          </cell>
          <cell r="E56">
            <v>5907</v>
          </cell>
        </row>
        <row r="57">
          <cell r="A57" t="str">
            <v>Cable AWG N° 4T</v>
          </cell>
          <cell r="B57" t="str">
            <v>ML</v>
          </cell>
          <cell r="C57">
            <v>5611</v>
          </cell>
          <cell r="D57">
            <v>1</v>
          </cell>
          <cell r="E57">
            <v>5611</v>
          </cell>
        </row>
        <row r="58">
          <cell r="A58" t="str">
            <v>Cable AWG No 2T</v>
          </cell>
          <cell r="B58" t="str">
            <v>ML</v>
          </cell>
          <cell r="C58">
            <v>8610</v>
          </cell>
          <cell r="D58">
            <v>1</v>
          </cell>
          <cell r="E58">
            <v>8610</v>
          </cell>
        </row>
        <row r="59">
          <cell r="A59" t="str">
            <v>Cable AWG No 2/0 T</v>
          </cell>
          <cell r="B59" t="str">
            <v>ML</v>
          </cell>
          <cell r="C59">
            <v>17139</v>
          </cell>
          <cell r="D59">
            <v>1</v>
          </cell>
          <cell r="E59">
            <v>17139</v>
          </cell>
        </row>
        <row r="60">
          <cell r="A60" t="str">
            <v>Cable XLPE  3x4/0 15 kv</v>
          </cell>
          <cell r="B60" t="str">
            <v>ML</v>
          </cell>
          <cell r="C60">
            <v>146000</v>
          </cell>
          <cell r="D60">
            <v>1</v>
          </cell>
          <cell r="E60">
            <v>146000</v>
          </cell>
        </row>
        <row r="61">
          <cell r="A61" t="str">
            <v>Cable XLPE  3x2/0 15 kv</v>
          </cell>
          <cell r="B61" t="str">
            <v>ML</v>
          </cell>
          <cell r="C61">
            <v>115000</v>
          </cell>
          <cell r="D61">
            <v>1</v>
          </cell>
          <cell r="E61">
            <v>115000</v>
          </cell>
        </row>
        <row r="62">
          <cell r="A62" t="str">
            <v>Cable XLPE  3x2 15 kv</v>
          </cell>
          <cell r="B62" t="str">
            <v>ML</v>
          </cell>
          <cell r="C62">
            <v>91200</v>
          </cell>
          <cell r="D62">
            <v>1</v>
          </cell>
          <cell r="E62">
            <v>91200</v>
          </cell>
        </row>
        <row r="63">
          <cell r="A63" t="str">
            <v>TERMINAL PREMODELADO USO EXTERIOR PARA CABLE NO. 4/0 INCLUYE BORNA</v>
          </cell>
          <cell r="B63" t="str">
            <v>JG</v>
          </cell>
          <cell r="C63">
            <v>703000</v>
          </cell>
          <cell r="D63">
            <v>1</v>
          </cell>
          <cell r="E63">
            <v>703000</v>
          </cell>
        </row>
        <row r="64">
          <cell r="A64" t="str">
            <v>TERMINAL PREMODELADO USO INTERIOR PARA CABLE NO. 4/0 INCLUYE BORNA</v>
          </cell>
          <cell r="B64" t="str">
            <v>JG</v>
          </cell>
          <cell r="C64">
            <v>659000</v>
          </cell>
          <cell r="D64">
            <v>1</v>
          </cell>
          <cell r="E64">
            <v>659000</v>
          </cell>
        </row>
        <row r="65">
          <cell r="A65" t="str">
            <v>TERMINAL PREMODELADO USO INTERIOR PARA CABLE NO. 2/0 INCLUYE BORNA</v>
          </cell>
          <cell r="B65" t="str">
            <v>JG</v>
          </cell>
          <cell r="C65">
            <v>597000</v>
          </cell>
          <cell r="D65">
            <v>1</v>
          </cell>
          <cell r="E65">
            <v>597000</v>
          </cell>
        </row>
        <row r="66">
          <cell r="A66" t="str">
            <v>CABLE ALUMINIO # 1/0T</v>
          </cell>
          <cell r="B66" t="str">
            <v>ML</v>
          </cell>
          <cell r="C66">
            <v>1550</v>
          </cell>
          <cell r="D66">
            <v>1</v>
          </cell>
          <cell r="E66">
            <v>1550</v>
          </cell>
        </row>
        <row r="67">
          <cell r="A67" t="str">
            <v>Alambre para citofonia</v>
          </cell>
          <cell r="B67" t="str">
            <v>ML</v>
          </cell>
          <cell r="C67">
            <v>0</v>
          </cell>
          <cell r="D67">
            <v>1</v>
          </cell>
          <cell r="E67">
            <v>0</v>
          </cell>
        </row>
        <row r="68">
          <cell r="A68" t="str">
            <v>Alambre 2x22 telefonico tipo interior</v>
          </cell>
          <cell r="B68" t="str">
            <v>ML</v>
          </cell>
          <cell r="C68">
            <v>259</v>
          </cell>
          <cell r="D68">
            <v>1</v>
          </cell>
          <cell r="E68">
            <v>259</v>
          </cell>
        </row>
        <row r="69">
          <cell r="A69" t="str">
            <v>Alambre 2x22</v>
          </cell>
          <cell r="B69" t="str">
            <v>ML</v>
          </cell>
          <cell r="C69">
            <v>0</v>
          </cell>
          <cell r="D69">
            <v>1</v>
          </cell>
          <cell r="E69">
            <v>0</v>
          </cell>
        </row>
        <row r="70">
          <cell r="A70" t="str">
            <v>Cable No 2 X 16 encauchetado.</v>
          </cell>
          <cell r="B70" t="str">
            <v>ML</v>
          </cell>
          <cell r="C70">
            <v>1626</v>
          </cell>
          <cell r="D70">
            <v>1</v>
          </cell>
          <cell r="E70">
            <v>1626</v>
          </cell>
        </row>
        <row r="71">
          <cell r="A71" t="str">
            <v>Cable telefonico interior 2x10P</v>
          </cell>
          <cell r="B71" t="str">
            <v>ML</v>
          </cell>
          <cell r="C71">
            <v>3780</v>
          </cell>
          <cell r="D71">
            <v>1</v>
          </cell>
          <cell r="E71">
            <v>3780</v>
          </cell>
        </row>
        <row r="72">
          <cell r="A72" t="str">
            <v>Cable telefonico interior 1x10P</v>
          </cell>
          <cell r="B72" t="str">
            <v>ML</v>
          </cell>
          <cell r="C72">
            <v>1890</v>
          </cell>
          <cell r="D72">
            <v>1</v>
          </cell>
          <cell r="E72">
            <v>1890</v>
          </cell>
        </row>
        <row r="73">
          <cell r="A73" t="str">
            <v>Cable telefonico interior 1x4P</v>
          </cell>
          <cell r="B73" t="str">
            <v>ML</v>
          </cell>
          <cell r="C73">
            <v>778</v>
          </cell>
          <cell r="D73">
            <v>1</v>
          </cell>
          <cell r="E73">
            <v>778</v>
          </cell>
        </row>
        <row r="74">
          <cell r="A74" t="str">
            <v>cable coaxial rg-6/u</v>
          </cell>
          <cell r="B74" t="str">
            <v>ML</v>
          </cell>
          <cell r="C74">
            <v>653</v>
          </cell>
          <cell r="D74">
            <v>1</v>
          </cell>
          <cell r="E74">
            <v>653</v>
          </cell>
        </row>
        <row r="75">
          <cell r="A75" t="str">
            <v>CAJAS</v>
          </cell>
          <cell r="B75">
            <v>0</v>
          </cell>
          <cell r="C75">
            <v>0</v>
          </cell>
          <cell r="D75">
            <v>1</v>
          </cell>
          <cell r="E75">
            <v>0</v>
          </cell>
        </row>
        <row r="76">
          <cell r="A76" t="str">
            <v>Caja Octagonal</v>
          </cell>
          <cell r="B76" t="str">
            <v>UN</v>
          </cell>
          <cell r="C76">
            <v>1100</v>
          </cell>
          <cell r="D76">
            <v>1</v>
          </cell>
          <cell r="E76">
            <v>1100</v>
          </cell>
        </row>
        <row r="77">
          <cell r="A77" t="str">
            <v>Caja 5800</v>
          </cell>
          <cell r="B77" t="str">
            <v>UN</v>
          </cell>
          <cell r="C77">
            <v>1100</v>
          </cell>
          <cell r="D77">
            <v>1</v>
          </cell>
          <cell r="E77">
            <v>1100</v>
          </cell>
        </row>
        <row r="78">
          <cell r="A78" t="str">
            <v>Caja 2400 + Suplemento</v>
          </cell>
          <cell r="B78" t="str">
            <v>UN</v>
          </cell>
          <cell r="C78">
            <v>2100</v>
          </cell>
          <cell r="D78">
            <v>1</v>
          </cell>
          <cell r="E78">
            <v>2100</v>
          </cell>
        </row>
        <row r="79">
          <cell r="A79" t="str">
            <v xml:space="preserve">caja doble fondo 10X10 </v>
          </cell>
          <cell r="B79" t="str">
            <v>UN</v>
          </cell>
          <cell r="C79">
            <v>2300</v>
          </cell>
          <cell r="D79">
            <v>1</v>
          </cell>
          <cell r="E79">
            <v>2300</v>
          </cell>
        </row>
        <row r="80">
          <cell r="A80" t="str">
            <v>ADAPTADORES</v>
          </cell>
          <cell r="B80">
            <v>0</v>
          </cell>
          <cell r="C80">
            <v>0</v>
          </cell>
          <cell r="D80">
            <v>1</v>
          </cell>
          <cell r="E80">
            <v>0</v>
          </cell>
        </row>
        <row r="81">
          <cell r="A81" t="str">
            <v>Adaptadores PVC 1/2"</v>
          </cell>
          <cell r="B81" t="str">
            <v>UN</v>
          </cell>
          <cell r="C81">
            <v>120</v>
          </cell>
          <cell r="D81">
            <v>1</v>
          </cell>
          <cell r="E81">
            <v>120</v>
          </cell>
        </row>
        <row r="82">
          <cell r="A82" t="str">
            <v>Adaptadores PVC 3/4"</v>
          </cell>
          <cell r="B82" t="str">
            <v>UN</v>
          </cell>
          <cell r="C82">
            <v>150</v>
          </cell>
          <cell r="D82">
            <v>1</v>
          </cell>
          <cell r="E82">
            <v>150</v>
          </cell>
        </row>
        <row r="83">
          <cell r="A83" t="str">
            <v>Adaptadores PVC 1"</v>
          </cell>
          <cell r="B83" t="str">
            <v>UN</v>
          </cell>
          <cell r="C83">
            <v>310</v>
          </cell>
          <cell r="D83">
            <v>1</v>
          </cell>
          <cell r="E83">
            <v>310</v>
          </cell>
        </row>
        <row r="84">
          <cell r="A84" t="str">
            <v>Adaptadores PVC 1.1/2"</v>
          </cell>
          <cell r="B84" t="str">
            <v>UN</v>
          </cell>
          <cell r="C84">
            <v>1350</v>
          </cell>
          <cell r="D84">
            <v>1</v>
          </cell>
          <cell r="E84">
            <v>1350</v>
          </cell>
        </row>
        <row r="85">
          <cell r="A85" t="str">
            <v>Adaptadores PVC 1.1/4"</v>
          </cell>
          <cell r="B85" t="str">
            <v>UN</v>
          </cell>
          <cell r="C85">
            <v>0</v>
          </cell>
          <cell r="D85">
            <v>1</v>
          </cell>
          <cell r="E85">
            <v>0</v>
          </cell>
        </row>
        <row r="86">
          <cell r="A86" t="str">
            <v>Adaptadores PVC 2"</v>
          </cell>
          <cell r="B86" t="str">
            <v>UN</v>
          </cell>
          <cell r="C86">
            <v>0</v>
          </cell>
          <cell r="D86">
            <v>1</v>
          </cell>
          <cell r="E86">
            <v>0</v>
          </cell>
        </row>
        <row r="87">
          <cell r="A87" t="str">
            <v>Adaptadores EMT 1/2"</v>
          </cell>
          <cell r="B87" t="str">
            <v>UN</v>
          </cell>
          <cell r="C87">
            <v>1000</v>
          </cell>
          <cell r="D87">
            <v>1</v>
          </cell>
          <cell r="E87">
            <v>1000</v>
          </cell>
        </row>
        <row r="88">
          <cell r="A88" t="str">
            <v>Adaptadores EMT 3/4"</v>
          </cell>
          <cell r="B88" t="str">
            <v>UN</v>
          </cell>
          <cell r="C88">
            <v>1200</v>
          </cell>
          <cell r="D88">
            <v>1</v>
          </cell>
          <cell r="E88">
            <v>1200</v>
          </cell>
        </row>
        <row r="89">
          <cell r="A89" t="str">
            <v>Adaptadores EMT 1"</v>
          </cell>
          <cell r="B89" t="str">
            <v>UN</v>
          </cell>
          <cell r="C89">
            <v>2100</v>
          </cell>
          <cell r="D89">
            <v>1</v>
          </cell>
          <cell r="E89">
            <v>2100</v>
          </cell>
        </row>
        <row r="90">
          <cell r="A90" t="str">
            <v>UNIONES</v>
          </cell>
          <cell r="B90">
            <v>0</v>
          </cell>
          <cell r="C90">
            <v>0</v>
          </cell>
          <cell r="D90">
            <v>1</v>
          </cell>
          <cell r="E90">
            <v>0</v>
          </cell>
        </row>
        <row r="91">
          <cell r="A91" t="str">
            <v>Union EMT 1/2"</v>
          </cell>
          <cell r="B91" t="str">
            <v>UN</v>
          </cell>
          <cell r="C91">
            <v>1000</v>
          </cell>
          <cell r="D91">
            <v>1</v>
          </cell>
          <cell r="E91">
            <v>1000</v>
          </cell>
        </row>
        <row r="92">
          <cell r="A92" t="str">
            <v>Union EMT 3/4"</v>
          </cell>
          <cell r="B92" t="str">
            <v>UN</v>
          </cell>
          <cell r="C92">
            <v>2100</v>
          </cell>
          <cell r="D92">
            <v>1</v>
          </cell>
          <cell r="E92">
            <v>2100</v>
          </cell>
        </row>
        <row r="93">
          <cell r="A93" t="str">
            <v>Union EMT 1"</v>
          </cell>
          <cell r="B93" t="str">
            <v>UN</v>
          </cell>
          <cell r="C93">
            <v>3100</v>
          </cell>
          <cell r="D93">
            <v>1</v>
          </cell>
          <cell r="E93">
            <v>3100</v>
          </cell>
        </row>
        <row r="94">
          <cell r="A94" t="str">
            <v>TOMAS</v>
          </cell>
          <cell r="B94">
            <v>0</v>
          </cell>
          <cell r="C94">
            <v>0</v>
          </cell>
          <cell r="D94">
            <v>1</v>
          </cell>
          <cell r="E94">
            <v>0</v>
          </cell>
        </row>
        <row r="95">
          <cell r="A95" t="str">
            <v xml:space="preserve">Toma Monofasica Doble con polo a tierra desnudo </v>
          </cell>
          <cell r="B95" t="str">
            <v>UN</v>
          </cell>
          <cell r="C95">
            <v>6200</v>
          </cell>
          <cell r="D95">
            <v>1</v>
          </cell>
          <cell r="E95">
            <v>6200</v>
          </cell>
        </row>
        <row r="96">
          <cell r="A96" t="str">
            <v xml:space="preserve">Toma Monofasica Doble Regulada con polo a tierra desnudo </v>
          </cell>
          <cell r="B96" t="str">
            <v>UN</v>
          </cell>
          <cell r="C96">
            <v>11500</v>
          </cell>
          <cell r="D96">
            <v>1</v>
          </cell>
          <cell r="E96">
            <v>11500</v>
          </cell>
        </row>
        <row r="97">
          <cell r="A97" t="str">
            <v>Toma Monofasica GFCI</v>
          </cell>
          <cell r="B97" t="str">
            <v>UN</v>
          </cell>
          <cell r="C97">
            <v>45000</v>
          </cell>
          <cell r="D97">
            <v>1</v>
          </cell>
          <cell r="E97">
            <v>45000</v>
          </cell>
        </row>
        <row r="98">
          <cell r="A98" t="str">
            <v>Toma Bifasica Para Motor de la puerta Electrica</v>
          </cell>
          <cell r="B98" t="str">
            <v>UN</v>
          </cell>
          <cell r="C98">
            <v>0</v>
          </cell>
          <cell r="D98">
            <v>1</v>
          </cell>
          <cell r="E98">
            <v>0</v>
          </cell>
        </row>
        <row r="99">
          <cell r="A99" t="str">
            <v>Toma Bifasica Pata Trabada 20A</v>
          </cell>
          <cell r="B99" t="str">
            <v>UN</v>
          </cell>
          <cell r="C99">
            <v>11200</v>
          </cell>
          <cell r="D99">
            <v>1</v>
          </cell>
          <cell r="E99">
            <v>11200</v>
          </cell>
        </row>
        <row r="100">
          <cell r="A100" t="str">
            <v xml:space="preserve">Toma Trifasica </v>
          </cell>
          <cell r="B100" t="str">
            <v>UN</v>
          </cell>
          <cell r="C100">
            <v>15300</v>
          </cell>
          <cell r="D100">
            <v>1</v>
          </cell>
          <cell r="E100">
            <v>15300</v>
          </cell>
        </row>
        <row r="101">
          <cell r="A101" t="str">
            <v xml:space="preserve">Salida Intercomunicador Citofono </v>
          </cell>
          <cell r="B101" t="str">
            <v>UN</v>
          </cell>
          <cell r="C101">
            <v>0</v>
          </cell>
          <cell r="D101">
            <v>1</v>
          </cell>
          <cell r="E101">
            <v>0</v>
          </cell>
        </row>
        <row r="102">
          <cell r="A102" t="str">
            <v xml:space="preserve">Salida de Citofono </v>
          </cell>
          <cell r="B102" t="str">
            <v>UN</v>
          </cell>
          <cell r="C102">
            <v>0</v>
          </cell>
          <cell r="D102">
            <v>1</v>
          </cell>
          <cell r="E102">
            <v>0</v>
          </cell>
        </row>
        <row r="103">
          <cell r="A103" t="str">
            <v xml:space="preserve">Salida de Voz </v>
          </cell>
          <cell r="B103" t="str">
            <v>UN</v>
          </cell>
          <cell r="C103">
            <v>0</v>
          </cell>
          <cell r="D103">
            <v>1</v>
          </cell>
          <cell r="E103">
            <v>0</v>
          </cell>
        </row>
        <row r="104">
          <cell r="A104" t="str">
            <v>Salida de television</v>
          </cell>
          <cell r="B104" t="str">
            <v>UN</v>
          </cell>
          <cell r="C104">
            <v>0</v>
          </cell>
          <cell r="D104">
            <v>1</v>
          </cell>
          <cell r="E104">
            <v>0</v>
          </cell>
        </row>
        <row r="105">
          <cell r="A105" t="str">
            <v>Salida de Boton de Timbre</v>
          </cell>
          <cell r="B105" t="str">
            <v>UN</v>
          </cell>
          <cell r="C105">
            <v>0</v>
          </cell>
          <cell r="D105">
            <v>1</v>
          </cell>
          <cell r="E105">
            <v>0</v>
          </cell>
        </row>
        <row r="106">
          <cell r="A106" t="str">
            <v>Salida de Campana Timbre</v>
          </cell>
          <cell r="B106" t="str">
            <v>UN</v>
          </cell>
          <cell r="C106">
            <v>0</v>
          </cell>
          <cell r="D106">
            <v>1</v>
          </cell>
          <cell r="E106">
            <v>0</v>
          </cell>
        </row>
        <row r="107">
          <cell r="A107" t="str">
            <v>Salida toma de extractor</v>
          </cell>
          <cell r="B107" t="str">
            <v>UN</v>
          </cell>
          <cell r="C107">
            <v>0</v>
          </cell>
          <cell r="D107">
            <v>1</v>
          </cell>
          <cell r="E107">
            <v>0</v>
          </cell>
        </row>
        <row r="108">
          <cell r="A108" t="str">
            <v>Salida para camara</v>
          </cell>
          <cell r="B108" t="str">
            <v>UN</v>
          </cell>
          <cell r="C108">
            <v>0</v>
          </cell>
          <cell r="D108">
            <v>1</v>
          </cell>
          <cell r="E108">
            <v>0</v>
          </cell>
        </row>
        <row r="109">
          <cell r="A109" t="str">
            <v>ILUMINACION</v>
          </cell>
          <cell r="B109">
            <v>0</v>
          </cell>
          <cell r="C109">
            <v>0</v>
          </cell>
          <cell r="D109">
            <v>1</v>
          </cell>
          <cell r="E109">
            <v>0</v>
          </cell>
        </row>
        <row r="110">
          <cell r="A110" t="str">
            <v>Roceta Con Bombillo Incandecente 100W</v>
          </cell>
          <cell r="B110" t="str">
            <v>UN</v>
          </cell>
          <cell r="C110">
            <v>2500</v>
          </cell>
          <cell r="D110">
            <v>1</v>
          </cell>
          <cell r="E110">
            <v>2500</v>
          </cell>
        </row>
        <row r="111">
          <cell r="A111" t="str">
            <v>Aplique de 1x26w</v>
          </cell>
          <cell r="B111" t="str">
            <v>UN</v>
          </cell>
          <cell r="C111">
            <v>35900</v>
          </cell>
          <cell r="D111">
            <v>1</v>
          </cell>
          <cell r="E111">
            <v>35900</v>
          </cell>
        </row>
        <row r="112">
          <cell r="A112" t="str">
            <v>Bala para incrustar abrillantada de 2*26W opalizada, con balasto y 2 bombillos</v>
          </cell>
          <cell r="B112" t="str">
            <v>UN</v>
          </cell>
          <cell r="C112">
            <v>73999</v>
          </cell>
          <cell r="D112">
            <v>1</v>
          </cell>
          <cell r="E112">
            <v>73999</v>
          </cell>
        </row>
        <row r="113">
          <cell r="A113" t="str">
            <v xml:space="preserve"> luminaria 60*60 para incrustar en cielo raso , con rejilla difusora aluminio semiespecular de 16 celdas, 4 tubos T8 de 17W y balasto electrónico. </v>
          </cell>
          <cell r="B113" t="str">
            <v>UN</v>
          </cell>
          <cell r="C113">
            <v>113333</v>
          </cell>
          <cell r="D113">
            <v>1</v>
          </cell>
          <cell r="E113">
            <v>113333</v>
          </cell>
        </row>
        <row r="114">
          <cell r="A114" t="str">
            <v>Luminaria fluorescente tipo bala cilindro de sobreponer fabricada en aluminio especular repujado aro blanco, vidrio opalizado, diámetro 20.5 cm y altura de 14.5 cms . Dos tubos General Electric y/o Phillips, de 10.000 Horas de duración.</v>
          </cell>
          <cell r="B114" t="str">
            <v>UN</v>
          </cell>
          <cell r="C114">
            <v>116258</v>
          </cell>
          <cell r="D114">
            <v>1</v>
          </cell>
          <cell r="E114">
            <v>116258</v>
          </cell>
        </row>
        <row r="115">
          <cell r="A115" t="str">
            <v>luminaria fluorescente de sobreponer, hermetica de policarbonato ip 65, 2 tubos T8 de 32W y balasto electrónico. Incluye cableado, toma y clavija de desconexión para limpieza y mantenimiento. Similar a la ref: IT 100 SPH 1X4/2T83241/ E1 ILTEC</v>
          </cell>
          <cell r="B115" t="str">
            <v>UN</v>
          </cell>
          <cell r="C115">
            <v>70860</v>
          </cell>
          <cell r="D115">
            <v>1</v>
          </cell>
          <cell r="E115">
            <v>70860</v>
          </cell>
        </row>
        <row r="116">
          <cell r="A116" t="str">
            <v>Reflector Tipo Ref IT EXL 950 para iluminación de emergencia tipo Mickey Mouse</v>
          </cell>
          <cell r="B116" t="str">
            <v>UN</v>
          </cell>
          <cell r="C116">
            <v>68282</v>
          </cell>
          <cell r="D116">
            <v>1</v>
          </cell>
          <cell r="E116">
            <v>68282</v>
          </cell>
        </row>
        <row r="117">
          <cell r="A117" t="str">
            <v>LAMPARA DE EMERGENCIA SALIDA COLOR VERDE</v>
          </cell>
          <cell r="B117" t="str">
            <v>UN</v>
          </cell>
          <cell r="C117">
            <v>60113</v>
          </cell>
          <cell r="D117">
            <v>1</v>
          </cell>
          <cell r="E117">
            <v>60113</v>
          </cell>
        </row>
        <row r="118">
          <cell r="A118" t="str">
            <v>Bala Halogena 50W</v>
          </cell>
          <cell r="B118" t="str">
            <v>UN</v>
          </cell>
          <cell r="C118">
            <v>0</v>
          </cell>
          <cell r="D118">
            <v>1</v>
          </cell>
          <cell r="E118">
            <v>0</v>
          </cell>
        </row>
        <row r="119">
          <cell r="A119" t="str">
            <v>Bala Incandecente 100W</v>
          </cell>
          <cell r="B119" t="str">
            <v>UN</v>
          </cell>
          <cell r="C119">
            <v>0</v>
          </cell>
          <cell r="D119">
            <v>1</v>
          </cell>
          <cell r="E119">
            <v>0</v>
          </cell>
        </row>
        <row r="120">
          <cell r="A120" t="str">
            <v>Aplique Incandecente 100W</v>
          </cell>
          <cell r="B120" t="str">
            <v>UN</v>
          </cell>
          <cell r="C120">
            <v>0</v>
          </cell>
          <cell r="D120">
            <v>1</v>
          </cell>
          <cell r="E120">
            <v>0</v>
          </cell>
        </row>
        <row r="121">
          <cell r="A121" t="str">
            <v>Aplique Incandecente 100W indirecta</v>
          </cell>
          <cell r="B121" t="str">
            <v>UN</v>
          </cell>
          <cell r="C121">
            <v>0</v>
          </cell>
          <cell r="D121">
            <v>1</v>
          </cell>
          <cell r="E121">
            <v>0</v>
          </cell>
        </row>
        <row r="122">
          <cell r="A122" t="str">
            <v>Reflector de 250W,208V sodio.</v>
          </cell>
          <cell r="B122" t="str">
            <v>UN</v>
          </cell>
          <cell r="C122">
            <v>315520</v>
          </cell>
          <cell r="D122">
            <v>1</v>
          </cell>
          <cell r="E122">
            <v>315520</v>
          </cell>
        </row>
        <row r="123">
          <cell r="A123" t="str">
            <v>Reflector de 150W,208V sodio.</v>
          </cell>
          <cell r="B123" t="str">
            <v>UN</v>
          </cell>
          <cell r="C123">
            <v>315520</v>
          </cell>
          <cell r="D123">
            <v>1</v>
          </cell>
          <cell r="E123">
            <v>315520</v>
          </cell>
        </row>
        <row r="124">
          <cell r="A124" t="str">
            <v>Reflector de 70W,208V sodio.</v>
          </cell>
          <cell r="B124" t="str">
            <v>UN</v>
          </cell>
          <cell r="C124">
            <v>289000</v>
          </cell>
          <cell r="D124">
            <v>1</v>
          </cell>
          <cell r="E124">
            <v>289000</v>
          </cell>
        </row>
        <row r="125">
          <cell r="A125" t="str">
            <v>luminaria de 250W,208V sodio. Tipo peatonal.</v>
          </cell>
          <cell r="B125" t="str">
            <v>UN</v>
          </cell>
          <cell r="C125">
            <v>252000</v>
          </cell>
          <cell r="D125">
            <v>1</v>
          </cell>
          <cell r="E125">
            <v>252000</v>
          </cell>
        </row>
        <row r="126">
          <cell r="A126" t="str">
            <v>luminaria de 150W,208V sodio. Tipo peatonal.</v>
          </cell>
          <cell r="B126" t="str">
            <v>UN</v>
          </cell>
          <cell r="C126">
            <v>235000</v>
          </cell>
          <cell r="D126">
            <v>1</v>
          </cell>
          <cell r="E126">
            <v>235000</v>
          </cell>
        </row>
        <row r="127">
          <cell r="A127" t="str">
            <v>Luminaria tipo campana de 250W,208V Metal Halide, abierta.</v>
          </cell>
          <cell r="B127" t="str">
            <v>UN</v>
          </cell>
          <cell r="C127">
            <v>326632</v>
          </cell>
          <cell r="D127">
            <v>1</v>
          </cell>
          <cell r="E127">
            <v>326632</v>
          </cell>
        </row>
        <row r="128">
          <cell r="A128" t="str">
            <v>Luminaria tipo campana de 400W,208V Metal Halide, cerrada.</v>
          </cell>
          <cell r="B128" t="str">
            <v>UN</v>
          </cell>
          <cell r="C128">
            <v>369000</v>
          </cell>
          <cell r="D128">
            <v>1</v>
          </cell>
          <cell r="E128">
            <v>369000</v>
          </cell>
        </row>
        <row r="129">
          <cell r="A129" t="str">
            <v>Poste de concreto 12mt 510 kg tipo alumbrado publico.</v>
          </cell>
          <cell r="B129" t="str">
            <v>UN</v>
          </cell>
          <cell r="C129">
            <v>650000</v>
          </cell>
          <cell r="D129">
            <v>1</v>
          </cell>
          <cell r="E129">
            <v>650000</v>
          </cell>
        </row>
        <row r="130">
          <cell r="A130" t="str">
            <v>TABLEROS Y CAJAS</v>
          </cell>
          <cell r="B130">
            <v>0</v>
          </cell>
          <cell r="C130">
            <v>0</v>
          </cell>
          <cell r="D130">
            <v>1</v>
          </cell>
          <cell r="E130">
            <v>0</v>
          </cell>
        </row>
        <row r="131">
          <cell r="A131" t="str">
            <v>Caja de Paso Metalica de 15x15 cm</v>
          </cell>
          <cell r="B131" t="str">
            <v>UN</v>
          </cell>
          <cell r="C131">
            <v>0</v>
          </cell>
          <cell r="D131">
            <v>1</v>
          </cell>
          <cell r="E131">
            <v>0</v>
          </cell>
        </row>
        <row r="132">
          <cell r="A132" t="str">
            <v>Caja de Paso Metalica de 25x25 cm</v>
          </cell>
          <cell r="B132" t="str">
            <v>UN</v>
          </cell>
          <cell r="C132">
            <v>0</v>
          </cell>
          <cell r="D132">
            <v>1</v>
          </cell>
          <cell r="E132">
            <v>0</v>
          </cell>
        </row>
        <row r="133">
          <cell r="A133" t="str">
            <v>Caja de Paso Metalica de 30x30 cm</v>
          </cell>
          <cell r="B133" t="str">
            <v>UN</v>
          </cell>
          <cell r="C133">
            <v>65300</v>
          </cell>
          <cell r="D133">
            <v>1</v>
          </cell>
          <cell r="E133">
            <v>65300</v>
          </cell>
        </row>
        <row r="134">
          <cell r="A134" t="str">
            <v>Caja de Paso Metalica de 60x60 cm</v>
          </cell>
          <cell r="B134" t="str">
            <v>UN</v>
          </cell>
          <cell r="C134">
            <v>0</v>
          </cell>
          <cell r="D134">
            <v>1</v>
          </cell>
          <cell r="E134">
            <v>0</v>
          </cell>
        </row>
        <row r="135">
          <cell r="A135" t="str">
            <v>Excavacion Instalacion electrica</v>
          </cell>
          <cell r="B135" t="str">
            <v>m3</v>
          </cell>
          <cell r="C135">
            <v>18600</v>
          </cell>
          <cell r="D135">
            <v>1</v>
          </cell>
          <cell r="E135">
            <v>18600</v>
          </cell>
        </row>
        <row r="136">
          <cell r="A136" t="str">
            <v>Base en recebo compacto Instalacion electrica</v>
          </cell>
          <cell r="B136" t="str">
            <v>m3</v>
          </cell>
          <cell r="C136">
            <v>24200</v>
          </cell>
          <cell r="D136">
            <v>1</v>
          </cell>
          <cell r="E136">
            <v>24200</v>
          </cell>
        </row>
        <row r="137">
          <cell r="A137" t="str">
            <v>Base en concreto Instalacion electrica</v>
          </cell>
          <cell r="B137" t="str">
            <v>m3</v>
          </cell>
          <cell r="C137">
            <v>293000</v>
          </cell>
          <cell r="D137">
            <v>1</v>
          </cell>
          <cell r="E137">
            <v>293000</v>
          </cell>
        </row>
        <row r="138">
          <cell r="A138" t="str">
            <v>Muro en ladrillo recocido Instalacion electrica</v>
          </cell>
          <cell r="B138" t="str">
            <v>m2</v>
          </cell>
          <cell r="C138">
            <v>29000</v>
          </cell>
          <cell r="D138">
            <v>1</v>
          </cell>
          <cell r="E138">
            <v>29000</v>
          </cell>
        </row>
        <row r="139">
          <cell r="A139" t="str">
            <v>Viga marco en concreto Instalacion electrica</v>
          </cell>
          <cell r="B139" t="str">
            <v>m3</v>
          </cell>
          <cell r="C139">
            <v>312000</v>
          </cell>
          <cell r="D139">
            <v>1</v>
          </cell>
          <cell r="E139">
            <v>312000</v>
          </cell>
        </row>
        <row r="140">
          <cell r="A140" t="str">
            <v>Pañete muro Instalacion electrica</v>
          </cell>
          <cell r="B140" t="str">
            <v>m2</v>
          </cell>
          <cell r="C140">
            <v>9600</v>
          </cell>
          <cell r="D140">
            <v>1</v>
          </cell>
          <cell r="E140">
            <v>9600</v>
          </cell>
        </row>
        <row r="141">
          <cell r="A141" t="str">
            <v>Madera para formaleta Instalacion electrica</v>
          </cell>
          <cell r="B141" t="str">
            <v>gl</v>
          </cell>
          <cell r="C141">
            <v>38500</v>
          </cell>
          <cell r="D141">
            <v>1</v>
          </cell>
          <cell r="E141">
            <v>38500</v>
          </cell>
        </row>
        <row r="142">
          <cell r="A142" t="str">
            <v>Retiro sobrantes Instalacion electrica</v>
          </cell>
          <cell r="B142" t="str">
            <v>m3</v>
          </cell>
          <cell r="C142">
            <v>10500</v>
          </cell>
          <cell r="D142">
            <v>1</v>
          </cell>
          <cell r="E142">
            <v>10500</v>
          </cell>
        </row>
        <row r="143">
          <cell r="A143" t="str">
            <v>Marco y tapas Instalacion electrica 30X30 cm</v>
          </cell>
          <cell r="B143" t="str">
            <v>GL</v>
          </cell>
          <cell r="C143">
            <v>89300</v>
          </cell>
          <cell r="D143">
            <v>1</v>
          </cell>
          <cell r="E143">
            <v>89300</v>
          </cell>
        </row>
        <row r="144">
          <cell r="A144" t="str">
            <v>Marco y tapas Instalacion electrica 60X60 cm</v>
          </cell>
          <cell r="B144" t="str">
            <v>GL</v>
          </cell>
          <cell r="C144">
            <v>135000</v>
          </cell>
          <cell r="D144">
            <v>1</v>
          </cell>
          <cell r="E144">
            <v>135000</v>
          </cell>
        </row>
        <row r="145">
          <cell r="A145" t="str">
            <v>Marco y tapas Instalacion electrica CS 274</v>
          </cell>
          <cell r="B145" t="str">
            <v>GL</v>
          </cell>
          <cell r="C145">
            <v>259000</v>
          </cell>
          <cell r="D145">
            <v>1</v>
          </cell>
          <cell r="E145">
            <v>259000</v>
          </cell>
        </row>
        <row r="146">
          <cell r="A146" t="str">
            <v>Marco y tapas Instalacion electrica CS 275</v>
          </cell>
          <cell r="B146" t="str">
            <v>GL</v>
          </cell>
          <cell r="C146">
            <v>459600</v>
          </cell>
          <cell r="D146">
            <v>1</v>
          </cell>
          <cell r="E146">
            <v>459600</v>
          </cell>
        </row>
        <row r="147">
          <cell r="A147" t="str">
            <v>Marco y tapas Instalacion electrica CS 276</v>
          </cell>
          <cell r="B147" t="str">
            <v>GL</v>
          </cell>
          <cell r="C147">
            <v>602000</v>
          </cell>
          <cell r="D147">
            <v>1</v>
          </cell>
          <cell r="E147">
            <v>602000</v>
          </cell>
        </row>
        <row r="148">
          <cell r="A148" t="str">
            <v>Strip Telefonico de 20 Pares en caja de 45x40x10 cm</v>
          </cell>
          <cell r="B148" t="str">
            <v>UN</v>
          </cell>
          <cell r="C148">
            <v>0</v>
          </cell>
          <cell r="D148">
            <v>1</v>
          </cell>
          <cell r="E148">
            <v>0</v>
          </cell>
        </row>
        <row r="149">
          <cell r="A149" t="str">
            <v>Strip Telefonico de 4 Pares en caja de 15x15x10 cm</v>
          </cell>
          <cell r="B149" t="str">
            <v>UN</v>
          </cell>
          <cell r="C149">
            <v>0</v>
          </cell>
          <cell r="D149">
            <v>1</v>
          </cell>
          <cell r="E149">
            <v>0</v>
          </cell>
        </row>
        <row r="150">
          <cell r="A150" t="str">
            <v>Strip Telefonico de 20 Pares en caja de 30x30x10 cm</v>
          </cell>
          <cell r="B150" t="str">
            <v>UN</v>
          </cell>
          <cell r="C150">
            <v>0</v>
          </cell>
          <cell r="D150">
            <v>1</v>
          </cell>
          <cell r="E150">
            <v>0</v>
          </cell>
        </row>
        <row r="151">
          <cell r="A151" t="str">
            <v>Strip Telefonico de 10 Pares en caja de 25x25x10 cm</v>
          </cell>
          <cell r="B151" t="str">
            <v>UN</v>
          </cell>
          <cell r="C151">
            <v>0</v>
          </cell>
          <cell r="D151">
            <v>1</v>
          </cell>
          <cell r="E151">
            <v>0</v>
          </cell>
        </row>
        <row r="152">
          <cell r="A152" t="str">
            <v>Panel Control Iluminación 35x25x12 cmdoble fondo con 3 selectores de manija, luz piloto de sañalizacion. 208V.</v>
          </cell>
          <cell r="B152" t="str">
            <v>UN</v>
          </cell>
          <cell r="C152">
            <v>410200</v>
          </cell>
          <cell r="D152">
            <v>1</v>
          </cell>
          <cell r="E152">
            <v>410200</v>
          </cell>
        </row>
        <row r="153">
          <cell r="A153" t="str">
            <v>Panel Control Iluminación 40x30x15 cmdoble fondo con 3 selectores de manija, luz piloto de sañalizacion y 3 contactores AC2 208V".</v>
          </cell>
          <cell r="B153" t="str">
            <v>UN</v>
          </cell>
          <cell r="C153">
            <v>685000</v>
          </cell>
          <cell r="D153">
            <v>1</v>
          </cell>
          <cell r="E153">
            <v>685000</v>
          </cell>
        </row>
        <row r="154">
          <cell r="A154" t="str">
            <v>Panel Control Iluminación 40x30x20 cmdoble fondo con 5 selectores de manija, luz piloto de sañalizacion y 5 contactores AC2 208V".</v>
          </cell>
          <cell r="B154" t="str">
            <v>UN</v>
          </cell>
          <cell r="C154">
            <v>890000</v>
          </cell>
          <cell r="D154">
            <v>1</v>
          </cell>
          <cell r="E154">
            <v>890000</v>
          </cell>
        </row>
        <row r="155">
          <cell r="A155" t="str">
            <v>Panel Control Iluminación 40x30x20 cmdoble fondo con 7 selectores de manija, luz piloto de sañalizacion y 7 contactores AC2 208V".</v>
          </cell>
          <cell r="B155" t="str">
            <v>UN</v>
          </cell>
          <cell r="C155">
            <v>967000</v>
          </cell>
          <cell r="D155">
            <v>1</v>
          </cell>
          <cell r="E155">
            <v>967000</v>
          </cell>
        </row>
        <row r="156">
          <cell r="A156" t="str">
            <v>Panel Control Iluminación 40x30x20 cmdoble fondo con 8 selectores de manija, luz piloto de sañalizacion y 8 contactores AC2 208V".</v>
          </cell>
          <cell r="B156" t="str">
            <v>UN</v>
          </cell>
          <cell r="C156">
            <v>1109000</v>
          </cell>
          <cell r="D156">
            <v>1</v>
          </cell>
          <cell r="E156">
            <v>1109000</v>
          </cell>
        </row>
        <row r="157">
          <cell r="A157" t="str">
            <v>Panel Control Iluminación 60x60x30 cmdoble fondo con 20 selectores de manija, luz piloto de sañalizacion y 3 contactores AC2 208V" 24 BREAKERS 1X20A.</v>
          </cell>
          <cell r="B157" t="str">
            <v>UN</v>
          </cell>
          <cell r="C157">
            <v>3980000</v>
          </cell>
          <cell r="D157">
            <v>1</v>
          </cell>
          <cell r="E157">
            <v>3980000</v>
          </cell>
        </row>
        <row r="158">
          <cell r="A158" t="str">
            <v>Caja con espacio para totalizador para las bombas</v>
          </cell>
          <cell r="B158" t="str">
            <v>UN</v>
          </cell>
          <cell r="C158">
            <v>0</v>
          </cell>
          <cell r="D158">
            <v>1</v>
          </cell>
          <cell r="E158">
            <v>0</v>
          </cell>
        </row>
        <row r="159">
          <cell r="A159" t="str">
            <v>Caja con espacio para totalizador para ascensor</v>
          </cell>
          <cell r="B159" t="str">
            <v>UN</v>
          </cell>
          <cell r="C159">
            <v>0</v>
          </cell>
          <cell r="D159">
            <v>1</v>
          </cell>
          <cell r="E159">
            <v>0</v>
          </cell>
        </row>
        <row r="160">
          <cell r="A160" t="str">
            <v>TABLERO TRIFASICO DE 18 CIRCUITOS TWP -208 V SIN ESPACIO PARA TOTALIZADOR</v>
          </cell>
          <cell r="B160" t="str">
            <v>UN</v>
          </cell>
          <cell r="C160">
            <v>0</v>
          </cell>
          <cell r="D160">
            <v>1</v>
          </cell>
          <cell r="E160">
            <v>0</v>
          </cell>
        </row>
        <row r="161">
          <cell r="A161" t="str">
            <v>TABLERO BIIFASICO DE 12 CIRCUITOS TBL -208 V SIN ESPACIO PARA TOTALIZADOR</v>
          </cell>
          <cell r="B161" t="str">
            <v>UN</v>
          </cell>
          <cell r="C161">
            <v>0</v>
          </cell>
          <cell r="D161">
            <v>1</v>
          </cell>
          <cell r="E161">
            <v>0</v>
          </cell>
        </row>
        <row r="162">
          <cell r="A162" t="str">
            <v>TABLERO TRIFASICO DE 36 CIRCUITOS TWP -208 V SIN ESPACIO PARA TOTALIZADOR</v>
          </cell>
          <cell r="B162" t="str">
            <v>UN</v>
          </cell>
          <cell r="C162">
            <v>0</v>
          </cell>
          <cell r="D162">
            <v>1</v>
          </cell>
          <cell r="E162">
            <v>0</v>
          </cell>
        </row>
        <row r="163">
          <cell r="A163" t="str">
            <v>TABLERO TRIFASICO DE 42 CIRCUITOS  -208 V CON ESPACIO PARA TOTALIZADOR, PUERTA Y CHAPA.</v>
          </cell>
          <cell r="B163" t="str">
            <v>UN</v>
          </cell>
          <cell r="C163">
            <v>682100</v>
          </cell>
          <cell r="D163">
            <v>1</v>
          </cell>
          <cell r="E163">
            <v>682100</v>
          </cell>
        </row>
        <row r="164">
          <cell r="A164" t="str">
            <v>TABLERO TRIFASICO DE 36 CIRCUITOS  -208 V CON ESPACIO PARA TOTALIZADOR, PUERTA Y CHAPA.</v>
          </cell>
          <cell r="B164" t="str">
            <v>UN</v>
          </cell>
          <cell r="C164">
            <v>623300</v>
          </cell>
          <cell r="D164">
            <v>1</v>
          </cell>
          <cell r="E164">
            <v>623300</v>
          </cell>
        </row>
        <row r="165">
          <cell r="A165" t="str">
            <v>TABLERO TRIFASICO DE 30 CIRCUITOS  -208 V CON ESPACIO PARA TOTALIZADOR, PUERTA Y CHAPA.</v>
          </cell>
          <cell r="B165" t="str">
            <v>UN</v>
          </cell>
          <cell r="C165">
            <v>611700</v>
          </cell>
          <cell r="D165">
            <v>1</v>
          </cell>
          <cell r="E165">
            <v>611700</v>
          </cell>
        </row>
        <row r="166">
          <cell r="A166" t="str">
            <v>TABLERO TRIFASICO DE 24 CIRCUITOS  -208 V CON ESPACIO PARA TOTALIZADOR, PUERTA Y CHAPA.</v>
          </cell>
          <cell r="B166" t="str">
            <v>UN</v>
          </cell>
          <cell r="C166">
            <v>490000</v>
          </cell>
          <cell r="D166">
            <v>1</v>
          </cell>
          <cell r="E166">
            <v>490000</v>
          </cell>
        </row>
        <row r="167">
          <cell r="A167" t="str">
            <v>TABLERO TRIFASICO DE 18 CIRCUITOS  -208 V CON ESPACIO PARA TOTALIZADOR, PUERTA Y CHAPA.</v>
          </cell>
          <cell r="B167" t="str">
            <v>UN</v>
          </cell>
          <cell r="C167">
            <v>455000</v>
          </cell>
          <cell r="D167">
            <v>1</v>
          </cell>
          <cell r="E167">
            <v>455000</v>
          </cell>
        </row>
        <row r="168">
          <cell r="A168" t="str">
            <v>TABLERO TRIFASICO DE 12 CIRCUITOS  -208 V CON ESPACIO PARA TOTALIZADOR, PUERTA Y CHAPA.</v>
          </cell>
          <cell r="B168" t="str">
            <v>UN</v>
          </cell>
          <cell r="C168">
            <v>360000</v>
          </cell>
          <cell r="D168">
            <v>1</v>
          </cell>
          <cell r="E168">
            <v>360000</v>
          </cell>
        </row>
        <row r="169">
          <cell r="A169" t="str">
            <v>TABLERO TRIFASICO DE 42 CIRCUITOS -208 V CON BY PASS SEGÚN CUADRO DE CARGAS Y DIAGRAMA UNIFILAR.</v>
          </cell>
          <cell r="B169" t="str">
            <v>UN</v>
          </cell>
          <cell r="C169">
            <v>2350000</v>
          </cell>
          <cell r="D169">
            <v>1</v>
          </cell>
          <cell r="E169">
            <v>2350000</v>
          </cell>
        </row>
        <row r="170">
          <cell r="A170" t="str">
            <v>TABLERO TRIFASICO DE 18 CIRCUITOS -208 V CON BY PASS SEGÚN CUADRO DE CARGAS Y DIAGRAMA UNIFILAR.</v>
          </cell>
          <cell r="B170" t="str">
            <v>UN</v>
          </cell>
          <cell r="C170">
            <v>896000</v>
          </cell>
          <cell r="D170">
            <v>1</v>
          </cell>
          <cell r="E170">
            <v>896000</v>
          </cell>
        </row>
        <row r="171">
          <cell r="A171" t="str">
            <v>TABLERO TRIFASICO DE 12 CIRCUITOS -208 V CON BY PASS SEGÚN CUADRO DE CARGAS Y DIAGRAMA UNIFILAR.</v>
          </cell>
          <cell r="B171" t="str">
            <v>UN</v>
          </cell>
          <cell r="C171">
            <v>789000</v>
          </cell>
          <cell r="D171">
            <v>1</v>
          </cell>
          <cell r="E171">
            <v>789000</v>
          </cell>
        </row>
        <row r="172">
          <cell r="A172" t="str">
            <v>INTERRUPTORES</v>
          </cell>
          <cell r="B172">
            <v>0</v>
          </cell>
          <cell r="C172">
            <v>0</v>
          </cell>
          <cell r="D172">
            <v>1</v>
          </cell>
          <cell r="E172">
            <v>0</v>
          </cell>
        </row>
        <row r="173">
          <cell r="A173" t="str">
            <v>Interruptor Sencillo</v>
          </cell>
          <cell r="B173" t="str">
            <v>UN</v>
          </cell>
          <cell r="C173">
            <v>5900</v>
          </cell>
          <cell r="D173">
            <v>1</v>
          </cell>
          <cell r="E173">
            <v>5900</v>
          </cell>
        </row>
        <row r="174">
          <cell r="A174" t="str">
            <v>Interruptor Doble</v>
          </cell>
          <cell r="B174" t="str">
            <v>UN</v>
          </cell>
          <cell r="C174">
            <v>9900</v>
          </cell>
          <cell r="D174">
            <v>1</v>
          </cell>
          <cell r="E174">
            <v>9900</v>
          </cell>
        </row>
        <row r="175">
          <cell r="A175" t="str">
            <v>Interruptor triple</v>
          </cell>
          <cell r="B175" t="str">
            <v>UN</v>
          </cell>
          <cell r="C175">
            <v>11500</v>
          </cell>
          <cell r="D175">
            <v>1</v>
          </cell>
          <cell r="E175">
            <v>11500</v>
          </cell>
        </row>
        <row r="176">
          <cell r="A176" t="str">
            <v>Salida Para Sensor de Movimiento 360° h=3.00</v>
          </cell>
          <cell r="B176" t="str">
            <v>UN</v>
          </cell>
          <cell r="C176">
            <v>0</v>
          </cell>
          <cell r="D176">
            <v>1</v>
          </cell>
          <cell r="E176">
            <v>0</v>
          </cell>
        </row>
        <row r="177">
          <cell r="A177" t="str">
            <v>Sensor de Movimiento tipo  Watt Stopper CI 355 24 vdc</v>
          </cell>
          <cell r="B177" t="str">
            <v>UN</v>
          </cell>
          <cell r="C177">
            <v>129300</v>
          </cell>
          <cell r="D177">
            <v>1</v>
          </cell>
          <cell r="E177">
            <v>129300</v>
          </cell>
        </row>
        <row r="178">
          <cell r="A178" t="str">
            <v>Interruptor Conmutable</v>
          </cell>
          <cell r="B178" t="str">
            <v>UN</v>
          </cell>
          <cell r="C178">
            <v>7500</v>
          </cell>
          <cell r="D178">
            <v>1</v>
          </cell>
          <cell r="E178">
            <v>7500</v>
          </cell>
        </row>
        <row r="179">
          <cell r="A179" t="str">
            <v>Interruptor Conmutable mas Sencillo</v>
          </cell>
          <cell r="B179" t="str">
            <v>UN</v>
          </cell>
          <cell r="C179">
            <v>0</v>
          </cell>
          <cell r="D179">
            <v>1</v>
          </cell>
          <cell r="E179">
            <v>0</v>
          </cell>
        </row>
        <row r="180">
          <cell r="A180" t="str">
            <v>Interruptor Conmutable mas Doble</v>
          </cell>
          <cell r="B180" t="str">
            <v>UN</v>
          </cell>
          <cell r="C180">
            <v>0</v>
          </cell>
          <cell r="D180">
            <v>1</v>
          </cell>
          <cell r="E180">
            <v>0</v>
          </cell>
        </row>
        <row r="181">
          <cell r="A181" t="str">
            <v>INTERRUPTOR ENCHUFABLE DE 3X30AMP.</v>
          </cell>
          <cell r="B181" t="str">
            <v>UN</v>
          </cell>
          <cell r="C181">
            <v>100200</v>
          </cell>
          <cell r="D181">
            <v>1</v>
          </cell>
          <cell r="E181">
            <v>100200</v>
          </cell>
        </row>
        <row r="182">
          <cell r="A182" t="str">
            <v>INTERRUPTOR ENCHUFABLE DE 2X30AMP.</v>
          </cell>
          <cell r="B182" t="str">
            <v>UN</v>
          </cell>
          <cell r="C182">
            <v>38850</v>
          </cell>
          <cell r="D182">
            <v>1</v>
          </cell>
          <cell r="E182">
            <v>38850</v>
          </cell>
        </row>
        <row r="183">
          <cell r="A183" t="str">
            <v>INTERRUPTOR ENCHUFABLE DE 1X15 AMP.</v>
          </cell>
          <cell r="B183" t="str">
            <v>UN</v>
          </cell>
          <cell r="C183">
            <v>15100</v>
          </cell>
          <cell r="D183">
            <v>1</v>
          </cell>
          <cell r="E183">
            <v>15100</v>
          </cell>
        </row>
        <row r="184">
          <cell r="A184" t="str">
            <v>INTERRUPTOR ENCHUFABLE DE 3X60AMP.</v>
          </cell>
          <cell r="B184" t="str">
            <v>UN</v>
          </cell>
          <cell r="C184">
            <v>125600</v>
          </cell>
          <cell r="D184">
            <v>1</v>
          </cell>
          <cell r="E184">
            <v>125600</v>
          </cell>
        </row>
        <row r="185">
          <cell r="A185" t="str">
            <v>INTERRUPTOR ENCHUFABLE DE 1X20AMP.</v>
          </cell>
          <cell r="B185" t="str">
            <v>UN</v>
          </cell>
          <cell r="C185">
            <v>15100</v>
          </cell>
          <cell r="D185">
            <v>1</v>
          </cell>
          <cell r="E185">
            <v>15100</v>
          </cell>
        </row>
        <row r="186">
          <cell r="A186" t="str">
            <v>INTERRUPTOR ENCHUFABLE DE 1X30AMP.</v>
          </cell>
          <cell r="B186" t="str">
            <v>UN</v>
          </cell>
          <cell r="C186">
            <v>15100</v>
          </cell>
          <cell r="D186">
            <v>1</v>
          </cell>
          <cell r="E186">
            <v>15100</v>
          </cell>
        </row>
        <row r="187">
          <cell r="A187" t="str">
            <v>INTERRUPTOR ENCHUFABLE DE 1X40AMP.</v>
          </cell>
          <cell r="B187" t="str">
            <v>UN</v>
          </cell>
          <cell r="C187">
            <v>18600</v>
          </cell>
          <cell r="D187">
            <v>1</v>
          </cell>
          <cell r="E187">
            <v>18600</v>
          </cell>
        </row>
        <row r="188">
          <cell r="A188" t="str">
            <v>INTERRUPTOR ENCHUFABLE DE 1X50AMP.</v>
          </cell>
          <cell r="B188" t="str">
            <v>UN</v>
          </cell>
          <cell r="C188">
            <v>18600</v>
          </cell>
          <cell r="D188">
            <v>1</v>
          </cell>
          <cell r="E188">
            <v>18600</v>
          </cell>
        </row>
        <row r="189">
          <cell r="A189" t="str">
            <v>INTERRUPTOR ENCHUFABLE DE 1X60AMP.</v>
          </cell>
          <cell r="B189" t="str">
            <v>UN</v>
          </cell>
          <cell r="C189">
            <v>42500</v>
          </cell>
          <cell r="D189">
            <v>1</v>
          </cell>
          <cell r="E189">
            <v>42500</v>
          </cell>
        </row>
        <row r="190">
          <cell r="A190" t="str">
            <v>INTERRUPTOR ENCHUFABLE DE 1X70AMP.</v>
          </cell>
          <cell r="B190" t="str">
            <v>UN</v>
          </cell>
          <cell r="C190">
            <v>42500</v>
          </cell>
          <cell r="D190">
            <v>1</v>
          </cell>
          <cell r="E190">
            <v>42500</v>
          </cell>
        </row>
        <row r="191">
          <cell r="A191" t="str">
            <v>INTERRUPTOR ENCHUFABLE DE 2X20AMP.</v>
          </cell>
          <cell r="B191" t="str">
            <v>UN</v>
          </cell>
          <cell r="C191">
            <v>38850</v>
          </cell>
          <cell r="D191">
            <v>1</v>
          </cell>
          <cell r="E191">
            <v>38850</v>
          </cell>
        </row>
        <row r="192">
          <cell r="A192" t="str">
            <v>INTERRUPTOR INDUSTRIAL DE 3X16/20AMP.</v>
          </cell>
          <cell r="B192" t="str">
            <v>UN</v>
          </cell>
          <cell r="C192">
            <v>209900</v>
          </cell>
          <cell r="D192">
            <v>1</v>
          </cell>
          <cell r="E192">
            <v>209900</v>
          </cell>
        </row>
        <row r="193">
          <cell r="A193" t="str">
            <v>INTERRUPTOR INDUSTRIAL DE 3X20/25AMP.</v>
          </cell>
          <cell r="B193" t="str">
            <v>UN</v>
          </cell>
          <cell r="C193">
            <v>209900</v>
          </cell>
          <cell r="D193">
            <v>1</v>
          </cell>
          <cell r="E193">
            <v>209900</v>
          </cell>
        </row>
        <row r="194">
          <cell r="A194" t="str">
            <v>INTERRUPTOR INDUSTRIAL DE 3X25/32AMP.</v>
          </cell>
          <cell r="B194" t="str">
            <v>UN</v>
          </cell>
          <cell r="C194">
            <v>223600</v>
          </cell>
          <cell r="D194">
            <v>1</v>
          </cell>
          <cell r="E194">
            <v>223600</v>
          </cell>
        </row>
        <row r="195">
          <cell r="A195" t="str">
            <v>INTERRUPTOR INDUSTRIAL DE 3X32/40AMP.</v>
          </cell>
          <cell r="B195" t="str">
            <v>UN</v>
          </cell>
          <cell r="C195">
            <v>223600</v>
          </cell>
          <cell r="D195">
            <v>1</v>
          </cell>
          <cell r="E195">
            <v>223600</v>
          </cell>
        </row>
        <row r="196">
          <cell r="A196" t="str">
            <v>INTERRUPTOR INDUSTRIAL DE 3X40/50AMP.</v>
          </cell>
          <cell r="B196" t="str">
            <v>UN</v>
          </cell>
          <cell r="C196">
            <v>223600</v>
          </cell>
          <cell r="D196">
            <v>1</v>
          </cell>
          <cell r="E196">
            <v>223600</v>
          </cell>
        </row>
        <row r="197">
          <cell r="A197" t="str">
            <v>INTERRUPTOR INDUSTRIAL DE 3X50/63AMP.</v>
          </cell>
          <cell r="B197" t="str">
            <v>UN</v>
          </cell>
          <cell r="C197">
            <v>223600</v>
          </cell>
          <cell r="D197">
            <v>1</v>
          </cell>
          <cell r="E197">
            <v>223600</v>
          </cell>
        </row>
        <row r="198">
          <cell r="A198" t="str">
            <v>INTERRUPTOR INDUSTRIAL DE 3X63/80AMP.</v>
          </cell>
          <cell r="B198" t="str">
            <v>UN</v>
          </cell>
          <cell r="C198">
            <v>322900</v>
          </cell>
          <cell r="D198">
            <v>1</v>
          </cell>
          <cell r="E198">
            <v>322900</v>
          </cell>
        </row>
        <row r="199">
          <cell r="A199" t="str">
            <v>INTERRUPTOR INDUSTRIAL DE 3X80/100AMP.</v>
          </cell>
          <cell r="B199" t="str">
            <v>UN</v>
          </cell>
          <cell r="C199">
            <v>323000</v>
          </cell>
          <cell r="D199">
            <v>1</v>
          </cell>
          <cell r="E199">
            <v>323000</v>
          </cell>
        </row>
        <row r="200">
          <cell r="A200" t="str">
            <v>INTERRUPTOR INDUSTRIAL DE 3X100/125AMP.</v>
          </cell>
          <cell r="B200" t="str">
            <v>UN</v>
          </cell>
          <cell r="C200">
            <v>691000</v>
          </cell>
          <cell r="D200">
            <v>1</v>
          </cell>
          <cell r="E200">
            <v>691000</v>
          </cell>
        </row>
        <row r="201">
          <cell r="A201" t="str">
            <v>INTERRUPTOR INDUSTRIAL DE 3X125/160AMP.</v>
          </cell>
          <cell r="B201" t="str">
            <v>UN</v>
          </cell>
          <cell r="C201">
            <v>736000</v>
          </cell>
          <cell r="D201">
            <v>1</v>
          </cell>
          <cell r="E201">
            <v>736000</v>
          </cell>
        </row>
        <row r="202">
          <cell r="A202" t="str">
            <v>EQUIPOS ESPECIALES</v>
          </cell>
          <cell r="B202">
            <v>0</v>
          </cell>
          <cell r="C202">
            <v>0</v>
          </cell>
          <cell r="D202">
            <v>0</v>
          </cell>
          <cell r="E202">
            <v>0</v>
          </cell>
        </row>
        <row r="203">
          <cell r="A203" t="str">
            <v xml:space="preserve">Antena para T.V. con amplificador </v>
          </cell>
          <cell r="B203" t="str">
            <v>UN</v>
          </cell>
          <cell r="C203">
            <v>0</v>
          </cell>
          <cell r="D203">
            <v>1</v>
          </cell>
          <cell r="E203">
            <v>0</v>
          </cell>
        </row>
        <row r="204">
          <cell r="A204" t="str">
            <v>CELDA DE PROTECCION SEGÚN NORMA CODENSA Y DIAGRAMA UNIFILAR.</v>
          </cell>
          <cell r="B204" t="str">
            <v>UN</v>
          </cell>
          <cell r="C204">
            <v>6980000</v>
          </cell>
          <cell r="D204">
            <v>1</v>
          </cell>
          <cell r="E204">
            <v>6980000</v>
          </cell>
        </row>
        <row r="205">
          <cell r="A205" t="str">
            <v>Transformador de 112,5 KVA Tipo Aceite</v>
          </cell>
          <cell r="B205" t="str">
            <v>UN</v>
          </cell>
          <cell r="C205">
            <v>8900000</v>
          </cell>
          <cell r="D205">
            <v>1</v>
          </cell>
          <cell r="E205">
            <v>8900000</v>
          </cell>
        </row>
        <row r="206">
          <cell r="A206" t="str">
            <v>CELDA ENTRADA Y SALIDA SEGÚN NORMA CTS-502 CODENSA Y DIAGRAMA UNIFILAR</v>
          </cell>
          <cell r="B206" t="str">
            <v>UN</v>
          </cell>
          <cell r="C206">
            <v>7100000</v>
          </cell>
          <cell r="D206">
            <v>1</v>
          </cell>
          <cell r="E206">
            <v>7100000</v>
          </cell>
        </row>
        <row r="207">
          <cell r="A207" t="str">
            <v xml:space="preserve">ARMARIO CON EQUIPO DE MEDIDA DE MEDIA TENSION  SEGÚN NORMA AE-325 </v>
          </cell>
          <cell r="B207" t="str">
            <v>UN</v>
          </cell>
          <cell r="C207">
            <v>17161200</v>
          </cell>
          <cell r="D207">
            <v>1</v>
          </cell>
          <cell r="E207">
            <v>17161200</v>
          </cell>
        </row>
        <row r="208">
          <cell r="A208" t="str">
            <v xml:space="preserve">ARMARIO CON EQUIPO DE MEDIDA DE BAJA TENSION TENSION  SEGÚN NORMA </v>
          </cell>
          <cell r="B208" t="str">
            <v>UN</v>
          </cell>
          <cell r="C208">
            <v>6930000</v>
          </cell>
          <cell r="D208">
            <v>1</v>
          </cell>
          <cell r="E208">
            <v>6930000</v>
          </cell>
        </row>
        <row r="209">
          <cell r="A209" t="str">
            <v>TABLERO GENERAL SEGÚN NORMA CODENSA Y DIAGRAMA UNIFILAR</v>
          </cell>
          <cell r="B209" t="str">
            <v>UN</v>
          </cell>
          <cell r="C209">
            <v>15940000</v>
          </cell>
          <cell r="D209">
            <v>1</v>
          </cell>
          <cell r="E209">
            <v>15940000</v>
          </cell>
        </row>
        <row r="210">
          <cell r="A210" t="str">
            <v>TABLERO GENERAL SEGÚN NORMA Y DIAGRAMA UNIFILAR</v>
          </cell>
          <cell r="B210" t="str">
            <v>UN</v>
          </cell>
          <cell r="C210">
            <v>9960000</v>
          </cell>
          <cell r="D210">
            <v>1</v>
          </cell>
          <cell r="E210">
            <v>9960000</v>
          </cell>
        </row>
        <row r="211">
          <cell r="A211" t="str">
            <v xml:space="preserve">TABLERO DE TRANSFERENCIA AUTOMATICA MOTORIZADA BOMBA CONTRAINCENDIO </v>
          </cell>
          <cell r="B211" t="str">
            <v>UN</v>
          </cell>
          <cell r="C211">
            <v>18490500</v>
          </cell>
          <cell r="D211">
            <v>1</v>
          </cell>
          <cell r="E211">
            <v>18490500</v>
          </cell>
        </row>
        <row r="212">
          <cell r="A212" t="str">
            <v>TABLERO DE TRANSFERENCIA AUTOMATICA MOTORIZADA BOMBA CONTRAINCENDIO 160 AMP</v>
          </cell>
          <cell r="B212" t="str">
            <v>UN</v>
          </cell>
          <cell r="C212">
            <v>8490500</v>
          </cell>
          <cell r="D212">
            <v>1</v>
          </cell>
          <cell r="E212">
            <v>8490500</v>
          </cell>
        </row>
        <row r="213">
          <cell r="A213" t="str">
            <v>TABLERO DE SERVICIOS COMUNES SEGÚN NORMA CODENSA Y DIAGRAMA UNIFILAR</v>
          </cell>
          <cell r="B213" t="str">
            <v>UN</v>
          </cell>
          <cell r="C213">
            <v>8205000</v>
          </cell>
          <cell r="D213">
            <v>1</v>
          </cell>
          <cell r="E213">
            <v>8205000</v>
          </cell>
        </row>
        <row r="214">
          <cell r="A214" t="str">
            <v xml:space="preserve">TRANSFERENCIA AUTOMATICA GENERAL SEGUN DIAGRAMA UNIFILAR. </v>
          </cell>
          <cell r="B214" t="str">
            <v>UN</v>
          </cell>
          <cell r="C214">
            <v>15120000</v>
          </cell>
          <cell r="D214">
            <v>1</v>
          </cell>
          <cell r="E214">
            <v>15120000</v>
          </cell>
        </row>
        <row r="215">
          <cell r="A215" t="str">
            <v xml:space="preserve">TRANSFERENCIA AUTOMATICA GENERAL SEGUN DIAGRAMA UNIFILAR 125 AMP. </v>
          </cell>
          <cell r="B215" t="str">
            <v>UN</v>
          </cell>
          <cell r="C215">
            <v>6500000</v>
          </cell>
          <cell r="D215">
            <v>1</v>
          </cell>
          <cell r="E215">
            <v>6500000</v>
          </cell>
        </row>
        <row r="216">
          <cell r="A216" t="str">
            <v>TABLERO GENERAL REGULADO SEGUN DIAGRAMA UNIFILAR</v>
          </cell>
          <cell r="B216" t="str">
            <v>UN</v>
          </cell>
          <cell r="C216">
            <v>5503680</v>
          </cell>
          <cell r="D216">
            <v>1</v>
          </cell>
          <cell r="E216">
            <v>5503680</v>
          </cell>
        </row>
        <row r="217">
          <cell r="A217" t="str">
            <v xml:space="preserve">Planta Electrica 150 KVA Incluye: Cabinas Insonora, Cargador de Batería, Precalentador de camisas y la tuberia de  desfogue del equipo.
 </v>
          </cell>
          <cell r="B217" t="str">
            <v>UN</v>
          </cell>
          <cell r="C217">
            <v>68900000</v>
          </cell>
          <cell r="D217">
            <v>1</v>
          </cell>
          <cell r="E217">
            <v>68900000</v>
          </cell>
        </row>
        <row r="218">
          <cell r="A218" t="str">
            <v xml:space="preserve">Planta Electrica 30 KVA Incluye: Cabinas Insonora, Cargador de Batería, Precalentador de camisas y la tuberia de  desfogue del equipo.
 </v>
          </cell>
          <cell r="B218" t="str">
            <v>UN</v>
          </cell>
          <cell r="C218">
            <v>39600000</v>
          </cell>
          <cell r="D218">
            <v>1</v>
          </cell>
          <cell r="E218">
            <v>39600000</v>
          </cell>
        </row>
        <row r="219">
          <cell r="A219" t="str">
            <v>Tablero General Servicios Comunes</v>
          </cell>
          <cell r="B219" t="str">
            <v>UN</v>
          </cell>
          <cell r="C219">
            <v>7502000</v>
          </cell>
          <cell r="D219">
            <v>1</v>
          </cell>
          <cell r="E219">
            <v>7502000</v>
          </cell>
        </row>
        <row r="220">
          <cell r="A220" t="str">
            <v>Armario de medidores</v>
          </cell>
          <cell r="B220" t="str">
            <v>UN</v>
          </cell>
          <cell r="C220">
            <v>0</v>
          </cell>
          <cell r="D220">
            <v>1</v>
          </cell>
          <cell r="E220">
            <v>0</v>
          </cell>
        </row>
        <row r="221">
          <cell r="A221" t="str">
            <v>Caja Industrial con medidor y Totalizador para servicios comunes</v>
          </cell>
          <cell r="B221" t="str">
            <v>UN</v>
          </cell>
          <cell r="C221">
            <v>0</v>
          </cell>
          <cell r="D221">
            <v>1</v>
          </cell>
          <cell r="E221">
            <v>0</v>
          </cell>
        </row>
        <row r="222">
          <cell r="A222" t="str">
            <v>Puerta CortaFuego y Dampers</v>
          </cell>
          <cell r="B222" t="str">
            <v>gl</v>
          </cell>
          <cell r="C222">
            <v>6550000</v>
          </cell>
          <cell r="D222">
            <v>1</v>
          </cell>
          <cell r="E222">
            <v>6550000</v>
          </cell>
        </row>
        <row r="223">
          <cell r="A223" t="str">
            <v>UPS de 30 KVA TRIFASICA</v>
          </cell>
          <cell r="B223" t="str">
            <v>UN</v>
          </cell>
          <cell r="C223">
            <v>26900000</v>
          </cell>
          <cell r="D223">
            <v>1</v>
          </cell>
          <cell r="E223">
            <v>26900000</v>
          </cell>
        </row>
        <row r="224">
          <cell r="A224" t="str">
            <v>UPS de 10 KVA TRIFASICA</v>
          </cell>
          <cell r="B224" t="str">
            <v>UN</v>
          </cell>
          <cell r="C224">
            <v>7600000</v>
          </cell>
          <cell r="D224">
            <v>1</v>
          </cell>
          <cell r="E224">
            <v>7600000</v>
          </cell>
        </row>
        <row r="225">
          <cell r="A225" t="str">
            <v>UPS de 15 KVA TRIFASICA</v>
          </cell>
          <cell r="B225" t="str">
            <v>UN</v>
          </cell>
          <cell r="C225">
            <v>9630000</v>
          </cell>
          <cell r="D225">
            <v>1</v>
          </cell>
          <cell r="E225">
            <v>9630000</v>
          </cell>
        </row>
        <row r="226">
          <cell r="A226" t="str">
            <v>SISTEMA PUESTAS A TIERRA Y APANTALLAMIENTO</v>
          </cell>
          <cell r="B226">
            <v>0</v>
          </cell>
          <cell r="C226">
            <v>0</v>
          </cell>
          <cell r="D226">
            <v>1</v>
          </cell>
          <cell r="E226">
            <v>0</v>
          </cell>
        </row>
        <row r="227">
          <cell r="A227" t="str">
            <v xml:space="preserve">Varilla Cobre 5/8" X 2,44 mt </v>
          </cell>
          <cell r="B227" t="str">
            <v>UN</v>
          </cell>
          <cell r="C227">
            <v>80500</v>
          </cell>
          <cell r="D227">
            <v>1</v>
          </cell>
          <cell r="E227">
            <v>80500</v>
          </cell>
        </row>
        <row r="228">
          <cell r="A228" t="str">
            <v>Soldadura Cawell No 115</v>
          </cell>
          <cell r="B228" t="str">
            <v>UN</v>
          </cell>
          <cell r="C228">
            <v>11340</v>
          </cell>
          <cell r="D228">
            <v>1</v>
          </cell>
          <cell r="E228">
            <v>11340</v>
          </cell>
        </row>
        <row r="229">
          <cell r="A229" t="str">
            <v>Grapas para cableado HOMOLOGADO</v>
          </cell>
          <cell r="B229" t="str">
            <v>UN</v>
          </cell>
          <cell r="C229">
            <v>12500</v>
          </cell>
          <cell r="D229">
            <v>1</v>
          </cell>
          <cell r="E229">
            <v>12500</v>
          </cell>
        </row>
        <row r="230">
          <cell r="A230" t="str">
            <v>PUNTA FRANKLIN DE ×5/8" X (0,06 MTS) incluye base.</v>
          </cell>
          <cell r="B230" t="str">
            <v>UN</v>
          </cell>
          <cell r="C230">
            <v>93000</v>
          </cell>
          <cell r="D230">
            <v>1</v>
          </cell>
          <cell r="E230">
            <v>93000</v>
          </cell>
        </row>
        <row r="231">
          <cell r="A231" t="str">
            <v>ACCESORIOS</v>
          </cell>
          <cell r="B231">
            <v>0</v>
          </cell>
          <cell r="C231">
            <v>0</v>
          </cell>
          <cell r="D231">
            <v>1</v>
          </cell>
          <cell r="E231">
            <v>0</v>
          </cell>
        </row>
        <row r="232">
          <cell r="A232" t="str">
            <v>Conectores tipo resorte 3M</v>
          </cell>
          <cell r="B232" t="str">
            <v>UN</v>
          </cell>
          <cell r="C232">
            <v>650</v>
          </cell>
          <cell r="D232">
            <v>1</v>
          </cell>
          <cell r="E232">
            <v>650</v>
          </cell>
        </row>
        <row r="233">
          <cell r="A233" t="str">
            <v>Marquilla</v>
          </cell>
          <cell r="B233" t="str">
            <v>UN</v>
          </cell>
          <cell r="C233">
            <v>520</v>
          </cell>
          <cell r="D233">
            <v>1</v>
          </cell>
          <cell r="E233">
            <v>520</v>
          </cell>
        </row>
        <row r="234">
          <cell r="A234" t="str">
            <v>Soladadura PVC</v>
          </cell>
          <cell r="B234" t="str">
            <v>QT</v>
          </cell>
          <cell r="C234">
            <v>31200</v>
          </cell>
          <cell r="D234">
            <v>1</v>
          </cell>
          <cell r="E234">
            <v>31200</v>
          </cell>
        </row>
        <row r="235">
          <cell r="A235" t="str">
            <v>Accesorios y soporteria para tablero</v>
          </cell>
          <cell r="B235" t="str">
            <v>gl</v>
          </cell>
          <cell r="C235">
            <v>1630</v>
          </cell>
          <cell r="D235">
            <v>1</v>
          </cell>
          <cell r="E235">
            <v>1630</v>
          </cell>
        </row>
        <row r="236">
          <cell r="A236" t="str">
            <v>Accesorios para cableado</v>
          </cell>
          <cell r="B236" t="str">
            <v>gl</v>
          </cell>
          <cell r="C236">
            <v>250</v>
          </cell>
          <cell r="D236">
            <v>1</v>
          </cell>
          <cell r="E236">
            <v>250</v>
          </cell>
        </row>
        <row r="237">
          <cell r="A237" t="str">
            <v>Accesorios y soporteria para tuberia</v>
          </cell>
          <cell r="B237" t="str">
            <v>gl</v>
          </cell>
          <cell r="C237">
            <v>1100</v>
          </cell>
          <cell r="D237">
            <v>1</v>
          </cell>
          <cell r="E237">
            <v>1100</v>
          </cell>
        </row>
        <row r="238">
          <cell r="A238" t="str">
            <v>Excavacion y relleno Instalacion electrica</v>
          </cell>
          <cell r="B238" t="str">
            <v>ML</v>
          </cell>
          <cell r="C238">
            <v>2100</v>
          </cell>
          <cell r="D238">
            <v>1</v>
          </cell>
          <cell r="E238">
            <v>2100</v>
          </cell>
        </row>
        <row r="239">
          <cell r="A239" t="str">
            <v>PAPELERIA Y PLANOS</v>
          </cell>
          <cell r="B239" t="str">
            <v>gl</v>
          </cell>
          <cell r="C239">
            <v>3500</v>
          </cell>
          <cell r="D239">
            <v>1</v>
          </cell>
          <cell r="E239">
            <v>3500</v>
          </cell>
        </row>
        <row r="240">
          <cell r="A240" t="str">
            <v>PLANOS RECORD</v>
          </cell>
          <cell r="B240" t="str">
            <v>gl</v>
          </cell>
          <cell r="C240">
            <v>3500</v>
          </cell>
          <cell r="D240">
            <v>1</v>
          </cell>
          <cell r="E240">
            <v>3500</v>
          </cell>
        </row>
        <row r="241">
          <cell r="A241">
            <v>0</v>
          </cell>
          <cell r="B241">
            <v>0</v>
          </cell>
          <cell r="C241">
            <v>0</v>
          </cell>
          <cell r="D241">
            <v>1</v>
          </cell>
          <cell r="E241">
            <v>0</v>
          </cell>
        </row>
        <row r="242">
          <cell r="A242">
            <v>0</v>
          </cell>
          <cell r="B242">
            <v>0</v>
          </cell>
          <cell r="C242">
            <v>0</v>
          </cell>
          <cell r="D242">
            <v>1</v>
          </cell>
          <cell r="E242">
            <v>0</v>
          </cell>
        </row>
        <row r="243">
          <cell r="A243">
            <v>0</v>
          </cell>
          <cell r="B243">
            <v>0</v>
          </cell>
          <cell r="C243">
            <v>0</v>
          </cell>
          <cell r="D243">
            <v>1</v>
          </cell>
          <cell r="E243">
            <v>0</v>
          </cell>
        </row>
        <row r="244">
          <cell r="A244">
            <v>0</v>
          </cell>
          <cell r="B244">
            <v>0</v>
          </cell>
          <cell r="C244">
            <v>0</v>
          </cell>
          <cell r="D244">
            <v>1</v>
          </cell>
          <cell r="E244">
            <v>0</v>
          </cell>
        </row>
        <row r="245">
          <cell r="A245">
            <v>0</v>
          </cell>
          <cell r="B245">
            <v>0</v>
          </cell>
          <cell r="C245">
            <v>0</v>
          </cell>
          <cell r="D245">
            <v>1</v>
          </cell>
          <cell r="E245">
            <v>0</v>
          </cell>
        </row>
        <row r="246">
          <cell r="A246">
            <v>0</v>
          </cell>
          <cell r="B246">
            <v>0</v>
          </cell>
          <cell r="C246">
            <v>0</v>
          </cell>
          <cell r="D246">
            <v>1</v>
          </cell>
          <cell r="E246">
            <v>0</v>
          </cell>
        </row>
        <row r="247">
          <cell r="A247">
            <v>0</v>
          </cell>
          <cell r="B247">
            <v>0</v>
          </cell>
          <cell r="C247">
            <v>0</v>
          </cell>
          <cell r="D247">
            <v>1</v>
          </cell>
          <cell r="E247">
            <v>0</v>
          </cell>
        </row>
        <row r="248">
          <cell r="A248">
            <v>0</v>
          </cell>
          <cell r="B248">
            <v>0</v>
          </cell>
          <cell r="C248">
            <v>0</v>
          </cell>
          <cell r="D248">
            <v>1</v>
          </cell>
          <cell r="E248">
            <v>0</v>
          </cell>
        </row>
        <row r="249">
          <cell r="A249">
            <v>0</v>
          </cell>
          <cell r="B249">
            <v>0</v>
          </cell>
          <cell r="C249">
            <v>0</v>
          </cell>
          <cell r="D249">
            <v>1</v>
          </cell>
          <cell r="E249">
            <v>0</v>
          </cell>
        </row>
        <row r="250">
          <cell r="A250">
            <v>0</v>
          </cell>
          <cell r="B250">
            <v>0</v>
          </cell>
          <cell r="C250">
            <v>0</v>
          </cell>
          <cell r="D250">
            <v>1</v>
          </cell>
          <cell r="E250">
            <v>0</v>
          </cell>
        </row>
        <row r="251">
          <cell r="A251">
            <v>0</v>
          </cell>
          <cell r="B251">
            <v>0</v>
          </cell>
          <cell r="C251">
            <v>0</v>
          </cell>
          <cell r="D251">
            <v>1</v>
          </cell>
          <cell r="E251">
            <v>0</v>
          </cell>
        </row>
        <row r="252">
          <cell r="A252">
            <v>0</v>
          </cell>
          <cell r="B252">
            <v>0</v>
          </cell>
          <cell r="C252">
            <v>0</v>
          </cell>
          <cell r="D252">
            <v>1</v>
          </cell>
          <cell r="E252">
            <v>0</v>
          </cell>
        </row>
        <row r="253">
          <cell r="A253">
            <v>0</v>
          </cell>
          <cell r="B253">
            <v>0</v>
          </cell>
          <cell r="C253">
            <v>0</v>
          </cell>
          <cell r="D253">
            <v>1</v>
          </cell>
          <cell r="E253">
            <v>0</v>
          </cell>
        </row>
        <row r="254">
          <cell r="A254">
            <v>0</v>
          </cell>
          <cell r="B254">
            <v>0</v>
          </cell>
          <cell r="C254">
            <v>0</v>
          </cell>
          <cell r="D254">
            <v>1</v>
          </cell>
          <cell r="E254">
            <v>0</v>
          </cell>
        </row>
        <row r="255">
          <cell r="A255">
            <v>0</v>
          </cell>
          <cell r="B255">
            <v>0</v>
          </cell>
          <cell r="C255">
            <v>0</v>
          </cell>
          <cell r="D255">
            <v>1</v>
          </cell>
          <cell r="E255">
            <v>0</v>
          </cell>
        </row>
        <row r="256">
          <cell r="A256">
            <v>0</v>
          </cell>
          <cell r="B256">
            <v>0</v>
          </cell>
          <cell r="C256">
            <v>0</v>
          </cell>
          <cell r="D256">
            <v>1</v>
          </cell>
          <cell r="E256">
            <v>0</v>
          </cell>
        </row>
        <row r="257">
          <cell r="A257">
            <v>0</v>
          </cell>
          <cell r="B257">
            <v>0</v>
          </cell>
          <cell r="C257">
            <v>0</v>
          </cell>
          <cell r="D257">
            <v>1</v>
          </cell>
          <cell r="E257">
            <v>0</v>
          </cell>
        </row>
        <row r="258">
          <cell r="A258">
            <v>0</v>
          </cell>
          <cell r="B258">
            <v>0</v>
          </cell>
          <cell r="C258">
            <v>0</v>
          </cell>
          <cell r="D258">
            <v>1</v>
          </cell>
          <cell r="E258">
            <v>0</v>
          </cell>
        </row>
        <row r="259">
          <cell r="A259">
            <v>0</v>
          </cell>
          <cell r="B259">
            <v>0</v>
          </cell>
          <cell r="C259">
            <v>0</v>
          </cell>
          <cell r="D259">
            <v>1</v>
          </cell>
          <cell r="E259">
            <v>0</v>
          </cell>
        </row>
        <row r="260">
          <cell r="A260">
            <v>0</v>
          </cell>
          <cell r="B260">
            <v>0</v>
          </cell>
          <cell r="C260">
            <v>0</v>
          </cell>
          <cell r="D260">
            <v>1</v>
          </cell>
          <cell r="E260">
            <v>0</v>
          </cell>
        </row>
        <row r="261">
          <cell r="A261">
            <v>0</v>
          </cell>
          <cell r="B261">
            <v>0</v>
          </cell>
          <cell r="C261">
            <v>0</v>
          </cell>
          <cell r="D261">
            <v>1</v>
          </cell>
          <cell r="E261">
            <v>0</v>
          </cell>
        </row>
        <row r="262">
          <cell r="A262">
            <v>0</v>
          </cell>
          <cell r="B262">
            <v>0</v>
          </cell>
          <cell r="C262">
            <v>0</v>
          </cell>
          <cell r="D262">
            <v>1</v>
          </cell>
          <cell r="E262">
            <v>0</v>
          </cell>
        </row>
        <row r="263">
          <cell r="A263">
            <v>0</v>
          </cell>
          <cell r="B263">
            <v>0</v>
          </cell>
          <cell r="C263">
            <v>0</v>
          </cell>
          <cell r="D263">
            <v>1</v>
          </cell>
          <cell r="E263">
            <v>0</v>
          </cell>
        </row>
        <row r="264">
          <cell r="A264">
            <v>0</v>
          </cell>
          <cell r="B264">
            <v>0</v>
          </cell>
          <cell r="C264">
            <v>0</v>
          </cell>
          <cell r="D264">
            <v>1</v>
          </cell>
          <cell r="E264">
            <v>0</v>
          </cell>
        </row>
        <row r="265">
          <cell r="A265">
            <v>0</v>
          </cell>
          <cell r="B265">
            <v>0</v>
          </cell>
          <cell r="C265">
            <v>0</v>
          </cell>
          <cell r="D265">
            <v>1</v>
          </cell>
          <cell r="E265">
            <v>0</v>
          </cell>
        </row>
        <row r="266">
          <cell r="A266">
            <v>0</v>
          </cell>
          <cell r="B266">
            <v>0</v>
          </cell>
          <cell r="C266">
            <v>0</v>
          </cell>
          <cell r="D266">
            <v>1</v>
          </cell>
          <cell r="E266">
            <v>0</v>
          </cell>
        </row>
        <row r="267">
          <cell r="A267">
            <v>0</v>
          </cell>
          <cell r="B267">
            <v>0</v>
          </cell>
          <cell r="C267">
            <v>0</v>
          </cell>
          <cell r="D267">
            <v>1</v>
          </cell>
          <cell r="E267">
            <v>0</v>
          </cell>
        </row>
        <row r="268">
          <cell r="A268">
            <v>0</v>
          </cell>
          <cell r="B268">
            <v>0</v>
          </cell>
          <cell r="C268">
            <v>0</v>
          </cell>
          <cell r="D268">
            <v>1</v>
          </cell>
          <cell r="E268">
            <v>0</v>
          </cell>
        </row>
        <row r="269">
          <cell r="A269">
            <v>0</v>
          </cell>
          <cell r="B269">
            <v>0</v>
          </cell>
          <cell r="C269">
            <v>0</v>
          </cell>
          <cell r="D269">
            <v>1</v>
          </cell>
          <cell r="E269">
            <v>0</v>
          </cell>
        </row>
        <row r="270">
          <cell r="A270">
            <v>0</v>
          </cell>
          <cell r="B270">
            <v>0</v>
          </cell>
          <cell r="C270">
            <v>0</v>
          </cell>
          <cell r="D270">
            <v>1</v>
          </cell>
          <cell r="E270">
            <v>0</v>
          </cell>
        </row>
        <row r="271">
          <cell r="A271">
            <v>0</v>
          </cell>
          <cell r="B271">
            <v>0</v>
          </cell>
          <cell r="C271">
            <v>0</v>
          </cell>
          <cell r="D271">
            <v>1</v>
          </cell>
          <cell r="E271">
            <v>0</v>
          </cell>
        </row>
        <row r="272">
          <cell r="A272">
            <v>0</v>
          </cell>
          <cell r="B272">
            <v>0</v>
          </cell>
          <cell r="C272">
            <v>0</v>
          </cell>
          <cell r="D272">
            <v>1</v>
          </cell>
          <cell r="E272">
            <v>0</v>
          </cell>
        </row>
        <row r="273">
          <cell r="A273">
            <v>0</v>
          </cell>
          <cell r="B273">
            <v>0</v>
          </cell>
          <cell r="C273">
            <v>0</v>
          </cell>
          <cell r="D273">
            <v>1</v>
          </cell>
          <cell r="E273">
            <v>0</v>
          </cell>
        </row>
        <row r="274">
          <cell r="A274">
            <v>0</v>
          </cell>
          <cell r="B274">
            <v>0</v>
          </cell>
          <cell r="C274">
            <v>0</v>
          </cell>
          <cell r="D274">
            <v>1</v>
          </cell>
          <cell r="E274">
            <v>0</v>
          </cell>
        </row>
        <row r="275">
          <cell r="A275">
            <v>0</v>
          </cell>
          <cell r="B275">
            <v>0</v>
          </cell>
          <cell r="C275">
            <v>0</v>
          </cell>
          <cell r="D275">
            <v>1</v>
          </cell>
          <cell r="E275">
            <v>0</v>
          </cell>
        </row>
        <row r="276">
          <cell r="A276">
            <v>0</v>
          </cell>
          <cell r="B276">
            <v>0</v>
          </cell>
          <cell r="C276">
            <v>0</v>
          </cell>
          <cell r="D276">
            <v>1</v>
          </cell>
          <cell r="E276">
            <v>0</v>
          </cell>
        </row>
        <row r="277">
          <cell r="A277">
            <v>0</v>
          </cell>
          <cell r="B277">
            <v>0</v>
          </cell>
          <cell r="C277">
            <v>0</v>
          </cell>
          <cell r="D277">
            <v>1</v>
          </cell>
          <cell r="E277">
            <v>0</v>
          </cell>
        </row>
        <row r="278">
          <cell r="A278">
            <v>0</v>
          </cell>
          <cell r="B278">
            <v>0</v>
          </cell>
          <cell r="C278">
            <v>0</v>
          </cell>
          <cell r="D278">
            <v>1</v>
          </cell>
          <cell r="E278">
            <v>0</v>
          </cell>
        </row>
        <row r="279">
          <cell r="A279">
            <v>0</v>
          </cell>
          <cell r="B279">
            <v>0</v>
          </cell>
          <cell r="C279">
            <v>0</v>
          </cell>
          <cell r="D279">
            <v>1</v>
          </cell>
          <cell r="E279">
            <v>0</v>
          </cell>
        </row>
        <row r="280">
          <cell r="A280">
            <v>0</v>
          </cell>
          <cell r="B280">
            <v>0</v>
          </cell>
          <cell r="C280">
            <v>0</v>
          </cell>
          <cell r="D280">
            <v>1</v>
          </cell>
          <cell r="E280">
            <v>0</v>
          </cell>
        </row>
        <row r="281">
          <cell r="A281">
            <v>0</v>
          </cell>
          <cell r="B281">
            <v>0</v>
          </cell>
          <cell r="C281">
            <v>0</v>
          </cell>
          <cell r="D281">
            <v>1</v>
          </cell>
          <cell r="E281">
            <v>0</v>
          </cell>
        </row>
        <row r="282">
          <cell r="A282">
            <v>0</v>
          </cell>
          <cell r="B282">
            <v>0</v>
          </cell>
          <cell r="C282">
            <v>0</v>
          </cell>
          <cell r="D282">
            <v>1</v>
          </cell>
          <cell r="E282">
            <v>0</v>
          </cell>
        </row>
        <row r="283">
          <cell r="A283">
            <v>0</v>
          </cell>
          <cell r="B283">
            <v>0</v>
          </cell>
          <cell r="C283">
            <v>0</v>
          </cell>
          <cell r="D283">
            <v>1</v>
          </cell>
          <cell r="E283">
            <v>0</v>
          </cell>
        </row>
        <row r="284">
          <cell r="A284">
            <v>0</v>
          </cell>
          <cell r="B284">
            <v>0</v>
          </cell>
          <cell r="C284">
            <v>0</v>
          </cell>
          <cell r="D284">
            <v>1</v>
          </cell>
          <cell r="E284">
            <v>0</v>
          </cell>
        </row>
        <row r="285">
          <cell r="A285">
            <v>0</v>
          </cell>
          <cell r="B285">
            <v>0</v>
          </cell>
          <cell r="C285">
            <v>0</v>
          </cell>
          <cell r="D285">
            <v>1</v>
          </cell>
          <cell r="E285">
            <v>0</v>
          </cell>
        </row>
        <row r="286">
          <cell r="A286">
            <v>0</v>
          </cell>
          <cell r="B286">
            <v>0</v>
          </cell>
          <cell r="C286">
            <v>0</v>
          </cell>
          <cell r="D286">
            <v>1</v>
          </cell>
          <cell r="E286">
            <v>0</v>
          </cell>
        </row>
        <row r="287">
          <cell r="A287">
            <v>0</v>
          </cell>
          <cell r="B287">
            <v>0</v>
          </cell>
          <cell r="C287">
            <v>0</v>
          </cell>
          <cell r="D287">
            <v>1</v>
          </cell>
          <cell r="E287">
            <v>0</v>
          </cell>
        </row>
        <row r="288">
          <cell r="A288">
            <v>0</v>
          </cell>
          <cell r="B288">
            <v>0</v>
          </cell>
          <cell r="C288">
            <v>0</v>
          </cell>
          <cell r="D288">
            <v>1</v>
          </cell>
          <cell r="E288">
            <v>0</v>
          </cell>
        </row>
        <row r="289">
          <cell r="A289">
            <v>0</v>
          </cell>
          <cell r="B289">
            <v>0</v>
          </cell>
          <cell r="C289">
            <v>0</v>
          </cell>
          <cell r="D289">
            <v>1</v>
          </cell>
          <cell r="E289">
            <v>0</v>
          </cell>
        </row>
        <row r="290">
          <cell r="A290">
            <v>0</v>
          </cell>
          <cell r="B290">
            <v>0</v>
          </cell>
          <cell r="C290">
            <v>0</v>
          </cell>
          <cell r="D290">
            <v>1</v>
          </cell>
          <cell r="E290">
            <v>0</v>
          </cell>
        </row>
        <row r="291">
          <cell r="A291">
            <v>0</v>
          </cell>
          <cell r="B291">
            <v>0</v>
          </cell>
          <cell r="C291">
            <v>0</v>
          </cell>
          <cell r="D291">
            <v>1</v>
          </cell>
          <cell r="E291">
            <v>0</v>
          </cell>
        </row>
        <row r="292">
          <cell r="A292">
            <v>0</v>
          </cell>
          <cell r="B292">
            <v>0</v>
          </cell>
          <cell r="C292">
            <v>0</v>
          </cell>
          <cell r="D292">
            <v>1</v>
          </cell>
          <cell r="E292">
            <v>0</v>
          </cell>
        </row>
        <row r="293">
          <cell r="A293">
            <v>0</v>
          </cell>
          <cell r="B293">
            <v>0</v>
          </cell>
          <cell r="C293">
            <v>0</v>
          </cell>
          <cell r="D293">
            <v>1</v>
          </cell>
          <cell r="E293">
            <v>0</v>
          </cell>
        </row>
        <row r="294">
          <cell r="A294">
            <v>0</v>
          </cell>
          <cell r="B294">
            <v>0</v>
          </cell>
          <cell r="C294">
            <v>0</v>
          </cell>
          <cell r="D294">
            <v>1</v>
          </cell>
          <cell r="E294">
            <v>0</v>
          </cell>
        </row>
        <row r="295">
          <cell r="A295">
            <v>0</v>
          </cell>
          <cell r="B295">
            <v>0</v>
          </cell>
          <cell r="C295">
            <v>0</v>
          </cell>
          <cell r="D295">
            <v>1</v>
          </cell>
          <cell r="E295">
            <v>0</v>
          </cell>
        </row>
        <row r="296">
          <cell r="A296">
            <v>0</v>
          </cell>
          <cell r="B296">
            <v>0</v>
          </cell>
          <cell r="C296">
            <v>0</v>
          </cell>
          <cell r="D296">
            <v>1</v>
          </cell>
          <cell r="E296">
            <v>0</v>
          </cell>
        </row>
        <row r="297">
          <cell r="A297">
            <v>0</v>
          </cell>
          <cell r="B297">
            <v>0</v>
          </cell>
          <cell r="C297">
            <v>0</v>
          </cell>
          <cell r="D297">
            <v>1</v>
          </cell>
          <cell r="E297">
            <v>0</v>
          </cell>
        </row>
        <row r="298">
          <cell r="A298">
            <v>0</v>
          </cell>
          <cell r="B298">
            <v>0</v>
          </cell>
          <cell r="C298">
            <v>0</v>
          </cell>
          <cell r="D298">
            <v>1</v>
          </cell>
          <cell r="E298">
            <v>0</v>
          </cell>
        </row>
        <row r="299">
          <cell r="A299">
            <v>0</v>
          </cell>
          <cell r="B299">
            <v>0</v>
          </cell>
          <cell r="C299">
            <v>0</v>
          </cell>
          <cell r="D299">
            <v>1</v>
          </cell>
          <cell r="E299">
            <v>0</v>
          </cell>
        </row>
        <row r="300">
          <cell r="A300">
            <v>0</v>
          </cell>
          <cell r="B300">
            <v>0</v>
          </cell>
          <cell r="C300">
            <v>0</v>
          </cell>
          <cell r="D300">
            <v>1</v>
          </cell>
          <cell r="E300">
            <v>0</v>
          </cell>
        </row>
        <row r="301">
          <cell r="A301">
            <v>0</v>
          </cell>
          <cell r="B301">
            <v>0</v>
          </cell>
          <cell r="C301">
            <v>0</v>
          </cell>
          <cell r="D301">
            <v>1</v>
          </cell>
          <cell r="E301">
            <v>0</v>
          </cell>
        </row>
        <row r="302">
          <cell r="A302">
            <v>0</v>
          </cell>
          <cell r="B302">
            <v>0</v>
          </cell>
          <cell r="C302">
            <v>0</v>
          </cell>
          <cell r="D302">
            <v>1</v>
          </cell>
          <cell r="E302">
            <v>0</v>
          </cell>
        </row>
        <row r="303">
          <cell r="A303">
            <v>0</v>
          </cell>
          <cell r="B303">
            <v>0</v>
          </cell>
          <cell r="C303">
            <v>0</v>
          </cell>
          <cell r="D303">
            <v>1</v>
          </cell>
          <cell r="E303">
            <v>0</v>
          </cell>
        </row>
        <row r="304">
          <cell r="A304">
            <v>0</v>
          </cell>
          <cell r="B304">
            <v>0</v>
          </cell>
          <cell r="C304">
            <v>0</v>
          </cell>
          <cell r="D304">
            <v>1</v>
          </cell>
          <cell r="E304">
            <v>0</v>
          </cell>
        </row>
        <row r="305">
          <cell r="A305">
            <v>0</v>
          </cell>
          <cell r="B305">
            <v>0</v>
          </cell>
          <cell r="C305">
            <v>0</v>
          </cell>
          <cell r="D305">
            <v>1</v>
          </cell>
          <cell r="E305">
            <v>0</v>
          </cell>
        </row>
        <row r="306">
          <cell r="A306">
            <v>0</v>
          </cell>
          <cell r="B306">
            <v>0</v>
          </cell>
          <cell r="C306">
            <v>0</v>
          </cell>
          <cell r="D306">
            <v>1</v>
          </cell>
          <cell r="E306">
            <v>0</v>
          </cell>
        </row>
        <row r="307">
          <cell r="A307">
            <v>0</v>
          </cell>
          <cell r="B307">
            <v>0</v>
          </cell>
          <cell r="C307">
            <v>0</v>
          </cell>
          <cell r="D307">
            <v>1</v>
          </cell>
          <cell r="E307">
            <v>0</v>
          </cell>
        </row>
        <row r="308">
          <cell r="A308">
            <v>0</v>
          </cell>
          <cell r="B308">
            <v>0</v>
          </cell>
          <cell r="C308">
            <v>0</v>
          </cell>
          <cell r="D308">
            <v>1</v>
          </cell>
          <cell r="E308">
            <v>0</v>
          </cell>
        </row>
        <row r="309">
          <cell r="A309">
            <v>0</v>
          </cell>
          <cell r="B309">
            <v>0</v>
          </cell>
          <cell r="C309">
            <v>0</v>
          </cell>
          <cell r="D309">
            <v>1</v>
          </cell>
          <cell r="E309">
            <v>0</v>
          </cell>
        </row>
        <row r="310">
          <cell r="A310">
            <v>0</v>
          </cell>
          <cell r="B310">
            <v>0</v>
          </cell>
          <cell r="C310">
            <v>0</v>
          </cell>
          <cell r="D310">
            <v>1</v>
          </cell>
          <cell r="E310">
            <v>0</v>
          </cell>
        </row>
        <row r="311">
          <cell r="A311">
            <v>0</v>
          </cell>
          <cell r="B311">
            <v>0</v>
          </cell>
          <cell r="C311">
            <v>0</v>
          </cell>
          <cell r="D311">
            <v>1</v>
          </cell>
          <cell r="E311">
            <v>0</v>
          </cell>
        </row>
        <row r="312">
          <cell r="A312">
            <v>0</v>
          </cell>
          <cell r="B312">
            <v>0</v>
          </cell>
          <cell r="C312">
            <v>0</v>
          </cell>
          <cell r="D312">
            <v>1</v>
          </cell>
          <cell r="E312">
            <v>0</v>
          </cell>
        </row>
        <row r="313">
          <cell r="A313">
            <v>0</v>
          </cell>
          <cell r="B313">
            <v>0</v>
          </cell>
          <cell r="C313">
            <v>0</v>
          </cell>
          <cell r="D313">
            <v>1</v>
          </cell>
          <cell r="E313">
            <v>0</v>
          </cell>
        </row>
        <row r="314">
          <cell r="A314">
            <v>0</v>
          </cell>
          <cell r="B314">
            <v>0</v>
          </cell>
          <cell r="C314">
            <v>0</v>
          </cell>
          <cell r="D314">
            <v>1</v>
          </cell>
          <cell r="E314">
            <v>0</v>
          </cell>
        </row>
        <row r="315">
          <cell r="A315">
            <v>0</v>
          </cell>
          <cell r="B315">
            <v>0</v>
          </cell>
          <cell r="C315">
            <v>0</v>
          </cell>
          <cell r="D315">
            <v>1</v>
          </cell>
          <cell r="E315">
            <v>0</v>
          </cell>
        </row>
        <row r="316">
          <cell r="A316">
            <v>0</v>
          </cell>
          <cell r="B316">
            <v>0</v>
          </cell>
          <cell r="C316">
            <v>0</v>
          </cell>
          <cell r="D316">
            <v>1</v>
          </cell>
          <cell r="E316">
            <v>0</v>
          </cell>
        </row>
        <row r="317">
          <cell r="A317">
            <v>0</v>
          </cell>
          <cell r="B317">
            <v>0</v>
          </cell>
          <cell r="C317">
            <v>0</v>
          </cell>
          <cell r="D317">
            <v>1</v>
          </cell>
          <cell r="E317">
            <v>0</v>
          </cell>
        </row>
        <row r="318">
          <cell r="A318">
            <v>0</v>
          </cell>
          <cell r="B318">
            <v>0</v>
          </cell>
          <cell r="C318">
            <v>0</v>
          </cell>
          <cell r="D318">
            <v>1</v>
          </cell>
          <cell r="E318">
            <v>0</v>
          </cell>
        </row>
        <row r="319">
          <cell r="A319">
            <v>0</v>
          </cell>
          <cell r="B319">
            <v>0</v>
          </cell>
          <cell r="C319">
            <v>0</v>
          </cell>
          <cell r="D319">
            <v>1</v>
          </cell>
          <cell r="E319">
            <v>0</v>
          </cell>
        </row>
        <row r="320">
          <cell r="A320">
            <v>0</v>
          </cell>
          <cell r="B320">
            <v>0</v>
          </cell>
          <cell r="C320">
            <v>0</v>
          </cell>
          <cell r="D320">
            <v>1</v>
          </cell>
          <cell r="E320">
            <v>0</v>
          </cell>
        </row>
        <row r="321">
          <cell r="A321">
            <v>0</v>
          </cell>
          <cell r="B321">
            <v>0</v>
          </cell>
          <cell r="C321">
            <v>0</v>
          </cell>
          <cell r="D321">
            <v>1</v>
          </cell>
          <cell r="E321">
            <v>0</v>
          </cell>
        </row>
        <row r="322">
          <cell r="A322">
            <v>0</v>
          </cell>
          <cell r="B322">
            <v>0</v>
          </cell>
          <cell r="C322">
            <v>0</v>
          </cell>
          <cell r="D322">
            <v>1</v>
          </cell>
          <cell r="E322">
            <v>0</v>
          </cell>
        </row>
        <row r="323">
          <cell r="A323">
            <v>0</v>
          </cell>
          <cell r="B323">
            <v>0</v>
          </cell>
          <cell r="C323">
            <v>0</v>
          </cell>
          <cell r="D323">
            <v>1</v>
          </cell>
          <cell r="E323">
            <v>0</v>
          </cell>
        </row>
        <row r="324">
          <cell r="A324">
            <v>0</v>
          </cell>
          <cell r="B324">
            <v>0</v>
          </cell>
          <cell r="C324">
            <v>0</v>
          </cell>
          <cell r="D324">
            <v>1</v>
          </cell>
          <cell r="E324">
            <v>0</v>
          </cell>
        </row>
        <row r="325">
          <cell r="A325">
            <v>0</v>
          </cell>
          <cell r="B325">
            <v>0</v>
          </cell>
          <cell r="C325">
            <v>0</v>
          </cell>
          <cell r="D325">
            <v>1</v>
          </cell>
          <cell r="E325">
            <v>0</v>
          </cell>
        </row>
        <row r="326">
          <cell r="A326">
            <v>0</v>
          </cell>
          <cell r="B326">
            <v>0</v>
          </cell>
          <cell r="C326">
            <v>0</v>
          </cell>
          <cell r="D326">
            <v>1</v>
          </cell>
          <cell r="E326">
            <v>0</v>
          </cell>
        </row>
        <row r="327">
          <cell r="A327">
            <v>0</v>
          </cell>
          <cell r="B327">
            <v>0</v>
          </cell>
          <cell r="C327">
            <v>0</v>
          </cell>
          <cell r="D327">
            <v>1</v>
          </cell>
          <cell r="E327">
            <v>0</v>
          </cell>
        </row>
        <row r="328">
          <cell r="A328">
            <v>0</v>
          </cell>
          <cell r="B328">
            <v>0</v>
          </cell>
          <cell r="C328">
            <v>0</v>
          </cell>
          <cell r="D328">
            <v>1</v>
          </cell>
          <cell r="E328">
            <v>0</v>
          </cell>
        </row>
        <row r="329">
          <cell r="A329">
            <v>0</v>
          </cell>
          <cell r="B329">
            <v>0</v>
          </cell>
          <cell r="C329">
            <v>0</v>
          </cell>
          <cell r="D329">
            <v>1</v>
          </cell>
          <cell r="E329">
            <v>0</v>
          </cell>
        </row>
        <row r="330">
          <cell r="A330">
            <v>0</v>
          </cell>
          <cell r="B330">
            <v>0</v>
          </cell>
          <cell r="C330">
            <v>0</v>
          </cell>
          <cell r="D330">
            <v>1</v>
          </cell>
          <cell r="E330">
            <v>0</v>
          </cell>
        </row>
        <row r="331">
          <cell r="A331">
            <v>0</v>
          </cell>
          <cell r="B331">
            <v>0</v>
          </cell>
          <cell r="C331">
            <v>0</v>
          </cell>
          <cell r="D331">
            <v>1</v>
          </cell>
          <cell r="E331">
            <v>0</v>
          </cell>
        </row>
        <row r="332">
          <cell r="A332">
            <v>0</v>
          </cell>
          <cell r="B332">
            <v>0</v>
          </cell>
          <cell r="C332">
            <v>0</v>
          </cell>
          <cell r="D332">
            <v>1</v>
          </cell>
          <cell r="E332">
            <v>0</v>
          </cell>
        </row>
        <row r="333">
          <cell r="A333">
            <v>0</v>
          </cell>
          <cell r="B333">
            <v>0</v>
          </cell>
          <cell r="C333">
            <v>0</v>
          </cell>
          <cell r="D333">
            <v>1</v>
          </cell>
          <cell r="E333">
            <v>0</v>
          </cell>
        </row>
        <row r="334">
          <cell r="A334">
            <v>0</v>
          </cell>
          <cell r="B334">
            <v>0</v>
          </cell>
          <cell r="C334">
            <v>0</v>
          </cell>
          <cell r="D334">
            <v>1</v>
          </cell>
          <cell r="E334">
            <v>0</v>
          </cell>
        </row>
        <row r="335">
          <cell r="A335">
            <v>0</v>
          </cell>
          <cell r="B335">
            <v>0</v>
          </cell>
          <cell r="C335">
            <v>0</v>
          </cell>
          <cell r="D335">
            <v>1</v>
          </cell>
          <cell r="E335">
            <v>0</v>
          </cell>
        </row>
        <row r="336">
          <cell r="A336">
            <v>0</v>
          </cell>
          <cell r="B336">
            <v>0</v>
          </cell>
          <cell r="C336">
            <v>0</v>
          </cell>
          <cell r="D336">
            <v>1</v>
          </cell>
          <cell r="E336">
            <v>0</v>
          </cell>
        </row>
        <row r="337">
          <cell r="A337">
            <v>0</v>
          </cell>
          <cell r="B337">
            <v>0</v>
          </cell>
          <cell r="C337">
            <v>0</v>
          </cell>
          <cell r="D337">
            <v>1</v>
          </cell>
          <cell r="E337">
            <v>0</v>
          </cell>
        </row>
        <row r="338">
          <cell r="A338">
            <v>0</v>
          </cell>
          <cell r="B338">
            <v>0</v>
          </cell>
          <cell r="C338">
            <v>0</v>
          </cell>
          <cell r="D338">
            <v>1</v>
          </cell>
          <cell r="E338">
            <v>0</v>
          </cell>
        </row>
        <row r="339">
          <cell r="A339">
            <v>0</v>
          </cell>
          <cell r="B339">
            <v>0</v>
          </cell>
          <cell r="C339">
            <v>0</v>
          </cell>
          <cell r="D339">
            <v>1</v>
          </cell>
          <cell r="E339">
            <v>0</v>
          </cell>
        </row>
        <row r="340">
          <cell r="A340">
            <v>0</v>
          </cell>
          <cell r="B340">
            <v>0</v>
          </cell>
          <cell r="C340">
            <v>0</v>
          </cell>
          <cell r="D340">
            <v>1</v>
          </cell>
          <cell r="E340">
            <v>0</v>
          </cell>
        </row>
        <row r="341">
          <cell r="A341">
            <v>0</v>
          </cell>
          <cell r="B341">
            <v>0</v>
          </cell>
          <cell r="C341">
            <v>0</v>
          </cell>
          <cell r="D341">
            <v>1</v>
          </cell>
          <cell r="E341">
            <v>0</v>
          </cell>
        </row>
        <row r="342">
          <cell r="A342">
            <v>0</v>
          </cell>
          <cell r="B342">
            <v>0</v>
          </cell>
          <cell r="C342">
            <v>0</v>
          </cell>
          <cell r="D342">
            <v>1</v>
          </cell>
          <cell r="E342">
            <v>0</v>
          </cell>
        </row>
        <row r="343">
          <cell r="A343">
            <v>0</v>
          </cell>
          <cell r="B343">
            <v>0</v>
          </cell>
          <cell r="C343">
            <v>0</v>
          </cell>
          <cell r="D343">
            <v>1</v>
          </cell>
          <cell r="E343">
            <v>0</v>
          </cell>
        </row>
        <row r="344">
          <cell r="A344">
            <v>0</v>
          </cell>
          <cell r="B344">
            <v>0</v>
          </cell>
          <cell r="C344">
            <v>0</v>
          </cell>
          <cell r="D344">
            <v>1</v>
          </cell>
          <cell r="E344">
            <v>0</v>
          </cell>
        </row>
        <row r="345">
          <cell r="A345">
            <v>0</v>
          </cell>
          <cell r="B345">
            <v>0</v>
          </cell>
          <cell r="C345">
            <v>0</v>
          </cell>
          <cell r="D345">
            <v>1</v>
          </cell>
          <cell r="E345">
            <v>0</v>
          </cell>
        </row>
        <row r="346">
          <cell r="A346">
            <v>0</v>
          </cell>
          <cell r="B346">
            <v>0</v>
          </cell>
          <cell r="C346">
            <v>0</v>
          </cell>
          <cell r="D346">
            <v>1</v>
          </cell>
          <cell r="E346">
            <v>0</v>
          </cell>
        </row>
        <row r="347">
          <cell r="A347">
            <v>0</v>
          </cell>
          <cell r="B347">
            <v>0</v>
          </cell>
          <cell r="C347">
            <v>0</v>
          </cell>
          <cell r="D347">
            <v>1</v>
          </cell>
          <cell r="E347">
            <v>0</v>
          </cell>
        </row>
        <row r="348">
          <cell r="A348">
            <v>0</v>
          </cell>
          <cell r="B348">
            <v>0</v>
          </cell>
          <cell r="C348">
            <v>0</v>
          </cell>
          <cell r="D348">
            <v>1</v>
          </cell>
          <cell r="E348">
            <v>0</v>
          </cell>
        </row>
        <row r="349">
          <cell r="A349">
            <v>0</v>
          </cell>
          <cell r="B349">
            <v>0</v>
          </cell>
          <cell r="C349">
            <v>0</v>
          </cell>
          <cell r="D349">
            <v>1</v>
          </cell>
          <cell r="E349">
            <v>0</v>
          </cell>
        </row>
        <row r="350">
          <cell r="A350">
            <v>0</v>
          </cell>
          <cell r="B350">
            <v>0</v>
          </cell>
          <cell r="C350">
            <v>0</v>
          </cell>
          <cell r="D350">
            <v>1</v>
          </cell>
          <cell r="E350">
            <v>0</v>
          </cell>
        </row>
        <row r="351">
          <cell r="A351">
            <v>0</v>
          </cell>
          <cell r="B351">
            <v>0</v>
          </cell>
          <cell r="C351">
            <v>0</v>
          </cell>
          <cell r="D351">
            <v>1</v>
          </cell>
          <cell r="E351">
            <v>0</v>
          </cell>
        </row>
        <row r="352">
          <cell r="A352">
            <v>0</v>
          </cell>
          <cell r="B352">
            <v>0</v>
          </cell>
          <cell r="C352">
            <v>0</v>
          </cell>
          <cell r="D352">
            <v>1</v>
          </cell>
          <cell r="E352">
            <v>0</v>
          </cell>
        </row>
        <row r="353">
          <cell r="A353">
            <v>0</v>
          </cell>
          <cell r="B353">
            <v>0</v>
          </cell>
          <cell r="C353">
            <v>0</v>
          </cell>
          <cell r="D353">
            <v>1</v>
          </cell>
          <cell r="E353">
            <v>0</v>
          </cell>
        </row>
        <row r="354">
          <cell r="A354">
            <v>0</v>
          </cell>
          <cell r="B354">
            <v>0</v>
          </cell>
          <cell r="C354">
            <v>0</v>
          </cell>
          <cell r="D354">
            <v>1</v>
          </cell>
          <cell r="E354">
            <v>0</v>
          </cell>
        </row>
        <row r="355">
          <cell r="A355">
            <v>0</v>
          </cell>
          <cell r="B355">
            <v>0</v>
          </cell>
          <cell r="C355">
            <v>0</v>
          </cell>
          <cell r="D355">
            <v>1</v>
          </cell>
          <cell r="E355">
            <v>0</v>
          </cell>
        </row>
        <row r="356">
          <cell r="A356">
            <v>0</v>
          </cell>
          <cell r="B356">
            <v>0</v>
          </cell>
          <cell r="C356">
            <v>0</v>
          </cell>
          <cell r="D356">
            <v>1</v>
          </cell>
          <cell r="E356">
            <v>0</v>
          </cell>
        </row>
        <row r="357">
          <cell r="A357">
            <v>0</v>
          </cell>
          <cell r="B357">
            <v>0</v>
          </cell>
          <cell r="C357">
            <v>0</v>
          </cell>
          <cell r="D357">
            <v>1</v>
          </cell>
          <cell r="E357">
            <v>0</v>
          </cell>
        </row>
        <row r="358">
          <cell r="A358">
            <v>0</v>
          </cell>
          <cell r="B358">
            <v>0</v>
          </cell>
          <cell r="C358">
            <v>0</v>
          </cell>
          <cell r="D358">
            <v>1</v>
          </cell>
          <cell r="E358">
            <v>0</v>
          </cell>
        </row>
        <row r="359">
          <cell r="A359">
            <v>0</v>
          </cell>
          <cell r="B359">
            <v>0</v>
          </cell>
          <cell r="C359">
            <v>0</v>
          </cell>
          <cell r="D359">
            <v>1</v>
          </cell>
          <cell r="E359">
            <v>0</v>
          </cell>
        </row>
        <row r="360">
          <cell r="A360">
            <v>0</v>
          </cell>
          <cell r="B360">
            <v>0</v>
          </cell>
          <cell r="C360">
            <v>0</v>
          </cell>
          <cell r="D360">
            <v>1</v>
          </cell>
          <cell r="E360">
            <v>0</v>
          </cell>
        </row>
        <row r="361">
          <cell r="A361">
            <v>0</v>
          </cell>
          <cell r="B361">
            <v>0</v>
          </cell>
          <cell r="C361">
            <v>0</v>
          </cell>
          <cell r="D361">
            <v>1</v>
          </cell>
          <cell r="E361">
            <v>0</v>
          </cell>
        </row>
        <row r="362">
          <cell r="A362">
            <v>0</v>
          </cell>
          <cell r="B362">
            <v>0</v>
          </cell>
          <cell r="C362">
            <v>0</v>
          </cell>
          <cell r="D362">
            <v>1</v>
          </cell>
          <cell r="E362">
            <v>0</v>
          </cell>
        </row>
        <row r="363">
          <cell r="A363">
            <v>0</v>
          </cell>
          <cell r="B363">
            <v>0</v>
          </cell>
          <cell r="C363">
            <v>0</v>
          </cell>
          <cell r="D363">
            <v>1</v>
          </cell>
          <cell r="E363">
            <v>0</v>
          </cell>
        </row>
        <row r="364">
          <cell r="A364">
            <v>0</v>
          </cell>
          <cell r="B364">
            <v>0</v>
          </cell>
          <cell r="C364">
            <v>0</v>
          </cell>
          <cell r="D364">
            <v>1</v>
          </cell>
          <cell r="E364">
            <v>0</v>
          </cell>
        </row>
        <row r="365">
          <cell r="A365">
            <v>0</v>
          </cell>
          <cell r="B365">
            <v>0</v>
          </cell>
          <cell r="C365">
            <v>0</v>
          </cell>
          <cell r="D365">
            <v>1</v>
          </cell>
          <cell r="E365">
            <v>0</v>
          </cell>
        </row>
        <row r="366">
          <cell r="A366">
            <v>0</v>
          </cell>
          <cell r="B366">
            <v>0</v>
          </cell>
          <cell r="C366">
            <v>0</v>
          </cell>
          <cell r="D366">
            <v>1</v>
          </cell>
          <cell r="E366">
            <v>0</v>
          </cell>
        </row>
        <row r="367">
          <cell r="A367">
            <v>0</v>
          </cell>
          <cell r="B367">
            <v>0</v>
          </cell>
          <cell r="C367">
            <v>0</v>
          </cell>
          <cell r="D367">
            <v>1</v>
          </cell>
          <cell r="E367">
            <v>0</v>
          </cell>
        </row>
        <row r="368">
          <cell r="A368">
            <v>0</v>
          </cell>
          <cell r="B368">
            <v>0</v>
          </cell>
          <cell r="C368">
            <v>0</v>
          </cell>
          <cell r="D368">
            <v>1</v>
          </cell>
          <cell r="E368">
            <v>0</v>
          </cell>
        </row>
        <row r="369">
          <cell r="A369">
            <v>0</v>
          </cell>
          <cell r="B369">
            <v>0</v>
          </cell>
          <cell r="C369">
            <v>0</v>
          </cell>
          <cell r="D369">
            <v>1</v>
          </cell>
          <cell r="E369">
            <v>0</v>
          </cell>
        </row>
        <row r="370">
          <cell r="A370">
            <v>0</v>
          </cell>
          <cell r="B370">
            <v>0</v>
          </cell>
          <cell r="C370">
            <v>0</v>
          </cell>
          <cell r="D370">
            <v>1</v>
          </cell>
          <cell r="E370">
            <v>0</v>
          </cell>
        </row>
        <row r="371">
          <cell r="A371">
            <v>0</v>
          </cell>
          <cell r="B371">
            <v>0</v>
          </cell>
          <cell r="C371">
            <v>0</v>
          </cell>
          <cell r="D371">
            <v>1</v>
          </cell>
          <cell r="E371">
            <v>0</v>
          </cell>
        </row>
        <row r="372">
          <cell r="A372">
            <v>0</v>
          </cell>
          <cell r="B372">
            <v>0</v>
          </cell>
          <cell r="C372">
            <v>0</v>
          </cell>
          <cell r="D372">
            <v>1</v>
          </cell>
          <cell r="E372">
            <v>0</v>
          </cell>
        </row>
        <row r="373">
          <cell r="A373">
            <v>0</v>
          </cell>
          <cell r="B373">
            <v>0</v>
          </cell>
          <cell r="C373">
            <v>0</v>
          </cell>
          <cell r="D373">
            <v>1</v>
          </cell>
          <cell r="E373">
            <v>0</v>
          </cell>
        </row>
        <row r="374">
          <cell r="A374">
            <v>0</v>
          </cell>
          <cell r="B374">
            <v>0</v>
          </cell>
          <cell r="C374">
            <v>0</v>
          </cell>
          <cell r="D374">
            <v>1</v>
          </cell>
          <cell r="E374">
            <v>0</v>
          </cell>
        </row>
        <row r="375">
          <cell r="A375">
            <v>0</v>
          </cell>
          <cell r="B375">
            <v>0</v>
          </cell>
          <cell r="C375">
            <v>0</v>
          </cell>
          <cell r="D375">
            <v>1</v>
          </cell>
          <cell r="E375">
            <v>0</v>
          </cell>
        </row>
        <row r="376">
          <cell r="A376">
            <v>0</v>
          </cell>
          <cell r="B376">
            <v>0</v>
          </cell>
          <cell r="C376">
            <v>0</v>
          </cell>
          <cell r="D376">
            <v>1</v>
          </cell>
          <cell r="E376">
            <v>0</v>
          </cell>
        </row>
        <row r="377">
          <cell r="A377">
            <v>0</v>
          </cell>
          <cell r="B377">
            <v>0</v>
          </cell>
          <cell r="C377">
            <v>0</v>
          </cell>
          <cell r="D377">
            <v>1</v>
          </cell>
          <cell r="E377">
            <v>0</v>
          </cell>
        </row>
        <row r="378">
          <cell r="A378">
            <v>0</v>
          </cell>
          <cell r="B378">
            <v>0</v>
          </cell>
          <cell r="C378">
            <v>0</v>
          </cell>
          <cell r="D378">
            <v>1</v>
          </cell>
          <cell r="E378">
            <v>0</v>
          </cell>
        </row>
        <row r="379">
          <cell r="A379">
            <v>0</v>
          </cell>
          <cell r="B379">
            <v>0</v>
          </cell>
          <cell r="C379">
            <v>0</v>
          </cell>
          <cell r="D379">
            <v>1</v>
          </cell>
          <cell r="E379">
            <v>0</v>
          </cell>
        </row>
        <row r="380">
          <cell r="A380">
            <v>0</v>
          </cell>
          <cell r="B380">
            <v>0</v>
          </cell>
          <cell r="C380">
            <v>0</v>
          </cell>
          <cell r="D380">
            <v>1</v>
          </cell>
          <cell r="E380">
            <v>0</v>
          </cell>
        </row>
        <row r="381">
          <cell r="A381">
            <v>0</v>
          </cell>
          <cell r="B381">
            <v>0</v>
          </cell>
          <cell r="C381">
            <v>0</v>
          </cell>
          <cell r="D381">
            <v>1</v>
          </cell>
          <cell r="E381">
            <v>0</v>
          </cell>
        </row>
        <row r="382">
          <cell r="A382">
            <v>0</v>
          </cell>
          <cell r="B382">
            <v>0</v>
          </cell>
          <cell r="C382">
            <v>0</v>
          </cell>
          <cell r="D382">
            <v>1</v>
          </cell>
          <cell r="E382">
            <v>0</v>
          </cell>
        </row>
        <row r="383">
          <cell r="A383">
            <v>0</v>
          </cell>
          <cell r="B383">
            <v>0</v>
          </cell>
          <cell r="C383">
            <v>0</v>
          </cell>
          <cell r="D383">
            <v>1</v>
          </cell>
          <cell r="E383">
            <v>0</v>
          </cell>
        </row>
        <row r="384">
          <cell r="A384">
            <v>0</v>
          </cell>
          <cell r="B384">
            <v>0</v>
          </cell>
          <cell r="C384">
            <v>0</v>
          </cell>
          <cell r="D384">
            <v>0</v>
          </cell>
          <cell r="E384">
            <v>0</v>
          </cell>
        </row>
        <row r="385">
          <cell r="A385">
            <v>0</v>
          </cell>
          <cell r="B385">
            <v>0</v>
          </cell>
          <cell r="C385">
            <v>0</v>
          </cell>
          <cell r="D385">
            <v>0</v>
          </cell>
          <cell r="E385">
            <v>0</v>
          </cell>
        </row>
        <row r="386">
          <cell r="A386">
            <v>0</v>
          </cell>
          <cell r="B386">
            <v>0</v>
          </cell>
          <cell r="C386">
            <v>0</v>
          </cell>
          <cell r="D386">
            <v>0</v>
          </cell>
          <cell r="E386">
            <v>0</v>
          </cell>
        </row>
        <row r="387">
          <cell r="A387">
            <v>0</v>
          </cell>
          <cell r="B387">
            <v>0</v>
          </cell>
          <cell r="C387">
            <v>0</v>
          </cell>
          <cell r="D387">
            <v>0</v>
          </cell>
          <cell r="E387">
            <v>0</v>
          </cell>
        </row>
        <row r="388">
          <cell r="A388">
            <v>0</v>
          </cell>
          <cell r="B388">
            <v>0</v>
          </cell>
          <cell r="C388">
            <v>0</v>
          </cell>
          <cell r="D388">
            <v>1</v>
          </cell>
          <cell r="E388">
            <v>0</v>
          </cell>
        </row>
        <row r="389">
          <cell r="A389">
            <v>0</v>
          </cell>
          <cell r="B389">
            <v>0</v>
          </cell>
          <cell r="C389">
            <v>0</v>
          </cell>
          <cell r="D389">
            <v>1</v>
          </cell>
          <cell r="E389">
            <v>0</v>
          </cell>
        </row>
        <row r="390">
          <cell r="A390">
            <v>0</v>
          </cell>
          <cell r="B390">
            <v>0</v>
          </cell>
          <cell r="C390">
            <v>0</v>
          </cell>
          <cell r="D390">
            <v>1</v>
          </cell>
          <cell r="E390">
            <v>0</v>
          </cell>
        </row>
        <row r="391">
          <cell r="A391">
            <v>0</v>
          </cell>
          <cell r="B391">
            <v>0</v>
          </cell>
          <cell r="C391">
            <v>0</v>
          </cell>
          <cell r="D391">
            <v>1</v>
          </cell>
          <cell r="E391">
            <v>0</v>
          </cell>
        </row>
        <row r="392">
          <cell r="A392">
            <v>0</v>
          </cell>
          <cell r="B392">
            <v>0</v>
          </cell>
          <cell r="C392">
            <v>0</v>
          </cell>
          <cell r="D392">
            <v>1</v>
          </cell>
          <cell r="E392">
            <v>0</v>
          </cell>
        </row>
        <row r="393">
          <cell r="A393">
            <v>0</v>
          </cell>
          <cell r="B393">
            <v>0</v>
          </cell>
          <cell r="C393">
            <v>0</v>
          </cell>
          <cell r="D393">
            <v>1</v>
          </cell>
          <cell r="E393">
            <v>0</v>
          </cell>
        </row>
        <row r="394">
          <cell r="A394">
            <v>0</v>
          </cell>
          <cell r="B394">
            <v>0</v>
          </cell>
          <cell r="C394">
            <v>0</v>
          </cell>
          <cell r="D394">
            <v>1</v>
          </cell>
          <cell r="E394">
            <v>0</v>
          </cell>
        </row>
      </sheetData>
      <sheetData sheetId="8">
        <row r="2">
          <cell r="C2" t="str">
            <v>DESCRIPCION</v>
          </cell>
        </row>
      </sheetData>
      <sheetData sheetId="9"/>
      <sheetData sheetId="10">
        <row r="21">
          <cell r="A21" t="str">
            <v>Excavaciones</v>
          </cell>
          <cell r="B21">
            <v>0</v>
          </cell>
          <cell r="C21">
            <v>0</v>
          </cell>
          <cell r="D21">
            <v>0</v>
          </cell>
          <cell r="E21">
            <v>3</v>
          </cell>
          <cell r="F21" t="str">
            <v>Ayudante</v>
          </cell>
          <cell r="G21">
            <v>13749.084424083771</v>
          </cell>
          <cell r="H21">
            <v>1.0471204188481675</v>
          </cell>
          <cell r="I21">
            <v>13130.375625000001</v>
          </cell>
        </row>
        <row r="22">
          <cell r="A22" t="str">
            <v>Rellenos de excavación</v>
          </cell>
          <cell r="B22">
            <v>0</v>
          </cell>
          <cell r="C22">
            <v>0</v>
          </cell>
          <cell r="D22">
            <v>0</v>
          </cell>
          <cell r="E22">
            <v>1</v>
          </cell>
          <cell r="F22" t="str">
            <v>Ayudante</v>
          </cell>
          <cell r="G22">
            <v>4583.0281413612565</v>
          </cell>
          <cell r="H22">
            <v>1.0471204188481675</v>
          </cell>
          <cell r="I22">
            <v>4376.7918749999999</v>
          </cell>
        </row>
        <row r="23">
          <cell r="A23" t="str">
            <v>Enchapes y acabados</v>
          </cell>
          <cell r="B23">
            <v>1</v>
          </cell>
          <cell r="C23" t="str">
            <v>oficial</v>
          </cell>
          <cell r="D23">
            <v>0</v>
          </cell>
          <cell r="E23">
            <v>1</v>
          </cell>
          <cell r="F23" t="str">
            <v>Ayudante</v>
          </cell>
          <cell r="G23">
            <v>16901.571989528795</v>
          </cell>
          <cell r="H23">
            <v>1.0471204188481675</v>
          </cell>
          <cell r="I23">
            <v>16141.001249999998</v>
          </cell>
        </row>
        <row r="24">
          <cell r="A24" t="str">
            <v>Cuadrilla Demoliciones</v>
          </cell>
          <cell r="B24">
            <v>0</v>
          </cell>
          <cell r="C24">
            <v>0</v>
          </cell>
          <cell r="D24">
            <v>0</v>
          </cell>
          <cell r="E24">
            <v>2</v>
          </cell>
          <cell r="F24" t="str">
            <v>Ayudante</v>
          </cell>
          <cell r="G24">
            <v>9166.0562827225131</v>
          </cell>
          <cell r="H24">
            <v>1.0471204188481675</v>
          </cell>
          <cell r="I24">
            <v>8753.5837499999998</v>
          </cell>
        </row>
        <row r="25">
          <cell r="A25" t="str">
            <v>Excavaciones en roca</v>
          </cell>
          <cell r="B25">
            <v>1</v>
          </cell>
          <cell r="C25" t="str">
            <v>Oficial</v>
          </cell>
          <cell r="D25" t="str">
            <v>+</v>
          </cell>
          <cell r="E25">
            <v>3</v>
          </cell>
          <cell r="F25" t="str">
            <v>Ayudante</v>
          </cell>
          <cell r="G25">
            <v>26067.628272251306</v>
          </cell>
          <cell r="H25">
            <v>1.0471204188481675</v>
          </cell>
          <cell r="I25">
            <v>24894.584999999999</v>
          </cell>
        </row>
        <row r="26">
          <cell r="A26" t="str">
            <v>Albañilería</v>
          </cell>
          <cell r="B26">
            <v>2</v>
          </cell>
          <cell r="C26" t="str">
            <v>Oficial</v>
          </cell>
          <cell r="D26" t="str">
            <v>+</v>
          </cell>
          <cell r="E26">
            <v>1</v>
          </cell>
          <cell r="F26" t="str">
            <v>Ayudante</v>
          </cell>
          <cell r="G26">
            <v>29220.115837696332</v>
          </cell>
          <cell r="H26">
            <v>1.0471204188481675</v>
          </cell>
          <cell r="I26">
            <v>27905.210624999996</v>
          </cell>
        </row>
        <row r="27">
          <cell r="A27" t="str">
            <v>Estructuras</v>
          </cell>
          <cell r="B27">
            <v>2</v>
          </cell>
          <cell r="C27" t="str">
            <v>Oficial</v>
          </cell>
          <cell r="D27" t="str">
            <v>+</v>
          </cell>
          <cell r="E27">
            <v>3</v>
          </cell>
          <cell r="F27" t="str">
            <v>Ayudante</v>
          </cell>
          <cell r="G27">
            <v>38386.172120418843</v>
          </cell>
          <cell r="H27">
            <v>1.0471204188481675</v>
          </cell>
          <cell r="I27">
            <v>36658.794374999998</v>
          </cell>
        </row>
        <row r="28">
          <cell r="A28" t="str">
            <v>Topografía</v>
          </cell>
          <cell r="B28">
            <v>1</v>
          </cell>
          <cell r="C28" t="str">
            <v>Oficial</v>
          </cell>
          <cell r="D28" t="str">
            <v>+</v>
          </cell>
          <cell r="E28">
            <v>3</v>
          </cell>
          <cell r="F28" t="str">
            <v>Ayudante</v>
          </cell>
          <cell r="G28">
            <v>28674.391099476441</v>
          </cell>
          <cell r="H28">
            <v>1.0471204188481675</v>
          </cell>
          <cell r="I28">
            <v>27384.0435</v>
          </cell>
        </row>
        <row r="29">
          <cell r="A29" t="str">
            <v>Instalaciones</v>
          </cell>
          <cell r="B29">
            <v>2</v>
          </cell>
          <cell r="C29" t="str">
            <v>Oficial</v>
          </cell>
          <cell r="D29" t="str">
            <v>+</v>
          </cell>
          <cell r="E29">
            <v>2</v>
          </cell>
          <cell r="F29" t="str">
            <v>Ayudante</v>
          </cell>
          <cell r="G29">
            <v>37183.458376963346</v>
          </cell>
          <cell r="H29">
            <v>1.0471204188481675</v>
          </cell>
          <cell r="I29">
            <v>35510.202749999997</v>
          </cell>
        </row>
        <row r="30">
          <cell r="A30" t="str">
            <v>Cuadrilla 1 - 4</v>
          </cell>
          <cell r="B30">
            <v>1</v>
          </cell>
          <cell r="C30" t="str">
            <v>Oficial</v>
          </cell>
          <cell r="D30" t="str">
            <v>+</v>
          </cell>
          <cell r="E30">
            <v>4</v>
          </cell>
          <cell r="F30" t="str">
            <v>Ayudante</v>
          </cell>
          <cell r="G30">
            <v>36780.787696335079</v>
          </cell>
          <cell r="H30">
            <v>1.0471204188481675</v>
          </cell>
          <cell r="I30">
            <v>35125.652249999999</v>
          </cell>
        </row>
        <row r="31">
          <cell r="A31" t="str">
            <v>Cuadrilla 1 - 1</v>
          </cell>
          <cell r="B31">
            <v>1</v>
          </cell>
          <cell r="C31" t="str">
            <v>Oficial</v>
          </cell>
          <cell r="D31" t="str">
            <v>+</v>
          </cell>
          <cell r="E31">
            <v>1</v>
          </cell>
          <cell r="F31" t="str">
            <v>Ayudante</v>
          </cell>
          <cell r="G31">
            <v>20281.886387434555</v>
          </cell>
          <cell r="H31">
            <v>1.0471204188481675</v>
          </cell>
          <cell r="I31">
            <v>19369.201499999999</v>
          </cell>
        </row>
        <row r="32">
          <cell r="A32" t="str">
            <v>Cuadrilla 1 - 3</v>
          </cell>
          <cell r="B32">
            <v>1</v>
          </cell>
          <cell r="C32" t="str">
            <v>Oficial</v>
          </cell>
          <cell r="D32" t="str">
            <v>+</v>
          </cell>
          <cell r="E32">
            <v>3</v>
          </cell>
          <cell r="F32" t="str">
            <v>Ayudante</v>
          </cell>
          <cell r="G32">
            <v>26067.628272251306</v>
          </cell>
          <cell r="H32">
            <v>1.0471204188481675</v>
          </cell>
          <cell r="I32">
            <v>24894.584999999999</v>
          </cell>
        </row>
        <row r="33">
          <cell r="A33" t="str">
            <v>Cuadrilla 1 - 6</v>
          </cell>
          <cell r="B33">
            <v>1</v>
          </cell>
          <cell r="C33" t="str">
            <v>Oficial</v>
          </cell>
          <cell r="D33" t="str">
            <v>+</v>
          </cell>
          <cell r="E33">
            <v>6</v>
          </cell>
          <cell r="F33" t="str">
            <v>Ayudante</v>
          </cell>
          <cell r="G33">
            <v>39816.712696335075</v>
          </cell>
          <cell r="H33">
            <v>1.0471204188481675</v>
          </cell>
          <cell r="I33">
            <v>38024.960625</v>
          </cell>
        </row>
        <row r="34">
          <cell r="A34" t="str">
            <v>Cuadrilla Hidraúlico y Sanitario</v>
          </cell>
          <cell r="B34">
            <v>1</v>
          </cell>
          <cell r="C34" t="str">
            <v>Oficial</v>
          </cell>
          <cell r="D34" t="str">
            <v>+</v>
          </cell>
          <cell r="E34">
            <v>1</v>
          </cell>
          <cell r="F34" t="str">
            <v>Ayudante</v>
          </cell>
          <cell r="G34">
            <v>18591.729188481673</v>
          </cell>
          <cell r="H34">
            <v>1.0471204188481675</v>
          </cell>
          <cell r="I34">
            <v>17755.101374999998</v>
          </cell>
        </row>
        <row r="35">
          <cell r="A35" t="str">
            <v>Cuadrilla Carpinteria metálica</v>
          </cell>
          <cell r="B35">
            <v>1</v>
          </cell>
          <cell r="C35" t="str">
            <v>Oficial</v>
          </cell>
          <cell r="D35" t="str">
            <v>+</v>
          </cell>
          <cell r="E35">
            <v>1</v>
          </cell>
          <cell r="F35" t="str">
            <v>Ayudante</v>
          </cell>
          <cell r="G35">
            <v>19436.807787958111</v>
          </cell>
          <cell r="H35">
            <v>1.0471204188481675</v>
          </cell>
          <cell r="I35">
            <v>18562.151437499997</v>
          </cell>
        </row>
        <row r="36">
          <cell r="A36" t="str">
            <v>Cuadrilla  Eléctrico</v>
          </cell>
          <cell r="B36">
            <v>1</v>
          </cell>
          <cell r="C36" t="str">
            <v xml:space="preserve">Oficial </v>
          </cell>
          <cell r="D36" t="str">
            <v>+</v>
          </cell>
          <cell r="E36">
            <v>1</v>
          </cell>
          <cell r="F36" t="str">
            <v>Ayudante</v>
          </cell>
          <cell r="G36">
            <v>22479.090746073296</v>
          </cell>
          <cell r="H36">
            <v>1.0471204188481675</v>
          </cell>
          <cell r="I36">
            <v>21467.531662499998</v>
          </cell>
        </row>
        <row r="37">
          <cell r="A37" t="str">
            <v>Carpintería</v>
          </cell>
          <cell r="B37">
            <v>1</v>
          </cell>
          <cell r="C37" t="str">
            <v>Oficial</v>
          </cell>
          <cell r="D37" t="str">
            <v>+</v>
          </cell>
          <cell r="E37">
            <v>2</v>
          </cell>
          <cell r="F37" t="str">
            <v>Ayudante</v>
          </cell>
          <cell r="G37">
            <v>25781.520157068062</v>
          </cell>
          <cell r="H37">
            <v>1.0471204188481675</v>
          </cell>
          <cell r="I37">
            <v>24621.351749999998</v>
          </cell>
        </row>
        <row r="38">
          <cell r="A38" t="str">
            <v>Pintura</v>
          </cell>
          <cell r="B38">
            <v>2</v>
          </cell>
          <cell r="C38" t="str">
            <v>Oficial</v>
          </cell>
          <cell r="D38" t="str">
            <v>+</v>
          </cell>
          <cell r="E38">
            <v>1</v>
          </cell>
          <cell r="F38" t="str">
            <v>Ayudante</v>
          </cell>
          <cell r="G38">
            <v>33603.133213350782</v>
          </cell>
          <cell r="H38">
            <v>1.0471204188481675</v>
          </cell>
          <cell r="I38">
            <v>32090.992218749998</v>
          </cell>
        </row>
        <row r="39">
          <cell r="A39" t="str">
            <v>Mampostería</v>
          </cell>
          <cell r="B39">
            <v>2</v>
          </cell>
          <cell r="C39" t="str">
            <v>Oficial</v>
          </cell>
          <cell r="D39" t="str">
            <v>+</v>
          </cell>
          <cell r="E39">
            <v>1</v>
          </cell>
          <cell r="F39" t="str">
            <v>Ayudante</v>
          </cell>
          <cell r="G39">
            <v>29220.115837696332</v>
          </cell>
          <cell r="H39">
            <v>1.0471204188481675</v>
          </cell>
          <cell r="I39">
            <v>27905.210624999996</v>
          </cell>
        </row>
        <row r="40">
          <cell r="A40" t="str">
            <v>Vías</v>
          </cell>
          <cell r="B40">
            <v>3</v>
          </cell>
          <cell r="C40" t="str">
            <v>Oficial</v>
          </cell>
          <cell r="D40" t="str">
            <v>+</v>
          </cell>
          <cell r="E40">
            <v>4</v>
          </cell>
          <cell r="F40" t="str">
            <v>Ayudante</v>
          </cell>
          <cell r="G40">
            <v>63580.905726439785</v>
          </cell>
          <cell r="H40">
            <v>1.0471204188481675</v>
          </cell>
          <cell r="I40">
            <v>60719.764968749994</v>
          </cell>
        </row>
        <row r="41">
          <cell r="A41" t="str">
            <v>Cuadrilla Carpinteria Aluminio</v>
          </cell>
          <cell r="B41">
            <v>2</v>
          </cell>
          <cell r="C41" t="str">
            <v>Oficial</v>
          </cell>
          <cell r="D41" t="str">
            <v>+</v>
          </cell>
          <cell r="E41">
            <v>2</v>
          </cell>
          <cell r="F41" t="str">
            <v>Ayudante</v>
          </cell>
          <cell r="G41">
            <v>40563.77277486911</v>
          </cell>
          <cell r="H41">
            <v>1.0471204188481675</v>
          </cell>
          <cell r="I41">
            <v>38738.402999999998</v>
          </cell>
        </row>
        <row r="42">
          <cell r="A42" t="str">
            <v>Cuadrilla instalaciones a  gas</v>
          </cell>
          <cell r="B42">
            <v>2</v>
          </cell>
          <cell r="C42" t="str">
            <v>Oficiales</v>
          </cell>
          <cell r="D42">
            <v>0</v>
          </cell>
          <cell r="E42">
            <v>0</v>
          </cell>
          <cell r="F42">
            <v>0</v>
          </cell>
          <cell r="G42">
            <v>32767.32663612565</v>
          </cell>
          <cell r="H42">
            <v>1.0471204188481675</v>
          </cell>
          <cell r="I42">
            <v>31292.796937499996</v>
          </cell>
        </row>
        <row r="43">
          <cell r="A43" t="str">
            <v>Ingeniero</v>
          </cell>
          <cell r="B43">
            <v>0</v>
          </cell>
          <cell r="C43">
            <v>0</v>
          </cell>
          <cell r="D43">
            <v>0</v>
          </cell>
          <cell r="E43">
            <v>0</v>
          </cell>
          <cell r="F43">
            <v>0</v>
          </cell>
          <cell r="G43">
            <v>32722.513089005235</v>
          </cell>
          <cell r="H43">
            <v>1.0471204188481675</v>
          </cell>
          <cell r="I43">
            <v>31250</v>
          </cell>
        </row>
        <row r="44">
          <cell r="A44" t="str">
            <v>Tramitador</v>
          </cell>
          <cell r="B44">
            <v>0</v>
          </cell>
          <cell r="C44">
            <v>0</v>
          </cell>
          <cell r="D44">
            <v>0</v>
          </cell>
          <cell r="E44">
            <v>0</v>
          </cell>
          <cell r="F44">
            <v>0</v>
          </cell>
          <cell r="G44">
            <v>15706.806282722513</v>
          </cell>
          <cell r="H44">
            <v>1.0471204188481675</v>
          </cell>
          <cell r="I44">
            <v>15000</v>
          </cell>
        </row>
      </sheetData>
      <sheetData sheetId="11"/>
      <sheetData sheetId="12"/>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CONCRETO"/>
      <sheetName val="REMISIÓN CONCRETOS"/>
      <sheetName val="CONCRET. DESDE 24H"/>
      <sheetName val="CONCRET. 7-14-28 D"/>
      <sheetName val="NÚCLEOS"/>
      <sheetName val="BLOQUES-LADRILLOS"/>
      <sheetName val="MEZCLAS"/>
      <sheetName val="BELKELMAN"/>
      <sheetName val="Extracción S.S.S."/>
      <sheetName val="EXTRACCIÓN S.S.S. "/>
      <sheetName val="EXTRACCIÓN (PARAFINADA)"/>
      <sheetName val="CONTROL_CONCRETO"/>
      <sheetName val="REMISIÓN_CONCRETOS"/>
      <sheetName val="CONCRET__DESDE_24H"/>
      <sheetName val="CONCRET__7-14-28_D"/>
      <sheetName val="Extracción_S_S_S_"/>
      <sheetName val="EXTRACCIÓN_S_S_S__"/>
      <sheetName val="EXTRACCIÓN_(PARAFINADA)"/>
      <sheetName val="Materiales"/>
      <sheetName val="Exper"/>
      <sheetName val="Ctdad Obra"/>
      <sheetName val="ma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Equipo"/>
      <sheetName val="Fletes"/>
      <sheetName val="MO"/>
      <sheetName val="Datos"/>
      <sheetName val="Calc"/>
      <sheetName val="APU"/>
      <sheetName val="Agregar APU"/>
      <sheetName val="Agregar_APU"/>
      <sheetName val="Agregar_APU1"/>
      <sheetName val="Agregar_APU2"/>
      <sheetName val="Agregar_APU6"/>
      <sheetName val="Agregar_APU5"/>
      <sheetName val="Agregar_APU3"/>
      <sheetName val="Agregar_APU4"/>
      <sheetName val="Agregar_APU7"/>
      <sheetName val="MATERIAL"/>
    </sheetNames>
    <sheetDataSet>
      <sheetData sheetId="0">
        <row r="4">
          <cell r="A4" t="str">
            <v>A.c.p.m.</v>
          </cell>
        </row>
      </sheetData>
      <sheetData sheetId="1">
        <row r="4">
          <cell r="A4" t="str">
            <v>Andamio tubular (secc.) (Dd)</v>
          </cell>
        </row>
      </sheetData>
      <sheetData sheetId="2">
        <row r="4">
          <cell r="A4" t="str">
            <v>Administrador + prest</v>
          </cell>
        </row>
      </sheetData>
      <sheetData sheetId="3">
        <row r="4">
          <cell r="A4" t="str">
            <v>Administrador + prest</v>
          </cell>
          <cell r="B4" t="str">
            <v>Sueldos jornales y cuadrillas (39)</v>
          </cell>
          <cell r="C4" t="str">
            <v>Ms</v>
          </cell>
          <cell r="D4">
            <v>1356666</v>
          </cell>
          <cell r="E4" t="str">
            <v>Tekhne</v>
          </cell>
        </row>
        <row r="5">
          <cell r="A5" t="str">
            <v>Administrador s/prest</v>
          </cell>
          <cell r="B5" t="str">
            <v>Sueldos jornales y cuadrillas (39)</v>
          </cell>
          <cell r="C5" t="str">
            <v>Ms</v>
          </cell>
          <cell r="D5">
            <v>865000</v>
          </cell>
          <cell r="E5" t="str">
            <v>Tekhne</v>
          </cell>
        </row>
        <row r="6">
          <cell r="A6" t="str">
            <v>Almacenista (trans.incl ($34000)</v>
          </cell>
          <cell r="B6" t="str">
            <v>Sueldos jornales y cuadrillas (39)</v>
          </cell>
          <cell r="C6" t="str">
            <v>Ms</v>
          </cell>
          <cell r="D6">
            <v>678351</v>
          </cell>
          <cell r="E6" t="str">
            <v>Tekhne</v>
          </cell>
        </row>
        <row r="7">
          <cell r="A7" t="str">
            <v>Almacenista + prest (56.84%)</v>
          </cell>
          <cell r="B7" t="str">
            <v>Sueldos jornales y cuadrillas (39)</v>
          </cell>
          <cell r="C7" t="str">
            <v>Ms</v>
          </cell>
          <cell r="D7">
            <v>1063926</v>
          </cell>
          <cell r="E7" t="str">
            <v>Tekhne</v>
          </cell>
        </row>
        <row r="8">
          <cell r="A8" t="str">
            <v>Aseo de vidrios</v>
          </cell>
          <cell r="B8" t="str">
            <v>Mdeo vidrios y cerraduras (35)</v>
          </cell>
          <cell r="C8" t="str">
            <v>M2</v>
          </cell>
          <cell r="D8">
            <v>1000</v>
          </cell>
          <cell r="E8" t="str">
            <v>Tekhne</v>
          </cell>
        </row>
        <row r="9">
          <cell r="A9" t="str">
            <v>Aseo general</v>
          </cell>
          <cell r="B9" t="str">
            <v>Mdeo obras exteriores (37)</v>
          </cell>
          <cell r="C9" t="str">
            <v>M2</v>
          </cell>
          <cell r="D9">
            <v>1000</v>
          </cell>
          <cell r="E9" t="str">
            <v>Tekhne</v>
          </cell>
        </row>
        <row r="10">
          <cell r="A10" t="str">
            <v>Ayudante</v>
          </cell>
          <cell r="B10" t="str">
            <v>Sueldos jornales y cuadrillas (39)</v>
          </cell>
          <cell r="C10" t="str">
            <v>Dd</v>
          </cell>
          <cell r="D10">
            <v>15000</v>
          </cell>
        </row>
        <row r="11">
          <cell r="A11" t="str">
            <v>Ayudante (Inc. Prest.)</v>
          </cell>
          <cell r="B11" t="str">
            <v>Sueldos jornales y cuadrillas (39)</v>
          </cell>
          <cell r="C11" t="str">
            <v>Dd</v>
          </cell>
          <cell r="D11">
            <v>29250</v>
          </cell>
        </row>
        <row r="12">
          <cell r="A12" t="str">
            <v>Ayudante admon (trans.incl$34000)</v>
          </cell>
          <cell r="B12" t="str">
            <v>Sueldos jornales y cuadrillas (39)</v>
          </cell>
          <cell r="C12" t="str">
            <v>Ms</v>
          </cell>
          <cell r="D12">
            <v>343000</v>
          </cell>
          <cell r="E12" t="str">
            <v>Tekhne</v>
          </cell>
        </row>
        <row r="13">
          <cell r="A13" t="str">
            <v>Ayudante admon.+ prest(86.03%)</v>
          </cell>
          <cell r="B13" t="str">
            <v>Sueldos jornales y cuadrillas (39)</v>
          </cell>
          <cell r="C13" t="str">
            <v>Ms</v>
          </cell>
          <cell r="D13">
            <v>574833</v>
          </cell>
          <cell r="E13" t="str">
            <v>Tekhne</v>
          </cell>
        </row>
        <row r="14">
          <cell r="A14" t="str">
            <v>Ayudante albañileria de</v>
          </cell>
          <cell r="B14" t="str">
            <v>Sueldos jornales y cuadrillas (39)</v>
          </cell>
          <cell r="C14" t="str">
            <v>Dd</v>
          </cell>
          <cell r="D14">
            <v>15169</v>
          </cell>
          <cell r="E14" t="str">
            <v>Tekhne</v>
          </cell>
        </row>
        <row r="15">
          <cell r="A15" t="str">
            <v>Ayudante albañileria general</v>
          </cell>
          <cell r="B15" t="str">
            <v>Sueldos jornales y cuadrillas (39)</v>
          </cell>
          <cell r="C15" t="str">
            <v>Dd</v>
          </cell>
          <cell r="D15">
            <v>13675</v>
          </cell>
          <cell r="E15" t="str">
            <v>Tekhne</v>
          </cell>
        </row>
        <row r="16">
          <cell r="A16" t="str">
            <v>Ayudante carpinteria metalica</v>
          </cell>
          <cell r="B16" t="str">
            <v>Sueldos jornales y cuadrillas (39)</v>
          </cell>
          <cell r="C16" t="str">
            <v>Dd</v>
          </cell>
          <cell r="D16">
            <v>16336</v>
          </cell>
          <cell r="E16" t="str">
            <v>Tekhne</v>
          </cell>
        </row>
        <row r="17">
          <cell r="A17" t="str">
            <v>Ayudante carpintero en obra</v>
          </cell>
          <cell r="B17" t="str">
            <v>Sueldos jornales y cuadrillas (39)</v>
          </cell>
          <cell r="C17" t="str">
            <v>Dd</v>
          </cell>
          <cell r="D17">
            <v>14095</v>
          </cell>
          <cell r="E17" t="str">
            <v>Tekhne</v>
          </cell>
        </row>
        <row r="18">
          <cell r="A18" t="str">
            <v>Ayudante inst. Electricas</v>
          </cell>
          <cell r="B18" t="str">
            <v>Sueldos jornales y cuadrillas (39)</v>
          </cell>
          <cell r="C18" t="str">
            <v>Dd</v>
          </cell>
          <cell r="D18">
            <v>15000</v>
          </cell>
          <cell r="E18" t="str">
            <v>Tekhne</v>
          </cell>
        </row>
        <row r="19">
          <cell r="A19" t="str">
            <v>Ayudante inst. Sanitarias</v>
          </cell>
          <cell r="B19" t="str">
            <v>Sueldos jornales y cuadrillas (39)</v>
          </cell>
          <cell r="C19" t="str">
            <v>Dd</v>
          </cell>
          <cell r="D19">
            <v>14842</v>
          </cell>
          <cell r="E19" t="str">
            <v>Tekhne</v>
          </cell>
        </row>
        <row r="20">
          <cell r="A20" t="str">
            <v>Ayudante pintura s/prest.</v>
          </cell>
          <cell r="B20" t="str">
            <v>Sueldos jornales y cuadrillas (39)</v>
          </cell>
          <cell r="C20" t="str">
            <v>Dd</v>
          </cell>
          <cell r="D20">
            <v>13500</v>
          </cell>
          <cell r="E20" t="str">
            <v>Tekhne</v>
          </cell>
        </row>
        <row r="21">
          <cell r="A21" t="str">
            <v>Cadenero 1 (Dd)</v>
          </cell>
          <cell r="B21" t="str">
            <v>Sueldos jornales y cuadrillas (39)</v>
          </cell>
          <cell r="C21" t="str">
            <v>Dd</v>
          </cell>
          <cell r="D21">
            <v>18000</v>
          </cell>
          <cell r="E21" t="str">
            <v>Arauca</v>
          </cell>
        </row>
        <row r="22">
          <cell r="A22" t="str">
            <v>Cadenero 1 (Dd) (Inc. Prest.)</v>
          </cell>
          <cell r="B22" t="str">
            <v>Sueldos jornales y cuadrillas (39)</v>
          </cell>
          <cell r="C22" t="str">
            <v>Dd</v>
          </cell>
          <cell r="D22">
            <v>35100</v>
          </cell>
          <cell r="E22" t="str">
            <v>Arauca</v>
          </cell>
        </row>
        <row r="23">
          <cell r="A23" t="str">
            <v>Cadenero 1 (Ms)</v>
          </cell>
          <cell r="B23" t="str">
            <v>Sueldos jornales y cuadrillas (39)</v>
          </cell>
          <cell r="C23" t="str">
            <v>Mes</v>
          </cell>
          <cell r="D23">
            <v>408391</v>
          </cell>
          <cell r="E23" t="str">
            <v>Tekhne</v>
          </cell>
        </row>
        <row r="24">
          <cell r="A24" t="str">
            <v>Cadenero 1 + prest. 86.03% (Ms)</v>
          </cell>
          <cell r="B24" t="str">
            <v>Sueldos jornales y cuadrillas (39)</v>
          </cell>
          <cell r="C24" t="str">
            <v>Mes</v>
          </cell>
          <cell r="D24">
            <v>759730</v>
          </cell>
          <cell r="E24" t="str">
            <v>Tekhne</v>
          </cell>
        </row>
        <row r="25">
          <cell r="A25" t="str">
            <v>Cadenero 2 (Ms)</v>
          </cell>
          <cell r="B25" t="str">
            <v>Sueldos jornales y cuadrillas (39)</v>
          </cell>
          <cell r="C25" t="str">
            <v>Mes</v>
          </cell>
          <cell r="D25">
            <v>641758</v>
          </cell>
          <cell r="E25" t="str">
            <v>Tekhne</v>
          </cell>
        </row>
        <row r="26">
          <cell r="A26" t="str">
            <v>Cadenero 2 + prest. 56.84% (Ms)</v>
          </cell>
          <cell r="B26" t="str">
            <v>Sueldos jornales y cuadrillas (39)</v>
          </cell>
          <cell r="C26" t="str">
            <v>Mes</v>
          </cell>
          <cell r="D26">
            <v>1006533</v>
          </cell>
          <cell r="E26" t="str">
            <v>Tekhne</v>
          </cell>
        </row>
        <row r="27">
          <cell r="A27" t="str">
            <v>Celador (con vivienda)</v>
          </cell>
          <cell r="B27" t="str">
            <v>Sueldos jornales y cuadrillas (39)</v>
          </cell>
          <cell r="C27" t="str">
            <v>Ms</v>
          </cell>
          <cell r="D27">
            <v>333714</v>
          </cell>
          <cell r="E27" t="str">
            <v>Tekhne</v>
          </cell>
        </row>
        <row r="28">
          <cell r="A28" t="str">
            <v>Celador (con vivienda) +</v>
          </cell>
          <cell r="B28" t="str">
            <v>Sueldos jornales y cuadrillas (39)</v>
          </cell>
          <cell r="C28" t="str">
            <v>Ms</v>
          </cell>
          <cell r="D28">
            <v>620080</v>
          </cell>
          <cell r="E28" t="str">
            <v>Tekhne</v>
          </cell>
        </row>
        <row r="29">
          <cell r="A29" t="str">
            <v>Closet cedro 2.20x1.20 (materiales)</v>
          </cell>
          <cell r="B29" t="str">
            <v>Mdeo cableado estructurado (47)</v>
          </cell>
          <cell r="C29" t="str">
            <v>Un</v>
          </cell>
          <cell r="D29">
            <v>552000</v>
          </cell>
          <cell r="E29" t="str">
            <v>Tekhne</v>
          </cell>
        </row>
        <row r="30">
          <cell r="A30" t="str">
            <v>Closet triplex 2.20x1.20 (materiales)</v>
          </cell>
          <cell r="B30" t="str">
            <v>Mdeo cableado estructurado (47)</v>
          </cell>
          <cell r="C30" t="str">
            <v>Un</v>
          </cell>
          <cell r="D30">
            <v>420000</v>
          </cell>
          <cell r="E30" t="str">
            <v>Tekhne</v>
          </cell>
        </row>
        <row r="31">
          <cell r="A31" t="str">
            <v>Contramaestro (sin prestacion)</v>
          </cell>
          <cell r="B31" t="str">
            <v>Sueldos jornales y cuadrillas (39)</v>
          </cell>
          <cell r="C31" t="str">
            <v>Ms</v>
          </cell>
          <cell r="D31">
            <v>956802</v>
          </cell>
          <cell r="E31" t="str">
            <v>Tekhne</v>
          </cell>
        </row>
        <row r="32">
          <cell r="A32" t="str">
            <v>Contramaestro + prest.56.84%</v>
          </cell>
          <cell r="B32" t="str">
            <v>Sueldos jornales y cuadrillas (39)</v>
          </cell>
          <cell r="C32" t="str">
            <v>Ms</v>
          </cell>
          <cell r="D32">
            <v>1500649</v>
          </cell>
          <cell r="E32" t="str">
            <v>Tekhne</v>
          </cell>
        </row>
        <row r="33">
          <cell r="A33" t="str">
            <v>Cuadrilla especializada electrica 1x1</v>
          </cell>
          <cell r="B33" t="str">
            <v>Sueldos jornales y cuadrillas (39)</v>
          </cell>
          <cell r="C33" t="str">
            <v>Dd</v>
          </cell>
          <cell r="D33">
            <v>40000</v>
          </cell>
          <cell r="E33" t="str">
            <v>Arauca</v>
          </cell>
        </row>
        <row r="34">
          <cell r="A34" t="str">
            <v>Cuadrilla especializada electrica 1x3</v>
          </cell>
          <cell r="B34" t="str">
            <v>Sueldos jornales y cuadrillas (39)</v>
          </cell>
          <cell r="C34" t="str">
            <v>Dd</v>
          </cell>
          <cell r="D34">
            <v>70000</v>
          </cell>
          <cell r="E34" t="str">
            <v>Arauca</v>
          </cell>
        </row>
        <row r="35">
          <cell r="A35" t="str">
            <v>Herramentero</v>
          </cell>
          <cell r="B35" t="str">
            <v>Sueldos jornales y cuadrillas (39)</v>
          </cell>
          <cell r="C35" t="str">
            <v>Ms</v>
          </cell>
          <cell r="D35">
            <v>363468</v>
          </cell>
          <cell r="E35" t="str">
            <v>Tekhne</v>
          </cell>
        </row>
        <row r="36">
          <cell r="A36" t="str">
            <v>Herramentero (trans.incl$34000)</v>
          </cell>
          <cell r="B36" t="str">
            <v>Sueldos jornales y cuadrillas (39)</v>
          </cell>
          <cell r="C36" t="str">
            <v>Ms</v>
          </cell>
          <cell r="D36">
            <v>397468</v>
          </cell>
          <cell r="E36" t="str">
            <v>Tekhne</v>
          </cell>
        </row>
        <row r="37">
          <cell r="A37" t="str">
            <v>Hora ayudante alba-il + prest</v>
          </cell>
          <cell r="B37" t="str">
            <v>Sueldos jornales y cuadrillas (39)</v>
          </cell>
          <cell r="C37" t="str">
            <v>Hh</v>
          </cell>
          <cell r="D37">
            <v>2757.24</v>
          </cell>
          <cell r="E37" t="str">
            <v>Tekhne</v>
          </cell>
        </row>
        <row r="38">
          <cell r="A38" t="str">
            <v>Hora ayudante albañil</v>
          </cell>
          <cell r="B38" t="str">
            <v>Sueldos jornales y cuadrillas (39)</v>
          </cell>
          <cell r="C38" t="str">
            <v>Hh</v>
          </cell>
          <cell r="D38">
            <v>1709</v>
          </cell>
          <cell r="E38" t="str">
            <v>Tekhne</v>
          </cell>
        </row>
        <row r="39">
          <cell r="A39" t="str">
            <v>Hora oficial alba-il + prest.86.03%</v>
          </cell>
          <cell r="B39" t="str">
            <v>Sueldos jornales y cuadrillas (39)</v>
          </cell>
          <cell r="C39" t="str">
            <v>Hh</v>
          </cell>
          <cell r="D39">
            <v>6512</v>
          </cell>
          <cell r="E39" t="str">
            <v>Tekhne</v>
          </cell>
        </row>
        <row r="40">
          <cell r="A40" t="str">
            <v>Hora oficial albañil</v>
          </cell>
          <cell r="B40" t="str">
            <v>Sueldos jornales y cuadrillas (39)</v>
          </cell>
          <cell r="C40" t="str">
            <v>Hh</v>
          </cell>
          <cell r="D40">
            <v>3201.12</v>
          </cell>
          <cell r="E40" t="str">
            <v>Tekhne</v>
          </cell>
        </row>
        <row r="41">
          <cell r="A41" t="str">
            <v>Hora/cuad. Alba-il/of+ayu +prest. Cuad. 1/1</v>
          </cell>
          <cell r="B41" t="str">
            <v>Sueldos jornales y cuadrillas (39)</v>
          </cell>
          <cell r="C41" t="str">
            <v>Hh</v>
          </cell>
          <cell r="D41">
            <v>9148</v>
          </cell>
          <cell r="E41" t="str">
            <v>Tekhne</v>
          </cell>
        </row>
        <row r="42">
          <cell r="A42" t="str">
            <v>Hora/cuad. Alba-il/of+ayu cuad. 1/1</v>
          </cell>
          <cell r="B42" t="str">
            <v>Sueldos jornales y cuadrillas (39)</v>
          </cell>
          <cell r="C42" t="str">
            <v>Hh</v>
          </cell>
          <cell r="D42">
            <v>4918</v>
          </cell>
          <cell r="E42" t="str">
            <v>Tekhne</v>
          </cell>
        </row>
        <row r="43">
          <cell r="A43" t="str">
            <v>Hora/cuad. Carpint/of+ayu</v>
          </cell>
          <cell r="B43" t="str">
            <v>Sueldos jornales y cuadrillas (39)</v>
          </cell>
          <cell r="C43" t="str">
            <v>Hh</v>
          </cell>
          <cell r="D43">
            <v>8743</v>
          </cell>
          <cell r="E43" t="str">
            <v>Tekhne</v>
          </cell>
        </row>
        <row r="44">
          <cell r="A44" t="str">
            <v>Hora/cuad. Inst. /of+ayu</v>
          </cell>
          <cell r="B44" t="str">
            <v>Sueldos jornales y cuadrillas (39)</v>
          </cell>
          <cell r="C44" t="str">
            <v>Hh</v>
          </cell>
          <cell r="D44">
            <v>5000</v>
          </cell>
          <cell r="E44" t="str">
            <v>Tekhne</v>
          </cell>
        </row>
        <row r="45">
          <cell r="A45" t="str">
            <v>Hora/cuad. Inst. /of+ayu + prest.</v>
          </cell>
          <cell r="B45" t="str">
            <v>Sueldos jornales y cuadrillas (39)</v>
          </cell>
          <cell r="C45" t="str">
            <v>Hh</v>
          </cell>
          <cell r="D45">
            <v>9301</v>
          </cell>
          <cell r="E45" t="str">
            <v>Tekhne</v>
          </cell>
        </row>
        <row r="46">
          <cell r="A46" t="str">
            <v>Instalacion cerradura madera</v>
          </cell>
          <cell r="B46" t="str">
            <v>Mdeo vidrios y cerraduras (35)</v>
          </cell>
          <cell r="C46" t="str">
            <v>Un</v>
          </cell>
          <cell r="D46">
            <v>4229.2</v>
          </cell>
          <cell r="E46" t="str">
            <v>Tekhne</v>
          </cell>
        </row>
        <row r="47">
          <cell r="A47" t="str">
            <v>Instalacion molduras yeso</v>
          </cell>
          <cell r="B47" t="str">
            <v>Mdeo cielorasos (28)</v>
          </cell>
          <cell r="C47" t="str">
            <v>Ml</v>
          </cell>
          <cell r="D47">
            <v>2369</v>
          </cell>
          <cell r="E47" t="str">
            <v>Tekhne</v>
          </cell>
        </row>
        <row r="48">
          <cell r="A48" t="str">
            <v>Laboratorista inspector</v>
          </cell>
          <cell r="B48" t="str">
            <v>Sueldos jornales y cuadrillas (39)</v>
          </cell>
          <cell r="C48" t="str">
            <v>Ms</v>
          </cell>
          <cell r="D48">
            <v>1015000</v>
          </cell>
          <cell r="E48" t="str">
            <v>Tekhne</v>
          </cell>
        </row>
        <row r="49">
          <cell r="A49" t="str">
            <v>Maestro general (sin prestac)</v>
          </cell>
          <cell r="B49" t="str">
            <v>Sueldos jornales y cuadrillas (39)</v>
          </cell>
          <cell r="C49" t="str">
            <v>Ms</v>
          </cell>
          <cell r="D49">
            <v>1050148</v>
          </cell>
          <cell r="E49" t="str">
            <v>Tekhne</v>
          </cell>
        </row>
        <row r="50">
          <cell r="A50" t="str">
            <v>Maestro general + prest.56.84%</v>
          </cell>
          <cell r="B50" t="str">
            <v>Sueldos jornales y cuadrillas (39)</v>
          </cell>
          <cell r="C50" t="str">
            <v>Ms</v>
          </cell>
          <cell r="D50">
            <v>1647053</v>
          </cell>
          <cell r="E50" t="str">
            <v>Tekhne</v>
          </cell>
        </row>
        <row r="51">
          <cell r="A51" t="str">
            <v>Mdeo accesorios gres 4"</v>
          </cell>
          <cell r="B51" t="str">
            <v>Mdeo redes servicios y desagüe (23)</v>
          </cell>
          <cell r="C51" t="str">
            <v>Un</v>
          </cell>
          <cell r="D51">
            <v>4500</v>
          </cell>
          <cell r="E51" t="str">
            <v>Tekhne</v>
          </cell>
        </row>
        <row r="52">
          <cell r="A52" t="str">
            <v>Mdeo accesorios gres 4" concr.</v>
          </cell>
          <cell r="B52" t="str">
            <v>Mdeo redes servicios y desagüe (23)</v>
          </cell>
          <cell r="C52" t="str">
            <v>Un</v>
          </cell>
          <cell r="D52">
            <v>5500</v>
          </cell>
          <cell r="E52" t="str">
            <v>Tekhne</v>
          </cell>
        </row>
        <row r="53">
          <cell r="A53" t="str">
            <v>Mdeo accesorios gres 6"-10"</v>
          </cell>
          <cell r="B53" t="str">
            <v>Mdeo redes servicios y desagüe (23)</v>
          </cell>
          <cell r="C53" t="str">
            <v>Un</v>
          </cell>
          <cell r="D53">
            <v>6000</v>
          </cell>
          <cell r="E53" t="str">
            <v>Tekhne</v>
          </cell>
        </row>
        <row r="54">
          <cell r="A54" t="str">
            <v>Mdeo accesorios gres 6-10"conc</v>
          </cell>
          <cell r="B54" t="str">
            <v>Mdeo redes servicios y desagüe (23)</v>
          </cell>
          <cell r="C54" t="str">
            <v>Un</v>
          </cell>
          <cell r="D54">
            <v>6000</v>
          </cell>
          <cell r="E54" t="str">
            <v>Tekhne</v>
          </cell>
        </row>
        <row r="55">
          <cell r="A55" t="str">
            <v>Mdeo acometida</v>
          </cell>
          <cell r="B55" t="str">
            <v>Mdeo inst. Hidraulic/sanit/lat (32)</v>
          </cell>
          <cell r="C55" t="str">
            <v>Un</v>
          </cell>
          <cell r="D55">
            <v>24720</v>
          </cell>
          <cell r="E55" t="str">
            <v>Tekhne</v>
          </cell>
        </row>
        <row r="56">
          <cell r="A56" t="str">
            <v>Mdeo acometida aerea</v>
          </cell>
          <cell r="B56" t="str">
            <v>Mdeo inst. Electricas (33)</v>
          </cell>
          <cell r="C56" t="str">
            <v>Un</v>
          </cell>
          <cell r="D56">
            <v>7210</v>
          </cell>
          <cell r="E56" t="str">
            <v>Tekhne</v>
          </cell>
        </row>
        <row r="57">
          <cell r="A57" t="str">
            <v>Mdeo acometida bombas incl. Ducto</v>
          </cell>
          <cell r="B57" t="str">
            <v>Mdeo inst. Electricas (33)</v>
          </cell>
          <cell r="C57" t="str">
            <v>Ml</v>
          </cell>
          <cell r="D57">
            <v>9270</v>
          </cell>
          <cell r="E57" t="str">
            <v>Tekhne</v>
          </cell>
        </row>
        <row r="58">
          <cell r="A58" t="str">
            <v>Mdeo acometida gas</v>
          </cell>
          <cell r="B58" t="str">
            <v>Mdeo inst. De gas (45)</v>
          </cell>
          <cell r="C58" t="str">
            <v>Un</v>
          </cell>
          <cell r="D58">
            <v>5858</v>
          </cell>
          <cell r="E58" t="str">
            <v>Tekhne</v>
          </cell>
        </row>
        <row r="59">
          <cell r="A59" t="str">
            <v>Mdeo acometida general</v>
          </cell>
          <cell r="B59" t="str">
            <v>Mdeo inst. Electricas (33)</v>
          </cell>
          <cell r="C59" t="str">
            <v>Ml</v>
          </cell>
          <cell r="D59">
            <v>9270</v>
          </cell>
          <cell r="E59" t="str">
            <v>Tekhne</v>
          </cell>
        </row>
        <row r="60">
          <cell r="A60" t="str">
            <v>Mdeo acrilico</v>
          </cell>
          <cell r="B60" t="str">
            <v>Mdeo cielorasos (28)</v>
          </cell>
          <cell r="C60" t="str">
            <v>M2</v>
          </cell>
          <cell r="D60">
            <v>4120</v>
          </cell>
          <cell r="E60" t="str">
            <v>Tekhne</v>
          </cell>
        </row>
        <row r="61">
          <cell r="A61" t="str">
            <v>Mdeo adoquin en concreto</v>
          </cell>
          <cell r="B61" t="str">
            <v>Mdeo obras exteriores (37)</v>
          </cell>
          <cell r="C61" t="str">
            <v>M2</v>
          </cell>
          <cell r="D61">
            <v>4000</v>
          </cell>
          <cell r="E61" t="str">
            <v>Tekhne</v>
          </cell>
        </row>
        <row r="62">
          <cell r="A62" t="str">
            <v>Mdeo adoquin gres</v>
          </cell>
          <cell r="B62" t="str">
            <v>Mdeo obras exteriores (37)</v>
          </cell>
          <cell r="C62" t="str">
            <v>M2</v>
          </cell>
          <cell r="D62">
            <v>4000</v>
          </cell>
          <cell r="E62" t="str">
            <v>Tekhne</v>
          </cell>
        </row>
        <row r="63">
          <cell r="A63" t="str">
            <v>Mdeo afinado cubiertas planas</v>
          </cell>
          <cell r="B63" t="str">
            <v>Mdeo cubiertas (27)</v>
          </cell>
          <cell r="C63" t="str">
            <v>M2</v>
          </cell>
          <cell r="D63">
            <v>6500</v>
          </cell>
          <cell r="E63" t="str">
            <v>Tekhne</v>
          </cell>
        </row>
        <row r="64">
          <cell r="A64" t="str">
            <v>Mdeo afinado endurecido</v>
          </cell>
          <cell r="B64" t="str">
            <v>Mdeo pisos (acabados y bases) (30)</v>
          </cell>
          <cell r="C64" t="str">
            <v>M2</v>
          </cell>
          <cell r="D64">
            <v>4280</v>
          </cell>
          <cell r="E64" t="str">
            <v>Tekhne</v>
          </cell>
        </row>
        <row r="65">
          <cell r="A65" t="str">
            <v>Mdeo afinado imperm. Pisos</v>
          </cell>
          <cell r="B65" t="str">
            <v>Mdeo pisos (acabados y bases) (30)</v>
          </cell>
          <cell r="C65" t="str">
            <v>M2</v>
          </cell>
          <cell r="D65">
            <v>4000</v>
          </cell>
          <cell r="E65" t="str">
            <v>Tekhne</v>
          </cell>
        </row>
        <row r="66">
          <cell r="A66" t="str">
            <v>Mdeo afinado pasos escalera</v>
          </cell>
          <cell r="B66" t="str">
            <v>Mdeo preliminares/limp.terreno (22)</v>
          </cell>
          <cell r="C66" t="str">
            <v>Un</v>
          </cell>
          <cell r="D66">
            <v>1600</v>
          </cell>
          <cell r="E66" t="str">
            <v>Tekhne</v>
          </cell>
        </row>
        <row r="67">
          <cell r="A67" t="str">
            <v>Mdeo afinado piso liston</v>
          </cell>
          <cell r="B67" t="str">
            <v>Mdeo pisos (acabados y bases) (30)</v>
          </cell>
          <cell r="C67" t="str">
            <v>M2</v>
          </cell>
          <cell r="D67">
            <v>4000</v>
          </cell>
          <cell r="E67" t="str">
            <v>Tekhne</v>
          </cell>
        </row>
        <row r="68">
          <cell r="A68" t="str">
            <v>Mdeo afinado pisos</v>
          </cell>
          <cell r="B68" t="str">
            <v>Mdeo pisos (acabados y bases) (30)</v>
          </cell>
          <cell r="C68" t="str">
            <v>M2</v>
          </cell>
          <cell r="D68">
            <v>4280</v>
          </cell>
          <cell r="E68" t="str">
            <v>Tekhne</v>
          </cell>
        </row>
        <row r="69">
          <cell r="A69" t="str">
            <v>Mdeo afinado sotano</v>
          </cell>
          <cell r="B69" t="str">
            <v>Mdeo pisos (acabados y bases) (30)</v>
          </cell>
          <cell r="C69" t="str">
            <v>M2</v>
          </cell>
          <cell r="D69">
            <v>4280</v>
          </cell>
          <cell r="E69" t="str">
            <v>Tekhne</v>
          </cell>
        </row>
        <row r="70">
          <cell r="A70" t="str">
            <v>Mdeo afinado terrazas</v>
          </cell>
          <cell r="B70" t="str">
            <v>Mdeo pisos (acabados y bases) (30)</v>
          </cell>
          <cell r="C70" t="str">
            <v>M2</v>
          </cell>
          <cell r="D70">
            <v>4800</v>
          </cell>
          <cell r="E70" t="str">
            <v>Tekhne</v>
          </cell>
        </row>
        <row r="71">
          <cell r="A71" t="str">
            <v>Mdeo ailslador de pin</v>
          </cell>
          <cell r="B71" t="str">
            <v>Mdeo inst. Electricas (33)</v>
          </cell>
          <cell r="C71" t="str">
            <v>Un</v>
          </cell>
          <cell r="D71">
            <v>3296</v>
          </cell>
          <cell r="E71" t="str">
            <v>Tekhne</v>
          </cell>
        </row>
        <row r="72">
          <cell r="A72" t="str">
            <v>Mdeo aislador pin</v>
          </cell>
          <cell r="B72" t="str">
            <v>Mdeo cableado estructurado (47)</v>
          </cell>
          <cell r="C72" t="str">
            <v>Un</v>
          </cell>
          <cell r="D72">
            <v>1929.1</v>
          </cell>
          <cell r="E72" t="str">
            <v>Tekhne</v>
          </cell>
        </row>
        <row r="73">
          <cell r="A73" t="str">
            <v>Mdeo aislapor</v>
          </cell>
          <cell r="B73" t="str">
            <v>Mdeo cielorasos (28)</v>
          </cell>
          <cell r="C73" t="str">
            <v>M2</v>
          </cell>
          <cell r="D73">
            <v>8240</v>
          </cell>
          <cell r="E73" t="str">
            <v>Tekhne</v>
          </cell>
        </row>
        <row r="74">
          <cell r="A74" t="str">
            <v>Mdeo alfagias</v>
          </cell>
          <cell r="B74" t="str">
            <v>Mdeo mamposteria (25)</v>
          </cell>
          <cell r="C74" t="str">
            <v>Ml</v>
          </cell>
          <cell r="D74">
            <v>14000</v>
          </cell>
          <cell r="E74" t="str">
            <v>Tekhne</v>
          </cell>
        </row>
        <row r="75">
          <cell r="A75" t="str">
            <v>Mdeo alistado + teja de barro</v>
          </cell>
          <cell r="B75" t="str">
            <v>Mdeo cubiertas (27)</v>
          </cell>
          <cell r="C75" t="str">
            <v>M2</v>
          </cell>
          <cell r="D75">
            <v>16000</v>
          </cell>
          <cell r="E75" t="str">
            <v>Tekhne</v>
          </cell>
        </row>
        <row r="76">
          <cell r="A76" t="str">
            <v>Mdeo alistado imp. Teja de bar</v>
          </cell>
          <cell r="B76" t="str">
            <v>Mdeo cubiertas (27)</v>
          </cell>
          <cell r="C76" t="str">
            <v>M2</v>
          </cell>
          <cell r="D76">
            <v>19000</v>
          </cell>
          <cell r="E76" t="str">
            <v>Tekhne</v>
          </cell>
        </row>
        <row r="77">
          <cell r="A77" t="str">
            <v>Mdeo alistado y tablero aglr.</v>
          </cell>
          <cell r="B77" t="str">
            <v>Mdeo cielorasos (28)</v>
          </cell>
          <cell r="C77" t="str">
            <v>M2</v>
          </cell>
          <cell r="D77">
            <v>4120</v>
          </cell>
          <cell r="E77" t="str">
            <v>Tekhne</v>
          </cell>
        </row>
        <row r="78">
          <cell r="A78" t="str">
            <v>Mdeo anden</v>
          </cell>
          <cell r="B78" t="str">
            <v>Mdeo obras exteriores (37)</v>
          </cell>
          <cell r="C78" t="str">
            <v>M2</v>
          </cell>
          <cell r="D78">
            <v>4000</v>
          </cell>
          <cell r="E78" t="str">
            <v>Tekhne</v>
          </cell>
        </row>
        <row r="79">
          <cell r="A79" t="str">
            <v>Mdeo anticorrosivo/lamina line</v>
          </cell>
          <cell r="B79" t="str">
            <v>Mdeo pintura (38)</v>
          </cell>
          <cell r="C79" t="str">
            <v>Ml</v>
          </cell>
          <cell r="D79">
            <v>1545</v>
          </cell>
          <cell r="E79" t="str">
            <v>Tekhne</v>
          </cell>
        </row>
        <row r="80">
          <cell r="A80" t="str">
            <v>Mdeo anticorrosivo/lamina llen</v>
          </cell>
          <cell r="B80" t="str">
            <v>Mdeo pintura (38)</v>
          </cell>
          <cell r="C80" t="str">
            <v>M2</v>
          </cell>
          <cell r="D80">
            <v>2575</v>
          </cell>
          <cell r="E80" t="str">
            <v>Tekhne</v>
          </cell>
        </row>
        <row r="81">
          <cell r="A81" t="str">
            <v>Mdeo arcos</v>
          </cell>
          <cell r="B81" t="str">
            <v>Mdeo mamposteria (25)</v>
          </cell>
          <cell r="C81" t="str">
            <v>Ml</v>
          </cell>
          <cell r="D81">
            <v>30000</v>
          </cell>
          <cell r="E81" t="str">
            <v>Tekhne</v>
          </cell>
        </row>
        <row r="82">
          <cell r="A82" t="str">
            <v>Mdeo bajantes y reventilacion</v>
          </cell>
          <cell r="B82" t="str">
            <v>Mdeo inst. Hidraulic/sanit/lat (32)</v>
          </cell>
          <cell r="C82" t="str">
            <v>Ml</v>
          </cell>
          <cell r="D82">
            <v>4120</v>
          </cell>
          <cell r="E82" t="str">
            <v>Tekhne</v>
          </cell>
        </row>
        <row r="83">
          <cell r="A83" t="str">
            <v>Mdeo bala</v>
          </cell>
          <cell r="B83" t="str">
            <v>Mdeo inst. Electricas (33)</v>
          </cell>
          <cell r="C83" t="str">
            <v>Un</v>
          </cell>
          <cell r="D83">
            <v>8240</v>
          </cell>
          <cell r="E83" t="str">
            <v>Tekhne</v>
          </cell>
        </row>
        <row r="84">
          <cell r="A84" t="str">
            <v>Mdeo baldosin granito</v>
          </cell>
          <cell r="B84" t="str">
            <v>Mdeo pisos (acabados y bases) (30)</v>
          </cell>
          <cell r="C84" t="str">
            <v>M2</v>
          </cell>
          <cell r="D84">
            <v>6695</v>
          </cell>
          <cell r="E84" t="str">
            <v>Tekhne</v>
          </cell>
        </row>
        <row r="85">
          <cell r="A85" t="str">
            <v>Mdeo bandeja tipo escalera</v>
          </cell>
          <cell r="B85" t="str">
            <v>Mdeo cableado estructurado (47)</v>
          </cell>
          <cell r="C85" t="str">
            <v>Un</v>
          </cell>
          <cell r="D85">
            <v>6060</v>
          </cell>
          <cell r="E85" t="str">
            <v>Tekhne</v>
          </cell>
        </row>
        <row r="86">
          <cell r="A86" t="str">
            <v>Mdeo bandeja tipo escalera 30x30</v>
          </cell>
          <cell r="B86" t="str">
            <v>Mdeo inst. Electricas (33)</v>
          </cell>
          <cell r="C86" t="str">
            <v>Ml</v>
          </cell>
          <cell r="D86">
            <v>5665</v>
          </cell>
          <cell r="E86" t="str">
            <v>Tekhne</v>
          </cell>
        </row>
        <row r="87">
          <cell r="A87" t="str">
            <v>Mdeo baño provisional 4m</v>
          </cell>
          <cell r="B87" t="str">
            <v>Mdeo preliminares/limp.terreno (22)</v>
          </cell>
          <cell r="C87" t="str">
            <v>Un</v>
          </cell>
          <cell r="D87">
            <v>110000</v>
          </cell>
          <cell r="E87" t="str">
            <v>Tekhne</v>
          </cell>
        </row>
        <row r="88">
          <cell r="A88" t="str">
            <v>Mdeo barniz sobre muebles</v>
          </cell>
          <cell r="B88" t="str">
            <v>Mdeo pintura (38)</v>
          </cell>
          <cell r="C88" t="str">
            <v>M2</v>
          </cell>
          <cell r="D88">
            <v>9270</v>
          </cell>
          <cell r="E88" t="str">
            <v>Tekhne</v>
          </cell>
        </row>
        <row r="89">
          <cell r="A89" t="str">
            <v>Mdeo base de asfalto 1350</v>
          </cell>
          <cell r="B89" t="str">
            <v>Mdeo obras exteriores (37)</v>
          </cell>
          <cell r="C89" t="str">
            <v>M2</v>
          </cell>
          <cell r="D89">
            <v>4365</v>
          </cell>
          <cell r="E89" t="str">
            <v>Tekhne</v>
          </cell>
        </row>
        <row r="90">
          <cell r="A90" t="str">
            <v>Mdeo base ladrillo muro de</v>
          </cell>
          <cell r="B90" t="str">
            <v>Mdeo obras exteriores (37)</v>
          </cell>
          <cell r="C90" t="str">
            <v>Ml</v>
          </cell>
          <cell r="D90">
            <v>4656</v>
          </cell>
          <cell r="E90" t="str">
            <v>Tekhne</v>
          </cell>
        </row>
        <row r="91">
          <cell r="A91" t="str">
            <v>Mdeo bases</v>
          </cell>
          <cell r="B91" t="str">
            <v>Mdeo cimentacion y estructura (24)</v>
          </cell>
          <cell r="C91" t="str">
            <v>M3</v>
          </cell>
          <cell r="D91">
            <v>4365</v>
          </cell>
          <cell r="E91" t="str">
            <v>Tekhne</v>
          </cell>
        </row>
        <row r="92">
          <cell r="A92" t="str">
            <v>Mdeo bases ventanas</v>
          </cell>
          <cell r="B92" t="str">
            <v>Mdeo mamposteria (25)</v>
          </cell>
          <cell r="C92" t="str">
            <v>Ml</v>
          </cell>
          <cell r="D92">
            <v>7500</v>
          </cell>
          <cell r="E92" t="str">
            <v>Tekhne</v>
          </cell>
        </row>
        <row r="93">
          <cell r="A93" t="str">
            <v>Mdeo bidet (instalacion)</v>
          </cell>
          <cell r="B93" t="str">
            <v>Mdeo inst. Hidraulic/sanit/lat (32)</v>
          </cell>
          <cell r="C93" t="str">
            <v>Un</v>
          </cell>
          <cell r="D93">
            <v>19570</v>
          </cell>
          <cell r="E93" t="str">
            <v>Tekhne</v>
          </cell>
        </row>
        <row r="94">
          <cell r="A94" t="str">
            <v>Mdeo biselado</v>
          </cell>
          <cell r="B94" t="str">
            <v>Mdeo enchapes/accesorios/papel (31)</v>
          </cell>
          <cell r="C94" t="str">
            <v>Ml</v>
          </cell>
          <cell r="D94">
            <v>3500</v>
          </cell>
          <cell r="E94" t="str">
            <v>Tekhne</v>
          </cell>
        </row>
        <row r="95">
          <cell r="A95" t="str">
            <v>Mdeo bloque #4 tab .23</v>
          </cell>
          <cell r="B95" t="str">
            <v>Mdeo mamposteria (25)</v>
          </cell>
          <cell r="C95" t="str">
            <v>M2</v>
          </cell>
          <cell r="D95">
            <v>2800</v>
          </cell>
          <cell r="E95" t="str">
            <v>Tekhne</v>
          </cell>
        </row>
        <row r="96">
          <cell r="A96" t="str">
            <v>Mdeo bloque #5-6 e=20-23</v>
          </cell>
          <cell r="B96" t="str">
            <v>Mdeo mamposteria (25)</v>
          </cell>
          <cell r="C96" t="str">
            <v>M2</v>
          </cell>
          <cell r="D96">
            <v>4000</v>
          </cell>
          <cell r="E96" t="str">
            <v>Tekhne</v>
          </cell>
        </row>
        <row r="97">
          <cell r="A97" t="str">
            <v>Mdeo bloque b= 10cm</v>
          </cell>
          <cell r="B97" t="str">
            <v>Mdeo mamposteria (25)</v>
          </cell>
          <cell r="C97" t="str">
            <v>M2</v>
          </cell>
          <cell r="D97">
            <v>3210</v>
          </cell>
          <cell r="E97" t="str">
            <v>Tekhne</v>
          </cell>
        </row>
        <row r="98">
          <cell r="A98" t="str">
            <v>Mdeo bloque b= 15cm</v>
          </cell>
          <cell r="B98" t="str">
            <v>Mdeo mamposteria (25)</v>
          </cell>
          <cell r="C98" t="str">
            <v>M2</v>
          </cell>
          <cell r="D98">
            <v>4000</v>
          </cell>
          <cell r="E98" t="str">
            <v>Tekhne</v>
          </cell>
        </row>
        <row r="99">
          <cell r="A99" t="str">
            <v>Mdeo bloque concreto 0.10</v>
          </cell>
          <cell r="B99" t="str">
            <v>Mdeo mamposteria (25)</v>
          </cell>
          <cell r="C99" t="str">
            <v>M2</v>
          </cell>
          <cell r="D99">
            <v>5000</v>
          </cell>
          <cell r="E99" t="str">
            <v>Tekhne</v>
          </cell>
        </row>
        <row r="100">
          <cell r="A100" t="str">
            <v>Mdeo bloque concreto 0.20</v>
          </cell>
          <cell r="B100" t="str">
            <v>Mdeo mamposteria (25)</v>
          </cell>
          <cell r="C100" t="str">
            <v>M2</v>
          </cell>
          <cell r="D100">
            <v>5992</v>
          </cell>
          <cell r="E100" t="str">
            <v>Tekhne</v>
          </cell>
        </row>
        <row r="101">
          <cell r="A101" t="str">
            <v>Mdeo bloque machon lavadero</v>
          </cell>
          <cell r="B101" t="str">
            <v>Mdeo mamposteria (25)</v>
          </cell>
          <cell r="C101" t="str">
            <v>Un</v>
          </cell>
          <cell r="D101">
            <v>3600</v>
          </cell>
          <cell r="E101" t="str">
            <v>Tekhne</v>
          </cell>
        </row>
        <row r="102">
          <cell r="A102" t="str">
            <v>Mdeo bloque tabq(.10-.12)</v>
          </cell>
          <cell r="B102" t="str">
            <v>Mdeo mamposteria (25)</v>
          </cell>
          <cell r="C102" t="str">
            <v>M2</v>
          </cell>
          <cell r="D102">
            <v>5000</v>
          </cell>
          <cell r="E102" t="str">
            <v>Tekhne</v>
          </cell>
        </row>
        <row r="103">
          <cell r="A103" t="str">
            <v>Mdeo boceles</v>
          </cell>
          <cell r="B103" t="str">
            <v>Mdeo enchapes/accesorios/papel (31)</v>
          </cell>
          <cell r="C103" t="str">
            <v>Ml</v>
          </cell>
          <cell r="D103">
            <v>3000</v>
          </cell>
          <cell r="E103" t="str">
            <v>Tekhne</v>
          </cell>
        </row>
        <row r="104">
          <cell r="A104" t="str">
            <v>Mdeo bombas agua (conexion)</v>
          </cell>
          <cell r="B104" t="str">
            <v>Mdeo inst. Hidraulic/sanit/lat (32)</v>
          </cell>
          <cell r="C104" t="str">
            <v>Un</v>
          </cell>
          <cell r="D104">
            <v>154500</v>
          </cell>
          <cell r="E104" t="str">
            <v>Tekhne</v>
          </cell>
        </row>
        <row r="105">
          <cell r="A105" t="str">
            <v>Mdeo bovedas</v>
          </cell>
          <cell r="B105" t="str">
            <v>Mdeo mamposteria (25)</v>
          </cell>
          <cell r="C105" t="str">
            <v>M2</v>
          </cell>
          <cell r="D105">
            <v>30000</v>
          </cell>
          <cell r="E105" t="str">
            <v>Tekhne</v>
          </cell>
        </row>
        <row r="106">
          <cell r="A106" t="str">
            <v>Mdeo caballete teja ac</v>
          </cell>
          <cell r="B106" t="str">
            <v>Mdeo cubiertas (27)</v>
          </cell>
          <cell r="C106" t="str">
            <v>Ml</v>
          </cell>
          <cell r="D106">
            <v>6000</v>
          </cell>
          <cell r="E106" t="str">
            <v>Tekhne</v>
          </cell>
        </row>
        <row r="107">
          <cell r="A107" t="str">
            <v>Mdeo caballete teja de barro</v>
          </cell>
          <cell r="B107" t="str">
            <v>Mdeo cubiertas (27)</v>
          </cell>
          <cell r="C107" t="str">
            <v>Ml</v>
          </cell>
          <cell r="D107">
            <v>3500</v>
          </cell>
          <cell r="E107" t="str">
            <v>Tekhne</v>
          </cell>
        </row>
        <row r="108">
          <cell r="A108" t="str">
            <v>Mdeo cableado</v>
          </cell>
          <cell r="B108" t="str">
            <v>Mdeo inst. Electricas (33)</v>
          </cell>
          <cell r="C108" t="str">
            <v>Ml</v>
          </cell>
          <cell r="D108">
            <v>978.5</v>
          </cell>
          <cell r="E108" t="str">
            <v>Tekhne</v>
          </cell>
        </row>
        <row r="109">
          <cell r="A109" t="str">
            <v>Mdeo caja insp.fibrit tr. Liv.</v>
          </cell>
          <cell r="B109" t="str">
            <v>Mdeo redes servicios y desagüe (23)</v>
          </cell>
          <cell r="C109" t="str">
            <v>Un</v>
          </cell>
          <cell r="D109">
            <v>9000</v>
          </cell>
          <cell r="E109" t="str">
            <v>Tekhne</v>
          </cell>
        </row>
        <row r="110">
          <cell r="A110" t="str">
            <v>Mdeo caja insp.fibrit traf.pes</v>
          </cell>
          <cell r="B110" t="str">
            <v>Mdeo redes servicios y desagüe (23)</v>
          </cell>
          <cell r="C110" t="str">
            <v>Un</v>
          </cell>
          <cell r="D110">
            <v>13500</v>
          </cell>
          <cell r="E110" t="str">
            <v>Tekhne</v>
          </cell>
        </row>
        <row r="111">
          <cell r="A111" t="str">
            <v>Mdeo caja inspeccion 0.40-0.50</v>
          </cell>
          <cell r="B111" t="str">
            <v>Mdeo redes servicios y desagüe (23)</v>
          </cell>
          <cell r="C111" t="str">
            <v>Un</v>
          </cell>
          <cell r="D111">
            <v>35000</v>
          </cell>
          <cell r="E111" t="str">
            <v>Tekhne</v>
          </cell>
        </row>
        <row r="112">
          <cell r="A112" t="str">
            <v>Mdeo caja inspeccion 0.60-0.60</v>
          </cell>
          <cell r="B112" t="str">
            <v>Mdeo redes servicios y desagüe (23)</v>
          </cell>
          <cell r="C112" t="str">
            <v>Un</v>
          </cell>
          <cell r="D112">
            <v>48000</v>
          </cell>
          <cell r="E112" t="str">
            <v>Tekhne</v>
          </cell>
        </row>
        <row r="113">
          <cell r="A113" t="str">
            <v>Mdeo caja inspeccion 0.60-0.80</v>
          </cell>
          <cell r="B113" t="str">
            <v>Mdeo redes servicios y desagüe (23)</v>
          </cell>
          <cell r="C113" t="str">
            <v>Un</v>
          </cell>
          <cell r="D113">
            <v>50000</v>
          </cell>
          <cell r="E113" t="str">
            <v>Tekhne</v>
          </cell>
        </row>
        <row r="114">
          <cell r="A114" t="str">
            <v>Mdeo caja inspeccion 0.80-100</v>
          </cell>
          <cell r="B114" t="str">
            <v>Mdeo redes servicios y desagüe (23)</v>
          </cell>
          <cell r="C114" t="str">
            <v>Un</v>
          </cell>
          <cell r="D114">
            <v>55000</v>
          </cell>
          <cell r="E114" t="str">
            <v>Tekhne</v>
          </cell>
        </row>
        <row r="115">
          <cell r="A115" t="str">
            <v>Mdeo caja medidor gas</v>
          </cell>
          <cell r="B115" t="str">
            <v>Mdeo inst. De gas (45)</v>
          </cell>
          <cell r="C115" t="str">
            <v>Un</v>
          </cell>
          <cell r="D115">
            <v>22220</v>
          </cell>
          <cell r="E115" t="str">
            <v>Tekhne</v>
          </cell>
        </row>
        <row r="116">
          <cell r="A116" t="str">
            <v>Mdeo caja medidor gas 140x45</v>
          </cell>
          <cell r="B116" t="str">
            <v>Mdeo inst. De gas (45)</v>
          </cell>
          <cell r="C116" t="str">
            <v>Un</v>
          </cell>
          <cell r="D116">
            <v>37370</v>
          </cell>
          <cell r="E116" t="str">
            <v>Tekhne</v>
          </cell>
        </row>
        <row r="117">
          <cell r="A117" t="str">
            <v>Mdeo caja medidor gas 72x45</v>
          </cell>
          <cell r="B117" t="str">
            <v>Mdeo inst. De gas (45)</v>
          </cell>
          <cell r="C117" t="str">
            <v>Un</v>
          </cell>
          <cell r="D117">
            <v>23999.62</v>
          </cell>
          <cell r="E117" t="str">
            <v>Tekhne</v>
          </cell>
        </row>
        <row r="118">
          <cell r="A118" t="str">
            <v>Mdeo cajilla medidores</v>
          </cell>
          <cell r="B118" t="str">
            <v>Mdeo redes servicios y desagüe (23)</v>
          </cell>
          <cell r="C118" t="str">
            <v>Un</v>
          </cell>
          <cell r="D118">
            <v>6000</v>
          </cell>
          <cell r="E118" t="str">
            <v>Tekhne</v>
          </cell>
        </row>
        <row r="119">
          <cell r="A119" t="str">
            <v>Mdeo cajilla medidores (inst.)</v>
          </cell>
          <cell r="B119" t="str">
            <v>Mdeo inst. Hidraulic/sanit/lat (32)</v>
          </cell>
          <cell r="C119" t="str">
            <v>Un</v>
          </cell>
          <cell r="D119">
            <v>37080</v>
          </cell>
          <cell r="E119" t="str">
            <v>Tekhne</v>
          </cell>
        </row>
        <row r="120">
          <cell r="A120" t="str">
            <v>Mdeo calentador (instalacion)</v>
          </cell>
          <cell r="B120" t="str">
            <v>Mdeo inst. Hidraulic/sanit/lat (32)</v>
          </cell>
          <cell r="C120" t="str">
            <v>Un</v>
          </cell>
          <cell r="D120">
            <v>33990</v>
          </cell>
          <cell r="E120" t="str">
            <v>Tekhne</v>
          </cell>
        </row>
        <row r="121">
          <cell r="A121" t="str">
            <v>Mdeo camaras electricas dobles</v>
          </cell>
          <cell r="B121" t="str">
            <v>Mdeo redes servicios y desagüe (23)</v>
          </cell>
          <cell r="C121" t="str">
            <v>Un</v>
          </cell>
          <cell r="D121">
            <v>100000</v>
          </cell>
          <cell r="E121" t="str">
            <v>Tekhne</v>
          </cell>
        </row>
        <row r="122">
          <cell r="A122" t="str">
            <v>Mdeo campamento</v>
          </cell>
          <cell r="B122" t="str">
            <v>Mdeo preliminares/limp.terreno (22)</v>
          </cell>
          <cell r="C122" t="str">
            <v>M2</v>
          </cell>
          <cell r="D122">
            <v>12000</v>
          </cell>
          <cell r="E122" t="str">
            <v>Tekhne</v>
          </cell>
        </row>
        <row r="123">
          <cell r="A123" t="str">
            <v>Mdeo campamento 40m</v>
          </cell>
          <cell r="B123" t="str">
            <v>Mdeo preliminares/limp.terreno (22)</v>
          </cell>
          <cell r="C123" t="str">
            <v>Un</v>
          </cell>
          <cell r="D123">
            <v>405000</v>
          </cell>
          <cell r="E123" t="str">
            <v>Tekhne</v>
          </cell>
        </row>
        <row r="124">
          <cell r="A124" t="str">
            <v>Mdeo campamento 50m</v>
          </cell>
          <cell r="B124" t="str">
            <v>Mdeo preliminares/limp.terreno (22)</v>
          </cell>
          <cell r="C124" t="str">
            <v>Un</v>
          </cell>
          <cell r="D124">
            <v>510000</v>
          </cell>
          <cell r="E124" t="str">
            <v>Tekhne</v>
          </cell>
        </row>
        <row r="125">
          <cell r="A125" t="str">
            <v>Mdeo canaleta 10x40</v>
          </cell>
          <cell r="B125" t="str">
            <v>Mdeo cableado estructurado (47)</v>
          </cell>
          <cell r="C125" t="str">
            <v>Un</v>
          </cell>
          <cell r="D125">
            <v>5849.92</v>
          </cell>
          <cell r="E125" t="str">
            <v>Tekhne</v>
          </cell>
        </row>
        <row r="126">
          <cell r="A126" t="str">
            <v>Mdeo canaleta acesco</v>
          </cell>
          <cell r="B126" t="str">
            <v>Mdeo cubiertas (27)</v>
          </cell>
          <cell r="C126" t="str">
            <v>M2</v>
          </cell>
          <cell r="D126">
            <v>6000</v>
          </cell>
          <cell r="E126" t="str">
            <v>Tekhne</v>
          </cell>
        </row>
        <row r="127">
          <cell r="A127" t="str">
            <v>Mdeo canaleta no.43 (3-5 m.)</v>
          </cell>
          <cell r="B127" t="str">
            <v>Mdeo cubiertas (27)</v>
          </cell>
          <cell r="C127" t="str">
            <v>M2</v>
          </cell>
          <cell r="D127">
            <v>7000</v>
          </cell>
          <cell r="E127" t="str">
            <v>Tekhne</v>
          </cell>
        </row>
        <row r="128">
          <cell r="A128" t="str">
            <v>Mdeo canaleta no.43 (5.5-6 m.)</v>
          </cell>
          <cell r="B128" t="str">
            <v>Mdeo cubiertas (27)</v>
          </cell>
          <cell r="C128" t="str">
            <v>M2</v>
          </cell>
          <cell r="D128">
            <v>7000</v>
          </cell>
          <cell r="E128" t="str">
            <v>Tekhne</v>
          </cell>
        </row>
        <row r="129">
          <cell r="A129" t="str">
            <v>Mdeo canaleta no.90 3.75-5.25m</v>
          </cell>
          <cell r="B129" t="str">
            <v>Mdeo cubiertas (27)</v>
          </cell>
          <cell r="C129" t="str">
            <v>M2</v>
          </cell>
          <cell r="D129">
            <v>7000</v>
          </cell>
          <cell r="E129" t="str">
            <v>Tekhne</v>
          </cell>
        </row>
        <row r="130">
          <cell r="A130" t="str">
            <v>Mdeo canaleta no.90 6-9 m.</v>
          </cell>
          <cell r="B130" t="str">
            <v>Mdeo cubiertas (27)</v>
          </cell>
          <cell r="C130" t="str">
            <v>M2</v>
          </cell>
          <cell r="D130">
            <v>7000</v>
          </cell>
          <cell r="E130" t="str">
            <v>Tekhne</v>
          </cell>
        </row>
        <row r="131">
          <cell r="A131" t="str">
            <v>Mdeo canes en planchon</v>
          </cell>
          <cell r="B131" t="str">
            <v>Mdeo cielorasos (28)</v>
          </cell>
          <cell r="C131" t="str">
            <v>Ml</v>
          </cell>
          <cell r="D131">
            <v>6695</v>
          </cell>
          <cell r="E131" t="str">
            <v>Tekhne</v>
          </cell>
        </row>
        <row r="132">
          <cell r="A132" t="str">
            <v>Mdeo cañuela</v>
          </cell>
          <cell r="B132" t="str">
            <v>Mdeo obras exteriores (37)</v>
          </cell>
          <cell r="C132" t="str">
            <v>Ml</v>
          </cell>
          <cell r="D132">
            <v>6000</v>
          </cell>
          <cell r="E132" t="str">
            <v>Tekhne</v>
          </cell>
        </row>
        <row r="133">
          <cell r="A133" t="str">
            <v>Mdeo carburo sobre paðete</v>
          </cell>
          <cell r="B133" t="str">
            <v>Mdeo pintura (38)</v>
          </cell>
          <cell r="C133" t="str">
            <v>M2</v>
          </cell>
          <cell r="D133">
            <v>1442</v>
          </cell>
          <cell r="E133" t="str">
            <v>Tekhne</v>
          </cell>
        </row>
        <row r="134">
          <cell r="A134" t="str">
            <v>Mdeo carpinteria metalica</v>
          </cell>
          <cell r="B134" t="str">
            <v>Mdeo carpinterias (34)</v>
          </cell>
          <cell r="C134" t="str">
            <v>M2</v>
          </cell>
          <cell r="D134">
            <v>10000</v>
          </cell>
          <cell r="E134" t="str">
            <v>Tekhne</v>
          </cell>
        </row>
        <row r="135">
          <cell r="A135" t="str">
            <v>Mdeo caseton</v>
          </cell>
          <cell r="B135" t="str">
            <v>Mdeo cimentacion y estructura (24)</v>
          </cell>
          <cell r="C135" t="str">
            <v>M2</v>
          </cell>
          <cell r="D135">
            <v>5000</v>
          </cell>
          <cell r="E135" t="str">
            <v>Tekhne</v>
          </cell>
        </row>
        <row r="136">
          <cell r="A136" t="str">
            <v>Mdeo cerca en lamina</v>
          </cell>
          <cell r="B136" t="str">
            <v>Mdeo preliminares/limp.terreno (22)</v>
          </cell>
          <cell r="C136" t="str">
            <v>Ml</v>
          </cell>
          <cell r="D136">
            <v>13500</v>
          </cell>
          <cell r="E136" t="str">
            <v>Tekhne</v>
          </cell>
        </row>
        <row r="137">
          <cell r="A137" t="str">
            <v>Mdeo cerca en madera</v>
          </cell>
          <cell r="B137" t="str">
            <v>Mdeo preliminares/limp.terreno (22)</v>
          </cell>
          <cell r="C137" t="str">
            <v>M2</v>
          </cell>
          <cell r="D137">
            <v>2800</v>
          </cell>
          <cell r="E137" t="str">
            <v>Tekhne</v>
          </cell>
        </row>
        <row r="138">
          <cell r="A138" t="str">
            <v>Mdeo cerca lamina/base</v>
          </cell>
          <cell r="B138" t="str">
            <v>Mdeo preliminares/limp.terreno (22)</v>
          </cell>
          <cell r="C138" t="str">
            <v>Ml</v>
          </cell>
          <cell r="D138">
            <v>11000</v>
          </cell>
          <cell r="E138" t="str">
            <v>Tekhne</v>
          </cell>
        </row>
        <row r="139">
          <cell r="A139" t="str">
            <v>Mdeo cerramiento en lona verde</v>
          </cell>
          <cell r="B139" t="str">
            <v>Mdeo preliminares/limp.terreno (22)</v>
          </cell>
          <cell r="C139" t="str">
            <v>Ml</v>
          </cell>
          <cell r="D139">
            <v>10000</v>
          </cell>
          <cell r="E139" t="str">
            <v>Tekhne</v>
          </cell>
        </row>
        <row r="140">
          <cell r="A140" t="str">
            <v>Mdeo cerramiento en triplex</v>
          </cell>
          <cell r="B140" t="str">
            <v>Mdeo preliminares/limp.terreno (22)</v>
          </cell>
          <cell r="C140" t="str">
            <v>M2</v>
          </cell>
          <cell r="D140">
            <v>3200</v>
          </cell>
          <cell r="E140" t="str">
            <v>Tekhne</v>
          </cell>
        </row>
        <row r="141">
          <cell r="A141" t="str">
            <v>Mdeo chazos madera</v>
          </cell>
          <cell r="B141" t="str">
            <v>Mdeo mamposteria (25)</v>
          </cell>
          <cell r="C141" t="str">
            <v>Un</v>
          </cell>
          <cell r="D141">
            <v>850</v>
          </cell>
          <cell r="E141" t="str">
            <v>Tekhne</v>
          </cell>
        </row>
        <row r="142">
          <cell r="A142" t="str">
            <v>Mdeo chimeneas</v>
          </cell>
          <cell r="B142" t="str">
            <v>Mdeo mamposteria (25)</v>
          </cell>
          <cell r="C142" t="str">
            <v>Un</v>
          </cell>
          <cell r="D142">
            <v>155060.32</v>
          </cell>
          <cell r="E142" t="str">
            <v>Tekhne</v>
          </cell>
        </row>
        <row r="143">
          <cell r="A143" t="str">
            <v>Mdeo ciclopeo</v>
          </cell>
          <cell r="B143" t="str">
            <v>Mdeo cimentacion y estructura (24)</v>
          </cell>
          <cell r="C143" t="str">
            <v>M3</v>
          </cell>
          <cell r="D143">
            <v>35000</v>
          </cell>
          <cell r="E143" t="str">
            <v>Tekhne</v>
          </cell>
        </row>
        <row r="144">
          <cell r="A144" t="str">
            <v>Mdeo ciclopeo muro cierre.</v>
          </cell>
          <cell r="B144" t="str">
            <v>Mdeo obras exteriores (37)</v>
          </cell>
          <cell r="C144" t="str">
            <v>M3</v>
          </cell>
          <cell r="D144">
            <v>25220</v>
          </cell>
          <cell r="E144" t="str">
            <v>Tekhne</v>
          </cell>
        </row>
        <row r="145">
          <cell r="A145" t="str">
            <v>Mdeo cieloraso perf.y sin perf</v>
          </cell>
          <cell r="B145" t="str">
            <v>Mdeo cielorasos (28)</v>
          </cell>
          <cell r="C145" t="str">
            <v>M2</v>
          </cell>
          <cell r="D145">
            <v>3090</v>
          </cell>
          <cell r="E145" t="str">
            <v>Tekhne</v>
          </cell>
        </row>
        <row r="146">
          <cell r="A146" t="str">
            <v>Mdeo closet</v>
          </cell>
          <cell r="B146" t="str">
            <v>Mdeo carpinterias (34)</v>
          </cell>
          <cell r="C146" t="str">
            <v>Un</v>
          </cell>
          <cell r="D146">
            <v>206000</v>
          </cell>
          <cell r="E146" t="str">
            <v>Tekhne</v>
          </cell>
        </row>
        <row r="147">
          <cell r="A147" t="str">
            <v>Mdeo closet (hechura e inst.)</v>
          </cell>
          <cell r="B147" t="str">
            <v>Mdeo carpinterias (34)</v>
          </cell>
          <cell r="C147" t="str">
            <v>M2</v>
          </cell>
          <cell r="D147">
            <v>87550</v>
          </cell>
          <cell r="E147" t="str">
            <v>Tekhne</v>
          </cell>
        </row>
        <row r="148">
          <cell r="A148" t="str">
            <v>Mdeo coloc. Bisagra vaiven</v>
          </cell>
          <cell r="B148" t="str">
            <v>Mdeo vidrios y cerraduras (35)</v>
          </cell>
          <cell r="C148" t="str">
            <v>Un</v>
          </cell>
          <cell r="D148">
            <v>3686</v>
          </cell>
          <cell r="E148" t="str">
            <v>Tekhne</v>
          </cell>
        </row>
        <row r="149">
          <cell r="A149" t="str">
            <v>Mdeo coloc. Brazo retenedo</v>
          </cell>
          <cell r="B149" t="str">
            <v>Mdeo vidrios y cerraduras (35)</v>
          </cell>
          <cell r="C149" t="str">
            <v>Un</v>
          </cell>
          <cell r="D149">
            <v>11155</v>
          </cell>
          <cell r="E149" t="str">
            <v>Tekhne</v>
          </cell>
        </row>
        <row r="150">
          <cell r="A150" t="str">
            <v>Mdeo coloc. Marco puerta</v>
          </cell>
          <cell r="B150" t="str">
            <v>Mdeo carpinterias (34)</v>
          </cell>
          <cell r="C150" t="str">
            <v>Un</v>
          </cell>
          <cell r="D150">
            <v>8240</v>
          </cell>
          <cell r="E150" t="str">
            <v>Tekhne</v>
          </cell>
        </row>
        <row r="151">
          <cell r="A151" t="str">
            <v>Mdeo coloc. Pta entrada</v>
          </cell>
          <cell r="B151" t="str">
            <v>Mdeo carpinterias (34)</v>
          </cell>
          <cell r="C151" t="str">
            <v>Un</v>
          </cell>
          <cell r="D151">
            <v>10000</v>
          </cell>
          <cell r="E151" t="str">
            <v>Tekhne</v>
          </cell>
        </row>
        <row r="152">
          <cell r="A152" t="str">
            <v>Mdeo coloc. Teja plastica</v>
          </cell>
          <cell r="B152" t="str">
            <v>Mdeo cubiertas (27)</v>
          </cell>
          <cell r="C152" t="str">
            <v>M2</v>
          </cell>
          <cell r="D152">
            <v>2800</v>
          </cell>
          <cell r="E152" t="str">
            <v>Tekhne</v>
          </cell>
        </row>
        <row r="153">
          <cell r="A153" t="str">
            <v>Mdeo coloc. Ventana</v>
          </cell>
          <cell r="B153" t="str">
            <v>Mdeo carpinterias (34)</v>
          </cell>
          <cell r="C153" t="str">
            <v>Un</v>
          </cell>
          <cell r="D153">
            <v>10000</v>
          </cell>
          <cell r="E153" t="str">
            <v>Tekhne</v>
          </cell>
        </row>
        <row r="154">
          <cell r="A154" t="str">
            <v>Mdeo coloc. Ventana lamina</v>
          </cell>
          <cell r="B154" t="str">
            <v>Mdeo carpinterias (34)</v>
          </cell>
          <cell r="C154" t="str">
            <v>Un</v>
          </cell>
          <cell r="D154">
            <v>10000</v>
          </cell>
          <cell r="E154" t="str">
            <v>Tekhne</v>
          </cell>
        </row>
        <row r="155">
          <cell r="A155" t="str">
            <v>Mdeo coloc.strip general</v>
          </cell>
          <cell r="B155" t="str">
            <v>Mdeo inst. Electricas (33)</v>
          </cell>
          <cell r="C155" t="str">
            <v>Un</v>
          </cell>
          <cell r="D155">
            <v>50000</v>
          </cell>
          <cell r="E155" t="str">
            <v>Tekhne</v>
          </cell>
        </row>
        <row r="156">
          <cell r="A156" t="str">
            <v>Mdeo coloc.tablero 12 circuit.</v>
          </cell>
          <cell r="B156" t="str">
            <v>Mdeo inst. Electricas (33)</v>
          </cell>
          <cell r="C156" t="str">
            <v>Un</v>
          </cell>
          <cell r="D156">
            <v>30900</v>
          </cell>
          <cell r="E156" t="str">
            <v>Tekhne</v>
          </cell>
        </row>
        <row r="157">
          <cell r="A157" t="str">
            <v>Mdeo coloc.tablero 18 circuit.</v>
          </cell>
          <cell r="B157" t="str">
            <v>Mdeo inst. Electricas (33)</v>
          </cell>
          <cell r="C157" t="str">
            <v>Un</v>
          </cell>
          <cell r="D157">
            <v>30900</v>
          </cell>
          <cell r="E157" t="str">
            <v>Tekhne</v>
          </cell>
        </row>
        <row r="158">
          <cell r="A158" t="str">
            <v>Mdeo coloc.tolete saliente fac</v>
          </cell>
          <cell r="B158" t="str">
            <v>Mdeo mamposteria (25)</v>
          </cell>
          <cell r="C158" t="str">
            <v>Ml</v>
          </cell>
          <cell r="D158">
            <v>5330.2</v>
          </cell>
          <cell r="E158" t="str">
            <v>Tekhne</v>
          </cell>
        </row>
        <row r="159">
          <cell r="A159" t="str">
            <v>Mdeo columnas</v>
          </cell>
          <cell r="B159" t="str">
            <v>Mdeo cimentacion y estructura (24)</v>
          </cell>
          <cell r="C159" t="str">
            <v>M3</v>
          </cell>
          <cell r="D159">
            <v>83995</v>
          </cell>
          <cell r="E159" t="str">
            <v>Tekhne</v>
          </cell>
        </row>
        <row r="160">
          <cell r="A160" t="str">
            <v>Mdeo concreto</v>
          </cell>
          <cell r="B160" t="str">
            <v>Mdeo mamposteria (25)</v>
          </cell>
          <cell r="C160" t="str">
            <v>M3</v>
          </cell>
          <cell r="D160">
            <v>7725</v>
          </cell>
          <cell r="E160" t="str">
            <v>Tekhne</v>
          </cell>
        </row>
        <row r="161">
          <cell r="A161" t="str">
            <v>Mdeo concreto andenes</v>
          </cell>
          <cell r="B161" t="str">
            <v>Mdeo obras exteriores (37)</v>
          </cell>
          <cell r="C161" t="str">
            <v>M2</v>
          </cell>
          <cell r="D161">
            <v>4850</v>
          </cell>
          <cell r="E161" t="str">
            <v>Tekhne</v>
          </cell>
        </row>
        <row r="162">
          <cell r="A162" t="str">
            <v>Mdeo concreto base gradas</v>
          </cell>
          <cell r="B162" t="str">
            <v>Mdeo pisos (acabados y bases) (30)</v>
          </cell>
          <cell r="C162" t="str">
            <v>M2</v>
          </cell>
          <cell r="D162">
            <v>6000</v>
          </cell>
          <cell r="E162" t="str">
            <v>Tekhne</v>
          </cell>
        </row>
        <row r="163">
          <cell r="A163" t="str">
            <v>Mdeo concreto ciclopeo</v>
          </cell>
          <cell r="B163" t="str">
            <v>Mdeo cimentacion y estructura (24)</v>
          </cell>
          <cell r="C163" t="str">
            <v>M3</v>
          </cell>
          <cell r="D163">
            <v>25000</v>
          </cell>
          <cell r="E163" t="str">
            <v>Tekhne</v>
          </cell>
        </row>
        <row r="164">
          <cell r="A164" t="str">
            <v>Mdeo conducto gas</v>
          </cell>
          <cell r="B164" t="str">
            <v>Mdeo inst. De gas (45)</v>
          </cell>
          <cell r="C164" t="str">
            <v>Un</v>
          </cell>
          <cell r="D164">
            <v>10807</v>
          </cell>
          <cell r="E164" t="str">
            <v>Tekhne</v>
          </cell>
        </row>
        <row r="165">
          <cell r="A165" t="str">
            <v>Mdeo conex. Manguera</v>
          </cell>
          <cell r="B165" t="str">
            <v>Mdeo inst. De gas (45)</v>
          </cell>
          <cell r="C165" t="str">
            <v>Un</v>
          </cell>
          <cell r="D165">
            <v>3030</v>
          </cell>
          <cell r="E165" t="str">
            <v>Tekhne</v>
          </cell>
        </row>
        <row r="166">
          <cell r="A166" t="str">
            <v>Mdeo construccion</v>
          </cell>
          <cell r="B166" t="str">
            <v>Mdeo redes servicios y desagüe (23)</v>
          </cell>
          <cell r="C166" t="str">
            <v>Un</v>
          </cell>
          <cell r="D166">
            <v>120000</v>
          </cell>
          <cell r="E166" t="str">
            <v>Tekhne</v>
          </cell>
        </row>
        <row r="167">
          <cell r="A167" t="str">
            <v>Mdeo cornisa c-2</v>
          </cell>
          <cell r="B167" t="str">
            <v>Mdeo cielorasos (28)</v>
          </cell>
          <cell r="C167" t="str">
            <v>Ml</v>
          </cell>
          <cell r="D167">
            <v>2884</v>
          </cell>
          <cell r="E167" t="str">
            <v>Tekhne</v>
          </cell>
        </row>
        <row r="168">
          <cell r="A168" t="str">
            <v>Mdeo cremalleras en fachada</v>
          </cell>
          <cell r="B168" t="str">
            <v>Mdeo mamposteria (25)</v>
          </cell>
          <cell r="C168" t="str">
            <v>Ml</v>
          </cell>
          <cell r="D168">
            <v>15000</v>
          </cell>
          <cell r="E168" t="str">
            <v>Tekhne</v>
          </cell>
        </row>
        <row r="169">
          <cell r="A169" t="str">
            <v>Mdeo cuarto de control</v>
          </cell>
          <cell r="B169" t="str">
            <v>Mdeo inst. Electricas (33)</v>
          </cell>
          <cell r="C169" t="str">
            <v>Un</v>
          </cell>
          <cell r="D169">
            <v>55238.9</v>
          </cell>
          <cell r="E169" t="str">
            <v>Tekhne</v>
          </cell>
        </row>
        <row r="170">
          <cell r="A170" t="str">
            <v>Mdeo dekorflex</v>
          </cell>
          <cell r="B170" t="str">
            <v>Mdeo cielorasos (28)</v>
          </cell>
          <cell r="C170" t="str">
            <v>M2</v>
          </cell>
          <cell r="D170">
            <v>9064</v>
          </cell>
          <cell r="E170" t="str">
            <v>Tekhne</v>
          </cell>
        </row>
        <row r="171">
          <cell r="A171" t="str">
            <v>Mdeo demol andenes</v>
          </cell>
          <cell r="B171" t="str">
            <v>Mdeo obras exteriores (37)</v>
          </cell>
          <cell r="C171" t="str">
            <v>M2</v>
          </cell>
          <cell r="D171">
            <v>1650</v>
          </cell>
          <cell r="E171" t="str">
            <v>Tekhne</v>
          </cell>
        </row>
        <row r="172">
          <cell r="A172" t="str">
            <v>Mdeo demol cielo raso falso</v>
          </cell>
          <cell r="B172" t="str">
            <v>Mdeo preliminares/limp.terreno (22)</v>
          </cell>
          <cell r="C172" t="str">
            <v>M2</v>
          </cell>
          <cell r="D172">
            <v>4000</v>
          </cell>
          <cell r="E172" t="str">
            <v>Tekhne</v>
          </cell>
        </row>
        <row r="173">
          <cell r="A173" t="str">
            <v>Mdeo demol cubierta a.c.</v>
          </cell>
          <cell r="B173" t="str">
            <v>Mdeo preliminares/limp.terreno (22)</v>
          </cell>
          <cell r="C173" t="str">
            <v>M2</v>
          </cell>
          <cell r="D173">
            <v>2500</v>
          </cell>
          <cell r="E173" t="str">
            <v>Tekhne</v>
          </cell>
        </row>
        <row r="174">
          <cell r="A174" t="str">
            <v>Mdeo demol dintel en bloque</v>
          </cell>
          <cell r="B174" t="str">
            <v>Mdeo preliminares/limp.terreno (22)</v>
          </cell>
          <cell r="C174" t="str">
            <v>Ml</v>
          </cell>
          <cell r="D174">
            <v>2300</v>
          </cell>
          <cell r="E174" t="str">
            <v>Tekhne</v>
          </cell>
        </row>
        <row r="175">
          <cell r="A175" t="str">
            <v>Mdeo demol dintel en concreto</v>
          </cell>
          <cell r="B175" t="str">
            <v>Mdeo preliminares/limp.terreno (22)</v>
          </cell>
          <cell r="C175" t="str">
            <v>Ml</v>
          </cell>
          <cell r="D175">
            <v>3013</v>
          </cell>
          <cell r="E175" t="str">
            <v>Tekhne</v>
          </cell>
        </row>
        <row r="176">
          <cell r="A176" t="str">
            <v>Mdeo demol enchape de muro</v>
          </cell>
          <cell r="B176" t="str">
            <v>Mdeo preliminares/limp.terreno (22)</v>
          </cell>
          <cell r="C176" t="str">
            <v>M2</v>
          </cell>
          <cell r="D176">
            <v>3500</v>
          </cell>
          <cell r="E176" t="str">
            <v>Tekhne</v>
          </cell>
        </row>
        <row r="177">
          <cell r="A177" t="str">
            <v>Mdeo demol enchape de piso</v>
          </cell>
          <cell r="B177" t="str">
            <v>Mdeo preliminares/limp.terreno (22)</v>
          </cell>
          <cell r="C177" t="str">
            <v>M2</v>
          </cell>
          <cell r="D177">
            <v>3500</v>
          </cell>
          <cell r="E177" t="str">
            <v>Tekhne</v>
          </cell>
        </row>
        <row r="178">
          <cell r="A178" t="str">
            <v>Mdeo demol enchape de techo</v>
          </cell>
          <cell r="B178" t="str">
            <v>Mdeo preliminares/limp.terreno (22)</v>
          </cell>
          <cell r="C178" t="str">
            <v>M2</v>
          </cell>
          <cell r="D178">
            <v>3000</v>
          </cell>
          <cell r="E178" t="str">
            <v>Tekhne</v>
          </cell>
        </row>
        <row r="179">
          <cell r="A179" t="str">
            <v>Mdeo demol escalera concreto</v>
          </cell>
          <cell r="B179" t="str">
            <v>Mdeo preliminares/limp.terreno (22)</v>
          </cell>
          <cell r="C179" t="str">
            <v>M2</v>
          </cell>
          <cell r="D179">
            <v>11000</v>
          </cell>
          <cell r="E179" t="str">
            <v>Tekhne</v>
          </cell>
        </row>
        <row r="180">
          <cell r="A180" t="str">
            <v>Mdeo demol muros 0.15</v>
          </cell>
          <cell r="B180" t="str">
            <v>Mdeo preliminares/limp.terreno (22)</v>
          </cell>
          <cell r="C180" t="str">
            <v>M2</v>
          </cell>
          <cell r="D180">
            <v>2700</v>
          </cell>
          <cell r="E180" t="str">
            <v>Tekhne</v>
          </cell>
        </row>
        <row r="181">
          <cell r="A181" t="str">
            <v>Mdeo demol muros 0.25</v>
          </cell>
          <cell r="B181" t="str">
            <v>Mdeo preliminares/limp.terreno (22)</v>
          </cell>
          <cell r="C181" t="str">
            <v>M2</v>
          </cell>
          <cell r="D181">
            <v>3000</v>
          </cell>
          <cell r="E181" t="str">
            <v>Tekhne</v>
          </cell>
        </row>
        <row r="182">
          <cell r="A182" t="str">
            <v>Mdeo demol muros de concreto</v>
          </cell>
          <cell r="B182" t="str">
            <v>Mdeo preliminares/limp.terreno (22)</v>
          </cell>
          <cell r="C182" t="str">
            <v>M3</v>
          </cell>
          <cell r="D182">
            <v>30000</v>
          </cell>
          <cell r="E182" t="str">
            <v>Tekhne</v>
          </cell>
        </row>
        <row r="183">
          <cell r="A183" t="str">
            <v>Mdeo demol pavimento asfaltico</v>
          </cell>
          <cell r="B183" t="str">
            <v>Mdeo preliminares/limp.terreno (22)</v>
          </cell>
          <cell r="C183" t="str">
            <v>M3</v>
          </cell>
          <cell r="D183">
            <v>12000</v>
          </cell>
          <cell r="E183" t="str">
            <v>Tekhne</v>
          </cell>
        </row>
        <row r="184">
          <cell r="A184" t="str">
            <v>Mdeo demol placa aligerada .25</v>
          </cell>
          <cell r="B184" t="str">
            <v>Mdeo preliminares/limp.terreno (22)</v>
          </cell>
          <cell r="C184" t="str">
            <v>M2</v>
          </cell>
          <cell r="D184">
            <v>7000</v>
          </cell>
          <cell r="E184" t="str">
            <v>Tekhne</v>
          </cell>
        </row>
        <row r="185">
          <cell r="A185" t="str">
            <v>Mdeo demol placa aligerada .45</v>
          </cell>
          <cell r="B185" t="str">
            <v>Mdeo preliminares/limp.terreno (22)</v>
          </cell>
          <cell r="C185" t="str">
            <v>M2</v>
          </cell>
          <cell r="D185">
            <v>11000</v>
          </cell>
          <cell r="E185" t="str">
            <v>Tekhne</v>
          </cell>
        </row>
        <row r="186">
          <cell r="A186" t="str">
            <v>Mdeo demol placa maciza 0.15</v>
          </cell>
          <cell r="B186" t="str">
            <v>Mdeo preliminares/limp.terreno (22)</v>
          </cell>
          <cell r="C186" t="str">
            <v>M2</v>
          </cell>
          <cell r="D186">
            <v>7500</v>
          </cell>
          <cell r="E186" t="str">
            <v>Tekhne</v>
          </cell>
        </row>
        <row r="187">
          <cell r="A187" t="str">
            <v>Mdeo demol placa maciza 0.30</v>
          </cell>
          <cell r="B187" t="str">
            <v>Mdeo preliminares/limp.terreno (22)</v>
          </cell>
          <cell r="C187" t="str">
            <v>M2</v>
          </cell>
          <cell r="D187">
            <v>10000</v>
          </cell>
          <cell r="E187" t="str">
            <v>Tekhne</v>
          </cell>
        </row>
        <row r="188">
          <cell r="A188" t="str">
            <v>Mdeo demol placa piso</v>
          </cell>
          <cell r="B188" t="str">
            <v>Mdeo preliminares/limp.terreno (22)</v>
          </cell>
          <cell r="C188" t="str">
            <v>M2</v>
          </cell>
          <cell r="D188">
            <v>7000</v>
          </cell>
          <cell r="E188" t="str">
            <v>Tekhne</v>
          </cell>
        </row>
        <row r="189">
          <cell r="A189" t="str">
            <v>Mdeo demol vigas 20x20</v>
          </cell>
          <cell r="B189" t="str">
            <v>Mdeo preliminares/limp.terreno (22)</v>
          </cell>
          <cell r="C189" t="str">
            <v>Ml</v>
          </cell>
          <cell r="D189">
            <v>2800</v>
          </cell>
          <cell r="E189" t="str">
            <v>Tekhne</v>
          </cell>
        </row>
        <row r="190">
          <cell r="A190" t="str">
            <v>Mdeo demol vigas y columnas</v>
          </cell>
          <cell r="B190" t="str">
            <v>Mdeo preliminares/limp.terreno (22)</v>
          </cell>
          <cell r="C190" t="str">
            <v>M3</v>
          </cell>
          <cell r="D190">
            <v>20000</v>
          </cell>
          <cell r="E190" t="str">
            <v>Tekhne</v>
          </cell>
        </row>
        <row r="191">
          <cell r="A191" t="str">
            <v>Mdeo demol.cimientos enterrado</v>
          </cell>
          <cell r="B191" t="str">
            <v>Mdeo cimentacion y estructura (24)</v>
          </cell>
          <cell r="C191" t="str">
            <v>M3</v>
          </cell>
          <cell r="D191">
            <v>46652</v>
          </cell>
          <cell r="E191" t="str">
            <v>Tekhne</v>
          </cell>
        </row>
        <row r="192">
          <cell r="A192" t="str">
            <v>Mdeo demolicion cabezas pilote</v>
          </cell>
          <cell r="B192" t="str">
            <v>Mdeo cimentacion y estructura (24)</v>
          </cell>
          <cell r="C192" t="str">
            <v>M3</v>
          </cell>
          <cell r="D192">
            <v>85000</v>
          </cell>
          <cell r="E192" t="str">
            <v>Tekhne</v>
          </cell>
        </row>
        <row r="193">
          <cell r="A193" t="str">
            <v>Mdeo derivacion 90</v>
          </cell>
          <cell r="B193" t="str">
            <v>Mdeo inst. Electricas (33)</v>
          </cell>
          <cell r="C193" t="str">
            <v>Un</v>
          </cell>
          <cell r="D193">
            <v>3296</v>
          </cell>
          <cell r="E193" t="str">
            <v>Tekhne</v>
          </cell>
        </row>
        <row r="194">
          <cell r="A194" t="str">
            <v>Mdeo descapote</v>
          </cell>
          <cell r="B194" t="str">
            <v>Mdeo preliminares/limp.terreno (22)</v>
          </cell>
          <cell r="C194" t="str">
            <v>M2</v>
          </cell>
          <cell r="D194">
            <v>4500</v>
          </cell>
          <cell r="E194" t="str">
            <v>Tekhne</v>
          </cell>
        </row>
        <row r="195">
          <cell r="A195" t="str">
            <v>Mdeo desmonte alfombra</v>
          </cell>
          <cell r="B195" t="str">
            <v>Mdeo preliminares/limp.terreno (22)</v>
          </cell>
          <cell r="C195" t="str">
            <v>M2</v>
          </cell>
          <cell r="D195">
            <v>1200</v>
          </cell>
          <cell r="E195" t="str">
            <v>Tekhne</v>
          </cell>
        </row>
        <row r="196">
          <cell r="A196" t="str">
            <v>Mdeo desmonte aparatos</v>
          </cell>
          <cell r="B196" t="str">
            <v>Mdeo preliminares/limp.terreno (22)</v>
          </cell>
          <cell r="C196" t="str">
            <v>Un</v>
          </cell>
          <cell r="D196">
            <v>8500</v>
          </cell>
          <cell r="E196" t="str">
            <v>Tekhne</v>
          </cell>
        </row>
        <row r="197">
          <cell r="A197" t="str">
            <v>Mdeo desmonte marco puerta</v>
          </cell>
          <cell r="B197" t="str">
            <v>Mdeo preliminares/limp.terreno (22)</v>
          </cell>
          <cell r="C197" t="str">
            <v>Un</v>
          </cell>
          <cell r="D197">
            <v>5200</v>
          </cell>
          <cell r="E197" t="str">
            <v>Tekhne</v>
          </cell>
        </row>
        <row r="198">
          <cell r="A198" t="str">
            <v>Mdeo desmonte ventanas</v>
          </cell>
          <cell r="B198" t="str">
            <v>Mdeo preliminares/limp.terreno (22)</v>
          </cell>
          <cell r="C198" t="str">
            <v>M2</v>
          </cell>
          <cell r="D198">
            <v>1800</v>
          </cell>
          <cell r="E198" t="str">
            <v>Tekhne</v>
          </cell>
        </row>
        <row r="199">
          <cell r="A199" t="str">
            <v>Mdeo difusores (hech/inst)</v>
          </cell>
          <cell r="B199" t="str">
            <v>Mdeo carpinterias (34)</v>
          </cell>
          <cell r="C199" t="str">
            <v>Un</v>
          </cell>
          <cell r="D199">
            <v>22660</v>
          </cell>
          <cell r="E199" t="str">
            <v>Tekhne</v>
          </cell>
        </row>
        <row r="200">
          <cell r="A200" t="str">
            <v>Mdeo dintel</v>
          </cell>
          <cell r="B200" t="str">
            <v>Mdeo mamposteria (25)</v>
          </cell>
          <cell r="C200" t="str">
            <v>Ml</v>
          </cell>
          <cell r="D200">
            <v>4280</v>
          </cell>
          <cell r="E200" t="str">
            <v>Tekhne</v>
          </cell>
        </row>
        <row r="201">
          <cell r="A201" t="str">
            <v>Mdeo dintel colocacion</v>
          </cell>
          <cell r="B201" t="str">
            <v>Mdeo mamposteria (25)</v>
          </cell>
          <cell r="C201" t="str">
            <v>Ml</v>
          </cell>
          <cell r="D201">
            <v>7200</v>
          </cell>
          <cell r="E201" t="str">
            <v>Tekhne</v>
          </cell>
        </row>
        <row r="202">
          <cell r="A202" t="str">
            <v>Mdeo domos cupul cumbr.</v>
          </cell>
          <cell r="B202" t="str">
            <v>Mdeo cubiertas (27)</v>
          </cell>
          <cell r="C202" t="str">
            <v>Un</v>
          </cell>
          <cell r="D202">
            <v>9600</v>
          </cell>
          <cell r="E202" t="str">
            <v>Tekhne</v>
          </cell>
        </row>
        <row r="203">
          <cell r="A203" t="str">
            <v>Mdeo domos cupul cumbr.pequeða</v>
          </cell>
          <cell r="B203" t="str">
            <v>Mdeo cubiertas (27)</v>
          </cell>
          <cell r="C203" t="str">
            <v>Un</v>
          </cell>
          <cell r="D203">
            <v>9000</v>
          </cell>
          <cell r="E203" t="str">
            <v>Tekhne</v>
          </cell>
        </row>
        <row r="204">
          <cell r="A204" t="str">
            <v>Mdeo ducha (instalacion)</v>
          </cell>
          <cell r="B204" t="str">
            <v>Mdeo inst. Hidraulic/sanit/lat (32)</v>
          </cell>
          <cell r="C204" t="str">
            <v>Un</v>
          </cell>
          <cell r="D204">
            <v>19570</v>
          </cell>
          <cell r="E204" t="str">
            <v>Tekhne</v>
          </cell>
        </row>
        <row r="205">
          <cell r="A205" t="str">
            <v>Mdeo ducto cable antena tv</v>
          </cell>
          <cell r="B205" t="str">
            <v>Mdeo inst. Electricas (33)</v>
          </cell>
          <cell r="C205" t="str">
            <v>Un</v>
          </cell>
          <cell r="D205">
            <v>19570</v>
          </cell>
          <cell r="E205" t="str">
            <v>Tekhne</v>
          </cell>
        </row>
        <row r="206">
          <cell r="A206" t="str">
            <v>Mdeo ducto vertical 30x8</v>
          </cell>
          <cell r="B206" t="str">
            <v>Mdeo cableado estructurado (47)</v>
          </cell>
          <cell r="C206" t="str">
            <v>Un</v>
          </cell>
          <cell r="D206">
            <v>6060</v>
          </cell>
          <cell r="E206" t="str">
            <v>Tekhne</v>
          </cell>
        </row>
        <row r="207">
          <cell r="A207" t="str">
            <v>Mdeo ductos electricos</v>
          </cell>
          <cell r="B207" t="str">
            <v>Mdeo redes servicios y desagüe (23)</v>
          </cell>
          <cell r="C207" t="str">
            <v>Un</v>
          </cell>
          <cell r="D207">
            <v>28000</v>
          </cell>
          <cell r="E207" t="str">
            <v>Tekhne</v>
          </cell>
        </row>
        <row r="208">
          <cell r="A208" t="str">
            <v>Mdeo duracustic 5/8" fglas</v>
          </cell>
          <cell r="B208" t="str">
            <v>Mdeo cielorasos (28)</v>
          </cell>
          <cell r="C208" t="str">
            <v>M2</v>
          </cell>
          <cell r="D208">
            <v>3090</v>
          </cell>
          <cell r="E208" t="str">
            <v>Tekhne</v>
          </cell>
        </row>
        <row r="209">
          <cell r="A209" t="str">
            <v>Mdeo elevador gas</v>
          </cell>
          <cell r="B209" t="str">
            <v>Mdeo inst. De gas (45)</v>
          </cell>
          <cell r="C209" t="str">
            <v>Un</v>
          </cell>
          <cell r="D209">
            <v>454.5</v>
          </cell>
          <cell r="E209" t="str">
            <v>Tekhne</v>
          </cell>
        </row>
        <row r="210">
          <cell r="A210" t="str">
            <v>Mdeo empalme 200 pares</v>
          </cell>
          <cell r="B210" t="str">
            <v>Mdeo inst. Electricas (33)</v>
          </cell>
          <cell r="C210" t="str">
            <v>Un</v>
          </cell>
          <cell r="D210">
            <v>18334</v>
          </cell>
          <cell r="E210" t="str">
            <v>Tekhne</v>
          </cell>
        </row>
        <row r="211">
          <cell r="A211" t="str">
            <v>Mdeo empalme aereo 20 pares</v>
          </cell>
          <cell r="B211" t="str">
            <v>Mdeo inst. Electricas (33)</v>
          </cell>
          <cell r="C211" t="str">
            <v>Un</v>
          </cell>
          <cell r="D211">
            <v>17510</v>
          </cell>
          <cell r="E211" t="str">
            <v>Tekhne</v>
          </cell>
        </row>
        <row r="212">
          <cell r="A212" t="str">
            <v>Mdeo empotrado centro de</v>
          </cell>
          <cell r="B212" t="str">
            <v>Mdeo inst. De gas (45)</v>
          </cell>
          <cell r="C212" t="str">
            <v>Un</v>
          </cell>
          <cell r="D212">
            <v>15000</v>
          </cell>
          <cell r="E212" t="str">
            <v>Tekhne</v>
          </cell>
        </row>
        <row r="213">
          <cell r="A213" t="str">
            <v>Mdeo enchape</v>
          </cell>
          <cell r="B213" t="str">
            <v>Mdeo enchapes/accesorios/papel (31)</v>
          </cell>
          <cell r="C213" t="str">
            <v>M2</v>
          </cell>
          <cell r="D213">
            <v>5000</v>
          </cell>
          <cell r="E213" t="str">
            <v>Tekhne</v>
          </cell>
        </row>
        <row r="214">
          <cell r="A214" t="str">
            <v>Mdeo enchape 20x20 salpicadero</v>
          </cell>
          <cell r="B214" t="str">
            <v>Mdeo enchapes/accesorios/papel (31)</v>
          </cell>
          <cell r="C214" t="str">
            <v>M2</v>
          </cell>
          <cell r="D214">
            <v>5200</v>
          </cell>
          <cell r="E214" t="str">
            <v>Tekhne</v>
          </cell>
        </row>
        <row r="215">
          <cell r="A215" t="str">
            <v>Mdeo enchape borde placa</v>
          </cell>
          <cell r="B215" t="str">
            <v>Mdeo mamposteria (25)</v>
          </cell>
          <cell r="C215" t="str">
            <v>Ml</v>
          </cell>
          <cell r="D215">
            <v>5029</v>
          </cell>
          <cell r="E215" t="str">
            <v>Tekhne</v>
          </cell>
        </row>
        <row r="216">
          <cell r="A216" t="str">
            <v>Mdeo enchape cieloraso</v>
          </cell>
          <cell r="B216" t="str">
            <v>Mdeo enchapes/accesorios/papel (31)</v>
          </cell>
          <cell r="C216" t="str">
            <v>M2</v>
          </cell>
          <cell r="D216">
            <v>6800</v>
          </cell>
          <cell r="E216" t="str">
            <v>Tekhne</v>
          </cell>
        </row>
        <row r="217">
          <cell r="A217" t="str">
            <v>Mdeo enchape en piedra</v>
          </cell>
          <cell r="B217" t="str">
            <v>Mdeo enchapes/accesorios/papel (31)</v>
          </cell>
          <cell r="C217" t="str">
            <v>M2</v>
          </cell>
          <cell r="D217">
            <v>6900</v>
          </cell>
          <cell r="E217" t="str">
            <v>Tekhne</v>
          </cell>
        </row>
        <row r="218">
          <cell r="A218" t="str">
            <v>Mdeo enchape fachada tableta</v>
          </cell>
          <cell r="B218" t="str">
            <v>Mdeo mamposteria (25)</v>
          </cell>
          <cell r="C218" t="str">
            <v>M2</v>
          </cell>
          <cell r="D218">
            <v>3424</v>
          </cell>
          <cell r="E218" t="str">
            <v>Tekhne</v>
          </cell>
        </row>
        <row r="219">
          <cell r="A219" t="str">
            <v>Mdeo enchape lavadero .60 x.60</v>
          </cell>
          <cell r="B219" t="str">
            <v>Mdeo enchapes/accesorios/papel (31)</v>
          </cell>
          <cell r="C219" t="str">
            <v>Un</v>
          </cell>
          <cell r="D219">
            <v>130000</v>
          </cell>
          <cell r="E219" t="str">
            <v>Tekhne</v>
          </cell>
        </row>
        <row r="220">
          <cell r="A220" t="str">
            <v>Mdeo enchape muro madera</v>
          </cell>
          <cell r="B220" t="str">
            <v>Mdeo carpinterias (34)</v>
          </cell>
          <cell r="C220" t="str">
            <v>M2</v>
          </cell>
          <cell r="D220">
            <v>4532</v>
          </cell>
          <cell r="E220" t="str">
            <v>Tekhne</v>
          </cell>
        </row>
        <row r="221">
          <cell r="A221" t="str">
            <v>Mdeo enchape prensado</v>
          </cell>
          <cell r="B221" t="str">
            <v>Mdeo mamposteria (25)</v>
          </cell>
          <cell r="C221" t="str">
            <v>Ml</v>
          </cell>
          <cell r="D221">
            <v>4000</v>
          </cell>
          <cell r="E221" t="str">
            <v>Tekhne</v>
          </cell>
        </row>
        <row r="222">
          <cell r="A222" t="str">
            <v>Mdeo entramado canaleta</v>
          </cell>
          <cell r="B222" t="str">
            <v>Mdeo cubiertas (27)</v>
          </cell>
          <cell r="C222" t="str">
            <v>M2</v>
          </cell>
          <cell r="D222">
            <v>4000</v>
          </cell>
          <cell r="E222" t="str">
            <v>Tekhne</v>
          </cell>
        </row>
        <row r="223">
          <cell r="A223" t="str">
            <v>Mdeo entramado madera</v>
          </cell>
          <cell r="B223" t="str">
            <v>Mdeo pañetes (26)</v>
          </cell>
          <cell r="C223" t="str">
            <v>M2</v>
          </cell>
          <cell r="D223">
            <v>3929.45</v>
          </cell>
          <cell r="E223" t="str">
            <v>Tekhne</v>
          </cell>
        </row>
        <row r="224">
          <cell r="A224" t="str">
            <v>Mdeo entramado metalico</v>
          </cell>
          <cell r="B224" t="str">
            <v>Mdeo cubiertas (27)</v>
          </cell>
          <cell r="C224" t="str">
            <v>M2</v>
          </cell>
          <cell r="D224">
            <v>16000</v>
          </cell>
          <cell r="E224" t="str">
            <v>Tekhne</v>
          </cell>
        </row>
        <row r="225">
          <cell r="A225" t="str">
            <v>Mdeo entramado teja barro</v>
          </cell>
          <cell r="B225" t="str">
            <v>Mdeo cubiertas (27)</v>
          </cell>
          <cell r="C225" t="str">
            <v>M2</v>
          </cell>
          <cell r="D225">
            <v>14000</v>
          </cell>
          <cell r="E225" t="str">
            <v>Tekhne</v>
          </cell>
        </row>
        <row r="226">
          <cell r="A226" t="str">
            <v>Mdeo entramado teja ondulada</v>
          </cell>
          <cell r="B226" t="str">
            <v>Mdeo cubiertas (27)</v>
          </cell>
          <cell r="C226" t="str">
            <v>M2</v>
          </cell>
          <cell r="D226">
            <v>8500</v>
          </cell>
          <cell r="E226" t="str">
            <v>Tekhne</v>
          </cell>
        </row>
        <row r="227">
          <cell r="A227" t="str">
            <v>Mdeo entramado teja plastica</v>
          </cell>
          <cell r="B227" t="str">
            <v>Mdeo cubiertas (27)</v>
          </cell>
          <cell r="C227" t="str">
            <v>M2</v>
          </cell>
          <cell r="D227">
            <v>12000</v>
          </cell>
          <cell r="E227" t="str">
            <v>Tekhne</v>
          </cell>
        </row>
        <row r="228">
          <cell r="A228" t="str">
            <v>Mdeo entramado y paðete alero</v>
          </cell>
          <cell r="B228" t="str">
            <v>Mdeo cubiertas (27)</v>
          </cell>
          <cell r="C228" t="str">
            <v>M2</v>
          </cell>
          <cell r="D228">
            <v>8000</v>
          </cell>
          <cell r="E228" t="str">
            <v>Tekhne</v>
          </cell>
        </row>
        <row r="229">
          <cell r="A229" t="str">
            <v>Mdeo entrep.acero rfz 37000</v>
          </cell>
          <cell r="B229" t="str">
            <v>Mdeo cimentacion y estructura (24)</v>
          </cell>
          <cell r="C229" t="str">
            <v>Tn</v>
          </cell>
          <cell r="D229">
            <v>400000</v>
          </cell>
          <cell r="E229" t="str">
            <v>Tekhne</v>
          </cell>
        </row>
        <row r="230">
          <cell r="A230" t="str">
            <v>Mdeo entrep.acero rfz 60000</v>
          </cell>
          <cell r="B230" t="str">
            <v>Mdeo cimentacion y estructura (24)</v>
          </cell>
          <cell r="C230" t="str">
            <v>Tn</v>
          </cell>
          <cell r="D230">
            <v>400000</v>
          </cell>
          <cell r="E230" t="str">
            <v>Tekhne</v>
          </cell>
        </row>
        <row r="231">
          <cell r="A231" t="str">
            <v>Mdeo entrep.caseton y vigas</v>
          </cell>
          <cell r="B231" t="str">
            <v>Mdeo cimentacion y estructura (24)</v>
          </cell>
          <cell r="C231" t="str">
            <v>M2</v>
          </cell>
          <cell r="D231">
            <v>11000</v>
          </cell>
          <cell r="E231" t="str">
            <v>Tekhne</v>
          </cell>
        </row>
        <row r="232">
          <cell r="A232" t="str">
            <v>Mdeo entrep.h=.35 caseton50x30</v>
          </cell>
          <cell r="B232" t="str">
            <v>Mdeo cimentacion y estructura (24)</v>
          </cell>
          <cell r="C232" t="str">
            <v>M2</v>
          </cell>
          <cell r="D232">
            <v>8000</v>
          </cell>
          <cell r="E232" t="str">
            <v>Tekhne</v>
          </cell>
        </row>
        <row r="233">
          <cell r="A233" t="str">
            <v>Mdeo entrepiso aligerado en</v>
          </cell>
          <cell r="B233" t="str">
            <v>Mdeo cimentacion y estructura (24)</v>
          </cell>
          <cell r="C233" t="str">
            <v>M2</v>
          </cell>
          <cell r="D233">
            <v>11000</v>
          </cell>
          <cell r="E233" t="str">
            <v>Tekhne</v>
          </cell>
        </row>
        <row r="234">
          <cell r="A234" t="str">
            <v>Mdeo entrepiso bloque escoria</v>
          </cell>
          <cell r="B234" t="str">
            <v>Mdeo cimentacion y estructura (24)</v>
          </cell>
          <cell r="C234" t="str">
            <v>M2</v>
          </cell>
          <cell r="D234">
            <v>12000</v>
          </cell>
          <cell r="E234" t="str">
            <v>Tekhne</v>
          </cell>
        </row>
        <row r="235">
          <cell r="A235" t="str">
            <v>Mdeo entrepiso fibrit</v>
          </cell>
          <cell r="B235" t="str">
            <v>Mdeo cimentacion y estructura (24)</v>
          </cell>
          <cell r="C235" t="str">
            <v>M2</v>
          </cell>
          <cell r="D235">
            <v>9300</v>
          </cell>
          <cell r="E235" t="str">
            <v>Tekhne</v>
          </cell>
        </row>
        <row r="236">
          <cell r="A236" t="str">
            <v>Mdeo entrepiso placa lista</v>
          </cell>
          <cell r="B236" t="str">
            <v>Mdeo cimentacion y estructura (24)</v>
          </cell>
          <cell r="C236" t="str">
            <v>M2</v>
          </cell>
          <cell r="D236">
            <v>8000</v>
          </cell>
          <cell r="E236" t="str">
            <v>Tekhne</v>
          </cell>
        </row>
        <row r="237">
          <cell r="A237" t="str">
            <v>Mdeo entrepiso u sin c/raso.</v>
          </cell>
          <cell r="B237" t="str">
            <v>Mdeo cimentacion y estructura (24)</v>
          </cell>
          <cell r="C237" t="str">
            <v>M2</v>
          </cell>
          <cell r="D237">
            <v>8000</v>
          </cell>
          <cell r="E237" t="str">
            <v>Tekhne</v>
          </cell>
        </row>
        <row r="238">
          <cell r="A238" t="str">
            <v>Mdeo entrepiso uu cielo raso</v>
          </cell>
          <cell r="B238" t="str">
            <v>Mdeo cimentacion y estructura (24)</v>
          </cell>
          <cell r="C238" t="str">
            <v>M2</v>
          </cell>
          <cell r="D238">
            <v>9000</v>
          </cell>
          <cell r="E238" t="str">
            <v>Tekhne</v>
          </cell>
        </row>
        <row r="239">
          <cell r="A239" t="str">
            <v>Mdeo entrepiso vigueta y bloqu</v>
          </cell>
          <cell r="B239" t="str">
            <v>Mdeo cimentacion y estructura (24)</v>
          </cell>
          <cell r="C239" t="str">
            <v>M2</v>
          </cell>
          <cell r="D239">
            <v>18000</v>
          </cell>
          <cell r="E239" t="str">
            <v>Tekhne</v>
          </cell>
        </row>
        <row r="240">
          <cell r="A240" t="str">
            <v>Mdeo entrepiso vigueta y placa</v>
          </cell>
          <cell r="B240" t="str">
            <v>Mdeo cimentacion y estructura (24)</v>
          </cell>
          <cell r="C240" t="str">
            <v>M2</v>
          </cell>
          <cell r="D240">
            <v>12000</v>
          </cell>
          <cell r="E240" t="str">
            <v>Tekhne</v>
          </cell>
        </row>
        <row r="241">
          <cell r="A241" t="str">
            <v>Mdeo equipo hidroneumatico</v>
          </cell>
          <cell r="B241" t="str">
            <v>Mdeo inst. Hidraulic/sanit/lat (32)</v>
          </cell>
          <cell r="C241" t="str">
            <v>Un</v>
          </cell>
          <cell r="D241">
            <v>351405.1</v>
          </cell>
          <cell r="E241" t="str">
            <v>Tekhne</v>
          </cell>
        </row>
        <row r="242">
          <cell r="A242" t="str">
            <v>Mdeo escalera paso prefabric</v>
          </cell>
          <cell r="B242" t="str">
            <v>Mdeo cimentacion y estructura (24)</v>
          </cell>
          <cell r="C242" t="str">
            <v>Un</v>
          </cell>
          <cell r="D242">
            <v>3000</v>
          </cell>
          <cell r="E242" t="str">
            <v>Tekhne</v>
          </cell>
        </row>
        <row r="243">
          <cell r="A243" t="str">
            <v>Mdeo escalera pasos prefabric</v>
          </cell>
          <cell r="B243" t="str">
            <v>Mdeo cimentacion y estructura (24)</v>
          </cell>
          <cell r="C243" t="str">
            <v>Un</v>
          </cell>
          <cell r="D243">
            <v>15000</v>
          </cell>
          <cell r="E243" t="str">
            <v>Tekhne</v>
          </cell>
        </row>
        <row r="244">
          <cell r="A244" t="str">
            <v>Mdeo escaleras</v>
          </cell>
          <cell r="B244" t="str">
            <v>Mdeo cimentacion y estructura (24)</v>
          </cell>
          <cell r="C244" t="str">
            <v>M3</v>
          </cell>
          <cell r="D244">
            <v>120000</v>
          </cell>
          <cell r="E244" t="str">
            <v>Tekhne</v>
          </cell>
        </row>
        <row r="245">
          <cell r="A245" t="str">
            <v>Mdeo esmaltada y quemada de</v>
          </cell>
          <cell r="B245" t="str">
            <v>Mdeo pisos (acabados y bases) (30)</v>
          </cell>
          <cell r="C245" t="str">
            <v>Ml</v>
          </cell>
          <cell r="D245">
            <v>5560</v>
          </cell>
          <cell r="E245" t="str">
            <v>Tekhne</v>
          </cell>
        </row>
        <row r="246">
          <cell r="A246" t="str">
            <v>Mdeo esmalte marco lamina mad.</v>
          </cell>
          <cell r="B246" t="str">
            <v>Mdeo pintura (38)</v>
          </cell>
          <cell r="C246" t="str">
            <v>M2</v>
          </cell>
          <cell r="D246">
            <v>700</v>
          </cell>
          <cell r="E246" t="str">
            <v>Tekhne</v>
          </cell>
        </row>
        <row r="247">
          <cell r="A247" t="str">
            <v>Mdeo esmalte sobre lamin(llen)</v>
          </cell>
          <cell r="B247" t="str">
            <v>Mdeo pintura (38)</v>
          </cell>
          <cell r="C247" t="str">
            <v>M2</v>
          </cell>
          <cell r="D247">
            <v>4000</v>
          </cell>
          <cell r="E247" t="str">
            <v>Tekhne</v>
          </cell>
        </row>
        <row r="248">
          <cell r="A248" t="str">
            <v>Mdeo esmalte sobre lamina(lin)</v>
          </cell>
          <cell r="B248" t="str">
            <v>Mdeo pintura (38)</v>
          </cell>
          <cell r="C248" t="str">
            <v>Ml</v>
          </cell>
          <cell r="D248">
            <v>2500</v>
          </cell>
          <cell r="E248" t="str">
            <v>Tekhne</v>
          </cell>
        </row>
        <row r="249">
          <cell r="A249" t="str">
            <v>Mdeo esmalte sobre madera lin.</v>
          </cell>
          <cell r="B249" t="str">
            <v>Mdeo pintura (38)</v>
          </cell>
          <cell r="C249" t="str">
            <v>Ml</v>
          </cell>
          <cell r="D249">
            <v>561.35</v>
          </cell>
          <cell r="E249" t="str">
            <v>Tekhne</v>
          </cell>
        </row>
        <row r="250">
          <cell r="A250" t="str">
            <v>Mdeo esmalte sobre madera llen</v>
          </cell>
          <cell r="B250" t="str">
            <v>Mdeo pintura (38)</v>
          </cell>
          <cell r="C250" t="str">
            <v>M2</v>
          </cell>
          <cell r="D250">
            <v>3368.1</v>
          </cell>
          <cell r="E250" t="str">
            <v>Tekhne</v>
          </cell>
        </row>
        <row r="251">
          <cell r="A251" t="str">
            <v>Mdeo esmalte sobre muebles</v>
          </cell>
          <cell r="B251" t="str">
            <v>Mdeo pintura (38)</v>
          </cell>
          <cell r="C251" t="str">
            <v>M2</v>
          </cell>
          <cell r="D251">
            <v>9767.49</v>
          </cell>
          <cell r="E251" t="str">
            <v>Tekhne</v>
          </cell>
        </row>
        <row r="252">
          <cell r="A252" t="str">
            <v>Mdeo estriado rampas</v>
          </cell>
          <cell r="B252" t="str">
            <v>Mdeo obras exteriores (37)</v>
          </cell>
          <cell r="C252" t="str">
            <v>M2</v>
          </cell>
          <cell r="D252">
            <v>5920.88</v>
          </cell>
          <cell r="E252" t="str">
            <v>Tekhne</v>
          </cell>
        </row>
        <row r="253">
          <cell r="A253" t="str">
            <v>Mdeo estribo medio tension</v>
          </cell>
          <cell r="B253" t="str">
            <v>Mdeo inst. Electricas (33)</v>
          </cell>
          <cell r="C253" t="str">
            <v>Un</v>
          </cell>
          <cell r="D253">
            <v>1751</v>
          </cell>
          <cell r="E253" t="str">
            <v>Tekhne</v>
          </cell>
        </row>
        <row r="254">
          <cell r="A254" t="str">
            <v>Mdeo estructura metalica</v>
          </cell>
          <cell r="B254" t="str">
            <v>Mdeo cimentacion y estructura (24)</v>
          </cell>
          <cell r="C254" t="str">
            <v>Un</v>
          </cell>
          <cell r="D254">
            <v>8000</v>
          </cell>
          <cell r="E254" t="str">
            <v>Tekhne</v>
          </cell>
        </row>
        <row r="255">
          <cell r="A255" t="str">
            <v>Mdeo estructura metalica l.</v>
          </cell>
          <cell r="B255" t="str">
            <v>Mdeo cimentacion y estructura (24)</v>
          </cell>
          <cell r="C255" t="str">
            <v>Un</v>
          </cell>
          <cell r="D255">
            <v>5500</v>
          </cell>
          <cell r="E255" t="str">
            <v>Tekhne</v>
          </cell>
        </row>
        <row r="256">
          <cell r="A256" t="str">
            <v>Mdeo estructura tang.</v>
          </cell>
          <cell r="B256" t="str">
            <v>Mdeo inst. Electricas (33)</v>
          </cell>
          <cell r="C256" t="str">
            <v>Un</v>
          </cell>
          <cell r="D256">
            <v>6213.99</v>
          </cell>
          <cell r="E256" t="str">
            <v>Tekhne</v>
          </cell>
        </row>
        <row r="257">
          <cell r="A257" t="str">
            <v>Mdeo estuco</v>
          </cell>
          <cell r="B257" t="str">
            <v>Mdeo pintura (38)</v>
          </cell>
          <cell r="C257" t="str">
            <v>M2</v>
          </cell>
          <cell r="D257">
            <v>1800</v>
          </cell>
          <cell r="E257" t="str">
            <v>Tekhne</v>
          </cell>
        </row>
        <row r="258">
          <cell r="A258" t="str">
            <v>Mdeo estuco/vinilo tres manos</v>
          </cell>
          <cell r="B258" t="str">
            <v>Mdeo pintura (38)</v>
          </cell>
          <cell r="C258" t="str">
            <v>M2</v>
          </cell>
          <cell r="D258">
            <v>3500</v>
          </cell>
          <cell r="E258" t="str">
            <v>Tekhne</v>
          </cell>
        </row>
        <row r="259">
          <cell r="A259" t="str">
            <v>Mdeo excav. Caja de inspeccion</v>
          </cell>
          <cell r="B259" t="str">
            <v>Mdeo redes servicios y desagüe (23)</v>
          </cell>
          <cell r="C259" t="str">
            <v>Un</v>
          </cell>
          <cell r="D259">
            <v>7000</v>
          </cell>
          <cell r="E259" t="str">
            <v>Tekhne</v>
          </cell>
        </row>
        <row r="260">
          <cell r="A260" t="str">
            <v>Mdeo excav. Manual</v>
          </cell>
          <cell r="B260" t="str">
            <v>Mdeo preliminares/limp.terreno (22)</v>
          </cell>
          <cell r="C260" t="str">
            <v>M3</v>
          </cell>
          <cell r="D260">
            <v>8000</v>
          </cell>
          <cell r="E260" t="str">
            <v>Tekhne</v>
          </cell>
        </row>
        <row r="261">
          <cell r="A261" t="str">
            <v>Mdeo excav. Manual taludes</v>
          </cell>
          <cell r="B261" t="str">
            <v>Mdeo preliminares/limp.terreno (22)</v>
          </cell>
          <cell r="C261" t="str">
            <v>M3</v>
          </cell>
          <cell r="D261">
            <v>10089.040000000001</v>
          </cell>
          <cell r="E261" t="str">
            <v>Tekhne</v>
          </cell>
        </row>
        <row r="262">
          <cell r="A262" t="str">
            <v>Mdeo excav. Zanja tier comp 1m</v>
          </cell>
          <cell r="B262" t="str">
            <v>Mdeo preliminares/limp.terreno (22)</v>
          </cell>
          <cell r="C262" t="str">
            <v>M3</v>
          </cell>
          <cell r="D262">
            <v>11990</v>
          </cell>
          <cell r="E262" t="str">
            <v>Tekhne</v>
          </cell>
        </row>
        <row r="263">
          <cell r="A263" t="str">
            <v>Mdeo excav. Zanja tier comp 2m</v>
          </cell>
          <cell r="B263" t="str">
            <v>Mdeo preliminares/limp.terreno (22)</v>
          </cell>
          <cell r="C263" t="str">
            <v>M3</v>
          </cell>
          <cell r="D263">
            <v>11000</v>
          </cell>
          <cell r="E263" t="str">
            <v>Tekhne</v>
          </cell>
        </row>
        <row r="264">
          <cell r="A264" t="str">
            <v>Mdeo excav. Zanja tier floja 1m</v>
          </cell>
          <cell r="B264" t="str">
            <v>Mdeo preliminares/limp.terreno (22)</v>
          </cell>
          <cell r="C264" t="str">
            <v>M3</v>
          </cell>
          <cell r="D264">
            <v>8502</v>
          </cell>
          <cell r="E264" t="str">
            <v>Tekhne</v>
          </cell>
        </row>
        <row r="265">
          <cell r="A265" t="str">
            <v>Mdeo excav. Zanja tier floja 2m</v>
          </cell>
          <cell r="B265" t="str">
            <v>Mdeo preliminares/limp.terreno (22)</v>
          </cell>
          <cell r="C265" t="str">
            <v>M3</v>
          </cell>
          <cell r="D265">
            <v>8502</v>
          </cell>
          <cell r="E265" t="str">
            <v>Tekhne</v>
          </cell>
        </row>
        <row r="266">
          <cell r="A266" t="str">
            <v>Mdeo excavacion muro cierre.</v>
          </cell>
          <cell r="B266" t="str">
            <v>Mdeo obras exteriores (37)</v>
          </cell>
          <cell r="C266" t="str">
            <v>M3</v>
          </cell>
          <cell r="D266">
            <v>12343.98</v>
          </cell>
          <cell r="E266" t="str">
            <v>Tekhne</v>
          </cell>
        </row>
        <row r="267">
          <cell r="A267" t="str">
            <v>Mdeo filos y dilataciones</v>
          </cell>
          <cell r="B267" t="str">
            <v>Mdeo pañetes (26)</v>
          </cell>
          <cell r="C267" t="str">
            <v>Ml</v>
          </cell>
          <cell r="D267">
            <v>1200</v>
          </cell>
          <cell r="E267" t="str">
            <v>Tekhne</v>
          </cell>
        </row>
        <row r="268">
          <cell r="A268" t="str">
            <v>Mdeo flanche laton</v>
          </cell>
          <cell r="B268" t="str">
            <v>Mdeo cubiertas (27)</v>
          </cell>
          <cell r="C268" t="str">
            <v>Ml</v>
          </cell>
          <cell r="D268">
            <v>7000</v>
          </cell>
          <cell r="E268" t="str">
            <v>Tekhne</v>
          </cell>
        </row>
        <row r="269">
          <cell r="A269" t="str">
            <v>Mdeo fundir cuneta concreto</v>
          </cell>
          <cell r="B269" t="str">
            <v>Mdeo obras exteriores (37)</v>
          </cell>
          <cell r="C269" t="str">
            <v>Ml</v>
          </cell>
          <cell r="D269">
            <v>3600</v>
          </cell>
          <cell r="E269" t="str">
            <v>Tekhne</v>
          </cell>
        </row>
        <row r="270">
          <cell r="A270" t="str">
            <v>Mdeo gabinete</v>
          </cell>
          <cell r="B270" t="str">
            <v>Mdeo enchapes/accesorios/papel (31)</v>
          </cell>
          <cell r="C270" t="str">
            <v>Un</v>
          </cell>
          <cell r="D270">
            <v>8000</v>
          </cell>
          <cell r="E270" t="str">
            <v>Tekhne</v>
          </cell>
        </row>
        <row r="271">
          <cell r="A271" t="str">
            <v>Mdeo gabinete rack</v>
          </cell>
          <cell r="B271" t="str">
            <v>Mdeo cableado estructurado (47)</v>
          </cell>
          <cell r="C271" t="str">
            <v>Un</v>
          </cell>
          <cell r="D271">
            <v>54166.3</v>
          </cell>
          <cell r="E271" t="str">
            <v>Tekhne</v>
          </cell>
        </row>
        <row r="272">
          <cell r="A272" t="str">
            <v>Mdeo goteras</v>
          </cell>
          <cell r="B272" t="str">
            <v>Mdeo pañetes (26)</v>
          </cell>
          <cell r="C272" t="str">
            <v>Ml</v>
          </cell>
          <cell r="D272">
            <v>1200</v>
          </cell>
          <cell r="E272" t="str">
            <v>Tekhne</v>
          </cell>
        </row>
        <row r="273">
          <cell r="A273" t="str">
            <v>Mdeo granito con diseños</v>
          </cell>
          <cell r="B273" t="str">
            <v>Mdeo pisos (acabados y bases) (30)</v>
          </cell>
          <cell r="C273" t="str">
            <v>M2</v>
          </cell>
          <cell r="D273">
            <v>17000</v>
          </cell>
          <cell r="E273" t="str">
            <v>Tekhne</v>
          </cell>
        </row>
        <row r="274">
          <cell r="A274" t="str">
            <v>Mdeo granito y marmol</v>
          </cell>
          <cell r="B274" t="str">
            <v>Mdeo pisos (acabados y bases) (30)</v>
          </cell>
          <cell r="C274" t="str">
            <v>M2</v>
          </cell>
          <cell r="D274">
            <v>9800</v>
          </cell>
          <cell r="E274" t="str">
            <v>Tekhne</v>
          </cell>
        </row>
        <row r="275">
          <cell r="A275" t="str">
            <v>Mdeo grapa para operario</v>
          </cell>
          <cell r="B275" t="str">
            <v>Mdeo inst. Electricas (33)</v>
          </cell>
          <cell r="C275" t="str">
            <v>Un</v>
          </cell>
          <cell r="D275">
            <v>1545</v>
          </cell>
          <cell r="E275" t="str">
            <v>Tekhne</v>
          </cell>
        </row>
        <row r="276">
          <cell r="A276" t="str">
            <v>Mdeo gravilla lavada</v>
          </cell>
          <cell r="B276" t="str">
            <v>Mdeo pisos (acabados y bases) (30)</v>
          </cell>
          <cell r="C276" t="str">
            <v>M2</v>
          </cell>
          <cell r="D276">
            <v>9309</v>
          </cell>
          <cell r="E276" t="str">
            <v>Tekhne</v>
          </cell>
        </row>
        <row r="277">
          <cell r="A277" t="str">
            <v>Mdeo griferia lavaplatos(inst)</v>
          </cell>
          <cell r="B277" t="str">
            <v>Mdeo inst. Hidraulic/sanit/lat (32)</v>
          </cell>
          <cell r="C277" t="str">
            <v>Un</v>
          </cell>
          <cell r="D277">
            <v>20433.14</v>
          </cell>
          <cell r="E277" t="str">
            <v>Tekhne</v>
          </cell>
        </row>
        <row r="278">
          <cell r="A278" t="str">
            <v>Mdeo guadua bajo entramado</v>
          </cell>
          <cell r="B278" t="str">
            <v>Mdeo pañetes (26)</v>
          </cell>
          <cell r="C278" t="str">
            <v>M2</v>
          </cell>
          <cell r="D278">
            <v>3800</v>
          </cell>
          <cell r="E278" t="str">
            <v>Tekhne</v>
          </cell>
        </row>
        <row r="279">
          <cell r="A279" t="str">
            <v>Mdeo guardaescoba granito</v>
          </cell>
          <cell r="B279" t="str">
            <v>Mdeo pisos (acabados y bases) (30)</v>
          </cell>
          <cell r="C279" t="str">
            <v>Ml</v>
          </cell>
          <cell r="D279">
            <v>10000</v>
          </cell>
          <cell r="E279" t="str">
            <v>Tekhne</v>
          </cell>
        </row>
        <row r="280">
          <cell r="A280" t="str">
            <v>Mdeo guardaescoba gravilla</v>
          </cell>
          <cell r="B280" t="str">
            <v>Mdeo pisos (acabados y bases) (30)</v>
          </cell>
          <cell r="C280" t="str">
            <v>M2</v>
          </cell>
          <cell r="D280">
            <v>6500</v>
          </cell>
          <cell r="E280" t="str">
            <v>Tekhne</v>
          </cell>
        </row>
        <row r="281">
          <cell r="A281" t="str">
            <v>Mdeo guardaescoba madera</v>
          </cell>
          <cell r="B281" t="str">
            <v>Mdeo pisos (acabados y bases) (30)</v>
          </cell>
          <cell r="C281" t="str">
            <v>Ml</v>
          </cell>
          <cell r="D281">
            <v>1800</v>
          </cell>
          <cell r="E281" t="str">
            <v>Tekhne</v>
          </cell>
        </row>
        <row r="282">
          <cell r="A282" t="str">
            <v>Mdeo guardaescoba tableta</v>
          </cell>
          <cell r="B282" t="str">
            <v>Mdeo pisos (acabados y bases) (30)</v>
          </cell>
          <cell r="C282" t="str">
            <v>Ml</v>
          </cell>
          <cell r="D282">
            <v>2500</v>
          </cell>
          <cell r="E282" t="str">
            <v>Tekhne</v>
          </cell>
        </row>
        <row r="283">
          <cell r="A283" t="str">
            <v>Mdeo herrajes ang. 90</v>
          </cell>
          <cell r="B283" t="str">
            <v>Mdeo inst. Electricas (33)</v>
          </cell>
          <cell r="C283" t="str">
            <v>Un</v>
          </cell>
          <cell r="D283">
            <v>16571.669999999998</v>
          </cell>
          <cell r="E283" t="str">
            <v>Tekhne</v>
          </cell>
        </row>
        <row r="284">
          <cell r="A284" t="str">
            <v>Mdeo hincado de poste 10mtr</v>
          </cell>
          <cell r="B284" t="str">
            <v>Mdeo obras exteriores (37)</v>
          </cell>
          <cell r="C284" t="str">
            <v>Un</v>
          </cell>
          <cell r="D284">
            <v>40000</v>
          </cell>
          <cell r="E284" t="str">
            <v>Tekhne</v>
          </cell>
        </row>
        <row r="285">
          <cell r="A285" t="str">
            <v>Mdeo hincado e instalacion de</v>
          </cell>
          <cell r="B285" t="str">
            <v>Mdeo obras exteriores (37)</v>
          </cell>
          <cell r="C285" t="str">
            <v>Un</v>
          </cell>
          <cell r="D285">
            <v>52000</v>
          </cell>
          <cell r="E285" t="str">
            <v>Tekhne</v>
          </cell>
        </row>
        <row r="286">
          <cell r="A286" t="str">
            <v>Mdeo imper. Jardineria</v>
          </cell>
          <cell r="B286" t="str">
            <v>Mdeo obras exteriores (37)</v>
          </cell>
          <cell r="C286" t="str">
            <v>M2</v>
          </cell>
          <cell r="D286">
            <v>4000</v>
          </cell>
          <cell r="E286" t="str">
            <v>Tekhne</v>
          </cell>
        </row>
        <row r="287">
          <cell r="A287" t="str">
            <v>Mdeo imperm. Edil especial</v>
          </cell>
          <cell r="B287" t="str">
            <v>Mdeo cubiertas (27)</v>
          </cell>
          <cell r="C287" t="str">
            <v>M2</v>
          </cell>
          <cell r="D287">
            <v>8990</v>
          </cell>
          <cell r="E287" t="str">
            <v>Tekhne</v>
          </cell>
        </row>
        <row r="288">
          <cell r="A288" t="str">
            <v>Mdeo imperm. Gran edil</v>
          </cell>
          <cell r="B288" t="str">
            <v>Mdeo cubiertas (27)</v>
          </cell>
          <cell r="C288" t="str">
            <v>M2</v>
          </cell>
          <cell r="D288">
            <v>8990</v>
          </cell>
          <cell r="E288" t="str">
            <v>Tekhne</v>
          </cell>
        </row>
        <row r="289">
          <cell r="A289" t="str">
            <v>Mdeo imperm. Integral mortero</v>
          </cell>
          <cell r="B289" t="str">
            <v>Mdeo pañetes (26)</v>
          </cell>
          <cell r="C289" t="str">
            <v>M2</v>
          </cell>
          <cell r="D289">
            <v>800</v>
          </cell>
          <cell r="E289" t="str">
            <v>Tekhne</v>
          </cell>
        </row>
        <row r="290">
          <cell r="A290" t="str">
            <v>Mdeo imperm. Mortero muros</v>
          </cell>
          <cell r="B290" t="str">
            <v>Mdeo pañetes (26)</v>
          </cell>
          <cell r="C290" t="str">
            <v>M2</v>
          </cell>
          <cell r="D290">
            <v>4500</v>
          </cell>
          <cell r="E290" t="str">
            <v>Tekhne</v>
          </cell>
        </row>
        <row r="291">
          <cell r="A291" t="str">
            <v>Mdeo imperm. Mortero pisos</v>
          </cell>
          <cell r="B291" t="str">
            <v>Mdeo pisos (acabados y bases) (30)</v>
          </cell>
          <cell r="C291" t="str">
            <v>M2</v>
          </cell>
          <cell r="D291">
            <v>3000</v>
          </cell>
          <cell r="E291" t="str">
            <v>Tekhne</v>
          </cell>
        </row>
        <row r="292">
          <cell r="A292" t="str">
            <v>Mdeo imperm. Permaply (3 capas</v>
          </cell>
          <cell r="B292" t="str">
            <v>Mdeo cubiertas (27)</v>
          </cell>
          <cell r="C292" t="str">
            <v>M2</v>
          </cell>
          <cell r="D292">
            <v>5000</v>
          </cell>
          <cell r="E292" t="str">
            <v>Tekhne</v>
          </cell>
        </row>
        <row r="293">
          <cell r="A293" t="str">
            <v>Mdeo imperm.integral concreto</v>
          </cell>
          <cell r="B293" t="str">
            <v>Mdeo cimentacion y estructura (24)</v>
          </cell>
          <cell r="C293" t="str">
            <v>M3</v>
          </cell>
          <cell r="D293">
            <v>1200</v>
          </cell>
          <cell r="E293" t="str">
            <v>Tekhne</v>
          </cell>
        </row>
        <row r="294">
          <cell r="A294" t="str">
            <v>Mdeo incrustaciones</v>
          </cell>
          <cell r="B294" t="str">
            <v>Mdeo enchapes/accesorios/papel (31)</v>
          </cell>
          <cell r="C294" t="str">
            <v>Jg</v>
          </cell>
          <cell r="D294">
            <v>12000</v>
          </cell>
          <cell r="E294" t="str">
            <v>Tekhne</v>
          </cell>
        </row>
        <row r="295">
          <cell r="A295" t="str">
            <v>Mdeo inmunizante cubierta</v>
          </cell>
          <cell r="B295" t="str">
            <v>Mdeo cubiertas (27)</v>
          </cell>
          <cell r="C295" t="str">
            <v>M2</v>
          </cell>
          <cell r="D295">
            <v>2000</v>
          </cell>
          <cell r="E295" t="str">
            <v>Tekhne</v>
          </cell>
        </row>
        <row r="296">
          <cell r="A296" t="str">
            <v>Mdeo inst. Canal</v>
          </cell>
          <cell r="B296" t="str">
            <v>Mdeo inst. Hidraulic/sanit/lat (32)</v>
          </cell>
          <cell r="C296" t="str">
            <v>Ml</v>
          </cell>
          <cell r="D296">
            <v>5665</v>
          </cell>
          <cell r="E296" t="str">
            <v>Tekhne</v>
          </cell>
        </row>
        <row r="297">
          <cell r="A297" t="str">
            <v>Mdeo inst. Cieloraso</v>
          </cell>
          <cell r="B297" t="str">
            <v>Mdeo cielorasos (28)</v>
          </cell>
          <cell r="C297" t="str">
            <v>M2</v>
          </cell>
          <cell r="D297">
            <v>2575</v>
          </cell>
          <cell r="E297" t="str">
            <v>Tekhne</v>
          </cell>
        </row>
        <row r="298">
          <cell r="A298" t="str">
            <v>Mdeo inst. Equipo presion/acces</v>
          </cell>
          <cell r="B298" t="str">
            <v>Mdeo equipos especiales (36)</v>
          </cell>
          <cell r="C298" t="str">
            <v>Un</v>
          </cell>
          <cell r="D298">
            <v>666659.26</v>
          </cell>
          <cell r="E298" t="str">
            <v>Tekhne</v>
          </cell>
        </row>
        <row r="299">
          <cell r="A299" t="str">
            <v>Mdeo inst. Tapa marmol</v>
          </cell>
          <cell r="B299" t="str">
            <v>Mdeo enchapes/accesorios/papel (31)</v>
          </cell>
          <cell r="C299" t="str">
            <v>Ml</v>
          </cell>
          <cell r="D299">
            <v>8000</v>
          </cell>
          <cell r="E299" t="str">
            <v>Tekhne</v>
          </cell>
        </row>
        <row r="300">
          <cell r="A300" t="str">
            <v>Mdeo inst. Ventana aluminio</v>
          </cell>
          <cell r="B300" t="str">
            <v>Mdeo carpinterias (34)</v>
          </cell>
          <cell r="C300" t="str">
            <v>M2</v>
          </cell>
          <cell r="D300">
            <v>10440</v>
          </cell>
          <cell r="E300" t="str">
            <v>Tekhne</v>
          </cell>
        </row>
        <row r="301">
          <cell r="A301" t="str">
            <v>Mdeo instalacion aviso civico</v>
          </cell>
          <cell r="B301" t="str">
            <v>Mdeo obras exteriores (37)</v>
          </cell>
          <cell r="C301" t="str">
            <v>Ml</v>
          </cell>
          <cell r="D301">
            <v>6500</v>
          </cell>
          <cell r="E301" t="str">
            <v>Tekhne</v>
          </cell>
        </row>
        <row r="302">
          <cell r="A302" t="str">
            <v>Mdeo instalacion banca m-50</v>
          </cell>
          <cell r="B302" t="str">
            <v>Mdeo obras exteriores (37)</v>
          </cell>
          <cell r="C302" t="str">
            <v>Ml</v>
          </cell>
          <cell r="D302">
            <v>7300</v>
          </cell>
          <cell r="E302" t="str">
            <v>Tekhne</v>
          </cell>
        </row>
        <row r="303">
          <cell r="A303" t="str">
            <v>Mdeo instalacion bolardo</v>
          </cell>
          <cell r="B303" t="str">
            <v>Mdeo obras exteriores (37)</v>
          </cell>
          <cell r="C303" t="str">
            <v>Ml</v>
          </cell>
          <cell r="D303">
            <v>10000</v>
          </cell>
          <cell r="E303" t="str">
            <v>Tekhne</v>
          </cell>
        </row>
        <row r="304">
          <cell r="A304" t="str">
            <v>Mdeo instalacion bomba eyect 2</v>
          </cell>
          <cell r="B304" t="str">
            <v>Mdeo equipos especiales (36)</v>
          </cell>
          <cell r="C304" t="str">
            <v>Un</v>
          </cell>
          <cell r="D304">
            <v>280675</v>
          </cell>
          <cell r="E304" t="str">
            <v>Tekhne</v>
          </cell>
        </row>
        <row r="305">
          <cell r="A305" t="str">
            <v>Mdeo instalacion cerradura</v>
          </cell>
          <cell r="B305" t="str">
            <v>Mdeo vidrios y cerraduras (35)</v>
          </cell>
          <cell r="C305" t="str">
            <v>Un</v>
          </cell>
          <cell r="D305">
            <v>3500</v>
          </cell>
          <cell r="E305" t="str">
            <v>Tekhne</v>
          </cell>
        </row>
        <row r="306">
          <cell r="A306" t="str">
            <v>Mdeo instalacion codo ½"</v>
          </cell>
          <cell r="B306" t="str">
            <v>Mdeo inst. De gas (45)</v>
          </cell>
          <cell r="C306" t="str">
            <v>Un</v>
          </cell>
          <cell r="D306">
            <v>554.41</v>
          </cell>
          <cell r="E306" t="str">
            <v>Tekhne</v>
          </cell>
        </row>
        <row r="307">
          <cell r="A307" t="str">
            <v>Mdeo instalacion codo galv. ½"</v>
          </cell>
          <cell r="B307" t="str">
            <v>Mdeo inst. De gas (45)</v>
          </cell>
          <cell r="C307" t="str">
            <v>Un</v>
          </cell>
          <cell r="D307">
            <v>1145.8499999999999</v>
          </cell>
          <cell r="E307" t="str">
            <v>Tekhne</v>
          </cell>
        </row>
        <row r="308">
          <cell r="A308" t="str">
            <v>Mdeo instalacion cornisas yeso</v>
          </cell>
          <cell r="B308" t="str">
            <v>Mdeo cielorasos (28)</v>
          </cell>
          <cell r="C308" t="str">
            <v>Ml</v>
          </cell>
          <cell r="D308">
            <v>3817.18</v>
          </cell>
          <cell r="E308" t="str">
            <v>Tekhne</v>
          </cell>
        </row>
        <row r="309">
          <cell r="A309" t="str">
            <v>Mdeo instalacion dekoplac</v>
          </cell>
          <cell r="B309" t="str">
            <v>Mdeo cielorasos (28)</v>
          </cell>
          <cell r="C309" t="str">
            <v>M2</v>
          </cell>
          <cell r="D309">
            <v>15942.34</v>
          </cell>
          <cell r="E309" t="str">
            <v>Tekhne</v>
          </cell>
        </row>
        <row r="310">
          <cell r="A310" t="str">
            <v>Mdeo instalacion dry wall</v>
          </cell>
          <cell r="B310" t="str">
            <v>Mdeo mamposteria (25)</v>
          </cell>
          <cell r="C310" t="str">
            <v>M2</v>
          </cell>
          <cell r="D310">
            <v>10000</v>
          </cell>
          <cell r="E310" t="str">
            <v>Tekhne</v>
          </cell>
        </row>
        <row r="311">
          <cell r="A311" t="str">
            <v>Mdeo instalacion emeflex</v>
          </cell>
          <cell r="B311" t="str">
            <v>Mdeo pisos (acabados y bases) (30)</v>
          </cell>
          <cell r="C311" t="str">
            <v>M2</v>
          </cell>
          <cell r="D311">
            <v>7000</v>
          </cell>
          <cell r="E311" t="str">
            <v>Tekhne</v>
          </cell>
        </row>
        <row r="312">
          <cell r="A312" t="str">
            <v>Mdeo instalacion espejo 4mm</v>
          </cell>
          <cell r="B312" t="str">
            <v>Mdeo vidrios y cerraduras (35)</v>
          </cell>
          <cell r="C312" t="str">
            <v>M2</v>
          </cell>
          <cell r="D312">
            <v>3500</v>
          </cell>
          <cell r="E312" t="str">
            <v>Tekhne</v>
          </cell>
        </row>
        <row r="313">
          <cell r="A313" t="str">
            <v>Mdeo instalacion espejo 6mm</v>
          </cell>
          <cell r="B313" t="str">
            <v>Mdeo vidrios y cerraduras (35)</v>
          </cell>
          <cell r="C313" t="str">
            <v>M2</v>
          </cell>
          <cell r="D313">
            <v>3700</v>
          </cell>
          <cell r="E313" t="str">
            <v>Tekhne</v>
          </cell>
        </row>
        <row r="314">
          <cell r="A314" t="str">
            <v>Mdeo instalacion lamina</v>
          </cell>
          <cell r="B314" t="str">
            <v>Mdeo carpinterias (34)</v>
          </cell>
          <cell r="C314" t="str">
            <v>M2</v>
          </cell>
          <cell r="D314">
            <v>6400</v>
          </cell>
          <cell r="E314" t="str">
            <v>Tekhne</v>
          </cell>
        </row>
        <row r="315">
          <cell r="A315" t="str">
            <v>Mdeo instalacion nicho</v>
          </cell>
          <cell r="B315" t="str">
            <v>Mdeo inst. De gas (45)</v>
          </cell>
          <cell r="C315" t="str">
            <v>Un</v>
          </cell>
          <cell r="D315">
            <v>6500</v>
          </cell>
          <cell r="E315" t="str">
            <v>Tekhne</v>
          </cell>
        </row>
        <row r="316">
          <cell r="A316" t="str">
            <v>Mdeo instalacion porton (mad)</v>
          </cell>
          <cell r="B316" t="str">
            <v>Mdeo carpinterias (34)</v>
          </cell>
          <cell r="C316" t="str">
            <v>Un</v>
          </cell>
          <cell r="D316">
            <v>10500</v>
          </cell>
          <cell r="E316" t="str">
            <v>Tekhne</v>
          </cell>
        </row>
        <row r="317">
          <cell r="A317" t="str">
            <v>Mdeo instalacion puertas</v>
          </cell>
          <cell r="B317" t="str">
            <v>Mdeo carpinterias (34)</v>
          </cell>
          <cell r="C317" t="str">
            <v>Un</v>
          </cell>
          <cell r="D317">
            <v>7800</v>
          </cell>
          <cell r="E317" t="str">
            <v>Tekhne</v>
          </cell>
        </row>
        <row r="318">
          <cell r="A318" t="str">
            <v>Mdeo instalacion punto adicional</v>
          </cell>
          <cell r="B318" t="str">
            <v>Mdeo inst. De gas (45)</v>
          </cell>
          <cell r="C318" t="str">
            <v>Un</v>
          </cell>
          <cell r="D318">
            <v>15500</v>
          </cell>
          <cell r="E318" t="str">
            <v>Tekhne</v>
          </cell>
        </row>
        <row r="319">
          <cell r="A319" t="str">
            <v>Mdeo instalacion punto pal.</v>
          </cell>
          <cell r="B319" t="str">
            <v>Mdeo inst. De gas (45)</v>
          </cell>
          <cell r="C319" t="str">
            <v>Un</v>
          </cell>
          <cell r="D319">
            <v>25000</v>
          </cell>
          <cell r="E319" t="str">
            <v>Tekhne</v>
          </cell>
        </row>
        <row r="320">
          <cell r="A320" t="str">
            <v>Mdeo instalacion rejilla de</v>
          </cell>
          <cell r="B320" t="str">
            <v>Mdeo inst. De gas (45)</v>
          </cell>
          <cell r="C320" t="str">
            <v>Un</v>
          </cell>
          <cell r="D320">
            <v>21250</v>
          </cell>
          <cell r="E320" t="str">
            <v>Tekhne</v>
          </cell>
        </row>
        <row r="321">
          <cell r="A321" t="str">
            <v>Mdeo instalacion topes parq.</v>
          </cell>
          <cell r="B321" t="str">
            <v>Mdeo obras exteriores (37)</v>
          </cell>
          <cell r="C321" t="str">
            <v>Ml</v>
          </cell>
          <cell r="D321">
            <v>3914.12</v>
          </cell>
          <cell r="E321" t="str">
            <v>Tekhne</v>
          </cell>
        </row>
        <row r="322">
          <cell r="A322" t="str">
            <v>Mdeo instalacion vidrio 10mm</v>
          </cell>
          <cell r="B322" t="str">
            <v>Mdeo vidrios y cerraduras (35)</v>
          </cell>
          <cell r="C322" t="str">
            <v>M2</v>
          </cell>
          <cell r="D322">
            <v>8000</v>
          </cell>
          <cell r="E322" t="str">
            <v>Tekhne</v>
          </cell>
        </row>
        <row r="323">
          <cell r="A323" t="str">
            <v>Mdeo instalacion vidrio 3mm</v>
          </cell>
          <cell r="B323" t="str">
            <v>Mdeo vidrios y cerraduras (35)</v>
          </cell>
          <cell r="C323" t="str">
            <v>M2</v>
          </cell>
          <cell r="D323">
            <v>5075.04</v>
          </cell>
          <cell r="E323" t="str">
            <v>Tekhne</v>
          </cell>
        </row>
        <row r="324">
          <cell r="A324" t="str">
            <v>Mdeo instalacion vidrio 4mm</v>
          </cell>
          <cell r="B324" t="str">
            <v>Mdeo vidrios y cerraduras (35)</v>
          </cell>
          <cell r="C324" t="str">
            <v>M2</v>
          </cell>
          <cell r="D324">
            <v>5075.04</v>
          </cell>
          <cell r="E324" t="str">
            <v>Tekhne</v>
          </cell>
        </row>
        <row r="325">
          <cell r="A325" t="str">
            <v>Mdeo instalacion vidrio 5mm</v>
          </cell>
          <cell r="B325" t="str">
            <v>Mdeo vidrios y cerraduras (35)</v>
          </cell>
          <cell r="C325" t="str">
            <v>M2</v>
          </cell>
          <cell r="D325">
            <v>6449.53</v>
          </cell>
          <cell r="E325" t="str">
            <v>Tekhne</v>
          </cell>
        </row>
        <row r="326">
          <cell r="A326" t="str">
            <v>Mdeo instalacion vidrio 6mm</v>
          </cell>
          <cell r="B326" t="str">
            <v>Mdeo vidrios y cerraduras (35)</v>
          </cell>
          <cell r="C326" t="str">
            <v>M2</v>
          </cell>
          <cell r="D326">
            <v>6449.53</v>
          </cell>
          <cell r="E326" t="str">
            <v>Tekhne</v>
          </cell>
        </row>
        <row r="327">
          <cell r="A327" t="str">
            <v>Mdeo junta de asfalto</v>
          </cell>
          <cell r="B327" t="str">
            <v>Mdeo obras exteriores (37)</v>
          </cell>
          <cell r="C327" t="str">
            <v>Ml</v>
          </cell>
          <cell r="D327">
            <v>72.75</v>
          </cell>
          <cell r="E327" t="str">
            <v>Tekhne</v>
          </cell>
        </row>
        <row r="328">
          <cell r="A328" t="str">
            <v>Mdeo laca pisos</v>
          </cell>
          <cell r="B328" t="str">
            <v>Mdeo pintura (38)</v>
          </cell>
          <cell r="C328" t="str">
            <v>M2</v>
          </cell>
          <cell r="D328">
            <v>9767.49</v>
          </cell>
          <cell r="E328" t="str">
            <v>Tekhne</v>
          </cell>
        </row>
        <row r="329">
          <cell r="A329" t="str">
            <v>Mdeo ladrillo estructural</v>
          </cell>
          <cell r="B329" t="str">
            <v>Mdeo mamposteria (25)</v>
          </cell>
          <cell r="C329" t="str">
            <v>M2</v>
          </cell>
          <cell r="D329">
            <v>3500</v>
          </cell>
          <cell r="E329" t="str">
            <v>Tekhne</v>
          </cell>
        </row>
        <row r="330">
          <cell r="A330" t="str">
            <v>Mdeo lamina plana eternit</v>
          </cell>
          <cell r="B330" t="str">
            <v>Mdeo cielorasos (28)</v>
          </cell>
          <cell r="C330" t="str">
            <v>M2</v>
          </cell>
          <cell r="D330">
            <v>4120</v>
          </cell>
          <cell r="E330" t="str">
            <v>Tekhne</v>
          </cell>
        </row>
        <row r="331">
          <cell r="A331" t="str">
            <v>Mdeo lampara</v>
          </cell>
          <cell r="B331" t="str">
            <v>Mdeo inst. Electricas (33)</v>
          </cell>
          <cell r="C331" t="str">
            <v>Un</v>
          </cell>
          <cell r="D331">
            <v>5459</v>
          </cell>
          <cell r="E331" t="str">
            <v>Tekhne</v>
          </cell>
        </row>
        <row r="332">
          <cell r="A332" t="str">
            <v>Mdeo lavadero (conexion)</v>
          </cell>
          <cell r="B332" t="str">
            <v>Mdeo inst. Hidraulic/sanit/lat (32)</v>
          </cell>
          <cell r="C332" t="str">
            <v>Un</v>
          </cell>
          <cell r="D332">
            <v>20433.14</v>
          </cell>
          <cell r="E332" t="str">
            <v>Tekhne</v>
          </cell>
        </row>
        <row r="333">
          <cell r="A333" t="str">
            <v>Mdeo lavamanos (instalacion)</v>
          </cell>
          <cell r="B333" t="str">
            <v>Mdeo inst. Hidraulic/sanit/lat (32)</v>
          </cell>
          <cell r="C333" t="str">
            <v>Un</v>
          </cell>
          <cell r="D333">
            <v>19570</v>
          </cell>
          <cell r="E333" t="str">
            <v>Tekhne</v>
          </cell>
        </row>
        <row r="334">
          <cell r="A334" t="str">
            <v>Mdeo lavando adoquin</v>
          </cell>
          <cell r="B334" t="str">
            <v>Mdeo preliminares/limp.terreno (22)</v>
          </cell>
          <cell r="C334" t="str">
            <v>M2</v>
          </cell>
          <cell r="D334">
            <v>1700</v>
          </cell>
          <cell r="E334" t="str">
            <v>Tekhne</v>
          </cell>
        </row>
        <row r="335">
          <cell r="A335" t="str">
            <v>Mdeo lavaplatos (conexion)</v>
          </cell>
          <cell r="B335" t="str">
            <v>Mdeo inst. Hidraulic/sanit/lat (32)</v>
          </cell>
          <cell r="C335" t="str">
            <v>Un</v>
          </cell>
          <cell r="D335">
            <v>22660</v>
          </cell>
          <cell r="E335" t="str">
            <v>Tekhne</v>
          </cell>
        </row>
        <row r="336">
          <cell r="A336" t="str">
            <v>Mdeo letrina tabla (con hueco)</v>
          </cell>
          <cell r="B336" t="str">
            <v>Mdeo preliminares/limp.terreno (22)</v>
          </cell>
          <cell r="C336" t="str">
            <v>Un</v>
          </cell>
          <cell r="D336">
            <v>43600</v>
          </cell>
          <cell r="E336" t="str">
            <v>Tekhne</v>
          </cell>
        </row>
        <row r="337">
          <cell r="A337" t="str">
            <v>Mdeo limpieza de ladrillo</v>
          </cell>
          <cell r="B337" t="str">
            <v>Mdeo obras exteriores (37)</v>
          </cell>
          <cell r="C337" t="str">
            <v>M2</v>
          </cell>
          <cell r="D337">
            <v>1700</v>
          </cell>
          <cell r="E337" t="str">
            <v>Tekhne</v>
          </cell>
        </row>
        <row r="338">
          <cell r="A338" t="str">
            <v>Mdeo limpieza fachada</v>
          </cell>
          <cell r="B338" t="str">
            <v>Mdeo obras exteriores (37)</v>
          </cell>
          <cell r="C338" t="str">
            <v>M2</v>
          </cell>
          <cell r="D338">
            <v>4850</v>
          </cell>
          <cell r="E338" t="str">
            <v>Tekhne</v>
          </cell>
        </row>
        <row r="339">
          <cell r="A339" t="str">
            <v>Mdeo lineas trafico</v>
          </cell>
          <cell r="B339" t="str">
            <v>Mdeo pintura (38)</v>
          </cell>
          <cell r="C339" t="str">
            <v>Ml</v>
          </cell>
          <cell r="D339">
            <v>801.61</v>
          </cell>
          <cell r="E339" t="str">
            <v>Tekhne</v>
          </cell>
        </row>
        <row r="340">
          <cell r="A340" t="str">
            <v>Mdeo listello</v>
          </cell>
          <cell r="B340" t="str">
            <v>Mdeo enchapes/accesorios/papel (31)</v>
          </cell>
          <cell r="C340" t="str">
            <v>M2</v>
          </cell>
          <cell r="D340">
            <v>12000</v>
          </cell>
          <cell r="E340" t="str">
            <v>Tekhne</v>
          </cell>
        </row>
        <row r="341">
          <cell r="A341" t="str">
            <v>Mdeo liston m.h.</v>
          </cell>
          <cell r="B341" t="str">
            <v>Mdeo cielorasos (28)</v>
          </cell>
          <cell r="C341" t="str">
            <v>M2</v>
          </cell>
          <cell r="D341">
            <v>6180</v>
          </cell>
          <cell r="E341" t="str">
            <v>Tekhne</v>
          </cell>
        </row>
        <row r="342">
          <cell r="A342" t="str">
            <v>Mdeo liston madera</v>
          </cell>
          <cell r="B342" t="str">
            <v>Mdeo pisos (acabados y bases) (30)</v>
          </cell>
          <cell r="C342" t="str">
            <v>M2</v>
          </cell>
          <cell r="D342">
            <v>7000</v>
          </cell>
          <cell r="E342" t="str">
            <v>Tekhne</v>
          </cell>
        </row>
        <row r="343">
          <cell r="A343" t="str">
            <v>Mdeo llave</v>
          </cell>
          <cell r="B343" t="str">
            <v>Mdeo inst. Hidraulic/sanit/lat (32)</v>
          </cell>
          <cell r="C343" t="str">
            <v>Un</v>
          </cell>
          <cell r="D343">
            <v>17850.93</v>
          </cell>
          <cell r="E343" t="str">
            <v>Tekhne</v>
          </cell>
        </row>
        <row r="344">
          <cell r="A344" t="str">
            <v>Mdeo localizacion y replanteo</v>
          </cell>
          <cell r="B344" t="str">
            <v>Mdeo preliminares/limp.terreno (22)</v>
          </cell>
          <cell r="C344" t="str">
            <v>M2</v>
          </cell>
          <cell r="D344">
            <v>1000</v>
          </cell>
          <cell r="E344" t="str">
            <v>Tekhne</v>
          </cell>
        </row>
        <row r="345">
          <cell r="A345" t="str">
            <v>Mdeo losa maciza h= .10</v>
          </cell>
          <cell r="B345" t="str">
            <v>Mdeo cimentacion y estructura (24)</v>
          </cell>
          <cell r="C345" t="str">
            <v>M2</v>
          </cell>
          <cell r="D345">
            <v>6800</v>
          </cell>
          <cell r="E345" t="str">
            <v>Tekhne</v>
          </cell>
        </row>
        <row r="346">
          <cell r="A346" t="str">
            <v>Mdeo losa maciza h= .12</v>
          </cell>
          <cell r="B346" t="str">
            <v>Mdeo cimentacion y estructura (24)</v>
          </cell>
          <cell r="C346" t="str">
            <v>M2</v>
          </cell>
          <cell r="D346">
            <v>8000</v>
          </cell>
          <cell r="E346" t="str">
            <v>Tekhne</v>
          </cell>
        </row>
        <row r="347">
          <cell r="A347" t="str">
            <v>Mdeo losa maciza h= .14</v>
          </cell>
          <cell r="B347" t="str">
            <v>Mdeo cimentacion y estructura (24)</v>
          </cell>
          <cell r="C347" t="str">
            <v>M2</v>
          </cell>
          <cell r="D347">
            <v>9300</v>
          </cell>
          <cell r="E347" t="str">
            <v>Tekhne</v>
          </cell>
        </row>
        <row r="348">
          <cell r="A348" t="str">
            <v>Mdeo losa maciza h= .15</v>
          </cell>
          <cell r="B348" t="str">
            <v>Mdeo cimentacion y estructura (24)</v>
          </cell>
          <cell r="C348" t="str">
            <v>M2</v>
          </cell>
          <cell r="D348">
            <v>12626</v>
          </cell>
          <cell r="E348" t="str">
            <v>Tekhne</v>
          </cell>
        </row>
        <row r="349">
          <cell r="A349" t="str">
            <v>Mdeo losa maciza h= .18</v>
          </cell>
          <cell r="B349" t="str">
            <v>Mdeo cimentacion y estructura (24)</v>
          </cell>
          <cell r="C349" t="str">
            <v>M2</v>
          </cell>
          <cell r="D349">
            <v>12626</v>
          </cell>
          <cell r="E349" t="str">
            <v>Tekhne</v>
          </cell>
        </row>
        <row r="350">
          <cell r="A350" t="str">
            <v>Mdeo losa piscina</v>
          </cell>
          <cell r="B350" t="str">
            <v>Mdeo cimentacion y estructura (24)</v>
          </cell>
          <cell r="C350" t="str">
            <v>M3</v>
          </cell>
          <cell r="D350">
            <v>120000</v>
          </cell>
          <cell r="E350" t="str">
            <v>Tekhne</v>
          </cell>
        </row>
        <row r="351">
          <cell r="A351" t="str">
            <v>Mdeo luminaria</v>
          </cell>
          <cell r="B351" t="str">
            <v>Mdeo inst. Electricas (33)</v>
          </cell>
          <cell r="C351" t="str">
            <v>Un</v>
          </cell>
          <cell r="D351">
            <v>15000</v>
          </cell>
          <cell r="E351" t="str">
            <v>Tekhne</v>
          </cell>
        </row>
        <row r="352">
          <cell r="A352" t="str">
            <v>Mdeo luminaria pedestal</v>
          </cell>
          <cell r="B352" t="str">
            <v>Mdeo inst. Electricas (33)</v>
          </cell>
          <cell r="C352" t="str">
            <v>Un</v>
          </cell>
          <cell r="D352">
            <v>8485.14</v>
          </cell>
          <cell r="E352" t="str">
            <v>Tekhne</v>
          </cell>
        </row>
        <row r="353">
          <cell r="A353" t="str">
            <v>Mdeo malla bajo entramado</v>
          </cell>
          <cell r="B353" t="str">
            <v>Mdeo pañetes (26)</v>
          </cell>
          <cell r="C353" t="str">
            <v>M2</v>
          </cell>
          <cell r="D353">
            <v>3000</v>
          </cell>
          <cell r="E353" t="str">
            <v>Tekhne</v>
          </cell>
        </row>
        <row r="354">
          <cell r="A354" t="str">
            <v>Mdeo malla eslabonada instalac.</v>
          </cell>
          <cell r="B354" t="str">
            <v>Mdeo obras exteriores (37)</v>
          </cell>
          <cell r="C354" t="str">
            <v>Ml</v>
          </cell>
          <cell r="D354">
            <v>4697.58</v>
          </cell>
          <cell r="E354" t="str">
            <v>Tekhne</v>
          </cell>
        </row>
        <row r="355">
          <cell r="A355" t="str">
            <v>Mdeo mamposteria centro</v>
          </cell>
          <cell r="B355" t="str">
            <v>Mdeo inst. De gas (45)</v>
          </cell>
          <cell r="C355" t="str">
            <v>Un</v>
          </cell>
          <cell r="D355">
            <v>13500</v>
          </cell>
          <cell r="E355" t="str">
            <v>Tekhne</v>
          </cell>
        </row>
        <row r="356">
          <cell r="A356" t="str">
            <v>Mdeo marco y hoja (hech/inst)</v>
          </cell>
          <cell r="B356" t="str">
            <v>Mdeo carpinterias (34)</v>
          </cell>
          <cell r="C356" t="str">
            <v>Un</v>
          </cell>
          <cell r="D356">
            <v>27393.88</v>
          </cell>
          <cell r="E356" t="str">
            <v>Tekhne</v>
          </cell>
        </row>
        <row r="357">
          <cell r="A357" t="str">
            <v>Mdeo marmol</v>
          </cell>
          <cell r="B357" t="str">
            <v>Mdeo enchapes/accesorios/papel (31)</v>
          </cell>
          <cell r="C357" t="str">
            <v>M2</v>
          </cell>
          <cell r="D357">
            <v>11000</v>
          </cell>
          <cell r="E357" t="str">
            <v>Tekhne</v>
          </cell>
        </row>
        <row r="358">
          <cell r="A358" t="str">
            <v>Mdeo marmol con diseños</v>
          </cell>
          <cell r="B358" t="str">
            <v>Mdeo pisos (acabados y bases) (30)</v>
          </cell>
          <cell r="C358" t="str">
            <v>M2</v>
          </cell>
          <cell r="D358">
            <v>15400</v>
          </cell>
          <cell r="E358" t="str">
            <v>Tekhne</v>
          </cell>
        </row>
        <row r="359">
          <cell r="A359" t="str">
            <v>Mdeo marmolina sobre paðete</v>
          </cell>
          <cell r="B359" t="str">
            <v>Mdeo pintura (38)</v>
          </cell>
          <cell r="C359" t="str">
            <v>M2</v>
          </cell>
          <cell r="D359">
            <v>1347.24</v>
          </cell>
          <cell r="E359" t="str">
            <v>Tekhne</v>
          </cell>
        </row>
        <row r="360">
          <cell r="A360" t="str">
            <v>Mdeo medallon</v>
          </cell>
          <cell r="B360" t="str">
            <v>Mdeo cielorasos (28)</v>
          </cell>
          <cell r="C360" t="str">
            <v>Un</v>
          </cell>
          <cell r="D360">
            <v>7210</v>
          </cell>
          <cell r="E360" t="str">
            <v>Tekhne</v>
          </cell>
        </row>
        <row r="361">
          <cell r="A361" t="str">
            <v>Mdeo medidor gas 2.5</v>
          </cell>
          <cell r="B361" t="str">
            <v>Mdeo inst. De gas (45)</v>
          </cell>
          <cell r="C361" t="str">
            <v>Un</v>
          </cell>
          <cell r="D361">
            <v>7272</v>
          </cell>
          <cell r="E361" t="str">
            <v>Tekhne</v>
          </cell>
        </row>
        <row r="362">
          <cell r="A362" t="str">
            <v>Mdeo mesones en concreto</v>
          </cell>
          <cell r="B362" t="str">
            <v>Mdeo mamposteria (25)</v>
          </cell>
          <cell r="C362" t="str">
            <v>Un</v>
          </cell>
          <cell r="D362">
            <v>15000</v>
          </cell>
          <cell r="E362" t="str">
            <v>Tekhne</v>
          </cell>
        </row>
        <row r="363">
          <cell r="A363" t="str">
            <v>Mdeo mje. Y conexion de</v>
          </cell>
          <cell r="B363" t="str">
            <v>Mdeo inst. Electricas (33)</v>
          </cell>
          <cell r="C363" t="str">
            <v>Ml</v>
          </cell>
          <cell r="D363">
            <v>1500000</v>
          </cell>
          <cell r="E363" t="str">
            <v>Tekhne</v>
          </cell>
        </row>
        <row r="364">
          <cell r="A364" t="str">
            <v>Mdeo montaje duchas p/p</v>
          </cell>
          <cell r="B364" t="str">
            <v>Mdeo inst. Hidraulic/sanit/lat (32)</v>
          </cell>
          <cell r="C364" t="str">
            <v>Un</v>
          </cell>
          <cell r="D364">
            <v>8446</v>
          </cell>
          <cell r="E364" t="str">
            <v>Tekhne</v>
          </cell>
        </row>
        <row r="365">
          <cell r="A365" t="str">
            <v>Mdeo montaje lavamanos p/p</v>
          </cell>
          <cell r="B365" t="str">
            <v>Mdeo inst. Hidraulic/sanit/lat (32)</v>
          </cell>
          <cell r="C365" t="str">
            <v>Un</v>
          </cell>
          <cell r="D365">
            <v>7725</v>
          </cell>
          <cell r="E365" t="str">
            <v>Tekhne</v>
          </cell>
        </row>
        <row r="366">
          <cell r="A366" t="str">
            <v>Mdeo montaje orinales p/p</v>
          </cell>
          <cell r="B366" t="str">
            <v>Mdeo inst. Hidraulic/sanit/lat (32)</v>
          </cell>
          <cell r="C366" t="str">
            <v>Un</v>
          </cell>
          <cell r="D366">
            <v>7725</v>
          </cell>
          <cell r="E366" t="str">
            <v>Tekhne</v>
          </cell>
        </row>
        <row r="367">
          <cell r="A367" t="str">
            <v>Mdeo montaje sanitario p/p</v>
          </cell>
          <cell r="B367" t="str">
            <v>Mdeo inst. Hidraulic/sanit/lat (32)</v>
          </cell>
          <cell r="C367" t="str">
            <v>Un</v>
          </cell>
          <cell r="D367">
            <v>7725</v>
          </cell>
          <cell r="E367" t="str">
            <v>Tekhne</v>
          </cell>
        </row>
        <row r="368">
          <cell r="A368" t="str">
            <v>Mdeo montaje torre grua</v>
          </cell>
          <cell r="B368" t="str">
            <v>Mdeo preliminares/limp.terreno (22)</v>
          </cell>
          <cell r="C368" t="str">
            <v>Gl</v>
          </cell>
          <cell r="D368">
            <v>150000</v>
          </cell>
          <cell r="E368" t="str">
            <v>Tekhne</v>
          </cell>
        </row>
        <row r="369">
          <cell r="A369" t="str">
            <v>Mdeo mortero</v>
          </cell>
          <cell r="B369" t="str">
            <v>Mdeo mamposteria (25)</v>
          </cell>
          <cell r="C369" t="str">
            <v>M3</v>
          </cell>
          <cell r="D369">
            <v>11330</v>
          </cell>
          <cell r="E369" t="str">
            <v>Tekhne</v>
          </cell>
        </row>
        <row r="370">
          <cell r="A370" t="str">
            <v>Mdeo mortero litro</v>
          </cell>
          <cell r="B370" t="str">
            <v>Mdeo mamposteria (25)</v>
          </cell>
          <cell r="C370" t="str">
            <v>Lt</v>
          </cell>
          <cell r="D370">
            <v>114.5</v>
          </cell>
          <cell r="E370" t="str">
            <v>Tekhne</v>
          </cell>
        </row>
        <row r="371">
          <cell r="A371" t="str">
            <v>Mdeo mueble bajo (hech/inst)</v>
          </cell>
          <cell r="B371" t="str">
            <v>Mdeo carpinterias (34)</v>
          </cell>
          <cell r="C371" t="str">
            <v>Un</v>
          </cell>
          <cell r="D371">
            <v>58941.75</v>
          </cell>
          <cell r="E371" t="str">
            <v>Tekhne</v>
          </cell>
        </row>
        <row r="372">
          <cell r="A372" t="str">
            <v>Mdeo muro de contencion</v>
          </cell>
          <cell r="B372" t="str">
            <v>Mdeo cimentacion y estructura (24)</v>
          </cell>
          <cell r="C372" t="str">
            <v>M3</v>
          </cell>
          <cell r="D372">
            <v>120000</v>
          </cell>
          <cell r="E372" t="str">
            <v>Tekhne</v>
          </cell>
        </row>
        <row r="373">
          <cell r="A373" t="str">
            <v>Mdeo muro ladribloc 1cv</v>
          </cell>
          <cell r="B373" t="str">
            <v>Mdeo mamposteria (25)</v>
          </cell>
          <cell r="C373" t="str">
            <v>M2</v>
          </cell>
          <cell r="D373">
            <v>1800</v>
          </cell>
          <cell r="E373" t="str">
            <v>Tekhne</v>
          </cell>
        </row>
        <row r="374">
          <cell r="A374" t="str">
            <v>Mdeo muro pndeta prensado p/p</v>
          </cell>
          <cell r="B374" t="str">
            <v>Mdeo mamposteria (25)</v>
          </cell>
          <cell r="C374" t="str">
            <v>M2</v>
          </cell>
          <cell r="D374">
            <v>4000</v>
          </cell>
          <cell r="E374" t="str">
            <v>Tekhne</v>
          </cell>
        </row>
        <row r="375">
          <cell r="A375" t="str">
            <v>Mdeo muro pndeta tolete p/p</v>
          </cell>
          <cell r="B375" t="str">
            <v>Mdeo mamposteria (25)</v>
          </cell>
          <cell r="C375" t="str">
            <v>M2</v>
          </cell>
          <cell r="D375">
            <v>3400</v>
          </cell>
          <cell r="E375" t="str">
            <v>Tekhne</v>
          </cell>
        </row>
        <row r="376">
          <cell r="A376" t="str">
            <v>Mdeo muro tbcon portante 1cv</v>
          </cell>
          <cell r="B376" t="str">
            <v>Mdeo mamposteria (25)</v>
          </cell>
          <cell r="C376" t="str">
            <v>M2</v>
          </cell>
          <cell r="D376">
            <v>8000</v>
          </cell>
          <cell r="E376" t="str">
            <v>Tekhne</v>
          </cell>
        </row>
        <row r="377">
          <cell r="A377" t="str">
            <v>Mdeo muro tbcon prensado 1cv</v>
          </cell>
          <cell r="B377" t="str">
            <v>Mdeo mamposteria (25)</v>
          </cell>
          <cell r="C377" t="str">
            <v>M2</v>
          </cell>
          <cell r="D377">
            <v>8500</v>
          </cell>
          <cell r="E377" t="str">
            <v>Tekhne</v>
          </cell>
        </row>
        <row r="378">
          <cell r="A378" t="str">
            <v>Mdeo muro tbcon tolete p/p</v>
          </cell>
          <cell r="B378" t="str">
            <v>Mdeo mamposteria (25)</v>
          </cell>
          <cell r="C378" t="str">
            <v>M2</v>
          </cell>
          <cell r="D378">
            <v>6800</v>
          </cell>
          <cell r="E378" t="str">
            <v>Tekhne</v>
          </cell>
        </row>
        <row r="379">
          <cell r="A379" t="str">
            <v>Mdeo muro tbcon tolete recoc p/p</v>
          </cell>
          <cell r="B379" t="str">
            <v>Mdeo mamposteria (25)</v>
          </cell>
          <cell r="C379" t="str">
            <v>M2</v>
          </cell>
          <cell r="D379">
            <v>7200</v>
          </cell>
          <cell r="E379" t="str">
            <v>Tekhne</v>
          </cell>
        </row>
        <row r="380">
          <cell r="A380" t="str">
            <v>Mdeo muro tbque lunsa p/p</v>
          </cell>
          <cell r="B380" t="str">
            <v>Mdeo mamposteria (25)</v>
          </cell>
          <cell r="C380" t="str">
            <v>M2</v>
          </cell>
          <cell r="D380">
            <v>4500</v>
          </cell>
          <cell r="E380" t="str">
            <v>Tekhne</v>
          </cell>
        </row>
        <row r="381">
          <cell r="A381" t="str">
            <v>Mdeo muro tbque portante 1cv</v>
          </cell>
          <cell r="B381" t="str">
            <v>Mdeo mamposteria (25)</v>
          </cell>
          <cell r="C381" t="str">
            <v>M2</v>
          </cell>
          <cell r="D381">
            <v>5000</v>
          </cell>
          <cell r="E381" t="str">
            <v>Tekhne</v>
          </cell>
        </row>
        <row r="382">
          <cell r="A382" t="str">
            <v>Mdeo muro tbque prens/bocad 1cv</v>
          </cell>
          <cell r="B382" t="str">
            <v>Mdeo mamposteria (25)</v>
          </cell>
          <cell r="C382" t="str">
            <v>M2</v>
          </cell>
          <cell r="D382">
            <v>4000</v>
          </cell>
          <cell r="E382" t="str">
            <v>Tekhne</v>
          </cell>
        </row>
        <row r="383">
          <cell r="A383" t="str">
            <v>Mdeo muro tbque t/fino - horiz 1cv</v>
          </cell>
          <cell r="B383" t="str">
            <v>Mdeo mamposteria (25)</v>
          </cell>
          <cell r="C383" t="str">
            <v>M2</v>
          </cell>
          <cell r="D383">
            <v>4500</v>
          </cell>
          <cell r="E383" t="str">
            <v>Tekhne</v>
          </cell>
        </row>
        <row r="384">
          <cell r="A384" t="str">
            <v>Mdeo muro tbque tolete comun p/p</v>
          </cell>
          <cell r="B384" t="str">
            <v>Mdeo mamposteria (25)</v>
          </cell>
          <cell r="C384" t="str">
            <v>M2</v>
          </cell>
          <cell r="D384">
            <v>4000</v>
          </cell>
          <cell r="E384" t="str">
            <v>Tekhne</v>
          </cell>
        </row>
        <row r="385">
          <cell r="A385" t="str">
            <v>Mdeo muro tbque tolete p/p</v>
          </cell>
          <cell r="B385" t="str">
            <v>Mdeo mamposteria (25)</v>
          </cell>
          <cell r="C385" t="str">
            <v>M2</v>
          </cell>
          <cell r="D385">
            <v>3200</v>
          </cell>
          <cell r="E385" t="str">
            <v>Tekhne</v>
          </cell>
        </row>
        <row r="386">
          <cell r="A386" t="str">
            <v>Mdeo nivelacion zona verde</v>
          </cell>
          <cell r="B386" t="str">
            <v>Mdeo obras exteriores (37)</v>
          </cell>
          <cell r="C386" t="str">
            <v>M2</v>
          </cell>
          <cell r="D386">
            <v>1200</v>
          </cell>
          <cell r="E386" t="str">
            <v>Tekhne</v>
          </cell>
        </row>
        <row r="387">
          <cell r="A387" t="str">
            <v>Mdeo orinal</v>
          </cell>
          <cell r="B387" t="str">
            <v>Mdeo inst. Hidraulic/sanit/lat (32)</v>
          </cell>
          <cell r="C387" t="str">
            <v>Un</v>
          </cell>
          <cell r="D387">
            <v>20433.14</v>
          </cell>
          <cell r="E387" t="str">
            <v>Tekhne</v>
          </cell>
        </row>
        <row r="388">
          <cell r="A388" t="str">
            <v>Mdeo ornamentacion chimenea</v>
          </cell>
          <cell r="B388" t="str">
            <v>Mdeo inst. De gas (45)</v>
          </cell>
          <cell r="C388" t="str">
            <v>Un</v>
          </cell>
          <cell r="D388">
            <v>9462.08</v>
          </cell>
          <cell r="E388" t="str">
            <v>Tekhne</v>
          </cell>
        </row>
        <row r="389">
          <cell r="A389" t="str">
            <v>Mdeo panal</v>
          </cell>
          <cell r="B389" t="str">
            <v>Mdeo cielorasos (28)</v>
          </cell>
          <cell r="C389" t="str">
            <v>M2</v>
          </cell>
          <cell r="D389">
            <v>7522.09</v>
          </cell>
          <cell r="E389" t="str">
            <v>Tekhne</v>
          </cell>
        </row>
        <row r="390">
          <cell r="A390" t="str">
            <v>Mdeo pañete bajo guadua</v>
          </cell>
          <cell r="B390" t="str">
            <v>Mdeo pañetes (26)</v>
          </cell>
          <cell r="C390" t="str">
            <v>M2</v>
          </cell>
          <cell r="D390">
            <v>3000</v>
          </cell>
          <cell r="E390" t="str">
            <v>Tekhne</v>
          </cell>
        </row>
        <row r="391">
          <cell r="A391" t="str">
            <v>Mdeo pañete bajo malla</v>
          </cell>
          <cell r="B391" t="str">
            <v>Mdeo pañetes (26)</v>
          </cell>
          <cell r="C391" t="str">
            <v>M2</v>
          </cell>
          <cell r="D391">
            <v>3200</v>
          </cell>
          <cell r="E391" t="str">
            <v>Tekhne</v>
          </cell>
        </row>
        <row r="392">
          <cell r="A392" t="str">
            <v>Mdeo pañete bajo placa</v>
          </cell>
          <cell r="B392" t="str">
            <v>Mdeo pañetes (26)</v>
          </cell>
          <cell r="C392" t="str">
            <v>M2</v>
          </cell>
          <cell r="D392">
            <v>3317</v>
          </cell>
          <cell r="E392" t="str">
            <v>Tekhne</v>
          </cell>
        </row>
        <row r="393">
          <cell r="A393" t="str">
            <v>Mdeo pañete bases ventanas</v>
          </cell>
          <cell r="B393" t="str">
            <v>Mdeo pañetes (26)</v>
          </cell>
          <cell r="C393" t="str">
            <v>Ml</v>
          </cell>
          <cell r="D393">
            <v>2000</v>
          </cell>
          <cell r="E393" t="str">
            <v>Tekhne</v>
          </cell>
        </row>
        <row r="394">
          <cell r="A394" t="str">
            <v>Mdeo pañete cuchillas</v>
          </cell>
          <cell r="B394" t="str">
            <v>Mdeo pañetes (26)</v>
          </cell>
          <cell r="C394" t="str">
            <v>M2</v>
          </cell>
          <cell r="D394">
            <v>3500</v>
          </cell>
          <cell r="E394" t="str">
            <v>Tekhne</v>
          </cell>
        </row>
        <row r="395">
          <cell r="A395" t="str">
            <v>Mdeo pañete culatas</v>
          </cell>
          <cell r="B395" t="str">
            <v>Mdeo pañetes (26)</v>
          </cell>
          <cell r="C395" t="str">
            <v>M2</v>
          </cell>
          <cell r="D395">
            <v>3000</v>
          </cell>
          <cell r="E395" t="str">
            <v>Tekhne</v>
          </cell>
        </row>
        <row r="396">
          <cell r="A396" t="str">
            <v>Mdeo pañete liso cielorasos</v>
          </cell>
          <cell r="B396" t="str">
            <v>Mdeo pañetes (26)</v>
          </cell>
          <cell r="C396" t="str">
            <v>M2</v>
          </cell>
          <cell r="D396">
            <v>4500</v>
          </cell>
          <cell r="E396" t="str">
            <v>Tekhne</v>
          </cell>
        </row>
        <row r="397">
          <cell r="A397" t="str">
            <v>Mdeo pañete liso muros</v>
          </cell>
          <cell r="B397" t="str">
            <v>Mdeo pañetes (26)</v>
          </cell>
          <cell r="C397" t="str">
            <v>M2</v>
          </cell>
          <cell r="D397">
            <v>2835</v>
          </cell>
          <cell r="E397" t="str">
            <v>Tekhne</v>
          </cell>
        </row>
        <row r="398">
          <cell r="A398" t="str">
            <v>Mdeo pañete taludes</v>
          </cell>
          <cell r="B398" t="str">
            <v>Mdeo cimentacion y estructura (24)</v>
          </cell>
          <cell r="C398" t="str">
            <v>M2</v>
          </cell>
          <cell r="D398">
            <v>1712</v>
          </cell>
          <cell r="E398" t="str">
            <v>Tekhne</v>
          </cell>
        </row>
        <row r="399">
          <cell r="A399" t="str">
            <v>Mdeo pararrayos</v>
          </cell>
          <cell r="B399" t="str">
            <v>Mdeo inst. Electricas (33)</v>
          </cell>
          <cell r="C399" t="str">
            <v>Un</v>
          </cell>
          <cell r="D399">
            <v>9270</v>
          </cell>
          <cell r="E399" t="str">
            <v>Tekhne</v>
          </cell>
        </row>
        <row r="400">
          <cell r="A400" t="str">
            <v>Mdeo parcial de 30 metros.</v>
          </cell>
          <cell r="B400" t="str">
            <v>Mdeo inst. Electricas (33)</v>
          </cell>
          <cell r="C400" t="str">
            <v>Un</v>
          </cell>
          <cell r="D400">
            <v>62029.18</v>
          </cell>
          <cell r="E400" t="str">
            <v>Tekhne</v>
          </cell>
        </row>
        <row r="401">
          <cell r="A401" t="str">
            <v>Mdeo pasamanos (hech/inst)</v>
          </cell>
          <cell r="B401" t="str">
            <v>Mdeo carpinterias (34)</v>
          </cell>
          <cell r="C401" t="str">
            <v>Ml</v>
          </cell>
          <cell r="D401">
            <v>8644.7900000000009</v>
          </cell>
          <cell r="E401" t="str">
            <v>Tekhne</v>
          </cell>
        </row>
        <row r="402">
          <cell r="A402" t="str">
            <v>Mdeo paso esc gravilla y alfa</v>
          </cell>
          <cell r="B402" t="str">
            <v>Mdeo pisos (acabados y bases) (30)</v>
          </cell>
          <cell r="C402" t="str">
            <v>Un</v>
          </cell>
          <cell r="D402">
            <v>16000</v>
          </cell>
          <cell r="E402" t="str">
            <v>Tekhne</v>
          </cell>
        </row>
        <row r="403">
          <cell r="A403" t="str">
            <v>Mdeo paso escalera granito</v>
          </cell>
          <cell r="B403" t="str">
            <v>Mdeo pisos (acabados y bases) (30)</v>
          </cell>
          <cell r="C403" t="str">
            <v>Ml</v>
          </cell>
          <cell r="D403">
            <v>15500</v>
          </cell>
          <cell r="E403" t="str">
            <v>Tekhne</v>
          </cell>
        </row>
        <row r="404">
          <cell r="A404" t="str">
            <v>Mdeo paso escalera gravilla</v>
          </cell>
          <cell r="B404" t="str">
            <v>Mdeo pisos (acabados y bases) (30)</v>
          </cell>
          <cell r="C404" t="str">
            <v>Ml</v>
          </cell>
          <cell r="D404">
            <v>6800</v>
          </cell>
          <cell r="E404" t="str">
            <v>Tekhne</v>
          </cell>
        </row>
        <row r="405">
          <cell r="A405" t="str">
            <v>Mdeo patch cord 2m</v>
          </cell>
          <cell r="B405" t="str">
            <v>Mdeo cableado estructurado (47)</v>
          </cell>
          <cell r="C405" t="str">
            <v>Un</v>
          </cell>
          <cell r="D405">
            <v>6060</v>
          </cell>
          <cell r="E405" t="str">
            <v>Tekhne</v>
          </cell>
        </row>
        <row r="406">
          <cell r="A406" t="str">
            <v>Mdeo patch panel</v>
          </cell>
          <cell r="B406" t="str">
            <v>Mdeo cableado estructurado (47)</v>
          </cell>
          <cell r="C406" t="str">
            <v>Un</v>
          </cell>
          <cell r="D406">
            <v>64996.53</v>
          </cell>
          <cell r="E406" t="str">
            <v>Tekhne</v>
          </cell>
        </row>
        <row r="407">
          <cell r="A407" t="str">
            <v>Mdeo pavimento en concreto</v>
          </cell>
          <cell r="B407" t="str">
            <v>Mdeo obras exteriores (37)</v>
          </cell>
          <cell r="C407" t="str">
            <v>M2</v>
          </cell>
          <cell r="D407">
            <v>7187.7</v>
          </cell>
          <cell r="E407" t="str">
            <v>Tekhne</v>
          </cell>
        </row>
        <row r="408">
          <cell r="A408" t="str">
            <v>Mdeo picar pañete de muro</v>
          </cell>
          <cell r="B408" t="str">
            <v>Mdeo preliminares/limp.terreno (22)</v>
          </cell>
          <cell r="C408" t="str">
            <v>M2</v>
          </cell>
          <cell r="D408">
            <v>1090</v>
          </cell>
          <cell r="E408" t="str">
            <v>Tekhne</v>
          </cell>
        </row>
        <row r="409">
          <cell r="A409" t="str">
            <v>Mdeo picar pañete de techo</v>
          </cell>
          <cell r="B409" t="str">
            <v>Mdeo preliminares/limp.terreno (22)</v>
          </cell>
          <cell r="C409" t="str">
            <v>M2</v>
          </cell>
          <cell r="D409">
            <v>1417</v>
          </cell>
          <cell r="E409" t="str">
            <v>Tekhne</v>
          </cell>
        </row>
        <row r="410">
          <cell r="A410" t="str">
            <v>Mdeo pintura g/escobas madera</v>
          </cell>
          <cell r="B410" t="str">
            <v>Mdeo pintura (38)</v>
          </cell>
          <cell r="C410" t="str">
            <v>Ml</v>
          </cell>
          <cell r="D410">
            <v>400</v>
          </cell>
          <cell r="E410" t="str">
            <v>Tekhne</v>
          </cell>
        </row>
        <row r="411">
          <cell r="A411" t="str">
            <v>Mdeo piramide</v>
          </cell>
          <cell r="B411" t="str">
            <v>Mdeo cielorasos (28)</v>
          </cell>
          <cell r="C411" t="str">
            <v>M2</v>
          </cell>
          <cell r="D411">
            <v>4715.34</v>
          </cell>
          <cell r="E411" t="str">
            <v>Tekhne</v>
          </cell>
        </row>
        <row r="412">
          <cell r="A412" t="str">
            <v>Mdeo pirlan porcelana ducha</v>
          </cell>
          <cell r="B412" t="str">
            <v>Mdeo enchapes/accesorios/papel (31)</v>
          </cell>
          <cell r="C412" t="str">
            <v>Ml</v>
          </cell>
          <cell r="D412">
            <v>10500</v>
          </cell>
          <cell r="E412" t="str">
            <v>Tekhne</v>
          </cell>
        </row>
        <row r="413">
          <cell r="A413" t="str">
            <v>Mdeo pirlanes (hech/inst)</v>
          </cell>
          <cell r="B413" t="str">
            <v>Mdeo carpinterias (34)</v>
          </cell>
          <cell r="C413" t="str">
            <v>Un</v>
          </cell>
          <cell r="D413">
            <v>7858.9</v>
          </cell>
          <cell r="E413" t="str">
            <v>Tekhne</v>
          </cell>
        </row>
        <row r="414">
          <cell r="A414" t="str">
            <v>Mdeo pirlanes aluminio</v>
          </cell>
          <cell r="B414" t="str">
            <v>Mdeo pisos (acabados y bases) (30)</v>
          </cell>
          <cell r="C414" t="str">
            <v>Ml</v>
          </cell>
          <cell r="D414">
            <v>3000</v>
          </cell>
          <cell r="E414" t="str">
            <v>Tekhne</v>
          </cell>
        </row>
        <row r="415">
          <cell r="A415" t="str">
            <v>Mdeo pirlanes ladrillo</v>
          </cell>
          <cell r="B415" t="str">
            <v>Mdeo pisos (acabados y bases) (30)</v>
          </cell>
          <cell r="C415" t="str">
            <v>Ml</v>
          </cell>
          <cell r="D415">
            <v>5800</v>
          </cell>
          <cell r="E415" t="str">
            <v>Tekhne</v>
          </cell>
        </row>
        <row r="416">
          <cell r="A416" t="str">
            <v>Mdeo pisos ceramicos</v>
          </cell>
          <cell r="B416" t="str">
            <v>Mdeo pisos (acabados y bases) (30)</v>
          </cell>
          <cell r="C416" t="str">
            <v>M2</v>
          </cell>
          <cell r="D416">
            <v>6000</v>
          </cell>
          <cell r="E416" t="str">
            <v>Tekhne</v>
          </cell>
        </row>
        <row r="417">
          <cell r="A417" t="str">
            <v>Mdeo pisos ceramicos con</v>
          </cell>
          <cell r="B417" t="str">
            <v>Mdeo pisos (acabados y bases) (30)</v>
          </cell>
          <cell r="C417" t="str">
            <v>M2</v>
          </cell>
          <cell r="D417">
            <v>9900</v>
          </cell>
          <cell r="E417" t="str">
            <v>Tekhne</v>
          </cell>
        </row>
        <row r="418">
          <cell r="A418" t="str">
            <v>Mdeo placa aerea en steel deck</v>
          </cell>
          <cell r="B418" t="str">
            <v>Mdeo cimentacion y estructura (24)</v>
          </cell>
          <cell r="C418" t="str">
            <v>Un</v>
          </cell>
          <cell r="D418">
            <v>6500</v>
          </cell>
          <cell r="E418" t="str">
            <v>Tekhne</v>
          </cell>
        </row>
        <row r="419">
          <cell r="A419" t="str">
            <v>Mdeo placa alig. Piso 1 h=.35</v>
          </cell>
          <cell r="B419" t="str">
            <v>Mdeo cimentacion y estructura (24)</v>
          </cell>
          <cell r="C419" t="str">
            <v>M2</v>
          </cell>
          <cell r="D419">
            <v>16000</v>
          </cell>
          <cell r="E419" t="str">
            <v>Tekhne</v>
          </cell>
        </row>
        <row r="420">
          <cell r="A420" t="str">
            <v>Mdeo placa alig. Piso 1 h=.50</v>
          </cell>
          <cell r="B420" t="str">
            <v>Mdeo cimentacion y estructura (24)</v>
          </cell>
          <cell r="C420" t="str">
            <v>M2</v>
          </cell>
          <cell r="D420">
            <v>20000</v>
          </cell>
          <cell r="E420" t="str">
            <v>Tekhne</v>
          </cell>
        </row>
        <row r="421">
          <cell r="A421" t="str">
            <v>Mdeo placa alig. Piso t h=.35</v>
          </cell>
          <cell r="B421" t="str">
            <v>Mdeo cimentacion y estructura (24)</v>
          </cell>
          <cell r="C421" t="str">
            <v>M2</v>
          </cell>
          <cell r="D421">
            <v>16000</v>
          </cell>
          <cell r="E421" t="str">
            <v>Tekhne</v>
          </cell>
        </row>
        <row r="422">
          <cell r="A422" t="str">
            <v>Mdeo placa alig. Piso t h=.50</v>
          </cell>
          <cell r="B422" t="str">
            <v>Mdeo cimentacion y estructura (24)</v>
          </cell>
          <cell r="C422" t="str">
            <v>M2</v>
          </cell>
          <cell r="D422">
            <v>20000</v>
          </cell>
          <cell r="E422" t="str">
            <v>Tekhne</v>
          </cell>
        </row>
        <row r="423">
          <cell r="A423" t="str">
            <v>Mdeo placa base 0.08</v>
          </cell>
          <cell r="B423" t="str">
            <v>Mdeo pisos (acabados y bases) (30)</v>
          </cell>
          <cell r="C423" t="str">
            <v>M2</v>
          </cell>
          <cell r="D423">
            <v>6500</v>
          </cell>
          <cell r="E423" t="str">
            <v>Tekhne</v>
          </cell>
        </row>
        <row r="424">
          <cell r="A424" t="str">
            <v>Mdeo placa base 0.10</v>
          </cell>
          <cell r="B424" t="str">
            <v>Mdeo pisos (acabados y bases) (30)</v>
          </cell>
          <cell r="C424" t="str">
            <v>M2</v>
          </cell>
          <cell r="D424">
            <v>6800</v>
          </cell>
          <cell r="E424" t="str">
            <v>Tekhne</v>
          </cell>
        </row>
        <row r="425">
          <cell r="A425" t="str">
            <v>Mdeo placa base 0.15</v>
          </cell>
          <cell r="B425" t="str">
            <v>Mdeo pisos (acabados y bases) (30)</v>
          </cell>
          <cell r="C425" t="str">
            <v>M2</v>
          </cell>
          <cell r="D425">
            <v>7000</v>
          </cell>
          <cell r="E425" t="str">
            <v>Tekhne</v>
          </cell>
        </row>
        <row r="426">
          <cell r="A426" t="str">
            <v>Mdeo placa de cimentacion</v>
          </cell>
          <cell r="B426" t="str">
            <v>Mdeo cimentacion y estructura (24)</v>
          </cell>
          <cell r="C426" t="str">
            <v>M2</v>
          </cell>
          <cell r="D426">
            <v>16000</v>
          </cell>
          <cell r="E426" t="str">
            <v>Tekhne</v>
          </cell>
        </row>
        <row r="427">
          <cell r="A427" t="str">
            <v>Mdeo placa flotante</v>
          </cell>
          <cell r="B427" t="str">
            <v>Mdeo cimentacion y estructura (24)</v>
          </cell>
          <cell r="C427" t="str">
            <v>M2</v>
          </cell>
          <cell r="D427">
            <v>23000</v>
          </cell>
          <cell r="E427" t="str">
            <v>Tekhne</v>
          </cell>
        </row>
        <row r="428">
          <cell r="A428" t="str">
            <v>Mdeo planchuela marmol</v>
          </cell>
          <cell r="B428" t="str">
            <v>Mdeo pisos (acabados y bases) (30)</v>
          </cell>
          <cell r="C428" t="str">
            <v>M2</v>
          </cell>
          <cell r="D428">
            <v>10000</v>
          </cell>
          <cell r="E428" t="str">
            <v>Tekhne</v>
          </cell>
        </row>
        <row r="429">
          <cell r="A429" t="str">
            <v>Mdeo poyo cocina</v>
          </cell>
          <cell r="B429" t="str">
            <v>Mdeo mamposteria (25)</v>
          </cell>
          <cell r="C429" t="str">
            <v>Ml</v>
          </cell>
          <cell r="D429">
            <v>2500</v>
          </cell>
          <cell r="E429" t="str">
            <v>Tekhne</v>
          </cell>
        </row>
        <row r="430">
          <cell r="A430" t="str">
            <v>Mdeo pozo septico eternit</v>
          </cell>
          <cell r="B430" t="str">
            <v>Mdeo redes servicios y desagüe (23)</v>
          </cell>
          <cell r="C430" t="str">
            <v>Un</v>
          </cell>
          <cell r="D430">
            <v>22000</v>
          </cell>
          <cell r="E430" t="str">
            <v>Tekhne</v>
          </cell>
        </row>
        <row r="431">
          <cell r="A431" t="str">
            <v>Mdeo prefabricacion topes parq.</v>
          </cell>
          <cell r="B431" t="str">
            <v>Mdeo obras exteriores (37)</v>
          </cell>
          <cell r="C431" t="str">
            <v>Ml</v>
          </cell>
          <cell r="D431">
            <v>5432.41</v>
          </cell>
          <cell r="E431" t="str">
            <v>Tekhne</v>
          </cell>
        </row>
        <row r="432">
          <cell r="A432" t="str">
            <v>Mdeo puerta madera (hech/inst)</v>
          </cell>
          <cell r="B432" t="str">
            <v>Mdeo carpinterias (34)</v>
          </cell>
          <cell r="C432" t="str">
            <v>Un</v>
          </cell>
          <cell r="D432">
            <v>14931.91</v>
          </cell>
          <cell r="E432" t="str">
            <v>Tekhne</v>
          </cell>
        </row>
        <row r="433">
          <cell r="A433" t="str">
            <v>Mdeo punto agua fria pvc</v>
          </cell>
          <cell r="B433" t="str">
            <v>Mdeo inst. Hidraulic/sanit/lat (32)</v>
          </cell>
          <cell r="C433" t="str">
            <v>Un</v>
          </cell>
          <cell r="D433">
            <v>12360</v>
          </cell>
          <cell r="E433" t="str">
            <v>Tekhne</v>
          </cell>
        </row>
        <row r="434">
          <cell r="A434" t="str">
            <v>Mdeo punto de agua caliente</v>
          </cell>
          <cell r="B434" t="str">
            <v>Mdeo inst. Hidraulic/sanit/lat (32)</v>
          </cell>
          <cell r="C434" t="str">
            <v>Un</v>
          </cell>
          <cell r="D434">
            <v>12360</v>
          </cell>
          <cell r="E434" t="str">
            <v>Tekhne</v>
          </cell>
        </row>
        <row r="435">
          <cell r="A435" t="str">
            <v>Mdeo punto sanitario de</v>
          </cell>
          <cell r="B435" t="str">
            <v>Mdeo inst. Hidraulic/sanit/lat (32)</v>
          </cell>
          <cell r="C435" t="str">
            <v>Un</v>
          </cell>
          <cell r="D435">
            <v>13905</v>
          </cell>
          <cell r="E435" t="str">
            <v>Tekhne</v>
          </cell>
        </row>
        <row r="436">
          <cell r="A436" t="str">
            <v>Mdeo punto sanitario de ducha</v>
          </cell>
          <cell r="B436" t="str">
            <v>Mdeo inst. Hidraulic/sanit/lat (32)</v>
          </cell>
          <cell r="C436" t="str">
            <v>Un</v>
          </cell>
          <cell r="D436">
            <v>13905</v>
          </cell>
          <cell r="E436" t="str">
            <v>Tekhne</v>
          </cell>
        </row>
        <row r="437">
          <cell r="A437" t="str">
            <v>Mdeo punto sanitarios de</v>
          </cell>
          <cell r="B437" t="str">
            <v>Mdeo inst. Hidraulic/sanit/lat (32)</v>
          </cell>
          <cell r="C437" t="str">
            <v>Un</v>
          </cell>
          <cell r="D437">
            <v>13905</v>
          </cell>
          <cell r="E437" t="str">
            <v>Tekhne</v>
          </cell>
        </row>
        <row r="438">
          <cell r="A438" t="str">
            <v>Mdeo punto suministro galv.</v>
          </cell>
          <cell r="B438" t="str">
            <v>Mdeo inst. Hidraulic/sanit/lat (32)</v>
          </cell>
          <cell r="C438" t="str">
            <v>Un</v>
          </cell>
          <cell r="D438">
            <v>9767.49</v>
          </cell>
          <cell r="E438" t="str">
            <v>Tekhne</v>
          </cell>
        </row>
        <row r="439">
          <cell r="A439" t="str">
            <v>Mdeo puntos de desague 3"-4"</v>
          </cell>
          <cell r="B439" t="str">
            <v>Mdeo inst. Hidraulic/sanit/lat (32)</v>
          </cell>
          <cell r="C439" t="str">
            <v>Un</v>
          </cell>
          <cell r="D439">
            <v>13696.94</v>
          </cell>
          <cell r="E439" t="str">
            <v>Tekhne</v>
          </cell>
        </row>
        <row r="440">
          <cell r="A440" t="str">
            <v>Mdeo rampa h= .10</v>
          </cell>
          <cell r="B440" t="str">
            <v>Mdeo cimentacion y estructura (24)</v>
          </cell>
          <cell r="C440" t="str">
            <v>M2</v>
          </cell>
          <cell r="D440">
            <v>11000</v>
          </cell>
          <cell r="E440" t="str">
            <v>Tekhne</v>
          </cell>
        </row>
        <row r="441">
          <cell r="A441" t="str">
            <v>Mdeo recebo base-asfalto</v>
          </cell>
          <cell r="B441" t="str">
            <v>Mdeo obras exteriores (37)</v>
          </cell>
          <cell r="C441" t="str">
            <v>M3</v>
          </cell>
          <cell r="D441">
            <v>8390.5</v>
          </cell>
          <cell r="E441" t="str">
            <v>Tekhne</v>
          </cell>
        </row>
        <row r="442">
          <cell r="A442" t="str">
            <v>Mdeo red agua provisional</v>
          </cell>
          <cell r="B442" t="str">
            <v>Mdeo preliminares/limp.terreno (22)</v>
          </cell>
          <cell r="C442" t="str">
            <v>Un</v>
          </cell>
          <cell r="D442">
            <v>438452.5</v>
          </cell>
          <cell r="E442" t="str">
            <v>Tekhne</v>
          </cell>
        </row>
        <row r="443">
          <cell r="A443" t="str">
            <v>Mdeo red de cobre</v>
          </cell>
          <cell r="B443" t="str">
            <v>Mdeo inst. Hidraulic/sanit/lat (32)</v>
          </cell>
          <cell r="C443" t="str">
            <v>Ml</v>
          </cell>
          <cell r="D443">
            <v>1571.78</v>
          </cell>
          <cell r="E443" t="str">
            <v>Tekhne</v>
          </cell>
        </row>
        <row r="444">
          <cell r="A444" t="str">
            <v>Mdeo red de suministro</v>
          </cell>
          <cell r="B444" t="str">
            <v>Mdeo inst. Hidraulic/sanit/lat (32)</v>
          </cell>
          <cell r="C444" t="str">
            <v>Ml</v>
          </cell>
          <cell r="D444">
            <v>3090</v>
          </cell>
          <cell r="E444" t="str">
            <v>Tekhne</v>
          </cell>
        </row>
        <row r="445">
          <cell r="A445" t="str">
            <v>Mdeo red electrica provisional</v>
          </cell>
          <cell r="B445" t="str">
            <v>Mdeo preliminares/limp.terreno (22)</v>
          </cell>
          <cell r="C445" t="str">
            <v>Un</v>
          </cell>
          <cell r="D445">
            <v>175000</v>
          </cell>
          <cell r="E445" t="str">
            <v>Tekhne</v>
          </cell>
        </row>
        <row r="446">
          <cell r="A446" t="str">
            <v>Mdeo red suministro galv.</v>
          </cell>
          <cell r="B446" t="str">
            <v>Mdeo inst. Hidraulic/sanit/lat (32)</v>
          </cell>
          <cell r="C446" t="str">
            <v>Ml</v>
          </cell>
          <cell r="D446">
            <v>14033.75</v>
          </cell>
          <cell r="E446" t="str">
            <v>Tekhne</v>
          </cell>
        </row>
        <row r="447">
          <cell r="A447" t="str">
            <v>Mdeo reflector</v>
          </cell>
          <cell r="B447" t="str">
            <v>Mdeo inst. Electricas (33)</v>
          </cell>
          <cell r="C447" t="str">
            <v>Un</v>
          </cell>
          <cell r="D447">
            <v>7004</v>
          </cell>
          <cell r="E447" t="str">
            <v>Tekhne</v>
          </cell>
        </row>
        <row r="448">
          <cell r="A448" t="str">
            <v>Mdeo refuerzo hierro</v>
          </cell>
          <cell r="B448" t="str">
            <v>Mdeo mamposteria (25)</v>
          </cell>
          <cell r="C448" t="str">
            <v>Tn</v>
          </cell>
          <cell r="D448">
            <v>230000</v>
          </cell>
          <cell r="E448" t="str">
            <v>Tekhne</v>
          </cell>
        </row>
        <row r="449">
          <cell r="A449" t="str">
            <v>Mdeo refuerzo hierro columna</v>
          </cell>
          <cell r="B449" t="str">
            <v>Mdeo mamposteria (25)</v>
          </cell>
          <cell r="C449" t="str">
            <v>Tn</v>
          </cell>
          <cell r="D449">
            <v>230000</v>
          </cell>
          <cell r="E449" t="str">
            <v>Tekhne</v>
          </cell>
        </row>
        <row r="450">
          <cell r="A450" t="str">
            <v>Mdeo refuerzo hierro muros</v>
          </cell>
          <cell r="B450" t="str">
            <v>Mdeo mamposteria (25)</v>
          </cell>
          <cell r="C450" t="str">
            <v>Tn</v>
          </cell>
          <cell r="D450">
            <v>230000</v>
          </cell>
          <cell r="E450" t="str">
            <v>Tekhne</v>
          </cell>
        </row>
        <row r="451">
          <cell r="A451" t="str">
            <v>Mdeo refuerzo hierro placa ali</v>
          </cell>
          <cell r="B451" t="str">
            <v>Mdeo mamposteria (25)</v>
          </cell>
          <cell r="C451" t="str">
            <v>Tn</v>
          </cell>
          <cell r="D451">
            <v>230000</v>
          </cell>
          <cell r="E451" t="str">
            <v>Tekhne</v>
          </cell>
        </row>
        <row r="452">
          <cell r="A452" t="str">
            <v>Mdeo refuerzo hierro placa mac</v>
          </cell>
          <cell r="B452" t="str">
            <v>Mdeo mamposteria (25)</v>
          </cell>
          <cell r="C452" t="str">
            <v>Tn</v>
          </cell>
          <cell r="D452">
            <v>230000</v>
          </cell>
          <cell r="E452" t="str">
            <v>Tekhne</v>
          </cell>
        </row>
        <row r="453">
          <cell r="A453" t="str">
            <v>Mdeo refuerzo hierro viga aer.</v>
          </cell>
          <cell r="B453" t="str">
            <v>Mdeo mamposteria (25)</v>
          </cell>
          <cell r="C453" t="str">
            <v>Tn</v>
          </cell>
          <cell r="D453">
            <v>230000</v>
          </cell>
          <cell r="E453" t="str">
            <v>Tekhne</v>
          </cell>
        </row>
        <row r="454">
          <cell r="A454" t="str">
            <v>Mdeo refuerzo hierro vigas cim</v>
          </cell>
          <cell r="B454" t="str">
            <v>Mdeo mamposteria (25)</v>
          </cell>
          <cell r="C454" t="str">
            <v>Tn</v>
          </cell>
          <cell r="D454">
            <v>230000</v>
          </cell>
          <cell r="E454" t="str">
            <v>Tekhne</v>
          </cell>
        </row>
        <row r="455">
          <cell r="A455" t="str">
            <v>Mdeo refuerzo hierro zapatas</v>
          </cell>
          <cell r="B455" t="str">
            <v>Mdeo mamposteria (25)</v>
          </cell>
          <cell r="C455" t="str">
            <v>Tn</v>
          </cell>
          <cell r="D455">
            <v>230000</v>
          </cell>
          <cell r="E455" t="str">
            <v>Tekhne</v>
          </cell>
        </row>
        <row r="456">
          <cell r="A456" t="str">
            <v>Mdeo refuerzo malla kg</v>
          </cell>
          <cell r="B456" t="str">
            <v>Mdeo mamposteria (25)</v>
          </cell>
          <cell r="C456" t="str">
            <v>Kg</v>
          </cell>
          <cell r="D456">
            <v>500</v>
          </cell>
          <cell r="E456" t="str">
            <v>Tekhne</v>
          </cell>
        </row>
        <row r="457">
          <cell r="A457" t="str">
            <v>Mdeo refuerzo malla muros</v>
          </cell>
          <cell r="B457" t="str">
            <v>Mdeo mamposteria (25)</v>
          </cell>
          <cell r="C457" t="str">
            <v>M2</v>
          </cell>
          <cell r="D457">
            <v>1500</v>
          </cell>
          <cell r="E457" t="str">
            <v>Tekhne</v>
          </cell>
        </row>
        <row r="458">
          <cell r="A458" t="str">
            <v>Mdeo refuerzo malla placa maci</v>
          </cell>
          <cell r="B458" t="str">
            <v>Mdeo mamposteria (25)</v>
          </cell>
          <cell r="C458" t="str">
            <v>M2</v>
          </cell>
          <cell r="D458">
            <v>1500</v>
          </cell>
          <cell r="E458" t="str">
            <v>Tekhne</v>
          </cell>
        </row>
        <row r="459">
          <cell r="A459" t="str">
            <v>Mdeo registro</v>
          </cell>
          <cell r="B459" t="str">
            <v>Mdeo inst. Hidraulic/sanit/lat (32)</v>
          </cell>
          <cell r="C459" t="str">
            <v>Un</v>
          </cell>
          <cell r="D459">
            <v>2357.67</v>
          </cell>
          <cell r="E459" t="str">
            <v>Tekhne</v>
          </cell>
        </row>
        <row r="460">
          <cell r="A460" t="str">
            <v>Mdeo regulador gas rp 40</v>
          </cell>
          <cell r="B460" t="str">
            <v>Mdeo inst. De gas (45)</v>
          </cell>
          <cell r="C460" t="str">
            <v>Un</v>
          </cell>
          <cell r="D460">
            <v>7272</v>
          </cell>
          <cell r="E460" t="str">
            <v>Tekhne</v>
          </cell>
        </row>
        <row r="461">
          <cell r="A461" t="str">
            <v>Mdeo rejilla</v>
          </cell>
          <cell r="B461" t="str">
            <v>Mdeo enchapes/accesorios/papel (31)</v>
          </cell>
          <cell r="C461" t="str">
            <v>Un</v>
          </cell>
          <cell r="D461">
            <v>1500</v>
          </cell>
          <cell r="E461" t="str">
            <v>Tekhne</v>
          </cell>
        </row>
        <row r="462">
          <cell r="A462" t="str">
            <v>Mdeo rejilla de ventilacion</v>
          </cell>
          <cell r="B462" t="str">
            <v>Mdeo inst. De gas (45)</v>
          </cell>
          <cell r="C462" t="str">
            <v>Un</v>
          </cell>
          <cell r="D462">
            <v>12000</v>
          </cell>
          <cell r="E462" t="str">
            <v>Tekhne</v>
          </cell>
        </row>
        <row r="463">
          <cell r="A463" t="str">
            <v>Mdeo rejillas ventilacion</v>
          </cell>
          <cell r="B463" t="str">
            <v>Mdeo enchapes/accesorios/papel (31)</v>
          </cell>
          <cell r="C463" t="str">
            <v>Un</v>
          </cell>
          <cell r="D463">
            <v>1500</v>
          </cell>
          <cell r="E463" t="str">
            <v>Tekhne</v>
          </cell>
        </row>
        <row r="464">
          <cell r="A464" t="str">
            <v>Mdeo rellenos recebo</v>
          </cell>
          <cell r="B464" t="str">
            <v>Mdeo preliminares/limp.terreno (22)</v>
          </cell>
          <cell r="C464" t="str">
            <v>M3</v>
          </cell>
          <cell r="D464">
            <v>6000</v>
          </cell>
          <cell r="E464" t="str">
            <v>Tekhne</v>
          </cell>
        </row>
        <row r="465">
          <cell r="A465" t="str">
            <v>Mdeo remates ladrillo prensado</v>
          </cell>
          <cell r="B465" t="str">
            <v>Mdeo mamposteria (25)</v>
          </cell>
          <cell r="C465" t="str">
            <v>Ml</v>
          </cell>
          <cell r="D465">
            <v>3000</v>
          </cell>
          <cell r="E465" t="str">
            <v>Tekhne</v>
          </cell>
        </row>
        <row r="466">
          <cell r="A466" t="str">
            <v>Mdeo replanteo exterior</v>
          </cell>
          <cell r="B466" t="str">
            <v>Mdeo preliminares/limp.terreno (22)</v>
          </cell>
          <cell r="C466" t="str">
            <v>M2</v>
          </cell>
          <cell r="D466">
            <v>1853</v>
          </cell>
          <cell r="E466" t="str">
            <v>Tekhne</v>
          </cell>
        </row>
        <row r="467">
          <cell r="A467" t="str">
            <v>Mdeo replanteo interior</v>
          </cell>
          <cell r="B467" t="str">
            <v>Mdeo mamposteria (25)</v>
          </cell>
          <cell r="C467" t="str">
            <v>M2</v>
          </cell>
          <cell r="D467">
            <v>1200</v>
          </cell>
          <cell r="E467" t="str">
            <v>Tekhne</v>
          </cell>
        </row>
        <row r="468">
          <cell r="A468" t="str">
            <v>Mdeo resanes generales</v>
          </cell>
          <cell r="B468" t="str">
            <v>Mdeo pañetes (26)</v>
          </cell>
          <cell r="C468" t="str">
            <v>M2</v>
          </cell>
          <cell r="D468">
            <v>2000</v>
          </cell>
          <cell r="E468" t="str">
            <v>Tekhne</v>
          </cell>
        </row>
        <row r="469">
          <cell r="A469" t="str">
            <v>Mdeo retenida media tension</v>
          </cell>
          <cell r="B469" t="str">
            <v>Mdeo inst. Electricas (33)</v>
          </cell>
          <cell r="C469" t="str">
            <v>Un</v>
          </cell>
          <cell r="D469">
            <v>3296</v>
          </cell>
          <cell r="E469" t="str">
            <v>Tekhne</v>
          </cell>
        </row>
        <row r="470">
          <cell r="A470" t="str">
            <v>Mdeo retenida term. Poste</v>
          </cell>
          <cell r="B470" t="str">
            <v>Mdeo inst. Electricas (33)</v>
          </cell>
          <cell r="C470" t="str">
            <v>Un</v>
          </cell>
          <cell r="D470">
            <v>19474.21</v>
          </cell>
          <cell r="E470" t="str">
            <v>Tekhne</v>
          </cell>
        </row>
        <row r="471">
          <cell r="A471" t="str">
            <v>Mdeo retiro sobrantes</v>
          </cell>
          <cell r="B471" t="str">
            <v>Mdeo preliminares/limp.terreno (22)</v>
          </cell>
          <cell r="C471" t="str">
            <v>M3</v>
          </cell>
          <cell r="D471">
            <v>5000</v>
          </cell>
          <cell r="E471" t="str">
            <v>Tekhne</v>
          </cell>
        </row>
        <row r="472">
          <cell r="A472" t="str">
            <v>Mdeo rustico muros ext.</v>
          </cell>
          <cell r="B472" t="str">
            <v>Mdeo pañetes (26)</v>
          </cell>
          <cell r="C472" t="str">
            <v>M2</v>
          </cell>
          <cell r="D472">
            <v>5000</v>
          </cell>
          <cell r="E472" t="str">
            <v>Tekhne</v>
          </cell>
        </row>
        <row r="473">
          <cell r="A473" t="str">
            <v>Mdeo rustico placas</v>
          </cell>
          <cell r="B473" t="str">
            <v>Mdeo pañetes (26)</v>
          </cell>
          <cell r="C473" t="str">
            <v>M2</v>
          </cell>
          <cell r="D473">
            <v>5000</v>
          </cell>
          <cell r="E473" t="str">
            <v>Tekhne</v>
          </cell>
        </row>
        <row r="474">
          <cell r="A474" t="str">
            <v>Mdeo salida alarma pvc</v>
          </cell>
          <cell r="B474" t="str">
            <v>Mdeo inst. Electricas (33)</v>
          </cell>
          <cell r="C474" t="str">
            <v>Un</v>
          </cell>
          <cell r="D474">
            <v>13390</v>
          </cell>
          <cell r="E474" t="str">
            <v>Tekhne</v>
          </cell>
        </row>
        <row r="475">
          <cell r="A475" t="str">
            <v>Mdeo salida amplificador</v>
          </cell>
          <cell r="B475" t="str">
            <v>Mdeo inst. Electricas (33)</v>
          </cell>
          <cell r="C475" t="str">
            <v>Un</v>
          </cell>
          <cell r="D475">
            <v>13390</v>
          </cell>
          <cell r="E475" t="str">
            <v>Tekhne</v>
          </cell>
        </row>
        <row r="476">
          <cell r="A476" t="str">
            <v>Mdeo salida bifasica y trifas.</v>
          </cell>
          <cell r="B476" t="str">
            <v>Mdeo inst. Electricas (33)</v>
          </cell>
          <cell r="C476" t="str">
            <v>Un</v>
          </cell>
          <cell r="D476">
            <v>19570</v>
          </cell>
          <cell r="E476" t="str">
            <v>Tekhne</v>
          </cell>
        </row>
        <row r="477">
          <cell r="A477" t="str">
            <v>Mdeo salida citofono</v>
          </cell>
          <cell r="B477" t="str">
            <v>Mdeo inst. Electricas (33)</v>
          </cell>
          <cell r="C477" t="str">
            <v>Un</v>
          </cell>
          <cell r="D477">
            <v>13390</v>
          </cell>
          <cell r="E477" t="str">
            <v>Tekhne</v>
          </cell>
        </row>
        <row r="478">
          <cell r="A478" t="str">
            <v>Mdeo salida fotocelda</v>
          </cell>
          <cell r="B478" t="str">
            <v>Mdeo inst. Electricas (33)</v>
          </cell>
          <cell r="C478" t="str">
            <v>Un</v>
          </cell>
          <cell r="D478">
            <v>13390</v>
          </cell>
          <cell r="E478" t="str">
            <v>Tekhne</v>
          </cell>
        </row>
        <row r="479">
          <cell r="A479" t="str">
            <v>Mdeo salida monofasica</v>
          </cell>
          <cell r="B479" t="str">
            <v>Mdeo inst. Electricas (33)</v>
          </cell>
          <cell r="C479" t="str">
            <v>Un</v>
          </cell>
          <cell r="D479">
            <v>13390</v>
          </cell>
          <cell r="E479" t="str">
            <v>Tekhne</v>
          </cell>
        </row>
        <row r="480">
          <cell r="A480" t="str">
            <v>Mdeo salida sonido</v>
          </cell>
          <cell r="B480" t="str">
            <v>Mdeo inst. Electricas (33)</v>
          </cell>
          <cell r="C480" t="str">
            <v>Un</v>
          </cell>
          <cell r="D480">
            <v>13390</v>
          </cell>
          <cell r="E480" t="str">
            <v>Tekhne</v>
          </cell>
        </row>
        <row r="481">
          <cell r="A481" t="str">
            <v>Mdeo salida telefono/timbre</v>
          </cell>
          <cell r="B481" t="str">
            <v>Mdeo inst. Electricas (33)</v>
          </cell>
          <cell r="C481" t="str">
            <v>Un</v>
          </cell>
          <cell r="D481">
            <v>13390</v>
          </cell>
          <cell r="E481" t="str">
            <v>Tekhne</v>
          </cell>
        </row>
        <row r="482">
          <cell r="A482" t="str">
            <v>Mdeo salida tv</v>
          </cell>
          <cell r="B482" t="str">
            <v>Mdeo inst. Electricas (33)</v>
          </cell>
          <cell r="C482" t="str">
            <v>Un</v>
          </cell>
          <cell r="D482">
            <v>13390</v>
          </cell>
          <cell r="E482" t="str">
            <v>Tekhne</v>
          </cell>
        </row>
        <row r="483">
          <cell r="A483" t="str">
            <v>Mdeo salida ventilador</v>
          </cell>
          <cell r="B483" t="str">
            <v>Mdeo inst. Electricas (33)</v>
          </cell>
          <cell r="C483" t="str">
            <v>Un</v>
          </cell>
          <cell r="D483">
            <v>13390</v>
          </cell>
          <cell r="E483" t="str">
            <v>Tekhne</v>
          </cell>
        </row>
        <row r="484">
          <cell r="A484" t="str">
            <v>Mdeo salida voz y datos</v>
          </cell>
          <cell r="B484" t="str">
            <v>Mdeo cableado estructurado (47)</v>
          </cell>
          <cell r="C484" t="str">
            <v>Un</v>
          </cell>
          <cell r="D484">
            <v>13130</v>
          </cell>
          <cell r="E484" t="str">
            <v>Tekhne</v>
          </cell>
        </row>
        <row r="485">
          <cell r="A485" t="str">
            <v>Mdeo sanitario fluxometro</v>
          </cell>
          <cell r="B485" t="str">
            <v>Mdeo inst. Hidraulic/sanit/lat (32)</v>
          </cell>
          <cell r="C485" t="str">
            <v>Un</v>
          </cell>
          <cell r="D485">
            <v>31435.599999999999</v>
          </cell>
          <cell r="E485" t="str">
            <v>Tekhne</v>
          </cell>
        </row>
        <row r="486">
          <cell r="A486" t="str">
            <v>Mdeo sanitario tanque</v>
          </cell>
          <cell r="B486" t="str">
            <v>Mdeo inst. Hidraulic/sanit/lat (32)</v>
          </cell>
          <cell r="C486" t="str">
            <v>Un</v>
          </cell>
          <cell r="D486">
            <v>20769.95</v>
          </cell>
          <cell r="E486" t="str">
            <v>Tekhne</v>
          </cell>
        </row>
        <row r="487">
          <cell r="A487" t="str">
            <v>Mdeo sardinel</v>
          </cell>
          <cell r="B487" t="str">
            <v>Mdeo obras exteriores (37)</v>
          </cell>
          <cell r="C487" t="str">
            <v>Ml</v>
          </cell>
          <cell r="D487">
            <v>3000</v>
          </cell>
          <cell r="E487" t="str">
            <v>Tekhne</v>
          </cell>
        </row>
        <row r="488">
          <cell r="A488" t="str">
            <v>Mdeo separador</v>
          </cell>
          <cell r="B488" t="str">
            <v>Mdeo obras exteriores (37)</v>
          </cell>
          <cell r="C488" t="str">
            <v>Ml</v>
          </cell>
          <cell r="D488">
            <v>4000</v>
          </cell>
          <cell r="E488" t="str">
            <v>Tekhne</v>
          </cell>
        </row>
        <row r="489">
          <cell r="A489" t="str">
            <v>Mdeo shingle con imperm.</v>
          </cell>
          <cell r="B489" t="str">
            <v>Mdeo cubiertas (27)</v>
          </cell>
          <cell r="C489" t="str">
            <v>M2</v>
          </cell>
          <cell r="D489">
            <v>6000</v>
          </cell>
          <cell r="E489" t="str">
            <v>Tekhne</v>
          </cell>
        </row>
        <row r="490">
          <cell r="A490" t="str">
            <v>Mdeo shute de basuras (inst)</v>
          </cell>
          <cell r="B490" t="str">
            <v>Mdeo mamposteria (25)</v>
          </cell>
          <cell r="C490" t="str">
            <v>Un</v>
          </cell>
          <cell r="D490">
            <v>25000</v>
          </cell>
          <cell r="E490" t="str">
            <v>Tekhne</v>
          </cell>
        </row>
        <row r="491">
          <cell r="A491" t="str">
            <v>Mdeo sika fachada</v>
          </cell>
          <cell r="B491" t="str">
            <v>Mdeo pintura (38)</v>
          </cell>
          <cell r="C491" t="str">
            <v>M2</v>
          </cell>
          <cell r="D491">
            <v>1908.59</v>
          </cell>
          <cell r="E491" t="str">
            <v>Tekhne</v>
          </cell>
        </row>
        <row r="492">
          <cell r="A492" t="str">
            <v>Mdeo sobrecimiento</v>
          </cell>
          <cell r="B492" t="str">
            <v>Mdeo cimentacion y estructura (24)</v>
          </cell>
          <cell r="C492" t="str">
            <v>M3</v>
          </cell>
          <cell r="D492">
            <v>78958</v>
          </cell>
          <cell r="E492" t="str">
            <v>Tekhne</v>
          </cell>
        </row>
        <row r="493">
          <cell r="A493" t="str">
            <v>Mdeo sobrecimientos .12/.15</v>
          </cell>
          <cell r="B493" t="str">
            <v>Mdeo mamposteria (25)</v>
          </cell>
          <cell r="C493" t="str">
            <v>Ml</v>
          </cell>
          <cell r="D493">
            <v>5500</v>
          </cell>
          <cell r="E493" t="str">
            <v>Tekhne</v>
          </cell>
        </row>
        <row r="494">
          <cell r="A494" t="str">
            <v>Mdeo sobrecimientos 0.25</v>
          </cell>
          <cell r="B494" t="str">
            <v>Mdeo mamposteria (25)</v>
          </cell>
          <cell r="C494" t="str">
            <v>Ml</v>
          </cell>
          <cell r="D494">
            <v>6000</v>
          </cell>
          <cell r="E494" t="str">
            <v>Tekhne</v>
          </cell>
        </row>
        <row r="495">
          <cell r="A495" t="str">
            <v>Mdeo steel deck</v>
          </cell>
          <cell r="B495" t="str">
            <v>Mdeo cimentacion y estructura (24)</v>
          </cell>
          <cell r="C495" t="str">
            <v>M2</v>
          </cell>
          <cell r="D495">
            <v>35000</v>
          </cell>
          <cell r="E495" t="str">
            <v>Tekhne</v>
          </cell>
        </row>
        <row r="496">
          <cell r="A496" t="str">
            <v>Mdeo subestacion local</v>
          </cell>
          <cell r="B496" t="str">
            <v>Mdeo inst. Electricas (33)</v>
          </cell>
          <cell r="C496" t="str">
            <v>Un</v>
          </cell>
          <cell r="D496">
            <v>104000</v>
          </cell>
          <cell r="E496" t="str">
            <v>Tekhne</v>
          </cell>
        </row>
        <row r="497">
          <cell r="A497" t="str">
            <v>Mdeo superacustico</v>
          </cell>
          <cell r="B497" t="str">
            <v>Mdeo cielorasos (28)</v>
          </cell>
          <cell r="C497" t="str">
            <v>M2</v>
          </cell>
          <cell r="D497">
            <v>3090</v>
          </cell>
          <cell r="E497" t="str">
            <v>Tekhne</v>
          </cell>
        </row>
        <row r="498">
          <cell r="A498" t="str">
            <v>Mdeo supercel</v>
          </cell>
          <cell r="B498" t="str">
            <v>Mdeo cielorasos (28)</v>
          </cell>
          <cell r="C498" t="str">
            <v>M2</v>
          </cell>
          <cell r="D498">
            <v>3090</v>
          </cell>
          <cell r="E498" t="str">
            <v>Tekhne</v>
          </cell>
        </row>
        <row r="499">
          <cell r="A499" t="str">
            <v>Mdeo tabl.parciales 12-circuit</v>
          </cell>
          <cell r="B499" t="str">
            <v>Mdeo inst. Electricas (33)</v>
          </cell>
          <cell r="C499" t="str">
            <v>Un</v>
          </cell>
          <cell r="D499">
            <v>15605.53</v>
          </cell>
          <cell r="E499" t="str">
            <v>Tekhne</v>
          </cell>
        </row>
        <row r="500">
          <cell r="A500" t="str">
            <v>Mdeo tabl.parciales 18-circuit</v>
          </cell>
          <cell r="B500" t="str">
            <v>Mdeo inst. Electricas (33)</v>
          </cell>
          <cell r="C500" t="str">
            <v>Un</v>
          </cell>
          <cell r="D500">
            <v>31211.06</v>
          </cell>
          <cell r="E500" t="str">
            <v>Tekhne</v>
          </cell>
        </row>
        <row r="501">
          <cell r="A501" t="str">
            <v>Mdeo tabl.parciales 4 circuit</v>
          </cell>
          <cell r="B501" t="str">
            <v>Mdeo inst. Electricas (33)</v>
          </cell>
          <cell r="C501" t="str">
            <v>Un</v>
          </cell>
          <cell r="D501">
            <v>15717.8</v>
          </cell>
          <cell r="E501" t="str">
            <v>Tekhne</v>
          </cell>
        </row>
        <row r="502">
          <cell r="A502" t="str">
            <v>Mdeo tablero gral. 10 cuentas</v>
          </cell>
          <cell r="B502" t="str">
            <v>Mdeo inst. Electricas (33)</v>
          </cell>
          <cell r="C502" t="str">
            <v>Un</v>
          </cell>
          <cell r="D502">
            <v>548663.49</v>
          </cell>
          <cell r="E502" t="str">
            <v>Tekhne</v>
          </cell>
        </row>
        <row r="503">
          <cell r="A503" t="str">
            <v>Mdeo tableta /tablon.</v>
          </cell>
          <cell r="B503" t="str">
            <v>Mdeo pisos (acabados y bases) (30)</v>
          </cell>
          <cell r="C503" t="str">
            <v>M2</v>
          </cell>
          <cell r="D503">
            <v>7000</v>
          </cell>
          <cell r="E503" t="str">
            <v>Tekhne</v>
          </cell>
        </row>
        <row r="504">
          <cell r="A504" t="str">
            <v>Mdeo tablex</v>
          </cell>
          <cell r="B504" t="str">
            <v>Mdeo cielorasos (28)</v>
          </cell>
          <cell r="C504" t="str">
            <v>M2</v>
          </cell>
          <cell r="D504">
            <v>4120</v>
          </cell>
          <cell r="E504" t="str">
            <v>Tekhne</v>
          </cell>
        </row>
        <row r="505">
          <cell r="A505" t="str">
            <v>Mdeo tanque elevado</v>
          </cell>
          <cell r="B505" t="str">
            <v>Mdeo cimentacion y estructura (24)</v>
          </cell>
          <cell r="C505" t="str">
            <v>M3</v>
          </cell>
          <cell r="D505">
            <v>160000</v>
          </cell>
          <cell r="E505" t="str">
            <v>Tekhne</v>
          </cell>
        </row>
        <row r="506">
          <cell r="A506" t="str">
            <v>Mdeo tanque elevado (conexion)</v>
          </cell>
          <cell r="B506" t="str">
            <v>Mdeo inst. Hidraulic/sanit/lat (32)</v>
          </cell>
          <cell r="C506" t="str">
            <v>Un</v>
          </cell>
          <cell r="D506">
            <v>89816</v>
          </cell>
          <cell r="E506" t="str">
            <v>Tekhne</v>
          </cell>
        </row>
        <row r="507">
          <cell r="A507" t="str">
            <v>Mdeo tanque elevado galv.</v>
          </cell>
          <cell r="B507" t="str">
            <v>Mdeo inst. Hidraulic/sanit/lat (32)</v>
          </cell>
          <cell r="C507" t="str">
            <v>Un</v>
          </cell>
          <cell r="D507">
            <v>156167.57</v>
          </cell>
          <cell r="E507" t="str">
            <v>Tekhne</v>
          </cell>
        </row>
        <row r="508">
          <cell r="A508" t="str">
            <v>Mdeo tanque subterraneo</v>
          </cell>
          <cell r="B508" t="str">
            <v>Mdeo cimentacion y estructura (24)</v>
          </cell>
          <cell r="C508" t="str">
            <v>M3</v>
          </cell>
          <cell r="D508">
            <v>120000</v>
          </cell>
          <cell r="E508" t="str">
            <v>Tekhne</v>
          </cell>
        </row>
        <row r="509">
          <cell r="A509" t="str">
            <v>Mdeo tapa pozo via</v>
          </cell>
          <cell r="B509" t="str">
            <v>Mdeo redes servicios y desagüe (23)</v>
          </cell>
          <cell r="C509" t="str">
            <v>Un</v>
          </cell>
          <cell r="D509">
            <v>6867</v>
          </cell>
          <cell r="E509" t="str">
            <v>Tekhne</v>
          </cell>
        </row>
        <row r="510">
          <cell r="A510" t="str">
            <v>Mdeo tapa registro</v>
          </cell>
          <cell r="B510" t="str">
            <v>Mdeo enchapes/accesorios/papel (31)</v>
          </cell>
          <cell r="C510" t="str">
            <v>Un</v>
          </cell>
          <cell r="D510">
            <v>1908.59</v>
          </cell>
          <cell r="E510" t="str">
            <v>Tekhne</v>
          </cell>
        </row>
        <row r="511">
          <cell r="A511" t="str">
            <v>Mdeo tapa sumidero</v>
          </cell>
          <cell r="B511" t="str">
            <v>Mdeo redes servicios y desagüe (23)</v>
          </cell>
          <cell r="C511" t="str">
            <v>Un</v>
          </cell>
          <cell r="D511">
            <v>6500</v>
          </cell>
          <cell r="E511" t="str">
            <v>Tekhne</v>
          </cell>
        </row>
        <row r="512">
          <cell r="A512" t="str">
            <v>Mdeo teja asbesto cemento</v>
          </cell>
          <cell r="B512" t="str">
            <v>Mdeo cubiertas (27)</v>
          </cell>
          <cell r="C512" t="str">
            <v>M2</v>
          </cell>
          <cell r="D512">
            <v>5500</v>
          </cell>
          <cell r="E512" t="str">
            <v>Tekhne</v>
          </cell>
        </row>
        <row r="513">
          <cell r="A513" t="str">
            <v>Mdeo teja cindu</v>
          </cell>
          <cell r="B513" t="str">
            <v>Mdeo cubiertas (27)</v>
          </cell>
          <cell r="C513" t="str">
            <v>M2</v>
          </cell>
          <cell r="D513">
            <v>3000</v>
          </cell>
          <cell r="E513" t="str">
            <v>Tekhne</v>
          </cell>
        </row>
        <row r="514">
          <cell r="A514" t="str">
            <v>Mdeo teja corr. +teja de barro</v>
          </cell>
          <cell r="B514" t="str">
            <v>Mdeo cubiertas (27)</v>
          </cell>
          <cell r="C514" t="str">
            <v>M2</v>
          </cell>
          <cell r="D514">
            <v>5500</v>
          </cell>
          <cell r="E514" t="str">
            <v>Tekhne</v>
          </cell>
        </row>
        <row r="515">
          <cell r="A515" t="str">
            <v>Mdeo teja de barro</v>
          </cell>
          <cell r="B515" t="str">
            <v>Mdeo cubiertas (27)</v>
          </cell>
          <cell r="C515" t="str">
            <v>M2</v>
          </cell>
          <cell r="D515">
            <v>7500</v>
          </cell>
          <cell r="E515" t="str">
            <v>Tekhne</v>
          </cell>
        </row>
        <row r="516">
          <cell r="A516" t="str">
            <v>Mdeo teja española eternit</v>
          </cell>
          <cell r="B516" t="str">
            <v>Mdeo cubiertas (27)</v>
          </cell>
          <cell r="C516" t="str">
            <v>M2</v>
          </cell>
          <cell r="D516">
            <v>3800</v>
          </cell>
          <cell r="E516" t="str">
            <v>Tekhne</v>
          </cell>
        </row>
        <row r="517">
          <cell r="A517" t="str">
            <v>Mdeo tendido de cable</v>
          </cell>
          <cell r="B517" t="str">
            <v>Mdeo inst. Electricas (33)</v>
          </cell>
          <cell r="C517" t="str">
            <v>Ml</v>
          </cell>
          <cell r="D517">
            <v>400</v>
          </cell>
          <cell r="E517" t="str">
            <v>Tekhne</v>
          </cell>
        </row>
        <row r="518">
          <cell r="A518" t="str">
            <v>Mdeo tendido de cable trenzado</v>
          </cell>
          <cell r="B518" t="str">
            <v>Mdeo inst. Electricas (33)</v>
          </cell>
          <cell r="C518" t="str">
            <v>Ml</v>
          </cell>
          <cell r="D518">
            <v>1800</v>
          </cell>
          <cell r="E518" t="str">
            <v>Tekhne</v>
          </cell>
        </row>
        <row r="519">
          <cell r="A519" t="str">
            <v>Mdeo timbre boton</v>
          </cell>
          <cell r="B519" t="str">
            <v>Mdeo inst. Electricas (33)</v>
          </cell>
          <cell r="C519" t="str">
            <v>Un</v>
          </cell>
          <cell r="D519">
            <v>35140.51</v>
          </cell>
          <cell r="E519" t="str">
            <v>Tekhne</v>
          </cell>
        </row>
        <row r="520">
          <cell r="A520" t="str">
            <v>Mdeo tina (conexion)</v>
          </cell>
          <cell r="B520" t="str">
            <v>Mdeo inst. Hidraulic/sanit/lat (32)</v>
          </cell>
          <cell r="C520" t="str">
            <v>Un</v>
          </cell>
          <cell r="D520">
            <v>17626.39</v>
          </cell>
          <cell r="E520" t="str">
            <v>Tekhne</v>
          </cell>
        </row>
        <row r="521">
          <cell r="A521" t="str">
            <v>Mdeo tina (instalacion completa)</v>
          </cell>
          <cell r="B521" t="str">
            <v>Mdeo inst. Hidraulic/sanit/lat (32)</v>
          </cell>
          <cell r="C521" t="str">
            <v>Un</v>
          </cell>
          <cell r="D521">
            <v>85000</v>
          </cell>
          <cell r="E521" t="str">
            <v>Tekhne</v>
          </cell>
        </row>
        <row r="522">
          <cell r="A522" t="str">
            <v>Mdeo tintilla sobre madera lin</v>
          </cell>
          <cell r="B522" t="str">
            <v>Mdeo pintura (38)</v>
          </cell>
          <cell r="C522" t="str">
            <v>Ml</v>
          </cell>
          <cell r="D522">
            <v>515</v>
          </cell>
          <cell r="E522" t="str">
            <v>Tekhne</v>
          </cell>
        </row>
        <row r="523">
          <cell r="A523" t="str">
            <v>Mdeo tintilla sobre madera lle</v>
          </cell>
          <cell r="B523" t="str">
            <v>Mdeo pintura (38)</v>
          </cell>
          <cell r="C523" t="str">
            <v>M2</v>
          </cell>
          <cell r="D523">
            <v>3255.83</v>
          </cell>
          <cell r="E523" t="str">
            <v>Tekhne</v>
          </cell>
        </row>
        <row r="524">
          <cell r="A524" t="str">
            <v>Mdeo tintilla sobre muebles</v>
          </cell>
          <cell r="B524" t="str">
            <v>Mdeo pintura (38)</v>
          </cell>
          <cell r="C524" t="str">
            <v>M2</v>
          </cell>
          <cell r="D524">
            <v>9797.7999999999993</v>
          </cell>
          <cell r="E524" t="str">
            <v>Tekhne</v>
          </cell>
        </row>
        <row r="525">
          <cell r="A525" t="str">
            <v>Mdeo toallero metalico</v>
          </cell>
          <cell r="B525" t="str">
            <v>Mdeo enchapes/accesorios/papel (31)</v>
          </cell>
          <cell r="C525" t="str">
            <v>Un</v>
          </cell>
          <cell r="D525">
            <v>4500</v>
          </cell>
          <cell r="E525" t="str">
            <v>Tekhne</v>
          </cell>
        </row>
        <row r="526">
          <cell r="A526" t="str">
            <v>Mdeo tragante</v>
          </cell>
          <cell r="B526" t="str">
            <v>Mdeo inst. Hidraulic/sanit/lat (32)</v>
          </cell>
          <cell r="C526" t="str">
            <v>Un</v>
          </cell>
          <cell r="D526">
            <v>3143.56</v>
          </cell>
          <cell r="E526" t="str">
            <v>Tekhne</v>
          </cell>
        </row>
        <row r="527">
          <cell r="A527" t="str">
            <v>Mdeo tragantes</v>
          </cell>
          <cell r="B527" t="str">
            <v>Mdeo cubiertas (27)</v>
          </cell>
          <cell r="C527" t="str">
            <v>Un</v>
          </cell>
          <cell r="D527">
            <v>3200</v>
          </cell>
          <cell r="E527" t="str">
            <v>Tekhne</v>
          </cell>
        </row>
        <row r="528">
          <cell r="A528" t="str">
            <v>Mdeo transformador</v>
          </cell>
          <cell r="B528" t="str">
            <v>Mdeo inst. Electricas (33)</v>
          </cell>
          <cell r="C528" t="str">
            <v>Un</v>
          </cell>
          <cell r="D528">
            <v>261620</v>
          </cell>
          <cell r="E528" t="str">
            <v>Tekhne</v>
          </cell>
        </row>
        <row r="529">
          <cell r="A529" t="str">
            <v>Mdeo tuberia cemento 8"</v>
          </cell>
          <cell r="B529" t="str">
            <v>Mdeo redes servicios y desagüe (23)</v>
          </cell>
          <cell r="C529" t="str">
            <v>Ml</v>
          </cell>
          <cell r="D529">
            <v>5341</v>
          </cell>
          <cell r="E529" t="str">
            <v>Tekhne</v>
          </cell>
        </row>
        <row r="530">
          <cell r="A530" t="str">
            <v>Mdeo tuberia cobre</v>
          </cell>
          <cell r="B530" t="str">
            <v>Mdeo inst. De gas (45)</v>
          </cell>
          <cell r="C530" t="str">
            <v>Un</v>
          </cell>
          <cell r="D530">
            <v>1976.6</v>
          </cell>
          <cell r="E530" t="str">
            <v>Tekhne</v>
          </cell>
        </row>
        <row r="531">
          <cell r="A531" t="str">
            <v>Mdeo tuberia cobre 3/4"</v>
          </cell>
          <cell r="B531" t="str">
            <v>Mdeo inst. De gas (45)</v>
          </cell>
          <cell r="C531" t="str">
            <v>Un</v>
          </cell>
          <cell r="D531">
            <v>3107.72</v>
          </cell>
          <cell r="E531" t="str">
            <v>Tekhne</v>
          </cell>
        </row>
        <row r="532">
          <cell r="A532" t="str">
            <v>Mdeo tuberia de drenaje gres</v>
          </cell>
          <cell r="B532" t="str">
            <v>Mdeo redes servicios y desagüe (23)</v>
          </cell>
          <cell r="C532" t="str">
            <v>Ml</v>
          </cell>
          <cell r="D532">
            <v>5000</v>
          </cell>
          <cell r="E532" t="str">
            <v>Tekhne</v>
          </cell>
        </row>
        <row r="533">
          <cell r="A533" t="str">
            <v>Mdeo tuberia de drenaje pavco</v>
          </cell>
          <cell r="B533" t="str">
            <v>Mdeo redes servicios y desagüe (23)</v>
          </cell>
          <cell r="C533" t="str">
            <v>Ml</v>
          </cell>
          <cell r="D533">
            <v>2725</v>
          </cell>
          <cell r="E533" t="str">
            <v>Tekhne</v>
          </cell>
        </row>
        <row r="534">
          <cell r="A534" t="str">
            <v>Mdeo tuberia gres 4"-1.0 m</v>
          </cell>
          <cell r="B534" t="str">
            <v>Mdeo redes servicios y desagüe (23)</v>
          </cell>
          <cell r="C534" t="str">
            <v>Ml</v>
          </cell>
          <cell r="D534">
            <v>5500</v>
          </cell>
          <cell r="E534" t="str">
            <v>Tekhne</v>
          </cell>
        </row>
        <row r="535">
          <cell r="A535" t="str">
            <v>Mdeo tuberia gres 6"-1.00 m</v>
          </cell>
          <cell r="B535" t="str">
            <v>Mdeo redes servicios y desagüe (23)</v>
          </cell>
          <cell r="C535" t="str">
            <v>Ml</v>
          </cell>
          <cell r="D535">
            <v>4687</v>
          </cell>
          <cell r="E535" t="str">
            <v>Tekhne</v>
          </cell>
        </row>
        <row r="536">
          <cell r="A536" t="str">
            <v>Mdeo tuberia gres 8" a 10"</v>
          </cell>
          <cell r="B536" t="str">
            <v>Mdeo obras exteriores (37)</v>
          </cell>
          <cell r="C536" t="str">
            <v>Ml</v>
          </cell>
          <cell r="D536">
            <v>5372.35</v>
          </cell>
          <cell r="E536" t="str">
            <v>Tekhne</v>
          </cell>
        </row>
        <row r="537">
          <cell r="A537" t="str">
            <v>Mdeo tuberia novafort 110-315m</v>
          </cell>
          <cell r="B537" t="str">
            <v>Mdeo redes servicios y desagüe (23)</v>
          </cell>
          <cell r="C537" t="str">
            <v>Ml</v>
          </cell>
          <cell r="D537">
            <v>4000</v>
          </cell>
          <cell r="E537" t="str">
            <v>Tekhne</v>
          </cell>
        </row>
        <row r="538">
          <cell r="A538" t="str">
            <v>Mdeo tuberia novafort 400-500m</v>
          </cell>
          <cell r="B538" t="str">
            <v>Mdeo redes servicios y desagüe (23)</v>
          </cell>
          <cell r="C538" t="str">
            <v>Ml</v>
          </cell>
          <cell r="D538">
            <v>5000</v>
          </cell>
          <cell r="E538" t="str">
            <v>Tekhne</v>
          </cell>
        </row>
        <row r="539">
          <cell r="A539" t="str">
            <v>Mdeo tubo cortina</v>
          </cell>
          <cell r="B539" t="str">
            <v>Mdeo enchapes/accesorios/papel (31)</v>
          </cell>
          <cell r="C539" t="str">
            <v>Ml</v>
          </cell>
          <cell r="D539">
            <v>1500</v>
          </cell>
          <cell r="E539" t="str">
            <v>Tekhne</v>
          </cell>
        </row>
        <row r="540">
          <cell r="A540" t="str">
            <v>Mdeo tuerca de ojo</v>
          </cell>
          <cell r="B540" t="str">
            <v>Mdeo inst. Electricas (33)</v>
          </cell>
          <cell r="C540" t="str">
            <v>Un</v>
          </cell>
          <cell r="D540">
            <v>721</v>
          </cell>
          <cell r="E540" t="str">
            <v>Tekhne</v>
          </cell>
        </row>
        <row r="541">
          <cell r="A541" t="str">
            <v>Mdeo unidad incrustacion</v>
          </cell>
          <cell r="B541" t="str">
            <v>Mdeo enchapes/accesorios/papel (31)</v>
          </cell>
          <cell r="C541" t="str">
            <v>Un</v>
          </cell>
          <cell r="D541">
            <v>2896.57</v>
          </cell>
          <cell r="E541" t="str">
            <v>Tekhne</v>
          </cell>
        </row>
        <row r="542">
          <cell r="A542" t="str">
            <v>Mdeo vaciado concr.pobre e=.05</v>
          </cell>
          <cell r="B542" t="str">
            <v>Mdeo cimentacion y estructura (24)</v>
          </cell>
          <cell r="C542" t="str">
            <v>M2</v>
          </cell>
          <cell r="D542">
            <v>2500</v>
          </cell>
          <cell r="E542" t="str">
            <v>Tekhne</v>
          </cell>
        </row>
        <row r="543">
          <cell r="A543" t="str">
            <v>Mdeo vaciado concreto pobre</v>
          </cell>
          <cell r="B543" t="str">
            <v>Mdeo cimentacion y estructura (24)</v>
          </cell>
          <cell r="C543" t="str">
            <v>M3</v>
          </cell>
          <cell r="D543">
            <v>11000</v>
          </cell>
          <cell r="E543" t="str">
            <v>Tekhne</v>
          </cell>
        </row>
        <row r="544">
          <cell r="A544" t="str">
            <v>Mdeo valvula gas</v>
          </cell>
          <cell r="B544" t="str">
            <v>Mdeo inst. De gas (45)</v>
          </cell>
          <cell r="C544" t="str">
            <v>Un</v>
          </cell>
          <cell r="D544">
            <v>1144.3499999999999</v>
          </cell>
          <cell r="E544" t="str">
            <v>Tekhne</v>
          </cell>
        </row>
        <row r="545">
          <cell r="A545" t="str">
            <v>Mdeo valvula lavadero (inst)</v>
          </cell>
          <cell r="B545" t="str">
            <v>Mdeo inst. Hidraulic/sanit/lat (32)</v>
          </cell>
          <cell r="C545" t="str">
            <v>Un</v>
          </cell>
          <cell r="D545">
            <v>2357.67</v>
          </cell>
          <cell r="E545" t="str">
            <v>Tekhne</v>
          </cell>
        </row>
        <row r="546">
          <cell r="A546" t="str">
            <v>Mdeo ventan. Mad. (hech/inst)</v>
          </cell>
          <cell r="B546" t="str">
            <v>Mdeo carpinterias (34)</v>
          </cell>
          <cell r="C546" t="str">
            <v>M2</v>
          </cell>
          <cell r="D546">
            <v>17626.39</v>
          </cell>
          <cell r="E546" t="str">
            <v>Tekhne</v>
          </cell>
        </row>
        <row r="547">
          <cell r="A547" t="str">
            <v>Mdeo vestida estructura</v>
          </cell>
          <cell r="B547" t="str">
            <v>Mdeo inst. Electricas (33)</v>
          </cell>
          <cell r="C547" t="str">
            <v>Un</v>
          </cell>
          <cell r="D547">
            <v>31073.040000000001</v>
          </cell>
          <cell r="E547" t="str">
            <v>Tekhne</v>
          </cell>
        </row>
        <row r="548">
          <cell r="A548" t="str">
            <v>Mdeo viga amarre .20x.20 m.cierre</v>
          </cell>
          <cell r="B548" t="str">
            <v>Mdeo obras exteriores (37)</v>
          </cell>
          <cell r="C548" t="str">
            <v>M3</v>
          </cell>
          <cell r="D548">
            <v>93056.14</v>
          </cell>
          <cell r="E548" t="str">
            <v>Tekhne</v>
          </cell>
        </row>
        <row r="549">
          <cell r="A549" t="str">
            <v>Mdeo viga cimentacion</v>
          </cell>
          <cell r="B549" t="str">
            <v>Mdeo cimentacion y estructura (24)</v>
          </cell>
          <cell r="C549" t="str">
            <v>M3</v>
          </cell>
          <cell r="D549">
            <v>50000</v>
          </cell>
          <cell r="E549" t="str">
            <v>Tekhne</v>
          </cell>
        </row>
        <row r="550">
          <cell r="A550" t="str">
            <v>Mdeo viga de amarre cimiento</v>
          </cell>
          <cell r="B550" t="str">
            <v>Mdeo cimentacion y estructura (24)</v>
          </cell>
          <cell r="C550" t="str">
            <v>M3</v>
          </cell>
          <cell r="D550">
            <v>5000</v>
          </cell>
          <cell r="E550" t="str">
            <v>Tekhne</v>
          </cell>
        </row>
        <row r="551">
          <cell r="A551" t="str">
            <v>Mdeo vigas aereas caballetes</v>
          </cell>
          <cell r="B551" t="str">
            <v>Mdeo cimentacion y estructura (24)</v>
          </cell>
          <cell r="C551" t="str">
            <v>M3</v>
          </cell>
          <cell r="D551">
            <v>120000</v>
          </cell>
          <cell r="E551" t="str">
            <v>Tekhne</v>
          </cell>
        </row>
        <row r="552">
          <cell r="A552" t="str">
            <v>Mdeo vigas aereas de cubierta</v>
          </cell>
          <cell r="B552" t="str">
            <v>Mdeo cimentacion y estructura (24)</v>
          </cell>
          <cell r="C552" t="str">
            <v>M3</v>
          </cell>
          <cell r="D552">
            <v>80000</v>
          </cell>
          <cell r="E552" t="str">
            <v>Tekhne</v>
          </cell>
        </row>
        <row r="553">
          <cell r="A553" t="str">
            <v>Mdeo vigas canales</v>
          </cell>
          <cell r="B553" t="str">
            <v>Mdeo cimentacion y estructura (24)</v>
          </cell>
          <cell r="C553" t="str">
            <v>M3</v>
          </cell>
          <cell r="D553">
            <v>120000</v>
          </cell>
          <cell r="E553" t="str">
            <v>Tekhne</v>
          </cell>
        </row>
        <row r="554">
          <cell r="A554" t="str">
            <v>Mdeo vigas de cubierta 15 x 15</v>
          </cell>
          <cell r="B554" t="str">
            <v>Mdeo cimentacion y estructura (24)</v>
          </cell>
          <cell r="C554" t="str">
            <v>M3</v>
          </cell>
          <cell r="D554">
            <v>120000</v>
          </cell>
          <cell r="E554" t="str">
            <v>Tekhne</v>
          </cell>
        </row>
        <row r="555">
          <cell r="A555" t="str">
            <v>Mdeo vigas tee</v>
          </cell>
          <cell r="B555" t="str">
            <v>Mdeo cimentacion y estructura (24)</v>
          </cell>
          <cell r="C555" t="str">
            <v>M3</v>
          </cell>
          <cell r="D555">
            <v>69500</v>
          </cell>
          <cell r="E555" t="str">
            <v>Tekhne</v>
          </cell>
        </row>
        <row r="556">
          <cell r="A556" t="str">
            <v>Mdeo vigueta ancla r.</v>
          </cell>
          <cell r="B556" t="str">
            <v>Mdeo inst. Electricas (33)</v>
          </cell>
          <cell r="C556" t="str">
            <v>Un</v>
          </cell>
          <cell r="D556">
            <v>4326</v>
          </cell>
          <cell r="E556" t="str">
            <v>Tekhne</v>
          </cell>
        </row>
        <row r="557">
          <cell r="A557" t="str">
            <v>Mdeo vinilo sobre pañete</v>
          </cell>
          <cell r="B557" t="str">
            <v>Mdeo pintura (38)</v>
          </cell>
          <cell r="C557" t="str">
            <v>M2</v>
          </cell>
          <cell r="D557">
            <v>850</v>
          </cell>
          <cell r="E557" t="str">
            <v>Tekhne</v>
          </cell>
        </row>
        <row r="558">
          <cell r="A558" t="str">
            <v>Mdeo wash primer</v>
          </cell>
          <cell r="B558" t="str">
            <v>Mdeo pintura (38)</v>
          </cell>
          <cell r="C558" t="str">
            <v>M2</v>
          </cell>
          <cell r="D558">
            <v>3929.45</v>
          </cell>
          <cell r="E558" t="str">
            <v>Tekhne</v>
          </cell>
        </row>
        <row r="559">
          <cell r="A559" t="str">
            <v>Mdeo zapatas</v>
          </cell>
          <cell r="B559" t="str">
            <v>Mdeo cimentacion y estructura (24)</v>
          </cell>
          <cell r="C559" t="str">
            <v>M3</v>
          </cell>
          <cell r="D559">
            <v>55000</v>
          </cell>
          <cell r="E559" t="str">
            <v>Tekhne</v>
          </cell>
        </row>
        <row r="560">
          <cell r="A560" t="str">
            <v>Mdeo zocalo marmol</v>
          </cell>
          <cell r="B560" t="str">
            <v>Mdeo pisos (acabados y bases) (30)</v>
          </cell>
          <cell r="C560" t="str">
            <v>Ml</v>
          </cell>
          <cell r="D560">
            <v>5500</v>
          </cell>
          <cell r="E560" t="str">
            <v>Tekhne</v>
          </cell>
        </row>
        <row r="561">
          <cell r="A561" t="str">
            <v>Mdeo zocalo tableta/tablon</v>
          </cell>
          <cell r="B561" t="str">
            <v>Mdeo pisos (acabados y bases) (30)</v>
          </cell>
          <cell r="C561" t="str">
            <v>Ml</v>
          </cell>
          <cell r="D561">
            <v>4000</v>
          </cell>
          <cell r="E561" t="str">
            <v>Tekhne</v>
          </cell>
        </row>
        <row r="562">
          <cell r="A562" t="str">
            <v>Mdeo zumbador timbre</v>
          </cell>
          <cell r="B562" t="str">
            <v>Mdeo inst. Electricas (33)</v>
          </cell>
          <cell r="C562" t="str">
            <v>Un</v>
          </cell>
          <cell r="D562">
            <v>18861.36</v>
          </cell>
          <cell r="E562" t="str">
            <v>Tekhne</v>
          </cell>
        </row>
        <row r="563">
          <cell r="A563" t="str">
            <v>Oficial</v>
          </cell>
          <cell r="B563" t="str">
            <v>Sueldos jornales y cuadrillas (39)</v>
          </cell>
          <cell r="C563" t="str">
            <v>Dd</v>
          </cell>
          <cell r="D563">
            <v>20000</v>
          </cell>
        </row>
        <row r="564">
          <cell r="A564" t="str">
            <v>Oficial (Inc. Prest.)</v>
          </cell>
          <cell r="B564" t="str">
            <v>Sueldos jornales y cuadrillas (39)</v>
          </cell>
          <cell r="C564" t="str">
            <v>Dd</v>
          </cell>
          <cell r="D564">
            <v>39000</v>
          </cell>
        </row>
        <row r="565">
          <cell r="A565" t="str">
            <v>Oficial admon. (trans.incl$34000)</v>
          </cell>
          <cell r="B565" t="str">
            <v>Sueldos jornales y cuadrillas (39)</v>
          </cell>
          <cell r="C565" t="str">
            <v>Ms</v>
          </cell>
          <cell r="D565">
            <v>491657</v>
          </cell>
          <cell r="E565" t="str">
            <v>Tekhne</v>
          </cell>
        </row>
        <row r="566">
          <cell r="A566" t="str">
            <v>Oficial admon.+ prest. 86.03%</v>
          </cell>
          <cell r="B566" t="str">
            <v>Sueldos jornales y cuadrillas (39)</v>
          </cell>
          <cell r="C566" t="str">
            <v>Ms</v>
          </cell>
          <cell r="D566">
            <v>851380</v>
          </cell>
          <cell r="E566" t="str">
            <v>Tekhne</v>
          </cell>
        </row>
        <row r="567">
          <cell r="A567" t="str">
            <v>Oficial albañileria de acabados</v>
          </cell>
          <cell r="B567" t="str">
            <v>Sueldos jornales y cuadrillas (39)</v>
          </cell>
          <cell r="C567" t="str">
            <v>Dd</v>
          </cell>
          <cell r="D567">
            <v>28004</v>
          </cell>
          <cell r="E567" t="str">
            <v>Tekhne</v>
          </cell>
        </row>
        <row r="568">
          <cell r="A568" t="str">
            <v>Oficial albañileria general</v>
          </cell>
          <cell r="B568" t="str">
            <v>Sueldos jornales y cuadrillas (39)</v>
          </cell>
          <cell r="C568" t="str">
            <v>Dd</v>
          </cell>
          <cell r="D568">
            <v>25670</v>
          </cell>
          <cell r="E568" t="str">
            <v>Tekhne</v>
          </cell>
        </row>
        <row r="569">
          <cell r="A569" t="str">
            <v>Oficial carpinteria metalica</v>
          </cell>
          <cell r="B569" t="str">
            <v>Sueldos jornales y cuadrillas (39)</v>
          </cell>
          <cell r="C569" t="str">
            <v>Dd</v>
          </cell>
          <cell r="D569">
            <v>30197</v>
          </cell>
          <cell r="E569" t="str">
            <v>Tekhne</v>
          </cell>
        </row>
        <row r="570">
          <cell r="A570" t="str">
            <v>Oficial carpintero en obra</v>
          </cell>
          <cell r="B570" t="str">
            <v>Sueldos jornales y cuadrillas (39)</v>
          </cell>
          <cell r="C570" t="str">
            <v>Dd</v>
          </cell>
          <cell r="D570">
            <v>26137</v>
          </cell>
          <cell r="E570" t="str">
            <v>Tekhne</v>
          </cell>
        </row>
        <row r="571">
          <cell r="A571" t="str">
            <v>Oficial inst. Electricas</v>
          </cell>
          <cell r="B571" t="str">
            <v>Sueldos jornales y cuadrillas (39)</v>
          </cell>
          <cell r="C571" t="str">
            <v>Dd</v>
          </cell>
          <cell r="D571">
            <v>25000</v>
          </cell>
          <cell r="E571" t="str">
            <v>Tekhne</v>
          </cell>
        </row>
        <row r="572">
          <cell r="A572" t="str">
            <v>Oficial inst. Sanitarias s/prest.</v>
          </cell>
          <cell r="B572" t="str">
            <v>Sueldos jornales y cuadrillas (39)</v>
          </cell>
          <cell r="C572" t="str">
            <v>Dd</v>
          </cell>
          <cell r="D572">
            <v>27187</v>
          </cell>
          <cell r="E572" t="str">
            <v>Tekhne</v>
          </cell>
        </row>
        <row r="573">
          <cell r="A573" t="str">
            <v>Oficial pintura s/prest.</v>
          </cell>
          <cell r="B573" t="str">
            <v>Sueldos jornales y cuadrillas (39)</v>
          </cell>
          <cell r="C573" t="str">
            <v>Dd</v>
          </cell>
          <cell r="D573">
            <v>26837</v>
          </cell>
          <cell r="E573" t="str">
            <v>Tekhne</v>
          </cell>
        </row>
        <row r="574">
          <cell r="A574" t="str">
            <v>Porcentaje contrato</v>
          </cell>
          <cell r="B574" t="str">
            <v>Sueldos jornales y cuadrillas (39)</v>
          </cell>
          <cell r="C574" t="str">
            <v>%</v>
          </cell>
          <cell r="D574">
            <v>1.08</v>
          </cell>
          <cell r="E574" t="str">
            <v>Tekhne</v>
          </cell>
        </row>
        <row r="575">
          <cell r="A575" t="str">
            <v>Residente (no incluye prest.)</v>
          </cell>
          <cell r="B575" t="str">
            <v>Sueldos jornales y cuadrillas (39)</v>
          </cell>
          <cell r="C575" t="str">
            <v>Ms</v>
          </cell>
          <cell r="D575">
            <v>1288183</v>
          </cell>
          <cell r="E575" t="str">
            <v>Tekhne</v>
          </cell>
        </row>
        <row r="576">
          <cell r="A576" t="str">
            <v>Residente + prest.56.84%</v>
          </cell>
          <cell r="B576" t="str">
            <v>Sueldos jornales y cuadrillas (39)</v>
          </cell>
          <cell r="C576" t="str">
            <v>Ms</v>
          </cell>
          <cell r="D576">
            <v>2020386</v>
          </cell>
          <cell r="E576" t="str">
            <v>Tekhne</v>
          </cell>
        </row>
        <row r="577">
          <cell r="A577" t="str">
            <v>Señal transitor barricada</v>
          </cell>
          <cell r="B577" t="str">
            <v>Mdeo carpinterias (34)</v>
          </cell>
          <cell r="C577" t="str">
            <v>Un</v>
          </cell>
          <cell r="D577">
            <v>110200</v>
          </cell>
          <cell r="E577" t="str">
            <v>Tekhne</v>
          </cell>
        </row>
        <row r="578">
          <cell r="A578" t="str">
            <v>Subcontrato soldadura</v>
          </cell>
          <cell r="B578" t="str">
            <v>Mdeo cimentacion y estructura (24)</v>
          </cell>
          <cell r="C578" t="str">
            <v>%</v>
          </cell>
          <cell r="D578">
            <v>0</v>
          </cell>
          <cell r="E578" t="str">
            <v>Tekhne</v>
          </cell>
        </row>
        <row r="579">
          <cell r="A579" t="str">
            <v>Tecnico electricista</v>
          </cell>
          <cell r="B579" t="str">
            <v>Mdeo inst. Electricas (33)</v>
          </cell>
          <cell r="C579" t="str">
            <v>Dd</v>
          </cell>
          <cell r="D579">
            <v>20000</v>
          </cell>
        </row>
        <row r="580">
          <cell r="A580" t="str">
            <v>Tecnico especializado</v>
          </cell>
          <cell r="B580" t="str">
            <v>Mdeo equipos especiales (36)</v>
          </cell>
          <cell r="C580" t="str">
            <v>%</v>
          </cell>
          <cell r="D580">
            <v>0.38</v>
          </cell>
        </row>
        <row r="581">
          <cell r="A581" t="str">
            <v>Tecnico especializado electrico</v>
          </cell>
          <cell r="B581" t="str">
            <v>Mdeo inst. Electricas (33)</v>
          </cell>
          <cell r="C581" t="str">
            <v>Dd</v>
          </cell>
          <cell r="D581">
            <v>30000</v>
          </cell>
          <cell r="E581" t="str">
            <v>Arauca</v>
          </cell>
        </row>
        <row r="582">
          <cell r="A582" t="str">
            <v>Topografo (Dd)</v>
          </cell>
          <cell r="B582" t="str">
            <v>Sueldos jornales y cuadrillas (39)</v>
          </cell>
          <cell r="C582" t="str">
            <v>Dd</v>
          </cell>
          <cell r="D582">
            <v>40000</v>
          </cell>
          <cell r="E582" t="str">
            <v>Arauca</v>
          </cell>
        </row>
        <row r="583">
          <cell r="A583" t="str">
            <v>Topografo (Dd) (Inc. Prest.)</v>
          </cell>
          <cell r="B583" t="str">
            <v>Sueldos jornales y cuadrillas (39)</v>
          </cell>
          <cell r="C583" t="str">
            <v>Dd</v>
          </cell>
          <cell r="D583">
            <v>78000</v>
          </cell>
          <cell r="E583" t="str">
            <v>Arauca</v>
          </cell>
        </row>
        <row r="584">
          <cell r="A584" t="str">
            <v>Topografo (Ms)</v>
          </cell>
          <cell r="B584" t="str">
            <v>Sueldos jornales y cuadrillas (39)</v>
          </cell>
          <cell r="C584" t="str">
            <v>Ms</v>
          </cell>
          <cell r="D584">
            <v>972000</v>
          </cell>
          <cell r="E584" t="str">
            <v>Tekhne</v>
          </cell>
        </row>
        <row r="585">
          <cell r="A585" t="str">
            <v>Topografo + prest.</v>
          </cell>
          <cell r="B585" t="str">
            <v>Sueldos jornales y cuadrillas (39)</v>
          </cell>
          <cell r="C585" t="str">
            <v>Mes</v>
          </cell>
          <cell r="D585">
            <v>1513998</v>
          </cell>
          <cell r="E585" t="str">
            <v>Tekhne</v>
          </cell>
        </row>
      </sheetData>
      <sheetData sheetId="4"/>
      <sheetData sheetId="5"/>
      <sheetData sheetId="6">
        <row r="61">
          <cell r="L61" t="str">
            <v>Acero de refuerzo 60000 psi</v>
          </cell>
        </row>
      </sheetData>
      <sheetData sheetId="7"/>
      <sheetData sheetId="8"/>
      <sheetData sheetId="9"/>
      <sheetData sheetId="10"/>
      <sheetData sheetId="11"/>
      <sheetData sheetId="12"/>
      <sheetData sheetId="13"/>
      <sheetData sheetId="14"/>
      <sheetData sheetId="15"/>
      <sheetData sheetId="16"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LISTADO"/>
    </sheetNames>
    <sheetDataSet>
      <sheetData sheetId="0" refreshError="1"/>
      <sheetData sheetId="1"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
      <sheetName val="Datos"/>
      <sheetName val="Base Datos"/>
      <sheetName val="1.1"/>
      <sheetName val="1.2"/>
      <sheetName val="2.1"/>
      <sheetName val="3.1"/>
      <sheetName val="3.2"/>
      <sheetName val="3.3"/>
      <sheetName val="3.4"/>
      <sheetName val="3.5"/>
      <sheetName val="3.6"/>
      <sheetName val="4.1"/>
      <sheetName val="5.1"/>
      <sheetName val="6.1"/>
      <sheetName val="7.1"/>
      <sheetName val="7.2"/>
      <sheetName val="7.3"/>
      <sheetName val="8.1"/>
      <sheetName val="8.2"/>
      <sheetName val="8.3"/>
      <sheetName val="9.1"/>
      <sheetName val="9.2"/>
      <sheetName val="10.1"/>
      <sheetName val="11.1"/>
      <sheetName val="12.1"/>
      <sheetName val="12.2"/>
      <sheetName val="12.3"/>
      <sheetName val="13.1"/>
      <sheetName val="C123"/>
      <sheetName val="M14"/>
    </sheetNames>
    <sheetDataSet>
      <sheetData sheetId="0"/>
      <sheetData sheetId="1"/>
      <sheetData sheetId="2" refreshError="1">
        <row r="218">
          <cell r="B218" t="str">
            <v>OBRERO</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01"/>
      <sheetName val="ID-02"/>
      <sheetName val="ID-03"/>
      <sheetName val="ID-04"/>
      <sheetName val="ID-05"/>
      <sheetName val="ID-06"/>
      <sheetName val="ID-07"/>
      <sheetName val="PE-01"/>
      <sheetName val="PE-02"/>
      <sheetName val="PE-03"/>
      <sheetName val="PE-04"/>
      <sheetName val="PE-05"/>
      <sheetName val="PE-06"/>
      <sheetName val="PE-07 OJO"/>
      <sheetName val="PE-07B OJO"/>
      <sheetName val="PE-08 OJO"/>
      <sheetName val="PE-08B OJO"/>
      <sheetName val="PE-09"/>
      <sheetName val="PE-10"/>
      <sheetName val="FS-01"/>
      <sheetName val="FS-02"/>
      <sheetName val="FF-01"/>
      <sheetName val="FICHA-EV"/>
      <sheetName val="FICHA-EVI"/>
      <sheetName val="Cronograma"/>
      <sheetName val="Obras Arte"/>
      <sheetName val="Estr-via"/>
      <sheetName val="Pres-rut"/>
      <sheetName val="Pres-per"/>
      <sheetName val="Act-econ"/>
      <sheetName val="Nivel Prod"/>
      <sheetName val="Seg. vial"/>
      <sheetName val="L y R"/>
      <sheetName val="Descapote"/>
      <sheetName val="Terraplen"/>
      <sheetName val="Terraplen Alc"/>
      <sheetName val="Terraplen Gob"/>
      <sheetName val="Conc3000-Bas"/>
      <sheetName val="Alcantarillas"/>
      <sheetName val="Box Coulvert"/>
      <sheetName val="Ponton"/>
      <sheetName val="Hoja1"/>
    </sheetNames>
    <sheetDataSet>
      <sheetData sheetId="0" refreshError="1">
        <row r="1">
          <cell r="A1" t="str">
            <v>NOMBRE DEL PROYECTO: MEJORAMIENTO DE LA VIA LA ESMERALDA - NORMANDIA EN EL MUNICIPIO DE PUERTO RONDON, DEPARTAMENTO DE ARAUCA.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B"/>
      <sheetName val="Hoja1"/>
      <sheetName val="APU"/>
      <sheetName val="APU (2)"/>
      <sheetName val="Presupuesto"/>
      <sheetName val="Presupuesto (2)"/>
      <sheetName val="ID-01"/>
      <sheetName val="ID-01 B"/>
      <sheetName val="ID-01 C"/>
      <sheetName val="ID-01 D"/>
      <sheetName val="ID-01 E"/>
      <sheetName val="ID-01 F"/>
      <sheetName val="ID-02"/>
      <sheetName val="ID-03"/>
      <sheetName val="ID-04"/>
      <sheetName val="ID-05"/>
      <sheetName val="ID-06"/>
      <sheetName val="ID-07"/>
      <sheetName val="PE-01"/>
      <sheetName val="PE-02"/>
      <sheetName val="PE-02 B"/>
      <sheetName val="PE-03"/>
      <sheetName val="PE-04"/>
      <sheetName val="PE-05"/>
      <sheetName val="PE-05 B"/>
      <sheetName val="PE-06"/>
      <sheetName val="PE-07 A"/>
      <sheetName val="PE-07 B"/>
      <sheetName val="PE-07 C"/>
      <sheetName val="PE-08 A"/>
      <sheetName val="PE-08 B"/>
      <sheetName val="PE-09"/>
      <sheetName val="PE-10"/>
      <sheetName val="FS-01"/>
      <sheetName val="FS-02"/>
      <sheetName val="FS-03"/>
      <sheetName val="FF-01"/>
      <sheetName val="EBI 1"/>
      <sheetName val="EBI 2"/>
      <sheetName val="EBI 3"/>
      <sheetName val="EBI 4"/>
      <sheetName val="EBI 5"/>
    </sheetNames>
    <sheetDataSet>
      <sheetData sheetId="0"/>
      <sheetData sheetId="1" refreshError="1"/>
      <sheetData sheetId="2"/>
      <sheetData sheetId="3"/>
      <sheetData sheetId="4">
        <row r="7">
          <cell r="J7">
            <v>21890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9.4 CASTILL"/>
      <sheetName val="9.3 PARQ"/>
      <sheetName val="9.1 ARENERA"/>
      <sheetName val="ARCOS"/>
      <sheetName val="ASFALTO"/>
      <sheetName val="PLATINAS"/>
      <sheetName val="CUBIERTA"/>
      <sheetName val="AFINADO"/>
      <sheetName val="RELL MAT EXC"/>
      <sheetName val="DIVI METAL"/>
      <sheetName val="ENCHA PARED"/>
      <sheetName val="CAN ADIC (3)"/>
      <sheetName val="SIN SENDERO SIN TUNEL"/>
      <sheetName val="SIN TUNEL"/>
      <sheetName val="SIN SENDERO PEATONAL"/>
      <sheetName val="CUADRO CAN VILLA OLIMPICA"/>
      <sheetName val="CUADRO CANTID"/>
      <sheetName val="ACTA MODF (2)"/>
      <sheetName val="TOTAL"/>
      <sheetName val="% EJECUCION"/>
      <sheetName val="ACTA MODF"/>
      <sheetName val="15.6 KART"/>
      <sheetName val="11.3BIOSALU"/>
      <sheetName val="11.5par metal"/>
      <sheetName val="11.4PAR TIPO AMER"/>
      <sheetName val="11.2RODADERO"/>
      <sheetName val="11.1par MADE"/>
      <sheetName val="10.5 SINTETICO"/>
      <sheetName val="14.9 TEJA"/>
      <sheetName val="14.7 REJA M"/>
      <sheetName val="14.6COR TUB REC"/>
      <sheetName val="10.3BARA MET"/>
      <sheetName val="14.4CERRA PER"/>
      <sheetName val="10.3PUE REJ"/>
      <sheetName val="10.2VENT"/>
      <sheetName val="10.1PUERT M"/>
      <sheetName val="8.4 RETIRO"/>
      <sheetName val="8.3 TIERRA"/>
      <sheetName val="8.2 EMPR"/>
      <sheetName val="8.1 ARBOR"/>
      <sheetName val="7.28POST 10M"/>
      <sheetName val="11.2 CICLO"/>
      <sheetName val="LAV.P"/>
      <sheetName val="7.2 LAMP"/>
      <sheetName val="3.3DESG4&quot;"/>
      <sheetName val="UNITARIOS VILLA OLIMPICA"/>
      <sheetName val="mat"/>
      <sheetName val="equip"/>
      <sheetName val="mdo"/>
      <sheetName val="BASICOSOLA"/>
      <sheetName val="CONC BAS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ow r="5">
          <cell r="A5" t="str">
            <v>Desperdicio</v>
          </cell>
        </row>
        <row r="6">
          <cell r="A6" t="str">
            <v>ACCESORIOS (CHEQUE, NIPLE, UNIONES, UNIVERSAL)</v>
          </cell>
        </row>
        <row r="7">
          <cell r="A7" t="str">
            <v>ACCESORIOS MOTOBOMBA</v>
          </cell>
        </row>
        <row r="8">
          <cell r="A8" t="str">
            <v>ACCESORIOS PVC-P 1 1/2"</v>
          </cell>
        </row>
        <row r="9">
          <cell r="A9" t="str">
            <v>ACCESORIOS PVC-P 1/2"</v>
          </cell>
        </row>
        <row r="10">
          <cell r="A10" t="str">
            <v>ACCESORIOS PVC-P 1"</v>
          </cell>
        </row>
        <row r="11">
          <cell r="A11" t="str">
            <v>ACCESORIOS PVC-P 3/4"</v>
          </cell>
        </row>
        <row r="12">
          <cell r="A12" t="str">
            <v>ACCESORIOS PVC-S 3"</v>
          </cell>
        </row>
        <row r="13">
          <cell r="A13" t="str">
            <v>ACCESORIOS PVC-S 4"</v>
          </cell>
        </row>
        <row r="14">
          <cell r="A14" t="str">
            <v>ACERO DE 37000 PSI</v>
          </cell>
        </row>
        <row r="15">
          <cell r="A15" t="str">
            <v>ACERO DE REFUERZO BASICO</v>
          </cell>
        </row>
        <row r="16">
          <cell r="A16" t="str">
            <v>ACERO DE REFUERZO DE 1/2"</v>
          </cell>
        </row>
        <row r="17">
          <cell r="A17" t="str">
            <v xml:space="preserve">ACERO DE REFUERZO DE 37000 PSI </v>
          </cell>
        </row>
        <row r="18">
          <cell r="A18" t="str">
            <v>ACERO DE REFUERZO DE 60000 PSI</v>
          </cell>
        </row>
        <row r="19">
          <cell r="A19" t="str">
            <v>ACIDO MURIATICO</v>
          </cell>
        </row>
        <row r="20">
          <cell r="A20" t="str">
            <v>ADAPTADOR HEMBRA DE 8"</v>
          </cell>
        </row>
        <row r="21">
          <cell r="A21" t="str">
            <v>ADAPTADOR MACHO PVC RDE-21 1-1/2</v>
          </cell>
        </row>
        <row r="22">
          <cell r="A22" t="str">
            <v>ADAPTADOR MACHO 1/2" PVC-P</v>
          </cell>
        </row>
        <row r="23">
          <cell r="A23" t="str">
            <v xml:space="preserve">ADAPTADOR TERMINAL 1 1/2"                     </v>
          </cell>
        </row>
        <row r="24">
          <cell r="A24" t="str">
            <v xml:space="preserve">ADAPTADOR TERMINAL 1/2"                     </v>
          </cell>
        </row>
        <row r="25">
          <cell r="A25" t="str">
            <v>AGUA</v>
          </cell>
        </row>
        <row r="26">
          <cell r="A26" t="str">
            <v>AGUA</v>
          </cell>
        </row>
        <row r="27">
          <cell r="A27" t="str">
            <v>ALAMBRE COAXIAL</v>
          </cell>
        </row>
        <row r="28">
          <cell r="A28" t="str">
            <v xml:space="preserve">ALAMBRE COBRE DESNUDO AWG 14             </v>
          </cell>
        </row>
        <row r="29">
          <cell r="A29" t="str">
            <v>ALAMBRE Cu No. 12 THW AMARILLO</v>
          </cell>
        </row>
        <row r="30">
          <cell r="A30" t="str">
            <v xml:space="preserve">ALAMBRE DE COBRE THW 12             </v>
          </cell>
        </row>
        <row r="31">
          <cell r="A31" t="str">
            <v>ALAMBRE Cu. No. 14 DESNUDO</v>
          </cell>
        </row>
        <row r="32">
          <cell r="A32" t="str">
            <v>ALAMBRE DE COBRE THW 14</v>
          </cell>
        </row>
        <row r="33">
          <cell r="A33" t="str">
            <v>ALAMBRE NEGRO</v>
          </cell>
        </row>
        <row r="34">
          <cell r="A34" t="str">
            <v>ALAMBRE NEGRO No 18</v>
          </cell>
        </row>
        <row r="35">
          <cell r="A35" t="str">
            <v>ALAMBRE TELEFÓNICO 2 x 22 TRENZ.</v>
          </cell>
        </row>
        <row r="36">
          <cell r="A36" t="str">
            <v>AMARRE 202 MM (8¨) NEGRO</v>
          </cell>
        </row>
        <row r="37">
          <cell r="A37" t="str">
            <v>ANCLAJES</v>
          </cell>
        </row>
        <row r="38">
          <cell r="A38" t="str">
            <v>ANGULO DE 1"</v>
          </cell>
        </row>
        <row r="39">
          <cell r="A39" t="str">
            <v>ANGULO DE 1 1/2" x 3/16"</v>
          </cell>
        </row>
        <row r="40">
          <cell r="A40" t="str">
            <v>ANGULO DE 2" X 2"</v>
          </cell>
        </row>
        <row r="41">
          <cell r="A41" t="str">
            <v>ANGULO DE 3/4" x 1/8"</v>
          </cell>
        </row>
        <row r="42">
          <cell r="A42" t="str">
            <v>ANGULOS DE SOPORTE DE 1"</v>
          </cell>
        </row>
        <row r="43">
          <cell r="A43" t="str">
            <v>ANTICORROSIVO INDUSTRIAL</v>
          </cell>
        </row>
        <row r="44">
          <cell r="A44" t="str">
            <v>ANTICORROSIVO ROJO</v>
          </cell>
        </row>
        <row r="45">
          <cell r="A45" t="str">
            <v xml:space="preserve">ARENA </v>
          </cell>
        </row>
        <row r="46">
          <cell r="A46" t="str">
            <v>ARENA LAVADA</v>
          </cell>
        </row>
        <row r="47">
          <cell r="A47" t="str">
            <v>ARCILLA</v>
          </cell>
        </row>
        <row r="48">
          <cell r="A48" t="str">
            <v>BAJANTE AGUAS LLUVIA 4"</v>
          </cell>
        </row>
        <row r="49">
          <cell r="A49" t="str">
            <v>BISAGRA COMÚN DE 1"</v>
          </cell>
        </row>
        <row r="50">
          <cell r="A50" t="str">
            <v>BISAGRA COMÚN DE 2"</v>
          </cell>
        </row>
        <row r="51">
          <cell r="A51" t="str">
            <v>BISAGRA COMÚN DE 3"</v>
          </cell>
        </row>
        <row r="52">
          <cell r="A52" t="str">
            <v>ADOQUIN DE ARCILLA TRAFICO PESADO</v>
          </cell>
        </row>
        <row r="53">
          <cell r="A53" t="str">
            <v>BLOQUE No. 5</v>
          </cell>
        </row>
        <row r="54">
          <cell r="A54" t="str">
            <v>BOMBA MANUAL</v>
          </cell>
        </row>
        <row r="55">
          <cell r="A55" t="str">
            <v>Breaker atornillable 1*20 amp</v>
          </cell>
        </row>
        <row r="56">
          <cell r="A56" t="str">
            <v>BUJE SOLDADO 1x1/2"</v>
          </cell>
        </row>
        <row r="57">
          <cell r="A57" t="str">
            <v>CABALLETE DE FIBRO-CEMENTO</v>
          </cell>
        </row>
        <row r="58">
          <cell r="A58" t="str">
            <v xml:space="preserve">CABLE COBRE DESNUDO AWG 1/0                 </v>
          </cell>
        </row>
        <row r="59">
          <cell r="A59" t="str">
            <v xml:space="preserve">CABLE DE COBRE DESNUDO No.10               </v>
          </cell>
        </row>
        <row r="60">
          <cell r="A60" t="str">
            <v xml:space="preserve">CABLE THW No. 6                             </v>
          </cell>
        </row>
        <row r="61">
          <cell r="A61" t="str">
            <v xml:space="preserve">CABLE THW No. 8                             </v>
          </cell>
        </row>
        <row r="62">
          <cell r="A62" t="str">
            <v>CAJA 4 x 4 MET. DEKO</v>
          </cell>
        </row>
        <row r="63">
          <cell r="A63" t="str">
            <v>CAJA OCTOGONAL</v>
          </cell>
        </row>
        <row r="64">
          <cell r="A64" t="str">
            <v>CAJA RECTANGULAR RG-125-5800</v>
          </cell>
        </row>
        <row r="65">
          <cell r="A65" t="str">
            <v>CAJA SENCILLA CONDUIT</v>
          </cell>
        </row>
        <row r="66">
          <cell r="A66" t="str">
            <v>CANECA 55 GAL PERFORADA</v>
          </cell>
        </row>
        <row r="67">
          <cell r="A67" t="str">
            <v xml:space="preserve">CARBÓN MINERAL                              </v>
          </cell>
        </row>
        <row r="68">
          <cell r="A68" t="str">
            <v>CHEQUE BRONCE DE 1-1/2</v>
          </cell>
        </row>
        <row r="69">
          <cell r="A69" t="str">
            <v>CELOSIA EN ALUMINIO INC. VIDRIOS</v>
          </cell>
        </row>
        <row r="70">
          <cell r="A70" t="str">
            <v>CEMENTO BLANCO</v>
          </cell>
        </row>
        <row r="71">
          <cell r="A71" t="str">
            <v>CEMENTO GRIS</v>
          </cell>
        </row>
        <row r="72">
          <cell r="A72" t="str">
            <v>CERÁMICA 20x20</v>
          </cell>
        </row>
        <row r="73">
          <cell r="A73" t="str">
            <v>CERÁMICA 20x25</v>
          </cell>
        </row>
        <row r="74">
          <cell r="A74" t="str">
            <v>CERAMICA PISO</v>
          </cell>
        </row>
        <row r="75">
          <cell r="A75" t="str">
            <v xml:space="preserve">CERRADURA  </v>
          </cell>
        </row>
        <row r="76">
          <cell r="A76" t="str">
            <v>CERRADURA INAFER 1000 o SIMILAR</v>
          </cell>
        </row>
        <row r="77">
          <cell r="A77" t="str">
            <v>CRUDO DE CANTERA</v>
          </cell>
        </row>
        <row r="78">
          <cell r="A78" t="str">
            <v>CINTA TEFLÓN</v>
          </cell>
        </row>
        <row r="79">
          <cell r="A79" t="str">
            <v>CODO DE 1" PVC-P</v>
          </cell>
        </row>
        <row r="80">
          <cell r="A80" t="str">
            <v>CODO PVC-P DE 1-1/2</v>
          </cell>
        </row>
        <row r="81">
          <cell r="A81" t="str">
            <v>CODO GALVANIZADO 90º 1/2"</v>
          </cell>
        </row>
        <row r="82">
          <cell r="A82" t="str">
            <v>CODO PVC-P 1" 90º</v>
          </cell>
        </row>
        <row r="83">
          <cell r="A83" t="str">
            <v>CODO PVC-P 1/2"</v>
          </cell>
        </row>
        <row r="84">
          <cell r="A84" t="str">
            <v>CODO PVC-S 2" 45</v>
          </cell>
        </row>
        <row r="85">
          <cell r="A85" t="str">
            <v>CODO PVC-S 4" 45</v>
          </cell>
        </row>
        <row r="86">
          <cell r="A86" t="str">
            <v>CODO PVC-S 4 90</v>
          </cell>
        </row>
        <row r="87">
          <cell r="A87" t="str">
            <v xml:space="preserve">CODO PVC-S 2" 90 </v>
          </cell>
        </row>
        <row r="88">
          <cell r="A88" t="str">
            <v>CODO PVC-S DE 4" CxC DE 90º</v>
          </cell>
        </row>
        <row r="89">
          <cell r="A89" t="str">
            <v>CODO PVC RDE 21 90º 4"</v>
          </cell>
        </row>
        <row r="90">
          <cell r="A90" t="str">
            <v>COLOR MINERAL</v>
          </cell>
        </row>
        <row r="91">
          <cell r="A91" t="str">
            <v>CONCRETO 3000 PSI</v>
          </cell>
        </row>
        <row r="92">
          <cell r="A92" t="str">
            <v>CONCRETO DE 2000 PSI.</v>
          </cell>
        </row>
        <row r="93">
          <cell r="A93" t="str">
            <v>CONCRETO DE 3000 PSI.</v>
          </cell>
        </row>
        <row r="94">
          <cell r="A94" t="str">
            <v>CONECTOR RESORTE ROJO</v>
          </cell>
        </row>
        <row r="95">
          <cell r="A95" t="str">
            <v>CORREA RECTANGULAR DE 3"x1 1/2"</v>
          </cell>
        </row>
        <row r="96">
          <cell r="A96" t="str">
            <v>CURVA CONDUIT PVC DE 1/2</v>
          </cell>
        </row>
        <row r="97">
          <cell r="A97" t="str">
            <v>CUARTÓN 0.05x0.10x3.0 M</v>
          </cell>
        </row>
        <row r="98">
          <cell r="A98" t="str">
            <v>DISOLVENTE THINNER</v>
          </cell>
        </row>
        <row r="99">
          <cell r="A99" t="str">
            <v>ELECTROBOMBA DE 1 HP</v>
          </cell>
        </row>
        <row r="100">
          <cell r="A100" t="str">
            <v>ENTRADA TANQUE 1/2"</v>
          </cell>
        </row>
        <row r="101">
          <cell r="A101" t="str">
            <v>ESCRITORIO COMPLETO</v>
          </cell>
        </row>
        <row r="102">
          <cell r="A102" t="str">
            <v>ESTACAS</v>
          </cell>
        </row>
        <row r="103">
          <cell r="A103" t="str">
            <v>ESTUCO PLASTICO</v>
          </cell>
        </row>
        <row r="104">
          <cell r="A104" t="str">
            <v>FIJADORES</v>
          </cell>
        </row>
        <row r="105">
          <cell r="A105" t="str">
            <v>FLOTADOR DE 1"</v>
          </cell>
        </row>
        <row r="106">
          <cell r="A106" t="str">
            <v>FORMALETA MADERA 3 USOS</v>
          </cell>
        </row>
        <row r="107">
          <cell r="A107" t="str">
            <v>GANCHO PARA TEJA</v>
          </cell>
        </row>
        <row r="108">
          <cell r="A108" t="str">
            <v xml:space="preserve">GANCHOS  PARA TEJA </v>
          </cell>
        </row>
        <row r="109">
          <cell r="A109" t="str">
            <v>GEOTEXTIL NT 1600</v>
          </cell>
        </row>
        <row r="110">
          <cell r="A110" t="str">
            <v>GEOMEMBRANA HPD 60000</v>
          </cell>
        </row>
        <row r="111">
          <cell r="A111" t="str">
            <v>GRAVILLA</v>
          </cell>
        </row>
        <row r="112">
          <cell r="A112" t="str">
            <v>GUADUA</v>
          </cell>
        </row>
        <row r="113">
          <cell r="A113" t="str">
            <v>GUARDAESCOBA DE CERAMICA</v>
          </cell>
        </row>
        <row r="114">
          <cell r="A114" t="str">
            <v xml:space="preserve">HIDROSOLTA                                  </v>
          </cell>
        </row>
        <row r="115">
          <cell r="A115" t="str">
            <v>JUEGO DE INCRUSTACIONES</v>
          </cell>
        </row>
        <row r="116">
          <cell r="A116" t="str">
            <v>LADRILLO TOLETE</v>
          </cell>
        </row>
        <row r="117">
          <cell r="A117" t="str">
            <v>LADRILLO TOLETE VITRIFICADO</v>
          </cell>
        </row>
        <row r="118">
          <cell r="A118" t="str">
            <v>LAMINA COLD ROLLED CAL. 18</v>
          </cell>
        </row>
        <row r="119">
          <cell r="A119" t="str">
            <v>LAMINA COLD ROLLED CAL. 20</v>
          </cell>
        </row>
        <row r="120">
          <cell r="A120" t="str">
            <v>LÁMPARA SLIM 2 x 48"</v>
          </cell>
        </row>
        <row r="121">
          <cell r="A121" t="str">
            <v>LAVAMANOS LINEA ECONOMICA INCL. GRIFERIA</v>
          </cell>
        </row>
        <row r="122">
          <cell r="A122" t="str">
            <v>LIMPIADOR PVC 1/4</v>
          </cell>
        </row>
        <row r="123">
          <cell r="A123" t="str">
            <v>LIMPIADOR PARA PVC</v>
          </cell>
        </row>
        <row r="124">
          <cell r="A124" t="str">
            <v>LIMPIADOR REMOVEDOR SCHEDULE</v>
          </cell>
        </row>
        <row r="125">
          <cell r="A125" t="str">
            <v xml:space="preserve">LISTÓN 0.04x0.03x3 M </v>
          </cell>
        </row>
        <row r="126">
          <cell r="A126" t="str">
            <v xml:space="preserve">LISTÓN 0.05x0.05x3 M </v>
          </cell>
        </row>
        <row r="127">
          <cell r="A127" t="str">
            <v>LLAVE DE PASO 1"</v>
          </cell>
        </row>
        <row r="128">
          <cell r="A128" t="str">
            <v>LLAVE JARDÍN GALVANIZADA PESADA</v>
          </cell>
        </row>
        <row r="129">
          <cell r="A129" t="str">
            <v>MACHIMBRE</v>
          </cell>
        </row>
        <row r="130">
          <cell r="A130" t="str">
            <v>MADERA DE 5*5</v>
          </cell>
        </row>
        <row r="131">
          <cell r="A131" t="str">
            <v>MADERA DE SEGUNDA</v>
          </cell>
        </row>
        <row r="132">
          <cell r="A132" t="str">
            <v>MANIJA PARA VENTANA</v>
          </cell>
        </row>
        <row r="133">
          <cell r="A133" t="str">
            <v>MARCO PARA TAPA</v>
          </cell>
        </row>
        <row r="134">
          <cell r="A134" t="str">
            <v>MORTERO 1 : 3</v>
          </cell>
        </row>
        <row r="135">
          <cell r="A135" t="str">
            <v>MORTERO 1 : 4</v>
          </cell>
        </row>
        <row r="136">
          <cell r="A136" t="str">
            <v>MORTERO 1:4</v>
          </cell>
        </row>
        <row r="137">
          <cell r="A137" t="str">
            <v>MOTOBOMBA A GASOLINA DE 4 H.P.</v>
          </cell>
        </row>
        <row r="138">
          <cell r="A138" t="str">
            <v>NIPLE GALVANIZADO 1/2"x5 cm</v>
          </cell>
        </row>
        <row r="139">
          <cell r="A139" t="str">
            <v>PAPEL LIJA</v>
          </cell>
        </row>
        <row r="140">
          <cell r="A140" t="str">
            <v>PEGACOR</v>
          </cell>
        </row>
        <row r="141">
          <cell r="A141" t="str">
            <v>PERFIL EN LAMINA CALIBRE 20</v>
          </cell>
        </row>
        <row r="142">
          <cell r="A142" t="str">
            <v xml:space="preserve">PIEDRA BOLA </v>
          </cell>
        </row>
        <row r="143">
          <cell r="A143" t="str">
            <v>PINTURA EN ANTICORROSIVO</v>
          </cell>
        </row>
        <row r="144">
          <cell r="A144" t="str">
            <v>PINTURA EN ESMALTE</v>
          </cell>
        </row>
        <row r="145">
          <cell r="A145" t="str">
            <v>PINTURA EN VINILO</v>
          </cell>
        </row>
        <row r="146">
          <cell r="A146" t="str">
            <v>PINTURA KORAZA</v>
          </cell>
        </row>
        <row r="147">
          <cell r="A147" t="str">
            <v>PINTURA VINILO TIPO 1</v>
          </cell>
        </row>
        <row r="148">
          <cell r="A148" t="str">
            <v>PIOLA</v>
          </cell>
        </row>
        <row r="149">
          <cell r="A149" t="str">
            <v xml:space="preserve">PLACA IDENTIFICAR 0.03 x 0.05 MT.           </v>
          </cell>
        </row>
        <row r="150">
          <cell r="A150" t="str">
            <v>PLATINA DE 3/8"</v>
          </cell>
        </row>
        <row r="151">
          <cell r="A151" t="str">
            <v>PUERTA LAMINA DOBLADA CALIBRE 18 e=0.10</v>
          </cell>
        </row>
        <row r="152">
          <cell r="A152" t="str">
            <v xml:space="preserve">PUERTA EN LÁMINA COLD ROLLED CAL. 20 </v>
          </cell>
        </row>
        <row r="153">
          <cell r="A153" t="str">
            <v>PUNTILLA</v>
          </cell>
        </row>
        <row r="154">
          <cell r="A154" t="str">
            <v>PUNTILLA 2"</v>
          </cell>
        </row>
        <row r="155">
          <cell r="A155" t="str">
            <v>PUNTILLA 2" CON CABEZA</v>
          </cell>
        </row>
        <row r="156">
          <cell r="A156" t="str">
            <v>PUNTILLA 1 1/2*3"</v>
          </cell>
        </row>
        <row r="157">
          <cell r="A157" t="str">
            <v>PUNTILLA PROMEDIO</v>
          </cell>
        </row>
        <row r="158">
          <cell r="A158" t="str">
            <v>PUNTILLA DE ACERO DE 2 ½</v>
          </cell>
        </row>
        <row r="159">
          <cell r="A159" t="str">
            <v xml:space="preserve">REJA METALICA </v>
          </cell>
        </row>
        <row r="160">
          <cell r="A160" t="str">
            <v>REJILLA DE 3"</v>
          </cell>
        </row>
        <row r="161">
          <cell r="A161" t="str">
            <v xml:space="preserve">REGISTRO DE BOLA </v>
          </cell>
        </row>
        <row r="162">
          <cell r="A162" t="str">
            <v>RELLENO SELECCIONADO</v>
          </cell>
        </row>
        <row r="163">
          <cell r="A163" t="str">
            <v>SALIDA PARA CORDÓN</v>
          </cell>
        </row>
        <row r="164">
          <cell r="A164" t="str">
            <v>SALIDA TANQUE 1"</v>
          </cell>
        </row>
        <row r="165">
          <cell r="A165" t="str">
            <v>SANITARIO ECONÓMICO</v>
          </cell>
        </row>
        <row r="166">
          <cell r="A166" t="str">
            <v>SEMICODO PVC-S 3"</v>
          </cell>
        </row>
        <row r="167">
          <cell r="A167" t="str">
            <v>SIFÓN PVC-S 2"</v>
          </cell>
        </row>
        <row r="168">
          <cell r="A168" t="str">
            <v>SIFÓN PVC-S 3"</v>
          </cell>
        </row>
        <row r="169">
          <cell r="A169" t="str">
            <v>SOLDADURA  PVC 1/4 GAL</v>
          </cell>
        </row>
        <row r="170">
          <cell r="A170" t="str">
            <v>SOLDADURA ELÉCTRICA</v>
          </cell>
        </row>
        <row r="171">
          <cell r="A171" t="str">
            <v>SOLDADURA LIQUIDA SCHEDULE</v>
          </cell>
        </row>
        <row r="172">
          <cell r="A172" t="str">
            <v>SOLDADURA MIG</v>
          </cell>
        </row>
        <row r="173">
          <cell r="A173" t="str">
            <v>SOLDADURA PVC 1/8 GALÓN</v>
          </cell>
        </row>
        <row r="174">
          <cell r="A174" t="str">
            <v>SOLDADURA LIQUIDA PVC  1/4 galon</v>
          </cell>
        </row>
        <row r="175">
          <cell r="A175" t="str">
            <v>SONDA ACERADA</v>
          </cell>
        </row>
        <row r="176">
          <cell r="A176" t="str">
            <v>SUBCONTRATO 1</v>
          </cell>
        </row>
        <row r="177">
          <cell r="A177" t="str">
            <v>TABLA 0.03x0.3x3 M</v>
          </cell>
        </row>
        <row r="178">
          <cell r="A178" t="str">
            <v>TABLA CHAPA DE 0.10 MT.</v>
          </cell>
        </row>
        <row r="179">
          <cell r="A179" t="str">
            <v>TABLA DE 0.03x0.3x3.0 M</v>
          </cell>
        </row>
        <row r="180">
          <cell r="A180" t="str">
            <v>TABLERO ACRÍLICO</v>
          </cell>
        </row>
        <row r="181">
          <cell r="A181" t="str">
            <v>TABLERO TRF 12 CIRC C/ESPACIO TOTALIZADOR</v>
          </cell>
        </row>
        <row r="182">
          <cell r="A182" t="str">
            <v>Tablero de empotrar trifásico de 12 Circuitos</v>
          </cell>
        </row>
        <row r="183">
          <cell r="A183" t="str">
            <v xml:space="preserve">TABLERO C/PUERTA 12 CIRCUITOS               </v>
          </cell>
        </row>
        <row r="184">
          <cell r="A184" t="str">
            <v>TABLETA DE 10x15 EN ARCILLA</v>
          </cell>
        </row>
        <row r="185">
          <cell r="A185" t="str">
            <v>TABLÓN DE GRES</v>
          </cell>
        </row>
        <row r="186">
          <cell r="A186" t="str">
            <v>TABLÓN DE GRESS 25x25</v>
          </cell>
        </row>
        <row r="187">
          <cell r="A187" t="str">
            <v xml:space="preserve">TACO BIPOLAR HQP 2 x 30 AMP.                </v>
          </cell>
        </row>
        <row r="188">
          <cell r="A188" t="str">
            <v xml:space="preserve">TACO TRIPOLAR HQP 3 x 50 AMP.               </v>
          </cell>
        </row>
        <row r="189">
          <cell r="A189" t="str">
            <v>TANQUE PLÁSTICO 1000 LTS</v>
          </cell>
        </row>
        <row r="190">
          <cell r="A190" t="str">
            <v>TANQUE PLÁSTICO DE 500 LT</v>
          </cell>
        </row>
        <row r="191">
          <cell r="A191" t="str">
            <v>TANQUE PLASTICO 5000 LTS</v>
          </cell>
        </row>
        <row r="192">
          <cell r="A192" t="str">
            <v>TAPA PARA CÁMARA</v>
          </cell>
        </row>
        <row r="193">
          <cell r="A193" t="str">
            <v>TAPON MACHO PVC-8"</v>
          </cell>
        </row>
        <row r="194">
          <cell r="A194" t="str">
            <v>TAPÓN PVC-P 1/2"</v>
          </cell>
        </row>
        <row r="195">
          <cell r="A195" t="str">
            <v>TEE PVC-P 1"</v>
          </cell>
        </row>
        <row r="196">
          <cell r="A196" t="str">
            <v>TEE PVC-P 1/2"</v>
          </cell>
        </row>
        <row r="197">
          <cell r="A197" t="str">
            <v>TEJA DE FIBRO-CEMENTO</v>
          </cell>
        </row>
        <row r="198">
          <cell r="A198" t="str">
            <v xml:space="preserve">TEJA ONDULADA N° 8 </v>
          </cell>
        </row>
        <row r="199">
          <cell r="A199" t="str">
            <v>TEJ A ZINC</v>
          </cell>
        </row>
        <row r="200">
          <cell r="A200" t="str">
            <v>TERMINAL CONDUIT PVC 1/2</v>
          </cell>
        </row>
        <row r="201">
          <cell r="A201" t="str">
            <v>TOMA TV.</v>
          </cell>
        </row>
        <row r="202">
          <cell r="A202" t="str">
            <v>TOMACORRIENTE DOBLE CON P. a T.</v>
          </cell>
        </row>
        <row r="203">
          <cell r="A203" t="str">
            <v>TOMACORRIENTE SENCILLA A 220 V.</v>
          </cell>
        </row>
        <row r="204">
          <cell r="A204" t="str">
            <v xml:space="preserve">TORNILLO LAMINA DE 3/8"                     </v>
          </cell>
        </row>
        <row r="205">
          <cell r="A205" t="str">
            <v>Totalizador 60amp</v>
          </cell>
        </row>
        <row r="206">
          <cell r="A206" t="str">
            <v>TRITURADO</v>
          </cell>
        </row>
        <row r="207">
          <cell r="A207" t="str">
            <v>TRITURADO DE 3/4"</v>
          </cell>
        </row>
        <row r="208">
          <cell r="A208" t="str">
            <v>TUBERÍA 1/2" PVC PRESIÓN</v>
          </cell>
        </row>
        <row r="209">
          <cell r="A209" t="str">
            <v>TUBERÍA 1 1/2" PVC PRESIÓN</v>
          </cell>
        </row>
        <row r="210">
          <cell r="A210" t="str">
            <v>TUBERÍA 3/4" PVC PRESIÓN</v>
          </cell>
        </row>
        <row r="211">
          <cell r="A211" t="str">
            <v>TUBERÍA PVC-S 2"</v>
          </cell>
        </row>
        <row r="212">
          <cell r="A212" t="str">
            <v>TUBERÍA PVC-S 3"</v>
          </cell>
        </row>
        <row r="213">
          <cell r="A213" t="str">
            <v>TUBERÍA PVC-S 4"</v>
          </cell>
        </row>
        <row r="214">
          <cell r="A214" t="str">
            <v>YTUBERIA PVC-S 8"</v>
          </cell>
        </row>
        <row r="215">
          <cell r="A215" t="str">
            <v xml:space="preserve">TUBO CONDUIT PVC 1/2" X 3 MTS                      </v>
          </cell>
        </row>
        <row r="216">
          <cell r="A216" t="str">
            <v xml:space="preserve">TUBO CONDUIT PVC T. P. 1 1/4"                </v>
          </cell>
        </row>
        <row r="217">
          <cell r="A217" t="str">
            <v>TUBO CUADRADO DE 1"</v>
          </cell>
        </row>
        <row r="218">
          <cell r="A218" t="str">
            <v>TUBO METALICO DE 3" X 1 ½"</v>
          </cell>
        </row>
        <row r="219">
          <cell r="A219" t="str">
            <v>TUBO PVC-P  RDE 21  1-1/2"</v>
          </cell>
        </row>
        <row r="220">
          <cell r="A220" t="str">
            <v>TUBO PVC-P 1 1/2"</v>
          </cell>
        </row>
        <row r="221">
          <cell r="A221" t="str">
            <v>TUBO PVC-P 1"</v>
          </cell>
        </row>
        <row r="222">
          <cell r="A222" t="str">
            <v>TUBO PERFORADO DE 6"</v>
          </cell>
        </row>
        <row r="223">
          <cell r="A223" t="str">
            <v>TUBO NOVAFORT 160 MM</v>
          </cell>
        </row>
        <row r="224">
          <cell r="A224" t="str">
            <v xml:space="preserve">TUB CONCRETO REFORZADO D=33"UNION CAUCHO </v>
          </cell>
        </row>
        <row r="225">
          <cell r="A225" t="str">
            <v xml:space="preserve"> TUB CONCRETO REFORZADO D=36"UNION CAUCHO </v>
          </cell>
        </row>
        <row r="226">
          <cell r="A226" t="str">
            <v xml:space="preserve"> TUB CONCRETO SIMPLE D= 6"UNION CAUCHO</v>
          </cell>
        </row>
        <row r="227">
          <cell r="A227" t="str">
            <v xml:space="preserve"> TUB CONCRETO SIMPLE D= 8"UNION CAUCHO</v>
          </cell>
        </row>
        <row r="228">
          <cell r="A228" t="str">
            <v xml:space="preserve">TUB CONCRETO SIMPLE D=10"UNION CAUCHO </v>
          </cell>
        </row>
        <row r="229">
          <cell r="A229" t="str">
            <v xml:space="preserve">TUB CONCRETO SIMPLE D=12"UNION CAUCHO </v>
          </cell>
        </row>
        <row r="230">
          <cell r="A230" t="str">
            <v xml:space="preserve">TUB CONCRETO SIMPLE D=15"UNION CAUCHO </v>
          </cell>
        </row>
        <row r="231">
          <cell r="A231" t="str">
            <v>TUB CONCRETO SIMPLE D=18"UNION CAUCHO</v>
          </cell>
        </row>
        <row r="232">
          <cell r="A232" t="str">
            <v xml:space="preserve"> TUB CONCRETO SIMPLE D=21"UNION CAUCHO </v>
          </cell>
        </row>
        <row r="233">
          <cell r="A233" t="str">
            <v xml:space="preserve"> TUB CONCRETO SIMPLE D=24"UNION CAUCHO </v>
          </cell>
        </row>
        <row r="234">
          <cell r="A234" t="str">
            <v xml:space="preserve"> TUB CONCRETO SIMPLE D=27"UNION CAUCHO </v>
          </cell>
        </row>
        <row r="235">
          <cell r="A235" t="str">
            <v xml:space="preserve"> TUB CONCRETO SIMPLE D=30"UNION CAUCHO </v>
          </cell>
        </row>
        <row r="236">
          <cell r="A236" t="str">
            <v>TUBERIA CONCRETO SIMPLE D=24"U.M.</v>
          </cell>
        </row>
        <row r="237">
          <cell r="A237" t="str">
            <v>TUBERIA CONCRETO SIMPLE D=36"U.M.</v>
          </cell>
        </row>
        <row r="238">
          <cell r="A238" t="str">
            <v>TUBERIA GALVANIZADA 1-1/2</v>
          </cell>
        </row>
        <row r="239">
          <cell r="A239" t="str">
            <v xml:space="preserve">UNION PRESION DE 1/2" </v>
          </cell>
        </row>
        <row r="240">
          <cell r="A240" t="str">
            <v>UNION PVC-P RDE-21 1-1/2</v>
          </cell>
        </row>
        <row r="241">
          <cell r="A241" t="str">
            <v>UNIÓN GALVANIZADA DE 1/2"</v>
          </cell>
        </row>
        <row r="242">
          <cell r="A242" t="str">
            <v>UNION SANITARIA PVC 4"</v>
          </cell>
        </row>
        <row r="243">
          <cell r="A243" t="str">
            <v>UNION SANITARIA PVC 2"</v>
          </cell>
        </row>
        <row r="244">
          <cell r="A244" t="str">
            <v>UNIVERSAL 1/2"</v>
          </cell>
        </row>
        <row r="245">
          <cell r="A245" t="str">
            <v>UNIVERSAL GALVANIZADA 1-1/2</v>
          </cell>
        </row>
        <row r="246">
          <cell r="A246" t="str">
            <v>UNIVERSAL PVC-P DE 1"</v>
          </cell>
        </row>
        <row r="247">
          <cell r="A247" t="str">
            <v>VALLA METALICA DE 3*2 MTS LAMINA CAL. 18 Y SOPORTES</v>
          </cell>
        </row>
        <row r="248">
          <cell r="A248" t="str">
            <v>VÁLVULA CHEQUE DE 1/2"</v>
          </cell>
        </row>
        <row r="249">
          <cell r="A249" t="str">
            <v>VÁLVULA DE BOLA DE 1"</v>
          </cell>
        </row>
        <row r="250">
          <cell r="A250" t="str">
            <v>VÁLVULA DE BOLA DE 1/2"</v>
          </cell>
        </row>
        <row r="251">
          <cell r="A251" t="str">
            <v>VÁLVULA DE BOLA DE 1/2"</v>
          </cell>
        </row>
        <row r="252">
          <cell r="A252" t="str">
            <v xml:space="preserve">VARILLA COPPER WELL 5/8                     </v>
          </cell>
        </row>
        <row r="253">
          <cell r="A253" t="str">
            <v>VARILLA DE Ø 1/2"</v>
          </cell>
        </row>
        <row r="254">
          <cell r="A254" t="str">
            <v>VARILLA DE Ø 3/8"</v>
          </cell>
        </row>
        <row r="255">
          <cell r="A255" t="str">
            <v>VARIOS (TORNILLOS, PUNTILLAS)</v>
          </cell>
        </row>
        <row r="256">
          <cell r="A256" t="str">
            <v>VENTILADOR DE TECHO</v>
          </cell>
        </row>
        <row r="257">
          <cell r="A257" t="str">
            <v>YEE SANITARIA DE 3"</v>
          </cell>
        </row>
        <row r="258">
          <cell r="A258" t="str">
            <v>TUBERIA SANITARIA DE 3" PERFORADA</v>
          </cell>
        </row>
        <row r="259">
          <cell r="A259" t="str">
            <v>MALLA ESLAVONADA</v>
          </cell>
        </row>
        <row r="260">
          <cell r="A260" t="str">
            <v>ARBOL</v>
          </cell>
        </row>
        <row r="261">
          <cell r="A261" t="str">
            <v>ABONO ORGANICO</v>
          </cell>
        </row>
        <row r="262">
          <cell r="A262" t="str">
            <v>ALAMBRE DE PUA</v>
          </cell>
        </row>
        <row r="263">
          <cell r="A263" t="str">
            <v>ELECTRICAS</v>
          </cell>
        </row>
        <row r="264">
          <cell r="A264" t="str">
            <v>CURVA  DE 1 1/4 GERFOR"</v>
          </cell>
        </row>
        <row r="265">
          <cell r="A265" t="str">
            <v>TUBERIA CONDUIT PVC 1-1/4 GERFOR"</v>
          </cell>
        </row>
        <row r="266">
          <cell r="A266" t="str">
            <v>TERMINALES PVC DE 1 1/4 GERFOR"</v>
          </cell>
        </row>
        <row r="267">
          <cell r="A267" t="str">
            <v>ALAMBRE DE COBRE # 8 AWG-THW</v>
          </cell>
        </row>
        <row r="268">
          <cell r="A268" t="str">
            <v>ALAMBRE DE COBRE # 10 AWG-THW</v>
          </cell>
        </row>
        <row r="269">
          <cell r="A269" t="str">
            <v>TOTALIZADOR CON CAJA Y DOS BREAKER</v>
          </cell>
        </row>
        <row r="270">
          <cell r="A270" t="str">
            <v>CAPACETE DE 1-1/2</v>
          </cell>
        </row>
        <row r="271">
          <cell r="A271" t="str">
            <v>PERCHA DE 3 PUESTOS GALV.</v>
          </cell>
        </row>
        <row r="273">
          <cell r="A273" t="str">
            <v>ALAMBRE DE COBRE # 12 AWG-THW</v>
          </cell>
        </row>
        <row r="274">
          <cell r="A274" t="str">
            <v>ALAMBRE DE COBRE # 14 AWG-THW</v>
          </cell>
        </row>
        <row r="275">
          <cell r="A275" t="str">
            <v>BOQUILLA 1/2 + TUERCA"</v>
          </cell>
        </row>
        <row r="276">
          <cell r="A276" t="str">
            <v>CAJA 5800 GALV. RG 100</v>
          </cell>
        </row>
        <row r="277">
          <cell r="A277" t="str">
            <v>INTERRUPTOR SENCILLO AMBIA</v>
          </cell>
        </row>
        <row r="278">
          <cell r="A278" t="str">
            <v>TUBO CONDUIT PVC 1/2 TIPO PESADO"</v>
          </cell>
        </row>
        <row r="279">
          <cell r="A279" t="str">
            <v>MONITOREO VISUALES</v>
          </cell>
        </row>
        <row r="280">
          <cell r="A280" t="str">
            <v>LAMPARA FLUORESCENTE 2x48W. EMPOTRAR</v>
          </cell>
        </row>
        <row r="282">
          <cell r="A282" t="str">
            <v>MURAL VALLA INFORMATIVA</v>
          </cell>
        </row>
      </sheetData>
      <sheetData sheetId="47">
        <row r="7">
          <cell r="A7" t="str">
            <v>Herramientas Menores</v>
          </cell>
        </row>
      </sheetData>
      <sheetData sheetId="48">
        <row r="6">
          <cell r="A6" t="str">
            <v>OFICIAL</v>
          </cell>
        </row>
      </sheetData>
      <sheetData sheetId="49"/>
      <sheetData sheetId="50"/>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BI-1"/>
      <sheetName val="EBI-2"/>
      <sheetName val="ID-01"/>
      <sheetName val="ID-02"/>
      <sheetName val="ID-03"/>
      <sheetName val="ID-04"/>
      <sheetName val="PE-01A"/>
      <sheetName val="PE-01B"/>
      <sheetName val="PE-02"/>
      <sheetName val="PE-03"/>
      <sheetName val="PE-04"/>
      <sheetName val="FS-01"/>
      <sheetName val="FF-01"/>
      <sheetName val="PRECIO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MANTENIMIENTO RUTA 1001_MARZO "/>
      <sheetName val="\I\MANTENIMIENTO RUTA 1001_MARZ"/>
      <sheetName val="\F\MANTENIMIENTO RUTA 1001_MARZ"/>
      <sheetName val="_MANTENIMIENTO RUTA 1001_MARZO "/>
      <sheetName val="_I_MANTENIMIENTO RUTA 1001_MARZ"/>
      <sheetName val="Materiales"/>
      <sheetName val="Cuadrillas"/>
      <sheetName val="Concretos y morteros"/>
      <sheetName val="Equipo"/>
      <sheetName val="Datos iniciales "/>
      <sheetName val="Transporte"/>
      <sheetName val="ANEXO IX"/>
      <sheetName val="Presupuesto"/>
      <sheetName val="otros"/>
      <sheetName val="\Users\USUARIO\Downloads\MANTEN"/>
      <sheetName val="APUs"/>
      <sheetName val="INSUMOS"/>
      <sheetName val="PptoGral"/>
      <sheetName val="a__aaInformación"/>
      <sheetName val="a__aaInformación1"/>
      <sheetName val="a__aaInformación2"/>
      <sheetName val="Formulario N° 4"/>
      <sheetName val="\\SERVIDOR\Public2\MANTENIMIENT"/>
      <sheetName val="INDICMICROEMP"/>
      <sheetName val="INDICE"/>
      <sheetName val="Datos"/>
      <sheetName val="Jornal"/>
      <sheetName val="\I\I\MANTENIMIENTO RUTA 1001_MA"/>
      <sheetName val="\Users\Personal\Downloads\MANTE"/>
      <sheetName val="TOTALES"/>
      <sheetName val="\G\I\MANTENIMIENTO RUTA 1001_MA"/>
      <sheetName val="\D\MANTENIMIENTO RUTA 1001_MARZ"/>
      <sheetName val="\G\D\MANTENIMIENTO RUTA 1001_MA"/>
      <sheetName val="#REF"/>
      <sheetName val="Fornato 6"/>
      <sheetName val="[a  aaInformación]__cceficien_2"/>
      <sheetName val="[a  aaInformación][a  aaInforma"/>
      <sheetName val="lisprecios"/>
      <sheetName val="PERSONAL"/>
      <sheetName val="PRESTACIONES SOCIALES"/>
      <sheetName val="[a  aaInformación]__cceficien_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Qo"/>
    </sheetNames>
    <sheetDataSet>
      <sheetData sheetId="0" refreshError="1"/>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MINFRA-MN-FR-22-8"/>
      <sheetName val="MINFRA-MN-IN-15-FR-3"/>
      <sheetName val="Hoja1"/>
      <sheetName val="MINFRA-MN-IN-15-FR-4"/>
      <sheetName val="MINFRA-MN-IN-15-FR-6"/>
      <sheetName val="MINFRA-MN-IN-15-FR-8"/>
      <sheetName val="MINFRA-MN-IN-15-FR-10"/>
      <sheetName val="MINFRA-MN-IN-15-FR-11"/>
      <sheetName val="MINFRA-MN-IN-15-FR-12"/>
      <sheetName val="MINFRA-MN-FR-22-9"/>
      <sheetName val="MINFRA-MN-IN-2-FR-1"/>
      <sheetName val="MINFRA-MN-IN-2-FR-2"/>
      <sheetName val="MINFRA-MN-IN-14-FR-1"/>
      <sheetName val="MINFRA-MN-IN-14-FR-2"/>
      <sheetName val="Anexo No 14 RESIDENTE (5)"/>
      <sheetName val="Anexo No 14 RESIDENTE (2)"/>
      <sheetName val="Anexo No 14 RESIDENTE"/>
      <sheetName val="DATOS"/>
      <sheetName val="Formato No. 8 SERIARQ"/>
      <sheetName val="Formato No. 8 EPICO"/>
      <sheetName val="Formato No. 9"/>
      <sheetName val="Formato No. 10 SERIARQ"/>
      <sheetName val="Formato No. 10 EPICO"/>
      <sheetName val="FORMATO 11"/>
      <sheetName val="FM"/>
      <sheetName val="Anexo No 14 DIRECTOR"/>
      <sheetName val="Anexo No 14 DIRECTOR (2)"/>
      <sheetName val="Anexo No 14 ELECTRICO"/>
      <sheetName val="Vía de Acceso"/>
      <sheetName val="TARIFAS"/>
      <sheetName val="Alcantarillas"/>
      <sheetName val="FICHA EBI 1 de 6 "/>
      <sheetName val="Hoja3"/>
      <sheetName val="MANO DE OBRA"/>
      <sheetName val="1.1"/>
      <sheetName val="EQUIPO"/>
      <sheetName val="TUBERIA"/>
      <sheetName val="Hoja2"/>
      <sheetName val="MATERIALES"/>
      <sheetName val="ITEMS"/>
      <sheetName val="APU"/>
      <sheetName val="AIU"/>
      <sheetName val="COSTOS UNITARIOS"/>
      <sheetName val="CA-2909"/>
      <sheetName val="5094-2003"/>
      <sheetName val="5.2"/>
      <sheetName val="CONT_ADI"/>
      <sheetName val="RECURSOS"/>
      <sheetName val="Datos Generale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Tbg Tally"/>
      <sheetName val="Reverse Tally"/>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MAT"/>
      <sheetName val=""/>
      <sheetName val="5001 Lisama 158"/>
      <sheetName val="5001 Lisama Este 1"/>
      <sheetName val="FORMATO ESTANDAR"/>
      <sheetName val="CASHFLOW"/>
      <sheetName val="INSUMOS"/>
      <sheetName val="ANALISIS DE PRECIOS UNITARIOS"/>
      <sheetName val="MEMORIAS DE CALCULO"/>
      <sheetName val="PESOS"/>
      <sheetName val="Run Slide Sheet"/>
      <sheetName val="unitarios"/>
      <sheetName val="Formatos.xls"/>
      <sheetName val="Ingenieria"/>
      <sheetName val="COL 21169"/>
      <sheetName val="9.625 CSG LN-5"/>
      <sheetName val="Resumen Total"/>
      <sheetName val="Hoja Resumen Cantidades"/>
      <sheetName val="Drill Sheet"/>
      <sheetName val="LN5-CHC.4-7-SS7"/>
      <sheetName val="ESTADO RED"/>
      <sheetName val="CARRETERAS"/>
      <sheetName val="GENERALIDADES "/>
      <sheetName val="1"/>
      <sheetName val="DATA"/>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Apu IC"/>
      <sheetName val="PROYECTOS ESTIMADOS"/>
    </sheetNames>
    <sheetDataSet>
      <sheetData sheetId="0">
        <row r="2">
          <cell r="BZ2" t="str">
            <v xml:space="preserve">          ACERIA   M.C.C.</v>
          </cell>
        </row>
      </sheetData>
      <sheetData sheetId="1">
        <row r="2">
          <cell r="BZ2" t="str">
            <v xml:space="preserve">          ACERIA   M.C.C.</v>
          </cell>
        </row>
      </sheetData>
      <sheetData sheetId="2">
        <row r="2">
          <cell r="BZ2" t="str">
            <v xml:space="preserve">          ACERIA   M.C.C.</v>
          </cell>
        </row>
      </sheetData>
      <sheetData sheetId="3">
        <row r="2">
          <cell r="BZ2" t="str">
            <v xml:space="preserve">          ACERIA   M.C.C.</v>
          </cell>
        </row>
      </sheetData>
      <sheetData sheetId="4">
        <row r="2">
          <cell r="BZ2" t="str">
            <v xml:space="preserve">          ACERIA   M.C.C.</v>
          </cell>
        </row>
      </sheetData>
      <sheetData sheetId="5"/>
      <sheetData sheetId="6"/>
      <sheetData sheetId="7">
        <row r="2">
          <cell r="BZ2" t="str">
            <v xml:space="preserve">          ACERIA   M.C.C.</v>
          </cell>
        </row>
      </sheetData>
      <sheetData sheetId="8">
        <row r="2">
          <cell r="BZ2" t="str">
            <v xml:space="preserve">          ACERIA   M.C.C.</v>
          </cell>
        </row>
      </sheetData>
      <sheetData sheetId="9">
        <row r="2">
          <cell r="BZ2" t="str">
            <v xml:space="preserve">          ACERIA   M.C.C.</v>
          </cell>
        </row>
      </sheetData>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sheetData sheetId="78"/>
      <sheetData sheetId="79" refreshError="1"/>
      <sheetData sheetId="80" refreshError="1"/>
      <sheetData sheetId="81" refreshError="1"/>
      <sheetData sheetId="82">
        <row r="2">
          <cell r="BZ2" t="str">
            <v xml:space="preserve">          ACERIA   M.C.C.</v>
          </cell>
        </row>
      </sheetData>
      <sheetData sheetId="83">
        <row r="2">
          <cell r="B2" t="str">
            <v>INFORME SEMANAL DE ACTIVIDADES</v>
          </cell>
        </row>
      </sheetData>
      <sheetData sheetId="84">
        <row r="2">
          <cell r="B2" t="str">
            <v>INFORME SEMANAL DE ACTIVIDADES</v>
          </cell>
        </row>
      </sheetData>
      <sheetData sheetId="85"/>
      <sheetData sheetId="86"/>
      <sheetData sheetId="87"/>
      <sheetData sheetId="88"/>
      <sheetData sheetId="89"/>
      <sheetData sheetId="90">
        <row r="2">
          <cell r="B2" t="str">
            <v>INFORME SEMANAL DE ACTIVIDADES</v>
          </cell>
        </row>
      </sheetData>
      <sheetData sheetId="91">
        <row r="2">
          <cell r="B2" t="str">
            <v>INFORME SEMANAL DE ACTIVIDADES</v>
          </cell>
        </row>
      </sheetData>
      <sheetData sheetId="92">
        <row r="2">
          <cell r="BZ2" t="str">
            <v xml:space="preserve">          ACERIA   M.C.C.</v>
          </cell>
        </row>
      </sheetData>
      <sheetData sheetId="93">
        <row r="2">
          <cell r="BZ2" t="str">
            <v xml:space="preserve">          ACERIA   M.C.C.</v>
          </cell>
        </row>
      </sheetData>
      <sheetData sheetId="94">
        <row r="2">
          <cell r="B2" t="str">
            <v>INFORME SEMANAL DE ACTIVIDADES</v>
          </cell>
        </row>
      </sheetData>
      <sheetData sheetId="95">
        <row r="2">
          <cell r="B2" t="str">
            <v>INFORME SEMANAL DE ACTIVIDADES</v>
          </cell>
        </row>
      </sheetData>
      <sheetData sheetId="96"/>
      <sheetData sheetId="97"/>
      <sheetData sheetId="98"/>
      <sheetData sheetId="99"/>
      <sheetData sheetId="100"/>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sheetData sheetId="186" refreshError="1"/>
      <sheetData sheetId="187" refreshError="1"/>
      <sheetData sheetId="188" refreshError="1"/>
      <sheetData sheetId="189" refreshError="1"/>
      <sheetData sheetId="190" refreshError="1"/>
      <sheetData sheetId="191" refreshError="1"/>
      <sheetData sheetId="192"/>
      <sheetData sheetId="193"/>
      <sheetData sheetId="194"/>
      <sheetData sheetId="195"/>
      <sheetData sheetId="196"/>
      <sheetData sheetId="197"/>
      <sheetData sheetId="198"/>
      <sheetData sheetId="199"/>
      <sheetData sheetId="200"/>
      <sheetData sheetId="201" refreshError="1"/>
      <sheetData sheetId="202"/>
      <sheetData sheetId="203" refreshError="1"/>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_de_la_via1"/>
      <sheetName val="20-23"/>
      <sheetName val="OJO¡¡¡¡¡¡¡¡¡"/>
      <sheetName val="APU201,3"/>
      <sheetName val="PU600P_11"/>
      <sheetName val="PU630,5"/>
      <sheetName val="PU640,3"/>
      <sheetName val="PU610,1"/>
      <sheetName val="PU681,1"/>
      <sheetName val="PU201P,1"/>
      <sheetName val="glvc"/>
      <sheetName val="PU"/>
      <sheetName val="$_PR20_al_PR231"/>
      <sheetName val="necesidades_de_la_via"/>
      <sheetName val="PU600P_1"/>
      <sheetName val="$_PR20_al_PR23"/>
      <sheetName val="necesidades_de_la_via2"/>
      <sheetName val="PU600P_12"/>
      <sheetName val="$_PR20_al_PR232"/>
      <sheetName val="necesidades de la via"/>
      <sheetName val="PU600P.1"/>
      <sheetName val="$ PR20 al PR23"/>
      <sheetName val="necesidades_de_la_via3"/>
      <sheetName val="PU600P_13"/>
      <sheetName val="$_PR20_al_PR233"/>
      <sheetName val="necesidades_de_la_via4"/>
      <sheetName val="PU600P_14"/>
      <sheetName val="$_PR20_al_PR234"/>
      <sheetName val="necesidades_de_la_via5"/>
      <sheetName val="PU600P_15"/>
      <sheetName val="$_PR20_al_PR235"/>
      <sheetName val="necesidades_de_la_via8"/>
      <sheetName val="PU600P_18"/>
      <sheetName val="$_PR20_al_PR238"/>
      <sheetName val="necesidades_de_la_via6"/>
      <sheetName val="PU600P_16"/>
      <sheetName val="$_PR20_al_PR236"/>
      <sheetName val="necesidades_de_la_via7"/>
      <sheetName val="PU600P_17"/>
      <sheetName val="$_PR20_al_PR237"/>
      <sheetName val="necesidades_de_la_via9"/>
      <sheetName val="PU600P_19"/>
      <sheetName val="$_PR20_al_PR239"/>
      <sheetName val="EBI-1"/>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sheetData sheetId="3" refreshError="1"/>
      <sheetData sheetId="4" refreshError="1"/>
      <sheetData sheetId="5" refreshError="1"/>
      <sheetData sheetId="6"/>
      <sheetData sheetId="7" refreshError="1"/>
      <sheetData sheetId="8" refreshError="1"/>
      <sheetData sheetId="9" refreshError="1"/>
      <sheetData sheetId="10" refreshError="1"/>
      <sheetData sheetId="11"/>
      <sheetData sheetId="12" refreshError="1"/>
      <sheetData sheetId="13" refreshError="1"/>
      <sheetData sheetId="14"/>
      <sheetData sheetId="15"/>
      <sheetData sheetId="16"/>
      <sheetData sheetId="17"/>
      <sheetData sheetId="18"/>
      <sheetData sheetId="19"/>
      <sheetData sheetId="20"/>
      <sheetData sheetId="21" refreshError="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CA"/>
      <sheetName val="ACTIVIDADES"/>
      <sheetName val="DATOS DE ENTRADA"/>
      <sheetName val="PPTO"/>
      <sheetName val="APU"/>
      <sheetName val="UNITARIOS BASICOS "/>
      <sheetName val="HERRAMIENTAS Y EQUIPOS"/>
      <sheetName val="LISTA DE MATERIALES"/>
      <sheetName val="TRANSPORTE"/>
      <sheetName val="Salarios"/>
      <sheetName val="Cuadrillas"/>
      <sheetName val="BD MATERIALES"/>
      <sheetName val="BD DEPOSITOS Y FERRETERIA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3">
          <cell r="A3" t="str">
            <v>A</v>
          </cell>
        </row>
        <row r="4">
          <cell r="A4" t="str">
            <v>Agua</v>
          </cell>
        </row>
        <row r="5">
          <cell r="A5" t="str">
            <v>Acero de refuerzo 60000 PSI</v>
          </cell>
        </row>
        <row r="6">
          <cell r="A6" t="str">
            <v>Acido Muriatico</v>
          </cell>
        </row>
        <row r="7">
          <cell r="A7" t="str">
            <v>Aditivo Desmoldante</v>
          </cell>
        </row>
        <row r="8">
          <cell r="A8" t="str">
            <v>Alambre negro Cal. 18</v>
          </cell>
        </row>
        <row r="9">
          <cell r="A9" t="str">
            <v>Angulo Blanco 0.66*0.39</v>
          </cell>
        </row>
        <row r="10">
          <cell r="A10" t="str">
            <v>Angulo metálico 2x1/4"</v>
          </cell>
        </row>
        <row r="11">
          <cell r="A11" t="str">
            <v>ángulo en hierro 1-1/4" x 3/16"</v>
          </cell>
        </row>
        <row r="12">
          <cell r="A12" t="str">
            <v>Angulo para cielo raso 2,5x2,5 cal 26 L:2,44</v>
          </cell>
        </row>
        <row r="13">
          <cell r="A13" t="str">
            <v>Arena de rio</v>
          </cell>
        </row>
        <row r="14">
          <cell r="A14" t="str">
            <v>B</v>
          </cell>
        </row>
        <row r="15">
          <cell r="A15" t="str">
            <v>Baldosin cerámico pared  de 20 x 20 blanco primera</v>
          </cell>
        </row>
        <row r="16">
          <cell r="A16" t="str">
            <v>Barra Granito pulido Negro absoluto a=  0.50 m e= 0.02 m (incluye pedestales)</v>
          </cell>
        </row>
        <row r="17">
          <cell r="A17" t="str">
            <v>Bisagra de parche</v>
          </cell>
        </row>
        <row r="18">
          <cell r="A18" t="str">
            <v>Bisagra en acero inoxidable 3"*1.5</v>
          </cell>
        </row>
        <row r="19">
          <cell r="A19" t="str">
            <v>Bisagras 3"x3" hierro bronceado</v>
          </cell>
        </row>
        <row r="20">
          <cell r="A20" t="str">
            <v>Bisagras 3"x3" hierro bronceado</v>
          </cell>
        </row>
        <row r="21">
          <cell r="A21" t="str">
            <v>Bloque No 5 (30*20*12)</v>
          </cell>
        </row>
        <row r="22">
          <cell r="A22" t="str">
            <v>Boloque No 4 (30*20*9)</v>
          </cell>
        </row>
        <row r="23">
          <cell r="A23" t="str">
            <v xml:space="preserve">Boquilla concolor </v>
          </cell>
        </row>
        <row r="24">
          <cell r="A24" t="str">
            <v>C</v>
          </cell>
        </row>
        <row r="25">
          <cell r="A25" t="str">
            <v>Cable encauchetado 2x16+16t awg</v>
          </cell>
        </row>
        <row r="26">
          <cell r="A26" t="str">
            <v>Canal B9 x 2.44 Cal. 26</v>
          </cell>
        </row>
        <row r="27">
          <cell r="A27" t="str">
            <v>Canal en L metálico 89mm 2 1/2"</v>
          </cell>
        </row>
        <row r="28">
          <cell r="A28" t="str">
            <v>Canal Metálico 92.1 mm 3 5/8</v>
          </cell>
        </row>
        <row r="29">
          <cell r="A29" t="str">
            <v>Cemento Blanco Kilo</v>
          </cell>
        </row>
        <row r="30">
          <cell r="A30" t="str">
            <v>Cemento Gris</v>
          </cell>
        </row>
        <row r="31">
          <cell r="A31" t="str">
            <v>Cerradura Cerrojo doble llave multipunto YALE</v>
          </cell>
        </row>
        <row r="32">
          <cell r="A32" t="str">
            <v>Cerradura Cerrojo doble llave multipunto YALE</v>
          </cell>
        </row>
        <row r="33">
          <cell r="A33" t="str">
            <v>Chazo expansivo de 3/8</v>
          </cell>
        </row>
        <row r="34">
          <cell r="A34" t="str">
            <v>Cieo raso HD Bandeja CLIP perforada ALUZINC</v>
          </cell>
        </row>
        <row r="35">
          <cell r="A35" t="str">
            <v>Cinta Cellante teflon 1 pulg * 10m</v>
          </cell>
        </row>
        <row r="36">
          <cell r="A36" t="str">
            <v xml:space="preserve">Cinta malla de fibra de vidrio (90 m.) </v>
          </cell>
        </row>
        <row r="37">
          <cell r="A37" t="str">
            <v>Cinta metálica topex rollo x 30 m</v>
          </cell>
        </row>
        <row r="38">
          <cell r="A38" t="str">
            <v xml:space="preserve">Cinta papel rollo  (75 m.) </v>
          </cell>
        </row>
        <row r="39">
          <cell r="A39" t="str">
            <v>Clavija (enchufe) 3 patas</v>
          </cell>
        </row>
        <row r="40">
          <cell r="A40" t="str">
            <v>Concreto 3000 psi</v>
          </cell>
        </row>
        <row r="41">
          <cell r="A41" t="str">
            <v>Concreto 2500 psi</v>
          </cell>
        </row>
        <row r="42">
          <cell r="A42" t="str">
            <v xml:space="preserve">Condensadora refrigerante variable  220v/3f/60hz de capacidad 240 KBTU/H arnu42gtma2 marca LG ELECTRONICS o similar, REFRIGERANTE ECOLÓGICO r410 a </v>
          </cell>
        </row>
        <row r="43">
          <cell r="A43" t="str">
            <v>Conector tornillo 3 líneas</v>
          </cell>
        </row>
        <row r="44">
          <cell r="A44" t="str">
            <v xml:space="preserve">D </v>
          </cell>
        </row>
        <row r="45">
          <cell r="A45" t="str">
            <v>Desencofrante Rheofinish 255 cast-off o similar.</v>
          </cell>
        </row>
        <row r="46">
          <cell r="A46" t="str">
            <v>Desencofrante Rheofinish 255 cast-off o similar.</v>
          </cell>
        </row>
        <row r="47">
          <cell r="A47" t="str">
            <v>Dilatación Metalica en U Aluminio</v>
          </cell>
        </row>
        <row r="48">
          <cell r="A48" t="str">
            <v>Dilataciòn plastica L:2,4m</v>
          </cell>
        </row>
        <row r="49">
          <cell r="A49" t="str">
            <v>Dilatación en bronce 5mmx 3Mts</v>
          </cell>
        </row>
        <row r="50">
          <cell r="A50" t="str">
            <v>Dilatación en bronce 5mmx 3Mts</v>
          </cell>
        </row>
        <row r="51">
          <cell r="A51" t="str">
            <v>Dispensador para jabon liquido marca bobrick</v>
          </cell>
        </row>
        <row r="52">
          <cell r="A52" t="str">
            <v>Disolvente</v>
          </cell>
        </row>
        <row r="53">
          <cell r="A53" t="str">
            <v>E</v>
          </cell>
        </row>
        <row r="54">
          <cell r="A54" t="str">
            <v>Enchape pared macedonia blanco brillante 25*43</v>
          </cell>
        </row>
        <row r="55">
          <cell r="A55" t="str">
            <v>Esmalte</v>
          </cell>
        </row>
        <row r="56">
          <cell r="A56" t="str">
            <v xml:space="preserve">Estuco plastico </v>
          </cell>
        </row>
        <row r="57">
          <cell r="A57" t="str">
            <v>Extractor FUTURE 150</v>
          </cell>
        </row>
        <row r="58">
          <cell r="A58" t="str">
            <v>F</v>
          </cell>
        </row>
        <row r="59">
          <cell r="A59" t="str">
            <v>G</v>
          </cell>
        </row>
        <row r="60">
          <cell r="A60" t="str">
            <v>Gancho s paea teja</v>
          </cell>
        </row>
        <row r="61">
          <cell r="A61" t="str">
            <v>Gravilla mona Nº 2</v>
          </cell>
        </row>
        <row r="62">
          <cell r="A62" t="str">
            <v>Gravilla No 2</v>
          </cell>
        </row>
        <row r="63">
          <cell r="A63" t="str">
            <v xml:space="preserve">Grifería lavamanos tipo push individual </v>
          </cell>
        </row>
        <row r="64">
          <cell r="A64" t="str">
            <v>Grifería lavaplatos</v>
          </cell>
        </row>
        <row r="65">
          <cell r="A65" t="str">
            <v>Grifería lavamanos  con sensor de agua fria  metálico cromado, AyA</v>
          </cell>
        </row>
        <row r="66">
          <cell r="A66" t="str">
            <v>H</v>
          </cell>
        </row>
        <row r="67">
          <cell r="A67" t="str">
            <v>I</v>
          </cell>
        </row>
        <row r="68">
          <cell r="A68" t="str">
            <v>J</v>
          </cell>
        </row>
        <row r="69">
          <cell r="A69" t="str">
            <v>K</v>
          </cell>
        </row>
        <row r="70">
          <cell r="A70" t="str">
            <v xml:space="preserve">Kit accesorios Satinado en acero inxidable </v>
          </cell>
        </row>
        <row r="71">
          <cell r="A71" t="str">
            <v xml:space="preserve">L </v>
          </cell>
        </row>
        <row r="72">
          <cell r="A72" t="str">
            <v>Ladrillo prensado Santa Fe</v>
          </cell>
        </row>
        <row r="73">
          <cell r="A73" t="str">
            <v>Lamina de acero inoxidable  (1,22x2,44m)Cal.18  Acabado satinado 1 cara.</v>
          </cell>
        </row>
        <row r="74">
          <cell r="A74" t="str">
            <v>Lamina mueble Formica BT CTF6</v>
          </cell>
        </row>
        <row r="75">
          <cell r="A75" t="str">
            <v>Lamina superboard fibrocemento 10 mm 1.22 x 2.44</v>
          </cell>
        </row>
        <row r="76">
          <cell r="A76" t="str">
            <v>Lámpara de emergencia leed 2x12v / carga 90 minutos</v>
          </cell>
        </row>
        <row r="77">
          <cell r="A77" t="str">
            <v>Laterales base de entre paños</v>
          </cell>
        </row>
        <row r="78">
          <cell r="A78" t="str">
            <v>Lavaplatos redondo Acero inoxidable</v>
          </cell>
        </row>
        <row r="79">
          <cell r="A79" t="str">
            <v>Lija 150</v>
          </cell>
        </row>
        <row r="80">
          <cell r="A80" t="str">
            <v>Llave tipo jardin</v>
          </cell>
        </row>
        <row r="81">
          <cell r="A81" t="str">
            <v xml:space="preserve">M </v>
          </cell>
        </row>
        <row r="82">
          <cell r="A82" t="str">
            <v>Madera seca 0.19*3.96*0.033</v>
          </cell>
        </row>
        <row r="83">
          <cell r="A83" t="str">
            <v>Manija Peralm 0.9 m de 0.15mm</v>
          </cell>
        </row>
        <row r="84">
          <cell r="A84" t="str">
            <v>manijas en acero Inoxidable</v>
          </cell>
        </row>
        <row r="85">
          <cell r="A85" t="str">
            <v>Malla electrosoldada 2.35x6 (18.73Kg)</v>
          </cell>
        </row>
        <row r="86">
          <cell r="A86" t="str">
            <v>Marco de puerta en madera e=,003m, A=,10m, h=2,10m</v>
          </cell>
        </row>
        <row r="87">
          <cell r="A87" t="str">
            <v>Marco de puerta en madera e=,003m, A=,10m, h=2,10m</v>
          </cell>
        </row>
        <row r="88">
          <cell r="A88" t="str">
            <v>Masilla supermastico</v>
          </cell>
        </row>
        <row r="89">
          <cell r="A89" t="str">
            <v>Meson acero inoxidable</v>
          </cell>
        </row>
        <row r="90">
          <cell r="A90" t="str">
            <v>meson Cocina en acero inoxidable 1.20*0.6 m</v>
          </cell>
        </row>
        <row r="91">
          <cell r="A91" t="str">
            <v>Meson granito pulido negro mate a:0.6</v>
          </cell>
        </row>
        <row r="92">
          <cell r="A92" t="str">
            <v>Mortero 1:3</v>
          </cell>
        </row>
        <row r="93">
          <cell r="A93" t="str">
            <v>Morteo 1:4 Impermeabilizado</v>
          </cell>
        </row>
        <row r="94">
          <cell r="A94" t="str">
            <v>Mortero 1:4</v>
          </cell>
        </row>
        <row r="95">
          <cell r="A95" t="str">
            <v>N</v>
          </cell>
        </row>
        <row r="96">
          <cell r="A96" t="str">
            <v>Niples AG de 1/2" para conección</v>
          </cell>
        </row>
        <row r="97">
          <cell r="A97" t="str">
            <v>O</v>
          </cell>
        </row>
        <row r="98">
          <cell r="A98" t="str">
            <v>P</v>
          </cell>
        </row>
        <row r="99">
          <cell r="A99" t="str">
            <v>Paral B9 x 2.44 Cal. 26</v>
          </cell>
        </row>
        <row r="100">
          <cell r="A100" t="str">
            <v>Pared verona blanco 30*60</v>
          </cell>
        </row>
        <row r="101">
          <cell r="A101" t="str">
            <v>Pata en acero inoxidable</v>
          </cell>
        </row>
        <row r="102">
          <cell r="A102" t="str">
            <v>Pavimento conductivo de acuerdo con la norma DIN 51953</v>
          </cell>
        </row>
        <row r="103">
          <cell r="A103" t="str">
            <v>Pegante porcelanico x 25Kg</v>
          </cell>
        </row>
        <row r="104">
          <cell r="A104" t="str">
            <v>Pegante Stonmix latex  (bolsa 25Kg)</v>
          </cell>
        </row>
        <row r="105">
          <cell r="A105" t="str">
            <v>Perfil Omega calibre 26 X 2,44m</v>
          </cell>
        </row>
        <row r="106">
          <cell r="A106" t="str">
            <v>Perfileria cielo raso en aluminio Tee blanca</v>
          </cell>
        </row>
        <row r="107">
          <cell r="A107" t="str">
            <v>Perno de Fijación disparo cod. verde</v>
          </cell>
        </row>
        <row r="108">
          <cell r="A108" t="str">
            <v>Perno ref. 1508</v>
          </cell>
        </row>
        <row r="109">
          <cell r="A109" t="str">
            <v>Piedra Natural china (60x60)Multicolor</v>
          </cell>
        </row>
        <row r="110">
          <cell r="A110" t="str">
            <v>Pintura Exterior Tipo Koraza</v>
          </cell>
        </row>
        <row r="111">
          <cell r="A111" t="str">
            <v>Pintura Vinilo Tipo I</v>
          </cell>
        </row>
        <row r="112">
          <cell r="A112" t="str">
            <v>Pintura Vinilo Tipo III</v>
          </cell>
        </row>
        <row r="113">
          <cell r="A113" t="str">
            <v>Pintura anticorrosiva</v>
          </cell>
        </row>
        <row r="114">
          <cell r="A114" t="str">
            <v>Piso pared 20*20 blanco</v>
          </cell>
        </row>
        <row r="115">
          <cell r="A115" t="str">
            <v>Piso Antiestático Sobre puesto plastico</v>
          </cell>
        </row>
        <row r="116">
          <cell r="A116" t="str">
            <v>Placa Dry Wall de 1/2" de 1.22x2.44</v>
          </cell>
        </row>
        <row r="117">
          <cell r="A117" t="str">
            <v>Placa Dry Wall RH de 1/2" de 1.22x2.44</v>
          </cell>
        </row>
        <row r="118">
          <cell r="A118" t="str">
            <v xml:space="preserve">Placa steel deck 2" GRADO 40 .94x 6.1 </v>
          </cell>
        </row>
        <row r="119">
          <cell r="A119" t="str">
            <v>Poceta en acero Inoxidable</v>
          </cell>
        </row>
        <row r="120">
          <cell r="A120" t="str">
            <v>Porcelanato Avenue gris 60*60</v>
          </cell>
        </row>
        <row r="121">
          <cell r="A121" t="str">
            <v>Porcelanato beige mate plano 60x60</v>
          </cell>
        </row>
        <row r="122">
          <cell r="A122" t="str">
            <v>Porcelanato Doble trafico urban gris 49*49</v>
          </cell>
        </row>
        <row r="123">
          <cell r="A123" t="str">
            <v>Porcelanato doble trafico urban perla corona 49*49</v>
          </cell>
        </row>
        <row r="124">
          <cell r="A124" t="str">
            <v>Porcelanato gran formato beige mate plano 1,00x3,00</v>
          </cell>
        </row>
        <row r="125">
          <cell r="A125" t="str">
            <v>Porcelanato Linex negro 60*60</v>
          </cell>
        </row>
        <row r="126">
          <cell r="A126" t="str">
            <v>Porcelanato linex negro corona 28.2*56.4</v>
          </cell>
        </row>
        <row r="127">
          <cell r="A127" t="str">
            <v>Porcelanato Urban GrIs 60*60</v>
          </cell>
        </row>
        <row r="128">
          <cell r="A128" t="str">
            <v>Puerta Batiente en Vidrio templado 10mm (0,75x2,09m)Pivotes inferior y superior, cerradura especial.(incluye pelicula polarizado tipo sandblasting)</v>
          </cell>
        </row>
        <row r="129">
          <cell r="A129" t="str">
            <v>Puerta con marco en madera, entamborada lisa (1,00x2,10m)</v>
          </cell>
        </row>
        <row r="130">
          <cell r="A130" t="str">
            <v>Puerta de dos hojas batiente, de 2,09 mts x 1.50 mts, en vidrio templado de 10 mm incoloro con pelicula de polarizado tipo sandblasting, pivotes en la parte superior e inferior</v>
          </cell>
        </row>
        <row r="131">
          <cell r="A131" t="str">
            <v>Puerta de dos hojas batiente, de 2,75 mts x 1.47 mts, en vidrio templado de 10 mm incoloro con pelicula de polarizado tipo sandblasting, pivotes en la parte superior e inferior</v>
          </cell>
        </row>
        <row r="132">
          <cell r="A132" t="str">
            <v>Puerta de dos hojas batiente, de 2,86 mts x 1.90 mts, en vidrio templado de 10 mm incoloro con pelicula de polarizado tipo sandblasting, pivotes en la parte superior e inferior</v>
          </cell>
        </row>
        <row r="133">
          <cell r="A133" t="str">
            <v xml:space="preserve">Puerta de una hoja batiente según diseño, de 2,09 x 0,90mts en  vidrio templado10 mm  incoloro con pelicula de polarizado tipo sandblasting, pivotes en la parte superior e inferior </v>
          </cell>
        </row>
        <row r="134">
          <cell r="A134" t="str">
            <v xml:space="preserve">Puerta de una hoja batiente según diseño, de 2,86 x 0,90mts en  vidrio templado10 mm  incoloro con pelicula de polarizado tipo sandblasting, pivotes en la parte superior e inferior </v>
          </cell>
        </row>
        <row r="135">
          <cell r="A135" t="str">
            <v xml:space="preserve">Puerta de una hoja batiente según diseño, de 2,40 x 0,90mts en  vidrio templado10 mm  incoloro con pelicula de polarizado tipo sandblasting, pivotes en la parte superior e inferior </v>
          </cell>
        </row>
        <row r="136">
          <cell r="A136" t="str">
            <v xml:space="preserve">Puerta Madera </v>
          </cell>
        </row>
        <row r="137">
          <cell r="A137" t="str">
            <v>Puerta Tablemac Salvaje</v>
          </cell>
        </row>
        <row r="138">
          <cell r="A138" t="str">
            <v>Puntilla con cabeza 3/8"</v>
          </cell>
        </row>
        <row r="139">
          <cell r="A139" t="str">
            <v>Q</v>
          </cell>
        </row>
        <row r="140">
          <cell r="A140" t="str">
            <v>R</v>
          </cell>
        </row>
        <row r="141">
          <cell r="A141" t="str">
            <v>Repisa madera ordinario (0,08x0,04x3,00m)</v>
          </cell>
        </row>
        <row r="142">
          <cell r="A142" t="str">
            <v>S</v>
          </cell>
        </row>
        <row r="143">
          <cell r="A143" t="str">
            <v>Salpicadero</v>
          </cell>
        </row>
        <row r="144">
          <cell r="A144" t="str">
            <v>Secador eléctrico para manos tipo manos libres, Turbo</v>
          </cell>
        </row>
        <row r="145">
          <cell r="A145" t="str">
            <v>sellador Baños *300 ml y cocinas</v>
          </cell>
        </row>
        <row r="146">
          <cell r="A146" t="str">
            <v>Sellador FILA MP/90 (gl 5Lt)</v>
          </cell>
        </row>
        <row r="147">
          <cell r="A147" t="str">
            <v>Silicona Vidrios y Aluminio x 50 ml</v>
          </cell>
        </row>
        <row r="148">
          <cell r="A148" t="str">
            <v>Soporte para tv plasma lcd 26" - 55" con brazo extensible</v>
          </cell>
        </row>
        <row r="149">
          <cell r="A149" t="str">
            <v>Stonmix Boquilla latex caja 5Kg</v>
          </cell>
        </row>
        <row r="150">
          <cell r="A150" t="str">
            <v>Suministro e instalación de Cielo raso en fibra mineral lamina recedido 61 x 61 Hunterdouglas</v>
          </cell>
        </row>
        <row r="151">
          <cell r="A151" t="str">
            <v>Suministro e instalacion de Vidrio templado de 10mm (Incluye estructura y herrajes en acero)</v>
          </cell>
        </row>
        <row r="152">
          <cell r="A152" t="str">
            <v>Suministro e instalacion de Vidrio templado h: 2,20m de 10mm (Incluye perfil en u)</v>
          </cell>
        </row>
        <row r="153">
          <cell r="A153" t="str">
            <v>Suministro e instalcion de Pórtico de acceso (h:2,34x2,00m)en acero Inoxidable, (seccion de 0,25x1,00)acabado satinado una cara cal.18, Según diseño. Incluye estructura y elementos de anclaje y soporte.</v>
          </cell>
        </row>
        <row r="154">
          <cell r="A154" t="str">
            <v>T</v>
          </cell>
        </row>
        <row r="155">
          <cell r="A155" t="str">
            <v>Tapa de caja de inspección incluye concreto y acero</v>
          </cell>
        </row>
        <row r="156">
          <cell r="A156" t="str">
            <v>Tapete con basse en vinilo</v>
          </cell>
        </row>
        <row r="157">
          <cell r="A157" t="str">
            <v>Teja ETERNIT #4 fibrocemennto  gris perfil 7</v>
          </cell>
        </row>
        <row r="158">
          <cell r="A158" t="str">
            <v>Tiner</v>
          </cell>
        </row>
        <row r="159">
          <cell r="A159" t="str">
            <v>Tornillo  6 x 1 lamina</v>
          </cell>
        </row>
        <row r="160">
          <cell r="A160" t="str">
            <v>Tornillo  7 X 7/16 estructura</v>
          </cell>
        </row>
        <row r="161">
          <cell r="A161" t="str">
            <v>Tornillo de 3/8 incluye arandela</v>
          </cell>
        </row>
        <row r="162">
          <cell r="A162" t="str">
            <v>Tuberia Acero galvanizada 2 1/2"</v>
          </cell>
        </row>
        <row r="163">
          <cell r="A163" t="str">
            <v>U</v>
          </cell>
        </row>
        <row r="164">
          <cell r="A164" t="str">
            <v xml:space="preserve">Unidad de aire acondicionado tipo cassette de 4 vías  de capacidad 24.000 BTU/H, marca LG ELECTRONICS o equivalente, 220V/3F/60HZ  REFRIGERANTE R22 </v>
          </cell>
        </row>
        <row r="165">
          <cell r="A165" t="str">
            <v>V</v>
          </cell>
        </row>
        <row r="166">
          <cell r="A166" t="str">
            <v>Vidrio laminado de 10 mm con pelicula UV azul (0.6*3.60)</v>
          </cell>
        </row>
        <row r="167">
          <cell r="A167" t="str">
            <v>Vidrio laminado de 10 mm con pelicula UV azul (0.6*2.92)</v>
          </cell>
        </row>
        <row r="168">
          <cell r="A168" t="str">
            <v>Vidrio laminado de 10 mm con pelicula UV hielo</v>
          </cell>
        </row>
        <row r="169">
          <cell r="A169" t="str">
            <v>Vidrio laminado de 10 mm con pelicula UV cristal</v>
          </cell>
        </row>
        <row r="170">
          <cell r="A170" t="str">
            <v>Vidrio color blanco coco</v>
          </cell>
        </row>
        <row r="171">
          <cell r="A171" t="str">
            <v>Vidrio crudo ventana</v>
          </cell>
        </row>
        <row r="172">
          <cell r="A172" t="str">
            <v>Vigueta cielo raso Drywall Cal.26</v>
          </cell>
        </row>
        <row r="173">
          <cell r="A173" t="str">
            <v>W</v>
          </cell>
        </row>
        <row r="174">
          <cell r="A174" t="str">
            <v>X</v>
          </cell>
        </row>
        <row r="175">
          <cell r="A175" t="str">
            <v>Y</v>
          </cell>
        </row>
        <row r="176">
          <cell r="A176" t="str">
            <v>Yeso</v>
          </cell>
        </row>
        <row r="177">
          <cell r="A177" t="str">
            <v>Z</v>
          </cell>
        </row>
        <row r="178">
          <cell r="A178">
            <v>0</v>
          </cell>
        </row>
        <row r="179">
          <cell r="A179">
            <v>0</v>
          </cell>
        </row>
        <row r="180">
          <cell r="A180">
            <v>0</v>
          </cell>
        </row>
        <row r="181">
          <cell r="A181">
            <v>0</v>
          </cell>
        </row>
        <row r="182">
          <cell r="A182">
            <v>0</v>
          </cell>
        </row>
        <row r="183">
          <cell r="A183">
            <v>0</v>
          </cell>
        </row>
        <row r="184">
          <cell r="A184">
            <v>0</v>
          </cell>
        </row>
        <row r="185">
          <cell r="A185">
            <v>0</v>
          </cell>
        </row>
        <row r="186">
          <cell r="A186">
            <v>0</v>
          </cell>
        </row>
        <row r="187">
          <cell r="A187">
            <v>0</v>
          </cell>
        </row>
        <row r="188">
          <cell r="A188">
            <v>0</v>
          </cell>
        </row>
        <row r="189">
          <cell r="A189">
            <v>0</v>
          </cell>
        </row>
        <row r="190">
          <cell r="A190">
            <v>0</v>
          </cell>
        </row>
        <row r="191">
          <cell r="A191">
            <v>0</v>
          </cell>
        </row>
      </sheetData>
      <sheetData sheetId="8" refreshError="1"/>
      <sheetData sheetId="9" refreshError="1"/>
      <sheetData sheetId="10" refreshError="1"/>
      <sheetData sheetId="11" refreshError="1"/>
      <sheetData sheetId="12"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B APU"/>
    </sheetNames>
    <sheetDataSet>
      <sheetData sheetId="0" refreshError="1"/>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 val="OBRAS_SES"/>
      <sheetName val="RES_COSTOS_SES"/>
      <sheetName val="COSTOS_AT"/>
      <sheetName val="COSTOS_MTyBT"/>
      <sheetName val="COSTOS_SES_AT"/>
      <sheetName val="COSTOS_DE_OBRAS_LINEAS"/>
      <sheetName val="COSTOS_OBRAS_SES"/>
      <sheetName val="ACT_LINEAS"/>
      <sheetName val="ACT_SES"/>
      <sheetName val="SUBEST_"/>
      <sheetName val="OTROS_PROYECTOS_M_T"/>
      <sheetName val="OTROS_PROYECTOS_A_T"/>
      <sheetName val="OBRAS_SES1"/>
      <sheetName val="RES_COSTOS_SES1"/>
      <sheetName val="COSTOS_AT1"/>
      <sheetName val="COSTOS_MTyBT1"/>
      <sheetName val="COSTOS_SES_AT1"/>
      <sheetName val="COSTOS_DE_OBRAS_LINEAS1"/>
      <sheetName val="COSTOS_OBRAS_SES1"/>
      <sheetName val="ACT_LINEAS1"/>
      <sheetName val="ACT_SES1"/>
      <sheetName val="SUBEST_1"/>
      <sheetName val="OTROS_PROYECTOS_M_T1"/>
      <sheetName val="OTROS_PROYECTOS_A_T1"/>
      <sheetName val="OBRAS_SES2"/>
      <sheetName val="RES_COSTOS_SES2"/>
      <sheetName val="COSTOS_AT2"/>
      <sheetName val="COSTOS_MTyBT2"/>
      <sheetName val="COSTOS_SES_AT2"/>
      <sheetName val="COSTOS_DE_OBRAS_LINEAS2"/>
      <sheetName val="COSTOS_OBRAS_SES2"/>
      <sheetName val="ACT_LINEAS2"/>
      <sheetName val="ACT_SES2"/>
      <sheetName val="SUBEST_2"/>
      <sheetName val="OTROS_PROYECTOS_M_T2"/>
      <sheetName val="OTROS_PROYECTOS_A_T2"/>
      <sheetName val="OBRAS_SES3"/>
      <sheetName val="RES_COSTOS_SES3"/>
      <sheetName val="COSTOS_AT3"/>
      <sheetName val="COSTOS_MTyBT3"/>
      <sheetName val="COSTOS_SES_AT3"/>
      <sheetName val="COSTOS_DE_OBRAS_LINEAS3"/>
      <sheetName val="COSTOS_OBRAS_SES3"/>
      <sheetName val="ACT_LINEAS3"/>
      <sheetName val="ACT_SES3"/>
      <sheetName val="SUBEST_3"/>
      <sheetName val="OTROS_PROYECTOS_M_T3"/>
      <sheetName val="OTROS_PROYECTOS_A_T3"/>
      <sheetName val="SUB APU"/>
      <sheetName val="TARIFAS"/>
      <sheetName val="REC-COD,"/>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refreshError="1"/>
      <sheetData sheetId="25"/>
      <sheetData sheetId="26" refreshError="1"/>
      <sheetData sheetId="27" refreshError="1"/>
      <sheetData sheetId="28" refreshError="1"/>
      <sheetData sheetId="29" refreshError="1"/>
      <sheetData sheetId="30"/>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refreshError="1"/>
      <sheetData sheetId="72" refreshError="1"/>
      <sheetData sheetId="73" refreshError="1"/>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FICHA FSE-01"/>
    </sheetNames>
    <sheetDataSet>
      <sheetData sheetId="0" refreshError="1">
        <row r="4">
          <cell r="A4" t="str">
            <v>CODIGO</v>
          </cell>
          <cell r="B4" t="str">
            <v>EQUIPOS</v>
          </cell>
          <cell r="C4" t="str">
            <v>TIPO</v>
          </cell>
          <cell r="D4" t="str">
            <v>TARIFA/HORA</v>
          </cell>
          <cell r="E4" t="str">
            <v>RENDIMIENTO</v>
          </cell>
        </row>
        <row r="5">
          <cell r="A5">
            <v>1</v>
          </cell>
          <cell r="B5" t="str">
            <v>RETROCARGADOR</v>
          </cell>
          <cell r="C5" t="str">
            <v>JD-510</v>
          </cell>
          <cell r="D5">
            <v>35000</v>
          </cell>
        </row>
        <row r="6">
          <cell r="A6">
            <v>2</v>
          </cell>
          <cell r="B6" t="str">
            <v>MOTONIVELADORA</v>
          </cell>
          <cell r="C6" t="str">
            <v xml:space="preserve">CAT </v>
          </cell>
          <cell r="D6">
            <v>45000</v>
          </cell>
        </row>
        <row r="7">
          <cell r="A7">
            <v>3</v>
          </cell>
          <cell r="B7" t="str">
            <v>VIBROCOMPACTADOR</v>
          </cell>
          <cell r="C7" t="str">
            <v xml:space="preserve">CAT </v>
          </cell>
          <cell r="D7">
            <v>45000</v>
          </cell>
        </row>
        <row r="8">
          <cell r="A8">
            <v>4</v>
          </cell>
          <cell r="B8" t="str">
            <v>RETROEXCAVADORA</v>
          </cell>
          <cell r="C8" t="str">
            <v xml:space="preserve">CAT </v>
          </cell>
          <cell r="D8">
            <v>60000</v>
          </cell>
        </row>
        <row r="9">
          <cell r="A9">
            <v>5</v>
          </cell>
          <cell r="B9" t="str">
            <v>BULLDOZER</v>
          </cell>
          <cell r="C9" t="str">
            <v>D6D</v>
          </cell>
          <cell r="D9">
            <v>45000</v>
          </cell>
        </row>
        <row r="10">
          <cell r="A10">
            <v>6</v>
          </cell>
          <cell r="B10" t="str">
            <v>VOLQUETA</v>
          </cell>
          <cell r="C10" t="str">
            <v>5m3</v>
          </cell>
          <cell r="D10">
            <v>22500</v>
          </cell>
        </row>
        <row r="11">
          <cell r="A11">
            <v>7</v>
          </cell>
          <cell r="B11" t="str">
            <v>MOTOBOMBA</v>
          </cell>
          <cell r="D11">
            <v>4000</v>
          </cell>
        </row>
        <row r="12">
          <cell r="A12">
            <v>8</v>
          </cell>
          <cell r="B12" t="str">
            <v>HERRAMIENTA 1O% M.O</v>
          </cell>
        </row>
        <row r="13">
          <cell r="A13">
            <v>9</v>
          </cell>
          <cell r="B13" t="str">
            <v xml:space="preserve">CARROTANQUE </v>
          </cell>
          <cell r="C13" t="str">
            <v>2500 GL</v>
          </cell>
          <cell r="D13">
            <v>22500</v>
          </cell>
        </row>
        <row r="14">
          <cell r="A14">
            <v>10</v>
          </cell>
          <cell r="B14" t="str">
            <v>FINISHER</v>
          </cell>
          <cell r="C14" t="str">
            <v xml:space="preserve">CAT </v>
          </cell>
          <cell r="D14">
            <v>80000</v>
          </cell>
        </row>
        <row r="15">
          <cell r="A15">
            <v>11</v>
          </cell>
          <cell r="B15" t="str">
            <v>TRITURADORA</v>
          </cell>
          <cell r="C15" t="str">
            <v xml:space="preserve">CAT </v>
          </cell>
          <cell r="D15">
            <v>100000</v>
          </cell>
        </row>
        <row r="16">
          <cell r="A16">
            <v>12</v>
          </cell>
          <cell r="B16" t="str">
            <v>CARGADOR</v>
          </cell>
          <cell r="C16" t="str">
            <v xml:space="preserve">CAT </v>
          </cell>
          <cell r="D16">
            <v>45000</v>
          </cell>
        </row>
        <row r="17">
          <cell r="A17">
            <v>13</v>
          </cell>
          <cell r="B17" t="str">
            <v>COMPACTADOR</v>
          </cell>
          <cell r="C17" t="str">
            <v xml:space="preserve">CAT </v>
          </cell>
          <cell r="D17">
            <v>45000</v>
          </cell>
        </row>
        <row r="18">
          <cell r="A18">
            <v>14</v>
          </cell>
          <cell r="B18" t="str">
            <v>IRRIGADOR</v>
          </cell>
          <cell r="C18" t="str">
            <v>600M2/h</v>
          </cell>
          <cell r="D18">
            <v>45000</v>
          </cell>
        </row>
        <row r="19">
          <cell r="A19">
            <v>15</v>
          </cell>
          <cell r="B19" t="str">
            <v>RANA</v>
          </cell>
          <cell r="C19" t="str">
            <v>5 HP</v>
          </cell>
          <cell r="D19">
            <v>5375</v>
          </cell>
        </row>
        <row r="20">
          <cell r="A20">
            <v>16</v>
          </cell>
          <cell r="B20" t="str">
            <v xml:space="preserve">MEZCLADORA </v>
          </cell>
          <cell r="C20" t="str">
            <v>1.5 Bultos</v>
          </cell>
          <cell r="D20">
            <v>6125</v>
          </cell>
        </row>
        <row r="21">
          <cell r="A21">
            <v>17</v>
          </cell>
          <cell r="B21" t="str">
            <v>MAQUINA DEMARCADORA</v>
          </cell>
          <cell r="C21" t="str">
            <v>CHORRO</v>
          </cell>
          <cell r="D21">
            <v>40000</v>
          </cell>
        </row>
        <row r="23">
          <cell r="A23" t="str">
            <v>CODIGO</v>
          </cell>
          <cell r="B23" t="str">
            <v>MATERIALES</v>
          </cell>
          <cell r="C23" t="str">
            <v>UNIDAD</v>
          </cell>
          <cell r="D23" t="str">
            <v>TARIFA</v>
          </cell>
        </row>
        <row r="24">
          <cell r="A24">
            <v>18</v>
          </cell>
          <cell r="B24" t="str">
            <v>LAMINA GALVANIZADA</v>
          </cell>
          <cell r="C24" t="str">
            <v>M2</v>
          </cell>
          <cell r="D24">
            <v>30000</v>
          </cell>
        </row>
        <row r="25">
          <cell r="A25">
            <v>19</v>
          </cell>
          <cell r="B25" t="str">
            <v>SOPORTES</v>
          </cell>
          <cell r="C25" t="str">
            <v>UNI.</v>
          </cell>
          <cell r="D25">
            <v>120000</v>
          </cell>
        </row>
        <row r="26">
          <cell r="A26">
            <v>20</v>
          </cell>
          <cell r="B26" t="str">
            <v>PINTURA</v>
          </cell>
          <cell r="C26" t="str">
            <v>GALON</v>
          </cell>
          <cell r="D26">
            <v>25000</v>
          </cell>
        </row>
        <row r="27">
          <cell r="A27">
            <v>21</v>
          </cell>
          <cell r="B27" t="str">
            <v>ARTE</v>
          </cell>
          <cell r="C27" t="str">
            <v>GLOBAL</v>
          </cell>
          <cell r="D27">
            <v>300000</v>
          </cell>
        </row>
        <row r="28">
          <cell r="A28">
            <v>22</v>
          </cell>
          <cell r="B28" t="str">
            <v>INSTALACION</v>
          </cell>
          <cell r="C28" t="str">
            <v>GLOBAL</v>
          </cell>
          <cell r="D28">
            <v>250000</v>
          </cell>
        </row>
        <row r="29">
          <cell r="A29">
            <v>23</v>
          </cell>
          <cell r="B29" t="str">
            <v>FABRICACION</v>
          </cell>
          <cell r="C29" t="str">
            <v>BLOBAL</v>
          </cell>
          <cell r="D29">
            <v>250000</v>
          </cell>
        </row>
        <row r="30">
          <cell r="A30">
            <v>24</v>
          </cell>
          <cell r="B30" t="str">
            <v>EQUIPO DE TOPOGRAFIA</v>
          </cell>
          <cell r="C30" t="str">
            <v>KEM</v>
          </cell>
          <cell r="D30">
            <v>7500</v>
          </cell>
        </row>
        <row r="31">
          <cell r="A31">
            <v>25</v>
          </cell>
          <cell r="B31" t="str">
            <v xml:space="preserve">ESTACAS </v>
          </cell>
          <cell r="C31" t="str">
            <v>GLOBAL</v>
          </cell>
          <cell r="D31">
            <v>20000</v>
          </cell>
        </row>
        <row r="32">
          <cell r="A32">
            <v>26</v>
          </cell>
          <cell r="B32" t="str">
            <v>CARTERAS</v>
          </cell>
          <cell r="C32" t="str">
            <v>GLOBAL</v>
          </cell>
          <cell r="D32">
            <v>30000</v>
          </cell>
        </row>
        <row r="33">
          <cell r="A33">
            <v>27</v>
          </cell>
          <cell r="B33" t="str">
            <v>PAPELERIA</v>
          </cell>
          <cell r="C33" t="str">
            <v>GLOBAL</v>
          </cell>
          <cell r="D33">
            <v>10000</v>
          </cell>
        </row>
        <row r="34">
          <cell r="A34">
            <v>28</v>
          </cell>
          <cell r="B34" t="str">
            <v>1 TOPOGRAFO</v>
          </cell>
          <cell r="C34">
            <v>35000</v>
          </cell>
          <cell r="D34">
            <v>92</v>
          </cell>
        </row>
        <row r="35">
          <cell r="A35">
            <v>29</v>
          </cell>
          <cell r="B35" t="str">
            <v>CADENERO</v>
          </cell>
          <cell r="C35">
            <v>15000</v>
          </cell>
          <cell r="D35">
            <v>92</v>
          </cell>
        </row>
        <row r="36">
          <cell r="A36">
            <v>30</v>
          </cell>
          <cell r="B36" t="str">
            <v>PORTAMIRA</v>
          </cell>
          <cell r="C36">
            <v>10000</v>
          </cell>
          <cell r="D36">
            <v>92</v>
          </cell>
        </row>
        <row r="37">
          <cell r="A37">
            <v>31</v>
          </cell>
          <cell r="B37" t="str">
            <v>1 AYUDANTE</v>
          </cell>
          <cell r="C37">
            <v>10000</v>
          </cell>
          <cell r="D37">
            <v>92</v>
          </cell>
        </row>
        <row r="38">
          <cell r="A38">
            <v>32</v>
          </cell>
          <cell r="B38" t="str">
            <v>HOYADORA</v>
          </cell>
          <cell r="C38" t="str">
            <v>GLOBAL</v>
          </cell>
          <cell r="D38">
            <v>10000</v>
          </cell>
        </row>
        <row r="39">
          <cell r="A39">
            <v>33</v>
          </cell>
          <cell r="B39" t="str">
            <v>POSTES EN CONCRETO 1.80 M.</v>
          </cell>
          <cell r="C39" t="str">
            <v>UNI.</v>
          </cell>
          <cell r="D39">
            <v>12000</v>
          </cell>
        </row>
        <row r="40">
          <cell r="A40">
            <v>34</v>
          </cell>
          <cell r="B40" t="str">
            <v>ALAMBRE</v>
          </cell>
          <cell r="C40" t="str">
            <v>ML</v>
          </cell>
          <cell r="D40">
            <v>100</v>
          </cell>
        </row>
        <row r="41">
          <cell r="A41">
            <v>35</v>
          </cell>
          <cell r="B41" t="str">
            <v>AMARRE</v>
          </cell>
          <cell r="C41" t="str">
            <v>GLOBAL</v>
          </cell>
          <cell r="D41">
            <v>20</v>
          </cell>
        </row>
        <row r="42">
          <cell r="A42">
            <v>36</v>
          </cell>
          <cell r="B42" t="str">
            <v>4 AYUDANTES</v>
          </cell>
          <cell r="C42">
            <v>40000</v>
          </cell>
          <cell r="D42">
            <v>92</v>
          </cell>
        </row>
        <row r="43">
          <cell r="A43">
            <v>37</v>
          </cell>
          <cell r="B43" t="str">
            <v>DERECHO DE EXPLOTACION</v>
          </cell>
          <cell r="C43" t="str">
            <v>M3</v>
          </cell>
          <cell r="D43">
            <v>22500</v>
          </cell>
        </row>
        <row r="44">
          <cell r="A44">
            <v>38</v>
          </cell>
          <cell r="B44" t="str">
            <v>MATERIAL DE TERRENOS</v>
          </cell>
          <cell r="C44">
            <v>1.25</v>
          </cell>
        </row>
        <row r="45">
          <cell r="A45">
            <v>39</v>
          </cell>
          <cell r="B45" t="str">
            <v>MATERIAL DE ALUVION</v>
          </cell>
          <cell r="C45" t="str">
            <v>M3</v>
          </cell>
          <cell r="D45">
            <v>7000</v>
          </cell>
        </row>
        <row r="46">
          <cell r="A46">
            <v>40</v>
          </cell>
          <cell r="B46" t="str">
            <v>Desp. POR COMPACTACION25%</v>
          </cell>
          <cell r="D46">
            <v>1750</v>
          </cell>
        </row>
        <row r="47">
          <cell r="A47">
            <v>41</v>
          </cell>
          <cell r="B47" t="str">
            <v>CLASIFICACION DE MATERIAL</v>
          </cell>
          <cell r="C47" t="str">
            <v>M3</v>
          </cell>
          <cell r="D47">
            <v>6000</v>
          </cell>
        </row>
        <row r="48">
          <cell r="A48">
            <v>42</v>
          </cell>
          <cell r="B48" t="str">
            <v>DESPERDICIO 5%</v>
          </cell>
          <cell r="D48">
            <v>350</v>
          </cell>
        </row>
        <row r="49">
          <cell r="A49">
            <v>43</v>
          </cell>
          <cell r="B49" t="str">
            <v>3 AYUDANTES</v>
          </cell>
          <cell r="C49">
            <v>30000</v>
          </cell>
          <cell r="D49">
            <v>92</v>
          </cell>
        </row>
        <row r="50">
          <cell r="A50">
            <v>44</v>
          </cell>
          <cell r="B50" t="str">
            <v>1 JEFE DE PLANTA</v>
          </cell>
          <cell r="C50">
            <v>25000</v>
          </cell>
          <cell r="D50">
            <v>92</v>
          </cell>
        </row>
        <row r="51">
          <cell r="A51">
            <v>45</v>
          </cell>
          <cell r="B51" t="str">
            <v>1 AUXILIAR</v>
          </cell>
          <cell r="C51">
            <v>20000</v>
          </cell>
          <cell r="D51">
            <v>92</v>
          </cell>
        </row>
        <row r="52">
          <cell r="A52">
            <v>46</v>
          </cell>
          <cell r="B52" t="str">
            <v>TRITURADO</v>
          </cell>
          <cell r="C52" t="str">
            <v>M3</v>
          </cell>
          <cell r="D52">
            <v>26998</v>
          </cell>
        </row>
        <row r="53">
          <cell r="A53">
            <v>47</v>
          </cell>
          <cell r="B53" t="str">
            <v>PLANTA DE ASFALTO</v>
          </cell>
          <cell r="C53" t="str">
            <v>CAT</v>
          </cell>
          <cell r="D53">
            <v>180000</v>
          </cell>
        </row>
        <row r="54">
          <cell r="A54">
            <v>48</v>
          </cell>
          <cell r="B54" t="str">
            <v>MATERIAL BASE</v>
          </cell>
          <cell r="C54" t="str">
            <v>M3</v>
          </cell>
          <cell r="D54">
            <v>26998</v>
          </cell>
        </row>
        <row r="55">
          <cell r="A55">
            <v>49</v>
          </cell>
          <cell r="B55" t="str">
            <v>1 OPERADOR</v>
          </cell>
          <cell r="C55">
            <v>20000</v>
          </cell>
          <cell r="D55">
            <v>92</v>
          </cell>
        </row>
        <row r="56">
          <cell r="A56">
            <v>50</v>
          </cell>
          <cell r="B56" t="str">
            <v>MEZCLA ASFALTICA</v>
          </cell>
          <cell r="C56" t="str">
            <v>M3</v>
          </cell>
          <cell r="D56">
            <v>129028</v>
          </cell>
        </row>
        <row r="57">
          <cell r="A57">
            <v>51</v>
          </cell>
          <cell r="B57" t="str">
            <v>MATERIAL DE LIGA</v>
          </cell>
          <cell r="C57" t="str">
            <v>LT</v>
          </cell>
          <cell r="D57">
            <v>260</v>
          </cell>
        </row>
        <row r="58">
          <cell r="A58">
            <v>52</v>
          </cell>
          <cell r="B58" t="str">
            <v>1 CAPATAZ</v>
          </cell>
          <cell r="C58">
            <v>25000</v>
          </cell>
          <cell r="D58">
            <v>92</v>
          </cell>
        </row>
        <row r="59">
          <cell r="A59">
            <v>53</v>
          </cell>
          <cell r="B59" t="str">
            <v>5 AYUDANTES</v>
          </cell>
          <cell r="C59">
            <v>50000</v>
          </cell>
          <cell r="D59">
            <v>92</v>
          </cell>
        </row>
        <row r="60">
          <cell r="A60">
            <v>54</v>
          </cell>
          <cell r="B60" t="str">
            <v>BASE Y SUBBASE</v>
          </cell>
          <cell r="C60">
            <v>1.25</v>
          </cell>
          <cell r="D60">
            <v>515</v>
          </cell>
        </row>
        <row r="61">
          <cell r="A61">
            <v>55</v>
          </cell>
          <cell r="B61" t="str">
            <v>IMPRIMANTE MC-70</v>
          </cell>
          <cell r="C61" t="str">
            <v>LT</v>
          </cell>
          <cell r="D61">
            <v>350</v>
          </cell>
        </row>
        <row r="62">
          <cell r="A62">
            <v>56</v>
          </cell>
          <cell r="B62" t="str">
            <v>SELECCIÓN</v>
          </cell>
          <cell r="C62" t="str">
            <v>M3</v>
          </cell>
          <cell r="D62">
            <v>2000</v>
          </cell>
        </row>
        <row r="63">
          <cell r="A63">
            <v>57</v>
          </cell>
          <cell r="B63" t="str">
            <v xml:space="preserve">TUBO 36" </v>
          </cell>
          <cell r="C63" t="str">
            <v>ML</v>
          </cell>
          <cell r="D63">
            <v>95000</v>
          </cell>
        </row>
        <row r="64">
          <cell r="A64">
            <v>58</v>
          </cell>
          <cell r="B64" t="str">
            <v>MORTERO 1:4</v>
          </cell>
          <cell r="C64" t="str">
            <v>GLOBAL</v>
          </cell>
          <cell r="D64">
            <v>8000</v>
          </cell>
        </row>
        <row r="65">
          <cell r="A65">
            <v>59</v>
          </cell>
          <cell r="B65" t="str">
            <v>2 AYUDANTES</v>
          </cell>
          <cell r="C65">
            <v>20000</v>
          </cell>
          <cell r="D65">
            <v>92</v>
          </cell>
        </row>
        <row r="66">
          <cell r="A66">
            <v>60</v>
          </cell>
          <cell r="B66" t="str">
            <v>1 OFICIAL</v>
          </cell>
          <cell r="C66">
            <v>15000</v>
          </cell>
          <cell r="D66">
            <v>92</v>
          </cell>
        </row>
        <row r="67">
          <cell r="A67">
            <v>61</v>
          </cell>
          <cell r="B67" t="str">
            <v>CEMENTO</v>
          </cell>
          <cell r="C67" t="str">
            <v>KG</v>
          </cell>
          <cell r="D67">
            <v>200</v>
          </cell>
        </row>
        <row r="68">
          <cell r="A68">
            <v>62</v>
          </cell>
          <cell r="B68" t="str">
            <v>ARENA</v>
          </cell>
          <cell r="C68" t="str">
            <v>M3</v>
          </cell>
          <cell r="D68">
            <v>20000</v>
          </cell>
        </row>
        <row r="69">
          <cell r="A69">
            <v>63</v>
          </cell>
          <cell r="B69" t="str">
            <v>GRAVILLA</v>
          </cell>
          <cell r="C69" t="str">
            <v>M3</v>
          </cell>
          <cell r="D69">
            <v>20000</v>
          </cell>
        </row>
        <row r="70">
          <cell r="A70">
            <v>64</v>
          </cell>
          <cell r="B70" t="str">
            <v>AGUA</v>
          </cell>
          <cell r="C70" t="str">
            <v>LT</v>
          </cell>
          <cell r="D70">
            <v>80</v>
          </cell>
        </row>
        <row r="71">
          <cell r="A71">
            <v>65</v>
          </cell>
          <cell r="B71" t="str">
            <v>FORMALETA Y CODALES</v>
          </cell>
          <cell r="C71" t="str">
            <v>GLOBAL</v>
          </cell>
          <cell r="D71">
            <v>40000</v>
          </cell>
        </row>
        <row r="72">
          <cell r="A72">
            <v>66</v>
          </cell>
          <cell r="B72" t="str">
            <v>CONCRETO CLASE F</v>
          </cell>
          <cell r="C72" t="str">
            <v>M3</v>
          </cell>
          <cell r="D72">
            <v>117951</v>
          </cell>
        </row>
        <row r="73">
          <cell r="A73">
            <v>67</v>
          </cell>
          <cell r="B73" t="str">
            <v>PIEDRA RAJON</v>
          </cell>
          <cell r="C73" t="str">
            <v>M3</v>
          </cell>
          <cell r="D73">
            <v>25000</v>
          </cell>
        </row>
        <row r="74">
          <cell r="A74">
            <v>68</v>
          </cell>
          <cell r="B74" t="str">
            <v>FORMALETA</v>
          </cell>
          <cell r="C74" t="str">
            <v>GLOBAL</v>
          </cell>
          <cell r="D74">
            <v>20000</v>
          </cell>
        </row>
        <row r="75">
          <cell r="A75">
            <v>69</v>
          </cell>
          <cell r="B75" t="str">
            <v xml:space="preserve">PUNTILLA 2" </v>
          </cell>
          <cell r="C75" t="str">
            <v>LB</v>
          </cell>
          <cell r="D75">
            <v>800</v>
          </cell>
        </row>
        <row r="76">
          <cell r="A76">
            <v>70</v>
          </cell>
          <cell r="B76" t="str">
            <v>CONCRETO CLASE D</v>
          </cell>
          <cell r="C76" t="str">
            <v>M3</v>
          </cell>
          <cell r="D76">
            <v>134651</v>
          </cell>
        </row>
        <row r="77">
          <cell r="A77">
            <v>71</v>
          </cell>
          <cell r="B77" t="str">
            <v>CIZALLA</v>
          </cell>
          <cell r="C77" t="str">
            <v>GLOBAL</v>
          </cell>
          <cell r="D77">
            <v>2000</v>
          </cell>
        </row>
        <row r="78">
          <cell r="A78">
            <v>72</v>
          </cell>
          <cell r="B78" t="str">
            <v>ACERO PDR-60</v>
          </cell>
          <cell r="C78" t="str">
            <v>KG</v>
          </cell>
          <cell r="D78">
            <v>850</v>
          </cell>
        </row>
        <row r="79">
          <cell r="A79">
            <v>73</v>
          </cell>
          <cell r="B79" t="str">
            <v xml:space="preserve"> ALAMBRE NEGRO</v>
          </cell>
          <cell r="C79" t="str">
            <v>KG</v>
          </cell>
          <cell r="D79">
            <v>1000</v>
          </cell>
        </row>
        <row r="80">
          <cell r="A80">
            <v>74</v>
          </cell>
          <cell r="B80" t="str">
            <v>1 AYU. FIGURAC.</v>
          </cell>
          <cell r="C80">
            <v>10000</v>
          </cell>
          <cell r="D80">
            <v>92</v>
          </cell>
        </row>
        <row r="81">
          <cell r="A81">
            <v>75</v>
          </cell>
          <cell r="B81" t="str">
            <v>1 AYU. AMARRE</v>
          </cell>
          <cell r="C81">
            <v>10000</v>
          </cell>
          <cell r="D81">
            <v>92</v>
          </cell>
        </row>
        <row r="82">
          <cell r="A82">
            <v>76</v>
          </cell>
          <cell r="B82" t="str">
            <v>ACERO A-37</v>
          </cell>
          <cell r="C82" t="str">
            <v>KG</v>
          </cell>
          <cell r="D82">
            <v>800</v>
          </cell>
        </row>
        <row r="83">
          <cell r="A83">
            <v>77</v>
          </cell>
          <cell r="B83" t="str">
            <v>FORMALETA GAVION</v>
          </cell>
          <cell r="C83" t="str">
            <v>GLOBAL</v>
          </cell>
          <cell r="D83">
            <v>2000</v>
          </cell>
        </row>
        <row r="84">
          <cell r="A84">
            <v>78</v>
          </cell>
          <cell r="B84" t="str">
            <v>MALLA</v>
          </cell>
          <cell r="C84" t="str">
            <v>M3</v>
          </cell>
          <cell r="D84">
            <v>26000</v>
          </cell>
        </row>
        <row r="85">
          <cell r="A85">
            <v>79</v>
          </cell>
          <cell r="B85" t="str">
            <v>ALAMBRE GALVANIZADO</v>
          </cell>
          <cell r="C85" t="str">
            <v>KG</v>
          </cell>
          <cell r="D85">
            <v>1400</v>
          </cell>
        </row>
        <row r="86">
          <cell r="A86">
            <v>80</v>
          </cell>
          <cell r="B86" t="str">
            <v>PINTURA ACRILICA</v>
          </cell>
          <cell r="C86" t="str">
            <v>GALON</v>
          </cell>
          <cell r="D86">
            <v>30000</v>
          </cell>
        </row>
        <row r="87">
          <cell r="A87">
            <v>81</v>
          </cell>
          <cell r="B87" t="str">
            <v>THINER</v>
          </cell>
          <cell r="C87" t="str">
            <v>GALON</v>
          </cell>
          <cell r="D87">
            <v>15000</v>
          </cell>
        </row>
        <row r="88">
          <cell r="A88">
            <v>82</v>
          </cell>
          <cell r="B88" t="str">
            <v>ESTOPA</v>
          </cell>
          <cell r="C88" t="str">
            <v>KG</v>
          </cell>
          <cell r="D88">
            <v>1400</v>
          </cell>
        </row>
        <row r="89">
          <cell r="A89">
            <v>83</v>
          </cell>
          <cell r="B89" t="str">
            <v>1 CONDUCTOR</v>
          </cell>
          <cell r="C89">
            <v>18000</v>
          </cell>
          <cell r="D89">
            <v>92</v>
          </cell>
        </row>
        <row r="90">
          <cell r="A90">
            <v>84</v>
          </cell>
          <cell r="B90" t="str">
            <v>CINTA REFRECTIVA</v>
          </cell>
          <cell r="C90" t="str">
            <v>M2</v>
          </cell>
          <cell r="D90">
            <v>30000</v>
          </cell>
        </row>
        <row r="91">
          <cell r="A91">
            <v>85</v>
          </cell>
          <cell r="B91" t="str">
            <v>ANGULO 2" x 2" 1/16</v>
          </cell>
          <cell r="C91" t="str">
            <v>ML</v>
          </cell>
          <cell r="D91">
            <v>8000</v>
          </cell>
        </row>
        <row r="92">
          <cell r="A92">
            <v>86</v>
          </cell>
          <cell r="B92" t="str">
            <v xml:space="preserve">LAMINA GALVANIZADA Cal. 16" </v>
          </cell>
          <cell r="C92" t="str">
            <v>M2</v>
          </cell>
          <cell r="D92">
            <v>12000</v>
          </cell>
        </row>
        <row r="93">
          <cell r="A93">
            <v>87</v>
          </cell>
          <cell r="B93" t="str">
            <v>TERMINALES</v>
          </cell>
          <cell r="C93" t="str">
            <v>UNI.</v>
          </cell>
          <cell r="D93">
            <v>30000</v>
          </cell>
        </row>
        <row r="94">
          <cell r="A94">
            <v>88</v>
          </cell>
          <cell r="B94" t="str">
            <v>POSTES</v>
          </cell>
          <cell r="C94" t="str">
            <v>UNI.</v>
          </cell>
          <cell r="D94">
            <v>45000</v>
          </cell>
        </row>
        <row r="95">
          <cell r="A95">
            <v>89</v>
          </cell>
          <cell r="B95" t="str">
            <v>VIGA LAMINA GALVANIZADA</v>
          </cell>
          <cell r="C95" t="str">
            <v>ML</v>
          </cell>
          <cell r="D95">
            <v>22500</v>
          </cell>
        </row>
        <row r="96">
          <cell r="A96">
            <v>90</v>
          </cell>
          <cell r="B96" t="str">
            <v>TORNILLOS GALVANIZADOS</v>
          </cell>
          <cell r="C96" t="str">
            <v>UNI.</v>
          </cell>
          <cell r="D96">
            <v>150</v>
          </cell>
        </row>
        <row r="97">
          <cell r="A97">
            <v>91</v>
          </cell>
          <cell r="B97" t="str">
            <v>ADECUACION DE TERRENO</v>
          </cell>
          <cell r="C97" t="str">
            <v>GLOBAL</v>
          </cell>
          <cell r="D97">
            <v>700</v>
          </cell>
        </row>
        <row r="98">
          <cell r="A98">
            <v>92</v>
          </cell>
          <cell r="B98" t="str">
            <v>CESPEDON</v>
          </cell>
          <cell r="C98" t="str">
            <v>M2</v>
          </cell>
          <cell r="D98">
            <v>1000</v>
          </cell>
        </row>
      </sheetData>
      <sheetData sheetId="1" refreshError="1"/>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VIABILIDAD"/>
      <sheetName val="ESTUDIO DE PREFACT. Y FACT."/>
      <sheetName val="FICHA-EBI"/>
      <sheetName val="FICHA- EBI (2)"/>
      <sheetName val="ID-01A"/>
      <sheetName val="ID-01B"/>
      <sheetName val="ID-01C"/>
      <sheetName val="ID-01D"/>
      <sheetName val="ID-02"/>
      <sheetName val="ID-03"/>
      <sheetName val="ID-04"/>
      <sheetName val="ID-05"/>
      <sheetName val="ID-06"/>
      <sheetName val="ID-07 "/>
      <sheetName val="PE-01"/>
      <sheetName val="PE-02(A)"/>
      <sheetName val="PE-03"/>
      <sheetName val="PE-04"/>
      <sheetName val="PE-05(A)"/>
      <sheetName val="PE-05(B)"/>
      <sheetName val="PE-06"/>
      <sheetName val="PE-07(A)"/>
      <sheetName val="PE-08 (A)"/>
      <sheetName val="PE-08(B)"/>
      <sheetName val="PE-09(1)"/>
      <sheetName val="PE-10"/>
      <sheetName val="FS-02"/>
      <sheetName val="FS-01"/>
      <sheetName val="FS-03"/>
      <sheetName val="FF-01 PRESUPUESTO D Y C "/>
      <sheetName val="PRESUPUESTO COMPONENTE DISENO"/>
      <sheetName val="PRESUPUESTO COMPO inter"/>
      <sheetName val="FICHA- EBI"/>
      <sheetName val="Presupuesto de obra (2)"/>
      <sheetName val="UNITARIOS"/>
      <sheetName val="Personalizar"/>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refreshError="1"/>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62"/>
      <sheetName val="062 (2)"/>
      <sheetName val="062_(2)"/>
      <sheetName val="items"/>
      <sheetName val="TARIFAS"/>
    </sheetNames>
    <sheetDataSet>
      <sheetData sheetId="0">
        <row r="1">
          <cell r="A1" t="str">
            <v>MINISTERIO DE EDUCACION NACIONAL</v>
          </cell>
        </row>
        <row r="2">
          <cell r="A2" t="str">
            <v>UNION TEMPORAL VALLE</v>
          </cell>
        </row>
        <row r="3">
          <cell r="A3" t="str">
            <v>CONSTRUCCIÓN DE DOS AULAS</v>
          </cell>
        </row>
        <row r="4">
          <cell r="A4" t="str">
            <v>I.E. TOMAS CIPRIANO MOSQUERA</v>
          </cell>
        </row>
        <row r="5">
          <cell r="A5" t="str">
            <v>MUNICIPIO DE POPAYAN</v>
          </cell>
        </row>
        <row r="6">
          <cell r="A6" t="str">
            <v>Presupuesto</v>
          </cell>
        </row>
        <row r="7">
          <cell r="A7" t="str">
            <v>Clave</v>
          </cell>
          <cell r="B7" t="str">
            <v>Descripción</v>
          </cell>
          <cell r="C7" t="str">
            <v>Unidad</v>
          </cell>
          <cell r="D7" t="str">
            <v xml:space="preserve">Cantidad </v>
          </cell>
          <cell r="E7" t="str">
            <v>Precio U.</v>
          </cell>
          <cell r="F7" t="str">
            <v>%</v>
          </cell>
          <cell r="G7" t="str">
            <v>Total</v>
          </cell>
        </row>
      </sheetData>
      <sheetData sheetId="1"/>
      <sheetData sheetId="2"/>
      <sheetData sheetId="3" refreshError="1"/>
      <sheetData sheetId="4" refreshError="1"/>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 val="cuad2_1"/>
      <sheetName val="cuad2_2"/>
      <sheetName val="cuad2_3"/>
      <sheetName val="cuad2_4"/>
      <sheetName val="c2_5y2_61"/>
      <sheetName val="Cambio_redes"/>
      <sheetName val="Cambio_A_P"/>
      <sheetName val="Cambio_por_ajustes"/>
      <sheetName val="Instalación_redes"/>
      <sheetName val="Instalación_A_P"/>
      <sheetName val="Instalación_por_ajustes"/>
      <sheetName val="LUMINARIAS_CAMBIO1999"/>
      <sheetName val="LUMINARIAS_CAMBIO2000"/>
      <sheetName val="LUMINARIAS_CAMBIO2001"/>
      <sheetName val="LUMINARIAS_CAMBIO2002"/>
      <sheetName val="LUMINARIAS_INST1999"/>
      <sheetName val="LUMINARIAS_INST2000"/>
      <sheetName val="LUMINARIAS_INST2001"/>
      <sheetName val="LUMINARIAS_INST2002"/>
      <sheetName val="LUMINARIAS_RETIRO_1999-2002"/>
      <sheetName val="RESUMEN_LUMINARIAS"/>
      <sheetName val="REMUNERACIÓN_LUMINARIAS"/>
      <sheetName val="REMUNERACIÓN_POSTERÍA_Y_REDES"/>
      <sheetName val="REMUNERACIÓN_TRAFOS"/>
      <sheetName val="RESUMEN_REMUNERACIÓN"/>
      <sheetName val="cuad2_11"/>
      <sheetName val="cuad2_21"/>
      <sheetName val="cuad2_31"/>
      <sheetName val="cuad2_41"/>
      <sheetName val="c2_5y2_62"/>
      <sheetName val="Cambio_redes1"/>
      <sheetName val="Cambio_A_P1"/>
      <sheetName val="Cambio_por_ajustes1"/>
      <sheetName val="Instalación_redes1"/>
      <sheetName val="Instalación_A_P1"/>
      <sheetName val="Instalación_por_ajustes1"/>
      <sheetName val="LUMINARIAS_CAMBIO19991"/>
      <sheetName val="LUMINARIAS_CAMBIO20001"/>
      <sheetName val="LUMINARIAS_CAMBIO20011"/>
      <sheetName val="LUMINARIAS_CAMBIO20021"/>
      <sheetName val="LUMINARIAS_INST19991"/>
      <sheetName val="LUMINARIAS_INST20001"/>
      <sheetName val="LUMINARIAS_INST20011"/>
      <sheetName val="LUMINARIAS_INST20021"/>
      <sheetName val="LUMINARIAS_RETIRO_1999-20021"/>
      <sheetName val="RESUMEN_LUMINARIAS1"/>
      <sheetName val="REMUNERACIÓN_LUMINARIAS1"/>
      <sheetName val="REMUNERACIÓN_POSTERÍA_Y_REDES1"/>
      <sheetName val="REMUNERACIÓN_TRAFOS1"/>
      <sheetName val="RESUMEN_REMUNERACIÓN1"/>
      <sheetName val="cuad2_12"/>
      <sheetName val="cuad2_22"/>
      <sheetName val="cuad2_32"/>
      <sheetName val="cuad2_42"/>
      <sheetName val="c2_5y2_63"/>
      <sheetName val="Cambio_redes2"/>
      <sheetName val="Cambio_A_P2"/>
      <sheetName val="Cambio_por_ajustes2"/>
      <sheetName val="Instalación_redes2"/>
      <sheetName val="Instalación_A_P2"/>
      <sheetName val="Instalación_por_ajustes2"/>
      <sheetName val="LUMINARIAS_CAMBIO19992"/>
      <sheetName val="LUMINARIAS_CAMBIO20002"/>
      <sheetName val="LUMINARIAS_CAMBIO20012"/>
      <sheetName val="LUMINARIAS_CAMBIO20022"/>
      <sheetName val="LUMINARIAS_INST19992"/>
      <sheetName val="LUMINARIAS_INST20002"/>
      <sheetName val="LUMINARIAS_INST20012"/>
      <sheetName val="LUMINARIAS_INST20022"/>
      <sheetName val="LUMINARIAS_RETIRO_1999-20022"/>
      <sheetName val="RESUMEN_LUMINARIAS2"/>
      <sheetName val="REMUNERACIÓN_LUMINARIAS2"/>
      <sheetName val="REMUNERACIÓN_POSTERÍA_Y_REDES2"/>
      <sheetName val="REMUNERACIÓN_TRAFOS2"/>
      <sheetName val="RESUMEN_REMUNERACIÓN2"/>
      <sheetName val="cuad2_13"/>
      <sheetName val="cuad2_23"/>
      <sheetName val="cuad2_33"/>
      <sheetName val="cuad2_43"/>
      <sheetName val="c2_5y2_64"/>
      <sheetName val="Cambio_redes3"/>
      <sheetName val="Cambio_A_P3"/>
      <sheetName val="Cambio_por_ajustes3"/>
      <sheetName val="Instalación_redes3"/>
      <sheetName val="Instalación_A_P3"/>
      <sheetName val="Instalación_por_ajustes3"/>
      <sheetName val="LUMINARIAS_CAMBIO19993"/>
      <sheetName val="LUMINARIAS_CAMBIO20003"/>
      <sheetName val="LUMINARIAS_CAMBIO20013"/>
      <sheetName val="LUMINARIAS_CAMBIO20023"/>
      <sheetName val="LUMINARIAS_INST19993"/>
      <sheetName val="LUMINARIAS_INST20003"/>
      <sheetName val="LUMINARIAS_INST20013"/>
      <sheetName val="LUMINARIAS_INST20023"/>
      <sheetName val="LUMINARIAS_RETIRO_1999-20023"/>
      <sheetName val="RESUMEN_LUMINARIAS3"/>
      <sheetName val="REMUNERACIÓN_LUMINARIAS3"/>
      <sheetName val="REMUNERACIÓN_POSTERÍA_Y_REDES3"/>
      <sheetName val="REMUNERACIÓN_TRAFOS3"/>
      <sheetName val="RESUMEN_REMUNERACIÓN3"/>
      <sheetName val="062"/>
      <sheetName val="Cuadrillas"/>
      <sheetName val="Equ"/>
      <sheetName val="Trans"/>
      <sheetName val="Mat"/>
      <sheetName val="Salarios"/>
      <sheetName val="PRESUPUESTO"/>
      <sheetName val="2,2,6,1 Pilotes 0,30"/>
      <sheetName val="OBRAS SES"/>
      <sheetName val="APU NO PREVISTO"/>
      <sheetName val="PPTA (3)"/>
      <sheetName val="PPTA (2)"/>
      <sheetName val="PPTA"/>
      <sheetName val="REC-COD,"/>
      <sheetName val="TARIFAS"/>
      <sheetName val="FORMUL"/>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refreshError="1"/>
      <sheetData sheetId="142" refreshError="1"/>
      <sheetData sheetId="143" refreshError="1"/>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ESTADO_RED_TEC1"/>
      <sheetName val="PR_11"/>
      <sheetName val="PUNITARIOS_PARA_241201_2S1"/>
      <sheetName val="PREACTA_101"/>
      <sheetName val="PREACTA_91"/>
      <sheetName val="ESTADO_RED_TEC"/>
      <sheetName val="PR_1"/>
      <sheetName val="PUNITARIOS_PARA_241201_2S"/>
      <sheetName val="PREACTA_10"/>
      <sheetName val="PREACTA_9"/>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TRANSPORTE"/>
      <sheetName val="PRECIOS"/>
      <sheetName val="PREACTA 6"/>
      <sheetName val="TABLA 2008"/>
      <sheetName val="TRAPMO"/>
      <sheetName val="UNITARIOS"/>
      <sheetName val="THE"/>
      <sheetName val="ATHE"/>
      <sheetName val="PUNITARIOS_PARA_241201_2S10"/>
      <sheetName val="PR_110"/>
      <sheetName val="ESTADO_RED_TEC10"/>
      <sheetName val="PREACTA_1010"/>
      <sheetName val="PREACTA_910"/>
      <sheetName val="Presup_Cancha"/>
      <sheetName val="ESTADO VÍA-CRIT.TECNICO"/>
      <sheetName val="Listas"/>
      <sheetName val="Excavación Mat. Común Estacione"/>
      <sheetName val="Demolición Pavimento"/>
      <sheetName val="Insum"/>
      <sheetName val="SUB APU"/>
      <sheetName val="PRESUPUESTO"/>
      <sheetName val="CLASIFICACION"/>
      <sheetName val="Equipo"/>
      <sheetName val="A. P. U."/>
      <sheetName val="PUNITARIOS%20PARA%20241201%202S"/>
      <sheetName val="RELACION MES"/>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GCB2000"/>
      <sheetName val="A.P.U"/>
      <sheetName val="CRA.MODI"/>
      <sheetName val="FORMULA"/>
      <sheetName val="K16+000 AL K18+500"/>
      <sheetName val="K23+200 AL K24+700"/>
      <sheetName val="k18+500 AL K23+050"/>
      <sheetName val="Presupuesto PUENTE"/>
      <sheetName val="VOLUMENES (4)"/>
      <sheetName val="VOLUMENES (4SA)"/>
      <sheetName val="c2.5y2.6"/>
      <sheetName val=" Liquidacion de Obra por Tramos"/>
      <sheetName val="LISTA DE PRECIOS"/>
      <sheetName val="062"/>
      <sheetName val="Listado"/>
      <sheetName val="REC-COD,"/>
      <sheetName val="Lp"/>
      <sheetName val="mdo"/>
      <sheetName val="equip"/>
      <sheetName val="mat"/>
      <sheetName val="CIRCUITOS CODENSA"/>
      <sheetName val="c2_5y2_6"/>
      <sheetName val="c2_5y2_62"/>
      <sheetName val="c2_5y2_61"/>
      <sheetName val="c2_5y2_63"/>
      <sheetName val="c2_5y2_65"/>
      <sheetName val="c2_5y2_64"/>
      <sheetName val="c2_5y2_66"/>
      <sheetName val="c2_5y2_67"/>
      <sheetName val="c2_5y2_68"/>
      <sheetName val="c2_5y2_69"/>
      <sheetName val="c2_5y2_610"/>
      <sheetName val="SALARIOS"/>
      <sheetName val="APU NO PREVISTO"/>
      <sheetName val="PPTA (3)"/>
      <sheetName val="PPTA (2)"/>
      <sheetName val="PPTA"/>
      <sheetName val="2,2,6,1 Pilotes 0,30"/>
      <sheetName val="Requisición1"/>
      <sheetName val="5. ELECTRICO"/>
      <sheetName val="Cuadr."/>
      <sheetName val="OCTUBRE"/>
      <sheetName val="skj452"/>
      <sheetName val="ita878"/>
      <sheetName val="aea-944"/>
      <sheetName val="dub-823"/>
      <sheetName val="gpi 526"/>
      <sheetName val="xxj617"/>
      <sheetName val="sng_855"/>
      <sheetName val="vea 374"/>
      <sheetName val="hfb024"/>
      <sheetName val="paj825"/>
      <sheetName val="TODAS"/>
      <sheetName val="FINANC"/>
      <sheetName val="materiales"/>
      <sheetName val="otros"/>
      <sheetName val="Bajadas"/>
      <sheetName val="NARIÑO"/>
      <sheetName val="PERSONAL"/>
      <sheetName val="Tarifa MT"/>
      <sheetName val="PREACTA_61"/>
      <sheetName val="A_P_U1"/>
      <sheetName val="A_P_U"/>
      <sheetName val="Summary"/>
      <sheetName val="CODCONST"/>
      <sheetName val="APU"/>
      <sheetName val="Hoja2"/>
      <sheetName val="PUNITARIOS PARA 241201 2S.xls"/>
      <sheetName val="OBRAS SES"/>
      <sheetName val="c2_5y2_613"/>
      <sheetName val="PREACTA_62"/>
      <sheetName val="TABLA_20082"/>
      <sheetName val="c2_5y2_612"/>
      <sheetName val="TABLA_20081"/>
      <sheetName val="c2_5y2_611"/>
      <sheetName val="TABLA_2008"/>
      <sheetName val="PREACTA Y CONTRATISTAS"/>
      <sheetName val="PLAN DE INVERSION ANTICIPO"/>
      <sheetName val="inv mensual"/>
      <sheetName val="borrador flujo inv"/>
      <sheetName val="social-ambiental"/>
      <sheetName val="AU"/>
      <sheetName val="inst"/>
      <sheetName val="TABLAS"/>
      <sheetName val="7.1.8.1.1"/>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URVA"/>
      <sheetName val="costos oficina"/>
      <sheetName val="costos campamento"/>
      <sheetName val="días habiles 2015"/>
      <sheetName val="Proveedores y acreedores"/>
      <sheetName val="BASE"/>
      <sheetName val="BALANCE"/>
      <sheetName val="ITEMS NO REVISTOS"/>
      <sheetName val="APU ELECTRICOS"/>
      <sheetName val="CONT_ADI"/>
      <sheetName val="CHINCHINA FINAL . A CEROS"/>
      <sheetName val="Memoria de calculo"/>
      <sheetName val="c2_5y2_614"/>
      <sheetName val="glvc"/>
      <sheetName val="Poblacion"/>
      <sheetName val="DEST. MEDIOS"/>
      <sheetName val="COMBUASF"/>
      <sheetName val="BALCRUDO"/>
      <sheetName val="CARGASPROC."/>
      <sheetName val="G L P  FINAL"/>
      <sheetName val="ACTA MODIFICACIÓN CIVIL"/>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 sheetId="60" refreshError="1"/>
      <sheetData sheetId="61" refreshError="1"/>
      <sheetData sheetId="62" refreshError="1"/>
      <sheetData sheetId="63"/>
      <sheetData sheetId="64"/>
      <sheetData sheetId="65"/>
      <sheetData sheetId="66"/>
      <sheetData sheetId="67"/>
      <sheetData sheetId="68" refreshError="1"/>
      <sheetData sheetId="69" refreshError="1"/>
      <sheetData sheetId="70" refreshError="1"/>
      <sheetData sheetId="71" refreshError="1"/>
      <sheetData sheetId="72"/>
      <sheetData sheetId="73" refreshError="1"/>
      <sheetData sheetId="74"/>
      <sheetData sheetId="75"/>
      <sheetData sheetId="76"/>
      <sheetData sheetId="77"/>
      <sheetData sheetId="78"/>
      <sheetData sheetId="79"/>
      <sheetData sheetId="80"/>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sheetData sheetId="96"/>
      <sheetData sheetId="97"/>
      <sheetData sheetId="98"/>
      <sheetData sheetId="99"/>
      <sheetData sheetId="100" refreshError="1"/>
      <sheetData sheetId="101"/>
      <sheetData sheetId="102" refreshError="1"/>
      <sheetData sheetId="103"/>
      <sheetData sheetId="104"/>
      <sheetData sheetId="105"/>
      <sheetData sheetId="106"/>
      <sheetData sheetId="107"/>
      <sheetData sheetId="108" refreshError="1"/>
      <sheetData sheetId="109" refreshError="1"/>
      <sheetData sheetId="110" refreshError="1"/>
      <sheetData sheetId="111" refreshError="1"/>
      <sheetData sheetId="112" refreshError="1"/>
      <sheetData sheetId="113" refreshError="1"/>
      <sheetData sheetId="114"/>
      <sheetData sheetId="115"/>
      <sheetData sheetId="116"/>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sheetData sheetId="132"/>
      <sheetData sheetId="133"/>
      <sheetData sheetId="134"/>
      <sheetData sheetId="135"/>
      <sheetData sheetId="136"/>
      <sheetData sheetId="137"/>
      <sheetData sheetId="138"/>
      <sheetData sheetId="139"/>
      <sheetData sheetId="140"/>
      <sheetData sheetId="141"/>
      <sheetData sheetId="142" refreshError="1"/>
      <sheetData sheetId="143">
        <row r="48">
          <cell r="E48">
            <v>0</v>
          </cell>
        </row>
      </sheetData>
      <sheetData sheetId="144">
        <row r="48">
          <cell r="E48">
            <v>0</v>
          </cell>
        </row>
      </sheetData>
      <sheetData sheetId="145">
        <row r="48">
          <cell r="E48">
            <v>0</v>
          </cell>
        </row>
      </sheetData>
      <sheetData sheetId="146"/>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sheetData sheetId="180"/>
      <sheetData sheetId="181"/>
      <sheetData sheetId="182"/>
      <sheetData sheetId="183"/>
      <sheetData sheetId="184"/>
      <sheetData sheetId="185" refreshError="1"/>
      <sheetData sheetId="186" refreshError="1"/>
      <sheetData sheetId="187" refreshError="1"/>
      <sheetData sheetId="188" refreshError="1"/>
      <sheetData sheetId="189" refreshError="1"/>
      <sheetData sheetId="190"/>
      <sheetData sheetId="191"/>
      <sheetData sheetId="192" refreshError="1"/>
      <sheetData sheetId="193" refreshError="1"/>
      <sheetData sheetId="194" refreshError="1"/>
      <sheetData sheetId="195"/>
      <sheetData sheetId="196"/>
      <sheetData sheetId="197"/>
      <sheetData sheetId="198" refreshError="1"/>
      <sheetData sheetId="199"/>
      <sheetData sheetId="200"/>
      <sheetData sheetId="201">
        <row r="48">
          <cell r="E48">
            <v>0</v>
          </cell>
        </row>
      </sheetData>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refreshError="1"/>
      <sheetData sheetId="302"/>
      <sheetData sheetId="303"/>
      <sheetData sheetId="304"/>
      <sheetData sheetId="305" refreshError="1"/>
      <sheetData sheetId="306" refreshError="1"/>
      <sheetData sheetId="307">
        <row r="48">
          <cell r="E48">
            <v>0</v>
          </cell>
        </row>
      </sheetData>
      <sheetData sheetId="308"/>
      <sheetData sheetId="309"/>
      <sheetData sheetId="310" refreshError="1"/>
      <sheetData sheetId="311"/>
      <sheetData sheetId="312"/>
      <sheetData sheetId="313"/>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PRESUPUESTO OFICIAL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ow r="16">
          <cell r="A16" t="str">
            <v>ABONO 10-30-10</v>
          </cell>
        </row>
        <row r="17">
          <cell r="A17" t="str">
            <v>ABONO TIERRA NEGRA, GALLINAZA, CASCARILLA 40 KG</v>
          </cell>
        </row>
        <row r="18">
          <cell r="A18" t="str">
            <v>ABONO UREA</v>
          </cell>
        </row>
        <row r="19">
          <cell r="A19" t="str">
            <v>ACARREO ASFALTO</v>
          </cell>
        </row>
        <row r="20">
          <cell r="A20" t="str">
            <v>ACERO DE REFUERZO, INCLUYE ALAMBRE</v>
          </cell>
        </row>
        <row r="21">
          <cell r="A21" t="str">
            <v>ACERO ESTRUCTURAL LAMINADO ASTM-500</v>
          </cell>
        </row>
        <row r="22">
          <cell r="A22" t="str">
            <v xml:space="preserve">ADHESIVO UNION IMPORTADA </v>
          </cell>
        </row>
        <row r="23">
          <cell r="A23" t="str">
            <v>ADOQUIN ECOLOGICO</v>
          </cell>
        </row>
        <row r="24">
          <cell r="A24" t="str">
            <v xml:space="preserve">AGUA </v>
          </cell>
        </row>
        <row r="25">
          <cell r="A25" t="str">
            <v>ALAMBRE NEGRO</v>
          </cell>
        </row>
        <row r="26">
          <cell r="A26" t="str">
            <v>ANDAMIO 2 SECCIONES</v>
          </cell>
        </row>
        <row r="27">
          <cell r="A27" t="str">
            <v>ANDAMIOS 1 SECCION</v>
          </cell>
        </row>
        <row r="28">
          <cell r="A28" t="str">
            <v>ANDAMIOS 3 SECCIONES</v>
          </cell>
        </row>
        <row r="29">
          <cell r="A29" t="str">
            <v>ANGULO 1'' X 3/16'' (4,5MMX25MM)</v>
          </cell>
        </row>
        <row r="30">
          <cell r="A30" t="str">
            <v>ANTICORROSIVO ROJO TIPO PINTUCO</v>
          </cell>
        </row>
        <row r="31">
          <cell r="A31" t="str">
            <v>APARCABICICLETA OMEGA VB01 O SIMILAR .Acabados: zincado electrolítico y pintura poliéster en polvo color gris RAl 9006 Anclaje: mediante 4 pernos de expansión m8. Incluye transporte, cargue y descargue, materiales, herramienta e instalación.</v>
          </cell>
        </row>
        <row r="32">
          <cell r="A32" t="str">
            <v>APARCABICICLETA OMEGA VBF06 O SIMILAR Material: Hierro.Acabados: Galvanizado en caliente.Anclaje: mediante pernos de expansión m8 Incluye transporte, cargue y descargue, materiales, herramienta e instalación.</v>
          </cell>
        </row>
        <row r="33">
          <cell r="A33" t="str">
            <v>ARBOL ACOBO H=1,8</v>
          </cell>
        </row>
        <row r="34">
          <cell r="A34" t="str">
            <v>ARCOS CANCHA DE FUTBOL 7.32 * 2.44 TUB 31/2'' * 3MM</v>
          </cell>
        </row>
        <row r="35">
          <cell r="A35" t="str">
            <v>ARENA DE PEÑA</v>
          </cell>
        </row>
        <row r="36">
          <cell r="A36" t="str">
            <v>ARENA SILICEA</v>
          </cell>
        </row>
        <row r="37">
          <cell r="A37" t="str">
            <v>BALANCIN COLECTIVO LA FLOR JB20A O SIMILAR Paneles: Tableros contrachapados de 22 mm.Pintura: 3 manos (5 en los cantos) de esmalte poliuretano texturado exento de plomo y con alta resistencia a la meteorización.Piezas de plástico: Polietileno, polipropile</v>
          </cell>
        </row>
        <row r="38">
          <cell r="A38" t="str">
            <v>Balastro compactado base esp 0,10m</v>
          </cell>
        </row>
        <row r="39">
          <cell r="A39" t="str">
            <v>Balastro compactado base esp 0,10m</v>
          </cell>
        </row>
        <row r="40">
          <cell r="A40" t="str">
            <v>BALASTRO RIO GUATIQUIA  T.M. 1" EN OBRA SUELTO</v>
          </cell>
        </row>
        <row r="41">
          <cell r="A41" t="str">
            <v>Banca en concreto M-30 con espaldar metalico</v>
          </cell>
        </row>
        <row r="42">
          <cell r="A42" t="str">
            <v xml:space="preserve">BARANDA ACE INOX PASAM T 2" PARAL 11/2" BARAN 5/8"     </v>
          </cell>
        </row>
        <row r="43">
          <cell r="A43" t="str">
            <v>BASE GRANULAR (NORMAS INVIAS 330)</v>
          </cell>
        </row>
        <row r="44">
          <cell r="A44" t="str">
            <v>BISAGRA 240HIERRO 3''</v>
          </cell>
        </row>
        <row r="45">
          <cell r="A45" t="str">
            <v>BLOQUE N°5 FLEXA</v>
          </cell>
        </row>
        <row r="46">
          <cell r="A46" t="str">
            <v>BLOQUE DE CEMENTO MACIZO 4.2 MPA DE 6X10X20 CM, COLOR</v>
          </cell>
        </row>
        <row r="47">
          <cell r="A47" t="str">
            <v>BROCHA PICASSO 2''</v>
          </cell>
        </row>
        <row r="48">
          <cell r="A48" t="str">
            <v>CAL DOLOMITA</v>
          </cell>
        </row>
        <row r="49">
          <cell r="A49" t="str">
            <v>CAMILLA (9 DIAS)</v>
          </cell>
        </row>
        <row r="50">
          <cell r="A50" t="str">
            <v>Caneca en acero inoxidable tipo barcelona M-121</v>
          </cell>
        </row>
        <row r="51">
          <cell r="A51" t="str">
            <v>Cargue y descargue</v>
          </cell>
        </row>
        <row r="52">
          <cell r="A52" t="str">
            <v>Cargue y descargue</v>
          </cell>
        </row>
        <row r="53">
          <cell r="A53" t="str">
            <v xml:space="preserve">CARGUE Y DESCARGUE </v>
          </cell>
        </row>
        <row r="54">
          <cell r="A54" t="str">
            <v>Cargue y descargue juegos tipo 1</v>
          </cell>
        </row>
        <row r="55">
          <cell r="A55" t="str">
            <v>Cargue y descargue juegos tipo 2</v>
          </cell>
        </row>
        <row r="56">
          <cell r="A56" t="str">
            <v xml:space="preserve">CAUCHO GRANULADO </v>
          </cell>
        </row>
        <row r="57">
          <cell r="A57" t="str">
            <v>CEMENTO BLANCO</v>
          </cell>
        </row>
        <row r="58">
          <cell r="A58" t="str">
            <v xml:space="preserve">CEMENTO GRIS </v>
          </cell>
        </row>
        <row r="59">
          <cell r="A59" t="str">
            <v>CERCHAS (3ML x 9 DIAS)</v>
          </cell>
        </row>
        <row r="60">
          <cell r="A60" t="str">
            <v xml:space="preserve">CERR. CHAPA YALE 987 DE SOBREPONER </v>
          </cell>
        </row>
        <row r="61">
          <cell r="A61" t="str">
            <v>CILINDRO</v>
          </cell>
        </row>
        <row r="62">
          <cell r="A62" t="str">
            <v>CINTA DE ENMASCARAR 24 MM X 40M TESA</v>
          </cell>
        </row>
        <row r="63">
          <cell r="A63" t="str">
            <v xml:space="preserve">CINTA UNION IMPORTADA A=30 CM </v>
          </cell>
        </row>
        <row r="64">
          <cell r="A64" t="str">
            <v>CLORO FRANULADO</v>
          </cell>
        </row>
        <row r="65">
          <cell r="A65" t="str">
            <v>CODO 90 SANITARIO 2'' CXE PAVCO</v>
          </cell>
        </row>
        <row r="66">
          <cell r="A66" t="str">
            <v>CODO 90 SANITARIO 3'' CXE PAVCO</v>
          </cell>
        </row>
        <row r="67">
          <cell r="A67" t="str">
            <v>COMISION TOPOGRAFICA</v>
          </cell>
        </row>
        <row r="68">
          <cell r="A68" t="str">
            <v>COMPACTADOR DE LLANTAS</v>
          </cell>
        </row>
        <row r="69">
          <cell r="A69" t="str">
            <v>COMPRESOR MARTILLO  + OPERARIO</v>
          </cell>
        </row>
        <row r="70">
          <cell r="A70" t="str">
            <v>CONCRETO 3000 PSI</v>
          </cell>
        </row>
        <row r="71">
          <cell r="A71" t="str">
            <v>Concreto de 3000 psi</v>
          </cell>
        </row>
        <row r="72">
          <cell r="A72" t="str">
            <v>CONCRETO DE 4000 P S I</v>
          </cell>
        </row>
        <row r="73">
          <cell r="A73" t="str">
            <v>CONCRETOS CICLOPEO DE 3000 P.S.I</v>
          </cell>
        </row>
        <row r="74">
          <cell r="A74" t="str">
            <v>CONCRETOS DE 2000 P.S.I</v>
          </cell>
        </row>
        <row r="75">
          <cell r="A75" t="str">
            <v>CUADRILLA  1</v>
          </cell>
        </row>
        <row r="76">
          <cell r="A76" t="str">
            <v xml:space="preserve">CUADRILLA (M.O. BB) INSTALACIONES </v>
          </cell>
        </row>
        <row r="77">
          <cell r="A77" t="str">
            <v xml:space="preserve">CUADRILLA (M.O.BB) INSTALACIONES </v>
          </cell>
        </row>
        <row r="78">
          <cell r="A78" t="str">
            <v>CUADRILLA 1</v>
          </cell>
        </row>
        <row r="79">
          <cell r="A79" t="str">
            <v>CUADRILLA 2</v>
          </cell>
        </row>
        <row r="80">
          <cell r="A80" t="str">
            <v>CUADRILLA 3</v>
          </cell>
        </row>
        <row r="81">
          <cell r="A81" t="str">
            <v>CUADRILLA especial</v>
          </cell>
        </row>
        <row r="82">
          <cell r="A82" t="str">
            <v>CUARTÓN 5*5*3m</v>
          </cell>
        </row>
        <row r="83">
          <cell r="A83" t="str">
            <v>DECK EN MADERA ECOLÓGICA 15 X 2,5 X 3,00 incluye instalación</v>
          </cell>
        </row>
        <row r="84">
          <cell r="A84" t="str">
            <v>DURANTA H=0,3MT</v>
          </cell>
        </row>
        <row r="85">
          <cell r="A85" t="str">
            <v xml:space="preserve">EMULSION ASFALTICA </v>
          </cell>
        </row>
        <row r="86">
          <cell r="A86" t="str">
            <v>EQUIPO DE OXI CORTE</v>
          </cell>
        </row>
        <row r="87">
          <cell r="A87" t="str">
            <v xml:space="preserve">EQUIPO DE SOLDADURA </v>
          </cell>
        </row>
        <row r="88">
          <cell r="A88" t="str">
            <v>Equipo topografico</v>
          </cell>
        </row>
        <row r="89">
          <cell r="A89" t="str">
            <v xml:space="preserve">EQUIPOS DE INSTALACION (TOLVA HIDRAULICA, CEPILLO HIDRAULICO, CUATRIMOTO, TOLVA MANUAL Y EQUIPO DE ENSAMBLAJE), INCLUYE TRANSPORTE  </v>
          </cell>
        </row>
        <row r="90">
          <cell r="A90" t="str">
            <v xml:space="preserve">ESMALTE DOMESTICO INT ALTA CALIDAD </v>
          </cell>
        </row>
        <row r="91">
          <cell r="A91" t="str">
            <v>ESMALTE SINTETICO</v>
          </cell>
        </row>
        <row r="92">
          <cell r="A92" t="str">
            <v>ESTACION TOPOGRAFICA, INCLUYE NIVEL</v>
          </cell>
        </row>
        <row r="93">
          <cell r="A93" t="str">
            <v>EXCAVACION MANUAL Y RETIRO</v>
          </cell>
        </row>
        <row r="94">
          <cell r="A94" t="str">
            <v>Excavación manual y retiro de escombros</v>
          </cell>
        </row>
        <row r="95">
          <cell r="A95" t="str">
            <v>FILODENDRO H=0,4MT</v>
          </cell>
        </row>
        <row r="96">
          <cell r="A96" t="str">
            <v>FLETE</v>
          </cell>
        </row>
        <row r="97">
          <cell r="A97" t="str">
            <v>FORMALETA</v>
          </cell>
        </row>
        <row r="98">
          <cell r="A98" t="str">
            <v>FORMALETA METALICA SARDINEL  1 DIA</v>
          </cell>
        </row>
        <row r="99">
          <cell r="A99" t="str">
            <v>GASOLINA ROJA</v>
          </cell>
        </row>
        <row r="100">
          <cell r="A100" t="str">
            <v>GEOTEXTIL NT 2000</v>
          </cell>
        </row>
        <row r="101">
          <cell r="A101" t="str">
            <v>GEOTEXTIL NT1600</v>
          </cell>
        </row>
        <row r="102">
          <cell r="A102" t="str">
            <v>GRAMA SINTETICA</v>
          </cell>
        </row>
        <row r="103">
          <cell r="A103" t="str">
            <v>GRAMA TRENZA INCLUYE TRANSP.</v>
          </cell>
        </row>
        <row r="104">
          <cell r="A104" t="str">
            <v>GRAVA TRITURA R  T.M. 1" EN OBRA SUELTO</v>
          </cell>
        </row>
        <row r="105">
          <cell r="A105" t="str">
            <v xml:space="preserve">GUAYA DE 1/4 RECUBIERTA EN CAUCHO </v>
          </cell>
        </row>
        <row r="106">
          <cell r="A106" t="str">
            <v xml:space="preserve">HERRAMIENTA MENOR </v>
          </cell>
        </row>
        <row r="107">
          <cell r="A107" t="str">
            <v xml:space="preserve">HERRAMIENTA MENOR </v>
          </cell>
        </row>
        <row r="108">
          <cell r="A108" t="str">
            <v>HERRAMIENTA MENOR  3%  M.O</v>
          </cell>
        </row>
        <row r="109">
          <cell r="A109" t="str">
            <v>HERRAMIENTA MENOR  3%  M.O ESPECIAL</v>
          </cell>
        </row>
        <row r="110">
          <cell r="A110" t="str">
            <v>HIDROJET 1700 PSI BOQUILLA ROTATIVA</v>
          </cell>
        </row>
        <row r="111">
          <cell r="A111" t="str">
            <v>HOJA PARA SEGUETA</v>
          </cell>
        </row>
        <row r="112">
          <cell r="A112" t="str">
            <v>LIJA DE AGUA # 100</v>
          </cell>
        </row>
        <row r="113">
          <cell r="A113" t="str">
            <v xml:space="preserve">LIJA DE AGUA PROFINAL *31*5GRANO 120-150-180 </v>
          </cell>
        </row>
        <row r="114">
          <cell r="A114" t="str">
            <v xml:space="preserve">LIMPIADOR REMOVEDOR 1/8 NOVAFORT </v>
          </cell>
        </row>
        <row r="115">
          <cell r="A115" t="str">
            <v>LIMPIADOR/SOLDADURA  1/4 GL</v>
          </cell>
        </row>
        <row r="116">
          <cell r="A116" t="str">
            <v>LINEAS DE DEMARCACION HORIZONTAL DE 12 Cm DE ANCHO, CON PINTURA TIPO TRAFICO</v>
          </cell>
        </row>
        <row r="117">
          <cell r="A117" t="str">
            <v>Loseta tipo IDU</v>
          </cell>
        </row>
        <row r="118">
          <cell r="A118" t="str">
            <v>LUMINARIA DUNA SENIOR ILND20 O SIMIMLAR aplicación: Columnas de 8 a 12 metros. Cuerpo: inyección de aluminio de alta resistencia y durabilidad. acabado en color raL9007.Difusor: Vidrio lenticular templado.Fijación: instalación lateral-top Ø60mm.equipos el</v>
          </cell>
        </row>
        <row r="119">
          <cell r="A119" t="str">
            <v>MALLA ESLABONADA 2'X2'' No 10, 3,4MM</v>
          </cell>
        </row>
        <row r="120">
          <cell r="A120" t="str">
            <v xml:space="preserve">MANO DE OBRA </v>
          </cell>
        </row>
        <row r="121">
          <cell r="A121" t="str">
            <v>MEZCLA ASFALTICA MDC-1</v>
          </cell>
        </row>
        <row r="122">
          <cell r="A122" t="str">
            <v>MEZCLADORA DE CONCRETO</v>
          </cell>
        </row>
        <row r="123">
          <cell r="A123" t="str">
            <v>MINERALES Y CEMENTO PARA ESMALTE</v>
          </cell>
        </row>
        <row r="124">
          <cell r="A124" t="str">
            <v>MNYLON No. 2</v>
          </cell>
        </row>
        <row r="125">
          <cell r="A125" t="str">
            <v>MODULO EN MALLA ESLABONADA DE CALIBRE 10 DE 2"X2", CON MARCO EN ANGULO DE 1/12"X3/16", REFUERZO CENTRAL Y CINTA METALICA PERIMETRAL DE 1/2"X1/8", INCLUYE ANTICORROSIVO Y PINTURA EN ESMALTE.</v>
          </cell>
        </row>
        <row r="126">
          <cell r="A126" t="str">
            <v>MOLDE TIPO TAPETE PARA CONCRETO ESTAMPADO</v>
          </cell>
        </row>
        <row r="127">
          <cell r="A127" t="str">
            <v>MOLDURA ESQUINERA EN MADERA</v>
          </cell>
        </row>
        <row r="128">
          <cell r="A128" t="str">
            <v>MORDAZA Y CUÑA DE 0,80 ( SEMANA)</v>
          </cell>
        </row>
        <row r="129">
          <cell r="A129" t="str">
            <v>MORTERO 1:3</v>
          </cell>
        </row>
        <row r="130">
          <cell r="A130" t="str">
            <v>MORTERO 1:4</v>
          </cell>
        </row>
        <row r="131">
          <cell r="A131" t="str">
            <v>Mortero de nivelacion</v>
          </cell>
        </row>
        <row r="132">
          <cell r="A132" t="str">
            <v>MOTONIVELADORA</v>
          </cell>
        </row>
        <row r="133">
          <cell r="A133" t="str">
            <v>PALMA BOTELLA H=2 A 2,5MT</v>
          </cell>
        </row>
        <row r="134">
          <cell r="A134" t="str">
            <v>PALMA BOTELLA H=5 A 6 MT</v>
          </cell>
        </row>
        <row r="135">
          <cell r="A135" t="str">
            <v>PALMA CATECHU H=2,5</v>
          </cell>
        </row>
        <row r="136">
          <cell r="A136" t="str">
            <v>PALMA COLA DE ZORRO H=2,0</v>
          </cell>
        </row>
        <row r="137">
          <cell r="A137" t="str">
            <v>PALMA LIVISTONA H=1,2</v>
          </cell>
        </row>
        <row r="138">
          <cell r="A138" t="str">
            <v>PALMA MANILLA H=2,5MT</v>
          </cell>
        </row>
        <row r="139">
          <cell r="A139" t="str">
            <v>PALMA ROJA H=1,4</v>
          </cell>
        </row>
        <row r="140">
          <cell r="A140" t="str">
            <v>PARALES METALICOS (9 DIAS)</v>
          </cell>
        </row>
        <row r="141">
          <cell r="A141" t="str">
            <v>PARALES METALICOS (9 DIAS)UND</v>
          </cell>
        </row>
        <row r="142">
          <cell r="A142" t="str">
            <v>PERROS PARA GUAYA DE 1/4</v>
          </cell>
        </row>
        <row r="143">
          <cell r="A143" t="str">
            <v xml:space="preserve">PIEDRA BOLA DE OCOA    </v>
          </cell>
        </row>
        <row r="144">
          <cell r="A144" t="str">
            <v>PINTURA ( ESMALTE )</v>
          </cell>
        </row>
        <row r="145">
          <cell r="A145" t="str">
            <v>PINTURA CANCHAS  ESMALTE EPOXICO</v>
          </cell>
        </row>
        <row r="146">
          <cell r="A146" t="str">
            <v>PIOLA</v>
          </cell>
        </row>
        <row r="147">
          <cell r="A147" t="str">
            <v xml:space="preserve">PLANCHONES </v>
          </cell>
        </row>
        <row r="148">
          <cell r="A148" t="str">
            <v>PLATINA 2'' X 3/16''GEN</v>
          </cell>
        </row>
        <row r="149">
          <cell r="A149" t="str">
            <v>Prefabricado Bloque de cemento A-10 Dim. 0,80X0,20X0,50</v>
          </cell>
        </row>
        <row r="150">
          <cell r="A150" t="str">
            <v>PREFABRICADO BORDILLO DE CEMENTO A-80 DOM. 0,80X0,20X0,35</v>
          </cell>
        </row>
        <row r="151">
          <cell r="A151" t="str">
            <v xml:space="preserve">PREFABRICADO RAMPA ESPECIAL TIPO A-100 DIM. 0,6X0,2X0,5 </v>
          </cell>
        </row>
        <row r="152">
          <cell r="A152" t="str">
            <v xml:space="preserve">PULIDORA MANUAL CON DISCO  </v>
          </cell>
        </row>
        <row r="153">
          <cell r="A153" t="str">
            <v>PUNTILLA  1"</v>
          </cell>
        </row>
        <row r="154">
          <cell r="A154" t="str">
            <v>PUNTILLA 2"</v>
          </cell>
        </row>
        <row r="155">
          <cell r="A155" t="str">
            <v>RECEBO COMPACTADO</v>
          </cell>
        </row>
        <row r="156">
          <cell r="A156" t="str">
            <v>RELLENO DE RIO TAMAÑO MAXIMO 2"</v>
          </cell>
        </row>
        <row r="157">
          <cell r="A157" t="str">
            <v>RELLENO CONTENIDO ARCILLA</v>
          </cell>
        </row>
        <row r="158">
          <cell r="A158" t="str">
            <v xml:space="preserve">REJILLA 3X2'' SOSCO (ANTICUCARCHAS) ALUMINIO </v>
          </cell>
        </row>
        <row r="159">
          <cell r="A159" t="str">
            <v>REJILLA 4'' TRADICIONNAL COBRE</v>
          </cell>
        </row>
        <row r="160">
          <cell r="A160" t="str">
            <v>REPISA  5*10*3M</v>
          </cell>
        </row>
        <row r="161">
          <cell r="A161" t="str">
            <v>RETROEXCAVADORA</v>
          </cell>
        </row>
        <row r="162">
          <cell r="A162" t="str">
            <v>RETROEXCAVADORA ORUGA</v>
          </cell>
        </row>
        <row r="163">
          <cell r="A163" t="str">
            <v xml:space="preserve">RODILLO DE FELPA </v>
          </cell>
        </row>
        <row r="164">
          <cell r="A164" t="str">
            <v>SEPAROL SIKA 15 KG NEUTRO</v>
          </cell>
        </row>
        <row r="165">
          <cell r="A165" t="str">
            <v xml:space="preserve">SIFON SANITARIO 2'' PVC </v>
          </cell>
        </row>
        <row r="166">
          <cell r="A166" t="str">
            <v>SIKA 1</v>
          </cell>
        </row>
        <row r="167">
          <cell r="A167" t="str">
            <v>SIKAGUARD DÉCOR 18 KILOS</v>
          </cell>
        </row>
        <row r="168">
          <cell r="A168" t="str">
            <v>SOLDADURA 6013  X 1/8</v>
          </cell>
        </row>
        <row r="169">
          <cell r="A169" t="str">
            <v>SOLDADURA PVC LIQUIDA 1/4GL</v>
          </cell>
        </row>
        <row r="170">
          <cell r="A170" t="str">
            <v>SUBBASE GRANULAR (RIO GUAYURIBA, NORMA INVIAS 320)</v>
          </cell>
        </row>
        <row r="171">
          <cell r="A171" t="str">
            <v>Suministro e instalacion Bolardo bajo hierro M-62 o similar</v>
          </cell>
        </row>
        <row r="172">
          <cell r="A172" t="str">
            <v>Suministro e instalacion Protector de arbol M-91 o similar</v>
          </cell>
        </row>
        <row r="173">
          <cell r="A173" t="str">
            <v>TABLA BURRA 3"30'3M</v>
          </cell>
        </row>
        <row r="174">
          <cell r="A174" t="str">
            <v>TABLA ORDINARIA  3*10*3M</v>
          </cell>
        </row>
        <row r="175">
          <cell r="A175" t="str">
            <v>TENSORES PARA GUAYA DE 1/4</v>
          </cell>
        </row>
        <row r="176">
          <cell r="A176" t="str">
            <v>TERMINADORA DE ASFALTOS</v>
          </cell>
        </row>
        <row r="177">
          <cell r="A177" t="str">
            <v>THINER</v>
          </cell>
        </row>
        <row r="178">
          <cell r="A178" t="str">
            <v>TIERRA NEGRA (INCLUYE ABONO)</v>
          </cell>
        </row>
        <row r="179">
          <cell r="A179" t="str">
            <v>TIRA ALISTADO 3-3"3M</v>
          </cell>
        </row>
        <row r="180">
          <cell r="A180" t="str">
            <v>TOLETE COMUN</v>
          </cell>
        </row>
        <row r="181">
          <cell r="A181" t="str">
            <v>TRANSPORTE</v>
          </cell>
        </row>
        <row r="182">
          <cell r="A182" t="str">
            <v>TRANSPORTE BOGOTA / VILLAVICENCIO</v>
          </cell>
        </row>
        <row r="183">
          <cell r="A183" t="str">
            <v>Transporte Bogota / Villavicencio camion 10 ton</v>
          </cell>
        </row>
        <row r="184">
          <cell r="A184" t="str">
            <v>Transporte Bogota / Villavicencio camion 10 ton</v>
          </cell>
        </row>
        <row r="185">
          <cell r="A185" t="str">
            <v xml:space="preserve">TRANSPORTE BOGOTA/ VILLAVICENCIO </v>
          </cell>
        </row>
        <row r="186">
          <cell r="A186" t="str">
            <v>TRANSPORTE ESPECIAL PALMA</v>
          </cell>
        </row>
        <row r="187">
          <cell r="A187" t="str">
            <v>TRANSPORTE ESPECIAL PALMA 2</v>
          </cell>
        </row>
        <row r="188">
          <cell r="A188" t="str">
            <v>TRANSPORTE ESPECIAL PALMA 3</v>
          </cell>
        </row>
        <row r="189">
          <cell r="A189" t="str">
            <v>TRANSPORTE ESPECIAL PALMA 4</v>
          </cell>
        </row>
        <row r="190">
          <cell r="A190" t="str">
            <v>TRANSPORTE ESPECIAL PALMA 5</v>
          </cell>
        </row>
        <row r="191">
          <cell r="A191" t="str">
            <v>TRANSPORTE ESPECIAL PALMA 6</v>
          </cell>
        </row>
        <row r="192">
          <cell r="A192" t="str">
            <v>TRANSPORTE ESPECIAL PALMA 7</v>
          </cell>
        </row>
        <row r="193">
          <cell r="A193" t="str">
            <v>Transporte Volqueta de 5 m3</v>
          </cell>
        </row>
        <row r="194">
          <cell r="A194" t="str">
            <v>TUBERIA A.N1 LIVIANO 2,3 MM (0,090'')</v>
          </cell>
        </row>
        <row r="195">
          <cell r="A195" t="str">
            <v>TUBERIA PVC 1"</v>
          </cell>
        </row>
        <row r="196">
          <cell r="A196" t="str">
            <v>TUBO DRENAJE PVC 100MM PACVO</v>
          </cell>
        </row>
        <row r="197">
          <cell r="A197" t="str">
            <v>TUBO GALVANIZADO 2'' LIVIANO E= 0,075 (1,90MM)</v>
          </cell>
        </row>
        <row r="198">
          <cell r="A198" t="str">
            <v>TUBO PVC DE 3"</v>
          </cell>
        </row>
        <row r="199">
          <cell r="A199" t="str">
            <v>TUBO SANITARIO 4''PVC PAVCO</v>
          </cell>
        </row>
        <row r="200">
          <cell r="A200" t="str">
            <v>Tubo PVC NOVAFORT de 6"</v>
          </cell>
        </row>
        <row r="201">
          <cell r="A201" t="str">
            <v>UNION  PVC  3"</v>
          </cell>
        </row>
        <row r="202">
          <cell r="A202" t="str">
            <v>Unión NOVAFORT 6"</v>
          </cell>
        </row>
        <row r="203">
          <cell r="A203" t="str">
            <v>UNION TUBO DREN 100MM (4'') PAVCO.</v>
          </cell>
        </row>
        <row r="204">
          <cell r="A204" t="str">
            <v>VARA DE CLAVO</v>
          </cell>
        </row>
        <row r="205">
          <cell r="A205" t="str">
            <v>VIBRADOR A GASOLINA</v>
          </cell>
        </row>
        <row r="206">
          <cell r="A206" t="str">
            <v>VIBRO RANA</v>
          </cell>
        </row>
        <row r="207">
          <cell r="A207" t="str">
            <v xml:space="preserve">VINILO TIPO 1 (VINILTEX O SIMILAR) </v>
          </cell>
        </row>
        <row r="208">
          <cell r="A208" t="str">
            <v>VOLQUETA DE 5 M3</v>
          </cell>
        </row>
        <row r="209">
          <cell r="A209" t="str">
            <v>TRANSPORTE ESPECIAL PALMA 8</v>
          </cell>
        </row>
        <row r="210">
          <cell r="A210" t="str">
            <v>TRANSPORTE ESPECIAL PALMA 9</v>
          </cell>
        </row>
        <row r="211">
          <cell r="A211" t="str">
            <v>TRANSPORTE ESPECIAL PALMA 10</v>
          </cell>
        </row>
        <row r="212">
          <cell r="A212" t="str">
            <v>GRUA</v>
          </cell>
        </row>
        <row r="213">
          <cell r="A213" t="str">
            <v xml:space="preserve">concreto de 5000 psi </v>
          </cell>
        </row>
        <row r="214">
          <cell r="A214" t="str">
            <v>IRRIGADOR</v>
          </cell>
        </row>
        <row r="215">
          <cell r="A215" t="str">
            <v>EMULSION ASFALTICA</v>
          </cell>
        </row>
        <row r="216">
          <cell r="A216" t="str">
            <v>VIBROCOMPACTADOR</v>
          </cell>
        </row>
        <row r="217">
          <cell r="A217" t="str">
            <v>PERGOLA TUBO PTS 200X100 A MM PIE DE  REY DE 1.2 X 2.4 LAMINA HR CAL. 6 MM , PIE DE REY 5X8 CMMCAL 5 MM X 4 UND BASE PLATINA DE 35X35X25 MM CUATRO ORIFICIOS ANCLAJES DE 35 CM X 25 MM CON PERNOS Y ARANDELAS X 4 UND INCLUYEN CORTES DE PLASMA PROTECCION WAST</v>
          </cell>
        </row>
        <row r="218">
          <cell r="A218" t="str">
            <v>PORTALIBROS EN CONCRETO Y TUBO ACABADO OXIDADO</v>
          </cell>
        </row>
        <row r="219">
          <cell r="A219" t="str">
            <v>BICICLETERO EN TUBO DE ACERO INOXIDABLE 14 D=1 1/2" EN ESPIRAL, QUE SE APOYA AL SUELO EN DOS BASES DE ALUMINIO. LONGITUD=1,2 MT.</v>
          </cell>
        </row>
        <row r="220">
          <cell r="A220" t="str">
            <v>PORTALIBROS TUBO ACABADO OXIDADO</v>
          </cell>
        </row>
        <row r="221">
          <cell r="A221" t="str">
            <v>LAMINA ACABADO OXIDADO</v>
          </cell>
        </row>
        <row r="222">
          <cell r="A222" t="str">
            <v>MALLA ELECTROSOLDADA M-159  GRAFIL 5.5 MM C/150</v>
          </cell>
        </row>
        <row r="223">
          <cell r="A223" t="str">
            <v>BICICLETERO EN TUBO DE ACERO INOXIDABLE 14 D=1 1/2" EN ESPIRAL, QUE SE APOYA AL SUELO EN DOS BASES DE ALUMINIO. LONGITUD=1,2 MT.</v>
          </cell>
        </row>
        <row r="224">
          <cell r="A224" t="str">
            <v>Motosierra</v>
          </cell>
        </row>
        <row r="225">
          <cell r="A225" t="str">
            <v>Volqueta</v>
          </cell>
        </row>
        <row r="226">
          <cell r="A226" t="str">
            <v>Alquiler carro canasta incluye conductor y operarios</v>
          </cell>
        </row>
        <row r="227">
          <cell r="A227" t="str">
            <v>Manto de poliester para control de erosión
TERRATRAC TRM 15</v>
          </cell>
        </row>
        <row r="228">
          <cell r="A228" t="str">
            <v>ARBOL - ESPECIE NATIVA TIPO PALO DE CRUZ, CARBONERO O OITI</v>
          </cell>
        </row>
        <row r="229">
          <cell r="A229" t="str">
            <v>CERRAMIENTO FORMA DE LAPIZ EN TUBO GALVANIZADO PINTURA POLIURETANO</v>
          </cell>
        </row>
        <row r="230">
          <cell r="A230" t="str">
            <v>ROCODROMO PARA PRACTICA DE ESCALADA PEQUEÑAS PAREDES CON LA FORMA DE LA LETRA A, FABRICADO EN POLIESTER POR CAPAS, INTERIOR DE LA PIEZA EN ESTRUCTURA METALICA, PRESAS DE AGARRE EN RESINA DE POLIESTER CON CARGA MINERAL, TORNILLOS ZINCADOS Y EN ACERO INOXID</v>
          </cell>
        </row>
        <row r="231">
          <cell r="A231" t="str">
            <v>MUELLE DIMENSIÓN 0,75X0,84X0,32 MT SIMULA MOTONETA VESPA FABRICADO EN PANELES HDPE DE 18 MM, POLIETILENO DE ALTA DENSIDAD, PIEZAS METALICAS EN ACERO ZINCADO Y LACADO, ALUMINIO ANODIZADO Y TORNILLERIA EN ACERO GALVANIZADO</v>
          </cell>
        </row>
        <row r="232">
          <cell r="A232" t="str">
            <v>MUELLE DIMENSION 0,76X0,86X0,44 MT  CONFORMADO POR DOS ESTRELLAS, FABRICADO EN PANELES HDPE DE 18 MM, POLIETILENO DE ALTA DENSIDAD, PIEZAS METALICAS EN ACERO ZINCADO Y LACADO, ALUMINIO ANODIZADO Y TORNILLERIA EN ACERO GALVANIZADO</v>
          </cell>
        </row>
        <row r="233">
          <cell r="A233" t="str">
            <v>MUELLE DIMENSION 0,77X0,89X0,26 MT CON FORMA DE ESTRELLA FUGAZ, FABRICADO EN PANELES HDPE DE 18 MM, POLIETILENO DE ALTA DENSIDAD, PIEZAS METALICAS EN ACERO ZINCADO Y LACADO, ALUMINIO ANODIZADO Y TORNILLERIA EN ACERO GALVANIZADO</v>
          </cell>
        </row>
        <row r="234">
          <cell r="A234" t="str">
            <v>MUELLE DIMENSION 0,73X0,95X0,25 MT CON FORMA DE CANGURO,  FABRICADO EN PANELES HDPE DE 18 MM, POLIETILENO DE ALTA DENSIDAD, PIEZAS METALICAS EN ACERO ZINCADO Y LACADO, ALUMINIO ANODIZADO Y TORNILLERIA EN ACERO GALVANIZADO</v>
          </cell>
        </row>
        <row r="235">
          <cell r="A235" t="str">
            <v xml:space="preserve">BALANCIN COLECTIVO DIMENSION 0,90X0,90X0,64 MT CON FORMA DE FLOR, TABLERO CONTRACHAPADO, LAMINADO,LACADO DE 22 MM., PIEZAS METALICAS EN ACERO Y ALUMINIO ANODIZADO </v>
          </cell>
        </row>
        <row r="236">
          <cell r="A236" t="str">
            <v>TOBOGAN DIMENSION 3,4X2,24X1,90 MT, EN POLIETILENO, POLIPROPILENO Y POLIAMIDA, PIEZAS METALICAS EN ACERO ZINCADO Y LACADO Y ALUMINIO ANODIZADO.</v>
          </cell>
        </row>
        <row r="237">
          <cell r="A237" t="str">
            <v>TOBOGAN DIMENSION 1,09X1,75X0,51 MT EN FORMA DE PATO POSTES EN MADERA LAMINADA DE PINO ESCANDINAVO, TABLERO CONTRACHAPADO, LAMINADO, LACADO DE 22 MM, PIEZAS PLASTICAS DE POLIETILENO, POLIPROPILENO Y POLIAMIDA, PIEZAS METALICAS EN ACERO Y ALUMINIO ANODIZAD</v>
          </cell>
        </row>
        <row r="238">
          <cell r="A238" t="str">
            <v>CONJUNTO MODULAR DIMENSION 3,81X3,12X2,93 MT CON POSTES DE MADERA LAMINADA DE PINO ESCANDINAVO, PÁNELES HDPE POLIETILENO DE ALTA DENSIDAD, LAMINADO HPL DE ALTA PRESION, PIEZAS DE PLASTICO EN POLIETILENO Y POLIPROPILENO, PIEZAS METALICAS EN ACERO Y ALUMINI</v>
          </cell>
        </row>
        <row r="239">
          <cell r="A239" t="str">
            <v>GEOTEXTIL NT1500</v>
          </cell>
        </row>
        <row r="240">
          <cell r="A240" t="str">
            <v>CODO 45 D=6" PVC SANITARIO</v>
          </cell>
        </row>
        <row r="241">
          <cell r="A241" t="str">
            <v>YEE D=6" PVC SANITARIO</v>
          </cell>
        </row>
        <row r="242">
          <cell r="A242" t="str">
            <v>PREFABRICADO CAÑUELA DIM 0,8X0,3X0,225</v>
          </cell>
        </row>
        <row r="243">
          <cell r="A243" t="str">
            <v>REJILLA EN CONCRETO PREFABRICADA</v>
          </cell>
        </row>
        <row r="244">
          <cell r="A244" t="str">
            <v>CANCHA MULTIPLE ESTRUCTURA METALICA DEPORT. MULTIF. ACRILICO</v>
          </cell>
        </row>
        <row r="245">
          <cell r="A245" t="str">
            <v>MODULOS EN TUBO METÁLICO GALVANIZADO CODIGO DE BARRAS, MARCO EN TUBO PTS 100X100 2,5 MM, ESLABONES SEGÚN PLANO  EN CALIBRE 3" 3 MM, 2" 2MM Y 1" 1 MM, PINTURA EN WAST PRIMER , ACABADO EN POLIURETANO</v>
          </cell>
        </row>
        <row r="246">
          <cell r="A246" t="str">
            <v>LADRILLO PRENSADO SANTAFE</v>
          </cell>
        </row>
        <row r="247">
          <cell r="A247" t="str">
            <v xml:space="preserve">CERRAMIENTO MALLA EN TUBO GALVANIZADO 3,5 METROS X 2 UND, 3" 3 MM, PINTURA TUBOS CON WAST PRIMER, ACABADO PINTURA POLIURETANO ALTOS SOLIDOS, MALLA NYLOS 100% PROTECTOR SOLAR 3 MM </v>
          </cell>
        </row>
        <row r="248">
          <cell r="A248" t="str">
            <v>GRUA  TELESCOPICA</v>
          </cell>
        </row>
        <row r="249">
          <cell r="A249" t="str">
            <v>ANTICORROSIVO CORMATO DE ZINC</v>
          </cell>
        </row>
        <row r="250">
          <cell r="A250" t="str">
            <v>TEJA SENCILLA ALUZINC CALIBRE 26 TIPO C PINTURA POLIESTER HORNEABLE POR DOS CARAS, HUNTER DOUGLAS O SIMILAR</v>
          </cell>
        </row>
        <row r="251">
          <cell r="A251" t="str">
            <v>TORNILLO AUTOPERFORANTE</v>
          </cell>
        </row>
        <row r="252">
          <cell r="A252" t="str">
            <v>ARANDELA EN PVC NEOPRENO</v>
          </cell>
        </row>
        <row r="253">
          <cell r="A253" t="str">
            <v>CLIP CAPELOTE</v>
          </cell>
        </row>
        <row r="254">
          <cell r="A254" t="str">
            <v>UNION  PVC 4"</v>
          </cell>
        </row>
        <row r="255">
          <cell r="A255" t="str">
            <v>CANAL LAMINA COLL ROLLED CAL 20</v>
          </cell>
        </row>
        <row r="256">
          <cell r="A256" t="str">
            <v>SOPORTE METALICO CANAL</v>
          </cell>
        </row>
        <row r="257">
          <cell r="A257" t="str">
            <v>CODO 90 PVC 4"</v>
          </cell>
        </row>
        <row r="258">
          <cell r="A258" t="str">
            <v>CASETON REFORZADO EN GUADUA ANCHO PROM 0,85 Y ALT 0,50 (INCLUYE TRANSPORTE)</v>
          </cell>
        </row>
        <row r="259">
          <cell r="A259" t="str">
            <v>TIJERAS PARA FORMALETA (26 DIAS)</v>
          </cell>
        </row>
        <row r="260">
          <cell r="A260" t="str">
            <v>PARAL TELESCOPICO LARGO (26 DIAS)</v>
          </cell>
        </row>
        <row r="261">
          <cell r="A261" t="str">
            <v>CRECHA DE 3 ML (26 DIAS)</v>
          </cell>
        </row>
        <row r="262">
          <cell r="A262" t="str">
            <v>PLUMA ELECTRICA CON 2 VALDES Y GUAYA DE 40 ML</v>
          </cell>
        </row>
        <row r="263">
          <cell r="A263" t="str">
            <v>CAMILLA MADERA  (26 DIAS)</v>
          </cell>
        </row>
        <row r="264">
          <cell r="A264" t="str">
            <v>TIRA DE ALISTADO 3*3*3M</v>
          </cell>
        </row>
        <row r="265">
          <cell r="A265" t="str">
            <v>MOLDURA ESQUINERA EN MADERA</v>
          </cell>
        </row>
        <row r="266">
          <cell r="A266" t="str">
            <v>GEOTEXTIL NT 1800</v>
          </cell>
        </row>
        <row r="267">
          <cell r="A267" t="str">
            <v>TUBERIA PERFORADA D=6"</v>
          </cell>
        </row>
        <row r="268">
          <cell r="A268" t="str">
            <v>TUBERIA PERFORADA D=4"</v>
          </cell>
        </row>
        <row r="269">
          <cell r="A269" t="str">
            <v>TUBERIA ALCANTARILLADO D=10"</v>
          </cell>
        </row>
        <row r="270">
          <cell r="A270" t="str">
            <v>CODO 45 PVC 4"</v>
          </cell>
        </row>
        <row r="271">
          <cell r="A271" t="str">
            <v>KIT SILLA YEE 10"X6" ALCANTARILLADO</v>
          </cell>
        </row>
        <row r="272">
          <cell r="A272" t="str">
            <v>GEOMEMBRANA</v>
          </cell>
        </row>
        <row r="273">
          <cell r="A273" t="str">
            <v>ARENA DE RIO SIN SELECCIONAR</v>
          </cell>
        </row>
        <row r="274">
          <cell r="A274" t="str">
            <v>MARCO METALICO 1X1</v>
          </cell>
        </row>
        <row r="275">
          <cell r="A275" t="str">
            <v>ESCALERA POZO INSPECCION</v>
          </cell>
        </row>
        <row r="276">
          <cell r="A276" t="str">
            <v>FORMALETA POZO INSPECCION</v>
          </cell>
        </row>
        <row r="277">
          <cell r="A277" t="str">
            <v>TUBO SANITARIO 4"</v>
          </cell>
        </row>
        <row r="278">
          <cell r="A278" t="str">
            <v>Bomba sumergible para aguas residuales BARNES NE 3 5-1-4-110 Potencia 0.5 HP o SIMILAR</v>
          </cell>
        </row>
        <row r="279">
          <cell r="A279" t="str">
            <v>TUBO PVC PRESION RDE 21 D=3"</v>
          </cell>
        </row>
        <row r="280">
          <cell r="A280" t="str">
            <v>UNION PVC PRESION D=3"</v>
          </cell>
        </row>
        <row r="281">
          <cell r="A281" t="str">
            <v>ARO BASE Y TAPA EN HF</v>
          </cell>
        </row>
        <row r="282">
          <cell r="A282" t="str">
            <v>FORMALETA TAPA</v>
          </cell>
        </row>
        <row r="283">
          <cell r="A283" t="str">
            <v>CERRAMIENTO EN TUBO GALVANIZADO 3,5 MTS.X 2 UNIDADES, 3" 3 MM, PINTURA TUBOS CON WASH PRIMER, ACABADO PINTURA POLIURETANO ALTOS SOLIDOS, MALLA NYLON 100% PROTECTOR SOLAR 3 MM CON SUS RESPECTIVOS AMARRES E INSTALACION ALTURA 3 MTS.</v>
          </cell>
        </row>
        <row r="284">
          <cell r="A284" t="str">
            <v>BENTONITAX50 KG</v>
          </cell>
        </row>
        <row r="285">
          <cell r="A285" t="str">
            <v>CABLE COBRE DESNUDO AWG 2/0</v>
          </cell>
        </row>
        <row r="286">
          <cell r="A286" t="str">
            <v>CABLE COBRE DESNUDO AWG 4</v>
          </cell>
        </row>
        <row r="287">
          <cell r="A287" t="str">
            <v>CONECT VARILLA CW 5/8"</v>
          </cell>
        </row>
        <row r="288">
          <cell r="A288" t="str">
            <v>SOLDADURA P/COBRE</v>
          </cell>
        </row>
        <row r="289">
          <cell r="A289" t="str">
            <v>TUBO CONDUIT PVC 1"</v>
          </cell>
        </row>
        <row r="290">
          <cell r="A290" t="str">
            <v>VARILLA CW 5/8"X2.4</v>
          </cell>
        </row>
        <row r="291">
          <cell r="A291" t="str">
            <v>CUADRILLA ELECTRICA</v>
          </cell>
        </row>
        <row r="292">
          <cell r="A292" t="str">
            <v>SENSORES DE MOVIMIENTO</v>
          </cell>
        </row>
        <row r="293">
          <cell r="A293" t="str">
            <v>SENSORES MONOXIDO CARBONO</v>
          </cell>
        </row>
        <row r="294">
          <cell r="A294" t="str">
            <v>Tubo PVC  de 3/4"</v>
          </cell>
        </row>
        <row r="295">
          <cell r="A295" t="str">
            <v>Alambre cu desnudo AWG 14</v>
          </cell>
        </row>
        <row r="296">
          <cell r="A296" t="str">
            <v>Alambre aislado No. 1 0 THHN- cobre awg</v>
          </cell>
        </row>
        <row r="297">
          <cell r="A297" t="str">
            <v>Interruptor sencillo</v>
          </cell>
        </row>
        <row r="298">
          <cell r="A298" t="str">
            <v>union gavanizada EMT 1/2"</v>
          </cell>
        </row>
        <row r="299">
          <cell r="A299" t="str">
            <v>Caja  5.800 metalica</v>
          </cell>
        </row>
        <row r="300">
          <cell r="A300" t="str">
            <v>Estopa 1 Kilo</v>
          </cell>
        </row>
        <row r="301">
          <cell r="A301" t="str">
            <v>Curva galvanizada EMT 1/2"</v>
          </cell>
        </row>
        <row r="302">
          <cell r="A302" t="str">
            <v>Adap terminal galvanizado EMT 1/2"</v>
          </cell>
        </row>
        <row r="303">
          <cell r="A303" t="str">
            <v>LUMINARIA HERMETICA 2X32</v>
          </cell>
        </row>
        <row r="304">
          <cell r="A304" t="str">
            <v xml:space="preserve">caja plastica octogonal </v>
          </cell>
        </row>
        <row r="305">
          <cell r="A305" t="str">
            <v>Marco Perfil "T" de 1" por 3/4" Electro estatico blanco</v>
          </cell>
        </row>
        <row r="306">
          <cell r="A306" t="str">
            <v>TABLERO GENERAL</v>
          </cell>
        </row>
        <row r="307">
          <cell r="A307" t="str">
            <v>EXTRACTOR DE AIRE</v>
          </cell>
        </row>
        <row r="308">
          <cell r="A308" t="str">
            <v>LUMINARIA DE EMERGENCIA</v>
          </cell>
        </row>
        <row r="309">
          <cell r="A309" t="str">
            <v>LADRILLO GRAN FORMATO SANTA FE DE ,39x,19x,05</v>
          </cell>
        </row>
        <row r="310">
          <cell r="A310" t="str">
            <v>TABLA CHAPA  3*30*3M</v>
          </cell>
        </row>
        <row r="311">
          <cell r="A311" t="str">
            <v xml:space="preserve">GRANITO  N°3 </v>
          </cell>
        </row>
        <row r="312">
          <cell r="A312" t="str">
            <v>MARMOLINA</v>
          </cell>
        </row>
        <row r="313">
          <cell r="A313" t="str">
            <v>COLOR MINERAL</v>
          </cell>
        </row>
        <row r="314">
          <cell r="A314" t="str">
            <v>CEMENTO BLANCO</v>
          </cell>
        </row>
        <row r="315">
          <cell r="A315" t="str">
            <v>PULIDORA MAS OPERARIO</v>
          </cell>
        </row>
        <row r="316">
          <cell r="A316" t="str">
            <v>GRAVILLA No2</v>
          </cell>
        </row>
        <row r="317">
          <cell r="A317" t="str">
            <v>CERAMICA MUROS 20X20</v>
          </cell>
        </row>
        <row r="318">
          <cell r="A318" t="str">
            <v>PEGANTE PARA CERAMICA PEGACOR GRIS O SIMILAR</v>
          </cell>
        </row>
        <row r="319">
          <cell r="A319" t="str">
            <v>BOQUILLA</v>
          </cell>
        </row>
        <row r="320">
          <cell r="A320" t="str">
            <v>SANITARIO CON FLUXOMETRO</v>
          </cell>
        </row>
        <row r="321">
          <cell r="A321" t="str">
            <v>ORINAL INSTITUCIONAL MEDIANO + ACCESORIOS</v>
          </cell>
        </row>
        <row r="322">
          <cell r="A322" t="str">
            <v>GRIFERIA ORINAL</v>
          </cell>
        </row>
        <row r="323">
          <cell r="A323" t="str">
            <v>GRAPAS,GANCHOS</v>
          </cell>
        </row>
        <row r="324">
          <cell r="A324" t="str">
            <v>SIFON BOTELLA GRIS</v>
          </cell>
        </row>
        <row r="325">
          <cell r="A325" t="str">
            <v>SELLADOR ETERNA 1/8"</v>
          </cell>
        </row>
        <row r="326">
          <cell r="A326" t="str">
            <v xml:space="preserve">LAVAMANOS SOBREPONER </v>
          </cell>
        </row>
        <row r="327">
          <cell r="A327" t="str">
            <v>GRAPA CHAZOS  Y TORNILLOS</v>
          </cell>
        </row>
        <row r="328">
          <cell r="A328" t="str">
            <v>SELLADOR ETERNA 1/8"</v>
          </cell>
        </row>
        <row r="329">
          <cell r="A329" t="str">
            <v>LIMPIADOR Y SOLDADURA 1/4 GL</v>
          </cell>
        </row>
        <row r="330">
          <cell r="A330" t="str">
            <v>CINTA TEFLON</v>
          </cell>
        </row>
        <row r="331">
          <cell r="A331" t="str">
            <v>GRIFERIA LAVAMANOS GRIVAL O SIMILAR 8" CROMO</v>
          </cell>
        </row>
        <row r="332">
          <cell r="A332" t="str">
            <v>PUERTA EN VIDRIO TEMPLADO DE 10 MM, CERRADURA MANIJA PIVOTANTE</v>
          </cell>
        </row>
        <row r="333">
          <cell r="A333" t="str">
            <v>VENTANA ALUMINIO SISTEMA PROYECTANTE PISAVIDRIO</v>
          </cell>
        </row>
        <row r="334">
          <cell r="A334" t="str">
            <v>VENTANA EN ALUMINIO SISTEMA PERSIANA FIJA</v>
          </cell>
        </row>
        <row r="335">
          <cell r="A335" t="str">
            <v>PUERTA TABLERO CORRIDO  MARCO 2X0.9</v>
          </cell>
        </row>
        <row r="336">
          <cell r="A336" t="str">
            <v>PUERTA TABLERO CORRIDO  MARCO, CERR. L. GALV  C20 2X0.70</v>
          </cell>
        </row>
        <row r="337">
          <cell r="A337" t="str">
            <v>DIVISIONES EN LAMINA COLL ROLED CAL 18 ENTAMBORADA</v>
          </cell>
        </row>
        <row r="338">
          <cell r="A338" t="str">
            <v>CERRADURA 987 YALE LCR20 2X0.90</v>
          </cell>
        </row>
        <row r="339">
          <cell r="A339" t="str">
            <v>ESPATULA</v>
          </cell>
        </row>
        <row r="340">
          <cell r="A340" t="str">
            <v>AGUA CARROTANQUE PEQ</v>
          </cell>
        </row>
        <row r="341">
          <cell r="A341" t="str">
            <v xml:space="preserve">VINILO TIPO 1 (VINILTEX O SIMILAR) </v>
          </cell>
        </row>
        <row r="342">
          <cell r="A342" t="str">
            <v xml:space="preserve">RODILLO DE FELPA </v>
          </cell>
        </row>
        <row r="343">
          <cell r="A343" t="str">
            <v>ESMALTE SINTETICO</v>
          </cell>
        </row>
        <row r="344">
          <cell r="A344" t="str">
            <v>THINER</v>
          </cell>
        </row>
        <row r="345">
          <cell r="A345" t="str">
            <v>LIJA DE AGUA # 100</v>
          </cell>
        </row>
        <row r="346">
          <cell r="A346" t="str">
            <v>SIFON SANIT. SOLO 3"</v>
          </cell>
        </row>
        <row r="347">
          <cell r="A347" t="str">
            <v>REJILLA S-3X2" SIFÓN</v>
          </cell>
        </row>
        <row r="348">
          <cell r="A348" t="str">
            <v>SIFON SANIT. SOLO 4"</v>
          </cell>
        </row>
        <row r="349">
          <cell r="A349" t="str">
            <v>REJILLA S-4X3" SIFÓN</v>
          </cell>
        </row>
        <row r="350">
          <cell r="A350" t="str">
            <v>ACCESORIO SANITARIO 6"</v>
          </cell>
        </row>
        <row r="351">
          <cell r="A351" t="str">
            <v>REJILLA S-6X4" SIFÓN</v>
          </cell>
        </row>
        <row r="352">
          <cell r="A352" t="str">
            <v>YEE D=4" PVC SANITARIA</v>
          </cell>
        </row>
        <row r="353">
          <cell r="A353" t="str">
            <v>YEE D=4" PVC SANITARIA DOBLE</v>
          </cell>
        </row>
        <row r="354">
          <cell r="A354" t="str">
            <v>YEE D=2" PVC SANITARIA</v>
          </cell>
        </row>
        <row r="355">
          <cell r="A355" t="str">
            <v>CODO D=2" PVC SANITARIO</v>
          </cell>
        </row>
        <row r="356">
          <cell r="A356" t="str">
            <v>BUJE SOLDADO 4"X2" PVC SANITARIO</v>
          </cell>
        </row>
        <row r="357">
          <cell r="A357" t="str">
            <v>TAPON D=4" PVC SANITARIO</v>
          </cell>
        </row>
        <row r="358">
          <cell r="A358" t="str">
            <v>TUBO PVC PRESION 1 1/4"</v>
          </cell>
        </row>
        <row r="359">
          <cell r="A359" t="str">
            <v>TUBO PVC PRESION 1"</v>
          </cell>
        </row>
        <row r="360">
          <cell r="A360" t="str">
            <v>TUBO PVC PRESION 3/4"</v>
          </cell>
        </row>
        <row r="361">
          <cell r="A361" t="str">
            <v>TUBO PVC PRESION 1/2"</v>
          </cell>
        </row>
        <row r="362">
          <cell r="A362" t="str">
            <v>INSTALACION ELECTRICA BOMBA SUMERGIBLE</v>
          </cell>
        </row>
        <row r="363">
          <cell r="A363" t="str">
            <v>CODO PVC PRESION  1 1/4"</v>
          </cell>
        </row>
        <row r="364">
          <cell r="A364" t="str">
            <v>CODO PVC PRESION  1"</v>
          </cell>
        </row>
        <row r="365">
          <cell r="A365" t="str">
            <v>CODO PVC PRESION  3/4"</v>
          </cell>
        </row>
        <row r="366">
          <cell r="A366" t="str">
            <v>CODO PVC PRESION  1/2"</v>
          </cell>
        </row>
        <row r="367">
          <cell r="A367" t="str">
            <v>TEE PVC PRESION  1 1/4"</v>
          </cell>
        </row>
        <row r="368">
          <cell r="A368" t="str">
            <v>TEE PVC PRESION  1"</v>
          </cell>
        </row>
        <row r="369">
          <cell r="A369" t="str">
            <v>TEE PVC PRESION  3/4"</v>
          </cell>
        </row>
        <row r="370">
          <cell r="A370" t="str">
            <v>REDUCCION  PVC PRESION  1 1/4" A 1"</v>
          </cell>
        </row>
        <row r="371">
          <cell r="A371" t="str">
            <v>REDUCCION  PVC PRESION  1" A 3/4"</v>
          </cell>
        </row>
        <row r="372">
          <cell r="A372" t="str">
            <v>REDUCCION  PVC PRESION  3/4" A 1/2"</v>
          </cell>
        </row>
        <row r="373">
          <cell r="A373" t="str">
            <v>ACOPLE DE Ø1"</v>
          </cell>
        </row>
        <row r="374">
          <cell r="A374" t="str">
            <v>MICROMEDIDOR DE AGUA Ø1"</v>
          </cell>
        </row>
        <row r="375">
          <cell r="A375" t="str">
            <v>REGISTRO DE CORTE 1"</v>
          </cell>
        </row>
        <row r="376">
          <cell r="A376" t="str">
            <v>SELLADOR USO GENERAL</v>
          </cell>
        </row>
        <row r="377">
          <cell r="A377" t="str">
            <v>ACOPLE DE Ø1 1/4"</v>
          </cell>
        </row>
        <row r="378">
          <cell r="A378" t="str">
            <v>MICROMEDIDOR DE AGUA Ø1 1/4"</v>
          </cell>
        </row>
        <row r="379">
          <cell r="A379" t="str">
            <v>REGISTRO DE CORTE 1 1/4"</v>
          </cell>
        </row>
        <row r="380">
          <cell r="A380" t="str">
            <v>CINTA TEFLON</v>
          </cell>
        </row>
        <row r="381">
          <cell r="A381" t="str">
            <v>REGISTRO DE CORTE DE 3/4"</v>
          </cell>
        </row>
        <row r="382">
          <cell r="A382" t="str">
            <v>ALAMBRE AISLADO  No.12 THHN-THWN 90  600V</v>
          </cell>
        </row>
        <row r="383">
          <cell r="A383" t="str">
            <v xml:space="preserve"> ALAMBRE Cu DESNUDO AWG 14</v>
          </cell>
        </row>
        <row r="384">
          <cell r="A384" t="str">
            <v>BOQUILLAS  METAL  ½ "+ TUERCA</v>
          </cell>
        </row>
        <row r="385">
          <cell r="A385" t="str">
            <v xml:space="preserve"> CAJA 5800 GALV. RG100</v>
          </cell>
        </row>
        <row r="386">
          <cell r="A386" t="str">
            <v xml:space="preserve"> LIMPIADOR   REMOVEDOR 1/16 TIPO  PAVCO</v>
          </cell>
        </row>
        <row r="387">
          <cell r="A387" t="str">
            <v>SOLDADURA PVC LIQUIDA  ¼ GL</v>
          </cell>
        </row>
        <row r="388">
          <cell r="A388" t="str">
            <v xml:space="preserve">TOMA DOBLE AMERICANA 600 POLO TIERRA </v>
          </cell>
        </row>
        <row r="389">
          <cell r="A389" t="str">
            <v xml:space="preserve"> TUBO CONDUIT   PVC   ½ "</v>
          </cell>
        </row>
        <row r="390">
          <cell r="A390" t="str">
            <v>Tubo PVC  de 3/4"</v>
          </cell>
        </row>
        <row r="391">
          <cell r="A391" t="str">
            <v>Alambre aislado No. 1 0 THHN- cobre awg</v>
          </cell>
        </row>
        <row r="392">
          <cell r="A392" t="str">
            <v>Boquillas Metalicas con tuerca 1/2"</v>
          </cell>
        </row>
        <row r="393">
          <cell r="A393" t="str">
            <v xml:space="preserve">Caja  5.800 Plastica </v>
          </cell>
        </row>
        <row r="394">
          <cell r="A394" t="str">
            <v>union PVC  de 3/4"</v>
          </cell>
        </row>
        <row r="395">
          <cell r="A395" t="str">
            <v>Curva PVC  de 3/4"</v>
          </cell>
        </row>
        <row r="396">
          <cell r="A396" t="str">
            <v>Adap terminal PVC  de 3/4"</v>
          </cell>
        </row>
        <row r="397">
          <cell r="A397" t="str">
            <v>Toma doble polo tierra GFCI</v>
          </cell>
        </row>
        <row r="398">
          <cell r="A398" t="str">
            <v>ALAMBRE AISLADO No.10 THHN-THWN 90  600V</v>
          </cell>
        </row>
        <row r="399">
          <cell r="A399" t="str">
            <v>CAJA 4 X 4 CON SUPLEMENTO</v>
          </cell>
        </row>
        <row r="400">
          <cell r="A400" t="str">
            <v>ESTOPA X 1 KILO</v>
          </cell>
        </row>
        <row r="401">
          <cell r="A401" t="str">
            <v>TOMA CORRIENTE BIFASICA 20 AMP</v>
          </cell>
        </row>
        <row r="402">
          <cell r="A402" t="str">
            <v>CAJA 5800 GALVANIZADA RG100</v>
          </cell>
        </row>
        <row r="403">
          <cell r="A403" t="str">
            <v>TOMA TRIFASICA 50 AMP</v>
          </cell>
        </row>
        <row r="404">
          <cell r="A404" t="str">
            <v>INTERRUPTOR SENCILLO ABITARE AVE</v>
          </cell>
        </row>
        <row r="405">
          <cell r="A405" t="str">
            <v>ROSETA PORCELANA</v>
          </cell>
        </row>
        <row r="406">
          <cell r="A406" t="str">
            <v>BOQUILLAS METALICAS CON TUERCA 1/2"</v>
          </cell>
        </row>
        <row r="407">
          <cell r="A407" t="str">
            <v xml:space="preserve">Face plate </v>
          </cell>
        </row>
        <row r="408">
          <cell r="A408" t="str">
            <v>caja 40 mm dexon</v>
          </cell>
        </row>
        <row r="409">
          <cell r="A409" t="str">
            <v>patch cord 3  mts  cat  6 cert.</v>
          </cell>
        </row>
        <row r="410">
          <cell r="A410" t="str">
            <v>Cable  Utp  cat 6</v>
          </cell>
        </row>
        <row r="411">
          <cell r="A411" t="str">
            <v>Jack keystone RJ45 cat 6</v>
          </cell>
        </row>
        <row r="412">
          <cell r="A412" t="str">
            <v>tubo conduit 3/4 PVC</v>
          </cell>
        </row>
        <row r="413">
          <cell r="A413" t="str">
            <v>UNION GALVANIZADA EMT 1/2"</v>
          </cell>
        </row>
        <row r="414">
          <cell r="A414" t="str">
            <v>Curva galvanizada EMT 1/2"</v>
          </cell>
        </row>
        <row r="415">
          <cell r="A415" t="str">
            <v>ADAPTADOR TERMINAL GALVANIZADO EMT 1/2"</v>
          </cell>
        </row>
        <row r="416">
          <cell r="A416" t="str">
            <v>PANEL LED 120X60 CM</v>
          </cell>
        </row>
        <row r="417">
          <cell r="A417" t="str">
            <v>MARCO PERFIL "T" DE 1" POR 3/4" ELECTRO ESTATICO BLANCO</v>
          </cell>
        </row>
        <row r="418">
          <cell r="A418" t="str">
            <v xml:space="preserve">caja plastica octogonal </v>
          </cell>
        </row>
        <row r="419">
          <cell r="A419" t="str">
            <v>BALA LED 3W</v>
          </cell>
        </row>
        <row r="420">
          <cell r="A420" t="str">
            <v>APLIQUE 60 W</v>
          </cell>
        </row>
        <row r="421">
          <cell r="A421" t="str">
            <v>UPS 10 KVA</v>
          </cell>
        </row>
        <row r="422">
          <cell r="A422" t="str">
            <v>RACK</v>
          </cell>
        </row>
        <row r="423">
          <cell r="A423" t="str">
            <v>MANTO METAL FL100</v>
          </cell>
        </row>
        <row r="424">
          <cell r="A424" t="str">
            <v>EMULSION ASFALTICA SIKA O SIMILAR</v>
          </cell>
        </row>
        <row r="425">
          <cell r="A425" t="str">
            <v>ALUMOL</v>
          </cell>
        </row>
        <row r="426">
          <cell r="A426" t="str">
            <v>TABLON CUCUTA GRAFILADO 25 X 25</v>
          </cell>
        </row>
        <row r="427">
          <cell r="A427" t="str">
            <v>COLOR MINERAL ROJO</v>
          </cell>
        </row>
        <row r="428">
          <cell r="A428" t="str">
            <v>GRAVILLA LAVADA N° 2</v>
          </cell>
        </row>
        <row r="429">
          <cell r="A429" t="str">
            <v>SANITARIO  + ACCESORIOS</v>
          </cell>
        </row>
        <row r="430">
          <cell r="A430" t="str">
            <v>CINTA TEFLON</v>
          </cell>
        </row>
        <row r="431">
          <cell r="A431" t="str">
            <v>LAVAMANOS + GRIFERIA+ ACSESORIOS</v>
          </cell>
        </row>
        <row r="432">
          <cell r="A432" t="str">
            <v>GRAPA CHAZOS  Y TORNILLOS</v>
          </cell>
        </row>
        <row r="433">
          <cell r="A433" t="str">
            <v xml:space="preserve">JUEGO DE INCRUSTACIONES </v>
          </cell>
        </row>
        <row r="434">
          <cell r="A434" t="str">
            <v>LAVAPLATOS 1.20x0.60 INC GRIFERIA</v>
          </cell>
        </row>
        <row r="435">
          <cell r="A435" t="str">
            <v>ACOPLE METALFLEX LAVAP-LAVAM MANGUERA FLEXIBLE MET</v>
          </cell>
        </row>
        <row r="436">
          <cell r="A436" t="str">
            <v>PUERTA TABLERO CORRIDO  MARCO 2X1</v>
          </cell>
        </row>
        <row r="437">
          <cell r="A437" t="str">
            <v>TUBO PVC SANITARIO 3"</v>
          </cell>
        </row>
        <row r="438">
          <cell r="A438" t="str">
            <v>CODO PVC 3" 90º</v>
          </cell>
        </row>
        <row r="439">
          <cell r="A439" t="str">
            <v>CODO PVC 4" 90º</v>
          </cell>
        </row>
        <row r="440">
          <cell r="A440" t="str">
            <v>REGISTRO D=1/2"</v>
          </cell>
        </row>
        <row r="441">
          <cell r="A441" t="str">
            <v>UNIVERSAL 1/2"</v>
          </cell>
        </row>
        <row r="442">
          <cell r="A442" t="str">
            <v>TOMA DOBLE</v>
          </cell>
        </row>
        <row r="443">
          <cell r="A443" t="str">
            <v>Toma doble polo tierra Hospitalario</v>
          </cell>
        </row>
        <row r="444">
          <cell r="A444" t="str">
            <v>INTERRUPTOR AUT 1 X 30 AMP. 2230E1</v>
          </cell>
        </row>
        <row r="445">
          <cell r="A445" t="str">
            <v xml:space="preserve"> INTERRUPTOR TRIPOLAR DE 3*50 A</v>
          </cell>
        </row>
        <row r="446">
          <cell r="A446" t="str">
            <v>PUESTA A TIERRA COMPLETA</v>
          </cell>
        </row>
        <row r="447">
          <cell r="A447" t="str">
            <v>TABLERO 8 CIRCUITOS TRIF. TWS</v>
          </cell>
        </row>
        <row r="448">
          <cell r="A448" t="str">
            <v>VENTANA ALUMINIO CORREDIZA CON VIDRIO</v>
          </cell>
        </row>
        <row r="449">
          <cell r="A449" t="str">
            <v>ARENA DE RIO PARA  CAMA TUBERIA</v>
          </cell>
        </row>
        <row r="450">
          <cell r="A450" t="str">
            <v>Tubo PVC NOVAFORT de 8"</v>
          </cell>
        </row>
        <row r="451">
          <cell r="A451" t="str">
            <v>Union NOVAFORT 8"</v>
          </cell>
        </row>
        <row r="452">
          <cell r="A452" t="str">
            <v>Union NOVAFORT 6"</v>
          </cell>
        </row>
        <row r="453">
          <cell r="A453" t="str">
            <v>Tuvo PVC NOVAFORT de 10"</v>
          </cell>
        </row>
        <row r="454">
          <cell r="A454" t="str">
            <v>Union NOVAFORT 10"</v>
          </cell>
        </row>
        <row r="455">
          <cell r="A455" t="str">
            <v>Tuvo PVC NOVAFORT de 12"</v>
          </cell>
        </row>
        <row r="456">
          <cell r="A456" t="str">
            <v>Union NOVAFORT 12"</v>
          </cell>
        </row>
        <row r="457">
          <cell r="A457" t="str">
            <v>Tuvo PVC NOVAFORT de 14"</v>
          </cell>
        </row>
        <row r="458">
          <cell r="A458" t="str">
            <v>Union NOVAFORT 14"</v>
          </cell>
        </row>
        <row r="459">
          <cell r="A459" t="str">
            <v>Tuvo PVC NOVAFORT de 16"</v>
          </cell>
        </row>
        <row r="460">
          <cell r="A460" t="str">
            <v>Union NOVAFORT 16"</v>
          </cell>
        </row>
        <row r="461">
          <cell r="A461" t="str">
            <v>Tubo PVC CONDUIT 2" tipo pesado</v>
          </cell>
        </row>
        <row r="462">
          <cell r="A462" t="str">
            <v>Tubo PVC CONDUIT 1 1/2" tipo pesado</v>
          </cell>
        </row>
        <row r="463">
          <cell r="A463" t="str">
            <v>Tubo PVC CONDUIT 4" tipo pesado</v>
          </cell>
        </row>
        <row r="464">
          <cell r="A464" t="str">
            <v>TABLERO GENERAL ESPECIAL</v>
          </cell>
        </row>
        <row r="465">
          <cell r="A465" t="str">
            <v xml:space="preserve"> INTERRUPTOR AUT 1 X 30 AMP. 2230E1</v>
          </cell>
        </row>
        <row r="466">
          <cell r="A466" t="str">
            <v>INTERRUPTOR INDUSTRIAL TRIPOLAR DE 3*100 A</v>
          </cell>
        </row>
        <row r="467">
          <cell r="A467" t="str">
            <v xml:space="preserve"> PUESTA A TIERRA COMPLETA</v>
          </cell>
        </row>
        <row r="468">
          <cell r="A468" t="str">
            <v>TABLERO 18 CIRCUITOS TRIF. TWS</v>
          </cell>
        </row>
        <row r="469">
          <cell r="A469" t="str">
            <v xml:space="preserve"> TABLERO 12 CIRCUITOS TRIF. TWS</v>
          </cell>
        </row>
        <row r="470">
          <cell r="A470" t="str">
            <v>ACOMETIDA 4/0 TRIFASICA</v>
          </cell>
        </row>
        <row r="471">
          <cell r="A471" t="str">
            <v>ACOMETIDA TRIFASICA THW 2</v>
          </cell>
        </row>
        <row r="472">
          <cell r="A472" t="str">
            <v>ACOMETIDA TRIFASICA THW 8</v>
          </cell>
        </row>
        <row r="473">
          <cell r="A473" t="str">
            <v>ACOMETIDA TIRFASICA THW 1/0</v>
          </cell>
        </row>
        <row r="474">
          <cell r="A474" t="str">
            <v>ACOMETIDA TRIFASICA THW4</v>
          </cell>
        </row>
        <row r="475">
          <cell r="A475" t="str">
            <v>ACOMETIDA TRIFASICA THW 2/0</v>
          </cell>
        </row>
        <row r="476">
          <cell r="A476" t="str">
            <v>Cable XLPE N° 2</v>
          </cell>
        </row>
        <row r="477">
          <cell r="A477" t="str">
            <v>arandela  de  presion 1/2</v>
          </cell>
        </row>
        <row r="478">
          <cell r="A478" t="str">
            <v>arandela  de  presion 5/8</v>
          </cell>
        </row>
        <row r="479">
          <cell r="A479" t="str">
            <v>perno  de  maquina 1/2 *11/2 carriaje</v>
          </cell>
        </row>
        <row r="480">
          <cell r="A480" t="str">
            <v>hilo  fusible tipo h 13,2 kv 5 amp</v>
          </cell>
        </row>
        <row r="481">
          <cell r="A481" t="str">
            <v>collarin 1/4 6-8-2 salidas</v>
          </cell>
        </row>
        <row r="482">
          <cell r="A482" t="str">
            <v>collarin una  salida 5-6"</v>
          </cell>
        </row>
        <row r="483">
          <cell r="A483" t="str">
            <v xml:space="preserve">cortacircuito  15 kv </v>
          </cell>
        </row>
        <row r="484">
          <cell r="A484" t="str">
            <v>cruceta metalica 2m 3/16</v>
          </cell>
        </row>
        <row r="485">
          <cell r="A485" t="str">
            <v>diagonal  angulo metalica de 68cm</v>
          </cell>
        </row>
        <row r="486">
          <cell r="A486" t="str">
            <v>ESPARRAGO ROSCADO DE 4 TUERCAS 5/8x12 "</v>
          </cell>
        </row>
        <row r="487">
          <cell r="A487" t="str">
            <v>grapa p/operar en  caliente</v>
          </cell>
        </row>
        <row r="488">
          <cell r="A488" t="str">
            <v>hebillas bandit 5/8"</v>
          </cell>
        </row>
        <row r="489">
          <cell r="A489" t="str">
            <v>cinta bandit 5/8"</v>
          </cell>
        </row>
        <row r="490">
          <cell r="A490" t="str">
            <v>Herramienta Especializada Para Trabajo en Linea Viva</v>
          </cell>
        </row>
        <row r="491">
          <cell r="A491" t="str">
            <v>Grua Canasta Para Trabajo en Linea Viva</v>
          </cell>
        </row>
        <row r="492">
          <cell r="A492" t="str">
            <v>Oficial Especializado</v>
          </cell>
        </row>
        <row r="493">
          <cell r="A493" t="str">
            <v>Ayudante Especializado</v>
          </cell>
        </row>
        <row r="494">
          <cell r="A494" t="str">
            <v>Ayudante Especializado</v>
          </cell>
        </row>
        <row r="495">
          <cell r="A495" t="str">
            <v>BARRAJE BT 200</v>
          </cell>
        </row>
        <row r="496">
          <cell r="A496" t="str">
            <v>BARRAJE BT 600</v>
          </cell>
        </row>
        <row r="497">
          <cell r="A497" t="str">
            <v>Transformador semisumergible 75kVA</v>
          </cell>
        </row>
        <row r="498">
          <cell r="A498" t="str">
            <v>RED COMPACTA</v>
          </cell>
        </row>
        <row r="499">
          <cell r="A499" t="str">
            <v>Poste Metalico Galvanizado Oleron Brazo Triple de 6.0 m</v>
          </cell>
        </row>
        <row r="500">
          <cell r="A500" t="str">
            <v>Canastilla de Pernos Galvanizada de 1/2" * 0,75 m</v>
          </cell>
        </row>
        <row r="501">
          <cell r="A501" t="str">
            <v>Luminaria Orion Led de 20 W</v>
          </cell>
        </row>
        <row r="502">
          <cell r="A502" t="str">
            <v>Cimentacion de 30X30X100 cm3 en concreto de 3000 psi</v>
          </cell>
        </row>
        <row r="503">
          <cell r="A503" t="str">
            <v>Cable encauchetado 3x14 Cobre</v>
          </cell>
        </row>
        <row r="504">
          <cell r="A504" t="str">
            <v>Empalme de BT en Derivacion Reichem</v>
          </cell>
        </row>
        <row r="505">
          <cell r="A505" t="str">
            <v>Varilla de Cobre de 5/8" * 1,20</v>
          </cell>
        </row>
        <row r="506">
          <cell r="A506" t="str">
            <v>Alambre desnudo de Cobre No 10</v>
          </cell>
        </row>
        <row r="507">
          <cell r="A507" t="str">
            <v>Tuberia Flexible PVC de 1 1/2"</v>
          </cell>
        </row>
        <row r="508">
          <cell r="A508" t="str">
            <v>TRANSPORTES Poste Metalico y luminarias</v>
          </cell>
        </row>
        <row r="509">
          <cell r="A509" t="str">
            <v>Otros TRANSPORTES</v>
          </cell>
        </row>
        <row r="510">
          <cell r="A510" t="str">
            <v>ANDAMIOS CERTIFICADOS</v>
          </cell>
        </row>
        <row r="511">
          <cell r="A511" t="str">
            <v>Poste Metalico Galvanizado Sextante 2 Brazo Doble de 9.0 m</v>
          </cell>
        </row>
        <row r="512">
          <cell r="A512" t="str">
            <v>Canastilla de Pernos Galvanizada de 3/4" * 1,0 m</v>
          </cell>
        </row>
        <row r="513">
          <cell r="A513" t="str">
            <v>Luminaria GC HV 616 Led de 180 W</v>
          </cell>
        </row>
        <row r="514">
          <cell r="A514" t="str">
            <v>Cimentacion de 40X40X120 cm3 en concreto de 3000 psi</v>
          </cell>
        </row>
        <row r="515">
          <cell r="A515" t="str">
            <v>Poste Metalico Galvanizado Fario de 10.0 m</v>
          </cell>
        </row>
        <row r="516">
          <cell r="A516" t="str">
            <v>Luminaria GC HV 616 Led de 180 W</v>
          </cell>
        </row>
        <row r="517">
          <cell r="A517" t="str">
            <v>GRUA HIDRAULICA</v>
          </cell>
        </row>
        <row r="518">
          <cell r="A518" t="str">
            <v>Poste Metalico Galvanizado Lisboa de 10.0 m</v>
          </cell>
        </row>
        <row r="519">
          <cell r="A519" t="str">
            <v>Poste Metalico Galvanizado Bolarado con policarbonato</v>
          </cell>
        </row>
        <row r="520">
          <cell r="A520" t="str">
            <v>Sistema luminoso ECO led de 2X18 W</v>
          </cell>
        </row>
        <row r="521">
          <cell r="A521" t="str">
            <v>Cimentacion de 30X30X100 cm3 en concreto de 3000 psi</v>
          </cell>
        </row>
        <row r="522">
          <cell r="A522" t="str">
            <v>Herraje de Fijacion</v>
          </cell>
        </row>
        <row r="523">
          <cell r="A523" t="str">
            <v>Plataforma Hidraulica</v>
          </cell>
        </row>
        <row r="524">
          <cell r="A524" t="str">
            <v>Luminaria Bala de Led 3 W IP 68</v>
          </cell>
        </row>
        <row r="525">
          <cell r="A525" t="str">
            <v>Cimentacion de 15X15X30 cm3 en concreto de 3000 psi</v>
          </cell>
        </row>
        <row r="526">
          <cell r="A526" t="str">
            <v>Cable encauchetado 3x14 Cobre</v>
          </cell>
        </row>
        <row r="527">
          <cell r="A527" t="str">
            <v>Caja metalica Galvanizada deFijacion</v>
          </cell>
        </row>
        <row r="528">
          <cell r="A528" t="str">
            <v>ESTRUCTURA METALICA Y CUBIERTA EN LONA FERRARI 902 0 SIMILAR</v>
          </cell>
        </row>
        <row r="529">
          <cell r="A529" t="str">
            <v>ESMALTE EPOXICO</v>
          </cell>
        </row>
        <row r="530">
          <cell r="A530" t="str">
            <v>MARCO EN TUBO PTS 100X100 2,5 mm ESLABONES SEGÚN PLANO EN CALIBRE 3" 3 mm, 2" 2MM Y 1" 2 MM, TRABAJO ARTESANAL ARBOLES LINEALES DE ENTREPAÑO PINTURA EN WAST PRIMER, ACABADO EN POLIURETANO, INCLUYE MANO DE OBRA</v>
          </cell>
        </row>
        <row r="531">
          <cell r="A531" t="str">
            <v>TAPA METALICA 3/16" CORRUGADA, INCLUYE MARCO Y  BISAGRAS</v>
          </cell>
        </row>
        <row r="532">
          <cell r="A532" t="str">
            <v>MAMPOSTERIA LADRILLO TOLETE E=.25</v>
          </cell>
        </row>
        <row r="533">
          <cell r="A533" t="str">
            <v>MARCO TAPA CONCRETO EN ANGULO 2 1/2"X2 1/2" X 3/16", 072X0,72</v>
          </cell>
        </row>
        <row r="534">
          <cell r="A534" t="str">
            <v>MAMAPOSTERIA LADRILLO TOLETE E=0,12 MT</v>
          </cell>
        </row>
        <row r="535">
          <cell r="A535" t="str">
            <v>MARCO TAPA CONCRETO EN ANGULO 2 1/2"X2 1/2" X 3/16", 1.3X0.80</v>
          </cell>
        </row>
      </sheetData>
      <sheetData sheetId="253"/>
      <sheetData sheetId="254">
        <row r="8">
          <cell r="A8" t="str">
            <v>ITEM</v>
          </cell>
        </row>
      </sheetData>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lvc"/>
      <sheetName val="cyrb"/>
      <sheetName val="gapr"/>
    </sheetNames>
    <sheetDataSet>
      <sheetData sheetId="0"/>
      <sheetData sheetId="1"/>
      <sheetData sheetId="2"/>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s>
    <sheetDataSet>
      <sheetData sheetId="0" refreshError="1"/>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FF-01"/>
      <sheetName val="UNI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51">
          <cell r="G51">
            <v>2324</v>
          </cell>
        </row>
      </sheetData>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General"/>
      <sheetName val="PRESUPUESTO"/>
      <sheetName val="APU 1"/>
      <sheetName val="Batería"/>
      <sheetName val="Aula"/>
      <sheetName val="Aceros Batería"/>
      <sheetName val="Hoja3"/>
      <sheetName val="UNIT."/>
      <sheetName val="Presupuesto_General"/>
      <sheetName val="APU_1"/>
      <sheetName val="Aceros_Batería"/>
      <sheetName val="Presupuesto_General1"/>
      <sheetName val="APU_11"/>
      <sheetName val="Aceros_Batería1"/>
      <sheetName val="Presupuesto_General2"/>
      <sheetName val="APU_12"/>
      <sheetName val="Aceros_Batería2"/>
      <sheetName val="Presupuesto_General3"/>
      <sheetName val="APU_13"/>
      <sheetName val="Aceros_Batería3"/>
      <sheetName val="Presupuesto_General7"/>
      <sheetName val="APU_17"/>
      <sheetName val="Aceros_Batería7"/>
      <sheetName val="Presupuesto_General6"/>
      <sheetName val="APU_16"/>
      <sheetName val="Aceros_Batería6"/>
      <sheetName val="Presupuesto_General4"/>
      <sheetName val="APU_14"/>
      <sheetName val="Aceros_Batería4"/>
      <sheetName val="Presupuesto_General5"/>
      <sheetName val="APU_15"/>
      <sheetName val="Aceros_Batería5"/>
    </sheetNames>
    <sheetDataSet>
      <sheetData sheetId="0" refreshError="1"/>
      <sheetData sheetId="1" refreshError="1"/>
      <sheetData sheetId="2" refreshError="1"/>
      <sheetData sheetId="3"/>
      <sheetData sheetId="4"/>
      <sheetData sheetId="5" refreshError="1"/>
      <sheetData sheetId="6">
        <row r="1">
          <cell r="J1" t="str">
            <v>ML</v>
          </cell>
        </row>
        <row r="2">
          <cell r="J2" t="str">
            <v>M2</v>
          </cell>
        </row>
        <row r="3">
          <cell r="J3" t="str">
            <v>UN</v>
          </cell>
        </row>
        <row r="4">
          <cell r="J4" t="str">
            <v>M3</v>
          </cell>
        </row>
        <row r="5">
          <cell r="J5" t="str">
            <v>KG</v>
          </cell>
        </row>
      </sheetData>
      <sheetData sheetId="7" refreshError="1"/>
      <sheetData sheetId="8" refreshError="1"/>
      <sheetData sheetId="9" refreshError="1"/>
      <sheetData sheetId="10" refreshError="1"/>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desmonte"/>
      <sheetName val="SUB APU"/>
      <sheetName val="ITEMS"/>
    </sheetNames>
    <sheetDataSet>
      <sheetData sheetId="0">
        <row r="3">
          <cell r="C3" t="str">
            <v>CANCHA MÚLTIPLE 750 m2  ZONA ALTA "SUELO E"</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 sheetId="11" refreshError="1"/>
      <sheetData sheetId="12" refreshError="1"/>
      <sheetData sheetId="13" refreshError="1"/>
    </sheetDataSet>
  </externalBook>
</externalLink>
</file>

<file path=xl/externalLinks/externalLink2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sheetNames>
    <sheetDataSet>
      <sheetData sheetId="0" refreshError="1"/>
    </sheetDataSet>
  </externalBook>
</externalLink>
</file>

<file path=xl/externalLinks/externalLink2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2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devdics"/>
      <sheetName val="ModeloPresupuesto"/>
      <sheetName val="Listado"/>
      <sheetName val="CRA.MODI"/>
      <sheetName val="Presup_Cancha"/>
      <sheetName val="1,01"/>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2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2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
      <sheetName val="ONG"/>
      <sheetName val="CORPOR"/>
      <sheetName val="IDENT"/>
      <sheetName val="ANTECED"/>
      <sheetName val="PROYECTO"/>
      <sheetName val="ATHE"/>
      <sheetName val="THE"/>
      <sheetName val="JORNALES"/>
      <sheetName val="PRECIO.MAT"/>
      <sheetName val="APU"/>
      <sheetName val="APUDETA."/>
      <sheetName val="apumod"/>
      <sheetName val="COPU"/>
      <sheetName val="COPUDETA."/>
      <sheetName val="RESUMEN"/>
      <sheetName val="FUENTES"/>
      <sheetName val="RECUR.HUM"/>
      <sheetName val="CRONOG."/>
      <sheetName val="MEC.EJECUC."/>
    </sheetNames>
    <sheetDataSet>
      <sheetData sheetId="0"/>
      <sheetData sheetId="1"/>
      <sheetData sheetId="2"/>
      <sheetData sheetId="3"/>
      <sheetData sheetId="4"/>
      <sheetData sheetId="5"/>
      <sheetData sheetId="6">
        <row r="41">
          <cell r="G41">
            <v>6095</v>
          </cell>
        </row>
      </sheetData>
      <sheetData sheetId="7">
        <row r="27">
          <cell r="D27">
            <v>360</v>
          </cell>
        </row>
      </sheetData>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2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
    </sheetNames>
    <sheetDataSet>
      <sheetData sheetId="0" refreshError="1"/>
    </sheetDataSet>
  </externalBook>
</externalLink>
</file>

<file path=xl/externalLinks/externalLink2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2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_21"/>
      <sheetName val="resultados"/>
      <sheetName val="ANEXO_41"/>
      <sheetName val="ANEXO_4_(2)1"/>
      <sheetName val="ANEXO_4_(3)1"/>
      <sheetName val="ANEXO_4_(4)1"/>
      <sheetName val="ANEXO_5_1"/>
      <sheetName val="EQUIPO-IDU"/>
      <sheetName val="CANTIDADES"/>
      <sheetName val="ANEXO_21"/>
      <sheetName val="ANEXO_71"/>
      <sheetName val="1_11"/>
      <sheetName val="2_11"/>
      <sheetName val="2_21"/>
      <sheetName val="2_31"/>
      <sheetName val="2_41"/>
      <sheetName val="2_51"/>
      <sheetName val="3_11"/>
      <sheetName val="3_21"/>
      <sheetName val="3_31"/>
      <sheetName val="3_41"/>
      <sheetName val="4_11"/>
      <sheetName val="4_31"/>
      <sheetName val="4_41"/>
      <sheetName val="4_51"/>
      <sheetName val="4_61"/>
      <sheetName val="4_71"/>
      <sheetName val="4_81"/>
      <sheetName val="5_11"/>
      <sheetName val="5_21"/>
      <sheetName val="5_31"/>
      <sheetName val="6_11"/>
      <sheetName val="6_21"/>
      <sheetName val="7_11"/>
      <sheetName val="7_21"/>
      <sheetName val="8_11"/>
      <sheetName val="8_21"/>
      <sheetName val="8_31"/>
      <sheetName val="8_41"/>
      <sheetName val="8_51"/>
      <sheetName val="9_11"/>
      <sheetName val="10_11"/>
      <sheetName val="10_21"/>
      <sheetName val="11_11"/>
      <sheetName val="11_21"/>
      <sheetName val="11_31"/>
      <sheetName val="11_41"/>
      <sheetName val="11_51"/>
      <sheetName val="4_2"/>
      <sheetName val="ANEXO_4"/>
      <sheetName val="ANEXO_4_(2)"/>
      <sheetName val="ANEXO_4_(3)"/>
      <sheetName val="ANEXO_4_(4)"/>
      <sheetName val="ANEXO_5_"/>
      <sheetName val="ANEXO_2"/>
      <sheetName val="ANEXO_7"/>
      <sheetName val="1_1"/>
      <sheetName val="2_1"/>
      <sheetName val="2_2"/>
      <sheetName val="2_3"/>
      <sheetName val="2_4"/>
      <sheetName val="2_5"/>
      <sheetName val="3_1"/>
      <sheetName val="3_2"/>
      <sheetName val="3_3"/>
      <sheetName val="3_4"/>
      <sheetName val="4_1"/>
      <sheetName val="4_3"/>
      <sheetName val="4_4"/>
      <sheetName val="4_5"/>
      <sheetName val="4_6"/>
      <sheetName val="4_7"/>
      <sheetName val="4_8"/>
      <sheetName val="5_1"/>
      <sheetName val="5_2"/>
      <sheetName val="5_3"/>
      <sheetName val="6_1"/>
      <sheetName val="6_2"/>
      <sheetName val="7_1"/>
      <sheetName val="7_2"/>
      <sheetName val="8_1"/>
      <sheetName val="8_2"/>
      <sheetName val="8_3"/>
      <sheetName val="8_4"/>
      <sheetName val="8_5"/>
      <sheetName val="9_1"/>
      <sheetName val="10_1"/>
      <sheetName val="10_2"/>
      <sheetName val="11_1"/>
      <sheetName val="11_2"/>
      <sheetName val="11_3"/>
      <sheetName val="11_4"/>
      <sheetName val="11_5"/>
      <sheetName val="4_22"/>
      <sheetName val="ANEXO_42"/>
      <sheetName val="ANEXO_4_(2)2"/>
      <sheetName val="ANEXO_4_(3)2"/>
      <sheetName val="ANEXO_4_(4)2"/>
      <sheetName val="ANEXO_5_2"/>
      <sheetName val="ANEXO_22"/>
      <sheetName val="ANEXO_72"/>
      <sheetName val="1_12"/>
      <sheetName val="2_12"/>
      <sheetName val="2_22"/>
      <sheetName val="2_32"/>
      <sheetName val="2_42"/>
      <sheetName val="2_52"/>
      <sheetName val="3_12"/>
      <sheetName val="3_22"/>
      <sheetName val="3_32"/>
      <sheetName val="3_42"/>
      <sheetName val="4_12"/>
      <sheetName val="4_32"/>
      <sheetName val="4_42"/>
      <sheetName val="4_52"/>
      <sheetName val="4_62"/>
      <sheetName val="4_72"/>
      <sheetName val="4_82"/>
      <sheetName val="5_12"/>
      <sheetName val="5_22"/>
      <sheetName val="5_32"/>
      <sheetName val="6_12"/>
      <sheetName val="6_22"/>
      <sheetName val="7_12"/>
      <sheetName val="7_22"/>
      <sheetName val="8_12"/>
      <sheetName val="8_22"/>
      <sheetName val="8_32"/>
      <sheetName val="8_42"/>
      <sheetName val="8_52"/>
      <sheetName val="9_12"/>
      <sheetName val="10_12"/>
      <sheetName val="10_22"/>
      <sheetName val="11_12"/>
      <sheetName val="11_22"/>
      <sheetName val="11_32"/>
      <sheetName val="11_42"/>
      <sheetName val="11_52"/>
      <sheetName val="4.2"/>
      <sheetName val="ANEXO 4"/>
      <sheetName val="ANEXO 4 (2)"/>
      <sheetName val="ANEXO 4 (3)"/>
      <sheetName val="ANEXO 4 (4)"/>
      <sheetName val="ANEXO 5 "/>
      <sheetName val="ANEXO 2"/>
      <sheetName val="ANEXO 7"/>
      <sheetName val="1.1"/>
      <sheetName val="2.1"/>
      <sheetName val="2.2"/>
      <sheetName val="2.3"/>
      <sheetName val="2.4"/>
      <sheetName val="2.5"/>
      <sheetName val="3.1"/>
      <sheetName val="3.2"/>
      <sheetName val="3.3"/>
      <sheetName val="3.4"/>
      <sheetName val="4.1"/>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4_23"/>
      <sheetName val="ANEXO_43"/>
      <sheetName val="ANEXO_4_(2)3"/>
      <sheetName val="ANEXO_4_(3)3"/>
      <sheetName val="ANEXO_4_(4)3"/>
      <sheetName val="ANEXO_5_3"/>
      <sheetName val="ANEXO_23"/>
      <sheetName val="ANEXO_73"/>
      <sheetName val="1_13"/>
      <sheetName val="2_13"/>
      <sheetName val="2_23"/>
      <sheetName val="2_33"/>
      <sheetName val="2_43"/>
      <sheetName val="2_53"/>
      <sheetName val="3_13"/>
      <sheetName val="3_23"/>
      <sheetName val="3_33"/>
      <sheetName val="3_43"/>
      <sheetName val="4_13"/>
      <sheetName val="4_33"/>
      <sheetName val="4_43"/>
      <sheetName val="4_53"/>
      <sheetName val="4_63"/>
      <sheetName val="4_73"/>
      <sheetName val="4_83"/>
      <sheetName val="5_13"/>
      <sheetName val="5_23"/>
      <sheetName val="5_33"/>
      <sheetName val="6_13"/>
      <sheetName val="6_23"/>
      <sheetName val="7_13"/>
      <sheetName val="7_23"/>
      <sheetName val="8_13"/>
      <sheetName val="8_23"/>
      <sheetName val="8_33"/>
      <sheetName val="8_43"/>
      <sheetName val="8_53"/>
      <sheetName val="9_13"/>
      <sheetName val="10_13"/>
      <sheetName val="10_23"/>
      <sheetName val="11_13"/>
      <sheetName val="11_23"/>
      <sheetName val="11_33"/>
      <sheetName val="11_43"/>
      <sheetName val="11_53"/>
      <sheetName val="4_24"/>
      <sheetName val="ANEXO_44"/>
      <sheetName val="ANEXO_4_(2)4"/>
      <sheetName val="ANEXO_4_(3)4"/>
      <sheetName val="ANEXO_4_(4)4"/>
      <sheetName val="ANEXO_5_4"/>
      <sheetName val="ANEXO_24"/>
      <sheetName val="ANEXO_74"/>
      <sheetName val="1_14"/>
      <sheetName val="2_14"/>
      <sheetName val="2_24"/>
      <sheetName val="2_34"/>
      <sheetName val="2_44"/>
      <sheetName val="2_54"/>
      <sheetName val="3_14"/>
      <sheetName val="3_24"/>
      <sheetName val="3_34"/>
      <sheetName val="3_44"/>
      <sheetName val="4_14"/>
      <sheetName val="4_34"/>
      <sheetName val="4_44"/>
      <sheetName val="4_54"/>
      <sheetName val="4_64"/>
      <sheetName val="4_74"/>
      <sheetName val="4_84"/>
      <sheetName val="5_14"/>
      <sheetName val="5_24"/>
      <sheetName val="5_34"/>
      <sheetName val="6_14"/>
      <sheetName val="6_24"/>
      <sheetName val="7_14"/>
      <sheetName val="7_24"/>
      <sheetName val="8_14"/>
      <sheetName val="8_24"/>
      <sheetName val="8_34"/>
      <sheetName val="8_44"/>
      <sheetName val="8_54"/>
      <sheetName val="9_14"/>
      <sheetName val="10_14"/>
      <sheetName val="10_24"/>
      <sheetName val="11_14"/>
      <sheetName val="11_24"/>
      <sheetName val="11_34"/>
      <sheetName val="11_44"/>
      <sheetName val="11_54"/>
      <sheetName val="4_25"/>
      <sheetName val="ANEXO_45"/>
      <sheetName val="ANEXO_4_(2)5"/>
      <sheetName val="ANEXO_4_(3)5"/>
      <sheetName val="ANEXO_4_(4)5"/>
      <sheetName val="ANEXO_5_5"/>
      <sheetName val="ANEXO_25"/>
      <sheetName val="ANEXO_75"/>
      <sheetName val="1_15"/>
      <sheetName val="2_15"/>
      <sheetName val="2_25"/>
      <sheetName val="2_35"/>
      <sheetName val="2_45"/>
      <sheetName val="2_55"/>
      <sheetName val="3_15"/>
      <sheetName val="3_25"/>
      <sheetName val="3_35"/>
      <sheetName val="3_45"/>
      <sheetName val="4_15"/>
      <sheetName val="4_35"/>
      <sheetName val="4_45"/>
      <sheetName val="4_55"/>
      <sheetName val="4_65"/>
      <sheetName val="4_75"/>
      <sheetName val="4_85"/>
      <sheetName val="5_15"/>
      <sheetName val="5_25"/>
      <sheetName val="5_35"/>
      <sheetName val="6_15"/>
      <sheetName val="6_25"/>
      <sheetName val="7_15"/>
      <sheetName val="7_25"/>
      <sheetName val="8_15"/>
      <sheetName val="8_25"/>
      <sheetName val="8_35"/>
      <sheetName val="8_45"/>
      <sheetName val="8_55"/>
      <sheetName val="9_15"/>
      <sheetName val="10_15"/>
      <sheetName val="10_25"/>
      <sheetName val="11_15"/>
      <sheetName val="11_25"/>
      <sheetName val="11_35"/>
      <sheetName val="11_45"/>
      <sheetName val="11_55"/>
      <sheetName val="4_28"/>
      <sheetName val="ANEXO_48"/>
      <sheetName val="ANEXO_4_(2)8"/>
      <sheetName val="ANEXO_4_(3)8"/>
      <sheetName val="ANEXO_4_(4)8"/>
      <sheetName val="ANEXO_5_8"/>
      <sheetName val="ANEXO_28"/>
      <sheetName val="ANEXO_78"/>
      <sheetName val="1_18"/>
      <sheetName val="2_18"/>
      <sheetName val="2_28"/>
      <sheetName val="2_38"/>
      <sheetName val="2_48"/>
      <sheetName val="2_58"/>
      <sheetName val="3_18"/>
      <sheetName val="3_28"/>
      <sheetName val="3_38"/>
      <sheetName val="3_48"/>
      <sheetName val="4_18"/>
      <sheetName val="4_38"/>
      <sheetName val="4_48"/>
      <sheetName val="4_58"/>
      <sheetName val="4_68"/>
      <sheetName val="4_78"/>
      <sheetName val="4_88"/>
      <sheetName val="5_18"/>
      <sheetName val="5_28"/>
      <sheetName val="5_38"/>
      <sheetName val="6_18"/>
      <sheetName val="6_28"/>
      <sheetName val="7_18"/>
      <sheetName val="7_28"/>
      <sheetName val="8_18"/>
      <sheetName val="8_28"/>
      <sheetName val="8_38"/>
      <sheetName val="8_48"/>
      <sheetName val="8_58"/>
      <sheetName val="9_18"/>
      <sheetName val="10_18"/>
      <sheetName val="10_28"/>
      <sheetName val="11_18"/>
      <sheetName val="11_28"/>
      <sheetName val="11_38"/>
      <sheetName val="11_48"/>
      <sheetName val="11_58"/>
      <sheetName val="4_26"/>
      <sheetName val="ANEXO_46"/>
      <sheetName val="ANEXO_4_(2)6"/>
      <sheetName val="ANEXO_4_(3)6"/>
      <sheetName val="ANEXO_4_(4)6"/>
      <sheetName val="ANEXO_5_6"/>
      <sheetName val="ANEXO_26"/>
      <sheetName val="ANEXO_76"/>
      <sheetName val="1_16"/>
      <sheetName val="2_16"/>
      <sheetName val="2_26"/>
      <sheetName val="2_36"/>
      <sheetName val="2_46"/>
      <sheetName val="2_56"/>
      <sheetName val="3_16"/>
      <sheetName val="3_26"/>
      <sheetName val="3_36"/>
      <sheetName val="3_46"/>
      <sheetName val="4_16"/>
      <sheetName val="4_36"/>
      <sheetName val="4_46"/>
      <sheetName val="4_56"/>
      <sheetName val="4_66"/>
      <sheetName val="4_76"/>
      <sheetName val="4_86"/>
      <sheetName val="5_16"/>
      <sheetName val="5_26"/>
      <sheetName val="5_36"/>
      <sheetName val="6_16"/>
      <sheetName val="6_26"/>
      <sheetName val="7_16"/>
      <sheetName val="7_26"/>
      <sheetName val="8_16"/>
      <sheetName val="8_26"/>
      <sheetName val="8_36"/>
      <sheetName val="8_46"/>
      <sheetName val="8_56"/>
      <sheetName val="9_16"/>
      <sheetName val="10_16"/>
      <sheetName val="10_26"/>
      <sheetName val="11_16"/>
      <sheetName val="11_26"/>
      <sheetName val="11_36"/>
      <sheetName val="11_46"/>
      <sheetName val="11_56"/>
      <sheetName val="4_27"/>
      <sheetName val="ANEXO_47"/>
      <sheetName val="ANEXO_4_(2)7"/>
      <sheetName val="ANEXO_4_(3)7"/>
      <sheetName val="ANEXO_4_(4)7"/>
      <sheetName val="ANEXO_5_7"/>
      <sheetName val="ANEXO_27"/>
      <sheetName val="ANEXO_77"/>
      <sheetName val="1_17"/>
      <sheetName val="2_17"/>
      <sheetName val="2_27"/>
      <sheetName val="2_37"/>
      <sheetName val="2_47"/>
      <sheetName val="2_57"/>
      <sheetName val="3_17"/>
      <sheetName val="3_27"/>
      <sheetName val="3_37"/>
      <sheetName val="3_47"/>
      <sheetName val="4_17"/>
      <sheetName val="4_37"/>
      <sheetName val="4_47"/>
      <sheetName val="4_57"/>
      <sheetName val="4_67"/>
      <sheetName val="4_77"/>
      <sheetName val="4_87"/>
      <sheetName val="5_17"/>
      <sheetName val="5_27"/>
      <sheetName val="5_37"/>
      <sheetName val="6_17"/>
      <sheetName val="6_27"/>
      <sheetName val="7_17"/>
      <sheetName val="7_27"/>
      <sheetName val="8_17"/>
      <sheetName val="8_27"/>
      <sheetName val="8_37"/>
      <sheetName val="8_47"/>
      <sheetName val="8_57"/>
      <sheetName val="9_17"/>
      <sheetName val="10_17"/>
      <sheetName val="10_27"/>
      <sheetName val="11_17"/>
      <sheetName val="11_27"/>
      <sheetName val="11_37"/>
      <sheetName val="11_47"/>
      <sheetName val="11_57"/>
      <sheetName val="4_29"/>
      <sheetName val="ANEXO_49"/>
      <sheetName val="ANEXO_4_(2)9"/>
      <sheetName val="ANEXO_4_(3)9"/>
      <sheetName val="ANEXO_4_(4)9"/>
      <sheetName val="ANEXO_5_9"/>
      <sheetName val="ANEXO_29"/>
      <sheetName val="ANEXO_79"/>
      <sheetName val="1_19"/>
      <sheetName val="2_19"/>
      <sheetName val="2_29"/>
      <sheetName val="2_39"/>
      <sheetName val="2_49"/>
      <sheetName val="2_59"/>
      <sheetName val="3_19"/>
      <sheetName val="3_29"/>
      <sheetName val="3_39"/>
      <sheetName val="3_49"/>
      <sheetName val="4_19"/>
      <sheetName val="4_39"/>
      <sheetName val="4_49"/>
      <sheetName val="4_59"/>
      <sheetName val="4_69"/>
      <sheetName val="4_79"/>
      <sheetName val="4_89"/>
      <sheetName val="5_19"/>
      <sheetName val="5_29"/>
      <sheetName val="5_39"/>
      <sheetName val="6_19"/>
      <sheetName val="6_29"/>
      <sheetName val="7_19"/>
      <sheetName val="7_29"/>
      <sheetName val="8_19"/>
      <sheetName val="8_29"/>
      <sheetName val="8_39"/>
      <sheetName val="8_49"/>
      <sheetName val="8_59"/>
      <sheetName val="9_19"/>
      <sheetName val="10_19"/>
      <sheetName val="10_29"/>
      <sheetName val="11_19"/>
      <sheetName val="11_29"/>
      <sheetName val="11_39"/>
      <sheetName val="11_49"/>
      <sheetName val="11_59"/>
      <sheetName val="4_211"/>
      <sheetName val="ANEXO_411"/>
      <sheetName val="ANEXO_4_(2)11"/>
      <sheetName val="ANEXO_4_(3)11"/>
      <sheetName val="ANEXO_4_(4)11"/>
      <sheetName val="ANEXO_5_11"/>
      <sheetName val="ANEXO_211"/>
      <sheetName val="ANEXO_711"/>
      <sheetName val="1_111"/>
      <sheetName val="2_111"/>
      <sheetName val="2_211"/>
      <sheetName val="2_311"/>
      <sheetName val="2_411"/>
      <sheetName val="2_511"/>
      <sheetName val="3_111"/>
      <sheetName val="3_211"/>
      <sheetName val="3_311"/>
      <sheetName val="3_411"/>
      <sheetName val="4_111"/>
      <sheetName val="4_311"/>
      <sheetName val="4_411"/>
      <sheetName val="4_511"/>
      <sheetName val="4_611"/>
      <sheetName val="4_711"/>
      <sheetName val="4_811"/>
      <sheetName val="5_111"/>
      <sheetName val="5_211"/>
      <sheetName val="5_311"/>
      <sheetName val="6_111"/>
      <sheetName val="6_211"/>
      <sheetName val="7_111"/>
      <sheetName val="7_211"/>
      <sheetName val="8_111"/>
      <sheetName val="8_211"/>
      <sheetName val="8_311"/>
      <sheetName val="8_411"/>
      <sheetName val="8_511"/>
      <sheetName val="9_111"/>
      <sheetName val="10_111"/>
      <sheetName val="10_211"/>
      <sheetName val="11_111"/>
      <sheetName val="11_211"/>
      <sheetName val="11_311"/>
      <sheetName val="11_411"/>
      <sheetName val="11_511"/>
      <sheetName val="4_210"/>
      <sheetName val="ANEXO_410"/>
      <sheetName val="ANEXO_4_(2)10"/>
      <sheetName val="ANEXO_4_(3)10"/>
      <sheetName val="ANEXO_4_(4)10"/>
      <sheetName val="ANEXO_5_10"/>
      <sheetName val="ANEXO_210"/>
      <sheetName val="ANEXO_710"/>
      <sheetName val="1_110"/>
      <sheetName val="2_110"/>
      <sheetName val="2_210"/>
      <sheetName val="2_310"/>
      <sheetName val="2_410"/>
      <sheetName val="2_510"/>
      <sheetName val="3_110"/>
      <sheetName val="3_210"/>
      <sheetName val="3_310"/>
      <sheetName val="3_410"/>
      <sheetName val="4_110"/>
      <sheetName val="4_310"/>
      <sheetName val="4_410"/>
      <sheetName val="4_510"/>
      <sheetName val="4_610"/>
      <sheetName val="4_710"/>
      <sheetName val="4_810"/>
      <sheetName val="5_110"/>
      <sheetName val="5_210"/>
      <sheetName val="5_310"/>
      <sheetName val="6_110"/>
      <sheetName val="6_210"/>
      <sheetName val="7_110"/>
      <sheetName val="7_210"/>
      <sheetName val="8_110"/>
      <sheetName val="8_210"/>
      <sheetName val="8_310"/>
      <sheetName val="8_410"/>
      <sheetName val="8_510"/>
      <sheetName val="9_110"/>
      <sheetName val="10_110"/>
      <sheetName val="10_210"/>
      <sheetName val="11_110"/>
      <sheetName val="11_210"/>
      <sheetName val="11_310"/>
      <sheetName val="11_410"/>
      <sheetName val="11_510"/>
      <sheetName val="PERSONAL"/>
    </sheetNames>
    <sheetDataSet>
      <sheetData sheetId="0">
        <row r="38">
          <cell r="B38">
            <v>15555.555555555555</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ow r="38">
          <cell r="B38">
            <v>15555.555555555555</v>
          </cell>
        </row>
      </sheetData>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row r="38">
          <cell r="B38">
            <v>15555.555555555555</v>
          </cell>
        </row>
      </sheetData>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row r="38">
          <cell r="B38">
            <v>15555.555555555555</v>
          </cell>
        </row>
      </sheetData>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row r="38">
          <cell r="B38">
            <v>15555.555555555555</v>
          </cell>
        </row>
      </sheetData>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row r="38">
          <cell r="B38">
            <v>15555.555555555555</v>
          </cell>
        </row>
      </sheetData>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row r="38">
          <cell r="B38">
            <v>15555.555555555555</v>
          </cell>
        </row>
      </sheetData>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row r="38">
          <cell r="B38">
            <v>15555.555555555555</v>
          </cell>
        </row>
      </sheetData>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row r="38">
          <cell r="B38">
            <v>15555.555555555555</v>
          </cell>
        </row>
      </sheetData>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row r="38">
          <cell r="B38">
            <v>15555.555555555555</v>
          </cell>
        </row>
      </sheetData>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row r="38">
          <cell r="B38">
            <v>15555.555555555555</v>
          </cell>
        </row>
      </sheetData>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row r="38">
          <cell r="B38">
            <v>15555.555555555555</v>
          </cell>
        </row>
      </sheetData>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refreshError="1"/>
    </sheetDataSet>
  </externalBook>
</externalLink>
</file>

<file path=xl/externalLinks/externalLink2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2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externalLinks/externalLink2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Hoja1"/>
      <sheetName val="Hoja10"/>
      <sheetName val="Hoja9"/>
      <sheetName val="Hoja5"/>
      <sheetName val="Hoja6"/>
      <sheetName val="Hoja4"/>
      <sheetName val="Hoja3"/>
      <sheetName val="Hoja13"/>
      <sheetName val="Hoja8"/>
      <sheetName val="Hoja7"/>
      <sheetName val="Hoja2"/>
      <sheetName val="Hoja11"/>
      <sheetName val="Hoja12"/>
    </sheetNames>
    <sheetDataSet>
      <sheetData sheetId="0">
        <row r="2">
          <cell r="B2"/>
          <cell r="C2"/>
          <cell r="D2"/>
          <cell r="E2"/>
          <cell r="F2"/>
          <cell r="G2">
            <v>11</v>
          </cell>
          <cell r="H2" t="str">
            <v>PAÑETE</v>
          </cell>
          <cell r="I2">
            <v>37</v>
          </cell>
          <cell r="J2" t="str">
            <v>HABITACION</v>
          </cell>
          <cell r="K2">
            <v>1</v>
          </cell>
          <cell r="L2" t="str">
            <v>CUBIERTA</v>
          </cell>
          <cell r="M2">
            <v>2</v>
          </cell>
          <cell r="N2" t="str">
            <v>BAÑO</v>
          </cell>
          <cell r="O2">
            <v>3</v>
          </cell>
          <cell r="P2" t="str">
            <v>BAÑO</v>
          </cell>
          <cell r="Q2">
            <v>4</v>
          </cell>
          <cell r="R2" t="str">
            <v>BAÑO</v>
          </cell>
          <cell r="S2">
            <v>5</v>
          </cell>
          <cell r="T2" t="str">
            <v>BAÑO</v>
          </cell>
          <cell r="U2">
            <v>6</v>
          </cell>
          <cell r="V2" t="str">
            <v>COCINA</v>
          </cell>
          <cell r="W2">
            <v>7</v>
          </cell>
          <cell r="X2" t="str">
            <v>CUBIERTA</v>
          </cell>
          <cell r="Y2">
            <v>8</v>
          </cell>
          <cell r="Z2" t="str">
            <v>HABITACION</v>
          </cell>
          <cell r="AA2">
            <v>9</v>
          </cell>
          <cell r="AB2" t="str">
            <v>BAÑO</v>
          </cell>
          <cell r="AC2">
            <v>10</v>
          </cell>
          <cell r="AD2" t="str">
            <v>CUBIERTA</v>
          </cell>
          <cell r="AE2">
            <v>12</v>
          </cell>
          <cell r="AF2" t="str">
            <v>CUBIERTA Y ENCHAPE COCINA</v>
          </cell>
          <cell r="AG2">
            <v>13</v>
          </cell>
          <cell r="AH2" t="str">
            <v>CUBIERTA</v>
          </cell>
          <cell r="AI2">
            <v>14</v>
          </cell>
          <cell r="AJ2" t="str">
            <v>BAÑO</v>
          </cell>
          <cell r="AK2">
            <v>15</v>
          </cell>
          <cell r="AL2" t="str">
            <v>CUBIERTA</v>
          </cell>
          <cell r="AM2">
            <v>16</v>
          </cell>
          <cell r="AN2" t="str">
            <v xml:space="preserve">HABITACION </v>
          </cell>
          <cell r="AO2">
            <v>17</v>
          </cell>
          <cell r="AP2" t="str">
            <v>BASE PERIMETRAL Y PLACA</v>
          </cell>
          <cell r="AQ2">
            <v>18</v>
          </cell>
          <cell r="AR2" t="str">
            <v>COCINA</v>
          </cell>
          <cell r="AS2">
            <v>19</v>
          </cell>
          <cell r="AT2" t="str">
            <v>BAÑO</v>
          </cell>
          <cell r="AU2">
            <v>20</v>
          </cell>
          <cell r="AV2" t="str">
            <v>HABITACION</v>
          </cell>
          <cell r="AW2">
            <v>21</v>
          </cell>
          <cell r="AX2" t="str">
            <v>CUBIERTA</v>
          </cell>
          <cell r="AY2">
            <v>22</v>
          </cell>
          <cell r="AZ2" t="str">
            <v>BAÑO</v>
          </cell>
          <cell r="BA2">
            <v>23</v>
          </cell>
          <cell r="BB2" t="str">
            <v>CUBIERTA</v>
          </cell>
          <cell r="BC2">
            <v>24</v>
          </cell>
          <cell r="BD2" t="str">
            <v>ADECUACION COCINA</v>
          </cell>
          <cell r="BE2">
            <v>25</v>
          </cell>
          <cell r="BF2" t="str">
            <v>NEGOCIO</v>
          </cell>
          <cell r="BG2">
            <v>26</v>
          </cell>
          <cell r="BH2" t="str">
            <v>CUBIERTA SIN CORREA</v>
          </cell>
          <cell r="BI2">
            <v>27</v>
          </cell>
          <cell r="BJ2" t="str">
            <v>BAÑO</v>
          </cell>
          <cell r="BK2">
            <v>28</v>
          </cell>
          <cell r="BL2" t="str">
            <v>cambio cubierta y puerta-ventanas</v>
          </cell>
          <cell r="BM2">
            <v>29</v>
          </cell>
          <cell r="BN2" t="str">
            <v>pañete pintura</v>
          </cell>
          <cell r="BO2">
            <v>30</v>
          </cell>
          <cell r="BP2" t="str">
            <v>HABITACION</v>
          </cell>
          <cell r="BQ2">
            <v>31</v>
          </cell>
          <cell r="BR2" t="str">
            <v>CUBIERTA</v>
          </cell>
          <cell r="BS2">
            <v>32</v>
          </cell>
          <cell r="BT2" t="str">
            <v>COCINA</v>
          </cell>
          <cell r="BU2">
            <v>33</v>
          </cell>
          <cell r="BV2" t="str">
            <v>CUBIERTA-MURO</v>
          </cell>
          <cell r="BW2">
            <v>34</v>
          </cell>
          <cell r="BX2" t="str">
            <v>PISO PAÑETE</v>
          </cell>
          <cell r="BY2">
            <v>35</v>
          </cell>
          <cell r="BZ2" t="str">
            <v>CUBIERTA</v>
          </cell>
          <cell r="CA2">
            <v>36</v>
          </cell>
          <cell r="CB2" t="str">
            <v>COCINA SIN CUBIERTA</v>
          </cell>
          <cell r="CC2">
            <v>37</v>
          </cell>
          <cell r="CD2" t="str">
            <v>HABITACION</v>
          </cell>
          <cell r="CE2">
            <v>38</v>
          </cell>
          <cell r="CF2" t="str">
            <v>PAÑETE-COCINA-SANITARIO</v>
          </cell>
          <cell r="CG2">
            <v>39</v>
          </cell>
          <cell r="CH2" t="str">
            <v>CUBIERTA</v>
          </cell>
          <cell r="CI2">
            <v>40</v>
          </cell>
          <cell r="CJ2" t="str">
            <v>COCINA-PISO</v>
          </cell>
          <cell r="CK2">
            <v>41</v>
          </cell>
          <cell r="CL2" t="str">
            <v xml:space="preserve">  7.015290,-72.121999</v>
          </cell>
          <cell r="CM2">
            <v>42</v>
          </cell>
          <cell r="CN2" t="str">
            <v>CUBIERTA</v>
          </cell>
          <cell r="CO2">
            <v>43</v>
          </cell>
          <cell r="CP2" t="str">
            <v>CUBIERTA</v>
          </cell>
        </row>
        <row r="3">
          <cell r="B3"/>
          <cell r="C3"/>
          <cell r="D3"/>
          <cell r="E3"/>
          <cell r="F3"/>
          <cell r="G3" t="str">
            <v>MARTIN CALDERON MORA</v>
          </cell>
          <cell r="H3"/>
          <cell r="I3" t="str">
            <v>CARMEN CECILIA SEPULVEDA RODRIGUEZ</v>
          </cell>
          <cell r="J3"/>
          <cell r="K3" t="str">
            <v>MARIELA ACEVEDO</v>
          </cell>
          <cell r="L3"/>
          <cell r="M3" t="str">
            <v>CARMEN CECILIA SOZA</v>
          </cell>
          <cell r="N3"/>
          <cell r="O3" t="str">
            <v>MARCOS MERCHAN CHAPETA</v>
          </cell>
          <cell r="P3"/>
          <cell r="Q3" t="str">
            <v>DOMINGO ANTONIO PREGONERO SANCHEZ</v>
          </cell>
          <cell r="R3"/>
          <cell r="S3" t="str">
            <v>TEODOMIRO VALENCIA VILLAMIZAR</v>
          </cell>
          <cell r="T3"/>
          <cell r="U3" t="str">
            <v>JOSE LUIS MEDINA PATIÑO</v>
          </cell>
          <cell r="V3"/>
          <cell r="W3" t="str">
            <v>ISABEL SOLANO DE VERA</v>
          </cell>
          <cell r="X3"/>
          <cell r="Y3" t="str">
            <v>LUIS EVELIO SANTAMARIA RAMIREZ</v>
          </cell>
          <cell r="Z3"/>
          <cell r="AA3" t="str">
            <v>HERNANDO TARAZONA COBARIA</v>
          </cell>
          <cell r="AB3"/>
          <cell r="AC3" t="str">
            <v>MARINA PATIÑO</v>
          </cell>
          <cell r="AD3"/>
          <cell r="AE3" t="str">
            <v>JOSE SANTOS QUIÑONEZ</v>
          </cell>
          <cell r="AF3"/>
          <cell r="AG3" t="str">
            <v>MARIA DE LA CRUZ BATECA GELVEZ</v>
          </cell>
          <cell r="AH3"/>
          <cell r="AI3" t="str">
            <v>WILIAN ALONSO COTE PABON</v>
          </cell>
          <cell r="AJ3"/>
          <cell r="AK3" t="str">
            <v>MERY PARADA DUARTE</v>
          </cell>
          <cell r="AL3"/>
          <cell r="AM3" t="str">
            <v>BENEDICIA PARADA PARADA</v>
          </cell>
          <cell r="AN3"/>
          <cell r="AO3" t="str">
            <v>FERNEY ARMANDO TOLOZA LANDAZABAL</v>
          </cell>
          <cell r="AP3"/>
          <cell r="AQ3" t="str">
            <v>MARTHA JANETH RODRIGUEZ MENDOZA</v>
          </cell>
          <cell r="AR3"/>
          <cell r="AS3" t="str">
            <v>MILEIDY ZANABRIA CAMACHO</v>
          </cell>
          <cell r="AT3"/>
          <cell r="AU3" t="str">
            <v>FLORALBA CHIVATA MOLANO</v>
          </cell>
          <cell r="AV3"/>
          <cell r="AW3" t="str">
            <v>LUIS HERNANDO GOMEZ VARGAS</v>
          </cell>
          <cell r="AX3"/>
          <cell r="AY3" t="str">
            <v>DORIS OMAIRA NUÑEZ VILLAMIZAR</v>
          </cell>
          <cell r="AZ3"/>
          <cell r="BA3" t="str">
            <v>OMAIRA ARCINIEGAS CALVO</v>
          </cell>
          <cell r="BB3"/>
          <cell r="BC3" t="str">
            <v>SOCORRO ALBARRACIN</v>
          </cell>
          <cell r="BD3"/>
          <cell r="BE3" t="str">
            <v>ALFONSO NARVAEZ PINZON</v>
          </cell>
          <cell r="BF3"/>
          <cell r="BG3" t="str">
            <v>VIRGELINA CASTRO VILLAMIZAR</v>
          </cell>
          <cell r="BH3"/>
          <cell r="BI3" t="str">
            <v>ANA EMILCE VALENCIA RAMIREZ</v>
          </cell>
          <cell r="BJ3"/>
          <cell r="BK3" t="str">
            <v>RODULFA BATECA LEAL</v>
          </cell>
          <cell r="BL3"/>
          <cell r="BM3" t="str">
            <v>NEIRA FRED SAENZ SUESCUN</v>
          </cell>
          <cell r="BN3"/>
          <cell r="BO3" t="str">
            <v>ADELA RIOS DE CASTELLANOS</v>
          </cell>
          <cell r="BP3"/>
          <cell r="BQ3" t="str">
            <v>MARIA TRINIDAD BARRERA VARGAS</v>
          </cell>
          <cell r="BR3"/>
          <cell r="BS3" t="str">
            <v>LAURA ESTHER VALENCIA AGUABLANCA</v>
          </cell>
          <cell r="BT3"/>
          <cell r="BU3" t="str">
            <v>LINA MARIA COBARIA SAENZ</v>
          </cell>
          <cell r="BV3"/>
          <cell r="BW3" t="str">
            <v>PEDRO ANTONIO TRILLOS ROJAS</v>
          </cell>
          <cell r="BX3"/>
          <cell r="BY3" t="str">
            <v>GLADIS CECILIA MARTINEZ VIDES</v>
          </cell>
          <cell r="BZ3"/>
          <cell r="CA3" t="str">
            <v>ANA CAROLINA ANTOLINEZ</v>
          </cell>
          <cell r="CB3"/>
          <cell r="CC3" t="str">
            <v>CARMEN CECILIA SEPULVEDA RODRIGUEZ</v>
          </cell>
          <cell r="CD3"/>
          <cell r="CE3" t="str">
            <v>MARIA VENILDA VILLAMIZAR BASTO</v>
          </cell>
          <cell r="CF3"/>
          <cell r="CG3" t="str">
            <v>BENEDICTO ACEVEDO CARVAJAL</v>
          </cell>
          <cell r="CH3"/>
          <cell r="CI3" t="str">
            <v>HEIDI ALEJANDRA MONTERREY CHAPETA</v>
          </cell>
          <cell r="CJ3"/>
          <cell r="CK3" t="str">
            <v>RURAL</v>
          </cell>
          <cell r="CL3"/>
          <cell r="CM3" t="str">
            <v>ELIBERTO EUGENIO QUINTERO</v>
          </cell>
          <cell r="CN3"/>
          <cell r="CO3" t="str">
            <v>FLOR CAMACHO</v>
          </cell>
          <cell r="CP3"/>
        </row>
        <row r="4">
          <cell r="B4" t="str">
            <v>DESCRIPCIÓN</v>
          </cell>
          <cell r="C4" t="str">
            <v>UNIDAD</v>
          </cell>
          <cell r="D4" t="str">
            <v>CANTIDAD</v>
          </cell>
          <cell r="E4" t="str">
            <v>VALOR UNITARIO</v>
          </cell>
          <cell r="F4" t="str">
            <v>VALOR TOTAL ($)</v>
          </cell>
          <cell r="G4" t="str">
            <v>CANT PARC.</v>
          </cell>
          <cell r="H4" t="str">
            <v>VALOR PARCIAL</v>
          </cell>
          <cell r="I4" t="str">
            <v>CANT PARC.</v>
          </cell>
          <cell r="J4" t="str">
            <v>VALOR PARCIAL</v>
          </cell>
          <cell r="K4" t="str">
            <v>CANT PARC.</v>
          </cell>
          <cell r="L4" t="str">
            <v>VALOR PARCIAL</v>
          </cell>
          <cell r="M4" t="str">
            <v>CANT PARC.</v>
          </cell>
          <cell r="N4" t="str">
            <v>VALOR PARCIAL</v>
          </cell>
          <cell r="O4" t="str">
            <v>CANT PARC.</v>
          </cell>
          <cell r="P4" t="str">
            <v>VALOR PARCIAL</v>
          </cell>
          <cell r="Q4" t="str">
            <v>CANT PARC.</v>
          </cell>
          <cell r="R4" t="str">
            <v>VALOR PARCIAL</v>
          </cell>
          <cell r="S4" t="str">
            <v>CANT PARC.</v>
          </cell>
          <cell r="T4" t="str">
            <v>VALOR PARCIAL</v>
          </cell>
          <cell r="U4" t="str">
            <v>CANT PARC.</v>
          </cell>
          <cell r="V4" t="str">
            <v>VALOR PARCIAL</v>
          </cell>
          <cell r="W4" t="str">
            <v>CANT PARC.</v>
          </cell>
          <cell r="X4" t="str">
            <v>VALOR PARCIAL</v>
          </cell>
          <cell r="Y4" t="str">
            <v>CANT PARC.</v>
          </cell>
          <cell r="Z4" t="str">
            <v>VALOR PARCIAL</v>
          </cell>
          <cell r="AA4" t="str">
            <v>CANT PARC.</v>
          </cell>
          <cell r="AB4" t="str">
            <v>VALOR PARCIAL</v>
          </cell>
          <cell r="AC4" t="str">
            <v>CANT PARC.</v>
          </cell>
          <cell r="AD4" t="str">
            <v>VALOR PARCIAL</v>
          </cell>
          <cell r="AE4" t="str">
            <v>CANT PARC.</v>
          </cell>
          <cell r="AF4" t="str">
            <v>VALOR PARCIAL</v>
          </cell>
          <cell r="AG4" t="str">
            <v>CANT PARC.</v>
          </cell>
          <cell r="AH4" t="str">
            <v>VALOR PARCIAL</v>
          </cell>
          <cell r="AI4" t="str">
            <v>CANT PARC.</v>
          </cell>
          <cell r="AJ4" t="str">
            <v>VALOR PARCIAL</v>
          </cell>
          <cell r="AK4" t="str">
            <v>CANT PARC.</v>
          </cell>
          <cell r="AL4" t="str">
            <v>VALOR PARCIAL</v>
          </cell>
          <cell r="AM4" t="str">
            <v>CANT PARC.</v>
          </cell>
          <cell r="AN4" t="str">
            <v>VALOR PARCIAL</v>
          </cell>
          <cell r="AO4" t="str">
            <v>CANT PARC.</v>
          </cell>
          <cell r="AP4" t="str">
            <v>VALOR PARCIAL</v>
          </cell>
          <cell r="AQ4" t="str">
            <v>CANT PARC.</v>
          </cell>
          <cell r="AR4" t="str">
            <v>VALOR PARCIAL</v>
          </cell>
          <cell r="AS4" t="str">
            <v>CANT PARC.</v>
          </cell>
          <cell r="AT4" t="str">
            <v>VALOR PARCIAL</v>
          </cell>
          <cell r="AU4" t="str">
            <v>CANT PARC.</v>
          </cell>
          <cell r="AV4" t="str">
            <v>VALOR PARCIAL</v>
          </cell>
          <cell r="AW4" t="str">
            <v>CANT PARC.</v>
          </cell>
          <cell r="AX4" t="str">
            <v>VALOR PARCIAL</v>
          </cell>
          <cell r="AY4" t="str">
            <v>CANT PARC.</v>
          </cell>
          <cell r="AZ4" t="str">
            <v>VALOR PARCIAL</v>
          </cell>
          <cell r="BA4" t="str">
            <v>CANT PARC.</v>
          </cell>
          <cell r="BB4" t="str">
            <v>VALOR PARCIAL</v>
          </cell>
          <cell r="BC4" t="str">
            <v>CANT PARC.</v>
          </cell>
          <cell r="BD4" t="str">
            <v>VALOR PARCIAL</v>
          </cell>
          <cell r="BE4" t="str">
            <v>CANT PARC.</v>
          </cell>
          <cell r="BF4" t="str">
            <v>VALOR PARCIAL</v>
          </cell>
          <cell r="BG4" t="str">
            <v>CANT PARC.</v>
          </cell>
          <cell r="BH4" t="str">
            <v>VALOR PARCIAL</v>
          </cell>
          <cell r="BI4" t="str">
            <v>CANT PARC.</v>
          </cell>
          <cell r="BJ4" t="str">
            <v>VALOR PARCIAL</v>
          </cell>
          <cell r="BK4" t="str">
            <v>CANT PARC.</v>
          </cell>
          <cell r="BL4" t="str">
            <v>VALOR PARCIAL</v>
          </cell>
          <cell r="BM4" t="str">
            <v>CANT PARC.</v>
          </cell>
          <cell r="BN4" t="str">
            <v>VALOR PARCIAL</v>
          </cell>
          <cell r="BO4" t="str">
            <v>CANT PARC.</v>
          </cell>
          <cell r="BP4" t="str">
            <v>VALOR PARCIAL</v>
          </cell>
          <cell r="BQ4" t="str">
            <v>CANT PARC.</v>
          </cell>
          <cell r="BR4" t="str">
            <v>VALOR PARCIAL</v>
          </cell>
          <cell r="BS4" t="str">
            <v>CANT PARC.</v>
          </cell>
          <cell r="BT4" t="str">
            <v>VALOR PARCIAL</v>
          </cell>
          <cell r="BU4" t="str">
            <v>CANT PARC.</v>
          </cell>
          <cell r="BV4" t="str">
            <v>VALOR PARCIAL</v>
          </cell>
          <cell r="BW4" t="str">
            <v>CANT PARC.</v>
          </cell>
          <cell r="BX4" t="str">
            <v>VALOR PARCIAL</v>
          </cell>
          <cell r="BY4" t="str">
            <v>CANT PARC.</v>
          </cell>
          <cell r="BZ4" t="str">
            <v>VALOR PARCIAL</v>
          </cell>
          <cell r="CA4" t="str">
            <v>CANT PARC.</v>
          </cell>
          <cell r="CB4" t="str">
            <v>VALOR PARCIAL</v>
          </cell>
          <cell r="CC4" t="str">
            <v>CANT PARC.</v>
          </cell>
          <cell r="CD4" t="str">
            <v>VALOR PARCIAL</v>
          </cell>
          <cell r="CE4" t="str">
            <v>CANT PARC.</v>
          </cell>
          <cell r="CF4" t="str">
            <v>VALOR PARCIAL</v>
          </cell>
          <cell r="CG4" t="str">
            <v>CANT PARC.</v>
          </cell>
          <cell r="CH4" t="str">
            <v>VALOR PARCIAL</v>
          </cell>
          <cell r="CI4" t="str">
            <v>CANT PARC.</v>
          </cell>
          <cell r="CJ4" t="str">
            <v>VALOR PARCIAL</v>
          </cell>
          <cell r="CK4" t="str">
            <v>CANT PARC.</v>
          </cell>
          <cell r="CL4" t="str">
            <v>VALOR PARCIAL</v>
          </cell>
          <cell r="CM4" t="str">
            <v>CANT PARC.</v>
          </cell>
          <cell r="CN4" t="str">
            <v>VALOR PARCIAL</v>
          </cell>
          <cell r="CO4" t="str">
            <v>CANT PARC.</v>
          </cell>
          <cell r="CP4" t="str">
            <v>VALOR PARCIAL</v>
          </cell>
        </row>
        <row r="5">
          <cell r="B5" t="str">
            <v>OBRAS PRELIMINARES</v>
          </cell>
          <cell r="C5"/>
          <cell r="D5"/>
          <cell r="E5"/>
          <cell r="F5">
            <v>53067268.869999997</v>
          </cell>
          <cell r="H5">
            <v>0</v>
          </cell>
          <cell r="J5">
            <v>3137202.9790000003</v>
          </cell>
          <cell r="L5">
            <v>2046738.7</v>
          </cell>
          <cell r="N5">
            <v>629071.076</v>
          </cell>
          <cell r="P5">
            <v>629071.076</v>
          </cell>
          <cell r="R5">
            <v>484500.83600000001</v>
          </cell>
          <cell r="T5">
            <v>484500.83600000001</v>
          </cell>
          <cell r="V5">
            <v>1018736.9232</v>
          </cell>
          <cell r="X5">
            <v>3074400.2604</v>
          </cell>
          <cell r="Z5">
            <v>2084354.6400000001</v>
          </cell>
          <cell r="AB5">
            <v>484500.83600000001</v>
          </cell>
          <cell r="AD5">
            <v>2647243.52</v>
          </cell>
          <cell r="AF5">
            <v>2517980.9699999997</v>
          </cell>
          <cell r="AH5">
            <v>1430463.7599999998</v>
          </cell>
          <cell r="AJ5">
            <v>484500.83600000001</v>
          </cell>
          <cell r="AL5">
            <v>474450.06600000005</v>
          </cell>
          <cell r="AN5">
            <v>3943650.1643999997</v>
          </cell>
          <cell r="AP5">
            <v>3855216.5700000003</v>
          </cell>
          <cell r="AR5">
            <v>1130985.1031999998</v>
          </cell>
          <cell r="AT5">
            <v>590903.36400000006</v>
          </cell>
          <cell r="AV5">
            <v>707098.4</v>
          </cell>
          <cell r="AX5">
            <v>807412.0560000001</v>
          </cell>
          <cell r="AZ5">
            <v>590903.36400000006</v>
          </cell>
          <cell r="BB5">
            <v>786558.44799999997</v>
          </cell>
          <cell r="BD5">
            <v>693654.29999999993</v>
          </cell>
          <cell r="BF5">
            <v>1186221.9884999997</v>
          </cell>
          <cell r="BH5">
            <v>4940016.2</v>
          </cell>
          <cell r="BJ5">
            <v>590903.36400000006</v>
          </cell>
          <cell r="BL5">
            <v>2007269.8699999999</v>
          </cell>
          <cell r="BN5">
            <v>0</v>
          </cell>
          <cell r="BP5">
            <v>707098.4</v>
          </cell>
          <cell r="BR5">
            <v>2281174.057</v>
          </cell>
          <cell r="BT5">
            <v>1018736.9232</v>
          </cell>
          <cell r="BV5">
            <v>303993.90000000002</v>
          </cell>
          <cell r="BX5">
            <v>559838.69700000004</v>
          </cell>
          <cell r="BZ5">
            <v>499716</v>
          </cell>
          <cell r="CB5">
            <v>637275.56319999998</v>
          </cell>
          <cell r="CD5">
            <v>0</v>
          </cell>
          <cell r="CF5">
            <v>0</v>
          </cell>
          <cell r="CH5">
            <v>805613.58</v>
          </cell>
          <cell r="CJ5">
            <v>1018736.9232</v>
          </cell>
          <cell r="CL5">
            <v>328909.815</v>
          </cell>
          <cell r="CN5">
            <v>955094.4</v>
          </cell>
          <cell r="CP5">
            <v>490792.5</v>
          </cell>
        </row>
        <row r="6">
          <cell r="A6">
            <v>5</v>
          </cell>
          <cell r="B6" t="str">
            <v>LOCALIZACIÓN Y REPLANTEO DE OBRA ARQUITECTÓNICA (NO INCLUYE COMISIÓN TOPOGRÁFICA)</v>
          </cell>
          <cell r="C6" t="str">
            <v>M2</v>
          </cell>
          <cell r="D6">
            <v>1318.48</v>
          </cell>
          <cell r="E6">
            <v>5949</v>
          </cell>
          <cell r="F6">
            <v>7843637.5200000005</v>
          </cell>
          <cell r="H6">
            <v>0</v>
          </cell>
          <cell r="I6">
            <v>7.25</v>
          </cell>
          <cell r="J6">
            <v>43130.25</v>
          </cell>
          <cell r="K6">
            <v>43.2</v>
          </cell>
          <cell r="L6">
            <v>256996.80000000002</v>
          </cell>
          <cell r="M6">
            <v>6.12</v>
          </cell>
          <cell r="N6">
            <v>36407.879999999997</v>
          </cell>
          <cell r="O6">
            <v>6.12</v>
          </cell>
          <cell r="P6">
            <v>36407.879999999997</v>
          </cell>
          <cell r="Q6">
            <v>6.12</v>
          </cell>
          <cell r="R6">
            <v>36407.879999999997</v>
          </cell>
          <cell r="S6">
            <v>6.12</v>
          </cell>
          <cell r="T6">
            <v>36407.879999999997</v>
          </cell>
          <cell r="U6">
            <v>7.08</v>
          </cell>
          <cell r="V6">
            <v>42118.92</v>
          </cell>
          <cell r="W6">
            <v>50.76</v>
          </cell>
          <cell r="X6">
            <v>301971.24</v>
          </cell>
          <cell r="Y6">
            <v>9.3000000000000007</v>
          </cell>
          <cell r="Z6">
            <v>55325.700000000004</v>
          </cell>
          <cell r="AA6">
            <v>6.12</v>
          </cell>
          <cell r="AB6">
            <v>36407.879999999997</v>
          </cell>
          <cell r="AC6">
            <v>44.02</v>
          </cell>
          <cell r="AD6">
            <v>261874.98</v>
          </cell>
          <cell r="AE6">
            <v>63.51</v>
          </cell>
          <cell r="AF6">
            <v>377820.99</v>
          </cell>
          <cell r="AG6">
            <v>36.08</v>
          </cell>
          <cell r="AH6">
            <v>214639.91999999998</v>
          </cell>
          <cell r="AI6">
            <v>6.12</v>
          </cell>
          <cell r="AJ6">
            <v>36407.879999999997</v>
          </cell>
          <cell r="AK6">
            <v>43.27</v>
          </cell>
          <cell r="AL6">
            <v>257413.23</v>
          </cell>
          <cell r="AM6">
            <v>15.6</v>
          </cell>
          <cell r="AN6">
            <v>92804.4</v>
          </cell>
          <cell r="AO6">
            <v>72.09</v>
          </cell>
          <cell r="AP6">
            <v>428863.41000000003</v>
          </cell>
          <cell r="AQ6">
            <v>7.08</v>
          </cell>
          <cell r="AR6">
            <v>42118.92</v>
          </cell>
          <cell r="AS6">
            <v>6.12</v>
          </cell>
          <cell r="AT6">
            <v>36407.879999999997</v>
          </cell>
          <cell r="AU6">
            <v>9.3000000000000007</v>
          </cell>
          <cell r="AV6">
            <v>55325.700000000004</v>
          </cell>
          <cell r="AW6">
            <v>69.010000000000005</v>
          </cell>
          <cell r="AX6">
            <v>410540.49000000005</v>
          </cell>
          <cell r="AY6">
            <v>6.12</v>
          </cell>
          <cell r="AZ6">
            <v>36407.879999999997</v>
          </cell>
          <cell r="BA6">
            <v>127.19999999999999</v>
          </cell>
          <cell r="BB6">
            <v>756712.79999999993</v>
          </cell>
          <cell r="BC6">
            <v>6.18</v>
          </cell>
          <cell r="BD6">
            <v>36764.82</v>
          </cell>
          <cell r="BE6">
            <v>7.4249999999999998</v>
          </cell>
          <cell r="BF6">
            <v>44171.324999999997</v>
          </cell>
          <cell r="BG6">
            <v>124.6</v>
          </cell>
          <cell r="BH6">
            <v>741245.4</v>
          </cell>
          <cell r="BI6">
            <v>6.12</v>
          </cell>
          <cell r="BJ6">
            <v>36407.879999999997</v>
          </cell>
          <cell r="BK6">
            <v>43.6</v>
          </cell>
          <cell r="BL6">
            <v>259376.4</v>
          </cell>
          <cell r="BN6">
            <v>0</v>
          </cell>
          <cell r="BO6">
            <v>9.3000000000000007</v>
          </cell>
          <cell r="BP6">
            <v>55325.700000000004</v>
          </cell>
          <cell r="BQ6">
            <v>56</v>
          </cell>
          <cell r="BR6">
            <v>333144</v>
          </cell>
          <cell r="BS6">
            <v>7.08</v>
          </cell>
          <cell r="BT6">
            <v>42118.92</v>
          </cell>
          <cell r="BU6">
            <v>51.1</v>
          </cell>
          <cell r="BV6">
            <v>303993.90000000002</v>
          </cell>
          <cell r="BW6">
            <v>33.722999999999999</v>
          </cell>
          <cell r="BX6">
            <v>200618.12700000001</v>
          </cell>
          <cell r="BY6">
            <v>84</v>
          </cell>
          <cell r="BZ6">
            <v>499716</v>
          </cell>
          <cell r="CA6">
            <v>7.08</v>
          </cell>
          <cell r="CB6">
            <v>42118.92</v>
          </cell>
          <cell r="CD6">
            <v>0</v>
          </cell>
          <cell r="CF6">
            <v>0</v>
          </cell>
          <cell r="CG6">
            <v>135.41999999999999</v>
          </cell>
          <cell r="CH6">
            <v>805613.58</v>
          </cell>
          <cell r="CI6">
            <v>7.08</v>
          </cell>
          <cell r="CJ6">
            <v>42118.92</v>
          </cell>
          <cell r="CK6">
            <v>3.56</v>
          </cell>
          <cell r="CL6">
            <v>21178.44</v>
          </cell>
          <cell r="CN6">
            <v>0</v>
          </cell>
          <cell r="CO6">
            <v>82.5</v>
          </cell>
          <cell r="CP6">
            <v>490792.5</v>
          </cell>
        </row>
        <row r="7">
          <cell r="A7">
            <v>6</v>
          </cell>
          <cell r="B7" t="str">
            <v>DESMONTE DE CUBIERTA DE ZINC + ENTRAMADO. (INCLUYE RETIRO Y ACARREO LIBRE HASTA 5 KM.)</v>
          </cell>
          <cell r="C7" t="str">
            <v>M2</v>
          </cell>
          <cell r="D7">
            <v>572.49</v>
          </cell>
          <cell r="E7">
            <v>33698</v>
          </cell>
          <cell r="F7">
            <v>19291768.02</v>
          </cell>
          <cell r="H7">
            <v>0</v>
          </cell>
          <cell r="I7">
            <v>15.44</v>
          </cell>
          <cell r="J7">
            <v>520297.12</v>
          </cell>
          <cell r="K7">
            <v>50.4</v>
          </cell>
          <cell r="L7">
            <v>1698379.2</v>
          </cell>
          <cell r="N7">
            <v>0</v>
          </cell>
          <cell r="P7">
            <v>0</v>
          </cell>
          <cell r="R7">
            <v>0</v>
          </cell>
          <cell r="T7">
            <v>0</v>
          </cell>
          <cell r="U7">
            <v>11.32</v>
          </cell>
          <cell r="V7">
            <v>381461.36</v>
          </cell>
          <cell r="W7">
            <v>73.08</v>
          </cell>
          <cell r="X7">
            <v>2462649.84</v>
          </cell>
          <cell r="Y7">
            <v>20.48</v>
          </cell>
          <cell r="Z7">
            <v>690135.04000000004</v>
          </cell>
          <cell r="AB7">
            <v>0</v>
          </cell>
          <cell r="AC7">
            <v>44.02</v>
          </cell>
          <cell r="AD7">
            <v>1483385.9600000002</v>
          </cell>
          <cell r="AE7">
            <v>63.51</v>
          </cell>
          <cell r="AF7">
            <v>2140159.98</v>
          </cell>
          <cell r="AG7">
            <v>36.08</v>
          </cell>
          <cell r="AH7">
            <v>1215823.8399999999</v>
          </cell>
          <cell r="AJ7">
            <v>0</v>
          </cell>
          <cell r="AL7">
            <v>0</v>
          </cell>
          <cell r="AN7">
            <v>0</v>
          </cell>
          <cell r="AP7">
            <v>0</v>
          </cell>
          <cell r="AQ7">
            <v>11.32</v>
          </cell>
          <cell r="AR7">
            <v>381461.36</v>
          </cell>
          <cell r="AT7">
            <v>0</v>
          </cell>
          <cell r="AV7">
            <v>0</v>
          </cell>
          <cell r="AW7"/>
          <cell r="AX7">
            <v>0</v>
          </cell>
          <cell r="AZ7">
            <v>0</v>
          </cell>
          <cell r="BB7">
            <v>0</v>
          </cell>
          <cell r="BD7">
            <v>0</v>
          </cell>
          <cell r="BF7">
            <v>0</v>
          </cell>
          <cell r="BG7">
            <v>124.6</v>
          </cell>
          <cell r="BH7">
            <v>4198770.8</v>
          </cell>
          <cell r="BJ7">
            <v>0</v>
          </cell>
          <cell r="BK7">
            <v>43.6</v>
          </cell>
          <cell r="BL7">
            <v>1469232.8</v>
          </cell>
          <cell r="BN7">
            <v>0</v>
          </cell>
          <cell r="BP7">
            <v>0</v>
          </cell>
          <cell r="BQ7">
            <v>56</v>
          </cell>
          <cell r="BR7">
            <v>1887088</v>
          </cell>
          <cell r="BS7">
            <v>11.32</v>
          </cell>
          <cell r="BT7">
            <v>381461.36</v>
          </cell>
          <cell r="BV7">
            <v>0</v>
          </cell>
          <cell r="BX7">
            <v>0</v>
          </cell>
          <cell r="BZ7">
            <v>0</v>
          </cell>
          <cell r="CB7">
            <v>0</v>
          </cell>
          <cell r="CD7">
            <v>0</v>
          </cell>
          <cell r="CF7">
            <v>0</v>
          </cell>
          <cell r="CH7">
            <v>0</v>
          </cell>
          <cell r="CI7">
            <v>11.32</v>
          </cell>
          <cell r="CJ7">
            <v>381461.36</v>
          </cell>
          <cell r="CL7">
            <v>0</v>
          </cell>
          <cell r="CN7">
            <v>0</v>
          </cell>
          <cell r="CP7">
            <v>0</v>
          </cell>
        </row>
        <row r="8">
          <cell r="A8">
            <v>7</v>
          </cell>
          <cell r="B8" t="str">
            <v>DESMONTE DE DIVISIÓN - PISO A TECHO. (INCLUYE RETIRO Y ACARREO LIBRE HASTA 5 KM.)</v>
          </cell>
          <cell r="C8" t="str">
            <v>M2</v>
          </cell>
          <cell r="D8">
            <v>13.75</v>
          </cell>
          <cell r="E8">
            <v>25602</v>
          </cell>
          <cell r="F8">
            <v>352027.5</v>
          </cell>
          <cell r="H8">
            <v>0</v>
          </cell>
          <cell r="I8">
            <v>13.7475</v>
          </cell>
          <cell r="J8">
            <v>351963.495</v>
          </cell>
          <cell r="L8">
            <v>0</v>
          </cell>
          <cell r="N8">
            <v>0</v>
          </cell>
          <cell r="P8">
            <v>0</v>
          </cell>
          <cell r="R8">
            <v>0</v>
          </cell>
          <cell r="T8">
            <v>0</v>
          </cell>
          <cell r="V8">
            <v>0</v>
          </cell>
          <cell r="X8">
            <v>0</v>
          </cell>
          <cell r="Z8">
            <v>0</v>
          </cell>
          <cell r="AB8">
            <v>0</v>
          </cell>
          <cell r="AD8">
            <v>0</v>
          </cell>
          <cell r="AF8">
            <v>0</v>
          </cell>
          <cell r="AH8">
            <v>0</v>
          </cell>
          <cell r="AJ8">
            <v>0</v>
          </cell>
          <cell r="AL8">
            <v>0</v>
          </cell>
          <cell r="AN8">
            <v>0</v>
          </cell>
          <cell r="AP8">
            <v>0</v>
          </cell>
          <cell r="AR8">
            <v>0</v>
          </cell>
          <cell r="AT8">
            <v>0</v>
          </cell>
          <cell r="AV8">
            <v>0</v>
          </cell>
          <cell r="AW8"/>
          <cell r="AX8">
            <v>0</v>
          </cell>
          <cell r="AZ8">
            <v>0</v>
          </cell>
          <cell r="BB8">
            <v>0</v>
          </cell>
          <cell r="BD8">
            <v>0</v>
          </cell>
          <cell r="BF8">
            <v>0</v>
          </cell>
          <cell r="BH8">
            <v>0</v>
          </cell>
          <cell r="BJ8">
            <v>0</v>
          </cell>
          <cell r="BL8">
            <v>0</v>
          </cell>
          <cell r="BN8">
            <v>0</v>
          </cell>
          <cell r="BP8">
            <v>0</v>
          </cell>
          <cell r="BR8">
            <v>0</v>
          </cell>
          <cell r="BT8">
            <v>0</v>
          </cell>
          <cell r="BV8">
            <v>0</v>
          </cell>
          <cell r="BX8">
            <v>0</v>
          </cell>
          <cell r="BZ8">
            <v>0</v>
          </cell>
          <cell r="CB8">
            <v>0</v>
          </cell>
          <cell r="CD8">
            <v>0</v>
          </cell>
          <cell r="CF8">
            <v>0</v>
          </cell>
          <cell r="CH8">
            <v>0</v>
          </cell>
          <cell r="CJ8">
            <v>0</v>
          </cell>
          <cell r="CL8">
            <v>0</v>
          </cell>
          <cell r="CN8">
            <v>0</v>
          </cell>
          <cell r="CP8">
            <v>0</v>
          </cell>
        </row>
        <row r="9">
          <cell r="A9">
            <v>8</v>
          </cell>
          <cell r="B9" t="str">
            <v>DEMOLICIÓN DE MUROS EN MAMPOSTERÍA DE LADRILLO E = 0.15 M. (INCLUYE RETIRO Y ACARREO LIBRE HASTA 5 KM.)</v>
          </cell>
          <cell r="C9" t="str">
            <v>M2</v>
          </cell>
          <cell r="D9">
            <v>46.6</v>
          </cell>
          <cell r="E9">
            <v>31112</v>
          </cell>
          <cell r="F9">
            <v>1449819.2</v>
          </cell>
          <cell r="H9">
            <v>0</v>
          </cell>
          <cell r="J9">
            <v>0</v>
          </cell>
          <cell r="L9">
            <v>0</v>
          </cell>
          <cell r="N9">
            <v>0</v>
          </cell>
          <cell r="P9">
            <v>0</v>
          </cell>
          <cell r="R9">
            <v>0</v>
          </cell>
          <cell r="T9">
            <v>0</v>
          </cell>
          <cell r="V9">
            <v>0</v>
          </cell>
          <cell r="X9">
            <v>0</v>
          </cell>
          <cell r="Z9">
            <v>0</v>
          </cell>
          <cell r="AB9">
            <v>0</v>
          </cell>
          <cell r="AD9">
            <v>0</v>
          </cell>
          <cell r="AF9">
            <v>0</v>
          </cell>
          <cell r="AH9">
            <v>0</v>
          </cell>
          <cell r="AJ9">
            <v>0</v>
          </cell>
          <cell r="AL9">
            <v>0</v>
          </cell>
          <cell r="AM9">
            <v>46.601999999999997</v>
          </cell>
          <cell r="AN9">
            <v>1449881.4239999999</v>
          </cell>
          <cell r="AP9">
            <v>0</v>
          </cell>
          <cell r="AR9">
            <v>0</v>
          </cell>
          <cell r="AT9">
            <v>0</v>
          </cell>
          <cell r="AV9">
            <v>0</v>
          </cell>
          <cell r="AW9"/>
          <cell r="AX9">
            <v>0</v>
          </cell>
          <cell r="AZ9">
            <v>0</v>
          </cell>
          <cell r="BB9">
            <v>0</v>
          </cell>
          <cell r="BD9">
            <v>0</v>
          </cell>
          <cell r="BF9">
            <v>0</v>
          </cell>
          <cell r="BH9">
            <v>0</v>
          </cell>
          <cell r="BJ9">
            <v>0</v>
          </cell>
          <cell r="BL9">
            <v>0</v>
          </cell>
          <cell r="BN9">
            <v>0</v>
          </cell>
          <cell r="BP9">
            <v>0</v>
          </cell>
          <cell r="BR9">
            <v>0</v>
          </cell>
          <cell r="BT9">
            <v>0</v>
          </cell>
          <cell r="BV9">
            <v>0</v>
          </cell>
          <cell r="BX9">
            <v>0</v>
          </cell>
          <cell r="BZ9">
            <v>0</v>
          </cell>
          <cell r="CB9">
            <v>0</v>
          </cell>
          <cell r="CD9">
            <v>0</v>
          </cell>
          <cell r="CF9">
            <v>0</v>
          </cell>
          <cell r="CH9">
            <v>0</v>
          </cell>
          <cell r="CJ9">
            <v>0</v>
          </cell>
          <cell r="CL9">
            <v>0</v>
          </cell>
          <cell r="CN9">
            <v>0</v>
          </cell>
          <cell r="CP9">
            <v>0</v>
          </cell>
        </row>
        <row r="10">
          <cell r="A10">
            <v>9</v>
          </cell>
          <cell r="B10" t="str">
            <v>DEMOLICIÓN DE PLACA DE PISO EN CONCRETO DE E = 10 CM. (INCLUYE RETIRO Y ACARREO LIBRE HASTA 5 KM.)</v>
          </cell>
          <cell r="C10" t="str">
            <v>M2</v>
          </cell>
          <cell r="D10">
            <v>48.54</v>
          </cell>
          <cell r="E10">
            <v>92781</v>
          </cell>
          <cell r="F10">
            <v>4503589.74</v>
          </cell>
          <cell r="G10"/>
          <cell r="H10">
            <v>0</v>
          </cell>
          <cell r="I10">
            <v>8.3800000000000008</v>
          </cell>
          <cell r="J10">
            <v>777504.78</v>
          </cell>
          <cell r="K10"/>
          <cell r="L10">
            <v>0</v>
          </cell>
          <cell r="M10"/>
          <cell r="N10">
            <v>0</v>
          </cell>
          <cell r="O10"/>
          <cell r="P10">
            <v>0</v>
          </cell>
          <cell r="Q10"/>
          <cell r="R10">
            <v>0</v>
          </cell>
          <cell r="S10"/>
          <cell r="T10">
            <v>0</v>
          </cell>
          <cell r="U10"/>
          <cell r="V10">
            <v>0</v>
          </cell>
          <cell r="W10">
            <v>1.26</v>
          </cell>
          <cell r="X10">
            <v>116904.06</v>
          </cell>
          <cell r="Y10">
            <v>9.3000000000000007</v>
          </cell>
          <cell r="Z10">
            <v>862863.3</v>
          </cell>
          <cell r="AA10"/>
          <cell r="AB10">
            <v>0</v>
          </cell>
          <cell r="AC10"/>
          <cell r="AD10">
            <v>0</v>
          </cell>
          <cell r="AE10"/>
          <cell r="AF10">
            <v>0</v>
          </cell>
          <cell r="AG10"/>
          <cell r="AH10">
            <v>0</v>
          </cell>
          <cell r="AI10"/>
          <cell r="AJ10">
            <v>0</v>
          </cell>
          <cell r="AK10">
            <v>1.08</v>
          </cell>
          <cell r="AL10">
            <v>100203.48000000001</v>
          </cell>
          <cell r="AM10">
            <v>14.014000000000001</v>
          </cell>
          <cell r="AN10">
            <v>1300232.9340000001</v>
          </cell>
          <cell r="AO10"/>
          <cell r="AP10">
            <v>0</v>
          </cell>
          <cell r="AQ10"/>
          <cell r="AR10">
            <v>0</v>
          </cell>
          <cell r="AS10"/>
          <cell r="AT10">
            <v>0</v>
          </cell>
          <cell r="AU10"/>
          <cell r="AV10">
            <v>0</v>
          </cell>
          <cell r="AW10"/>
          <cell r="AX10">
            <v>0</v>
          </cell>
          <cell r="AY10"/>
          <cell r="AZ10">
            <v>0</v>
          </cell>
          <cell r="BA10"/>
          <cell r="BB10">
            <v>0</v>
          </cell>
          <cell r="BC10">
            <v>7.08</v>
          </cell>
          <cell r="BD10">
            <v>656889.48</v>
          </cell>
          <cell r="BE10">
            <v>7.4249999999999998</v>
          </cell>
          <cell r="BF10">
            <v>688898.92499999993</v>
          </cell>
          <cell r="BG10"/>
          <cell r="BH10">
            <v>0</v>
          </cell>
          <cell r="BI10"/>
          <cell r="BJ10">
            <v>0</v>
          </cell>
          <cell r="BK10"/>
          <cell r="BL10">
            <v>0</v>
          </cell>
          <cell r="BM10"/>
          <cell r="BN10">
            <v>0</v>
          </cell>
          <cell r="BO10"/>
          <cell r="BP10">
            <v>0</v>
          </cell>
          <cell r="BQ10"/>
          <cell r="BR10">
            <v>0</v>
          </cell>
          <cell r="BS10"/>
          <cell r="BT10">
            <v>0</v>
          </cell>
          <cell r="BU10"/>
          <cell r="BV10">
            <v>0</v>
          </cell>
          <cell r="BW10"/>
          <cell r="BX10">
            <v>0</v>
          </cell>
          <cell r="BY10"/>
          <cell r="BZ10">
            <v>0</v>
          </cell>
          <cell r="CA10"/>
          <cell r="CB10">
            <v>0</v>
          </cell>
          <cell r="CC10"/>
          <cell r="CD10">
            <v>0</v>
          </cell>
          <cell r="CE10"/>
          <cell r="CF10">
            <v>0</v>
          </cell>
          <cell r="CG10"/>
          <cell r="CH10">
            <v>0</v>
          </cell>
          <cell r="CI10"/>
          <cell r="CJ10">
            <v>0</v>
          </cell>
          <cell r="CK10"/>
          <cell r="CL10">
            <v>0</v>
          </cell>
          <cell r="CM10"/>
          <cell r="CN10">
            <v>0</v>
          </cell>
          <cell r="CO10"/>
          <cell r="CP10">
            <v>0</v>
          </cell>
        </row>
        <row r="11">
          <cell r="A11">
            <v>10</v>
          </cell>
          <cell r="B11" t="str">
            <v>DEMOLICIÓN DE PISO EN CERÁMICA + MORTERO. (INCLUYE RETIRO Y ACARREO LIBRE HASTA 5 KM.)</v>
          </cell>
          <cell r="C11" t="str">
            <v>M2</v>
          </cell>
          <cell r="D11">
            <v>12.66</v>
          </cell>
          <cell r="E11">
            <v>20684</v>
          </cell>
          <cell r="F11">
            <v>261859.44</v>
          </cell>
          <cell r="G11"/>
          <cell r="H11">
            <v>0</v>
          </cell>
          <cell r="I11"/>
          <cell r="J11">
            <v>0</v>
          </cell>
          <cell r="K11"/>
          <cell r="L11">
            <v>0</v>
          </cell>
          <cell r="M11"/>
          <cell r="N11">
            <v>0</v>
          </cell>
          <cell r="O11"/>
          <cell r="P11">
            <v>0</v>
          </cell>
          <cell r="Q11"/>
          <cell r="R11">
            <v>0</v>
          </cell>
          <cell r="S11"/>
          <cell r="T11">
            <v>0</v>
          </cell>
          <cell r="U11"/>
          <cell r="V11">
            <v>0</v>
          </cell>
          <cell r="W11"/>
          <cell r="X11">
            <v>0</v>
          </cell>
          <cell r="Y11"/>
          <cell r="Z11">
            <v>0</v>
          </cell>
          <cell r="AA11"/>
          <cell r="AB11">
            <v>0</v>
          </cell>
          <cell r="AC11"/>
          <cell r="AD11">
            <v>0</v>
          </cell>
          <cell r="AE11"/>
          <cell r="AF11">
            <v>0</v>
          </cell>
          <cell r="AG11"/>
          <cell r="AH11">
            <v>0</v>
          </cell>
          <cell r="AI11"/>
          <cell r="AJ11">
            <v>0</v>
          </cell>
          <cell r="AK11"/>
          <cell r="AL11">
            <v>0</v>
          </cell>
          <cell r="AM11"/>
          <cell r="AN11">
            <v>0</v>
          </cell>
          <cell r="AO11"/>
          <cell r="AP11">
            <v>0</v>
          </cell>
          <cell r="AQ11"/>
          <cell r="AR11">
            <v>0</v>
          </cell>
          <cell r="AS11"/>
          <cell r="AT11">
            <v>0</v>
          </cell>
          <cell r="AU11"/>
          <cell r="AV11">
            <v>0</v>
          </cell>
          <cell r="AW11"/>
          <cell r="AX11">
            <v>0</v>
          </cell>
          <cell r="AY11"/>
          <cell r="AZ11">
            <v>0</v>
          </cell>
          <cell r="BA11"/>
          <cell r="BB11">
            <v>0</v>
          </cell>
          <cell r="BC11"/>
          <cell r="BD11">
            <v>0</v>
          </cell>
          <cell r="BE11"/>
          <cell r="BF11">
            <v>0</v>
          </cell>
          <cell r="BG11"/>
          <cell r="BH11">
            <v>0</v>
          </cell>
          <cell r="BI11"/>
          <cell r="BJ11">
            <v>0</v>
          </cell>
          <cell r="BK11"/>
          <cell r="BL11">
            <v>0</v>
          </cell>
          <cell r="BM11"/>
          <cell r="BN11">
            <v>0</v>
          </cell>
          <cell r="BO11"/>
          <cell r="BP11">
            <v>0</v>
          </cell>
          <cell r="BQ11"/>
          <cell r="BR11">
            <v>0</v>
          </cell>
          <cell r="BS11"/>
          <cell r="BT11">
            <v>0</v>
          </cell>
          <cell r="BU11"/>
          <cell r="BV11">
            <v>0</v>
          </cell>
          <cell r="BW11">
            <v>12.66</v>
          </cell>
          <cell r="BX11">
            <v>261859.44</v>
          </cell>
          <cell r="BY11"/>
          <cell r="BZ11">
            <v>0</v>
          </cell>
          <cell r="CA11"/>
          <cell r="CB11">
            <v>0</v>
          </cell>
          <cell r="CC11"/>
          <cell r="CD11">
            <v>0</v>
          </cell>
          <cell r="CE11"/>
          <cell r="CF11">
            <v>0</v>
          </cell>
          <cell r="CG11"/>
          <cell r="CH11">
            <v>0</v>
          </cell>
          <cell r="CI11"/>
          <cell r="CJ11">
            <v>0</v>
          </cell>
          <cell r="CK11"/>
          <cell r="CL11">
            <v>0</v>
          </cell>
          <cell r="CM11"/>
          <cell r="CN11">
            <v>0</v>
          </cell>
          <cell r="CO11"/>
          <cell r="CP11">
            <v>0</v>
          </cell>
        </row>
        <row r="12">
          <cell r="A12">
            <v>11</v>
          </cell>
          <cell r="B12" t="str">
            <v>DEMOLICIÓN DE ESTRUCTURAS DE CONCRETO CICLOPEO, (INCLUYE RETIRO Y ACARREO LIBRE
HASTA 5 KM.)</v>
          </cell>
          <cell r="C12" t="str">
            <v>M3</v>
          </cell>
          <cell r="D12">
            <v>1.67</v>
          </cell>
          <cell r="E12">
            <v>536147</v>
          </cell>
          <cell r="F12">
            <v>895365.49</v>
          </cell>
          <cell r="G12"/>
          <cell r="H12">
            <v>0</v>
          </cell>
          <cell r="I12">
            <v>1.5259999999999998</v>
          </cell>
          <cell r="J12">
            <v>818160.32199999993</v>
          </cell>
          <cell r="K12"/>
          <cell r="L12">
            <v>0</v>
          </cell>
          <cell r="M12"/>
          <cell r="N12">
            <v>0</v>
          </cell>
          <cell r="O12"/>
          <cell r="P12">
            <v>0</v>
          </cell>
          <cell r="Q12"/>
          <cell r="R12">
            <v>0</v>
          </cell>
          <cell r="S12"/>
          <cell r="T12">
            <v>0</v>
          </cell>
          <cell r="U12"/>
          <cell r="V12">
            <v>0</v>
          </cell>
          <cell r="W12">
            <v>0.1452</v>
          </cell>
          <cell r="X12">
            <v>77848.544399999999</v>
          </cell>
          <cell r="Y12"/>
          <cell r="Z12">
            <v>0</v>
          </cell>
          <cell r="AA12"/>
          <cell r="AB12">
            <v>0</v>
          </cell>
          <cell r="AC12"/>
          <cell r="AD12">
            <v>0</v>
          </cell>
          <cell r="AE12"/>
          <cell r="AF12">
            <v>0</v>
          </cell>
          <cell r="AG12"/>
          <cell r="AH12">
            <v>0</v>
          </cell>
          <cell r="AI12"/>
          <cell r="AJ12">
            <v>0</v>
          </cell>
          <cell r="AK12"/>
          <cell r="AL12">
            <v>0</v>
          </cell>
          <cell r="AM12"/>
          <cell r="AN12">
            <v>0</v>
          </cell>
          <cell r="AO12"/>
          <cell r="AP12">
            <v>0</v>
          </cell>
          <cell r="AQ12"/>
          <cell r="AR12">
            <v>0</v>
          </cell>
          <cell r="AS12"/>
          <cell r="AT12">
            <v>0</v>
          </cell>
          <cell r="AU12"/>
          <cell r="AV12">
            <v>0</v>
          </cell>
          <cell r="AW12"/>
          <cell r="AX12">
            <v>0</v>
          </cell>
          <cell r="AY12"/>
          <cell r="AZ12">
            <v>0</v>
          </cell>
          <cell r="BA12"/>
          <cell r="BB12">
            <v>0</v>
          </cell>
          <cell r="BC12"/>
          <cell r="BD12">
            <v>0</v>
          </cell>
          <cell r="BE12"/>
          <cell r="BF12">
            <v>0</v>
          </cell>
          <cell r="BG12"/>
          <cell r="BH12">
            <v>0</v>
          </cell>
          <cell r="BI12"/>
          <cell r="BJ12">
            <v>0</v>
          </cell>
          <cell r="BK12"/>
          <cell r="BL12">
            <v>0</v>
          </cell>
          <cell r="BM12"/>
          <cell r="BN12">
            <v>0</v>
          </cell>
          <cell r="BO12"/>
          <cell r="BP12">
            <v>0</v>
          </cell>
          <cell r="BQ12"/>
          <cell r="BR12">
            <v>0</v>
          </cell>
          <cell r="BS12"/>
          <cell r="BT12">
            <v>0</v>
          </cell>
          <cell r="BU12"/>
          <cell r="BV12">
            <v>0</v>
          </cell>
          <cell r="BW12"/>
          <cell r="BX12">
            <v>0</v>
          </cell>
          <cell r="BY12"/>
          <cell r="BZ12">
            <v>0</v>
          </cell>
          <cell r="CA12"/>
          <cell r="CB12">
            <v>0</v>
          </cell>
          <cell r="CC12"/>
          <cell r="CD12">
            <v>0</v>
          </cell>
          <cell r="CE12"/>
          <cell r="CF12">
            <v>0</v>
          </cell>
          <cell r="CG12"/>
          <cell r="CH12">
            <v>0</v>
          </cell>
          <cell r="CI12"/>
          <cell r="CJ12">
            <v>0</v>
          </cell>
          <cell r="CK12"/>
          <cell r="CL12">
            <v>0</v>
          </cell>
          <cell r="CM12"/>
          <cell r="CN12">
            <v>0</v>
          </cell>
          <cell r="CO12"/>
          <cell r="CP12">
            <v>0</v>
          </cell>
        </row>
        <row r="13">
          <cell r="A13">
            <v>12</v>
          </cell>
          <cell r="B13" t="str">
            <v xml:space="preserve">DEMOLICIÓN OBRAS EN CONCRETO REFORZADO, INCLUYE CARGUE Y RETIRO DE SOBRANTES CON ACARREO LIBRE HASTA 5 KM.). </v>
          </cell>
          <cell r="C13" t="str">
            <v>M3</v>
          </cell>
          <cell r="D13">
            <v>1.75</v>
          </cell>
          <cell r="E13">
            <v>512427</v>
          </cell>
          <cell r="F13">
            <v>896747.25</v>
          </cell>
          <cell r="G13"/>
          <cell r="H13">
            <v>0</v>
          </cell>
          <cell r="I13">
            <v>0.43600000000000011</v>
          </cell>
          <cell r="J13">
            <v>223418.17200000005</v>
          </cell>
          <cell r="K13"/>
          <cell r="L13">
            <v>0</v>
          </cell>
          <cell r="M13"/>
          <cell r="N13">
            <v>0</v>
          </cell>
          <cell r="O13"/>
          <cell r="P13">
            <v>0</v>
          </cell>
          <cell r="Q13"/>
          <cell r="R13">
            <v>0</v>
          </cell>
          <cell r="S13"/>
          <cell r="T13">
            <v>0</v>
          </cell>
          <cell r="U13"/>
          <cell r="V13">
            <v>0</v>
          </cell>
          <cell r="W13"/>
          <cell r="X13">
            <v>0</v>
          </cell>
          <cell r="Y13"/>
          <cell r="Z13">
            <v>0</v>
          </cell>
          <cell r="AA13"/>
          <cell r="AB13">
            <v>0</v>
          </cell>
          <cell r="AC13"/>
          <cell r="AD13">
            <v>0</v>
          </cell>
          <cell r="AE13"/>
          <cell r="AF13">
            <v>0</v>
          </cell>
          <cell r="AG13"/>
          <cell r="AH13">
            <v>0</v>
          </cell>
          <cell r="AI13"/>
          <cell r="AJ13">
            <v>0</v>
          </cell>
          <cell r="AK13">
            <v>0.22800000000000004</v>
          </cell>
          <cell r="AL13">
            <v>116833.35600000001</v>
          </cell>
          <cell r="AM13">
            <v>0.6624000000000001</v>
          </cell>
          <cell r="AN13">
            <v>339431.64480000007</v>
          </cell>
          <cell r="AO13"/>
          <cell r="AP13">
            <v>0</v>
          </cell>
          <cell r="AQ13"/>
          <cell r="AR13">
            <v>0</v>
          </cell>
          <cell r="AS13"/>
          <cell r="AT13">
            <v>0</v>
          </cell>
          <cell r="AU13"/>
          <cell r="AV13">
            <v>0</v>
          </cell>
          <cell r="AW13"/>
          <cell r="AX13">
            <v>0</v>
          </cell>
          <cell r="AY13"/>
          <cell r="AZ13">
            <v>0</v>
          </cell>
          <cell r="BA13"/>
          <cell r="BB13">
            <v>0</v>
          </cell>
          <cell r="BC13"/>
          <cell r="BD13">
            <v>0</v>
          </cell>
          <cell r="BE13"/>
          <cell r="BF13">
            <v>0</v>
          </cell>
          <cell r="BG13"/>
          <cell r="BH13">
            <v>0</v>
          </cell>
          <cell r="BI13"/>
          <cell r="BJ13">
            <v>0</v>
          </cell>
          <cell r="BK13"/>
          <cell r="BL13">
            <v>0</v>
          </cell>
          <cell r="BM13"/>
          <cell r="BN13">
            <v>0</v>
          </cell>
          <cell r="BO13"/>
          <cell r="BP13">
            <v>0</v>
          </cell>
          <cell r="BQ13"/>
          <cell r="BR13">
            <v>0</v>
          </cell>
          <cell r="BS13"/>
          <cell r="BT13">
            <v>0</v>
          </cell>
          <cell r="BU13"/>
          <cell r="BV13">
            <v>0</v>
          </cell>
          <cell r="BW13">
            <v>0.19</v>
          </cell>
          <cell r="BX13">
            <v>97361.13</v>
          </cell>
          <cell r="BY13"/>
          <cell r="BZ13">
            <v>0</v>
          </cell>
          <cell r="CA13"/>
          <cell r="CB13">
            <v>0</v>
          </cell>
          <cell r="CC13"/>
          <cell r="CD13">
            <v>0</v>
          </cell>
          <cell r="CE13"/>
          <cell r="CF13">
            <v>0</v>
          </cell>
          <cell r="CG13"/>
          <cell r="CH13">
            <v>0</v>
          </cell>
          <cell r="CI13"/>
          <cell r="CJ13">
            <v>0</v>
          </cell>
          <cell r="CK13">
            <v>0.23099999999999998</v>
          </cell>
          <cell r="CL13">
            <v>118370.63699999999</v>
          </cell>
          <cell r="CM13"/>
          <cell r="CN13">
            <v>0</v>
          </cell>
          <cell r="CO13"/>
          <cell r="CP13">
            <v>0</v>
          </cell>
        </row>
        <row r="14">
          <cell r="A14">
            <v>13</v>
          </cell>
          <cell r="B14" t="str">
            <v>DESMONTE DE MARCOS, PUERTAS Y VENTANAS.</v>
          </cell>
          <cell r="C14" t="str">
            <v>M2</v>
          </cell>
          <cell r="D14">
            <v>4.6100000000000003</v>
          </cell>
          <cell r="E14">
            <v>60447</v>
          </cell>
          <cell r="F14">
            <v>278660.67000000004</v>
          </cell>
          <cell r="G14"/>
          <cell r="H14">
            <v>0</v>
          </cell>
          <cell r="I14"/>
          <cell r="J14">
            <v>0</v>
          </cell>
          <cell r="K14"/>
          <cell r="L14">
            <v>0</v>
          </cell>
          <cell r="M14"/>
          <cell r="N14">
            <v>0</v>
          </cell>
          <cell r="O14"/>
          <cell r="P14">
            <v>0</v>
          </cell>
          <cell r="Q14"/>
          <cell r="R14">
            <v>0</v>
          </cell>
          <cell r="S14"/>
          <cell r="T14">
            <v>0</v>
          </cell>
          <cell r="U14"/>
          <cell r="V14">
            <v>0</v>
          </cell>
          <cell r="W14"/>
          <cell r="X14">
            <v>0</v>
          </cell>
          <cell r="Y14"/>
          <cell r="Z14">
            <v>0</v>
          </cell>
          <cell r="AA14"/>
          <cell r="AB14">
            <v>0</v>
          </cell>
          <cell r="AC14"/>
          <cell r="AD14">
            <v>0</v>
          </cell>
          <cell r="AE14"/>
          <cell r="AF14">
            <v>0</v>
          </cell>
          <cell r="AG14"/>
          <cell r="AH14">
            <v>0</v>
          </cell>
          <cell r="AI14"/>
          <cell r="AJ14">
            <v>0</v>
          </cell>
          <cell r="AK14"/>
          <cell r="AL14">
            <v>0</v>
          </cell>
          <cell r="AM14"/>
          <cell r="AN14">
            <v>0</v>
          </cell>
          <cell r="AO14"/>
          <cell r="AP14">
            <v>0</v>
          </cell>
          <cell r="AQ14"/>
          <cell r="AR14">
            <v>0</v>
          </cell>
          <cell r="AS14"/>
          <cell r="AT14">
            <v>0</v>
          </cell>
          <cell r="AU14"/>
          <cell r="AV14">
            <v>0</v>
          </cell>
          <cell r="AW14"/>
          <cell r="AX14">
            <v>0</v>
          </cell>
          <cell r="AY14"/>
          <cell r="AZ14">
            <v>0</v>
          </cell>
          <cell r="BA14"/>
          <cell r="BB14">
            <v>0</v>
          </cell>
          <cell r="BC14"/>
          <cell r="BD14">
            <v>0</v>
          </cell>
          <cell r="BE14"/>
          <cell r="BF14">
            <v>0</v>
          </cell>
          <cell r="BG14"/>
          <cell r="BH14">
            <v>0</v>
          </cell>
          <cell r="BI14"/>
          <cell r="BJ14">
            <v>0</v>
          </cell>
          <cell r="BK14">
            <v>4.6099999999999994</v>
          </cell>
          <cell r="BL14">
            <v>278660.67</v>
          </cell>
          <cell r="BM14"/>
          <cell r="BN14">
            <v>0</v>
          </cell>
          <cell r="BO14"/>
          <cell r="BP14">
            <v>0</v>
          </cell>
          <cell r="BQ14"/>
          <cell r="BR14">
            <v>0</v>
          </cell>
          <cell r="BS14"/>
          <cell r="BT14">
            <v>0</v>
          </cell>
          <cell r="BU14"/>
          <cell r="BV14">
            <v>0</v>
          </cell>
          <cell r="BW14"/>
          <cell r="BX14">
            <v>0</v>
          </cell>
          <cell r="BY14"/>
          <cell r="BZ14">
            <v>0</v>
          </cell>
          <cell r="CA14"/>
          <cell r="CB14">
            <v>0</v>
          </cell>
          <cell r="CC14"/>
          <cell r="CD14">
            <v>0</v>
          </cell>
          <cell r="CE14"/>
          <cell r="CF14">
            <v>0</v>
          </cell>
          <cell r="CG14"/>
          <cell r="CH14">
            <v>0</v>
          </cell>
          <cell r="CI14"/>
          <cell r="CJ14">
            <v>0</v>
          </cell>
          <cell r="CK14"/>
          <cell r="CL14">
            <v>0</v>
          </cell>
          <cell r="CM14"/>
          <cell r="CN14">
            <v>0</v>
          </cell>
          <cell r="CO14"/>
          <cell r="CP14">
            <v>0</v>
          </cell>
        </row>
        <row r="15">
          <cell r="A15">
            <v>14</v>
          </cell>
          <cell r="B15" t="str">
            <v>RELLENO CON MATERIAL DE EXCAVACION COMPACTADO MANUALMENTE CON PISON</v>
          </cell>
          <cell r="C15" t="str">
            <v>M3</v>
          </cell>
          <cell r="D15">
            <v>22.99</v>
          </cell>
          <cell r="E15">
            <v>68288</v>
          </cell>
          <cell r="F15">
            <v>1569941.1199999999</v>
          </cell>
          <cell r="G15"/>
          <cell r="H15">
            <v>0</v>
          </cell>
          <cell r="I15">
            <v>2.1800000000000002</v>
          </cell>
          <cell r="J15">
            <v>148867.84</v>
          </cell>
          <cell r="K15">
            <v>0.4</v>
          </cell>
          <cell r="L15">
            <v>27315.200000000001</v>
          </cell>
          <cell r="M15">
            <v>1.4080000000000001</v>
          </cell>
          <cell r="N15">
            <v>96149.504000000015</v>
          </cell>
          <cell r="O15">
            <v>1.4080000000000001</v>
          </cell>
          <cell r="P15">
            <v>96149.504000000015</v>
          </cell>
          <cell r="Q15">
            <v>0.92800000000000016</v>
          </cell>
          <cell r="R15">
            <v>63371.26400000001</v>
          </cell>
          <cell r="S15">
            <v>0.92800000000000016</v>
          </cell>
          <cell r="T15">
            <v>63371.26400000001</v>
          </cell>
          <cell r="U15">
            <v>0.80639999999999989</v>
          </cell>
          <cell r="V15">
            <v>55067.443199999994</v>
          </cell>
          <cell r="W15">
            <v>0.252</v>
          </cell>
          <cell r="X15">
            <v>17208.576000000001</v>
          </cell>
          <cell r="Y15"/>
          <cell r="Z15">
            <v>0</v>
          </cell>
          <cell r="AA15">
            <v>0.92800000000000016</v>
          </cell>
          <cell r="AB15">
            <v>63371.26400000001</v>
          </cell>
          <cell r="AC15"/>
          <cell r="AD15">
            <v>0</v>
          </cell>
          <cell r="AE15"/>
          <cell r="AF15">
            <v>0</v>
          </cell>
          <cell r="AG15"/>
          <cell r="AH15">
            <v>0</v>
          </cell>
          <cell r="AI15">
            <v>0.92800000000000016</v>
          </cell>
          <cell r="AJ15">
            <v>63371.26400000001</v>
          </cell>
          <cell r="AK15"/>
          <cell r="AL15">
            <v>0</v>
          </cell>
          <cell r="AM15">
            <v>0.74519999999999997</v>
          </cell>
          <cell r="AN15">
            <v>50888.217599999996</v>
          </cell>
          <cell r="AO15">
            <v>3.3200000000000003</v>
          </cell>
          <cell r="AP15">
            <v>226716.16000000003</v>
          </cell>
          <cell r="AQ15">
            <v>0.80639999999999989</v>
          </cell>
          <cell r="AR15">
            <v>55067.443199999994</v>
          </cell>
          <cell r="AS15">
            <v>0.92800000000000016</v>
          </cell>
          <cell r="AT15">
            <v>63371.26400000001</v>
          </cell>
          <cell r="AU15"/>
          <cell r="AV15">
            <v>0</v>
          </cell>
          <cell r="AW15">
            <v>1.407</v>
          </cell>
          <cell r="AX15">
            <v>96081.216</v>
          </cell>
          <cell r="AY15">
            <v>0.92800000000000016</v>
          </cell>
          <cell r="AZ15">
            <v>63371.26400000001</v>
          </cell>
          <cell r="BA15">
            <v>9.6000000000000002E-2</v>
          </cell>
          <cell r="BB15">
            <v>6555.6480000000001</v>
          </cell>
          <cell r="BC15"/>
          <cell r="BD15">
            <v>0</v>
          </cell>
          <cell r="BE15">
            <v>1.0545</v>
          </cell>
          <cell r="BF15">
            <v>72009.695999999996</v>
          </cell>
          <cell r="BG15"/>
          <cell r="BH15">
            <v>0</v>
          </cell>
          <cell r="BI15">
            <v>0.92800000000000016</v>
          </cell>
          <cell r="BJ15">
            <v>63371.26400000001</v>
          </cell>
          <cell r="BK15"/>
          <cell r="BL15">
            <v>0</v>
          </cell>
          <cell r="BM15"/>
          <cell r="BN15">
            <v>0</v>
          </cell>
          <cell r="BO15"/>
          <cell r="BP15">
            <v>0</v>
          </cell>
          <cell r="BQ15">
            <v>0.18900000000000003</v>
          </cell>
          <cell r="BR15">
            <v>12906.432000000003</v>
          </cell>
          <cell r="BS15">
            <v>0.80639999999999989</v>
          </cell>
          <cell r="BT15">
            <v>55067.443199999994</v>
          </cell>
          <cell r="BU15"/>
          <cell r="BV15">
            <v>0</v>
          </cell>
          <cell r="BW15"/>
          <cell r="BX15">
            <v>0</v>
          </cell>
          <cell r="BY15"/>
          <cell r="BZ15">
            <v>0</v>
          </cell>
          <cell r="CA15">
            <v>0.80639999999999989</v>
          </cell>
          <cell r="CB15">
            <v>55067.443199999994</v>
          </cell>
          <cell r="CC15"/>
          <cell r="CD15">
            <v>0</v>
          </cell>
          <cell r="CE15"/>
          <cell r="CF15">
            <v>0</v>
          </cell>
          <cell r="CG15"/>
          <cell r="CH15">
            <v>0</v>
          </cell>
          <cell r="CI15">
            <v>0.80639999999999989</v>
          </cell>
          <cell r="CJ15">
            <v>55067.443199999994</v>
          </cell>
          <cell r="CK15"/>
          <cell r="CL15">
            <v>0</v>
          </cell>
          <cell r="CM15"/>
          <cell r="CN15">
            <v>0</v>
          </cell>
          <cell r="CO15"/>
          <cell r="CP15">
            <v>0</v>
          </cell>
        </row>
        <row r="16">
          <cell r="A16">
            <v>15</v>
          </cell>
          <cell r="B16" t="str">
            <v>DESCAPOTE MANUAL HASTA 20 CM (INCLUYE RETIRO Y ACARREO LIBRE HASTA 5 KM)</v>
          </cell>
          <cell r="C16" t="str">
            <v>M2</v>
          </cell>
          <cell r="D16">
            <v>24.54</v>
          </cell>
          <cell r="E16">
            <v>18897</v>
          </cell>
          <cell r="F16">
            <v>463732.38</v>
          </cell>
          <cell r="G16"/>
          <cell r="H16">
            <v>0</v>
          </cell>
          <cell r="I16"/>
          <cell r="J16">
            <v>0</v>
          </cell>
          <cell r="K16"/>
          <cell r="L16">
            <v>0</v>
          </cell>
          <cell r="M16"/>
          <cell r="N16">
            <v>0</v>
          </cell>
          <cell r="O16"/>
          <cell r="P16">
            <v>0</v>
          </cell>
          <cell r="Q16"/>
          <cell r="R16">
            <v>0</v>
          </cell>
          <cell r="S16"/>
          <cell r="T16">
            <v>0</v>
          </cell>
          <cell r="U16"/>
          <cell r="V16">
            <v>0</v>
          </cell>
          <cell r="W16"/>
          <cell r="X16">
            <v>0</v>
          </cell>
          <cell r="Y16"/>
          <cell r="Z16">
            <v>0</v>
          </cell>
          <cell r="AA16"/>
          <cell r="AB16">
            <v>0</v>
          </cell>
          <cell r="AC16"/>
          <cell r="AD16">
            <v>0</v>
          </cell>
          <cell r="AE16"/>
          <cell r="AF16">
            <v>0</v>
          </cell>
          <cell r="AG16"/>
          <cell r="AH16">
            <v>0</v>
          </cell>
          <cell r="AI16"/>
          <cell r="AJ16">
            <v>0</v>
          </cell>
          <cell r="AK16"/>
          <cell r="AL16">
            <v>0</v>
          </cell>
          <cell r="AM16"/>
          <cell r="AN16">
            <v>0</v>
          </cell>
          <cell r="AO16"/>
          <cell r="AP16">
            <v>0</v>
          </cell>
          <cell r="AQ16">
            <v>5.94</v>
          </cell>
          <cell r="AR16">
            <v>112248.18000000001</v>
          </cell>
          <cell r="AS16"/>
          <cell r="AT16">
            <v>0</v>
          </cell>
          <cell r="AU16">
            <v>9.3000000000000007</v>
          </cell>
          <cell r="AV16">
            <v>175742.1</v>
          </cell>
          <cell r="AW16"/>
          <cell r="AX16">
            <v>0</v>
          </cell>
          <cell r="AY16"/>
          <cell r="AZ16">
            <v>0</v>
          </cell>
          <cell r="BA16"/>
          <cell r="BB16">
            <v>0</v>
          </cell>
          <cell r="BC16"/>
          <cell r="BD16">
            <v>0</v>
          </cell>
          <cell r="BE16"/>
          <cell r="BF16">
            <v>0</v>
          </cell>
          <cell r="BG16"/>
          <cell r="BH16">
            <v>0</v>
          </cell>
          <cell r="BI16"/>
          <cell r="BJ16">
            <v>0</v>
          </cell>
          <cell r="BK16"/>
          <cell r="BL16">
            <v>0</v>
          </cell>
          <cell r="BM16"/>
          <cell r="BN16">
            <v>0</v>
          </cell>
          <cell r="BO16">
            <v>9.3000000000000007</v>
          </cell>
          <cell r="BP16">
            <v>175742.1</v>
          </cell>
          <cell r="BQ16"/>
          <cell r="BR16">
            <v>0</v>
          </cell>
          <cell r="BS16"/>
          <cell r="BT16">
            <v>0</v>
          </cell>
          <cell r="BU16"/>
          <cell r="BV16">
            <v>0</v>
          </cell>
          <cell r="BW16"/>
          <cell r="BX16">
            <v>0</v>
          </cell>
          <cell r="BY16"/>
          <cell r="BZ16">
            <v>0</v>
          </cell>
          <cell r="CA16"/>
          <cell r="CB16">
            <v>0</v>
          </cell>
          <cell r="CC16"/>
          <cell r="CD16">
            <v>0</v>
          </cell>
          <cell r="CE16"/>
          <cell r="CF16">
            <v>0</v>
          </cell>
          <cell r="CG16"/>
          <cell r="CH16">
            <v>0</v>
          </cell>
          <cell r="CI16"/>
          <cell r="CJ16">
            <v>0</v>
          </cell>
          <cell r="CK16"/>
          <cell r="CL16">
            <v>0</v>
          </cell>
          <cell r="CM16"/>
          <cell r="CN16">
            <v>0</v>
          </cell>
          <cell r="CO16"/>
          <cell r="CP16">
            <v>0</v>
          </cell>
        </row>
        <row r="17">
          <cell r="A17">
            <v>16</v>
          </cell>
          <cell r="B17" t="str">
            <v>EXCAVACIÓN MANUAL EN MATERIAL COMÚN</v>
          </cell>
          <cell r="C17" t="str">
            <v>M3</v>
          </cell>
          <cell r="D17">
            <v>45.16</v>
          </cell>
          <cell r="E17">
            <v>116450</v>
          </cell>
          <cell r="F17">
            <v>5258882</v>
          </cell>
          <cell r="H17">
            <v>0</v>
          </cell>
          <cell r="I17">
            <v>2.1800000000000002</v>
          </cell>
          <cell r="J17">
            <v>253861.00000000003</v>
          </cell>
          <cell r="K17">
            <v>0.55000000000000004</v>
          </cell>
          <cell r="L17">
            <v>64047.500000000007</v>
          </cell>
          <cell r="M17">
            <v>2.8159999999999998</v>
          </cell>
          <cell r="N17">
            <v>327923.19999999995</v>
          </cell>
          <cell r="O17">
            <v>2.8159999999999998</v>
          </cell>
          <cell r="P17">
            <v>327923.19999999995</v>
          </cell>
          <cell r="Q17">
            <v>1.8559999999999999</v>
          </cell>
          <cell r="R17">
            <v>216131.19999999998</v>
          </cell>
          <cell r="S17">
            <v>1.8559999999999999</v>
          </cell>
          <cell r="T17">
            <v>216131.19999999998</v>
          </cell>
          <cell r="U17">
            <v>1.6127999999999998</v>
          </cell>
          <cell r="V17">
            <v>187810.55999999997</v>
          </cell>
          <cell r="X17">
            <v>0</v>
          </cell>
          <cell r="Y17">
            <v>1.464</v>
          </cell>
          <cell r="Z17">
            <v>170482.8</v>
          </cell>
          <cell r="AA17">
            <v>1.8559999999999999</v>
          </cell>
          <cell r="AB17">
            <v>216131.19999999998</v>
          </cell>
          <cell r="AD17">
            <v>0</v>
          </cell>
          <cell r="AF17">
            <v>0</v>
          </cell>
          <cell r="AH17">
            <v>0</v>
          </cell>
          <cell r="AI17">
            <v>1.8559999999999999</v>
          </cell>
          <cell r="AJ17">
            <v>216131.19999999998</v>
          </cell>
          <cell r="AL17">
            <v>0</v>
          </cell>
          <cell r="AM17">
            <v>1.7387999999999999</v>
          </cell>
          <cell r="AN17">
            <v>202483.25999999998</v>
          </cell>
          <cell r="AO17">
            <v>6.6400000000000006</v>
          </cell>
          <cell r="AP17">
            <v>773228.00000000012</v>
          </cell>
          <cell r="AQ17">
            <v>1.6127999999999998</v>
          </cell>
          <cell r="AR17">
            <v>187810.55999999997</v>
          </cell>
          <cell r="AS17">
            <v>1.8559999999999999</v>
          </cell>
          <cell r="AT17">
            <v>216131.19999999998</v>
          </cell>
          <cell r="AU17">
            <v>1.464</v>
          </cell>
          <cell r="AV17">
            <v>170482.8</v>
          </cell>
          <cell r="AW17"/>
          <cell r="AX17">
            <v>0</v>
          </cell>
          <cell r="AY17">
            <v>1.8559999999999999</v>
          </cell>
          <cell r="AZ17">
            <v>216131.19999999998</v>
          </cell>
          <cell r="BA17">
            <v>0.2</v>
          </cell>
          <cell r="BB17">
            <v>23290</v>
          </cell>
          <cell r="BD17">
            <v>0</v>
          </cell>
          <cell r="BE17">
            <v>1.5539999999999998</v>
          </cell>
          <cell r="BF17">
            <v>180963.3</v>
          </cell>
          <cell r="BH17">
            <v>0</v>
          </cell>
          <cell r="BI17">
            <v>1.8559999999999999</v>
          </cell>
          <cell r="BJ17">
            <v>216131.19999999998</v>
          </cell>
          <cell r="BL17">
            <v>0</v>
          </cell>
          <cell r="BN17">
            <v>0</v>
          </cell>
          <cell r="BO17">
            <v>1.464</v>
          </cell>
          <cell r="BP17">
            <v>170482.8</v>
          </cell>
          <cell r="BQ17">
            <v>0.41250000000000003</v>
          </cell>
          <cell r="BR17">
            <v>48035.625000000007</v>
          </cell>
          <cell r="BS17">
            <v>1.6127999999999998</v>
          </cell>
          <cell r="BT17">
            <v>187810.55999999997</v>
          </cell>
          <cell r="BV17">
            <v>0</v>
          </cell>
          <cell r="BX17">
            <v>0</v>
          </cell>
          <cell r="BZ17">
            <v>0</v>
          </cell>
          <cell r="CA17">
            <v>1.6127999999999998</v>
          </cell>
          <cell r="CB17">
            <v>187810.55999999997</v>
          </cell>
          <cell r="CD17">
            <v>0</v>
          </cell>
          <cell r="CF17">
            <v>0</v>
          </cell>
          <cell r="CH17">
            <v>0</v>
          </cell>
          <cell r="CI17">
            <v>1.6127999999999998</v>
          </cell>
          <cell r="CJ17">
            <v>187810.55999999997</v>
          </cell>
          <cell r="CK17">
            <v>0.80500000000000016</v>
          </cell>
          <cell r="CL17">
            <v>93742.250000000015</v>
          </cell>
          <cell r="CN17">
            <v>0</v>
          </cell>
          <cell r="CP17">
            <v>0</v>
          </cell>
        </row>
        <row r="18">
          <cell r="A18">
            <v>17</v>
          </cell>
          <cell r="B18" t="str">
            <v>EXCAVACIÓN MANUAL EN MATERIAL CONGLOMERADO</v>
          </cell>
          <cell r="C18" t="str">
            <v>M3</v>
          </cell>
          <cell r="D18">
            <v>2.4500000000000002</v>
          </cell>
          <cell r="E18">
            <v>163030</v>
          </cell>
          <cell r="F18">
            <v>399423.5</v>
          </cell>
          <cell r="H18">
            <v>0</v>
          </cell>
          <cell r="J18">
            <v>0</v>
          </cell>
          <cell r="L18">
            <v>0</v>
          </cell>
          <cell r="N18">
            <v>0</v>
          </cell>
          <cell r="P18">
            <v>0</v>
          </cell>
          <cell r="R18">
            <v>0</v>
          </cell>
          <cell r="T18">
            <v>0</v>
          </cell>
          <cell r="V18">
            <v>0</v>
          </cell>
          <cell r="W18">
            <v>0.60000000000000009</v>
          </cell>
          <cell r="X18">
            <v>97818.000000000015</v>
          </cell>
          <cell r="Z18">
            <v>0</v>
          </cell>
          <cell r="AB18">
            <v>0</v>
          </cell>
          <cell r="AD18">
            <v>0</v>
          </cell>
          <cell r="AF18">
            <v>0</v>
          </cell>
          <cell r="AH18">
            <v>0</v>
          </cell>
          <cell r="AJ18">
            <v>0</v>
          </cell>
          <cell r="AL18">
            <v>0</v>
          </cell>
          <cell r="AN18">
            <v>0</v>
          </cell>
          <cell r="AP18">
            <v>0</v>
          </cell>
          <cell r="AR18">
            <v>0</v>
          </cell>
          <cell r="AT18">
            <v>0</v>
          </cell>
          <cell r="AV18">
            <v>0</v>
          </cell>
          <cell r="AW18">
            <v>1.8450000000000002</v>
          </cell>
          <cell r="AX18">
            <v>300790.35000000003</v>
          </cell>
          <cell r="AZ18">
            <v>0</v>
          </cell>
          <cell r="BB18">
            <v>0</v>
          </cell>
          <cell r="BD18">
            <v>0</v>
          </cell>
          <cell r="BF18">
            <v>0</v>
          </cell>
          <cell r="BH18">
            <v>0</v>
          </cell>
          <cell r="BJ18">
            <v>0</v>
          </cell>
          <cell r="BL18">
            <v>0</v>
          </cell>
          <cell r="BN18">
            <v>0</v>
          </cell>
          <cell r="BP18">
            <v>0</v>
          </cell>
          <cell r="BR18">
            <v>0</v>
          </cell>
          <cell r="BT18">
            <v>0</v>
          </cell>
          <cell r="BV18">
            <v>0</v>
          </cell>
          <cell r="BX18">
            <v>0</v>
          </cell>
          <cell r="BZ18">
            <v>0</v>
          </cell>
          <cell r="CB18">
            <v>0</v>
          </cell>
          <cell r="CD18">
            <v>0</v>
          </cell>
          <cell r="CF18">
            <v>0</v>
          </cell>
          <cell r="CH18">
            <v>0</v>
          </cell>
          <cell r="CJ18">
            <v>0</v>
          </cell>
          <cell r="CL18">
            <v>0</v>
          </cell>
          <cell r="CN18">
            <v>0</v>
          </cell>
          <cell r="CP18">
            <v>0</v>
          </cell>
        </row>
        <row r="19">
          <cell r="A19">
            <v>18</v>
          </cell>
          <cell r="B19" t="str">
            <v>SUMINISTRO, EXTENDIDA Y COMPACTACIÓN DE MATERIAL PARA AFIRMADO HASTA UN DIÁMETRO DE 2", (IP ≤ 9%), COMPACTADO AL 95% PROCTOR MODIFICADO</v>
          </cell>
          <cell r="C19" t="str">
            <v>M3</v>
          </cell>
          <cell r="D19">
            <v>43.09</v>
          </cell>
          <cell r="E19">
            <v>179734</v>
          </cell>
          <cell r="F19">
            <v>7744738.0600000005</v>
          </cell>
          <cell r="G19"/>
          <cell r="H19">
            <v>0</v>
          </cell>
          <cell r="I19"/>
          <cell r="J19">
            <v>0</v>
          </cell>
          <cell r="K19"/>
          <cell r="L19">
            <v>0</v>
          </cell>
          <cell r="M19">
            <v>0.93800000000000017</v>
          </cell>
          <cell r="N19">
            <v>168590.49200000003</v>
          </cell>
          <cell r="O19">
            <v>0.93800000000000017</v>
          </cell>
          <cell r="P19">
            <v>168590.49200000003</v>
          </cell>
          <cell r="Q19">
            <v>0.93800000000000017</v>
          </cell>
          <cell r="R19">
            <v>168590.49200000003</v>
          </cell>
          <cell r="S19">
            <v>0.93800000000000017</v>
          </cell>
          <cell r="T19">
            <v>168590.49200000003</v>
          </cell>
          <cell r="U19">
            <v>1.9600000000000002</v>
          </cell>
          <cell r="V19">
            <v>352278.64</v>
          </cell>
          <cell r="W19"/>
          <cell r="X19">
            <v>0</v>
          </cell>
          <cell r="Y19">
            <v>1.7000000000000002</v>
          </cell>
          <cell r="Z19">
            <v>305547.80000000005</v>
          </cell>
          <cell r="AA19">
            <v>0.93800000000000017</v>
          </cell>
          <cell r="AB19">
            <v>168590.49200000003</v>
          </cell>
          <cell r="AC19"/>
          <cell r="AD19">
            <v>0</v>
          </cell>
          <cell r="AE19"/>
          <cell r="AF19">
            <v>0</v>
          </cell>
          <cell r="AG19"/>
          <cell r="AH19">
            <v>0</v>
          </cell>
          <cell r="AI19">
            <v>0.93800000000000017</v>
          </cell>
          <cell r="AJ19">
            <v>168590.49200000003</v>
          </cell>
          <cell r="AK19"/>
          <cell r="AL19">
            <v>0</v>
          </cell>
          <cell r="AM19">
            <v>2.8260000000000005</v>
          </cell>
          <cell r="AN19">
            <v>507928.2840000001</v>
          </cell>
          <cell r="AO19">
            <v>13.5</v>
          </cell>
          <cell r="AP19">
            <v>2426409</v>
          </cell>
          <cell r="AQ19">
            <v>1.9600000000000002</v>
          </cell>
          <cell r="AR19">
            <v>352278.64</v>
          </cell>
          <cell r="AS19">
            <v>1.53</v>
          </cell>
          <cell r="AT19">
            <v>274993.02</v>
          </cell>
          <cell r="AU19">
            <v>1.7000000000000002</v>
          </cell>
          <cell r="AV19">
            <v>305547.80000000005</v>
          </cell>
          <cell r="AW19"/>
          <cell r="AX19">
            <v>0</v>
          </cell>
          <cell r="AY19">
            <v>1.53</v>
          </cell>
          <cell r="AZ19">
            <v>274993.02</v>
          </cell>
          <cell r="BA19"/>
          <cell r="BB19">
            <v>0</v>
          </cell>
          <cell r="BC19"/>
          <cell r="BD19">
            <v>0</v>
          </cell>
          <cell r="BE19">
            <v>1.11375</v>
          </cell>
          <cell r="BF19">
            <v>200178.74249999999</v>
          </cell>
          <cell r="BG19"/>
          <cell r="BH19">
            <v>0</v>
          </cell>
          <cell r="BI19">
            <v>1.53</v>
          </cell>
          <cell r="BJ19">
            <v>274993.02</v>
          </cell>
          <cell r="BK19"/>
          <cell r="BL19">
            <v>0</v>
          </cell>
          <cell r="BM19"/>
          <cell r="BN19">
            <v>0</v>
          </cell>
          <cell r="BO19">
            <v>1.7000000000000002</v>
          </cell>
          <cell r="BP19">
            <v>305547.80000000005</v>
          </cell>
          <cell r="BQ19"/>
          <cell r="BR19">
            <v>0</v>
          </cell>
          <cell r="BS19">
            <v>1.9600000000000002</v>
          </cell>
          <cell r="BT19">
            <v>352278.64</v>
          </cell>
          <cell r="BU19"/>
          <cell r="BV19">
            <v>0</v>
          </cell>
          <cell r="BW19"/>
          <cell r="BX19">
            <v>0</v>
          </cell>
          <cell r="BY19"/>
          <cell r="BZ19">
            <v>0</v>
          </cell>
          <cell r="CA19">
            <v>1.9600000000000002</v>
          </cell>
          <cell r="CB19">
            <v>352278.64</v>
          </cell>
          <cell r="CC19"/>
          <cell r="CD19">
            <v>0</v>
          </cell>
          <cell r="CE19"/>
          <cell r="CF19">
            <v>0</v>
          </cell>
          <cell r="CG19"/>
          <cell r="CH19">
            <v>0</v>
          </cell>
          <cell r="CI19">
            <v>1.9600000000000002</v>
          </cell>
          <cell r="CJ19">
            <v>352278.64</v>
          </cell>
          <cell r="CK19">
            <v>0.53200000000000003</v>
          </cell>
          <cell r="CL19">
            <v>95618.488000000012</v>
          </cell>
          <cell r="CM19"/>
          <cell r="CN19">
            <v>0</v>
          </cell>
          <cell r="CO19"/>
          <cell r="CP19">
            <v>0</v>
          </cell>
        </row>
        <row r="20">
          <cell r="A20">
            <v>19</v>
          </cell>
          <cell r="B20" t="str">
            <v>DESMONTE DE CUBIERTA EN LÁMINA</v>
          </cell>
          <cell r="C20" t="str">
            <v>M2</v>
          </cell>
          <cell r="D20">
            <v>121.33</v>
          </cell>
          <cell r="E20">
            <v>15306</v>
          </cell>
          <cell r="F20">
            <v>1857076.98</v>
          </cell>
          <cell r="G20"/>
          <cell r="H20">
            <v>0</v>
          </cell>
          <cell r="I20"/>
          <cell r="J20">
            <v>0</v>
          </cell>
          <cell r="K20"/>
          <cell r="L20">
            <v>0</v>
          </cell>
          <cell r="M20"/>
          <cell r="N20">
            <v>0</v>
          </cell>
          <cell r="O20"/>
          <cell r="P20">
            <v>0</v>
          </cell>
          <cell r="Q20"/>
          <cell r="R20">
            <v>0</v>
          </cell>
          <cell r="S20"/>
          <cell r="T20">
            <v>0</v>
          </cell>
          <cell r="U20"/>
          <cell r="V20">
            <v>0</v>
          </cell>
          <cell r="W20"/>
          <cell r="X20">
            <v>0</v>
          </cell>
          <cell r="Y20"/>
          <cell r="Z20">
            <v>0</v>
          </cell>
          <cell r="AA20"/>
          <cell r="AB20">
            <v>0</v>
          </cell>
          <cell r="AC20">
            <v>58.93</v>
          </cell>
          <cell r="AD20">
            <v>901982.58</v>
          </cell>
          <cell r="AE20"/>
          <cell r="AF20">
            <v>0</v>
          </cell>
          <cell r="AG20"/>
          <cell r="AH20">
            <v>0</v>
          </cell>
          <cell r="AI20"/>
          <cell r="AJ20">
            <v>0</v>
          </cell>
          <cell r="AK20"/>
          <cell r="AL20">
            <v>0</v>
          </cell>
          <cell r="AM20"/>
          <cell r="AN20">
            <v>0</v>
          </cell>
          <cell r="AO20"/>
          <cell r="AP20">
            <v>0</v>
          </cell>
          <cell r="AQ20"/>
          <cell r="AR20">
            <v>0</v>
          </cell>
          <cell r="AS20"/>
          <cell r="AT20">
            <v>0</v>
          </cell>
          <cell r="AU20"/>
          <cell r="AV20">
            <v>0</v>
          </cell>
          <cell r="AW20"/>
          <cell r="AX20">
            <v>0</v>
          </cell>
          <cell r="AY20"/>
          <cell r="AZ20">
            <v>0</v>
          </cell>
          <cell r="BA20"/>
          <cell r="BB20">
            <v>0</v>
          </cell>
          <cell r="BC20"/>
          <cell r="BD20">
            <v>0</v>
          </cell>
          <cell r="BE20"/>
          <cell r="BF20">
            <v>0</v>
          </cell>
          <cell r="BG20"/>
          <cell r="BH20">
            <v>0</v>
          </cell>
          <cell r="BI20"/>
          <cell r="BJ20">
            <v>0</v>
          </cell>
          <cell r="BK20"/>
          <cell r="BL20">
            <v>0</v>
          </cell>
          <cell r="BM20"/>
          <cell r="BN20">
            <v>0</v>
          </cell>
          <cell r="BO20"/>
          <cell r="BP20">
            <v>0</v>
          </cell>
          <cell r="BQ20"/>
          <cell r="BR20">
            <v>0</v>
          </cell>
          <cell r="BS20"/>
          <cell r="BT20">
            <v>0</v>
          </cell>
          <cell r="BU20"/>
          <cell r="BV20">
            <v>0</v>
          </cell>
          <cell r="BW20"/>
          <cell r="BX20">
            <v>0</v>
          </cell>
          <cell r="BY20"/>
          <cell r="BZ20">
            <v>0</v>
          </cell>
          <cell r="CA20"/>
          <cell r="CB20">
            <v>0</v>
          </cell>
          <cell r="CC20"/>
          <cell r="CD20">
            <v>0</v>
          </cell>
          <cell r="CE20"/>
          <cell r="CF20">
            <v>0</v>
          </cell>
          <cell r="CG20"/>
          <cell r="CH20">
            <v>0</v>
          </cell>
          <cell r="CI20"/>
          <cell r="CJ20">
            <v>0</v>
          </cell>
          <cell r="CK20"/>
          <cell r="CL20">
            <v>0</v>
          </cell>
          <cell r="CM20">
            <v>62.4</v>
          </cell>
          <cell r="CN20">
            <v>955094.4</v>
          </cell>
          <cell r="CO20"/>
          <cell r="CP20">
            <v>0</v>
          </cell>
        </row>
        <row r="21">
          <cell r="A21">
            <v>20</v>
          </cell>
          <cell r="B21"/>
          <cell r="C21"/>
          <cell r="D21"/>
          <cell r="E21"/>
          <cell r="F21"/>
          <cell r="H21">
            <v>0</v>
          </cell>
          <cell r="J21">
            <v>0</v>
          </cell>
          <cell r="L21">
            <v>0</v>
          </cell>
          <cell r="N21">
            <v>0</v>
          </cell>
          <cell r="P21">
            <v>0</v>
          </cell>
          <cell r="R21">
            <v>0</v>
          </cell>
          <cell r="T21">
            <v>0</v>
          </cell>
          <cell r="V21">
            <v>0</v>
          </cell>
          <cell r="X21">
            <v>0</v>
          </cell>
          <cell r="Z21">
            <v>0</v>
          </cell>
          <cell r="AB21">
            <v>0</v>
          </cell>
          <cell r="AD21">
            <v>0</v>
          </cell>
          <cell r="AF21">
            <v>0</v>
          </cell>
          <cell r="AH21">
            <v>0</v>
          </cell>
          <cell r="AJ21">
            <v>0</v>
          </cell>
          <cell r="AL21">
            <v>0</v>
          </cell>
          <cell r="AN21">
            <v>0</v>
          </cell>
          <cell r="AP21">
            <v>0</v>
          </cell>
          <cell r="AR21">
            <v>0</v>
          </cell>
          <cell r="AT21">
            <v>0</v>
          </cell>
          <cell r="AV21">
            <v>0</v>
          </cell>
          <cell r="AW21"/>
          <cell r="AX21">
            <v>0</v>
          </cell>
          <cell r="AZ21">
            <v>0</v>
          </cell>
          <cell r="BB21">
            <v>0</v>
          </cell>
          <cell r="BD21">
            <v>0</v>
          </cell>
          <cell r="BF21">
            <v>0</v>
          </cell>
          <cell r="BH21">
            <v>0</v>
          </cell>
          <cell r="BJ21">
            <v>0</v>
          </cell>
          <cell r="BL21">
            <v>0</v>
          </cell>
          <cell r="BN21">
            <v>0</v>
          </cell>
          <cell r="BP21">
            <v>0</v>
          </cell>
          <cell r="BR21">
            <v>0</v>
          </cell>
          <cell r="BT21">
            <v>0</v>
          </cell>
          <cell r="BV21">
            <v>0</v>
          </cell>
          <cell r="BX21">
            <v>0</v>
          </cell>
          <cell r="BZ21">
            <v>0</v>
          </cell>
          <cell r="CB21">
            <v>0</v>
          </cell>
          <cell r="CD21">
            <v>0</v>
          </cell>
          <cell r="CF21">
            <v>0</v>
          </cell>
          <cell r="CH21">
            <v>0</v>
          </cell>
          <cell r="CJ21">
            <v>0</v>
          </cell>
          <cell r="CL21">
            <v>0</v>
          </cell>
          <cell r="CN21">
            <v>0</v>
          </cell>
          <cell r="CP21">
            <v>0</v>
          </cell>
        </row>
        <row r="22">
          <cell r="A22">
            <v>21</v>
          </cell>
          <cell r="B22"/>
          <cell r="C22"/>
          <cell r="D22"/>
          <cell r="E22"/>
          <cell r="F22"/>
          <cell r="H22">
            <v>0</v>
          </cell>
          <cell r="J22">
            <v>0</v>
          </cell>
          <cell r="L22">
            <v>0</v>
          </cell>
          <cell r="N22">
            <v>0</v>
          </cell>
          <cell r="P22">
            <v>0</v>
          </cell>
          <cell r="R22">
            <v>0</v>
          </cell>
          <cell r="T22">
            <v>0</v>
          </cell>
          <cell r="V22">
            <v>0</v>
          </cell>
          <cell r="X22">
            <v>0</v>
          </cell>
          <cell r="Z22">
            <v>0</v>
          </cell>
          <cell r="AB22">
            <v>0</v>
          </cell>
          <cell r="AD22">
            <v>0</v>
          </cell>
          <cell r="AF22">
            <v>0</v>
          </cell>
          <cell r="AH22">
            <v>0</v>
          </cell>
          <cell r="AJ22">
            <v>0</v>
          </cell>
          <cell r="AL22">
            <v>0</v>
          </cell>
          <cell r="AN22">
            <v>0</v>
          </cell>
          <cell r="AP22">
            <v>0</v>
          </cell>
          <cell r="AR22">
            <v>0</v>
          </cell>
          <cell r="AW22"/>
          <cell r="BP22"/>
          <cell r="BR22"/>
          <cell r="BT22"/>
          <cell r="BV22"/>
          <cell r="BX22"/>
          <cell r="CB22"/>
          <cell r="CF22"/>
          <cell r="CH22"/>
          <cell r="CJ22"/>
          <cell r="CL22"/>
          <cell r="CN22"/>
          <cell r="CP22"/>
        </row>
        <row r="23">
          <cell r="A23">
            <v>22</v>
          </cell>
          <cell r="B23" t="str">
            <v>CIMENTACIONES</v>
          </cell>
          <cell r="C23"/>
          <cell r="D23"/>
          <cell r="E23"/>
          <cell r="F23">
            <v>48296819.989999995</v>
          </cell>
          <cell r="H23">
            <v>0</v>
          </cell>
          <cell r="J23">
            <v>3035895.0959999999</v>
          </cell>
          <cell r="L23">
            <v>453795.85400000005</v>
          </cell>
          <cell r="N23">
            <v>1954826.926</v>
          </cell>
          <cell r="P23">
            <v>1954826.926</v>
          </cell>
          <cell r="R23">
            <v>1954826.926</v>
          </cell>
          <cell r="T23">
            <v>1954826.926</v>
          </cell>
          <cell r="V23">
            <v>2068730.2272000001</v>
          </cell>
          <cell r="X23">
            <v>952868.58899999992</v>
          </cell>
          <cell r="Z23">
            <v>1565603.7959999999</v>
          </cell>
          <cell r="AB23">
            <v>1954826.926</v>
          </cell>
          <cell r="AD23">
            <v>0</v>
          </cell>
          <cell r="AF23">
            <v>0</v>
          </cell>
          <cell r="AH23">
            <v>0</v>
          </cell>
          <cell r="AJ23">
            <v>1954826.926</v>
          </cell>
          <cell r="AL23">
            <v>1365461.058</v>
          </cell>
          <cell r="AN23">
            <v>2125114.6607999997</v>
          </cell>
          <cell r="AP23">
            <v>3606143.4959999998</v>
          </cell>
          <cell r="AR23">
            <v>2186975.2331999997</v>
          </cell>
          <cell r="AT23">
            <v>1954826.926</v>
          </cell>
          <cell r="AV23">
            <v>1325149.1159999999</v>
          </cell>
          <cell r="AW23"/>
          <cell r="AX23">
            <v>902451.40500000003</v>
          </cell>
          <cell r="AZ23">
            <v>1954826.926</v>
          </cell>
          <cell r="BB23">
            <v>568955.43200000003</v>
          </cell>
          <cell r="BD23">
            <v>0</v>
          </cell>
          <cell r="BF23">
            <v>1424442.798</v>
          </cell>
          <cell r="BH23">
            <v>0</v>
          </cell>
          <cell r="BJ23">
            <v>2476197.0700000003</v>
          </cell>
          <cell r="BL23">
            <v>0</v>
          </cell>
          <cell r="BN23">
            <v>0</v>
          </cell>
          <cell r="BP23">
            <v>1877865.236</v>
          </cell>
          <cell r="BR23">
            <v>118787.19600000001</v>
          </cell>
          <cell r="BT23">
            <v>2068730.2272000001</v>
          </cell>
          <cell r="BV23">
            <v>0</v>
          </cell>
          <cell r="BX23">
            <v>0</v>
          </cell>
          <cell r="BZ23">
            <v>0</v>
          </cell>
          <cell r="CB23">
            <v>1459836.4031999998</v>
          </cell>
          <cell r="CD23">
            <v>0</v>
          </cell>
          <cell r="CF23">
            <v>0</v>
          </cell>
          <cell r="CH23">
            <v>0</v>
          </cell>
          <cell r="CJ23">
            <v>2068730.2272000001</v>
          </cell>
          <cell r="CL23">
            <v>1029953.7679999999</v>
          </cell>
          <cell r="CN23">
            <v>0</v>
          </cell>
          <cell r="CP23">
            <v>0</v>
          </cell>
        </row>
        <row r="24">
          <cell r="A24">
            <v>23</v>
          </cell>
          <cell r="B24" t="str">
            <v>SOLADO CONCRETO f'c = 2000 psi (14 MPa), ESPESOR 0.05 M</v>
          </cell>
          <cell r="C24" t="str">
            <v>M2</v>
          </cell>
          <cell r="D24">
            <v>17.399999999999999</v>
          </cell>
          <cell r="E24">
            <v>65698</v>
          </cell>
          <cell r="F24">
            <v>1143145.2</v>
          </cell>
          <cell r="H24">
            <v>0</v>
          </cell>
          <cell r="J24">
            <v>0</v>
          </cell>
          <cell r="K24">
            <v>1</v>
          </cell>
          <cell r="L24">
            <v>65698</v>
          </cell>
          <cell r="N24">
            <v>0</v>
          </cell>
          <cell r="P24">
            <v>0</v>
          </cell>
          <cell r="R24">
            <v>0</v>
          </cell>
          <cell r="T24">
            <v>0</v>
          </cell>
          <cell r="V24">
            <v>0</v>
          </cell>
          <cell r="X24">
            <v>0</v>
          </cell>
          <cell r="Y24">
            <v>3.6599999999999997</v>
          </cell>
          <cell r="Z24">
            <v>240454.68</v>
          </cell>
          <cell r="AB24">
            <v>0</v>
          </cell>
          <cell r="AD24">
            <v>0</v>
          </cell>
          <cell r="AF24">
            <v>0</v>
          </cell>
          <cell r="AH24">
            <v>0</v>
          </cell>
          <cell r="AJ24">
            <v>0</v>
          </cell>
          <cell r="AK24">
            <v>1.5</v>
          </cell>
          <cell r="AL24">
            <v>98547</v>
          </cell>
          <cell r="AM24">
            <v>4.9679999999999991</v>
          </cell>
          <cell r="AN24">
            <v>326387.66399999993</v>
          </cell>
          <cell r="AO24"/>
          <cell r="AP24">
            <v>0</v>
          </cell>
          <cell r="AR24">
            <v>0</v>
          </cell>
          <cell r="AT24">
            <v>0</v>
          </cell>
          <cell r="AV24">
            <v>0</v>
          </cell>
          <cell r="AW24">
            <v>2.1924999999999999</v>
          </cell>
          <cell r="AX24">
            <v>144042.86499999999</v>
          </cell>
          <cell r="AZ24">
            <v>0</v>
          </cell>
          <cell r="BB24">
            <v>0</v>
          </cell>
          <cell r="BD24">
            <v>0</v>
          </cell>
          <cell r="BE24">
            <v>3.3299999999999996</v>
          </cell>
          <cell r="BF24">
            <v>218774.33999999997</v>
          </cell>
          <cell r="BH24">
            <v>0</v>
          </cell>
          <cell r="BJ24">
            <v>0</v>
          </cell>
          <cell r="BL24">
            <v>0</v>
          </cell>
          <cell r="BN24">
            <v>0</v>
          </cell>
          <cell r="BP24">
            <v>0</v>
          </cell>
          <cell r="BQ24">
            <v>0.75</v>
          </cell>
          <cell r="BR24">
            <v>49273.5</v>
          </cell>
          <cell r="BT24">
            <v>0</v>
          </cell>
          <cell r="BV24">
            <v>0</v>
          </cell>
          <cell r="BX24">
            <v>0</v>
          </cell>
          <cell r="BZ24">
            <v>0</v>
          </cell>
          <cell r="CB24">
            <v>0</v>
          </cell>
          <cell r="CD24">
            <v>0</v>
          </cell>
          <cell r="CF24">
            <v>0</v>
          </cell>
          <cell r="CH24">
            <v>0</v>
          </cell>
          <cell r="CJ24">
            <v>0</v>
          </cell>
          <cell r="CL24">
            <v>0</v>
          </cell>
          <cell r="CN24">
            <v>0</v>
          </cell>
          <cell r="CP24">
            <v>0</v>
          </cell>
        </row>
        <row r="25">
          <cell r="A25">
            <v>24</v>
          </cell>
          <cell r="B25" t="str">
            <v>ZAPATA CUADRADA EN CONCRETO f'c = 3000 PSI (21MPa), Dimensiones 0,9x0,9x0,25 m</v>
          </cell>
          <cell r="C25" t="str">
            <v>M3</v>
          </cell>
          <cell r="D25">
            <v>1.0900000000000001</v>
          </cell>
          <cell r="E25">
            <v>1763453</v>
          </cell>
          <cell r="F25">
            <v>1922163.7700000003</v>
          </cell>
          <cell r="H25">
            <v>0</v>
          </cell>
          <cell r="I25"/>
          <cell r="J25">
            <v>0</v>
          </cell>
          <cell r="K25">
            <v>0.15</v>
          </cell>
          <cell r="L25">
            <v>264517.95</v>
          </cell>
          <cell r="N25">
            <v>0</v>
          </cell>
          <cell r="P25">
            <v>0</v>
          </cell>
          <cell r="R25">
            <v>0</v>
          </cell>
          <cell r="T25">
            <v>0</v>
          </cell>
          <cell r="V25">
            <v>0</v>
          </cell>
          <cell r="W25">
            <v>0.30000000000000004</v>
          </cell>
          <cell r="X25">
            <v>529035.9</v>
          </cell>
          <cell r="Z25">
            <v>0</v>
          </cell>
          <cell r="AB25">
            <v>0</v>
          </cell>
          <cell r="AD25">
            <v>0</v>
          </cell>
          <cell r="AF25">
            <v>0</v>
          </cell>
          <cell r="AH25">
            <v>0</v>
          </cell>
          <cell r="AJ25">
            <v>0</v>
          </cell>
          <cell r="AK25">
            <v>0.30000000000000004</v>
          </cell>
          <cell r="AL25">
            <v>529035.9</v>
          </cell>
          <cell r="AN25">
            <v>0</v>
          </cell>
          <cell r="AP25">
            <v>0</v>
          </cell>
          <cell r="AR25">
            <v>0</v>
          </cell>
          <cell r="AT25">
            <v>0</v>
          </cell>
          <cell r="AV25">
            <v>0</v>
          </cell>
          <cell r="AW25">
            <v>0.14399999999999999</v>
          </cell>
          <cell r="AX25">
            <v>253937.23199999999</v>
          </cell>
          <cell r="AZ25">
            <v>0</v>
          </cell>
          <cell r="BA25">
            <v>0.2</v>
          </cell>
          <cell r="BB25">
            <v>352690.60000000003</v>
          </cell>
          <cell r="BD25">
            <v>0</v>
          </cell>
          <cell r="BF25">
            <v>0</v>
          </cell>
          <cell r="BH25">
            <v>0</v>
          </cell>
          <cell r="BJ25">
            <v>0</v>
          </cell>
          <cell r="BL25">
            <v>0</v>
          </cell>
          <cell r="BN25">
            <v>0</v>
          </cell>
          <cell r="BP25">
            <v>0</v>
          </cell>
          <cell r="BR25">
            <v>0</v>
          </cell>
          <cell r="BT25">
            <v>0</v>
          </cell>
          <cell r="BV25">
            <v>0</v>
          </cell>
          <cell r="BX25">
            <v>0</v>
          </cell>
          <cell r="BZ25">
            <v>0</v>
          </cell>
          <cell r="CB25">
            <v>0</v>
          </cell>
          <cell r="CD25">
            <v>0</v>
          </cell>
          <cell r="CF25">
            <v>0</v>
          </cell>
          <cell r="CH25">
            <v>0</v>
          </cell>
          <cell r="CJ25">
            <v>0</v>
          </cell>
          <cell r="CL25">
            <v>0</v>
          </cell>
          <cell r="CN25">
            <v>0</v>
          </cell>
          <cell r="CP25">
            <v>0</v>
          </cell>
        </row>
        <row r="26">
          <cell r="A26">
            <v>25</v>
          </cell>
          <cell r="B26" t="str">
            <v>PEDESTAL EN CONCRETO f'c = 3000 PSI (21MPa), Dimensiones 0,25x0,25x0,50 m</v>
          </cell>
          <cell r="C26" t="str">
            <v>M3</v>
          </cell>
          <cell r="D26">
            <v>0.48</v>
          </cell>
          <cell r="E26">
            <v>1930936</v>
          </cell>
          <cell r="F26">
            <v>926849.27999999991</v>
          </cell>
          <cell r="G26"/>
          <cell r="H26">
            <v>0</v>
          </cell>
          <cell r="I26">
            <v>6.4000000000000001E-2</v>
          </cell>
          <cell r="J26">
            <v>123579.90400000001</v>
          </cell>
          <cell r="K26">
            <v>6.4000000000000015E-2</v>
          </cell>
          <cell r="L26">
            <v>123579.90400000002</v>
          </cell>
          <cell r="M26"/>
          <cell r="N26">
            <v>0</v>
          </cell>
          <cell r="O26"/>
          <cell r="P26">
            <v>0</v>
          </cell>
          <cell r="Q26"/>
          <cell r="R26">
            <v>0</v>
          </cell>
          <cell r="S26"/>
          <cell r="T26">
            <v>0</v>
          </cell>
          <cell r="U26"/>
          <cell r="V26">
            <v>0</v>
          </cell>
          <cell r="W26">
            <v>8.3999999999999991E-2</v>
          </cell>
          <cell r="X26">
            <v>162198.62399999998</v>
          </cell>
          <cell r="Y26"/>
          <cell r="Z26">
            <v>0</v>
          </cell>
          <cell r="AA26"/>
          <cell r="AB26">
            <v>0</v>
          </cell>
          <cell r="AC26"/>
          <cell r="AD26">
            <v>0</v>
          </cell>
          <cell r="AE26"/>
          <cell r="AF26">
            <v>0</v>
          </cell>
          <cell r="AG26"/>
          <cell r="AH26">
            <v>0</v>
          </cell>
          <cell r="AI26"/>
          <cell r="AJ26">
            <v>0</v>
          </cell>
          <cell r="AK26">
            <v>8.3999999999999991E-2</v>
          </cell>
          <cell r="AL26">
            <v>162198.62399999998</v>
          </cell>
          <cell r="AM26"/>
          <cell r="AN26">
            <v>0</v>
          </cell>
          <cell r="AO26"/>
          <cell r="AP26">
            <v>0</v>
          </cell>
          <cell r="AQ26"/>
          <cell r="AR26">
            <v>0</v>
          </cell>
          <cell r="AS26"/>
          <cell r="AT26">
            <v>0</v>
          </cell>
          <cell r="AU26"/>
          <cell r="AV26">
            <v>0</v>
          </cell>
          <cell r="AW26">
            <v>4.0000000000000008E-2</v>
          </cell>
          <cell r="AX26">
            <v>77237.440000000017</v>
          </cell>
          <cell r="AY26"/>
          <cell r="AZ26">
            <v>0</v>
          </cell>
          <cell r="BA26">
            <v>0.11200000000000002</v>
          </cell>
          <cell r="BB26">
            <v>216264.83200000002</v>
          </cell>
          <cell r="BC26"/>
          <cell r="BD26">
            <v>0</v>
          </cell>
          <cell r="BE26"/>
          <cell r="BF26">
            <v>0</v>
          </cell>
          <cell r="BG26"/>
          <cell r="BH26">
            <v>0</v>
          </cell>
          <cell r="BI26"/>
          <cell r="BJ26">
            <v>0</v>
          </cell>
          <cell r="BK26"/>
          <cell r="BL26">
            <v>0</v>
          </cell>
          <cell r="BM26"/>
          <cell r="BN26">
            <v>0</v>
          </cell>
          <cell r="BO26"/>
          <cell r="BP26">
            <v>0</v>
          </cell>
          <cell r="BQ26">
            <v>3.6000000000000004E-2</v>
          </cell>
          <cell r="BR26">
            <v>69513.696000000011</v>
          </cell>
          <cell r="BS26"/>
          <cell r="BT26">
            <v>0</v>
          </cell>
          <cell r="BU26"/>
          <cell r="BV26">
            <v>0</v>
          </cell>
          <cell r="BW26"/>
          <cell r="BX26">
            <v>0</v>
          </cell>
          <cell r="BY26"/>
          <cell r="BZ26">
            <v>0</v>
          </cell>
          <cell r="CA26"/>
          <cell r="CB26">
            <v>0</v>
          </cell>
          <cell r="CC26"/>
          <cell r="CD26">
            <v>0</v>
          </cell>
          <cell r="CE26"/>
          <cell r="CF26">
            <v>0</v>
          </cell>
          <cell r="CG26"/>
          <cell r="CH26">
            <v>0</v>
          </cell>
          <cell r="CI26"/>
          <cell r="CJ26">
            <v>0</v>
          </cell>
          <cell r="CK26"/>
          <cell r="CL26">
            <v>0</v>
          </cell>
          <cell r="CM26"/>
          <cell r="CN26">
            <v>0</v>
          </cell>
          <cell r="CO26"/>
          <cell r="CP26">
            <v>0</v>
          </cell>
        </row>
        <row r="27">
          <cell r="A27">
            <v>26</v>
          </cell>
          <cell r="B27" t="str">
            <v xml:space="preserve">VIGA DE CIMENTACIÓN EN CONCRETO f'c = 3000 PSI (21MPa), Sección 0,20x0,30 m </v>
          </cell>
          <cell r="C27" t="str">
            <v>M3</v>
          </cell>
          <cell r="D27">
            <v>18.68</v>
          </cell>
          <cell r="E27">
            <v>1810313</v>
          </cell>
          <cell r="F27">
            <v>33816646.839999996</v>
          </cell>
          <cell r="H27">
            <v>0</v>
          </cell>
          <cell r="I27">
            <v>0.65400000000000003</v>
          </cell>
          <cell r="J27">
            <v>1183944.702</v>
          </cell>
          <cell r="L27">
            <v>0</v>
          </cell>
          <cell r="M27">
            <v>0.7619999999999999</v>
          </cell>
          <cell r="N27">
            <v>1379458.5059999998</v>
          </cell>
          <cell r="O27">
            <v>0.7619999999999999</v>
          </cell>
          <cell r="P27">
            <v>1379458.5059999998</v>
          </cell>
          <cell r="Q27">
            <v>0.7619999999999999</v>
          </cell>
          <cell r="R27">
            <v>1379458.5059999998</v>
          </cell>
          <cell r="S27">
            <v>0.7619999999999999</v>
          </cell>
          <cell r="T27">
            <v>1379458.5059999998</v>
          </cell>
          <cell r="U27">
            <v>0.80639999999999989</v>
          </cell>
          <cell r="V27">
            <v>1459836.4031999998</v>
          </cell>
          <cell r="X27">
            <v>0</v>
          </cell>
          <cell r="Y27">
            <v>0.73199999999999998</v>
          </cell>
          <cell r="Z27">
            <v>1325149.1159999999</v>
          </cell>
          <cell r="AA27">
            <v>0.7619999999999999</v>
          </cell>
          <cell r="AB27">
            <v>1379458.5059999998</v>
          </cell>
          <cell r="AD27">
            <v>0</v>
          </cell>
          <cell r="AF27">
            <v>0</v>
          </cell>
          <cell r="AH27">
            <v>0</v>
          </cell>
          <cell r="AI27">
            <v>0.7619999999999999</v>
          </cell>
          <cell r="AJ27">
            <v>1379458.5059999998</v>
          </cell>
          <cell r="AK27">
            <v>0.318</v>
          </cell>
          <cell r="AL27">
            <v>575679.53399999999</v>
          </cell>
          <cell r="AM27">
            <v>0.99359999999999993</v>
          </cell>
          <cell r="AN27">
            <v>1798726.9967999998</v>
          </cell>
          <cell r="AO27">
            <v>1.992</v>
          </cell>
          <cell r="AP27">
            <v>3606143.4959999998</v>
          </cell>
          <cell r="AQ27">
            <v>0.80639999999999989</v>
          </cell>
          <cell r="AR27">
            <v>1459836.4031999998</v>
          </cell>
          <cell r="AS27">
            <v>0.7619999999999999</v>
          </cell>
          <cell r="AT27">
            <v>1379458.5059999998</v>
          </cell>
          <cell r="AU27">
            <v>0.73199999999999998</v>
          </cell>
          <cell r="AV27">
            <v>1325149.1159999999</v>
          </cell>
          <cell r="AW27">
            <v>0.23600000000000004</v>
          </cell>
          <cell r="AX27">
            <v>427233.86800000007</v>
          </cell>
          <cell r="AY27">
            <v>0.7619999999999999</v>
          </cell>
          <cell r="AZ27">
            <v>1379458.5059999998</v>
          </cell>
          <cell r="BB27">
            <v>0</v>
          </cell>
          <cell r="BD27">
            <v>0</v>
          </cell>
          <cell r="BE27">
            <v>0.66599999999999993</v>
          </cell>
          <cell r="BF27">
            <v>1205668.4579999999</v>
          </cell>
          <cell r="BH27">
            <v>0</v>
          </cell>
          <cell r="BI27">
            <v>1.05</v>
          </cell>
          <cell r="BJ27">
            <v>1900828.6500000001</v>
          </cell>
          <cell r="BL27">
            <v>0</v>
          </cell>
          <cell r="BN27">
            <v>0</v>
          </cell>
          <cell r="BO27">
            <v>0.73199999999999998</v>
          </cell>
          <cell r="BP27">
            <v>1325149.1159999999</v>
          </cell>
          <cell r="BR27">
            <v>0</v>
          </cell>
          <cell r="BS27">
            <v>0.80639999999999989</v>
          </cell>
          <cell r="BT27">
            <v>1459836.4031999998</v>
          </cell>
          <cell r="BV27">
            <v>0</v>
          </cell>
          <cell r="BX27">
            <v>0</v>
          </cell>
          <cell r="BZ27">
            <v>0</v>
          </cell>
          <cell r="CA27">
            <v>0.80639999999999989</v>
          </cell>
          <cell r="CB27">
            <v>1459836.4031999998</v>
          </cell>
          <cell r="CD27">
            <v>0</v>
          </cell>
          <cell r="CF27">
            <v>0</v>
          </cell>
          <cell r="CH27">
            <v>0</v>
          </cell>
          <cell r="CI27">
            <v>0.80639999999999989</v>
          </cell>
          <cell r="CJ27">
            <v>1459836.4031999998</v>
          </cell>
          <cell r="CK27">
            <v>0.44849999999999995</v>
          </cell>
          <cell r="CL27">
            <v>811925.38049999997</v>
          </cell>
          <cell r="CN27">
            <v>0</v>
          </cell>
          <cell r="CP27">
            <v>0</v>
          </cell>
        </row>
        <row r="28">
          <cell r="A28">
            <v>27</v>
          </cell>
          <cell r="B28" t="str">
            <v>SUMINISTRO E INSTALACIÓN DE CONCRETO CICLÓPEO 21 MPA (60C/40P) PARA BASES DE ESTRUCTURAS DE DRENAJE Y CONTENCIÓN</v>
          </cell>
          <cell r="C28" t="str">
            <v>M3</v>
          </cell>
          <cell r="D28">
            <v>9.26</v>
          </cell>
          <cell r="E28">
            <v>1132615</v>
          </cell>
          <cell r="F28">
            <v>10488014.9</v>
          </cell>
          <cell r="H28">
            <v>0</v>
          </cell>
          <cell r="I28">
            <v>1.5259999999999998</v>
          </cell>
          <cell r="J28">
            <v>1728370.4899999998</v>
          </cell>
          <cell r="L28">
            <v>0</v>
          </cell>
          <cell r="M28">
            <v>0.50800000000000012</v>
          </cell>
          <cell r="N28">
            <v>575368.42000000016</v>
          </cell>
          <cell r="O28">
            <v>0.50800000000000012</v>
          </cell>
          <cell r="P28">
            <v>575368.42000000016</v>
          </cell>
          <cell r="Q28">
            <v>0.50800000000000012</v>
          </cell>
          <cell r="R28">
            <v>575368.42000000016</v>
          </cell>
          <cell r="S28">
            <v>0.50800000000000012</v>
          </cell>
          <cell r="T28">
            <v>575368.42000000016</v>
          </cell>
          <cell r="U28">
            <v>0.53760000000000008</v>
          </cell>
          <cell r="V28">
            <v>608893.82400000014</v>
          </cell>
          <cell r="W28">
            <v>0.23099999999999998</v>
          </cell>
          <cell r="X28">
            <v>261634.06499999997</v>
          </cell>
          <cell r="Z28">
            <v>0</v>
          </cell>
          <cell r="AA28">
            <v>0.50800000000000012</v>
          </cell>
          <cell r="AB28">
            <v>575368.42000000016</v>
          </cell>
          <cell r="AD28">
            <v>0</v>
          </cell>
          <cell r="AF28">
            <v>0</v>
          </cell>
          <cell r="AH28">
            <v>0</v>
          </cell>
          <cell r="AI28">
            <v>0.50800000000000012</v>
          </cell>
          <cell r="AJ28">
            <v>575368.42000000016</v>
          </cell>
          <cell r="AL28">
            <v>0</v>
          </cell>
          <cell r="AN28">
            <v>0</v>
          </cell>
          <cell r="AP28">
            <v>0</v>
          </cell>
          <cell r="AQ28">
            <v>0.6419999999999999</v>
          </cell>
          <cell r="AR28">
            <v>727138.82999999984</v>
          </cell>
          <cell r="AS28">
            <v>0.50800000000000012</v>
          </cell>
          <cell r="AT28">
            <v>575368.42000000016</v>
          </cell>
          <cell r="AV28">
            <v>0</v>
          </cell>
          <cell r="AW28"/>
          <cell r="AX28">
            <v>0</v>
          </cell>
          <cell r="AY28">
            <v>0.50800000000000012</v>
          </cell>
          <cell r="AZ28">
            <v>575368.42000000016</v>
          </cell>
          <cell r="BB28">
            <v>0</v>
          </cell>
          <cell r="BD28">
            <v>0</v>
          </cell>
          <cell r="BF28">
            <v>0</v>
          </cell>
          <cell r="BH28">
            <v>0</v>
          </cell>
          <cell r="BI28">
            <v>0.50800000000000012</v>
          </cell>
          <cell r="BJ28">
            <v>575368.42000000016</v>
          </cell>
          <cell r="BL28">
            <v>0</v>
          </cell>
          <cell r="BN28">
            <v>0</v>
          </cell>
          <cell r="BO28">
            <v>0.48799999999999999</v>
          </cell>
          <cell r="BP28">
            <v>552716.12</v>
          </cell>
          <cell r="BR28">
            <v>0</v>
          </cell>
          <cell r="BS28">
            <v>0.53760000000000008</v>
          </cell>
          <cell r="BT28">
            <v>608893.82400000014</v>
          </cell>
          <cell r="BV28">
            <v>0</v>
          </cell>
          <cell r="BX28">
            <v>0</v>
          </cell>
          <cell r="BZ28">
            <v>0</v>
          </cell>
          <cell r="CB28">
            <v>0</v>
          </cell>
          <cell r="CD28">
            <v>0</v>
          </cell>
          <cell r="CF28">
            <v>0</v>
          </cell>
          <cell r="CH28">
            <v>0</v>
          </cell>
          <cell r="CI28">
            <v>0.53760000000000008</v>
          </cell>
          <cell r="CJ28">
            <v>608893.82400000014</v>
          </cell>
          <cell r="CK28">
            <v>0.1925</v>
          </cell>
          <cell r="CL28">
            <v>218028.38750000001</v>
          </cell>
          <cell r="CN28">
            <v>0</v>
          </cell>
          <cell r="CP28">
            <v>0</v>
          </cell>
        </row>
        <row r="29">
          <cell r="A29">
            <v>28</v>
          </cell>
          <cell r="B29" t="str">
            <v>ESTRUCTURAS EN CONCRETO</v>
          </cell>
          <cell r="C29"/>
          <cell r="D29"/>
          <cell r="E29"/>
          <cell r="F29">
            <v>174352220.04000002</v>
          </cell>
          <cell r="H29">
            <v>0</v>
          </cell>
          <cell r="J29">
            <v>6039998.3183353851</v>
          </cell>
          <cell r="L29">
            <v>2024762.2546153846</v>
          </cell>
          <cell r="N29">
            <v>5829048.1262461543</v>
          </cell>
          <cell r="P29">
            <v>5267096.7987384619</v>
          </cell>
          <cell r="R29">
            <v>5267096.7987384619</v>
          </cell>
          <cell r="T29">
            <v>5829048.1262461543</v>
          </cell>
          <cell r="V29">
            <v>5865197.2314830776</v>
          </cell>
          <cell r="X29">
            <v>3970377.7632000009</v>
          </cell>
          <cell r="Z29">
            <v>7247853.8847975396</v>
          </cell>
          <cell r="AB29">
            <v>5829048.1262461543</v>
          </cell>
          <cell r="AD29">
            <v>0</v>
          </cell>
          <cell r="AF29">
            <v>0</v>
          </cell>
          <cell r="AH29">
            <v>0</v>
          </cell>
          <cell r="AJ29">
            <v>5829048.1262461543</v>
          </cell>
          <cell r="AL29">
            <v>6005490.0194246154</v>
          </cell>
          <cell r="AN29">
            <v>8508516.3598707691</v>
          </cell>
          <cell r="AP29">
            <v>14381429.225446155</v>
          </cell>
          <cell r="AR29">
            <v>6109211.8211815376</v>
          </cell>
          <cell r="AT29">
            <v>5829048.1262461543</v>
          </cell>
          <cell r="AV29">
            <v>7247853.8847975396</v>
          </cell>
          <cell r="AW29"/>
          <cell r="AX29">
            <v>2111347.9556</v>
          </cell>
          <cell r="AZ29">
            <v>5829048.1262461543</v>
          </cell>
          <cell r="BB29">
            <v>2738805.0078153848</v>
          </cell>
          <cell r="BD29">
            <v>4142141.9340000004</v>
          </cell>
          <cell r="BF29">
            <v>7322895.6274769232</v>
          </cell>
          <cell r="BH29">
            <v>0</v>
          </cell>
          <cell r="BJ29">
            <v>5829048.1262461543</v>
          </cell>
          <cell r="BL29">
            <v>0</v>
          </cell>
          <cell r="BN29">
            <v>0</v>
          </cell>
          <cell r="BP29">
            <v>7247853.8847975396</v>
          </cell>
          <cell r="BR29">
            <v>2270772.3850153848</v>
          </cell>
          <cell r="BT29">
            <v>5865197.2314830776</v>
          </cell>
          <cell r="BV29">
            <v>5817935.7953846157</v>
          </cell>
          <cell r="BX29">
            <v>0</v>
          </cell>
          <cell r="BZ29">
            <v>0</v>
          </cell>
          <cell r="CB29">
            <v>5934787.499729231</v>
          </cell>
          <cell r="CD29">
            <v>0</v>
          </cell>
          <cell r="CF29">
            <v>936310.62</v>
          </cell>
          <cell r="CH29">
            <v>0</v>
          </cell>
          <cell r="CJ29">
            <v>7590505.8814830771</v>
          </cell>
          <cell r="CL29">
            <v>3658736.4750846159</v>
          </cell>
          <cell r="CN29">
            <v>0</v>
          </cell>
          <cell r="CP29">
            <v>0</v>
          </cell>
        </row>
        <row r="30">
          <cell r="A30">
            <v>29</v>
          </cell>
          <cell r="B30" t="str">
            <v>COLUMNA EN CONCRETO f'c = 3000 PSI (21MPa), Dimensiones 0,12x0,20 m</v>
          </cell>
          <cell r="C30" t="str">
            <v>M3</v>
          </cell>
          <cell r="D30">
            <v>5.48</v>
          </cell>
          <cell r="E30">
            <v>2184805</v>
          </cell>
          <cell r="F30">
            <v>11972731.4</v>
          </cell>
          <cell r="H30">
            <v>0</v>
          </cell>
          <cell r="I30">
            <v>5.16E-2</v>
          </cell>
          <cell r="J30">
            <v>112735.93799999999</v>
          </cell>
          <cell r="L30">
            <v>0</v>
          </cell>
          <cell r="M30">
            <v>0.27936</v>
          </cell>
          <cell r="N30">
            <v>610347.12479999999</v>
          </cell>
          <cell r="O30">
            <v>0.27936</v>
          </cell>
          <cell r="P30">
            <v>610347.12479999999</v>
          </cell>
          <cell r="Q30">
            <v>0.27936</v>
          </cell>
          <cell r="R30">
            <v>610347.12479999999</v>
          </cell>
          <cell r="S30">
            <v>0.27936</v>
          </cell>
          <cell r="T30">
            <v>610347.12479999999</v>
          </cell>
          <cell r="U30">
            <v>0.22800000000000001</v>
          </cell>
          <cell r="V30">
            <v>498135.54000000004</v>
          </cell>
          <cell r="X30">
            <v>0</v>
          </cell>
          <cell r="Y30">
            <v>5.2800000000000007E-2</v>
          </cell>
          <cell r="Z30">
            <v>115357.70400000001</v>
          </cell>
          <cell r="AA30">
            <v>0.27936</v>
          </cell>
          <cell r="AB30">
            <v>610347.12479999999</v>
          </cell>
          <cell r="AD30">
            <v>0</v>
          </cell>
          <cell r="AF30">
            <v>0</v>
          </cell>
          <cell r="AH30">
            <v>0</v>
          </cell>
          <cell r="AI30">
            <v>0.27936</v>
          </cell>
          <cell r="AJ30">
            <v>610347.12479999999</v>
          </cell>
          <cell r="AL30">
            <v>0</v>
          </cell>
          <cell r="AM30">
            <v>0.42096000000000006</v>
          </cell>
          <cell r="AN30">
            <v>919715.51280000014</v>
          </cell>
          <cell r="AP30">
            <v>0</v>
          </cell>
          <cell r="AQ30">
            <v>0.26735999999999999</v>
          </cell>
          <cell r="AR30">
            <v>584129.46479999996</v>
          </cell>
          <cell r="AS30">
            <v>0.27936</v>
          </cell>
          <cell r="AT30">
            <v>610347.12479999999</v>
          </cell>
          <cell r="AU30">
            <v>5.2800000000000007E-2</v>
          </cell>
          <cell r="AV30">
            <v>115357.70400000001</v>
          </cell>
          <cell r="AW30"/>
          <cell r="AX30">
            <v>0</v>
          </cell>
          <cell r="AY30">
            <v>0.27936</v>
          </cell>
          <cell r="AZ30">
            <v>610347.12479999999</v>
          </cell>
          <cell r="BB30">
            <v>0</v>
          </cell>
          <cell r="BC30">
            <v>1.6799999999999999E-2</v>
          </cell>
          <cell r="BD30">
            <v>36704.723999999995</v>
          </cell>
          <cell r="BE30">
            <v>0.26544000000000001</v>
          </cell>
          <cell r="BF30">
            <v>579934.63919999998</v>
          </cell>
          <cell r="BH30">
            <v>0</v>
          </cell>
          <cell r="BI30">
            <v>0.27936</v>
          </cell>
          <cell r="BJ30">
            <v>610347.12479999999</v>
          </cell>
          <cell r="BL30">
            <v>0</v>
          </cell>
          <cell r="BN30">
            <v>0</v>
          </cell>
          <cell r="BO30">
            <v>5.2800000000000007E-2</v>
          </cell>
          <cell r="BP30">
            <v>115357.70400000001</v>
          </cell>
          <cell r="BR30">
            <v>0</v>
          </cell>
          <cell r="BS30">
            <v>0.22800000000000001</v>
          </cell>
          <cell r="BT30">
            <v>498135.54000000004</v>
          </cell>
          <cell r="BU30">
            <v>0.61440000000000006</v>
          </cell>
          <cell r="BV30">
            <v>1342344.192</v>
          </cell>
          <cell r="BX30">
            <v>0</v>
          </cell>
          <cell r="BZ30">
            <v>0</v>
          </cell>
          <cell r="CA30">
            <v>0.25536000000000003</v>
          </cell>
          <cell r="CB30">
            <v>557911.80480000004</v>
          </cell>
          <cell r="CD30">
            <v>0</v>
          </cell>
          <cell r="CF30">
            <v>0</v>
          </cell>
          <cell r="CH30">
            <v>0</v>
          </cell>
          <cell r="CI30">
            <v>0.22800000000000001</v>
          </cell>
          <cell r="CJ30">
            <v>498135.54000000004</v>
          </cell>
          <cell r="CK30">
            <v>0.23520000000000002</v>
          </cell>
          <cell r="CL30">
            <v>513866.13600000006</v>
          </cell>
          <cell r="CN30">
            <v>0</v>
          </cell>
          <cell r="CP30">
            <v>0</v>
          </cell>
        </row>
        <row r="31">
          <cell r="A31">
            <v>30</v>
          </cell>
          <cell r="B31" t="str">
            <v>COLUMNA EN CONCRETO f'c = 3000 PSI (21MPa), Dimensiones 0,15x0,20 m</v>
          </cell>
          <cell r="C31" t="str">
            <v>M3</v>
          </cell>
          <cell r="D31">
            <v>2.56</v>
          </cell>
          <cell r="E31">
            <v>2111861</v>
          </cell>
          <cell r="F31">
            <v>5406364.1600000001</v>
          </cell>
          <cell r="H31">
            <v>0</v>
          </cell>
          <cell r="I31">
            <v>0.30899999999999994</v>
          </cell>
          <cell r="J31">
            <v>652565.04899999988</v>
          </cell>
          <cell r="L31">
            <v>0</v>
          </cell>
          <cell r="N31">
            <v>0</v>
          </cell>
          <cell r="P31">
            <v>0</v>
          </cell>
          <cell r="Q31">
            <v>0</v>
          </cell>
          <cell r="R31">
            <v>0</v>
          </cell>
          <cell r="S31">
            <v>0</v>
          </cell>
          <cell r="T31">
            <v>0</v>
          </cell>
          <cell r="V31">
            <v>0</v>
          </cell>
          <cell r="X31">
            <v>0</v>
          </cell>
          <cell r="Y31">
            <v>0.32820000000000005</v>
          </cell>
          <cell r="Z31">
            <v>693112.78020000015</v>
          </cell>
          <cell r="AA31">
            <v>0</v>
          </cell>
          <cell r="AB31">
            <v>0</v>
          </cell>
          <cell r="AD31">
            <v>0</v>
          </cell>
          <cell r="AF31">
            <v>0</v>
          </cell>
          <cell r="AH31">
            <v>0</v>
          </cell>
          <cell r="AI31">
            <v>0</v>
          </cell>
          <cell r="AJ31">
            <v>0</v>
          </cell>
          <cell r="AK31">
            <v>0.26279999999999998</v>
          </cell>
          <cell r="AL31">
            <v>554997.07079999999</v>
          </cell>
          <cell r="AN31">
            <v>0</v>
          </cell>
          <cell r="AP31">
            <v>0</v>
          </cell>
          <cell r="AR31">
            <v>0</v>
          </cell>
          <cell r="AS31">
            <v>0</v>
          </cell>
          <cell r="AT31">
            <v>0</v>
          </cell>
          <cell r="AU31">
            <v>0.32820000000000005</v>
          </cell>
          <cell r="AV31">
            <v>693112.78020000015</v>
          </cell>
          <cell r="AW31">
            <v>0.27200000000000002</v>
          </cell>
          <cell r="AX31">
            <v>574426.19200000004</v>
          </cell>
          <cell r="AY31">
            <v>0</v>
          </cell>
          <cell r="AZ31">
            <v>0</v>
          </cell>
          <cell r="BA31">
            <v>0.36800000000000005</v>
          </cell>
          <cell r="BB31">
            <v>777164.84800000011</v>
          </cell>
          <cell r="BD31">
            <v>0</v>
          </cell>
          <cell r="BF31">
            <v>0</v>
          </cell>
          <cell r="BH31">
            <v>0</v>
          </cell>
          <cell r="BI31">
            <v>0</v>
          </cell>
          <cell r="BJ31">
            <v>0</v>
          </cell>
          <cell r="BL31">
            <v>0</v>
          </cell>
          <cell r="BN31">
            <v>0</v>
          </cell>
          <cell r="BO31">
            <v>0.32820000000000005</v>
          </cell>
          <cell r="BP31">
            <v>693112.78020000015</v>
          </cell>
          <cell r="BQ31">
            <v>0.36600000000000005</v>
          </cell>
          <cell r="BR31">
            <v>772941.12600000005</v>
          </cell>
          <cell r="BT31">
            <v>0</v>
          </cell>
          <cell r="BV31">
            <v>0</v>
          </cell>
          <cell r="BX31">
            <v>0</v>
          </cell>
          <cell r="BZ31">
            <v>0</v>
          </cell>
          <cell r="CB31">
            <v>0</v>
          </cell>
          <cell r="CD31">
            <v>0</v>
          </cell>
          <cell r="CF31">
            <v>0</v>
          </cell>
          <cell r="CH31">
            <v>0</v>
          </cell>
          <cell r="CJ31">
            <v>0</v>
          </cell>
          <cell r="CL31">
            <v>0</v>
          </cell>
          <cell r="CN31">
            <v>0</v>
          </cell>
          <cell r="CP31">
            <v>0</v>
          </cell>
        </row>
        <row r="32">
          <cell r="A32">
            <v>31</v>
          </cell>
          <cell r="B32" t="str">
            <v>VIGA DE AMARRE SOBRE MURO EN CONCRETO f'c = 3000 PSI (21MPa), Dimensiones 0,15X0,20 m</v>
          </cell>
          <cell r="C32" t="str">
            <v>M3</v>
          </cell>
          <cell r="D32">
            <v>6.81</v>
          </cell>
          <cell r="E32">
            <v>2159835</v>
          </cell>
          <cell r="F32">
            <v>14708476.35</v>
          </cell>
          <cell r="H32">
            <v>0</v>
          </cell>
          <cell r="I32">
            <v>0.30599999999999999</v>
          </cell>
          <cell r="J32">
            <v>660909.51</v>
          </cell>
          <cell r="L32">
            <v>0</v>
          </cell>
          <cell r="M32">
            <v>0.25679999999999997</v>
          </cell>
          <cell r="N32">
            <v>554645.62799999991</v>
          </cell>
          <cell r="O32">
            <v>0.25679999999999997</v>
          </cell>
          <cell r="P32">
            <v>554645.62799999991</v>
          </cell>
          <cell r="Q32">
            <v>0.25679999999999997</v>
          </cell>
          <cell r="R32">
            <v>554645.62799999991</v>
          </cell>
          <cell r="S32">
            <v>0.25679999999999997</v>
          </cell>
          <cell r="T32">
            <v>554645.62799999991</v>
          </cell>
          <cell r="U32">
            <v>0.27360000000000001</v>
          </cell>
          <cell r="V32">
            <v>590930.85600000003</v>
          </cell>
          <cell r="X32">
            <v>0</v>
          </cell>
          <cell r="Y32">
            <v>0.42899999999999999</v>
          </cell>
          <cell r="Z32">
            <v>926569.21499999997</v>
          </cell>
          <cell r="AA32">
            <v>0.25679999999999997</v>
          </cell>
          <cell r="AB32">
            <v>554645.62799999991</v>
          </cell>
          <cell r="AD32">
            <v>0</v>
          </cell>
          <cell r="AF32">
            <v>0</v>
          </cell>
          <cell r="AH32">
            <v>0</v>
          </cell>
          <cell r="AI32">
            <v>0.25679999999999997</v>
          </cell>
          <cell r="AJ32">
            <v>554645.62799999991</v>
          </cell>
          <cell r="AK32">
            <v>0.159</v>
          </cell>
          <cell r="AL32">
            <v>343413.76500000001</v>
          </cell>
          <cell r="AM32">
            <v>0.39743999999999996</v>
          </cell>
          <cell r="AN32">
            <v>858404.82239999995</v>
          </cell>
          <cell r="AP32">
            <v>0</v>
          </cell>
          <cell r="AQ32">
            <v>0.27360000000000001</v>
          </cell>
          <cell r="AR32">
            <v>590930.85600000003</v>
          </cell>
          <cell r="AS32">
            <v>0.25679999999999997</v>
          </cell>
          <cell r="AT32">
            <v>554645.62799999991</v>
          </cell>
          <cell r="AU32">
            <v>0.42899999999999999</v>
          </cell>
          <cell r="AV32">
            <v>926569.21499999997</v>
          </cell>
          <cell r="AW32"/>
          <cell r="AX32">
            <v>0</v>
          </cell>
          <cell r="AY32">
            <v>0.25679999999999997</v>
          </cell>
          <cell r="AZ32">
            <v>554645.62799999991</v>
          </cell>
          <cell r="BB32">
            <v>0</v>
          </cell>
          <cell r="BD32">
            <v>0</v>
          </cell>
          <cell r="BE32">
            <v>0.26639999999999997</v>
          </cell>
          <cell r="BF32">
            <v>575380.04399999988</v>
          </cell>
          <cell r="BH32">
            <v>0</v>
          </cell>
          <cell r="BI32">
            <v>0.25679999999999997</v>
          </cell>
          <cell r="BJ32">
            <v>554645.62799999991</v>
          </cell>
          <cell r="BL32">
            <v>0</v>
          </cell>
          <cell r="BN32">
            <v>0</v>
          </cell>
          <cell r="BO32">
            <v>0.42899999999999999</v>
          </cell>
          <cell r="BP32">
            <v>926569.21499999997</v>
          </cell>
          <cell r="BR32">
            <v>0</v>
          </cell>
          <cell r="BS32">
            <v>0.27360000000000001</v>
          </cell>
          <cell r="BT32">
            <v>590930.85600000003</v>
          </cell>
          <cell r="BU32">
            <v>0.51600000000000001</v>
          </cell>
          <cell r="BV32">
            <v>1114474.8600000001</v>
          </cell>
          <cell r="BX32">
            <v>0</v>
          </cell>
          <cell r="BZ32">
            <v>0</v>
          </cell>
          <cell r="CA32">
            <v>0.27360000000000001</v>
          </cell>
          <cell r="CB32">
            <v>590930.85600000003</v>
          </cell>
          <cell r="CD32">
            <v>0</v>
          </cell>
          <cell r="CF32">
            <v>0</v>
          </cell>
          <cell r="CH32">
            <v>0</v>
          </cell>
          <cell r="CI32">
            <v>0.27360000000000001</v>
          </cell>
          <cell r="CJ32">
            <v>590930.85600000003</v>
          </cell>
          <cell r="CK32">
            <v>0.20327999999999999</v>
          </cell>
          <cell r="CL32">
            <v>439051.25879999995</v>
          </cell>
          <cell r="CN32">
            <v>0</v>
          </cell>
          <cell r="CP32">
            <v>0</v>
          </cell>
        </row>
        <row r="33">
          <cell r="A33">
            <v>32</v>
          </cell>
          <cell r="B33" t="str">
            <v>COLUMNA EN TUBO ESTRUCTURAL HR50 4mm, Dimensiones 0,10 X 0,10 M</v>
          </cell>
          <cell r="C33" t="str">
            <v>M</v>
          </cell>
          <cell r="D33">
            <v>37.65</v>
          </cell>
          <cell r="E33">
            <v>183325</v>
          </cell>
          <cell r="F33">
            <v>6902186.25</v>
          </cell>
          <cell r="H33">
            <v>0</v>
          </cell>
          <cell r="J33">
            <v>0</v>
          </cell>
          <cell r="K33">
            <v>8.75</v>
          </cell>
          <cell r="L33">
            <v>1604093.75</v>
          </cell>
          <cell r="N33">
            <v>0</v>
          </cell>
          <cell r="P33">
            <v>0</v>
          </cell>
          <cell r="Q33">
            <v>0</v>
          </cell>
          <cell r="R33">
            <v>0</v>
          </cell>
          <cell r="S33">
            <v>0</v>
          </cell>
          <cell r="T33">
            <v>0</v>
          </cell>
          <cell r="V33">
            <v>0</v>
          </cell>
          <cell r="W33">
            <v>16.200000000000003</v>
          </cell>
          <cell r="X33">
            <v>2969865.0000000005</v>
          </cell>
          <cell r="Z33">
            <v>0</v>
          </cell>
          <cell r="AA33">
            <v>0</v>
          </cell>
          <cell r="AB33">
            <v>0</v>
          </cell>
          <cell r="AD33">
            <v>0</v>
          </cell>
          <cell r="AF33">
            <v>0</v>
          </cell>
          <cell r="AH33">
            <v>0</v>
          </cell>
          <cell r="AI33">
            <v>0</v>
          </cell>
          <cell r="AJ33">
            <v>0</v>
          </cell>
          <cell r="AK33">
            <v>12.7</v>
          </cell>
          <cell r="AL33">
            <v>2328227.5</v>
          </cell>
          <cell r="AN33">
            <v>0</v>
          </cell>
          <cell r="AP33">
            <v>0</v>
          </cell>
          <cell r="AR33">
            <v>0</v>
          </cell>
          <cell r="AS33">
            <v>0</v>
          </cell>
          <cell r="AT33">
            <v>0</v>
          </cell>
          <cell r="AV33">
            <v>0</v>
          </cell>
          <cell r="AW33"/>
          <cell r="AX33">
            <v>0</v>
          </cell>
          <cell r="AY33">
            <v>0</v>
          </cell>
          <cell r="AZ33">
            <v>0</v>
          </cell>
          <cell r="BB33">
            <v>0</v>
          </cell>
          <cell r="BD33">
            <v>0</v>
          </cell>
          <cell r="BF33">
            <v>0</v>
          </cell>
          <cell r="BH33">
            <v>0</v>
          </cell>
          <cell r="BI33">
            <v>0</v>
          </cell>
          <cell r="BJ33">
            <v>0</v>
          </cell>
          <cell r="BL33">
            <v>0</v>
          </cell>
          <cell r="BN33">
            <v>0</v>
          </cell>
          <cell r="BP33">
            <v>0</v>
          </cell>
          <cell r="BR33">
            <v>0</v>
          </cell>
          <cell r="BT33">
            <v>0</v>
          </cell>
          <cell r="BV33">
            <v>0</v>
          </cell>
          <cell r="BX33">
            <v>0</v>
          </cell>
          <cell r="BZ33">
            <v>0</v>
          </cell>
          <cell r="CB33">
            <v>0</v>
          </cell>
          <cell r="CD33">
            <v>0</v>
          </cell>
          <cell r="CF33">
            <v>0</v>
          </cell>
          <cell r="CH33">
            <v>0</v>
          </cell>
          <cell r="CJ33">
            <v>0</v>
          </cell>
          <cell r="CL33">
            <v>0</v>
          </cell>
          <cell r="CN33">
            <v>0</v>
          </cell>
          <cell r="CP33">
            <v>0</v>
          </cell>
        </row>
        <row r="34">
          <cell r="A34">
            <v>33</v>
          </cell>
          <cell r="B34" t="str">
            <v xml:space="preserve">PLACA BASE E= 8 CM EN CONCRETO f'c = 2500 PSI (17.5 Mpa), Incluye malla electrosoldada </v>
          </cell>
          <cell r="C34" t="str">
            <v>M2</v>
          </cell>
          <cell r="D34">
            <v>235.59</v>
          </cell>
          <cell r="E34">
            <v>167995</v>
          </cell>
          <cell r="F34">
            <v>39577942.049999997</v>
          </cell>
          <cell r="G34"/>
          <cell r="H34">
            <v>0</v>
          </cell>
          <cell r="I34">
            <v>6.9160000000000004</v>
          </cell>
          <cell r="J34">
            <v>1161853.4200000002</v>
          </cell>
          <cell r="K34"/>
          <cell r="L34">
            <v>0</v>
          </cell>
          <cell r="M34">
            <v>5.93</v>
          </cell>
          <cell r="N34">
            <v>996210.35</v>
          </cell>
          <cell r="O34">
            <v>5.93</v>
          </cell>
          <cell r="P34">
            <v>996210.35</v>
          </cell>
          <cell r="Q34">
            <v>5.93</v>
          </cell>
          <cell r="R34">
            <v>996210.35</v>
          </cell>
          <cell r="S34">
            <v>5.93</v>
          </cell>
          <cell r="T34">
            <v>996210.35</v>
          </cell>
          <cell r="U34">
            <v>6.9176000000000002</v>
          </cell>
          <cell r="V34">
            <v>1162122.2120000001</v>
          </cell>
          <cell r="W34">
            <v>1.26</v>
          </cell>
          <cell r="X34">
            <v>211673.7</v>
          </cell>
          <cell r="Y34">
            <v>8.5</v>
          </cell>
          <cell r="Z34">
            <v>1427957.5</v>
          </cell>
          <cell r="AA34">
            <v>5.93</v>
          </cell>
          <cell r="AB34">
            <v>996210.35</v>
          </cell>
          <cell r="AC34"/>
          <cell r="AD34">
            <v>0</v>
          </cell>
          <cell r="AE34"/>
          <cell r="AF34">
            <v>0</v>
          </cell>
          <cell r="AG34"/>
          <cell r="AH34">
            <v>0</v>
          </cell>
          <cell r="AI34">
            <v>5.93</v>
          </cell>
          <cell r="AJ34">
            <v>996210.35</v>
          </cell>
          <cell r="AK34">
            <v>1.08</v>
          </cell>
          <cell r="AL34">
            <v>181434.6</v>
          </cell>
          <cell r="AM34">
            <v>14.13</v>
          </cell>
          <cell r="AN34">
            <v>2373769.35</v>
          </cell>
          <cell r="AO34">
            <v>72.09</v>
          </cell>
          <cell r="AP34">
            <v>12110759.550000001</v>
          </cell>
          <cell r="AQ34">
            <v>6.9176000000000002</v>
          </cell>
          <cell r="AR34">
            <v>1162122.2120000001</v>
          </cell>
          <cell r="AS34">
            <v>5.93</v>
          </cell>
          <cell r="AT34">
            <v>996210.35</v>
          </cell>
          <cell r="AU34">
            <v>8.5</v>
          </cell>
          <cell r="AV34">
            <v>1427957.5</v>
          </cell>
          <cell r="AW34"/>
          <cell r="AX34">
            <v>0</v>
          </cell>
          <cell r="AY34">
            <v>5.93</v>
          </cell>
          <cell r="AZ34">
            <v>996210.35</v>
          </cell>
          <cell r="BA34">
            <v>0.5</v>
          </cell>
          <cell r="BB34">
            <v>83997.5</v>
          </cell>
          <cell r="BC34">
            <v>7.08</v>
          </cell>
          <cell r="BD34">
            <v>1189404.6000000001</v>
          </cell>
          <cell r="BE34">
            <v>6.15</v>
          </cell>
          <cell r="BF34">
            <v>1033169.2500000001</v>
          </cell>
          <cell r="BG34"/>
          <cell r="BH34">
            <v>0</v>
          </cell>
          <cell r="BI34">
            <v>5.93</v>
          </cell>
          <cell r="BJ34">
            <v>996210.35</v>
          </cell>
          <cell r="BK34"/>
          <cell r="BL34">
            <v>0</v>
          </cell>
          <cell r="BM34"/>
          <cell r="BN34">
            <v>0</v>
          </cell>
          <cell r="BO34">
            <v>8.5</v>
          </cell>
          <cell r="BP34">
            <v>1427957.5</v>
          </cell>
          <cell r="BQ34"/>
          <cell r="BR34">
            <v>0</v>
          </cell>
          <cell r="BS34">
            <v>6.9176000000000002</v>
          </cell>
          <cell r="BT34">
            <v>1162122.2120000001</v>
          </cell>
          <cell r="BU34"/>
          <cell r="BV34">
            <v>0</v>
          </cell>
          <cell r="BW34"/>
          <cell r="BX34">
            <v>0</v>
          </cell>
          <cell r="BY34"/>
          <cell r="BZ34">
            <v>0</v>
          </cell>
          <cell r="CA34">
            <v>6.9176000000000002</v>
          </cell>
          <cell r="CB34">
            <v>1162122.2120000001</v>
          </cell>
          <cell r="CC34"/>
          <cell r="CD34">
            <v>0</v>
          </cell>
          <cell r="CE34"/>
          <cell r="CF34">
            <v>0</v>
          </cell>
          <cell r="CG34"/>
          <cell r="CH34">
            <v>0</v>
          </cell>
          <cell r="CI34">
            <v>17.1876</v>
          </cell>
          <cell r="CJ34">
            <v>2887430.8619999997</v>
          </cell>
          <cell r="CK34">
            <v>2.66</v>
          </cell>
          <cell r="CL34">
            <v>446866.7</v>
          </cell>
          <cell r="CM34"/>
          <cell r="CN34">
            <v>0</v>
          </cell>
          <cell r="CO34"/>
          <cell r="CP34">
            <v>0</v>
          </cell>
        </row>
        <row r="35">
          <cell r="A35">
            <v>34</v>
          </cell>
          <cell r="B35" t="str">
            <v>PLACA BASE E= 5 CM EN CONCRETO f'c = 2500 PSI (17.5 Mpa)</v>
          </cell>
          <cell r="C35" t="str">
            <v>M2</v>
          </cell>
          <cell r="D35">
            <v>10.36</v>
          </cell>
          <cell r="E35">
            <v>116881</v>
          </cell>
          <cell r="F35">
            <v>1210887.1599999999</v>
          </cell>
          <cell r="H35">
            <v>0</v>
          </cell>
          <cell r="J35">
            <v>0</v>
          </cell>
          <cell r="L35">
            <v>0</v>
          </cell>
          <cell r="N35">
            <v>0</v>
          </cell>
          <cell r="P35">
            <v>0</v>
          </cell>
          <cell r="Q35">
            <v>0</v>
          </cell>
          <cell r="R35">
            <v>0</v>
          </cell>
          <cell r="S35">
            <v>0</v>
          </cell>
          <cell r="T35">
            <v>0</v>
          </cell>
          <cell r="U35">
            <v>1.2</v>
          </cell>
          <cell r="V35">
            <v>140257.19999999998</v>
          </cell>
          <cell r="X35">
            <v>0</v>
          </cell>
          <cell r="Z35">
            <v>0</v>
          </cell>
          <cell r="AA35">
            <v>0</v>
          </cell>
          <cell r="AB35">
            <v>0</v>
          </cell>
          <cell r="AD35">
            <v>0</v>
          </cell>
          <cell r="AF35">
            <v>0</v>
          </cell>
          <cell r="AH35">
            <v>0</v>
          </cell>
          <cell r="AI35">
            <v>0</v>
          </cell>
          <cell r="AJ35">
            <v>0</v>
          </cell>
          <cell r="AL35">
            <v>0</v>
          </cell>
          <cell r="AN35">
            <v>0</v>
          </cell>
          <cell r="AP35">
            <v>0</v>
          </cell>
          <cell r="AQ35">
            <v>1.2</v>
          </cell>
          <cell r="AR35">
            <v>140257.19999999998</v>
          </cell>
          <cell r="AS35">
            <v>0</v>
          </cell>
          <cell r="AT35">
            <v>0</v>
          </cell>
          <cell r="AV35">
            <v>0</v>
          </cell>
          <cell r="AW35"/>
          <cell r="AX35">
            <v>0</v>
          </cell>
          <cell r="AY35">
            <v>0</v>
          </cell>
          <cell r="AZ35">
            <v>0</v>
          </cell>
          <cell r="BB35">
            <v>0</v>
          </cell>
          <cell r="BC35">
            <v>2.63</v>
          </cell>
          <cell r="BD35">
            <v>307397.02999999997</v>
          </cell>
          <cell r="BE35">
            <v>1.73</v>
          </cell>
          <cell r="BF35">
            <v>202204.13</v>
          </cell>
          <cell r="BH35">
            <v>0</v>
          </cell>
          <cell r="BI35">
            <v>0</v>
          </cell>
          <cell r="BJ35">
            <v>0</v>
          </cell>
          <cell r="BL35">
            <v>0</v>
          </cell>
          <cell r="BN35">
            <v>0</v>
          </cell>
          <cell r="BP35">
            <v>0</v>
          </cell>
          <cell r="BR35">
            <v>0</v>
          </cell>
          <cell r="BS35">
            <v>1.2</v>
          </cell>
          <cell r="BT35">
            <v>140257.19999999998</v>
          </cell>
          <cell r="BV35">
            <v>0</v>
          </cell>
          <cell r="BX35">
            <v>0</v>
          </cell>
          <cell r="BZ35">
            <v>0</v>
          </cell>
          <cell r="CA35">
            <v>1.2</v>
          </cell>
          <cell r="CB35">
            <v>140257.19999999998</v>
          </cell>
          <cell r="CD35">
            <v>0</v>
          </cell>
          <cell r="CF35">
            <v>0</v>
          </cell>
          <cell r="CH35">
            <v>0</v>
          </cell>
          <cell r="CI35">
            <v>1.2</v>
          </cell>
          <cell r="CJ35">
            <v>140257.19999999998</v>
          </cell>
          <cell r="CL35">
            <v>0</v>
          </cell>
          <cell r="CN35">
            <v>0</v>
          </cell>
          <cell r="CP35">
            <v>0</v>
          </cell>
        </row>
        <row r="36">
          <cell r="A36">
            <v>35</v>
          </cell>
          <cell r="B36" t="str">
            <v>MESONES EN CONCRETO A = 0.60 M. 17.5 MPa - (2500 PSI) INCLUYE REFUERZO, E = 0.05 M.</v>
          </cell>
          <cell r="C36" t="str">
            <v>M2</v>
          </cell>
          <cell r="D36">
            <v>22.69</v>
          </cell>
          <cell r="E36">
            <v>318473</v>
          </cell>
          <cell r="F36">
            <v>7226152.3700000001</v>
          </cell>
          <cell r="H36">
            <v>0</v>
          </cell>
          <cell r="J36">
            <v>0</v>
          </cell>
          <cell r="L36">
            <v>0</v>
          </cell>
          <cell r="N36">
            <v>0</v>
          </cell>
          <cell r="P36">
            <v>0</v>
          </cell>
          <cell r="Q36">
            <v>0</v>
          </cell>
          <cell r="R36">
            <v>0</v>
          </cell>
          <cell r="S36">
            <v>0</v>
          </cell>
          <cell r="T36">
            <v>0</v>
          </cell>
          <cell r="U36">
            <v>1.2</v>
          </cell>
          <cell r="V36">
            <v>382167.6</v>
          </cell>
          <cell r="X36">
            <v>0</v>
          </cell>
          <cell r="Z36">
            <v>0</v>
          </cell>
          <cell r="AA36">
            <v>0</v>
          </cell>
          <cell r="AB36">
            <v>0</v>
          </cell>
          <cell r="AD36">
            <v>0</v>
          </cell>
          <cell r="AF36">
            <v>0</v>
          </cell>
          <cell r="AH36">
            <v>0</v>
          </cell>
          <cell r="AI36">
            <v>0</v>
          </cell>
          <cell r="AJ36">
            <v>0</v>
          </cell>
          <cell r="AL36">
            <v>0</v>
          </cell>
          <cell r="AN36">
            <v>0</v>
          </cell>
          <cell r="AP36">
            <v>0</v>
          </cell>
          <cell r="AQ36">
            <v>1.2</v>
          </cell>
          <cell r="AR36">
            <v>382167.6</v>
          </cell>
          <cell r="AS36">
            <v>0</v>
          </cell>
          <cell r="AT36">
            <v>0</v>
          </cell>
          <cell r="AV36">
            <v>0</v>
          </cell>
          <cell r="AW36"/>
          <cell r="AX36">
            <v>0</v>
          </cell>
          <cell r="AY36">
            <v>0</v>
          </cell>
          <cell r="AZ36">
            <v>0</v>
          </cell>
          <cell r="BB36">
            <v>0</v>
          </cell>
          <cell r="BC36">
            <v>7.96</v>
          </cell>
          <cell r="BD36">
            <v>2535045.08</v>
          </cell>
          <cell r="BE36">
            <v>5.79</v>
          </cell>
          <cell r="BF36">
            <v>1843958.67</v>
          </cell>
          <cell r="BH36">
            <v>0</v>
          </cell>
          <cell r="BI36">
            <v>0</v>
          </cell>
          <cell r="BJ36">
            <v>0</v>
          </cell>
          <cell r="BL36">
            <v>0</v>
          </cell>
          <cell r="BN36">
            <v>0</v>
          </cell>
          <cell r="BP36">
            <v>0</v>
          </cell>
          <cell r="BR36">
            <v>0</v>
          </cell>
          <cell r="BS36">
            <v>1.2</v>
          </cell>
          <cell r="BT36">
            <v>382167.6</v>
          </cell>
          <cell r="BV36">
            <v>0</v>
          </cell>
          <cell r="BX36">
            <v>0</v>
          </cell>
          <cell r="BZ36">
            <v>0</v>
          </cell>
          <cell r="CA36">
            <v>1.2</v>
          </cell>
          <cell r="CB36">
            <v>382167.6</v>
          </cell>
          <cell r="CD36">
            <v>0</v>
          </cell>
          <cell r="CE36">
            <v>2.94</v>
          </cell>
          <cell r="CF36">
            <v>936310.62</v>
          </cell>
          <cell r="CH36">
            <v>0</v>
          </cell>
          <cell r="CI36">
            <v>1.2</v>
          </cell>
          <cell r="CJ36">
            <v>382167.6</v>
          </cell>
          <cell r="CL36">
            <v>0</v>
          </cell>
          <cell r="CN36">
            <v>0</v>
          </cell>
          <cell r="CP36">
            <v>0</v>
          </cell>
        </row>
        <row r="37">
          <cell r="A37">
            <v>36</v>
          </cell>
          <cell r="B37" t="str">
            <v>SUMINISTRO, FIGURADA Y AMARRE DE ACERO 60,000 PSI (420 Mpa)</v>
          </cell>
          <cell r="C37" t="str">
            <v>KG</v>
          </cell>
          <cell r="D37">
            <v>6290.78</v>
          </cell>
          <cell r="E37">
            <v>13885</v>
          </cell>
          <cell r="F37">
            <v>87347480.299999997</v>
          </cell>
          <cell r="H37">
            <v>0</v>
          </cell>
          <cell r="I37">
            <v>248.6088873846154</v>
          </cell>
          <cell r="J37">
            <v>3451934.4013353847</v>
          </cell>
          <cell r="K37">
            <v>30.296615384615386</v>
          </cell>
          <cell r="L37">
            <v>420668.50461538462</v>
          </cell>
          <cell r="M37">
            <v>264.15880615384617</v>
          </cell>
          <cell r="N37">
            <v>3667845.0234461543</v>
          </cell>
          <cell r="O37">
            <v>223.68697846153847</v>
          </cell>
          <cell r="P37">
            <v>3105893.6959384619</v>
          </cell>
          <cell r="Q37">
            <v>223.68697846153847</v>
          </cell>
          <cell r="R37">
            <v>3105893.6959384619</v>
          </cell>
          <cell r="S37">
            <v>264.15880615384617</v>
          </cell>
          <cell r="T37">
            <v>3667845.0234461543</v>
          </cell>
          <cell r="U37">
            <v>222.65637907692309</v>
          </cell>
          <cell r="V37">
            <v>3091583.8234830769</v>
          </cell>
          <cell r="W37">
            <v>56.81232</v>
          </cell>
          <cell r="X37">
            <v>788839.06319999998</v>
          </cell>
          <cell r="Y37">
            <v>294.19205513846163</v>
          </cell>
          <cell r="Z37">
            <v>4084856.6855975399</v>
          </cell>
          <cell r="AA37">
            <v>264.15880615384617</v>
          </cell>
          <cell r="AB37">
            <v>3667845.0234461543</v>
          </cell>
          <cell r="AD37">
            <v>0</v>
          </cell>
          <cell r="AF37">
            <v>0</v>
          </cell>
          <cell r="AH37">
            <v>0</v>
          </cell>
          <cell r="AI37">
            <v>264.15880615384617</v>
          </cell>
          <cell r="AJ37">
            <v>3667845.0234461543</v>
          </cell>
          <cell r="AK37">
            <v>187.0664086153846</v>
          </cell>
          <cell r="AL37">
            <v>2597417.0836246153</v>
          </cell>
          <cell r="AM37">
            <v>313.76497476923078</v>
          </cell>
          <cell r="AN37">
            <v>4356626.6746707689</v>
          </cell>
          <cell r="AO37">
            <v>163.53400615384618</v>
          </cell>
          <cell r="AP37">
            <v>2270669.6754461541</v>
          </cell>
          <cell r="AQ37">
            <v>234.03705353846146</v>
          </cell>
          <cell r="AR37">
            <v>3249604.4883815376</v>
          </cell>
          <cell r="AS37">
            <v>264.15880615384617</v>
          </cell>
          <cell r="AT37">
            <v>3667845.0234461543</v>
          </cell>
          <cell r="AU37">
            <v>294.19205513846163</v>
          </cell>
          <cell r="AV37">
            <v>4084856.6855975399</v>
          </cell>
          <cell r="AW37">
            <v>110.68935999999999</v>
          </cell>
          <cell r="AX37">
            <v>1536921.7635999999</v>
          </cell>
          <cell r="AY37">
            <v>264.15880615384617</v>
          </cell>
          <cell r="AZ37">
            <v>3667845.0234461543</v>
          </cell>
          <cell r="BA37">
            <v>135.2281353846154</v>
          </cell>
          <cell r="BB37">
            <v>1877642.6598153848</v>
          </cell>
          <cell r="BC37">
            <v>5.3</v>
          </cell>
          <cell r="BD37">
            <v>73590.5</v>
          </cell>
          <cell r="BE37">
            <v>222.41619692307697</v>
          </cell>
          <cell r="BF37">
            <v>3088248.8942769235</v>
          </cell>
          <cell r="BH37">
            <v>0</v>
          </cell>
          <cell r="BI37">
            <v>264.15880615384617</v>
          </cell>
          <cell r="BJ37">
            <v>3667845.0234461543</v>
          </cell>
          <cell r="BL37">
            <v>0</v>
          </cell>
          <cell r="BN37">
            <v>0</v>
          </cell>
          <cell r="BO37">
            <v>294.19205513846163</v>
          </cell>
          <cell r="BP37">
            <v>4084856.6855975399</v>
          </cell>
          <cell r="BQ37">
            <v>107.87405538461539</v>
          </cell>
          <cell r="BR37">
            <v>1497831.2590153846</v>
          </cell>
          <cell r="BS37">
            <v>222.65637907692309</v>
          </cell>
          <cell r="BT37">
            <v>3091583.8234830769</v>
          </cell>
          <cell r="BU37">
            <v>242.06818461538467</v>
          </cell>
          <cell r="BV37">
            <v>3361116.743384616</v>
          </cell>
          <cell r="BX37">
            <v>0</v>
          </cell>
          <cell r="BZ37">
            <v>0</v>
          </cell>
          <cell r="CA37">
            <v>223.36318523076926</v>
          </cell>
          <cell r="CB37">
            <v>3101397.8269292312</v>
          </cell>
          <cell r="CD37">
            <v>0</v>
          </cell>
          <cell r="CF37">
            <v>0</v>
          </cell>
          <cell r="CH37">
            <v>0</v>
          </cell>
          <cell r="CI37">
            <v>222.65637907692309</v>
          </cell>
          <cell r="CJ37">
            <v>3091583.8234830769</v>
          </cell>
          <cell r="CK37">
            <v>162.69012461538463</v>
          </cell>
          <cell r="CL37">
            <v>2258952.3802846158</v>
          </cell>
          <cell r="CN37">
            <v>0</v>
          </cell>
          <cell r="CP37">
            <v>0</v>
          </cell>
        </row>
        <row r="38">
          <cell r="A38">
            <v>37</v>
          </cell>
          <cell r="Q38">
            <v>0</v>
          </cell>
          <cell r="S38">
            <v>0</v>
          </cell>
          <cell r="AA38">
            <v>0</v>
          </cell>
          <cell r="AF38"/>
          <cell r="AH38"/>
          <cell r="AI38">
            <v>0</v>
          </cell>
          <cell r="AJ38"/>
          <cell r="AL38"/>
          <cell r="AN38"/>
          <cell r="AP38"/>
          <cell r="AR38"/>
          <cell r="AS38">
            <v>0</v>
          </cell>
          <cell r="AW38"/>
          <cell r="AY38">
            <v>0</v>
          </cell>
          <cell r="BI38">
            <v>0</v>
          </cell>
          <cell r="BP38"/>
          <cell r="BR38"/>
          <cell r="BT38"/>
          <cell r="BV38"/>
          <cell r="BX38"/>
          <cell r="CB38"/>
          <cell r="CF38"/>
          <cell r="CH38"/>
          <cell r="CJ38"/>
          <cell r="CL38"/>
          <cell r="CN38"/>
          <cell r="CP38"/>
        </row>
        <row r="39">
          <cell r="A39">
            <v>38</v>
          </cell>
          <cell r="B39" t="str">
            <v>INSTALACIONES HIDRAHULICAS Y SANITARIAS</v>
          </cell>
          <cell r="C39"/>
          <cell r="D39"/>
          <cell r="E39"/>
          <cell r="F39">
            <v>20034899.199999999</v>
          </cell>
          <cell r="H39">
            <v>0</v>
          </cell>
          <cell r="J39">
            <v>0</v>
          </cell>
          <cell r="L39">
            <v>0</v>
          </cell>
          <cell r="N39">
            <v>2183259.1</v>
          </cell>
          <cell r="P39">
            <v>2183259.1</v>
          </cell>
          <cell r="Q39">
            <v>0</v>
          </cell>
          <cell r="R39">
            <v>1424252</v>
          </cell>
          <cell r="S39">
            <v>0</v>
          </cell>
          <cell r="T39">
            <v>1424252</v>
          </cell>
          <cell r="V39">
            <v>636041</v>
          </cell>
          <cell r="X39">
            <v>0</v>
          </cell>
          <cell r="Z39">
            <v>0</v>
          </cell>
          <cell r="AA39">
            <v>0</v>
          </cell>
          <cell r="AB39">
            <v>1424252</v>
          </cell>
          <cell r="AD39">
            <v>0</v>
          </cell>
          <cell r="AF39">
            <v>0</v>
          </cell>
          <cell r="AH39">
            <v>0</v>
          </cell>
          <cell r="AI39">
            <v>0</v>
          </cell>
          <cell r="AJ39">
            <v>1424252</v>
          </cell>
          <cell r="AL39">
            <v>0</v>
          </cell>
          <cell r="AN39">
            <v>0</v>
          </cell>
          <cell r="AP39">
            <v>0</v>
          </cell>
          <cell r="AR39">
            <v>636041</v>
          </cell>
          <cell r="AS39">
            <v>0</v>
          </cell>
          <cell r="AT39">
            <v>1424252</v>
          </cell>
          <cell r="AV39">
            <v>0</v>
          </cell>
          <cell r="AW39"/>
          <cell r="AX39">
            <v>0</v>
          </cell>
          <cell r="AY39">
            <v>0</v>
          </cell>
          <cell r="AZ39">
            <v>1424252</v>
          </cell>
          <cell r="BB39">
            <v>0</v>
          </cell>
          <cell r="BD39">
            <v>684983</v>
          </cell>
          <cell r="BF39">
            <v>306692</v>
          </cell>
          <cell r="BH39">
            <v>0</v>
          </cell>
          <cell r="BI39">
            <v>0</v>
          </cell>
          <cell r="BJ39">
            <v>2009515</v>
          </cell>
          <cell r="BL39">
            <v>0</v>
          </cell>
          <cell r="BN39">
            <v>0</v>
          </cell>
          <cell r="BP39">
            <v>0</v>
          </cell>
          <cell r="BR39">
            <v>0</v>
          </cell>
          <cell r="BT39">
            <v>636041</v>
          </cell>
          <cell r="BV39">
            <v>0</v>
          </cell>
          <cell r="BX39">
            <v>0</v>
          </cell>
          <cell r="BZ39">
            <v>0</v>
          </cell>
          <cell r="CB39">
            <v>636041</v>
          </cell>
          <cell r="CD39">
            <v>0</v>
          </cell>
          <cell r="CF39">
            <v>0</v>
          </cell>
          <cell r="CH39">
            <v>0</v>
          </cell>
          <cell r="CJ39">
            <v>636041</v>
          </cell>
          <cell r="CL39">
            <v>941474</v>
          </cell>
          <cell r="CN39">
            <v>0</v>
          </cell>
          <cell r="CP39">
            <v>0</v>
          </cell>
        </row>
        <row r="40">
          <cell r="A40">
            <v>39</v>
          </cell>
          <cell r="B40" t="str">
            <v>SUMINISTRO E INSTALACIÓN DE TUBERÍA PVC DE 1/2" T.P, PARA RED DE SUMINISTRO INTERNA.</v>
          </cell>
          <cell r="C40" t="str">
            <v>M</v>
          </cell>
          <cell r="D40">
            <v>128</v>
          </cell>
          <cell r="E40">
            <v>24471</v>
          </cell>
          <cell r="F40">
            <v>3132288</v>
          </cell>
          <cell r="H40">
            <v>0</v>
          </cell>
          <cell r="J40">
            <v>0</v>
          </cell>
          <cell r="L40">
            <v>0</v>
          </cell>
          <cell r="M40">
            <v>15.3</v>
          </cell>
          <cell r="N40">
            <v>374406.3</v>
          </cell>
          <cell r="O40">
            <v>15.3</v>
          </cell>
          <cell r="P40">
            <v>374406.3</v>
          </cell>
          <cell r="Q40">
            <v>8.1999999999999993</v>
          </cell>
          <cell r="R40">
            <v>200662.19999999998</v>
          </cell>
          <cell r="S40">
            <v>8.1999999999999993</v>
          </cell>
          <cell r="T40">
            <v>200662.19999999998</v>
          </cell>
          <cell r="U40">
            <v>5</v>
          </cell>
          <cell r="V40">
            <v>122355</v>
          </cell>
          <cell r="X40">
            <v>0</v>
          </cell>
          <cell r="Z40">
            <v>0</v>
          </cell>
          <cell r="AA40">
            <v>8.1999999999999993</v>
          </cell>
          <cell r="AB40">
            <v>200662.19999999998</v>
          </cell>
          <cell r="AD40">
            <v>0</v>
          </cell>
          <cell r="AF40">
            <v>0</v>
          </cell>
          <cell r="AH40">
            <v>0</v>
          </cell>
          <cell r="AI40">
            <v>8.1999999999999993</v>
          </cell>
          <cell r="AJ40">
            <v>200662.19999999998</v>
          </cell>
          <cell r="AL40">
            <v>0</v>
          </cell>
          <cell r="AN40">
            <v>0</v>
          </cell>
          <cell r="AP40">
            <v>0</v>
          </cell>
          <cell r="AQ40">
            <v>5</v>
          </cell>
          <cell r="AR40">
            <v>122355</v>
          </cell>
          <cell r="AS40">
            <v>8.1999999999999993</v>
          </cell>
          <cell r="AT40">
            <v>200662.19999999998</v>
          </cell>
          <cell r="AV40">
            <v>0</v>
          </cell>
          <cell r="AW40"/>
          <cell r="AX40">
            <v>0</v>
          </cell>
          <cell r="AY40">
            <v>8.1999999999999993</v>
          </cell>
          <cell r="AZ40">
            <v>200662.19999999998</v>
          </cell>
          <cell r="BB40">
            <v>0</v>
          </cell>
          <cell r="BC40">
            <v>7</v>
          </cell>
          <cell r="BD40">
            <v>171297</v>
          </cell>
          <cell r="BE40">
            <v>2</v>
          </cell>
          <cell r="BF40">
            <v>48942</v>
          </cell>
          <cell r="BH40">
            <v>0</v>
          </cell>
          <cell r="BI40">
            <v>8.1999999999999993</v>
          </cell>
          <cell r="BJ40">
            <v>200662.19999999998</v>
          </cell>
          <cell r="BL40">
            <v>0</v>
          </cell>
          <cell r="BN40">
            <v>0</v>
          </cell>
          <cell r="BP40">
            <v>0</v>
          </cell>
          <cell r="BR40">
            <v>0</v>
          </cell>
          <cell r="BS40">
            <v>5</v>
          </cell>
          <cell r="BT40">
            <v>122355</v>
          </cell>
          <cell r="BV40">
            <v>0</v>
          </cell>
          <cell r="BX40">
            <v>0</v>
          </cell>
          <cell r="BZ40">
            <v>0</v>
          </cell>
          <cell r="CA40">
            <v>5</v>
          </cell>
          <cell r="CB40">
            <v>122355</v>
          </cell>
          <cell r="CD40">
            <v>0</v>
          </cell>
          <cell r="CF40">
            <v>0</v>
          </cell>
          <cell r="CH40">
            <v>0</v>
          </cell>
          <cell r="CI40">
            <v>5</v>
          </cell>
          <cell r="CJ40">
            <v>122355</v>
          </cell>
          <cell r="CK40">
            <v>6</v>
          </cell>
          <cell r="CL40">
            <v>146826</v>
          </cell>
          <cell r="CN40">
            <v>0</v>
          </cell>
          <cell r="CP40">
            <v>0</v>
          </cell>
        </row>
        <row r="41">
          <cell r="A41">
            <v>40</v>
          </cell>
          <cell r="B41" t="str">
            <v>SUMINISTRO E INSTALACIÓN DE SALIDA DE AGUA FRÍA EN TUBERÍA PVC DE 1/2" T.P.</v>
          </cell>
          <cell r="C41" t="str">
            <v>UND</v>
          </cell>
          <cell r="D41">
            <v>37</v>
          </cell>
          <cell r="E41">
            <v>77838</v>
          </cell>
          <cell r="F41">
            <v>2880006</v>
          </cell>
          <cell r="H41">
            <v>0</v>
          </cell>
          <cell r="J41">
            <v>0</v>
          </cell>
          <cell r="L41">
            <v>0</v>
          </cell>
          <cell r="M41">
            <v>3</v>
          </cell>
          <cell r="N41">
            <v>233514</v>
          </cell>
          <cell r="O41">
            <v>3</v>
          </cell>
          <cell r="P41">
            <v>233514</v>
          </cell>
          <cell r="Q41">
            <v>3</v>
          </cell>
          <cell r="R41">
            <v>233514</v>
          </cell>
          <cell r="S41">
            <v>3</v>
          </cell>
          <cell r="T41">
            <v>233514</v>
          </cell>
          <cell r="U41">
            <v>1</v>
          </cell>
          <cell r="V41">
            <v>77838</v>
          </cell>
          <cell r="X41">
            <v>0</v>
          </cell>
          <cell r="Z41">
            <v>0</v>
          </cell>
          <cell r="AA41">
            <v>3</v>
          </cell>
          <cell r="AB41">
            <v>233514</v>
          </cell>
          <cell r="AD41">
            <v>0</v>
          </cell>
          <cell r="AF41">
            <v>0</v>
          </cell>
          <cell r="AH41">
            <v>0</v>
          </cell>
          <cell r="AI41">
            <v>3</v>
          </cell>
          <cell r="AJ41">
            <v>233514</v>
          </cell>
          <cell r="AL41">
            <v>0</v>
          </cell>
          <cell r="AN41">
            <v>0</v>
          </cell>
          <cell r="AP41">
            <v>0</v>
          </cell>
          <cell r="AQ41">
            <v>1</v>
          </cell>
          <cell r="AR41">
            <v>77838</v>
          </cell>
          <cell r="AS41">
            <v>3</v>
          </cell>
          <cell r="AT41">
            <v>233514</v>
          </cell>
          <cell r="AV41">
            <v>0</v>
          </cell>
          <cell r="AW41"/>
          <cell r="AX41">
            <v>0</v>
          </cell>
          <cell r="AY41">
            <v>3</v>
          </cell>
          <cell r="AZ41">
            <v>233514</v>
          </cell>
          <cell r="BB41">
            <v>0</v>
          </cell>
          <cell r="BC41">
            <v>1</v>
          </cell>
          <cell r="BD41">
            <v>77838</v>
          </cell>
          <cell r="BE41">
            <v>1</v>
          </cell>
          <cell r="BF41">
            <v>77838</v>
          </cell>
          <cell r="BH41">
            <v>0</v>
          </cell>
          <cell r="BI41">
            <v>3</v>
          </cell>
          <cell r="BJ41">
            <v>233514</v>
          </cell>
          <cell r="BL41">
            <v>0</v>
          </cell>
          <cell r="BN41">
            <v>0</v>
          </cell>
          <cell r="BP41">
            <v>0</v>
          </cell>
          <cell r="BR41">
            <v>0</v>
          </cell>
          <cell r="BS41">
            <v>1</v>
          </cell>
          <cell r="BT41">
            <v>77838</v>
          </cell>
          <cell r="BV41">
            <v>0</v>
          </cell>
          <cell r="BX41">
            <v>0</v>
          </cell>
          <cell r="BZ41">
            <v>0</v>
          </cell>
          <cell r="CA41">
            <v>1</v>
          </cell>
          <cell r="CB41">
            <v>77838</v>
          </cell>
          <cell r="CD41">
            <v>0</v>
          </cell>
          <cell r="CF41">
            <v>0</v>
          </cell>
          <cell r="CH41">
            <v>0</v>
          </cell>
          <cell r="CI41">
            <v>1</v>
          </cell>
          <cell r="CJ41">
            <v>77838</v>
          </cell>
          <cell r="CK41">
            <v>3</v>
          </cell>
          <cell r="CL41">
            <v>233514</v>
          </cell>
          <cell r="CN41">
            <v>0</v>
          </cell>
          <cell r="CP41">
            <v>0</v>
          </cell>
        </row>
        <row r="42">
          <cell r="A42">
            <v>41</v>
          </cell>
          <cell r="B42" t="str">
            <v>SUMINISTRO E INSTALACIÓN DE TUBERÍA PVC SANITARIA D = 2"</v>
          </cell>
          <cell r="C42" t="str">
            <v>M</v>
          </cell>
          <cell r="D42">
            <v>24.599999999999998</v>
          </cell>
          <cell r="E42">
            <v>60892</v>
          </cell>
          <cell r="F42">
            <v>1497943.2</v>
          </cell>
          <cell r="G42"/>
          <cell r="H42">
            <v>0</v>
          </cell>
          <cell r="I42"/>
          <cell r="J42">
            <v>0</v>
          </cell>
          <cell r="K42"/>
          <cell r="L42">
            <v>0</v>
          </cell>
          <cell r="M42">
            <v>2.4</v>
          </cell>
          <cell r="N42">
            <v>146140.79999999999</v>
          </cell>
          <cell r="O42">
            <v>2.4</v>
          </cell>
          <cell r="P42">
            <v>146140.79999999999</v>
          </cell>
          <cell r="Q42">
            <v>2.4</v>
          </cell>
          <cell r="R42">
            <v>146140.79999999999</v>
          </cell>
          <cell r="S42">
            <v>2.4</v>
          </cell>
          <cell r="T42">
            <v>146140.79999999999</v>
          </cell>
          <cell r="U42"/>
          <cell r="V42">
            <v>0</v>
          </cell>
          <cell r="W42"/>
          <cell r="X42">
            <v>0</v>
          </cell>
          <cell r="Y42"/>
          <cell r="Z42">
            <v>0</v>
          </cell>
          <cell r="AA42">
            <v>2.4</v>
          </cell>
          <cell r="AB42">
            <v>146140.79999999999</v>
          </cell>
          <cell r="AC42"/>
          <cell r="AD42">
            <v>0</v>
          </cell>
          <cell r="AE42"/>
          <cell r="AF42">
            <v>0</v>
          </cell>
          <cell r="AG42"/>
          <cell r="AH42">
            <v>0</v>
          </cell>
          <cell r="AI42">
            <v>2.4</v>
          </cell>
          <cell r="AJ42">
            <v>146140.79999999999</v>
          </cell>
          <cell r="AK42"/>
          <cell r="AL42">
            <v>0</v>
          </cell>
          <cell r="AM42"/>
          <cell r="AN42">
            <v>0</v>
          </cell>
          <cell r="AO42"/>
          <cell r="AP42">
            <v>0</v>
          </cell>
          <cell r="AQ42"/>
          <cell r="AR42">
            <v>0</v>
          </cell>
          <cell r="AS42">
            <v>2.4</v>
          </cell>
          <cell r="AT42">
            <v>146140.79999999999</v>
          </cell>
          <cell r="AU42"/>
          <cell r="AV42">
            <v>0</v>
          </cell>
          <cell r="AW42"/>
          <cell r="AX42">
            <v>0</v>
          </cell>
          <cell r="AY42">
            <v>2.4</v>
          </cell>
          <cell r="AZ42">
            <v>146140.79999999999</v>
          </cell>
          <cell r="BA42"/>
          <cell r="BB42">
            <v>0</v>
          </cell>
          <cell r="BC42"/>
          <cell r="BD42">
            <v>0</v>
          </cell>
          <cell r="BE42"/>
          <cell r="BF42">
            <v>0</v>
          </cell>
          <cell r="BG42"/>
          <cell r="BH42">
            <v>0</v>
          </cell>
          <cell r="BI42">
            <v>2.4</v>
          </cell>
          <cell r="BJ42">
            <v>146140.79999999999</v>
          </cell>
          <cell r="BK42"/>
          <cell r="BL42">
            <v>0</v>
          </cell>
          <cell r="BM42"/>
          <cell r="BN42">
            <v>0</v>
          </cell>
          <cell r="BO42"/>
          <cell r="BP42">
            <v>0</v>
          </cell>
          <cell r="BQ42"/>
          <cell r="BR42">
            <v>0</v>
          </cell>
          <cell r="BS42"/>
          <cell r="BT42">
            <v>0</v>
          </cell>
          <cell r="BU42"/>
          <cell r="BV42">
            <v>0</v>
          </cell>
          <cell r="BW42"/>
          <cell r="BX42">
            <v>0</v>
          </cell>
          <cell r="BY42"/>
          <cell r="BZ42">
            <v>0</v>
          </cell>
          <cell r="CA42"/>
          <cell r="CB42">
            <v>0</v>
          </cell>
          <cell r="CC42"/>
          <cell r="CD42">
            <v>0</v>
          </cell>
          <cell r="CE42"/>
          <cell r="CF42">
            <v>0</v>
          </cell>
          <cell r="CG42"/>
          <cell r="CH42">
            <v>0</v>
          </cell>
          <cell r="CI42"/>
          <cell r="CJ42">
            <v>0</v>
          </cell>
          <cell r="CK42">
            <v>3</v>
          </cell>
          <cell r="CL42">
            <v>182676</v>
          </cell>
          <cell r="CM42"/>
          <cell r="CN42">
            <v>0</v>
          </cell>
          <cell r="CO42"/>
          <cell r="CP42">
            <v>0</v>
          </cell>
        </row>
        <row r="43">
          <cell r="A43">
            <v>42</v>
          </cell>
          <cell r="B43" t="str">
            <v>SUMINISTRO E INSTALACIÓN DE SIFÓN SANITARIO DE 2" PVC</v>
          </cell>
          <cell r="C43" t="str">
            <v>UND</v>
          </cell>
          <cell r="D43">
            <v>19</v>
          </cell>
          <cell r="E43">
            <v>47432</v>
          </cell>
          <cell r="F43">
            <v>901208</v>
          </cell>
          <cell r="G43"/>
          <cell r="H43">
            <v>0</v>
          </cell>
          <cell r="I43"/>
          <cell r="J43">
            <v>0</v>
          </cell>
          <cell r="K43"/>
          <cell r="L43">
            <v>0</v>
          </cell>
          <cell r="M43">
            <v>2</v>
          </cell>
          <cell r="N43">
            <v>94864</v>
          </cell>
          <cell r="O43">
            <v>2</v>
          </cell>
          <cell r="P43">
            <v>94864</v>
          </cell>
          <cell r="Q43">
            <v>2</v>
          </cell>
          <cell r="R43">
            <v>94864</v>
          </cell>
          <cell r="S43">
            <v>2</v>
          </cell>
          <cell r="T43">
            <v>94864</v>
          </cell>
          <cell r="U43"/>
          <cell r="V43">
            <v>0</v>
          </cell>
          <cell r="W43"/>
          <cell r="X43">
            <v>0</v>
          </cell>
          <cell r="Y43"/>
          <cell r="Z43">
            <v>0</v>
          </cell>
          <cell r="AA43">
            <v>2</v>
          </cell>
          <cell r="AB43">
            <v>94864</v>
          </cell>
          <cell r="AC43"/>
          <cell r="AD43">
            <v>0</v>
          </cell>
          <cell r="AE43"/>
          <cell r="AF43">
            <v>0</v>
          </cell>
          <cell r="AG43"/>
          <cell r="AH43">
            <v>0</v>
          </cell>
          <cell r="AI43">
            <v>2</v>
          </cell>
          <cell r="AJ43">
            <v>94864</v>
          </cell>
          <cell r="AK43"/>
          <cell r="AL43">
            <v>0</v>
          </cell>
          <cell r="AM43"/>
          <cell r="AN43">
            <v>0</v>
          </cell>
          <cell r="AO43"/>
          <cell r="AP43">
            <v>0</v>
          </cell>
          <cell r="AQ43"/>
          <cell r="AR43">
            <v>0</v>
          </cell>
          <cell r="AS43">
            <v>2</v>
          </cell>
          <cell r="AT43">
            <v>94864</v>
          </cell>
          <cell r="AU43"/>
          <cell r="AV43">
            <v>0</v>
          </cell>
          <cell r="AW43"/>
          <cell r="AX43">
            <v>0</v>
          </cell>
          <cell r="AY43">
            <v>2</v>
          </cell>
          <cell r="AZ43">
            <v>94864</v>
          </cell>
          <cell r="BA43"/>
          <cell r="BB43">
            <v>0</v>
          </cell>
          <cell r="BC43"/>
          <cell r="BD43">
            <v>0</v>
          </cell>
          <cell r="BE43"/>
          <cell r="BF43">
            <v>0</v>
          </cell>
          <cell r="BG43"/>
          <cell r="BH43">
            <v>0</v>
          </cell>
          <cell r="BI43">
            <v>2</v>
          </cell>
          <cell r="BJ43">
            <v>94864</v>
          </cell>
          <cell r="BK43"/>
          <cell r="BL43">
            <v>0</v>
          </cell>
          <cell r="BM43"/>
          <cell r="BN43">
            <v>0</v>
          </cell>
          <cell r="BO43"/>
          <cell r="BP43">
            <v>0</v>
          </cell>
          <cell r="BQ43"/>
          <cell r="BR43">
            <v>0</v>
          </cell>
          <cell r="BS43"/>
          <cell r="BT43">
            <v>0</v>
          </cell>
          <cell r="BU43"/>
          <cell r="BV43">
            <v>0</v>
          </cell>
          <cell r="BW43"/>
          <cell r="BX43">
            <v>0</v>
          </cell>
          <cell r="BY43"/>
          <cell r="BZ43">
            <v>0</v>
          </cell>
          <cell r="CA43"/>
          <cell r="CB43">
            <v>0</v>
          </cell>
          <cell r="CC43"/>
          <cell r="CD43">
            <v>0</v>
          </cell>
          <cell r="CE43"/>
          <cell r="CF43">
            <v>0</v>
          </cell>
          <cell r="CG43"/>
          <cell r="CH43">
            <v>0</v>
          </cell>
          <cell r="CI43"/>
          <cell r="CJ43">
            <v>0</v>
          </cell>
          <cell r="CK43">
            <v>1</v>
          </cell>
          <cell r="CL43">
            <v>47432</v>
          </cell>
          <cell r="CM43"/>
          <cell r="CN43">
            <v>0</v>
          </cell>
          <cell r="CO43"/>
          <cell r="CP43">
            <v>0</v>
          </cell>
        </row>
        <row r="44">
          <cell r="A44">
            <v>43</v>
          </cell>
          <cell r="B44" t="str">
            <v>SUMINISTRO E INSTALACIÓN DE TUBERÍA PVC SANITARIA D = 3"</v>
          </cell>
          <cell r="C44" t="str">
            <v>M</v>
          </cell>
          <cell r="D44">
            <v>38</v>
          </cell>
          <cell r="E44">
            <v>63984</v>
          </cell>
          <cell r="F44">
            <v>2431392</v>
          </cell>
          <cell r="H44">
            <v>0</v>
          </cell>
          <cell r="J44">
            <v>0</v>
          </cell>
          <cell r="L44">
            <v>0</v>
          </cell>
          <cell r="N44">
            <v>0</v>
          </cell>
          <cell r="P44">
            <v>0</v>
          </cell>
          <cell r="Q44">
            <v>0</v>
          </cell>
          <cell r="R44">
            <v>0</v>
          </cell>
          <cell r="S44">
            <v>0</v>
          </cell>
          <cell r="T44">
            <v>0</v>
          </cell>
          <cell r="U44">
            <v>6</v>
          </cell>
          <cell r="V44">
            <v>383904</v>
          </cell>
          <cell r="X44">
            <v>0</v>
          </cell>
          <cell r="Z44">
            <v>0</v>
          </cell>
          <cell r="AA44">
            <v>0</v>
          </cell>
          <cell r="AB44">
            <v>0</v>
          </cell>
          <cell r="AD44">
            <v>0</v>
          </cell>
          <cell r="AF44">
            <v>0</v>
          </cell>
          <cell r="AH44">
            <v>0</v>
          </cell>
          <cell r="AI44">
            <v>0</v>
          </cell>
          <cell r="AJ44">
            <v>0</v>
          </cell>
          <cell r="AL44">
            <v>0</v>
          </cell>
          <cell r="AN44">
            <v>0</v>
          </cell>
          <cell r="AP44">
            <v>0</v>
          </cell>
          <cell r="AQ44">
            <v>6</v>
          </cell>
          <cell r="AR44">
            <v>383904</v>
          </cell>
          <cell r="AS44">
            <v>0</v>
          </cell>
          <cell r="AT44">
            <v>0</v>
          </cell>
          <cell r="AV44">
            <v>0</v>
          </cell>
          <cell r="AW44"/>
          <cell r="AX44">
            <v>0</v>
          </cell>
          <cell r="AY44">
            <v>0</v>
          </cell>
          <cell r="AZ44">
            <v>0</v>
          </cell>
          <cell r="BB44">
            <v>0</v>
          </cell>
          <cell r="BC44">
            <v>6</v>
          </cell>
          <cell r="BD44">
            <v>383904</v>
          </cell>
          <cell r="BE44">
            <v>2</v>
          </cell>
          <cell r="BF44">
            <v>127968</v>
          </cell>
          <cell r="BH44">
            <v>0</v>
          </cell>
          <cell r="BI44">
            <v>0</v>
          </cell>
          <cell r="BJ44">
            <v>0</v>
          </cell>
          <cell r="BL44">
            <v>0</v>
          </cell>
          <cell r="BN44">
            <v>0</v>
          </cell>
          <cell r="BP44">
            <v>0</v>
          </cell>
          <cell r="BR44">
            <v>0</v>
          </cell>
          <cell r="BS44">
            <v>6</v>
          </cell>
          <cell r="BT44">
            <v>383904</v>
          </cell>
          <cell r="BV44">
            <v>0</v>
          </cell>
          <cell r="BX44">
            <v>0</v>
          </cell>
          <cell r="BZ44">
            <v>0</v>
          </cell>
          <cell r="CA44">
            <v>6</v>
          </cell>
          <cell r="CB44">
            <v>383904</v>
          </cell>
          <cell r="CD44">
            <v>0</v>
          </cell>
          <cell r="CF44">
            <v>0</v>
          </cell>
          <cell r="CH44">
            <v>0</v>
          </cell>
          <cell r="CI44">
            <v>6</v>
          </cell>
          <cell r="CJ44">
            <v>383904</v>
          </cell>
          <cell r="CL44">
            <v>0</v>
          </cell>
          <cell r="CN44">
            <v>0</v>
          </cell>
          <cell r="CP44">
            <v>0</v>
          </cell>
        </row>
        <row r="45">
          <cell r="A45">
            <v>44</v>
          </cell>
          <cell r="B45" t="str">
            <v>SUMINISTRO E INSTALACIÓN DE SIFÓN SANITARIO DE 3" PVC</v>
          </cell>
          <cell r="C45" t="str">
            <v>UND</v>
          </cell>
          <cell r="D45">
            <v>7</v>
          </cell>
          <cell r="E45">
            <v>51944</v>
          </cell>
          <cell r="F45">
            <v>363608</v>
          </cell>
          <cell r="G45"/>
          <cell r="H45">
            <v>0</v>
          </cell>
          <cell r="I45"/>
          <cell r="J45">
            <v>0</v>
          </cell>
          <cell r="K45"/>
          <cell r="L45">
            <v>0</v>
          </cell>
          <cell r="M45"/>
          <cell r="N45">
            <v>0</v>
          </cell>
          <cell r="O45"/>
          <cell r="P45">
            <v>0</v>
          </cell>
          <cell r="Q45">
            <v>0</v>
          </cell>
          <cell r="R45">
            <v>0</v>
          </cell>
          <cell r="S45">
            <v>0</v>
          </cell>
          <cell r="T45">
            <v>0</v>
          </cell>
          <cell r="U45">
            <v>1</v>
          </cell>
          <cell r="V45">
            <v>51944</v>
          </cell>
          <cell r="W45"/>
          <cell r="X45">
            <v>0</v>
          </cell>
          <cell r="Y45"/>
          <cell r="Z45">
            <v>0</v>
          </cell>
          <cell r="AA45">
            <v>0</v>
          </cell>
          <cell r="AB45">
            <v>0</v>
          </cell>
          <cell r="AC45"/>
          <cell r="AD45">
            <v>0</v>
          </cell>
          <cell r="AE45"/>
          <cell r="AF45">
            <v>0</v>
          </cell>
          <cell r="AG45"/>
          <cell r="AH45">
            <v>0</v>
          </cell>
          <cell r="AI45">
            <v>0</v>
          </cell>
          <cell r="AJ45">
            <v>0</v>
          </cell>
          <cell r="AK45"/>
          <cell r="AL45">
            <v>0</v>
          </cell>
          <cell r="AM45"/>
          <cell r="AN45">
            <v>0</v>
          </cell>
          <cell r="AO45"/>
          <cell r="AP45">
            <v>0</v>
          </cell>
          <cell r="AQ45">
            <v>1</v>
          </cell>
          <cell r="AR45">
            <v>51944</v>
          </cell>
          <cell r="AS45">
            <v>0</v>
          </cell>
          <cell r="AT45">
            <v>0</v>
          </cell>
          <cell r="AU45"/>
          <cell r="AV45">
            <v>0</v>
          </cell>
          <cell r="AW45"/>
          <cell r="AX45">
            <v>0</v>
          </cell>
          <cell r="AY45">
            <v>0</v>
          </cell>
          <cell r="AZ45">
            <v>0</v>
          </cell>
          <cell r="BA45"/>
          <cell r="BB45">
            <v>0</v>
          </cell>
          <cell r="BC45">
            <v>1</v>
          </cell>
          <cell r="BD45">
            <v>51944</v>
          </cell>
          <cell r="BE45">
            <v>1</v>
          </cell>
          <cell r="BF45">
            <v>51944</v>
          </cell>
          <cell r="BG45"/>
          <cell r="BH45">
            <v>0</v>
          </cell>
          <cell r="BI45">
            <v>0</v>
          </cell>
          <cell r="BJ45">
            <v>0</v>
          </cell>
          <cell r="BK45"/>
          <cell r="BL45">
            <v>0</v>
          </cell>
          <cell r="BM45"/>
          <cell r="BN45">
            <v>0</v>
          </cell>
          <cell r="BO45"/>
          <cell r="BP45">
            <v>0</v>
          </cell>
          <cell r="BQ45"/>
          <cell r="BR45">
            <v>0</v>
          </cell>
          <cell r="BS45">
            <v>1</v>
          </cell>
          <cell r="BT45">
            <v>51944</v>
          </cell>
          <cell r="BU45"/>
          <cell r="BV45">
            <v>0</v>
          </cell>
          <cell r="BW45"/>
          <cell r="BX45">
            <v>0</v>
          </cell>
          <cell r="BY45"/>
          <cell r="BZ45">
            <v>0</v>
          </cell>
          <cell r="CA45">
            <v>1</v>
          </cell>
          <cell r="CB45">
            <v>51944</v>
          </cell>
          <cell r="CC45"/>
          <cell r="CD45">
            <v>0</v>
          </cell>
          <cell r="CE45"/>
          <cell r="CF45">
            <v>0</v>
          </cell>
          <cell r="CG45"/>
          <cell r="CH45">
            <v>0</v>
          </cell>
          <cell r="CI45">
            <v>1</v>
          </cell>
          <cell r="CJ45">
            <v>51944</v>
          </cell>
          <cell r="CK45"/>
          <cell r="CL45">
            <v>0</v>
          </cell>
          <cell r="CM45"/>
          <cell r="CN45">
            <v>0</v>
          </cell>
          <cell r="CO45"/>
          <cell r="CP45">
            <v>0</v>
          </cell>
        </row>
        <row r="46">
          <cell r="A46">
            <v>45</v>
          </cell>
          <cell r="B46" t="str">
            <v>SUMINISTRO E INSTALACIÓN DE TUBERÍA PVC SANITARIA DE Ø=4"</v>
          </cell>
          <cell r="C46" t="str">
            <v>M</v>
          </cell>
          <cell r="D46">
            <v>96</v>
          </cell>
          <cell r="E46">
            <v>83609</v>
          </cell>
          <cell r="F46">
            <v>8026464</v>
          </cell>
          <cell r="H46">
            <v>0</v>
          </cell>
          <cell r="J46">
            <v>0</v>
          </cell>
          <cell r="L46">
            <v>0</v>
          </cell>
          <cell r="M46">
            <v>15</v>
          </cell>
          <cell r="N46">
            <v>1254135</v>
          </cell>
          <cell r="O46">
            <v>15</v>
          </cell>
          <cell r="P46">
            <v>1254135</v>
          </cell>
          <cell r="Q46">
            <v>8</v>
          </cell>
          <cell r="R46">
            <v>668872</v>
          </cell>
          <cell r="S46">
            <v>8</v>
          </cell>
          <cell r="T46">
            <v>668872</v>
          </cell>
          <cell r="V46">
            <v>0</v>
          </cell>
          <cell r="X46">
            <v>0</v>
          </cell>
          <cell r="Z46">
            <v>0</v>
          </cell>
          <cell r="AA46">
            <v>8</v>
          </cell>
          <cell r="AB46">
            <v>668872</v>
          </cell>
          <cell r="AD46">
            <v>0</v>
          </cell>
          <cell r="AF46">
            <v>0</v>
          </cell>
          <cell r="AH46">
            <v>0</v>
          </cell>
          <cell r="AI46">
            <v>8</v>
          </cell>
          <cell r="AJ46">
            <v>668872</v>
          </cell>
          <cell r="AL46">
            <v>0</v>
          </cell>
          <cell r="AN46">
            <v>0</v>
          </cell>
          <cell r="AP46">
            <v>0</v>
          </cell>
          <cell r="AR46">
            <v>0</v>
          </cell>
          <cell r="AS46">
            <v>8</v>
          </cell>
          <cell r="AT46">
            <v>668872</v>
          </cell>
          <cell r="AV46">
            <v>0</v>
          </cell>
          <cell r="AW46"/>
          <cell r="AX46">
            <v>0</v>
          </cell>
          <cell r="AY46">
            <v>8</v>
          </cell>
          <cell r="AZ46">
            <v>668872</v>
          </cell>
          <cell r="BB46">
            <v>0</v>
          </cell>
          <cell r="BC46"/>
          <cell r="BD46">
            <v>0</v>
          </cell>
          <cell r="BF46">
            <v>0</v>
          </cell>
          <cell r="BH46">
            <v>0</v>
          </cell>
          <cell r="BI46">
            <v>15</v>
          </cell>
          <cell r="BJ46">
            <v>1254135</v>
          </cell>
          <cell r="BL46">
            <v>0</v>
          </cell>
          <cell r="BN46">
            <v>0</v>
          </cell>
          <cell r="BP46">
            <v>0</v>
          </cell>
          <cell r="BR46">
            <v>0</v>
          </cell>
          <cell r="BT46">
            <v>0</v>
          </cell>
          <cell r="BV46">
            <v>0</v>
          </cell>
          <cell r="BX46">
            <v>0</v>
          </cell>
          <cell r="BZ46">
            <v>0</v>
          </cell>
          <cell r="CB46">
            <v>0</v>
          </cell>
          <cell r="CD46">
            <v>0</v>
          </cell>
          <cell r="CF46">
            <v>0</v>
          </cell>
          <cell r="CH46">
            <v>0</v>
          </cell>
          <cell r="CJ46">
            <v>0</v>
          </cell>
          <cell r="CK46">
            <v>3</v>
          </cell>
          <cell r="CL46">
            <v>250827</v>
          </cell>
          <cell r="CN46">
            <v>0</v>
          </cell>
          <cell r="CP46">
            <v>0</v>
          </cell>
        </row>
        <row r="47">
          <cell r="A47">
            <v>46</v>
          </cell>
          <cell r="B47" t="str">
            <v>SUMINISTRO E INSTALACIÓN DE SIFÓN SANITARIO DE 4" PVC</v>
          </cell>
          <cell r="C47" t="str">
            <v>UND</v>
          </cell>
          <cell r="D47">
            <v>10</v>
          </cell>
          <cell r="E47">
            <v>80199</v>
          </cell>
          <cell r="F47">
            <v>801990</v>
          </cell>
          <cell r="H47">
            <v>0</v>
          </cell>
          <cell r="J47">
            <v>0</v>
          </cell>
          <cell r="L47">
            <v>0</v>
          </cell>
          <cell r="M47">
            <v>1</v>
          </cell>
          <cell r="N47">
            <v>80199</v>
          </cell>
          <cell r="O47">
            <v>1</v>
          </cell>
          <cell r="P47">
            <v>80199</v>
          </cell>
          <cell r="Q47">
            <v>1</v>
          </cell>
          <cell r="R47">
            <v>80199</v>
          </cell>
          <cell r="S47">
            <v>1</v>
          </cell>
          <cell r="T47">
            <v>80199</v>
          </cell>
          <cell r="V47">
            <v>0</v>
          </cell>
          <cell r="X47">
            <v>0</v>
          </cell>
          <cell r="Z47">
            <v>0</v>
          </cell>
          <cell r="AA47">
            <v>1</v>
          </cell>
          <cell r="AB47">
            <v>80199</v>
          </cell>
          <cell r="AD47">
            <v>0</v>
          </cell>
          <cell r="AF47">
            <v>0</v>
          </cell>
          <cell r="AH47">
            <v>0</v>
          </cell>
          <cell r="AI47">
            <v>1</v>
          </cell>
          <cell r="AJ47">
            <v>80199</v>
          </cell>
          <cell r="AL47">
            <v>0</v>
          </cell>
          <cell r="AN47">
            <v>0</v>
          </cell>
          <cell r="AP47">
            <v>0</v>
          </cell>
          <cell r="AR47">
            <v>0</v>
          </cell>
          <cell r="AS47">
            <v>1</v>
          </cell>
          <cell r="AT47">
            <v>80199</v>
          </cell>
          <cell r="AV47">
            <v>0</v>
          </cell>
          <cell r="AW47"/>
          <cell r="AX47">
            <v>0</v>
          </cell>
          <cell r="AY47">
            <v>1</v>
          </cell>
          <cell r="AZ47">
            <v>80199</v>
          </cell>
          <cell r="BB47">
            <v>0</v>
          </cell>
          <cell r="BC47"/>
          <cell r="BD47">
            <v>0</v>
          </cell>
          <cell r="BF47">
            <v>0</v>
          </cell>
          <cell r="BH47">
            <v>0</v>
          </cell>
          <cell r="BI47">
            <v>1</v>
          </cell>
          <cell r="BJ47">
            <v>80199</v>
          </cell>
          <cell r="BL47">
            <v>0</v>
          </cell>
          <cell r="BN47">
            <v>0</v>
          </cell>
          <cell r="BP47">
            <v>0</v>
          </cell>
          <cell r="BR47">
            <v>0</v>
          </cell>
          <cell r="BT47">
            <v>0</v>
          </cell>
          <cell r="BV47">
            <v>0</v>
          </cell>
          <cell r="BX47">
            <v>0</v>
          </cell>
          <cell r="BZ47">
            <v>0</v>
          </cell>
          <cell r="CB47">
            <v>0</v>
          </cell>
          <cell r="CD47">
            <v>0</v>
          </cell>
          <cell r="CF47">
            <v>0</v>
          </cell>
          <cell r="CH47">
            <v>0</v>
          </cell>
          <cell r="CJ47">
            <v>0</v>
          </cell>
          <cell r="CK47">
            <v>1</v>
          </cell>
          <cell r="CL47">
            <v>80199</v>
          </cell>
          <cell r="CN47">
            <v>0</v>
          </cell>
          <cell r="CO47">
            <v>0</v>
          </cell>
          <cell r="CP47">
            <v>0</v>
          </cell>
        </row>
        <row r="48">
          <cell r="A48">
            <v>47</v>
          </cell>
          <cell r="B48" t="str">
            <v>INSTALACIONES ELECTRICAS</v>
          </cell>
          <cell r="C48"/>
          <cell r="D48"/>
          <cell r="E48"/>
          <cell r="F48">
            <v>22200604.319999997</v>
          </cell>
          <cell r="H48">
            <v>7828470.5199999996</v>
          </cell>
          <cell r="J48">
            <v>989527.39999999991</v>
          </cell>
          <cell r="L48">
            <v>0</v>
          </cell>
          <cell r="N48">
            <v>508075</v>
          </cell>
          <cell r="P48">
            <v>508075</v>
          </cell>
          <cell r="Q48">
            <v>0</v>
          </cell>
          <cell r="R48">
            <v>508075</v>
          </cell>
          <cell r="S48">
            <v>0</v>
          </cell>
          <cell r="T48">
            <v>508075</v>
          </cell>
          <cell r="V48">
            <v>776016.2</v>
          </cell>
          <cell r="X48">
            <v>0</v>
          </cell>
          <cell r="Z48">
            <v>765849</v>
          </cell>
          <cell r="AA48">
            <v>0</v>
          </cell>
          <cell r="AB48">
            <v>508075</v>
          </cell>
          <cell r="AD48">
            <v>0</v>
          </cell>
          <cell r="AF48">
            <v>0</v>
          </cell>
          <cell r="AH48">
            <v>0</v>
          </cell>
          <cell r="AI48">
            <v>0</v>
          </cell>
          <cell r="AJ48">
            <v>508075</v>
          </cell>
          <cell r="AL48">
            <v>0</v>
          </cell>
          <cell r="AN48">
            <v>680940</v>
          </cell>
          <cell r="AP48">
            <v>0</v>
          </cell>
          <cell r="AR48">
            <v>776016.2</v>
          </cell>
          <cell r="AS48">
            <v>0</v>
          </cell>
          <cell r="AT48">
            <v>508075</v>
          </cell>
          <cell r="AV48">
            <v>765849</v>
          </cell>
          <cell r="AW48"/>
          <cell r="AX48">
            <v>0</v>
          </cell>
          <cell r="AY48">
            <v>0</v>
          </cell>
          <cell r="AZ48">
            <v>508075</v>
          </cell>
          <cell r="BB48">
            <v>0</v>
          </cell>
          <cell r="BD48">
            <v>396854</v>
          </cell>
          <cell r="BF48">
            <v>762802</v>
          </cell>
          <cell r="BH48">
            <v>0</v>
          </cell>
          <cell r="BI48">
            <v>0</v>
          </cell>
          <cell r="BJ48">
            <v>508075</v>
          </cell>
          <cell r="BL48">
            <v>0</v>
          </cell>
          <cell r="BN48">
            <v>0</v>
          </cell>
          <cell r="BP48">
            <v>765849</v>
          </cell>
          <cell r="BR48">
            <v>0</v>
          </cell>
          <cell r="BT48">
            <v>776016.2</v>
          </cell>
          <cell r="BV48">
            <v>0</v>
          </cell>
          <cell r="BX48">
            <v>0</v>
          </cell>
          <cell r="BZ48">
            <v>0</v>
          </cell>
          <cell r="CB48">
            <v>776016.2</v>
          </cell>
          <cell r="CD48">
            <v>0</v>
          </cell>
          <cell r="CF48">
            <v>0</v>
          </cell>
          <cell r="CH48">
            <v>0</v>
          </cell>
          <cell r="CJ48">
            <v>776016.2</v>
          </cell>
          <cell r="CL48">
            <v>791707.4</v>
          </cell>
          <cell r="CN48">
            <v>0</v>
          </cell>
          <cell r="CP48">
            <v>0</v>
          </cell>
        </row>
        <row r="49">
          <cell r="A49">
            <v>48</v>
          </cell>
          <cell r="B49" t="str">
            <v>SUMINISTRO E INSTALACIÓN DE ALIMENTADOR PARCIAL MONOFÁSICO EN CABLE DE COBRE No.12 AWG ( F,N,T). (INCLUYE TUBO PVC DE 1/2")</v>
          </cell>
          <cell r="C49" t="str">
            <v>M</v>
          </cell>
          <cell r="D49">
            <v>341.61999999999995</v>
          </cell>
          <cell r="E49">
            <v>50836</v>
          </cell>
          <cell r="F49">
            <v>17366594.319999997</v>
          </cell>
          <cell r="G49">
            <v>127.82</v>
          </cell>
          <cell r="H49">
            <v>6497857.5199999996</v>
          </cell>
          <cell r="I49">
            <v>16.399999999999999</v>
          </cell>
          <cell r="J49">
            <v>833710.39999999991</v>
          </cell>
          <cell r="L49">
            <v>0</v>
          </cell>
          <cell r="M49">
            <v>7</v>
          </cell>
          <cell r="N49">
            <v>355852</v>
          </cell>
          <cell r="O49">
            <v>7</v>
          </cell>
          <cell r="P49">
            <v>355852</v>
          </cell>
          <cell r="Q49">
            <v>7</v>
          </cell>
          <cell r="R49">
            <v>355852</v>
          </cell>
          <cell r="S49">
            <v>7</v>
          </cell>
          <cell r="T49">
            <v>355852</v>
          </cell>
          <cell r="U49">
            <v>12.2</v>
          </cell>
          <cell r="V49">
            <v>620199.19999999995</v>
          </cell>
          <cell r="X49">
            <v>0</v>
          </cell>
          <cell r="Y49">
            <v>12</v>
          </cell>
          <cell r="Z49">
            <v>610032</v>
          </cell>
          <cell r="AA49">
            <v>7</v>
          </cell>
          <cell r="AB49">
            <v>355852</v>
          </cell>
          <cell r="AD49">
            <v>0</v>
          </cell>
          <cell r="AF49">
            <v>0</v>
          </cell>
          <cell r="AH49">
            <v>0</v>
          </cell>
          <cell r="AI49">
            <v>7</v>
          </cell>
          <cell r="AJ49">
            <v>355852</v>
          </cell>
          <cell r="AL49">
            <v>0</v>
          </cell>
          <cell r="AM49">
            <v>11</v>
          </cell>
          <cell r="AN49">
            <v>559196</v>
          </cell>
          <cell r="AP49">
            <v>0</v>
          </cell>
          <cell r="AQ49">
            <v>12.2</v>
          </cell>
          <cell r="AR49">
            <v>620199.19999999995</v>
          </cell>
          <cell r="AS49">
            <v>7</v>
          </cell>
          <cell r="AT49">
            <v>355852</v>
          </cell>
          <cell r="AU49">
            <v>12</v>
          </cell>
          <cell r="AV49">
            <v>610032</v>
          </cell>
          <cell r="AW49"/>
          <cell r="AX49">
            <v>0</v>
          </cell>
          <cell r="AY49">
            <v>7</v>
          </cell>
          <cell r="AZ49">
            <v>355852</v>
          </cell>
          <cell r="BB49">
            <v>0</v>
          </cell>
          <cell r="BC49">
            <v>6</v>
          </cell>
          <cell r="BD49">
            <v>305016</v>
          </cell>
          <cell r="BE49">
            <v>10</v>
          </cell>
          <cell r="BF49">
            <v>508360</v>
          </cell>
          <cell r="BH49">
            <v>0</v>
          </cell>
          <cell r="BI49">
            <v>7</v>
          </cell>
          <cell r="BJ49">
            <v>355852</v>
          </cell>
          <cell r="BL49">
            <v>0</v>
          </cell>
          <cell r="BN49">
            <v>0</v>
          </cell>
          <cell r="BO49">
            <v>12</v>
          </cell>
          <cell r="BP49">
            <v>610032</v>
          </cell>
          <cell r="BR49">
            <v>0</v>
          </cell>
          <cell r="BS49">
            <v>12.2</v>
          </cell>
          <cell r="BT49">
            <v>620199.19999999995</v>
          </cell>
          <cell r="BV49">
            <v>0</v>
          </cell>
          <cell r="BX49">
            <v>0</v>
          </cell>
          <cell r="BZ49">
            <v>0</v>
          </cell>
          <cell r="CA49">
            <v>12.2</v>
          </cell>
          <cell r="CB49">
            <v>620199.19999999995</v>
          </cell>
          <cell r="CD49">
            <v>0</v>
          </cell>
          <cell r="CF49">
            <v>0</v>
          </cell>
          <cell r="CH49">
            <v>0</v>
          </cell>
          <cell r="CI49">
            <v>12.2</v>
          </cell>
          <cell r="CJ49">
            <v>620199.19999999995</v>
          </cell>
          <cell r="CK49">
            <v>10.4</v>
          </cell>
          <cell r="CL49">
            <v>528694.4</v>
          </cell>
          <cell r="CN49">
            <v>0</v>
          </cell>
          <cell r="CP49">
            <v>0</v>
          </cell>
        </row>
        <row r="50">
          <cell r="A50">
            <v>49</v>
          </cell>
          <cell r="B50" t="str">
            <v xml:space="preserve">SUMINISTRO E INSTALACION DE INTERRUPTOR SENCILLO </v>
          </cell>
          <cell r="C50" t="str">
            <v>UND</v>
          </cell>
          <cell r="D50">
            <v>21</v>
          </cell>
          <cell r="E50">
            <v>29906</v>
          </cell>
          <cell r="F50">
            <v>628026</v>
          </cell>
          <cell r="G50">
            <v>8</v>
          </cell>
          <cell r="H50">
            <v>239248</v>
          </cell>
          <cell r="I50">
            <v>1</v>
          </cell>
          <cell r="J50">
            <v>29906</v>
          </cell>
          <cell r="L50">
            <v>0</v>
          </cell>
          <cell r="N50">
            <v>0</v>
          </cell>
          <cell r="P50">
            <v>0</v>
          </cell>
          <cell r="Q50">
            <v>0</v>
          </cell>
          <cell r="R50">
            <v>0</v>
          </cell>
          <cell r="S50">
            <v>0</v>
          </cell>
          <cell r="T50">
            <v>0</v>
          </cell>
          <cell r="U50">
            <v>1</v>
          </cell>
          <cell r="V50">
            <v>29906</v>
          </cell>
          <cell r="X50">
            <v>0</v>
          </cell>
          <cell r="Y50">
            <v>1</v>
          </cell>
          <cell r="Z50">
            <v>29906</v>
          </cell>
          <cell r="AA50">
            <v>0</v>
          </cell>
          <cell r="AB50">
            <v>0</v>
          </cell>
          <cell r="AD50">
            <v>0</v>
          </cell>
          <cell r="AF50">
            <v>0</v>
          </cell>
          <cell r="AH50">
            <v>0</v>
          </cell>
          <cell r="AI50">
            <v>0</v>
          </cell>
          <cell r="AJ50">
            <v>0</v>
          </cell>
          <cell r="AL50">
            <v>0</v>
          </cell>
          <cell r="AM50">
            <v>1</v>
          </cell>
          <cell r="AN50">
            <v>29906</v>
          </cell>
          <cell r="AP50">
            <v>0</v>
          </cell>
          <cell r="AQ50">
            <v>1</v>
          </cell>
          <cell r="AR50">
            <v>29906</v>
          </cell>
          <cell r="AS50">
            <v>0</v>
          </cell>
          <cell r="AT50">
            <v>0</v>
          </cell>
          <cell r="AU50">
            <v>1</v>
          </cell>
          <cell r="AV50">
            <v>29906</v>
          </cell>
          <cell r="AW50"/>
          <cell r="AX50">
            <v>0</v>
          </cell>
          <cell r="AY50">
            <v>0</v>
          </cell>
          <cell r="AZ50">
            <v>0</v>
          </cell>
          <cell r="BB50">
            <v>0</v>
          </cell>
          <cell r="BD50">
            <v>0</v>
          </cell>
          <cell r="BF50">
            <v>0</v>
          </cell>
          <cell r="BH50">
            <v>0</v>
          </cell>
          <cell r="BI50">
            <v>0</v>
          </cell>
          <cell r="BJ50">
            <v>0</v>
          </cell>
          <cell r="BL50">
            <v>0</v>
          </cell>
          <cell r="BN50">
            <v>0</v>
          </cell>
          <cell r="BO50">
            <v>1</v>
          </cell>
          <cell r="BP50">
            <v>29906</v>
          </cell>
          <cell r="BR50">
            <v>0</v>
          </cell>
          <cell r="BS50">
            <v>1</v>
          </cell>
          <cell r="BT50">
            <v>29906</v>
          </cell>
          <cell r="BV50">
            <v>0</v>
          </cell>
          <cell r="BX50">
            <v>0</v>
          </cell>
          <cell r="BZ50">
            <v>0</v>
          </cell>
          <cell r="CA50">
            <v>1</v>
          </cell>
          <cell r="CB50">
            <v>29906</v>
          </cell>
          <cell r="CD50">
            <v>0</v>
          </cell>
          <cell r="CF50">
            <v>0</v>
          </cell>
          <cell r="CH50">
            <v>0</v>
          </cell>
          <cell r="CI50">
            <v>1</v>
          </cell>
          <cell r="CJ50">
            <v>29906</v>
          </cell>
          <cell r="CK50">
            <v>3</v>
          </cell>
          <cell r="CL50">
            <v>89718</v>
          </cell>
          <cell r="CN50">
            <v>0</v>
          </cell>
          <cell r="CP50">
            <v>0</v>
          </cell>
        </row>
        <row r="51">
          <cell r="A51">
            <v>50</v>
          </cell>
          <cell r="B51" t="str">
            <v xml:space="preserve">SUMINISTRO E INSTALACION DE INTERRUPTOR DOBLE </v>
          </cell>
          <cell r="C51" t="str">
            <v>UND</v>
          </cell>
          <cell r="D51">
            <v>11</v>
          </cell>
          <cell r="E51">
            <v>36693</v>
          </cell>
          <cell r="F51">
            <v>403623</v>
          </cell>
          <cell r="G51">
            <v>1</v>
          </cell>
          <cell r="H51">
            <v>36693</v>
          </cell>
          <cell r="I51"/>
          <cell r="J51">
            <v>0</v>
          </cell>
          <cell r="K51"/>
          <cell r="L51">
            <v>0</v>
          </cell>
          <cell r="M51">
            <v>1</v>
          </cell>
          <cell r="N51">
            <v>36693</v>
          </cell>
          <cell r="O51">
            <v>1</v>
          </cell>
          <cell r="P51">
            <v>36693</v>
          </cell>
          <cell r="Q51">
            <v>1</v>
          </cell>
          <cell r="R51">
            <v>36693</v>
          </cell>
          <cell r="S51">
            <v>1</v>
          </cell>
          <cell r="T51">
            <v>36693</v>
          </cell>
          <cell r="U51"/>
          <cell r="V51">
            <v>0</v>
          </cell>
          <cell r="W51"/>
          <cell r="X51">
            <v>0</v>
          </cell>
          <cell r="Y51"/>
          <cell r="Z51">
            <v>0</v>
          </cell>
          <cell r="AA51">
            <v>1</v>
          </cell>
          <cell r="AB51">
            <v>36693</v>
          </cell>
          <cell r="AC51"/>
          <cell r="AD51">
            <v>0</v>
          </cell>
          <cell r="AE51"/>
          <cell r="AF51">
            <v>0</v>
          </cell>
          <cell r="AG51"/>
          <cell r="AH51">
            <v>0</v>
          </cell>
          <cell r="AI51">
            <v>1</v>
          </cell>
          <cell r="AJ51">
            <v>36693</v>
          </cell>
          <cell r="AK51"/>
          <cell r="AL51">
            <v>0</v>
          </cell>
          <cell r="AM51"/>
          <cell r="AN51">
            <v>0</v>
          </cell>
          <cell r="AO51"/>
          <cell r="AP51">
            <v>0</v>
          </cell>
          <cell r="AQ51"/>
          <cell r="AR51">
            <v>0</v>
          </cell>
          <cell r="AS51">
            <v>1</v>
          </cell>
          <cell r="AT51">
            <v>36693</v>
          </cell>
          <cell r="AU51"/>
          <cell r="AV51">
            <v>0</v>
          </cell>
          <cell r="AW51"/>
          <cell r="AX51">
            <v>0</v>
          </cell>
          <cell r="AY51">
            <v>1</v>
          </cell>
          <cell r="AZ51">
            <v>36693</v>
          </cell>
          <cell r="BA51"/>
          <cell r="BB51">
            <v>0</v>
          </cell>
          <cell r="BC51"/>
          <cell r="BD51">
            <v>0</v>
          </cell>
          <cell r="BE51">
            <v>1</v>
          </cell>
          <cell r="BF51">
            <v>36693</v>
          </cell>
          <cell r="BG51"/>
          <cell r="BH51">
            <v>0</v>
          </cell>
          <cell r="BI51">
            <v>1</v>
          </cell>
          <cell r="BJ51">
            <v>36693</v>
          </cell>
          <cell r="BK51"/>
          <cell r="BL51">
            <v>0</v>
          </cell>
          <cell r="BM51"/>
          <cell r="BN51">
            <v>0</v>
          </cell>
          <cell r="BO51"/>
          <cell r="BP51">
            <v>0</v>
          </cell>
          <cell r="BQ51"/>
          <cell r="BR51">
            <v>0</v>
          </cell>
          <cell r="BS51"/>
          <cell r="BT51">
            <v>0</v>
          </cell>
          <cell r="BU51"/>
          <cell r="BV51">
            <v>0</v>
          </cell>
          <cell r="BW51"/>
          <cell r="BX51">
            <v>0</v>
          </cell>
          <cell r="BY51"/>
          <cell r="BZ51">
            <v>0</v>
          </cell>
          <cell r="CA51"/>
          <cell r="CB51">
            <v>0</v>
          </cell>
          <cell r="CC51"/>
          <cell r="CD51">
            <v>0</v>
          </cell>
          <cell r="CE51"/>
          <cell r="CF51">
            <v>0</v>
          </cell>
          <cell r="CG51"/>
          <cell r="CH51">
            <v>0</v>
          </cell>
          <cell r="CI51"/>
          <cell r="CJ51">
            <v>0</v>
          </cell>
          <cell r="CK51"/>
          <cell r="CL51">
            <v>0</v>
          </cell>
          <cell r="CM51"/>
          <cell r="CN51">
            <v>0</v>
          </cell>
          <cell r="CO51"/>
          <cell r="CP51">
            <v>0</v>
          </cell>
        </row>
        <row r="52">
          <cell r="A52">
            <v>51</v>
          </cell>
          <cell r="B52" t="str">
            <v>SUMINISTRO E INSTALACION DE PLAFON Y BOMBILLO DE 40W</v>
          </cell>
          <cell r="C52" t="str">
            <v>UND</v>
          </cell>
          <cell r="D52">
            <v>44</v>
          </cell>
          <cell r="E52">
            <v>57765</v>
          </cell>
          <cell r="F52">
            <v>2541660</v>
          </cell>
          <cell r="G52">
            <v>10</v>
          </cell>
          <cell r="H52">
            <v>577650</v>
          </cell>
          <cell r="I52">
            <v>1</v>
          </cell>
          <cell r="J52">
            <v>57765</v>
          </cell>
          <cell r="K52"/>
          <cell r="L52">
            <v>0</v>
          </cell>
          <cell r="M52">
            <v>2</v>
          </cell>
          <cell r="N52">
            <v>115530</v>
          </cell>
          <cell r="O52">
            <v>2</v>
          </cell>
          <cell r="P52">
            <v>115530</v>
          </cell>
          <cell r="Q52">
            <v>2</v>
          </cell>
          <cell r="R52">
            <v>115530</v>
          </cell>
          <cell r="S52">
            <v>2</v>
          </cell>
          <cell r="T52">
            <v>115530</v>
          </cell>
          <cell r="U52">
            <v>1</v>
          </cell>
          <cell r="V52">
            <v>57765</v>
          </cell>
          <cell r="W52"/>
          <cell r="X52">
            <v>0</v>
          </cell>
          <cell r="Y52">
            <v>1</v>
          </cell>
          <cell r="Z52">
            <v>57765</v>
          </cell>
          <cell r="AA52">
            <v>2</v>
          </cell>
          <cell r="AB52">
            <v>115530</v>
          </cell>
          <cell r="AC52"/>
          <cell r="AD52">
            <v>0</v>
          </cell>
          <cell r="AE52"/>
          <cell r="AF52">
            <v>0</v>
          </cell>
          <cell r="AG52"/>
          <cell r="AH52">
            <v>0</v>
          </cell>
          <cell r="AI52">
            <v>2</v>
          </cell>
          <cell r="AJ52">
            <v>115530</v>
          </cell>
          <cell r="AK52"/>
          <cell r="AL52">
            <v>0</v>
          </cell>
          <cell r="AM52">
            <v>1</v>
          </cell>
          <cell r="AN52">
            <v>57765</v>
          </cell>
          <cell r="AO52"/>
          <cell r="AP52">
            <v>0</v>
          </cell>
          <cell r="AQ52">
            <v>1</v>
          </cell>
          <cell r="AR52">
            <v>57765</v>
          </cell>
          <cell r="AS52">
            <v>2</v>
          </cell>
          <cell r="AT52">
            <v>115530</v>
          </cell>
          <cell r="AU52">
            <v>1</v>
          </cell>
          <cell r="AV52">
            <v>57765</v>
          </cell>
          <cell r="AW52"/>
          <cell r="AX52">
            <v>0</v>
          </cell>
          <cell r="AY52">
            <v>2</v>
          </cell>
          <cell r="AZ52">
            <v>115530</v>
          </cell>
          <cell r="BA52"/>
          <cell r="BB52">
            <v>0</v>
          </cell>
          <cell r="BC52">
            <v>1</v>
          </cell>
          <cell r="BD52">
            <v>57765</v>
          </cell>
          <cell r="BE52">
            <v>2</v>
          </cell>
          <cell r="BF52">
            <v>115530</v>
          </cell>
          <cell r="BG52"/>
          <cell r="BH52">
            <v>0</v>
          </cell>
          <cell r="BI52">
            <v>2</v>
          </cell>
          <cell r="BJ52">
            <v>115530</v>
          </cell>
          <cell r="BK52"/>
          <cell r="BL52">
            <v>0</v>
          </cell>
          <cell r="BM52"/>
          <cell r="BN52">
            <v>0</v>
          </cell>
          <cell r="BO52">
            <v>1</v>
          </cell>
          <cell r="BP52">
            <v>57765</v>
          </cell>
          <cell r="BQ52"/>
          <cell r="BR52">
            <v>0</v>
          </cell>
          <cell r="BS52">
            <v>1</v>
          </cell>
          <cell r="BT52">
            <v>57765</v>
          </cell>
          <cell r="BU52"/>
          <cell r="BV52">
            <v>0</v>
          </cell>
          <cell r="BW52"/>
          <cell r="BX52">
            <v>0</v>
          </cell>
          <cell r="BY52"/>
          <cell r="BZ52">
            <v>0</v>
          </cell>
          <cell r="CA52">
            <v>1</v>
          </cell>
          <cell r="CB52">
            <v>57765</v>
          </cell>
          <cell r="CC52"/>
          <cell r="CD52">
            <v>0</v>
          </cell>
          <cell r="CE52"/>
          <cell r="CF52">
            <v>0</v>
          </cell>
          <cell r="CG52"/>
          <cell r="CH52">
            <v>0</v>
          </cell>
          <cell r="CI52">
            <v>1</v>
          </cell>
          <cell r="CJ52">
            <v>57765</v>
          </cell>
          <cell r="CK52">
            <v>3</v>
          </cell>
          <cell r="CL52">
            <v>173295</v>
          </cell>
          <cell r="CM52"/>
          <cell r="CN52">
            <v>0</v>
          </cell>
          <cell r="CO52"/>
          <cell r="CP52">
            <v>0</v>
          </cell>
        </row>
        <row r="53">
          <cell r="A53">
            <v>52</v>
          </cell>
          <cell r="B53" t="str">
            <v>SUMINISTRO E INSTALACIÓN DE TOMACORRIENTE DOBLE MONOFÁSICA</v>
          </cell>
          <cell r="C53" t="str">
            <v>UND</v>
          </cell>
          <cell r="D53">
            <v>37</v>
          </cell>
          <cell r="E53">
            <v>34073</v>
          </cell>
          <cell r="F53">
            <v>1260701</v>
          </cell>
          <cell r="G53">
            <v>14</v>
          </cell>
          <cell r="H53">
            <v>477022</v>
          </cell>
          <cell r="I53">
            <v>2</v>
          </cell>
          <cell r="J53">
            <v>68146</v>
          </cell>
          <cell r="K53"/>
          <cell r="L53">
            <v>0</v>
          </cell>
          <cell r="M53"/>
          <cell r="N53">
            <v>0</v>
          </cell>
          <cell r="O53"/>
          <cell r="P53">
            <v>0</v>
          </cell>
          <cell r="Q53">
            <v>0</v>
          </cell>
          <cell r="R53">
            <v>0</v>
          </cell>
          <cell r="S53">
            <v>0</v>
          </cell>
          <cell r="T53">
            <v>0</v>
          </cell>
          <cell r="U53">
            <v>2</v>
          </cell>
          <cell r="V53">
            <v>68146</v>
          </cell>
          <cell r="W53"/>
          <cell r="X53">
            <v>0</v>
          </cell>
          <cell r="Y53">
            <v>2</v>
          </cell>
          <cell r="Z53">
            <v>68146</v>
          </cell>
          <cell r="AA53">
            <v>0</v>
          </cell>
          <cell r="AB53">
            <v>0</v>
          </cell>
          <cell r="AC53"/>
          <cell r="AD53">
            <v>0</v>
          </cell>
          <cell r="AE53"/>
          <cell r="AF53">
            <v>0</v>
          </cell>
          <cell r="AG53"/>
          <cell r="AH53">
            <v>0</v>
          </cell>
          <cell r="AI53">
            <v>0</v>
          </cell>
          <cell r="AJ53">
            <v>0</v>
          </cell>
          <cell r="AK53"/>
          <cell r="AL53">
            <v>0</v>
          </cell>
          <cell r="AM53">
            <v>1</v>
          </cell>
          <cell r="AN53">
            <v>34073</v>
          </cell>
          <cell r="AO53"/>
          <cell r="AP53">
            <v>0</v>
          </cell>
          <cell r="AQ53">
            <v>2</v>
          </cell>
          <cell r="AR53">
            <v>68146</v>
          </cell>
          <cell r="AS53">
            <v>0</v>
          </cell>
          <cell r="AT53">
            <v>0</v>
          </cell>
          <cell r="AU53">
            <v>2</v>
          </cell>
          <cell r="AV53">
            <v>68146</v>
          </cell>
          <cell r="AW53"/>
          <cell r="AX53">
            <v>0</v>
          </cell>
          <cell r="AY53">
            <v>0</v>
          </cell>
          <cell r="AZ53">
            <v>0</v>
          </cell>
          <cell r="BA53"/>
          <cell r="BB53">
            <v>0</v>
          </cell>
          <cell r="BC53">
            <v>1</v>
          </cell>
          <cell r="BD53">
            <v>34073</v>
          </cell>
          <cell r="BE53">
            <v>3</v>
          </cell>
          <cell r="BF53">
            <v>102219</v>
          </cell>
          <cell r="BG53"/>
          <cell r="BH53">
            <v>0</v>
          </cell>
          <cell r="BI53">
            <v>0</v>
          </cell>
          <cell r="BJ53">
            <v>0</v>
          </cell>
          <cell r="BK53"/>
          <cell r="BL53">
            <v>0</v>
          </cell>
          <cell r="BM53"/>
          <cell r="BN53">
            <v>0</v>
          </cell>
          <cell r="BO53">
            <v>2</v>
          </cell>
          <cell r="BP53">
            <v>68146</v>
          </cell>
          <cell r="BQ53"/>
          <cell r="BR53">
            <v>0</v>
          </cell>
          <cell r="BS53">
            <v>2</v>
          </cell>
          <cell r="BT53">
            <v>68146</v>
          </cell>
          <cell r="BU53"/>
          <cell r="BV53">
            <v>0</v>
          </cell>
          <cell r="BW53"/>
          <cell r="BX53">
            <v>0</v>
          </cell>
          <cell r="BY53"/>
          <cell r="BZ53">
            <v>0</v>
          </cell>
          <cell r="CA53">
            <v>2</v>
          </cell>
          <cell r="CB53">
            <v>68146</v>
          </cell>
          <cell r="CC53"/>
          <cell r="CD53">
            <v>0</v>
          </cell>
          <cell r="CE53"/>
          <cell r="CF53">
            <v>0</v>
          </cell>
          <cell r="CG53"/>
          <cell r="CH53">
            <v>0</v>
          </cell>
          <cell r="CI53">
            <v>2</v>
          </cell>
          <cell r="CJ53">
            <v>68146</v>
          </cell>
          <cell r="CK53"/>
          <cell r="CL53">
            <v>0</v>
          </cell>
          <cell r="CM53"/>
          <cell r="CN53">
            <v>0</v>
          </cell>
          <cell r="CO53"/>
          <cell r="CP53">
            <v>0</v>
          </cell>
        </row>
        <row r="54">
          <cell r="A54">
            <v>53</v>
          </cell>
          <cell r="B54" t="str">
            <v>MAMPOSTERIA, ENCHAPES Y PISOS</v>
          </cell>
          <cell r="C54"/>
          <cell r="D54"/>
          <cell r="E54"/>
          <cell r="F54">
            <v>240174250.23999998</v>
          </cell>
          <cell r="H54">
            <v>12153134.062000001</v>
          </cell>
          <cell r="J54">
            <v>8661148.5309999995</v>
          </cell>
          <cell r="L54">
            <v>0</v>
          </cell>
          <cell r="N54">
            <v>7597103.803199999</v>
          </cell>
          <cell r="P54">
            <v>7597103.803199999</v>
          </cell>
          <cell r="Q54">
            <v>0</v>
          </cell>
          <cell r="R54">
            <v>7597103.803199999</v>
          </cell>
          <cell r="S54">
            <v>0</v>
          </cell>
          <cell r="T54">
            <v>8437159.6091999989</v>
          </cell>
          <cell r="V54">
            <v>6612506.6272000009</v>
          </cell>
          <cell r="X54">
            <v>0</v>
          </cell>
          <cell r="Z54">
            <v>10576275.48</v>
          </cell>
          <cell r="AA54">
            <v>0</v>
          </cell>
          <cell r="AB54">
            <v>8437159.6091999989</v>
          </cell>
          <cell r="AD54">
            <v>0</v>
          </cell>
          <cell r="AF54">
            <v>3349526.0599999996</v>
          </cell>
          <cell r="AH54">
            <v>0</v>
          </cell>
          <cell r="AI54">
            <v>0</v>
          </cell>
          <cell r="AJ54">
            <v>8437159.6091999989</v>
          </cell>
          <cell r="AL54">
            <v>2955148.12</v>
          </cell>
          <cell r="AN54">
            <v>13409139.76</v>
          </cell>
          <cell r="AP54">
            <v>0</v>
          </cell>
          <cell r="AR54">
            <v>7504826.9272000017</v>
          </cell>
          <cell r="AS54">
            <v>0</v>
          </cell>
          <cell r="AT54">
            <v>8437159.6091999989</v>
          </cell>
          <cell r="AV54">
            <v>10576275.48</v>
          </cell>
          <cell r="AW54"/>
          <cell r="AX54">
            <v>6404776.6200000001</v>
          </cell>
          <cell r="AY54">
            <v>0</v>
          </cell>
          <cell r="AZ54">
            <v>8437159.6091999989</v>
          </cell>
          <cell r="BB54">
            <v>0</v>
          </cell>
          <cell r="BD54">
            <v>4230990.5999999996</v>
          </cell>
          <cell r="BF54">
            <v>7950539.8200000003</v>
          </cell>
          <cell r="BH54">
            <v>0</v>
          </cell>
          <cell r="BI54">
            <v>0</v>
          </cell>
          <cell r="BJ54">
            <v>8437159.6091999989</v>
          </cell>
          <cell r="BL54">
            <v>0</v>
          </cell>
          <cell r="BN54">
            <v>5089688.8679999989</v>
          </cell>
          <cell r="BP54">
            <v>10576275.48</v>
          </cell>
          <cell r="BR54">
            <v>0</v>
          </cell>
          <cell r="BT54">
            <v>8019146.6272000009</v>
          </cell>
          <cell r="BV54">
            <v>5807415.3600000003</v>
          </cell>
          <cell r="BX54">
            <v>10823241.643000001</v>
          </cell>
          <cell r="BZ54">
            <v>0</v>
          </cell>
          <cell r="CB54">
            <v>7001950.7400000002</v>
          </cell>
          <cell r="CD54">
            <v>0</v>
          </cell>
          <cell r="CF54">
            <v>11599999.168</v>
          </cell>
          <cell r="CH54">
            <v>0</v>
          </cell>
          <cell r="CJ54">
            <v>6612506.6272000009</v>
          </cell>
          <cell r="CL54">
            <v>6846139.2112000007</v>
          </cell>
          <cell r="CN54">
            <v>0</v>
          </cell>
          <cell r="CP54">
            <v>0</v>
          </cell>
        </row>
        <row r="55">
          <cell r="A55">
            <v>54</v>
          </cell>
          <cell r="B55" t="str">
            <v>MURO EN BLOQUE No 4</v>
          </cell>
          <cell r="C55" t="str">
            <v>M2</v>
          </cell>
          <cell r="D55">
            <v>499.26</v>
          </cell>
          <cell r="E55">
            <v>110998</v>
          </cell>
          <cell r="F55">
            <v>55416861.479999997</v>
          </cell>
          <cell r="H55">
            <v>0</v>
          </cell>
          <cell r="I55">
            <v>22.922499999999999</v>
          </cell>
          <cell r="J55">
            <v>2544351.6549999998</v>
          </cell>
          <cell r="L55">
            <v>0</v>
          </cell>
          <cell r="M55">
            <v>15.45</v>
          </cell>
          <cell r="N55">
            <v>1714919.0999999999</v>
          </cell>
          <cell r="O55">
            <v>15.45</v>
          </cell>
          <cell r="P55">
            <v>1714919.0999999999</v>
          </cell>
          <cell r="Q55">
            <v>15.45</v>
          </cell>
          <cell r="R55">
            <v>1714919.0999999999</v>
          </cell>
          <cell r="S55">
            <v>15.45</v>
          </cell>
          <cell r="T55">
            <v>1714919.0999999999</v>
          </cell>
          <cell r="U55">
            <v>16.1754</v>
          </cell>
          <cell r="V55">
            <v>1795437.0492</v>
          </cell>
          <cell r="X55">
            <v>0</v>
          </cell>
          <cell r="Y55">
            <v>28.43</v>
          </cell>
          <cell r="Z55">
            <v>3155673.14</v>
          </cell>
          <cell r="AA55">
            <v>15.45</v>
          </cell>
          <cell r="AB55">
            <v>1714919.0999999999</v>
          </cell>
          <cell r="AD55">
            <v>0</v>
          </cell>
          <cell r="AF55">
            <v>0</v>
          </cell>
          <cell r="AH55">
            <v>0</v>
          </cell>
          <cell r="AI55">
            <v>15.45</v>
          </cell>
          <cell r="AJ55">
            <v>1714919.0999999999</v>
          </cell>
          <cell r="AK55">
            <v>14.34</v>
          </cell>
          <cell r="AL55">
            <v>1591711.32</v>
          </cell>
          <cell r="AM55">
            <v>35.520000000000003</v>
          </cell>
          <cell r="AN55">
            <v>3942648.9600000004</v>
          </cell>
          <cell r="AP55">
            <v>0</v>
          </cell>
          <cell r="AQ55">
            <v>19.285399999999999</v>
          </cell>
          <cell r="AR55">
            <v>2140640.8292</v>
          </cell>
          <cell r="AS55">
            <v>15.45</v>
          </cell>
          <cell r="AT55">
            <v>1714919.0999999999</v>
          </cell>
          <cell r="AU55">
            <v>28.43</v>
          </cell>
          <cell r="AV55">
            <v>3155673.14</v>
          </cell>
          <cell r="AW55">
            <v>26.29</v>
          </cell>
          <cell r="AX55">
            <v>2918137.42</v>
          </cell>
          <cell r="AY55">
            <v>15.45</v>
          </cell>
          <cell r="AZ55">
            <v>1714919.0999999999</v>
          </cell>
          <cell r="BB55">
            <v>0</v>
          </cell>
          <cell r="BD55">
            <v>0</v>
          </cell>
          <cell r="BE55">
            <v>16.55</v>
          </cell>
          <cell r="BF55">
            <v>1837016.9000000001</v>
          </cell>
          <cell r="BH55">
            <v>0</v>
          </cell>
          <cell r="BI55">
            <v>15.45</v>
          </cell>
          <cell r="BJ55">
            <v>1714919.0999999999</v>
          </cell>
          <cell r="BL55">
            <v>0</v>
          </cell>
          <cell r="BN55">
            <v>0</v>
          </cell>
          <cell r="BO55">
            <v>28.43</v>
          </cell>
          <cell r="BP55">
            <v>3155673.14</v>
          </cell>
          <cell r="BR55">
            <v>0</v>
          </cell>
          <cell r="BS55">
            <v>22.1754</v>
          </cell>
          <cell r="BT55">
            <v>2461425.0491999998</v>
          </cell>
          <cell r="BU55">
            <v>52.32</v>
          </cell>
          <cell r="BV55">
            <v>5807415.3600000003</v>
          </cell>
          <cell r="BW55">
            <v>1.7849999999999999</v>
          </cell>
          <cell r="BX55">
            <v>198131.43</v>
          </cell>
          <cell r="BZ55">
            <v>0</v>
          </cell>
          <cell r="CA55">
            <v>16.850000000000001</v>
          </cell>
          <cell r="CB55">
            <v>1870316.3</v>
          </cell>
          <cell r="CD55">
            <v>0</v>
          </cell>
          <cell r="CF55">
            <v>0</v>
          </cell>
          <cell r="CH55">
            <v>0</v>
          </cell>
          <cell r="CI55">
            <v>16.1754</v>
          </cell>
          <cell r="CJ55">
            <v>1795437.0492</v>
          </cell>
          <cell r="CK55">
            <v>14.5334</v>
          </cell>
          <cell r="CL55">
            <v>1613178.3332</v>
          </cell>
          <cell r="CN55">
            <v>0</v>
          </cell>
          <cell r="CP55">
            <v>0</v>
          </cell>
        </row>
        <row r="56">
          <cell r="A56">
            <v>55</v>
          </cell>
          <cell r="B56" t="str">
            <v>PAÑETE LISO SOBRE MURO E=1,5 CM</v>
          </cell>
          <cell r="C56" t="str">
            <v>M2</v>
          </cell>
          <cell r="D56">
            <v>1589.42</v>
          </cell>
          <cell r="E56">
            <v>55661</v>
          </cell>
          <cell r="F56">
            <v>88468706.620000005</v>
          </cell>
          <cell r="G56">
            <v>218.34200000000001</v>
          </cell>
          <cell r="H56">
            <v>12153134.062000001</v>
          </cell>
          <cell r="I56">
            <v>60.844999999999999</v>
          </cell>
          <cell r="J56">
            <v>3386693.5449999999</v>
          </cell>
          <cell r="K56"/>
          <cell r="L56">
            <v>0</v>
          </cell>
          <cell r="M56">
            <v>45.289200000000001</v>
          </cell>
          <cell r="N56">
            <v>2520842.1612</v>
          </cell>
          <cell r="O56">
            <v>45.289200000000001</v>
          </cell>
          <cell r="P56">
            <v>2520842.1612</v>
          </cell>
          <cell r="Q56">
            <v>45.289200000000001</v>
          </cell>
          <cell r="R56">
            <v>2520842.1612</v>
          </cell>
          <cell r="S56">
            <v>45.289200000000001</v>
          </cell>
          <cell r="T56">
            <v>2520842.1612</v>
          </cell>
          <cell r="U56">
            <v>40.968000000000004</v>
          </cell>
          <cell r="V56">
            <v>2280319.8480000002</v>
          </cell>
          <cell r="W56"/>
          <cell r="X56">
            <v>0</v>
          </cell>
          <cell r="Y56">
            <v>71.2</v>
          </cell>
          <cell r="Z56">
            <v>3963063.2</v>
          </cell>
          <cell r="AA56">
            <v>45.289200000000001</v>
          </cell>
          <cell r="AB56">
            <v>2520842.1612</v>
          </cell>
          <cell r="AC56"/>
          <cell r="AD56">
            <v>0</v>
          </cell>
          <cell r="AE56"/>
          <cell r="AF56">
            <v>0</v>
          </cell>
          <cell r="AG56"/>
          <cell r="AH56">
            <v>0</v>
          </cell>
          <cell r="AI56">
            <v>45.289200000000001</v>
          </cell>
          <cell r="AJ56">
            <v>2520842.1612</v>
          </cell>
          <cell r="AK56">
            <v>17.12</v>
          </cell>
          <cell r="AL56">
            <v>952916.32000000007</v>
          </cell>
          <cell r="AM56">
            <v>84.35</v>
          </cell>
          <cell r="AN56">
            <v>4695005.3499999996</v>
          </cell>
          <cell r="AO56"/>
          <cell r="AP56">
            <v>0</v>
          </cell>
          <cell r="AQ56">
            <v>47.588000000000008</v>
          </cell>
          <cell r="AR56">
            <v>2648795.6680000005</v>
          </cell>
          <cell r="AS56">
            <v>45.289200000000001</v>
          </cell>
          <cell r="AT56">
            <v>2520842.1612</v>
          </cell>
          <cell r="AU56">
            <v>71.2</v>
          </cell>
          <cell r="AV56">
            <v>3963063.2</v>
          </cell>
          <cell r="AW56">
            <v>43.78</v>
          </cell>
          <cell r="AX56">
            <v>2436838.58</v>
          </cell>
          <cell r="AY56">
            <v>45.289200000000001</v>
          </cell>
          <cell r="AZ56">
            <v>2520842.1612</v>
          </cell>
          <cell r="BA56"/>
          <cell r="BB56">
            <v>0</v>
          </cell>
          <cell r="BC56"/>
          <cell r="BD56">
            <v>0</v>
          </cell>
          <cell r="BE56">
            <v>42.52</v>
          </cell>
          <cell r="BF56">
            <v>2366705.7200000002</v>
          </cell>
          <cell r="BG56"/>
          <cell r="BH56">
            <v>0</v>
          </cell>
          <cell r="BI56">
            <v>45.289200000000001</v>
          </cell>
          <cell r="BJ56">
            <v>2520842.1612</v>
          </cell>
          <cell r="BK56"/>
          <cell r="BL56">
            <v>0</v>
          </cell>
          <cell r="BM56">
            <v>63.908699999999982</v>
          </cell>
          <cell r="BN56">
            <v>3557222.1506999992</v>
          </cell>
          <cell r="BO56">
            <v>71.2</v>
          </cell>
          <cell r="BP56">
            <v>3963063.2</v>
          </cell>
          <cell r="BQ56"/>
          <cell r="BR56">
            <v>0</v>
          </cell>
          <cell r="BS56">
            <v>50.268000000000001</v>
          </cell>
          <cell r="BT56">
            <v>2797967.148</v>
          </cell>
          <cell r="BU56"/>
          <cell r="BV56">
            <v>0</v>
          </cell>
          <cell r="BW56">
            <v>50.475000000000001</v>
          </cell>
          <cell r="BX56">
            <v>2809488.9750000001</v>
          </cell>
          <cell r="BY56"/>
          <cell r="BZ56">
            <v>0</v>
          </cell>
          <cell r="CA56">
            <v>43.41</v>
          </cell>
          <cell r="CB56">
            <v>2416244.0099999998</v>
          </cell>
          <cell r="CC56"/>
          <cell r="CD56">
            <v>0</v>
          </cell>
          <cell r="CE56">
            <v>125.91520000000003</v>
          </cell>
          <cell r="CF56">
            <v>7008565.9472000012</v>
          </cell>
          <cell r="CG56"/>
          <cell r="CH56">
            <v>0</v>
          </cell>
          <cell r="CI56">
            <v>40.968000000000004</v>
          </cell>
          <cell r="CJ56">
            <v>2280319.8480000002</v>
          </cell>
          <cell r="CK56">
            <v>37.763999999999996</v>
          </cell>
          <cell r="CL56">
            <v>2101982.0039999997</v>
          </cell>
          <cell r="CM56"/>
          <cell r="CN56">
            <v>0</v>
          </cell>
          <cell r="CO56"/>
          <cell r="CP56">
            <v>0</v>
          </cell>
        </row>
        <row r="57">
          <cell r="A57">
            <v>56</v>
          </cell>
          <cell r="B57" t="str">
            <v>ENCHAPE EN CERÁMICA PARA MURO</v>
          </cell>
          <cell r="C57" t="str">
            <v>M2</v>
          </cell>
          <cell r="D57">
            <v>174.89</v>
          </cell>
          <cell r="E57">
            <v>166700</v>
          </cell>
          <cell r="F57">
            <v>29154162.999999996</v>
          </cell>
          <cell r="G57"/>
          <cell r="H57">
            <v>0</v>
          </cell>
          <cell r="I57"/>
          <cell r="J57">
            <v>0</v>
          </cell>
          <cell r="K57"/>
          <cell r="L57">
            <v>0</v>
          </cell>
          <cell r="M57">
            <v>11.879999999999999</v>
          </cell>
          <cell r="N57">
            <v>1980395.9999999998</v>
          </cell>
          <cell r="O57">
            <v>11.879999999999999</v>
          </cell>
          <cell r="P57">
            <v>1980395.9999999998</v>
          </cell>
          <cell r="Q57">
            <v>11.879999999999999</v>
          </cell>
          <cell r="R57">
            <v>1980395.9999999998</v>
          </cell>
          <cell r="S57">
            <v>17.765999999999998</v>
          </cell>
          <cell r="T57">
            <v>2961592.1999999997</v>
          </cell>
          <cell r="U57">
            <v>1.01</v>
          </cell>
          <cell r="V57">
            <v>168367</v>
          </cell>
          <cell r="W57"/>
          <cell r="X57">
            <v>0</v>
          </cell>
          <cell r="Y57"/>
          <cell r="Z57">
            <v>0</v>
          </cell>
          <cell r="AA57">
            <v>17.765999999999998</v>
          </cell>
          <cell r="AB57">
            <v>2961592.1999999997</v>
          </cell>
          <cell r="AC57"/>
          <cell r="AD57">
            <v>0</v>
          </cell>
          <cell r="AE57"/>
          <cell r="AF57">
            <v>0</v>
          </cell>
          <cell r="AG57"/>
          <cell r="AH57">
            <v>0</v>
          </cell>
          <cell r="AI57">
            <v>17.765999999999998</v>
          </cell>
          <cell r="AJ57">
            <v>2961592.1999999997</v>
          </cell>
          <cell r="AK57"/>
          <cell r="AL57">
            <v>0</v>
          </cell>
          <cell r="AM57"/>
          <cell r="AN57">
            <v>0</v>
          </cell>
          <cell r="AO57"/>
          <cell r="AP57">
            <v>0</v>
          </cell>
          <cell r="AQ57">
            <v>1.01</v>
          </cell>
          <cell r="AR57">
            <v>168367</v>
          </cell>
          <cell r="AS57">
            <v>17.765999999999998</v>
          </cell>
          <cell r="AT57">
            <v>2961592.1999999997</v>
          </cell>
          <cell r="AU57"/>
          <cell r="AV57">
            <v>0</v>
          </cell>
          <cell r="AW57"/>
          <cell r="AX57">
            <v>0</v>
          </cell>
          <cell r="AY57">
            <v>17.765999999999998</v>
          </cell>
          <cell r="AZ57">
            <v>2961592.1999999997</v>
          </cell>
          <cell r="BA57"/>
          <cell r="BB57">
            <v>0</v>
          </cell>
          <cell r="BC57">
            <v>11.800999999999998</v>
          </cell>
          <cell r="BD57">
            <v>1967226.6999999997</v>
          </cell>
          <cell r="BE57">
            <v>3.09</v>
          </cell>
          <cell r="BF57">
            <v>515103</v>
          </cell>
          <cell r="BG57"/>
          <cell r="BH57">
            <v>0</v>
          </cell>
          <cell r="BI57">
            <v>17.765999999999998</v>
          </cell>
          <cell r="BJ57">
            <v>2961592.1999999997</v>
          </cell>
          <cell r="BK57"/>
          <cell r="BL57">
            <v>0</v>
          </cell>
          <cell r="BM57"/>
          <cell r="BN57">
            <v>0</v>
          </cell>
          <cell r="BO57"/>
          <cell r="BP57">
            <v>0</v>
          </cell>
          <cell r="BQ57"/>
          <cell r="BR57">
            <v>0</v>
          </cell>
          <cell r="BS57">
            <v>1.01</v>
          </cell>
          <cell r="BT57">
            <v>168367</v>
          </cell>
          <cell r="BU57"/>
          <cell r="BV57">
            <v>0</v>
          </cell>
          <cell r="BW57"/>
          <cell r="BX57">
            <v>0</v>
          </cell>
          <cell r="BY57"/>
          <cell r="BZ57">
            <v>0</v>
          </cell>
          <cell r="CA57">
            <v>1.01</v>
          </cell>
          <cell r="CB57">
            <v>168367</v>
          </cell>
          <cell r="CC57"/>
          <cell r="CD57">
            <v>0</v>
          </cell>
          <cell r="CE57"/>
          <cell r="CF57">
            <v>0</v>
          </cell>
          <cell r="CG57"/>
          <cell r="CH57">
            <v>0</v>
          </cell>
          <cell r="CI57">
            <v>1.01</v>
          </cell>
          <cell r="CJ57">
            <v>168367</v>
          </cell>
          <cell r="CK57">
            <v>12.716000000000001</v>
          </cell>
          <cell r="CL57">
            <v>2119757.2000000002</v>
          </cell>
          <cell r="CM57"/>
          <cell r="CN57">
            <v>0</v>
          </cell>
          <cell r="CO57"/>
          <cell r="CP57">
            <v>0</v>
          </cell>
        </row>
        <row r="58">
          <cell r="A58">
            <v>57</v>
          </cell>
          <cell r="B58" t="str">
            <v>SUMINISTRO E INSTALACIÓN DE VINILO TIPO I SOBRE PAÑETE O ESTUCO A TRES MANOS (INTERIORES)</v>
          </cell>
          <cell r="C58" t="str">
            <v>M2</v>
          </cell>
          <cell r="D58">
            <v>775.21</v>
          </cell>
          <cell r="E58">
            <v>23979</v>
          </cell>
          <cell r="F58">
            <v>18588760.59</v>
          </cell>
          <cell r="G58"/>
          <cell r="H58">
            <v>0</v>
          </cell>
          <cell r="I58">
            <v>60.844999999999999</v>
          </cell>
          <cell r="J58">
            <v>1459002.2549999999</v>
          </cell>
          <cell r="K58"/>
          <cell r="L58">
            <v>0</v>
          </cell>
          <cell r="M58">
            <v>10.764600000000002</v>
          </cell>
          <cell r="N58">
            <v>258124.34340000004</v>
          </cell>
          <cell r="O58">
            <v>10.764600000000002</v>
          </cell>
          <cell r="P58">
            <v>258124.34340000004</v>
          </cell>
          <cell r="Q58">
            <v>10.764600000000002</v>
          </cell>
          <cell r="R58">
            <v>258124.34340000004</v>
          </cell>
          <cell r="S58">
            <v>4.8786000000000023</v>
          </cell>
          <cell r="T58">
            <v>116983.94940000006</v>
          </cell>
          <cell r="U58">
            <v>19.474</v>
          </cell>
          <cell r="V58">
            <v>466967.04600000003</v>
          </cell>
          <cell r="W58"/>
          <cell r="X58">
            <v>0</v>
          </cell>
          <cell r="Y58">
            <v>35.6</v>
          </cell>
          <cell r="Z58">
            <v>853652.4</v>
          </cell>
          <cell r="AA58">
            <v>4.8786000000000023</v>
          </cell>
          <cell r="AB58">
            <v>116983.94940000006</v>
          </cell>
          <cell r="AC58"/>
          <cell r="AD58">
            <v>0</v>
          </cell>
          <cell r="AE58"/>
          <cell r="AF58">
            <v>0</v>
          </cell>
          <cell r="AG58"/>
          <cell r="AH58">
            <v>0</v>
          </cell>
          <cell r="AI58">
            <v>4.8786000000000023</v>
          </cell>
          <cell r="AJ58">
            <v>116983.94940000006</v>
          </cell>
          <cell r="AK58">
            <v>17.12</v>
          </cell>
          <cell r="AL58">
            <v>410520.48000000004</v>
          </cell>
          <cell r="AM58">
            <v>42.174999999999997</v>
          </cell>
          <cell r="AN58">
            <v>1011314.325</v>
          </cell>
          <cell r="AO58"/>
          <cell r="AP58">
            <v>0</v>
          </cell>
          <cell r="AQ58">
            <v>22.783999999999999</v>
          </cell>
          <cell r="AR58">
            <v>546337.53599999996</v>
          </cell>
          <cell r="AS58">
            <v>4.8786000000000023</v>
          </cell>
          <cell r="AT58">
            <v>116983.94940000006</v>
          </cell>
          <cell r="AU58">
            <v>35.6</v>
          </cell>
          <cell r="AV58">
            <v>853652.4</v>
          </cell>
          <cell r="AW58">
            <v>43.78</v>
          </cell>
          <cell r="AX58">
            <v>1049800.6200000001</v>
          </cell>
          <cell r="AY58">
            <v>4.8786000000000023</v>
          </cell>
          <cell r="AZ58">
            <v>116983.94940000006</v>
          </cell>
          <cell r="BA58"/>
          <cell r="BB58">
            <v>0</v>
          </cell>
          <cell r="BC58"/>
          <cell r="BD58">
            <v>0</v>
          </cell>
          <cell r="BE58">
            <v>42.52</v>
          </cell>
          <cell r="BF58">
            <v>1019587.0800000001</v>
          </cell>
          <cell r="BG58"/>
          <cell r="BH58">
            <v>0</v>
          </cell>
          <cell r="BI58">
            <v>4.8786000000000023</v>
          </cell>
          <cell r="BJ58">
            <v>116983.94940000006</v>
          </cell>
          <cell r="BK58"/>
          <cell r="BL58">
            <v>0</v>
          </cell>
          <cell r="BM58">
            <v>63.908699999999982</v>
          </cell>
          <cell r="BN58">
            <v>1532466.7172999997</v>
          </cell>
          <cell r="BO58">
            <v>35.6</v>
          </cell>
          <cell r="BP58">
            <v>853652.4</v>
          </cell>
          <cell r="BQ58"/>
          <cell r="BR58">
            <v>0</v>
          </cell>
          <cell r="BS58">
            <v>28.774000000000001</v>
          </cell>
          <cell r="BT58">
            <v>689971.74600000004</v>
          </cell>
          <cell r="BU58"/>
          <cell r="BV58">
            <v>0</v>
          </cell>
          <cell r="BW58">
            <v>91.47</v>
          </cell>
          <cell r="BX58">
            <v>2193359.13</v>
          </cell>
          <cell r="BY58"/>
          <cell r="BZ58">
            <v>0</v>
          </cell>
          <cell r="CA58">
            <v>22.783999999999999</v>
          </cell>
          <cell r="CB58">
            <v>546337.53599999996</v>
          </cell>
          <cell r="CC58"/>
          <cell r="CD58">
            <v>0</v>
          </cell>
          <cell r="CE58">
            <v>125.91520000000003</v>
          </cell>
          <cell r="CF58">
            <v>3019320.5808000006</v>
          </cell>
          <cell r="CG58"/>
          <cell r="CH58">
            <v>0</v>
          </cell>
          <cell r="CI58">
            <v>19.474</v>
          </cell>
          <cell r="CJ58">
            <v>466967.04600000003</v>
          </cell>
          <cell r="CK58">
            <v>5.8159999999999998</v>
          </cell>
          <cell r="CL58">
            <v>139461.864</v>
          </cell>
          <cell r="CM58"/>
          <cell r="CN58">
            <v>0</v>
          </cell>
          <cell r="CO58"/>
          <cell r="CP58">
            <v>0</v>
          </cell>
        </row>
        <row r="59">
          <cell r="A59">
            <v>58</v>
          </cell>
          <cell r="B59" t="str">
            <v>SUMINISTRO E INSTALACIÓN DE PINTURA KORAZA O SIMILAR PARA FACHADAS TRES MANOS (EXTERIORES)</v>
          </cell>
          <cell r="C59" t="str">
            <v>M2</v>
          </cell>
          <cell r="D59">
            <v>477.77</v>
          </cell>
          <cell r="E59">
            <v>29991</v>
          </cell>
          <cell r="F59">
            <v>14328800.07</v>
          </cell>
          <cell r="G59"/>
          <cell r="H59">
            <v>0</v>
          </cell>
          <cell r="I59"/>
          <cell r="J59">
            <v>0</v>
          </cell>
          <cell r="K59"/>
          <cell r="L59">
            <v>0</v>
          </cell>
          <cell r="M59">
            <v>22.644600000000001</v>
          </cell>
          <cell r="N59">
            <v>679134.1986</v>
          </cell>
          <cell r="O59">
            <v>22.644600000000001</v>
          </cell>
          <cell r="P59">
            <v>679134.1986</v>
          </cell>
          <cell r="Q59">
            <v>22.644600000000001</v>
          </cell>
          <cell r="R59">
            <v>679134.1986</v>
          </cell>
          <cell r="S59">
            <v>22.644600000000001</v>
          </cell>
          <cell r="T59">
            <v>679134.1986</v>
          </cell>
          <cell r="U59">
            <v>20.484000000000002</v>
          </cell>
          <cell r="V59">
            <v>614335.64400000009</v>
          </cell>
          <cell r="W59"/>
          <cell r="X59">
            <v>0</v>
          </cell>
          <cell r="Y59">
            <v>35.6</v>
          </cell>
          <cell r="Z59">
            <v>1067679.6000000001</v>
          </cell>
          <cell r="AA59">
            <v>22.644600000000001</v>
          </cell>
          <cell r="AB59">
            <v>679134.1986</v>
          </cell>
          <cell r="AC59"/>
          <cell r="AD59">
            <v>0</v>
          </cell>
          <cell r="AE59"/>
          <cell r="AF59">
            <v>0</v>
          </cell>
          <cell r="AG59"/>
          <cell r="AH59">
            <v>0</v>
          </cell>
          <cell r="AI59">
            <v>22.644600000000001</v>
          </cell>
          <cell r="AJ59">
            <v>679134.1986</v>
          </cell>
          <cell r="AK59"/>
          <cell r="AL59">
            <v>0</v>
          </cell>
          <cell r="AM59">
            <v>42.174999999999997</v>
          </cell>
          <cell r="AN59">
            <v>1264870.4249999998</v>
          </cell>
          <cell r="AO59"/>
          <cell r="AP59">
            <v>0</v>
          </cell>
          <cell r="AQ59">
            <v>23.794000000000004</v>
          </cell>
          <cell r="AR59">
            <v>713605.85400000017</v>
          </cell>
          <cell r="AS59">
            <v>22.644600000000001</v>
          </cell>
          <cell r="AT59">
            <v>679134.1986</v>
          </cell>
          <cell r="AU59">
            <v>35.6</v>
          </cell>
          <cell r="AV59">
            <v>1067679.6000000001</v>
          </cell>
          <cell r="AW59"/>
          <cell r="AX59">
            <v>0</v>
          </cell>
          <cell r="AY59">
            <v>22.644600000000001</v>
          </cell>
          <cell r="AZ59">
            <v>679134.1986</v>
          </cell>
          <cell r="BA59"/>
          <cell r="BB59">
            <v>0</v>
          </cell>
          <cell r="BC59"/>
          <cell r="BD59">
            <v>0</v>
          </cell>
          <cell r="BE59"/>
          <cell r="BF59">
            <v>0</v>
          </cell>
          <cell r="BG59"/>
          <cell r="BH59">
            <v>0</v>
          </cell>
          <cell r="BI59">
            <v>22.644600000000001</v>
          </cell>
          <cell r="BJ59">
            <v>679134.1986</v>
          </cell>
          <cell r="BK59"/>
          <cell r="BL59">
            <v>0</v>
          </cell>
          <cell r="BM59"/>
          <cell r="BN59">
            <v>0</v>
          </cell>
          <cell r="BO59">
            <v>35.6</v>
          </cell>
          <cell r="BP59">
            <v>1067679.6000000001</v>
          </cell>
          <cell r="BQ59"/>
          <cell r="BR59">
            <v>0</v>
          </cell>
          <cell r="BS59">
            <v>20.484000000000002</v>
          </cell>
          <cell r="BT59">
            <v>614335.64400000009</v>
          </cell>
          <cell r="BU59"/>
          <cell r="BV59">
            <v>0</v>
          </cell>
          <cell r="BW59"/>
          <cell r="BX59">
            <v>0</v>
          </cell>
          <cell r="BY59"/>
          <cell r="BZ59">
            <v>0</v>
          </cell>
          <cell r="CA59">
            <v>23.794000000000004</v>
          </cell>
          <cell r="CB59">
            <v>713605.85400000017</v>
          </cell>
          <cell r="CC59"/>
          <cell r="CD59">
            <v>0</v>
          </cell>
          <cell r="CE59"/>
          <cell r="CF59">
            <v>0</v>
          </cell>
          <cell r="CG59"/>
          <cell r="CH59">
            <v>0</v>
          </cell>
          <cell r="CI59">
            <v>20.484000000000002</v>
          </cell>
          <cell r="CJ59">
            <v>614335.64400000009</v>
          </cell>
          <cell r="CK59">
            <v>15.95</v>
          </cell>
          <cell r="CL59">
            <v>478356.44999999995</v>
          </cell>
          <cell r="CM59"/>
          <cell r="CN59">
            <v>0</v>
          </cell>
          <cell r="CO59"/>
          <cell r="CP59">
            <v>0</v>
          </cell>
        </row>
        <row r="60">
          <cell r="A60">
            <v>59</v>
          </cell>
          <cell r="B60" t="str">
            <v>ENCHAPE EN CERÁMICA PARA PISO</v>
          </cell>
          <cell r="C60" t="str">
            <v>M2</v>
          </cell>
          <cell r="D60">
            <v>172.14</v>
          </cell>
          <cell r="E60">
            <v>147896</v>
          </cell>
          <cell r="F60">
            <v>25458817.439999998</v>
          </cell>
          <cell r="H60">
            <v>0</v>
          </cell>
          <cell r="I60">
            <v>6.9160000000000004</v>
          </cell>
          <cell r="J60">
            <v>1022848.736</v>
          </cell>
          <cell r="L60">
            <v>0</v>
          </cell>
          <cell r="M60">
            <v>3</v>
          </cell>
          <cell r="N60">
            <v>443688</v>
          </cell>
          <cell r="O60">
            <v>3</v>
          </cell>
          <cell r="P60">
            <v>443688</v>
          </cell>
          <cell r="Q60">
            <v>3</v>
          </cell>
          <cell r="R60">
            <v>443688</v>
          </cell>
          <cell r="S60">
            <v>3</v>
          </cell>
          <cell r="T60">
            <v>443688</v>
          </cell>
          <cell r="U60">
            <v>4.75</v>
          </cell>
          <cell r="V60">
            <v>702506</v>
          </cell>
          <cell r="X60">
            <v>0</v>
          </cell>
          <cell r="Y60">
            <v>8.5</v>
          </cell>
          <cell r="Z60">
            <v>1257116</v>
          </cell>
          <cell r="AA60">
            <v>3</v>
          </cell>
          <cell r="AB60">
            <v>443688</v>
          </cell>
          <cell r="AD60">
            <v>0</v>
          </cell>
          <cell r="AE60">
            <v>19.884999999999998</v>
          </cell>
          <cell r="AF60">
            <v>2940911.9599999995</v>
          </cell>
          <cell r="AH60">
            <v>0</v>
          </cell>
          <cell r="AI60">
            <v>3</v>
          </cell>
          <cell r="AJ60">
            <v>443688</v>
          </cell>
          <cell r="AL60">
            <v>0</v>
          </cell>
          <cell r="AM60">
            <v>14.13</v>
          </cell>
          <cell r="AN60">
            <v>2089770.4800000002</v>
          </cell>
          <cell r="AP60">
            <v>0</v>
          </cell>
          <cell r="AQ60">
            <v>4.75</v>
          </cell>
          <cell r="AR60">
            <v>702506</v>
          </cell>
          <cell r="AS60">
            <v>3</v>
          </cell>
          <cell r="AT60">
            <v>443688</v>
          </cell>
          <cell r="AU60">
            <v>8.5</v>
          </cell>
          <cell r="AV60">
            <v>1257116</v>
          </cell>
          <cell r="AW60"/>
          <cell r="AX60">
            <v>0</v>
          </cell>
          <cell r="AY60">
            <v>3</v>
          </cell>
          <cell r="AZ60">
            <v>443688</v>
          </cell>
          <cell r="BB60">
            <v>0</v>
          </cell>
          <cell r="BC60">
            <v>6.1749999999999998</v>
          </cell>
          <cell r="BD60">
            <v>913257.79999999993</v>
          </cell>
          <cell r="BE60">
            <v>6.15</v>
          </cell>
          <cell r="BF60">
            <v>909560.4</v>
          </cell>
          <cell r="BH60">
            <v>0</v>
          </cell>
          <cell r="BI60">
            <v>3</v>
          </cell>
          <cell r="BJ60">
            <v>443688</v>
          </cell>
          <cell r="BL60">
            <v>0</v>
          </cell>
          <cell r="BN60">
            <v>0</v>
          </cell>
          <cell r="BO60">
            <v>8.5</v>
          </cell>
          <cell r="BP60">
            <v>1257116</v>
          </cell>
          <cell r="BR60">
            <v>0</v>
          </cell>
          <cell r="BS60">
            <v>4.75</v>
          </cell>
          <cell r="BT60">
            <v>702506</v>
          </cell>
          <cell r="BV60">
            <v>0</v>
          </cell>
          <cell r="BW60">
            <v>33.722999999999999</v>
          </cell>
          <cell r="BX60">
            <v>4987496.8080000002</v>
          </cell>
          <cell r="BZ60">
            <v>0</v>
          </cell>
          <cell r="CA60">
            <v>4.75</v>
          </cell>
          <cell r="CB60">
            <v>702506</v>
          </cell>
          <cell r="CD60">
            <v>0</v>
          </cell>
          <cell r="CE60">
            <v>6.25</v>
          </cell>
          <cell r="CF60">
            <v>924350</v>
          </cell>
          <cell r="CH60">
            <v>0</v>
          </cell>
          <cell r="CI60">
            <v>4.75</v>
          </cell>
          <cell r="CJ60">
            <v>702506</v>
          </cell>
          <cell r="CK60">
            <v>2.66</v>
          </cell>
          <cell r="CL60">
            <v>393403.36000000004</v>
          </cell>
          <cell r="CN60">
            <v>0</v>
          </cell>
          <cell r="CP60">
            <v>0</v>
          </cell>
        </row>
        <row r="61">
          <cell r="A61">
            <v>60</v>
          </cell>
          <cell r="B61" t="str">
            <v>ENCHAPE CERÁMICO EN MESÓN DE COCINA</v>
          </cell>
          <cell r="C61" t="str">
            <v>M2</v>
          </cell>
          <cell r="D61">
            <v>32.5</v>
          </cell>
          <cell r="E61">
            <v>142204</v>
          </cell>
          <cell r="F61">
            <v>4621630</v>
          </cell>
          <cell r="G61"/>
          <cell r="H61">
            <v>0</v>
          </cell>
          <cell r="I61"/>
          <cell r="J61">
            <v>0</v>
          </cell>
          <cell r="K61"/>
          <cell r="L61">
            <v>0</v>
          </cell>
          <cell r="M61"/>
          <cell r="N61">
            <v>0</v>
          </cell>
          <cell r="O61"/>
          <cell r="P61">
            <v>0</v>
          </cell>
          <cell r="Q61">
            <v>0</v>
          </cell>
          <cell r="R61">
            <v>0</v>
          </cell>
          <cell r="S61">
            <v>0</v>
          </cell>
          <cell r="T61">
            <v>0</v>
          </cell>
          <cell r="U61">
            <v>2.6</v>
          </cell>
          <cell r="V61">
            <v>369730.4</v>
          </cell>
          <cell r="W61"/>
          <cell r="X61">
            <v>0</v>
          </cell>
          <cell r="Y61"/>
          <cell r="Z61">
            <v>0</v>
          </cell>
          <cell r="AA61">
            <v>0</v>
          </cell>
          <cell r="AB61">
            <v>0</v>
          </cell>
          <cell r="AC61"/>
          <cell r="AD61">
            <v>0</v>
          </cell>
          <cell r="AE61"/>
          <cell r="AF61">
            <v>0</v>
          </cell>
          <cell r="AG61"/>
          <cell r="AH61">
            <v>0</v>
          </cell>
          <cell r="AI61">
            <v>0</v>
          </cell>
          <cell r="AJ61">
            <v>0</v>
          </cell>
          <cell r="AK61"/>
          <cell r="AL61">
            <v>0</v>
          </cell>
          <cell r="AM61"/>
          <cell r="AN61">
            <v>0</v>
          </cell>
          <cell r="AO61"/>
          <cell r="AP61">
            <v>0</v>
          </cell>
          <cell r="AQ61">
            <v>2.6</v>
          </cell>
          <cell r="AR61">
            <v>369730.4</v>
          </cell>
          <cell r="AS61">
            <v>0</v>
          </cell>
          <cell r="AT61">
            <v>0</v>
          </cell>
          <cell r="AU61"/>
          <cell r="AV61">
            <v>0</v>
          </cell>
          <cell r="AW61"/>
          <cell r="AX61">
            <v>0</v>
          </cell>
          <cell r="AY61">
            <v>0</v>
          </cell>
          <cell r="AZ61">
            <v>0</v>
          </cell>
          <cell r="BA61"/>
          <cell r="BB61">
            <v>0</v>
          </cell>
          <cell r="BC61">
            <v>8.25</v>
          </cell>
          <cell r="BD61">
            <v>1173183</v>
          </cell>
          <cell r="BE61">
            <v>7.49</v>
          </cell>
          <cell r="BF61">
            <v>1065107.96</v>
          </cell>
          <cell r="BG61"/>
          <cell r="BH61">
            <v>0</v>
          </cell>
          <cell r="BI61">
            <v>0</v>
          </cell>
          <cell r="BJ61">
            <v>0</v>
          </cell>
          <cell r="BK61"/>
          <cell r="BL61">
            <v>0</v>
          </cell>
          <cell r="BM61"/>
          <cell r="BN61">
            <v>0</v>
          </cell>
          <cell r="BO61"/>
          <cell r="BP61">
            <v>0</v>
          </cell>
          <cell r="BQ61"/>
          <cell r="BR61">
            <v>0</v>
          </cell>
          <cell r="BS61">
            <v>2.6</v>
          </cell>
          <cell r="BT61">
            <v>369730.4</v>
          </cell>
          <cell r="BU61"/>
          <cell r="BV61">
            <v>0</v>
          </cell>
          <cell r="BW61"/>
          <cell r="BX61">
            <v>0</v>
          </cell>
          <cell r="BY61"/>
          <cell r="BZ61">
            <v>0</v>
          </cell>
          <cell r="CA61">
            <v>2.6</v>
          </cell>
          <cell r="CB61">
            <v>369730.4</v>
          </cell>
          <cell r="CC61"/>
          <cell r="CD61">
            <v>0</v>
          </cell>
          <cell r="CE61">
            <v>3.7600000000000002</v>
          </cell>
          <cell r="CF61">
            <v>534687.04</v>
          </cell>
          <cell r="CG61"/>
          <cell r="CH61">
            <v>0</v>
          </cell>
          <cell r="CI61">
            <v>2.6</v>
          </cell>
          <cell r="CJ61">
            <v>369730.4</v>
          </cell>
          <cell r="CK61"/>
          <cell r="CL61">
            <v>0</v>
          </cell>
          <cell r="CM61"/>
          <cell r="CN61">
            <v>0</v>
          </cell>
          <cell r="CO61"/>
          <cell r="CP61">
            <v>0</v>
          </cell>
        </row>
        <row r="62">
          <cell r="A62">
            <v>61</v>
          </cell>
          <cell r="B62" t="str">
            <v>GUARDA ESCOBA EN CERÁMICA E = 8.0 CM.</v>
          </cell>
          <cell r="C62" t="str">
            <v>M</v>
          </cell>
          <cell r="D62">
            <v>160.96</v>
          </cell>
          <cell r="E62">
            <v>25699</v>
          </cell>
          <cell r="F62">
            <v>4136511.04</v>
          </cell>
          <cell r="H62">
            <v>0</v>
          </cell>
          <cell r="I62">
            <v>9.66</v>
          </cell>
          <cell r="J62">
            <v>248252.34</v>
          </cell>
          <cell r="L62">
            <v>0</v>
          </cell>
          <cell r="N62">
            <v>0</v>
          </cell>
          <cell r="P62">
            <v>0</v>
          </cell>
          <cell r="Q62">
            <v>0</v>
          </cell>
          <cell r="R62">
            <v>0</v>
          </cell>
          <cell r="S62">
            <v>0</v>
          </cell>
          <cell r="T62">
            <v>0</v>
          </cell>
          <cell r="U62">
            <v>8.36</v>
          </cell>
          <cell r="V62">
            <v>214843.63999999998</v>
          </cell>
          <cell r="X62">
            <v>0</v>
          </cell>
          <cell r="Y62">
            <v>10.86</v>
          </cell>
          <cell r="Z62">
            <v>279091.14</v>
          </cell>
          <cell r="AA62">
            <v>0</v>
          </cell>
          <cell r="AB62">
            <v>0</v>
          </cell>
          <cell r="AD62">
            <v>0</v>
          </cell>
          <cell r="AE62">
            <v>15.899999999999999</v>
          </cell>
          <cell r="AF62">
            <v>408614.1</v>
          </cell>
          <cell r="AH62">
            <v>0</v>
          </cell>
          <cell r="AI62">
            <v>0</v>
          </cell>
          <cell r="AJ62">
            <v>0</v>
          </cell>
          <cell r="AL62">
            <v>0</v>
          </cell>
          <cell r="AM62">
            <v>15.78</v>
          </cell>
          <cell r="AN62">
            <v>405530.22</v>
          </cell>
          <cell r="AP62">
            <v>0</v>
          </cell>
          <cell r="AQ62">
            <v>8.36</v>
          </cell>
          <cell r="AR62">
            <v>214843.63999999998</v>
          </cell>
          <cell r="AS62">
            <v>0</v>
          </cell>
          <cell r="AT62">
            <v>0</v>
          </cell>
          <cell r="AU62">
            <v>10.86</v>
          </cell>
          <cell r="AV62">
            <v>279091.14</v>
          </cell>
          <cell r="AW62"/>
          <cell r="AX62">
            <v>0</v>
          </cell>
          <cell r="AY62">
            <v>0</v>
          </cell>
          <cell r="AZ62">
            <v>0</v>
          </cell>
          <cell r="BB62">
            <v>0</v>
          </cell>
          <cell r="BC62">
            <v>6.9</v>
          </cell>
          <cell r="BD62">
            <v>177323.1</v>
          </cell>
          <cell r="BE62">
            <v>9.24</v>
          </cell>
          <cell r="BF62">
            <v>237458.76</v>
          </cell>
          <cell r="BH62">
            <v>0</v>
          </cell>
          <cell r="BI62">
            <v>0</v>
          </cell>
          <cell r="BJ62">
            <v>0</v>
          </cell>
          <cell r="BL62">
            <v>0</v>
          </cell>
          <cell r="BN62">
            <v>0</v>
          </cell>
          <cell r="BO62">
            <v>10.86</v>
          </cell>
          <cell r="BP62">
            <v>279091.14</v>
          </cell>
          <cell r="BR62">
            <v>0</v>
          </cell>
          <cell r="BS62">
            <v>8.36</v>
          </cell>
          <cell r="BT62">
            <v>214843.63999999998</v>
          </cell>
          <cell r="BV62">
            <v>0</v>
          </cell>
          <cell r="BW62">
            <v>24.7</v>
          </cell>
          <cell r="BX62">
            <v>634765.29999999993</v>
          </cell>
          <cell r="BZ62">
            <v>0</v>
          </cell>
          <cell r="CA62">
            <v>8.36</v>
          </cell>
          <cell r="CB62">
            <v>214843.63999999998</v>
          </cell>
          <cell r="CD62">
            <v>0</v>
          </cell>
          <cell r="CE62">
            <v>4.4000000000000004</v>
          </cell>
          <cell r="CF62">
            <v>113075.6</v>
          </cell>
          <cell r="CH62">
            <v>0</v>
          </cell>
          <cell r="CI62">
            <v>8.36</v>
          </cell>
          <cell r="CJ62">
            <v>214843.63999999998</v>
          </cell>
          <cell r="CL62">
            <v>0</v>
          </cell>
          <cell r="CN62">
            <v>0</v>
          </cell>
          <cell r="CP62">
            <v>0</v>
          </cell>
        </row>
        <row r="63">
          <cell r="A63">
            <v>62</v>
          </cell>
          <cell r="B63" t="str">
            <v>CUBIERTA</v>
          </cell>
          <cell r="C63"/>
          <cell r="D63"/>
          <cell r="E63"/>
          <cell r="F63">
            <v>231184489.47999999</v>
          </cell>
          <cell r="H63">
            <v>0</v>
          </cell>
          <cell r="J63">
            <v>2579947.54</v>
          </cell>
          <cell r="L63">
            <v>8649128.8999999985</v>
          </cell>
          <cell r="N63">
            <v>1361354.8800000001</v>
          </cell>
          <cell r="P63">
            <v>1361354.8800000001</v>
          </cell>
          <cell r="Q63">
            <v>0</v>
          </cell>
          <cell r="R63">
            <v>1361354.8800000001</v>
          </cell>
          <cell r="S63">
            <v>0</v>
          </cell>
          <cell r="T63">
            <v>1361354.8800000001</v>
          </cell>
          <cell r="V63">
            <v>1844990.32</v>
          </cell>
          <cell r="X63">
            <v>16608975.319999997</v>
          </cell>
          <cell r="Z63">
            <v>2814235.6799999997</v>
          </cell>
          <cell r="AA63">
            <v>0</v>
          </cell>
          <cell r="AB63">
            <v>1361354.8800000001</v>
          </cell>
          <cell r="AD63">
            <v>13448971.300000001</v>
          </cell>
          <cell r="AF63">
            <v>10640795.609999999</v>
          </cell>
          <cell r="AH63">
            <v>5738246.0800000001</v>
          </cell>
          <cell r="AI63">
            <v>0</v>
          </cell>
          <cell r="AJ63">
            <v>1361354.8800000001</v>
          </cell>
          <cell r="AL63">
            <v>10426790</v>
          </cell>
          <cell r="AN63">
            <v>0</v>
          </cell>
          <cell r="AP63">
            <v>0</v>
          </cell>
          <cell r="AR63">
            <v>1844990.32</v>
          </cell>
          <cell r="AS63">
            <v>0</v>
          </cell>
          <cell r="AT63">
            <v>1361354.8800000001</v>
          </cell>
          <cell r="AV63">
            <v>2814235.6799999997</v>
          </cell>
          <cell r="AW63"/>
          <cell r="AX63">
            <v>13332745.359999999</v>
          </cell>
          <cell r="AY63">
            <v>0</v>
          </cell>
          <cell r="AZ63">
            <v>1361354.8800000001</v>
          </cell>
          <cell r="BB63">
            <v>21083609.199999999</v>
          </cell>
          <cell r="BD63">
            <v>0</v>
          </cell>
          <cell r="BF63">
            <v>0</v>
          </cell>
          <cell r="BH63">
            <v>15102753.6</v>
          </cell>
          <cell r="BI63">
            <v>0</v>
          </cell>
          <cell r="BJ63">
            <v>0</v>
          </cell>
          <cell r="BL63">
            <v>6779180.9500000011</v>
          </cell>
          <cell r="BN63">
            <v>0</v>
          </cell>
          <cell r="BP63">
            <v>2814235.6799999997</v>
          </cell>
          <cell r="BR63">
            <v>9453409</v>
          </cell>
          <cell r="BT63">
            <v>1844990.32</v>
          </cell>
          <cell r="BV63">
            <v>10585619.07</v>
          </cell>
          <cell r="BX63">
            <v>0</v>
          </cell>
          <cell r="BZ63">
            <v>14633980.189999999</v>
          </cell>
          <cell r="CB63">
            <v>0</v>
          </cell>
          <cell r="CD63">
            <v>0</v>
          </cell>
          <cell r="CF63">
            <v>0</v>
          </cell>
          <cell r="CH63">
            <v>22578409.620000001</v>
          </cell>
          <cell r="CJ63">
            <v>1844990.32</v>
          </cell>
          <cell r="CL63">
            <v>2466468.48</v>
          </cell>
          <cell r="CN63">
            <v>7426454.3999999994</v>
          </cell>
          <cell r="CP63">
            <v>12935497.5</v>
          </cell>
        </row>
        <row r="64">
          <cell r="A64">
            <v>63</v>
          </cell>
          <cell r="B64" t="str">
            <v>SUMINISTRO E INSTALACIÓN DE TUBO RECTANGULAR DE 3 X 1 1/2" CAL. 18</v>
          </cell>
          <cell r="C64" t="str">
            <v>M</v>
          </cell>
          <cell r="D64">
            <v>1399.87</v>
          </cell>
          <cell r="E64">
            <v>59674</v>
          </cell>
          <cell r="F64">
            <v>83535842.379999995</v>
          </cell>
          <cell r="G64"/>
          <cell r="H64">
            <v>0</v>
          </cell>
          <cell r="I64">
            <v>21.25</v>
          </cell>
          <cell r="J64">
            <v>1268072.5</v>
          </cell>
          <cell r="K64">
            <v>56</v>
          </cell>
          <cell r="L64">
            <v>3341744</v>
          </cell>
          <cell r="M64">
            <v>9.6000000000000014</v>
          </cell>
          <cell r="N64">
            <v>572870.40000000014</v>
          </cell>
          <cell r="O64">
            <v>9.6000000000000014</v>
          </cell>
          <cell r="P64">
            <v>572870.40000000014</v>
          </cell>
          <cell r="Q64">
            <v>9.6000000000000014</v>
          </cell>
          <cell r="R64">
            <v>572870.40000000014</v>
          </cell>
          <cell r="S64">
            <v>9.6000000000000014</v>
          </cell>
          <cell r="T64">
            <v>572870.40000000014</v>
          </cell>
          <cell r="U64">
            <v>14.8</v>
          </cell>
          <cell r="V64">
            <v>883175.20000000007</v>
          </cell>
          <cell r="W64">
            <v>133.51999999999998</v>
          </cell>
          <cell r="X64">
            <v>7967672.4799999986</v>
          </cell>
          <cell r="Y64">
            <v>18</v>
          </cell>
          <cell r="Z64">
            <v>1074132</v>
          </cell>
          <cell r="AA64">
            <v>9.6000000000000014</v>
          </cell>
          <cell r="AB64">
            <v>572870.40000000014</v>
          </cell>
          <cell r="AC64">
            <v>56.8</v>
          </cell>
          <cell r="AD64">
            <v>3389483.1999999997</v>
          </cell>
          <cell r="AE64">
            <v>74.099999999999994</v>
          </cell>
          <cell r="AF64">
            <v>4421843.3999999994</v>
          </cell>
          <cell r="AG64">
            <v>35.200000000000003</v>
          </cell>
          <cell r="AH64">
            <v>2100524.8000000003</v>
          </cell>
          <cell r="AI64">
            <v>9.6000000000000014</v>
          </cell>
          <cell r="AJ64">
            <v>572870.40000000014</v>
          </cell>
          <cell r="AK64">
            <v>68</v>
          </cell>
          <cell r="AL64">
            <v>4057832</v>
          </cell>
          <cell r="AM64"/>
          <cell r="AN64">
            <v>0</v>
          </cell>
          <cell r="AO64"/>
          <cell r="AP64">
            <v>0</v>
          </cell>
          <cell r="AQ64">
            <v>14.8</v>
          </cell>
          <cell r="AR64">
            <v>883175.20000000007</v>
          </cell>
          <cell r="AS64">
            <v>9.6000000000000014</v>
          </cell>
          <cell r="AT64">
            <v>572870.40000000014</v>
          </cell>
          <cell r="AU64">
            <v>18</v>
          </cell>
          <cell r="AV64">
            <v>1074132</v>
          </cell>
          <cell r="AW64"/>
          <cell r="AX64">
            <v>0</v>
          </cell>
          <cell r="AY64">
            <v>9.6000000000000014</v>
          </cell>
          <cell r="AZ64">
            <v>572870.40000000014</v>
          </cell>
          <cell r="BA64">
            <v>144</v>
          </cell>
          <cell r="BB64">
            <v>8593056</v>
          </cell>
          <cell r="BC64"/>
          <cell r="BD64">
            <v>0</v>
          </cell>
          <cell r="BE64"/>
          <cell r="BF64">
            <v>0</v>
          </cell>
          <cell r="BG64">
            <v>63</v>
          </cell>
          <cell r="BH64">
            <v>3759462</v>
          </cell>
          <cell r="BI64"/>
          <cell r="BJ64">
            <v>0</v>
          </cell>
          <cell r="BK64">
            <v>44.400000000000006</v>
          </cell>
          <cell r="BL64">
            <v>2649525.6000000006</v>
          </cell>
          <cell r="BM64"/>
          <cell r="BN64">
            <v>0</v>
          </cell>
          <cell r="BO64">
            <v>18</v>
          </cell>
          <cell r="BP64">
            <v>1074132</v>
          </cell>
          <cell r="BQ64">
            <v>70</v>
          </cell>
          <cell r="BR64">
            <v>4177180</v>
          </cell>
          <cell r="BS64">
            <v>14.8</v>
          </cell>
          <cell r="BT64">
            <v>883175.20000000007</v>
          </cell>
          <cell r="BU64">
            <v>70.2</v>
          </cell>
          <cell r="BV64">
            <v>4189114.8000000003</v>
          </cell>
          <cell r="BW64"/>
          <cell r="BX64">
            <v>0</v>
          </cell>
          <cell r="BY64">
            <v>100.10000000000001</v>
          </cell>
          <cell r="BZ64">
            <v>5973367.4000000004</v>
          </cell>
          <cell r="CA64"/>
          <cell r="CB64">
            <v>0</v>
          </cell>
          <cell r="CC64"/>
          <cell r="CD64">
            <v>0</v>
          </cell>
          <cell r="CE64"/>
          <cell r="CF64">
            <v>0</v>
          </cell>
          <cell r="CG64">
            <v>162.30000000000001</v>
          </cell>
          <cell r="CH64">
            <v>9685090.2000000011</v>
          </cell>
          <cell r="CI64">
            <v>14.8</v>
          </cell>
          <cell r="CJ64">
            <v>883175.20000000007</v>
          </cell>
          <cell r="CK64">
            <v>21</v>
          </cell>
          <cell r="CL64">
            <v>1253154</v>
          </cell>
          <cell r="CM64"/>
          <cell r="CN64">
            <v>0</v>
          </cell>
          <cell r="CO64">
            <v>90</v>
          </cell>
          <cell r="CP64">
            <v>5370660</v>
          </cell>
          <cell r="CQ64" t="str">
            <v>8*8</v>
          </cell>
        </row>
        <row r="65">
          <cell r="A65">
            <v>64</v>
          </cell>
          <cell r="B65" t="str">
            <v>SUMINISTRO E INSTALACIÓN DE TUBO RECTANGULAR DE 4X 2" CAL. 14</v>
          </cell>
          <cell r="C65" t="str">
            <v>M</v>
          </cell>
          <cell r="D65">
            <v>193.70999999999998</v>
          </cell>
          <cell r="E65">
            <v>79465</v>
          </cell>
          <cell r="F65">
            <v>15393165.149999999</v>
          </cell>
          <cell r="G65"/>
          <cell r="H65">
            <v>0</v>
          </cell>
          <cell r="I65"/>
          <cell r="J65">
            <v>0</v>
          </cell>
          <cell r="K65">
            <v>12.900000000000002</v>
          </cell>
          <cell r="L65">
            <v>1025098.5000000001</v>
          </cell>
          <cell r="M65"/>
          <cell r="N65">
            <v>0</v>
          </cell>
          <cell r="O65"/>
          <cell r="P65">
            <v>0</v>
          </cell>
          <cell r="Q65">
            <v>0</v>
          </cell>
          <cell r="R65">
            <v>0</v>
          </cell>
          <cell r="S65">
            <v>0</v>
          </cell>
          <cell r="T65">
            <v>0</v>
          </cell>
          <cell r="U65"/>
          <cell r="V65">
            <v>0</v>
          </cell>
          <cell r="W65">
            <v>20.88</v>
          </cell>
          <cell r="X65">
            <v>1659229.2</v>
          </cell>
          <cell r="Y65"/>
          <cell r="Z65">
            <v>0</v>
          </cell>
          <cell r="AA65">
            <v>0</v>
          </cell>
          <cell r="AB65">
            <v>0</v>
          </cell>
          <cell r="AC65">
            <v>9.8999999999999986</v>
          </cell>
          <cell r="AD65">
            <v>786703.49999999988</v>
          </cell>
          <cell r="AE65">
            <v>2.25</v>
          </cell>
          <cell r="AF65">
            <v>178796.25</v>
          </cell>
          <cell r="AG65">
            <v>7.2</v>
          </cell>
          <cell r="AH65">
            <v>572148</v>
          </cell>
          <cell r="AI65">
            <v>0</v>
          </cell>
          <cell r="AJ65">
            <v>0</v>
          </cell>
          <cell r="AK65">
            <v>17.7</v>
          </cell>
          <cell r="AL65">
            <v>1406530.5</v>
          </cell>
          <cell r="AM65"/>
          <cell r="AN65">
            <v>0</v>
          </cell>
          <cell r="AO65"/>
          <cell r="AP65">
            <v>0</v>
          </cell>
          <cell r="AQ65"/>
          <cell r="AR65">
            <v>0</v>
          </cell>
          <cell r="AS65">
            <v>0</v>
          </cell>
          <cell r="AT65">
            <v>0</v>
          </cell>
          <cell r="AU65"/>
          <cell r="AV65">
            <v>0</v>
          </cell>
          <cell r="AW65">
            <v>84.399999999999991</v>
          </cell>
          <cell r="AX65">
            <v>6706845.9999999991</v>
          </cell>
          <cell r="AY65">
            <v>0</v>
          </cell>
          <cell r="AZ65">
            <v>0</v>
          </cell>
          <cell r="BA65">
            <v>10</v>
          </cell>
          <cell r="BB65">
            <v>794650</v>
          </cell>
          <cell r="BC65"/>
          <cell r="BD65">
            <v>0</v>
          </cell>
          <cell r="BE65"/>
          <cell r="BF65">
            <v>0</v>
          </cell>
          <cell r="BG65">
            <v>3</v>
          </cell>
          <cell r="BH65">
            <v>238395</v>
          </cell>
          <cell r="BI65"/>
          <cell r="BJ65">
            <v>0</v>
          </cell>
          <cell r="BK65">
            <v>5.35</v>
          </cell>
          <cell r="BL65">
            <v>425137.75</v>
          </cell>
          <cell r="BM65"/>
          <cell r="BN65">
            <v>0</v>
          </cell>
          <cell r="BO65"/>
          <cell r="BP65">
            <v>0</v>
          </cell>
          <cell r="BQ65"/>
          <cell r="BR65">
            <v>0</v>
          </cell>
          <cell r="BS65"/>
          <cell r="BT65">
            <v>0</v>
          </cell>
          <cell r="BU65">
            <v>8.1300000000000008</v>
          </cell>
          <cell r="BV65">
            <v>646050.45000000007</v>
          </cell>
          <cell r="BW65"/>
          <cell r="BX65">
            <v>0</v>
          </cell>
          <cell r="BY65">
            <v>6</v>
          </cell>
          <cell r="BZ65">
            <v>476790</v>
          </cell>
          <cell r="CA65"/>
          <cell r="CB65">
            <v>0</v>
          </cell>
          <cell r="CC65"/>
          <cell r="CD65">
            <v>0</v>
          </cell>
          <cell r="CE65"/>
          <cell r="CF65">
            <v>0</v>
          </cell>
          <cell r="CG65">
            <v>6</v>
          </cell>
          <cell r="CH65">
            <v>476790</v>
          </cell>
          <cell r="CI65"/>
          <cell r="CJ65">
            <v>0</v>
          </cell>
          <cell r="CK65"/>
          <cell r="CL65">
            <v>0</v>
          </cell>
          <cell r="CM65"/>
          <cell r="CN65">
            <v>0</v>
          </cell>
          <cell r="CO65"/>
          <cell r="CP65">
            <v>0</v>
          </cell>
        </row>
        <row r="66">
          <cell r="A66">
            <v>65</v>
          </cell>
          <cell r="B66" t="str">
            <v>MANTENIMIENTO DE TUBO RECTANGULAR DE 3 X 1 1/2" CAL. 18</v>
          </cell>
          <cell r="C66"/>
          <cell r="D66">
            <v>57.6</v>
          </cell>
          <cell r="E66">
            <v>36885</v>
          </cell>
          <cell r="F66">
            <v>2124576</v>
          </cell>
          <cell r="G66"/>
          <cell r="H66">
            <v>0</v>
          </cell>
          <cell r="I66"/>
          <cell r="J66">
            <v>0</v>
          </cell>
          <cell r="K66"/>
          <cell r="L66">
            <v>0</v>
          </cell>
          <cell r="M66"/>
          <cell r="N66">
            <v>0</v>
          </cell>
          <cell r="O66"/>
          <cell r="P66">
            <v>0</v>
          </cell>
          <cell r="Q66">
            <v>0</v>
          </cell>
          <cell r="R66">
            <v>0</v>
          </cell>
          <cell r="S66">
            <v>0</v>
          </cell>
          <cell r="T66">
            <v>0</v>
          </cell>
          <cell r="U66"/>
          <cell r="V66">
            <v>0</v>
          </cell>
          <cell r="W66"/>
          <cell r="X66">
            <v>0</v>
          </cell>
          <cell r="Y66"/>
          <cell r="Z66">
            <v>0</v>
          </cell>
          <cell r="AA66">
            <v>0</v>
          </cell>
          <cell r="AB66">
            <v>0</v>
          </cell>
          <cell r="AC66"/>
          <cell r="AD66">
            <v>0</v>
          </cell>
          <cell r="AE66"/>
          <cell r="AF66">
            <v>0</v>
          </cell>
          <cell r="AG66"/>
          <cell r="AH66">
            <v>0</v>
          </cell>
          <cell r="AI66">
            <v>0</v>
          </cell>
          <cell r="AJ66">
            <v>0</v>
          </cell>
          <cell r="AK66"/>
          <cell r="AL66">
            <v>0</v>
          </cell>
          <cell r="AM66"/>
          <cell r="AN66">
            <v>0</v>
          </cell>
          <cell r="AO66"/>
          <cell r="AP66">
            <v>0</v>
          </cell>
          <cell r="AQ66"/>
          <cell r="AR66">
            <v>0</v>
          </cell>
          <cell r="AS66">
            <v>0</v>
          </cell>
          <cell r="AT66">
            <v>0</v>
          </cell>
          <cell r="AU66"/>
          <cell r="AV66">
            <v>0</v>
          </cell>
          <cell r="AW66"/>
          <cell r="AX66">
            <v>0</v>
          </cell>
          <cell r="AY66">
            <v>0</v>
          </cell>
          <cell r="AZ66">
            <v>0</v>
          </cell>
          <cell r="BA66"/>
          <cell r="BB66">
            <v>0</v>
          </cell>
          <cell r="BC66"/>
          <cell r="BD66">
            <v>0</v>
          </cell>
          <cell r="BE66"/>
          <cell r="BF66">
            <v>0</v>
          </cell>
          <cell r="BG66"/>
          <cell r="BH66">
            <v>0</v>
          </cell>
          <cell r="BI66"/>
          <cell r="BJ66">
            <v>0</v>
          </cell>
          <cell r="BK66"/>
          <cell r="BL66">
            <v>0</v>
          </cell>
          <cell r="BM66"/>
          <cell r="BN66">
            <v>0</v>
          </cell>
          <cell r="BO66"/>
          <cell r="BP66">
            <v>0</v>
          </cell>
          <cell r="BQ66"/>
          <cell r="BR66">
            <v>0</v>
          </cell>
          <cell r="BS66"/>
          <cell r="BT66">
            <v>0</v>
          </cell>
          <cell r="BU66"/>
          <cell r="BV66">
            <v>0</v>
          </cell>
          <cell r="BW66"/>
          <cell r="BX66">
            <v>0</v>
          </cell>
          <cell r="BY66"/>
          <cell r="BZ66">
            <v>0</v>
          </cell>
          <cell r="CA66"/>
          <cell r="CB66">
            <v>0</v>
          </cell>
          <cell r="CC66"/>
          <cell r="CD66">
            <v>0</v>
          </cell>
          <cell r="CE66"/>
          <cell r="CF66">
            <v>0</v>
          </cell>
          <cell r="CG66"/>
          <cell r="CH66">
            <v>0</v>
          </cell>
          <cell r="CI66"/>
          <cell r="CJ66">
            <v>0</v>
          </cell>
          <cell r="CK66"/>
          <cell r="CL66">
            <v>0</v>
          </cell>
          <cell r="CM66">
            <v>57.6</v>
          </cell>
          <cell r="CN66">
            <v>2124576</v>
          </cell>
          <cell r="CO66"/>
          <cell r="CP66">
            <v>0</v>
          </cell>
        </row>
        <row r="67">
          <cell r="A67">
            <v>66</v>
          </cell>
          <cell r="B67" t="str">
            <v>SUMINISTRO E INSTALACIÓN DE CUBIERTA EN TEJA MASTER 1000 CAL.28 1,00 X 3,05 M</v>
          </cell>
          <cell r="C67" t="str">
            <v>M2</v>
          </cell>
          <cell r="D67">
            <v>1439.84</v>
          </cell>
          <cell r="E67">
            <v>84966</v>
          </cell>
          <cell r="F67">
            <v>122337445.44</v>
          </cell>
          <cell r="H67">
            <v>0</v>
          </cell>
          <cell r="I67">
            <v>15.44</v>
          </cell>
          <cell r="J67">
            <v>1311875.04</v>
          </cell>
          <cell r="K67">
            <v>50.4</v>
          </cell>
          <cell r="L67">
            <v>4282286.3999999994</v>
          </cell>
          <cell r="M67">
            <v>9.2799999999999994</v>
          </cell>
          <cell r="N67">
            <v>788484.48</v>
          </cell>
          <cell r="O67">
            <v>9.2799999999999994</v>
          </cell>
          <cell r="P67">
            <v>788484.48</v>
          </cell>
          <cell r="Q67">
            <v>9.2799999999999994</v>
          </cell>
          <cell r="R67">
            <v>788484.48</v>
          </cell>
          <cell r="S67">
            <v>9.2799999999999994</v>
          </cell>
          <cell r="T67">
            <v>788484.48</v>
          </cell>
          <cell r="U67">
            <v>11.32</v>
          </cell>
          <cell r="V67">
            <v>961815.12</v>
          </cell>
          <cell r="W67">
            <v>73.08</v>
          </cell>
          <cell r="X67">
            <v>6209315.2800000003</v>
          </cell>
          <cell r="Y67">
            <v>20.48</v>
          </cell>
          <cell r="Z67">
            <v>1740103.6799999999</v>
          </cell>
          <cell r="AA67">
            <v>9.2799999999999994</v>
          </cell>
          <cell r="AB67">
            <v>788484.48</v>
          </cell>
          <cell r="AC67">
            <v>102.95</v>
          </cell>
          <cell r="AD67">
            <v>8747249.7000000011</v>
          </cell>
          <cell r="AE67">
            <v>63.51</v>
          </cell>
          <cell r="AF67">
            <v>5396190.6600000001</v>
          </cell>
          <cell r="AG67">
            <v>36.08</v>
          </cell>
          <cell r="AH67">
            <v>3065573.28</v>
          </cell>
          <cell r="AI67">
            <v>9.2799999999999994</v>
          </cell>
          <cell r="AJ67">
            <v>788484.48</v>
          </cell>
          <cell r="AK67">
            <v>51</v>
          </cell>
          <cell r="AL67">
            <v>4333266</v>
          </cell>
          <cell r="AN67">
            <v>0</v>
          </cell>
          <cell r="AP67">
            <v>0</v>
          </cell>
          <cell r="AQ67">
            <v>11.32</v>
          </cell>
          <cell r="AR67">
            <v>961815.12</v>
          </cell>
          <cell r="AS67">
            <v>9.2799999999999994</v>
          </cell>
          <cell r="AT67">
            <v>788484.48</v>
          </cell>
          <cell r="AU67">
            <v>20.48</v>
          </cell>
          <cell r="AV67">
            <v>1740103.6799999999</v>
          </cell>
          <cell r="AW67">
            <v>69.010000000000005</v>
          </cell>
          <cell r="AX67">
            <v>5863503.6600000001</v>
          </cell>
          <cell r="AY67">
            <v>9.2799999999999994</v>
          </cell>
          <cell r="AZ67">
            <v>788484.48</v>
          </cell>
          <cell r="BA67">
            <v>127.19999999999999</v>
          </cell>
          <cell r="BB67">
            <v>10807675.199999999</v>
          </cell>
          <cell r="BD67">
            <v>0</v>
          </cell>
          <cell r="BF67">
            <v>0</v>
          </cell>
          <cell r="BG67">
            <v>124.6</v>
          </cell>
          <cell r="BH67">
            <v>10586763.6</v>
          </cell>
          <cell r="BJ67">
            <v>0</v>
          </cell>
          <cell r="BK67">
            <v>43.6</v>
          </cell>
          <cell r="BL67">
            <v>3704517.6</v>
          </cell>
          <cell r="BN67">
            <v>0</v>
          </cell>
          <cell r="BO67">
            <v>20.48</v>
          </cell>
          <cell r="BP67">
            <v>1740103.6799999999</v>
          </cell>
          <cell r="BQ67">
            <v>56</v>
          </cell>
          <cell r="BR67">
            <v>4758096</v>
          </cell>
          <cell r="BS67">
            <v>11.32</v>
          </cell>
          <cell r="BT67">
            <v>961815.12</v>
          </cell>
          <cell r="BU67">
            <v>61.32</v>
          </cell>
          <cell r="BV67">
            <v>5210115.12</v>
          </cell>
          <cell r="BX67">
            <v>0</v>
          </cell>
          <cell r="BY67">
            <v>90.09</v>
          </cell>
          <cell r="BZ67">
            <v>7654586.9400000004</v>
          </cell>
          <cell r="CB67">
            <v>0</v>
          </cell>
          <cell r="CD67">
            <v>0</v>
          </cell>
          <cell r="CF67">
            <v>0</v>
          </cell>
          <cell r="CG67">
            <v>135.41999999999999</v>
          </cell>
          <cell r="CH67">
            <v>11506095.719999999</v>
          </cell>
          <cell r="CI67">
            <v>11.32</v>
          </cell>
          <cell r="CJ67">
            <v>961815.12</v>
          </cell>
          <cell r="CK67">
            <v>14.28</v>
          </cell>
          <cell r="CL67">
            <v>1213314.48</v>
          </cell>
          <cell r="CM67">
            <v>62.4</v>
          </cell>
          <cell r="CN67">
            <v>5301878.3999999994</v>
          </cell>
          <cell r="CO67">
            <v>82.5</v>
          </cell>
          <cell r="CP67">
            <v>7009695</v>
          </cell>
        </row>
        <row r="68">
          <cell r="A68">
            <v>67</v>
          </cell>
          <cell r="B68" t="str">
            <v>SUMINISTRO E INSTALACIÓN DE CABALLETE EN TEJA MASTER 1000</v>
          </cell>
          <cell r="C68" t="str">
            <v>M</v>
          </cell>
          <cell r="D68">
            <v>105.28999999999999</v>
          </cell>
          <cell r="E68">
            <v>74019</v>
          </cell>
          <cell r="F68">
            <v>7793460.5099999998</v>
          </cell>
          <cell r="H68">
            <v>0</v>
          </cell>
          <cell r="J68">
            <v>0</v>
          </cell>
          <cell r="L68">
            <v>0</v>
          </cell>
          <cell r="N68">
            <v>0</v>
          </cell>
          <cell r="P68">
            <v>0</v>
          </cell>
          <cell r="Q68">
            <v>0</v>
          </cell>
          <cell r="R68">
            <v>0</v>
          </cell>
          <cell r="S68">
            <v>0</v>
          </cell>
          <cell r="T68">
            <v>0</v>
          </cell>
          <cell r="V68">
            <v>0</v>
          </cell>
          <cell r="W68">
            <v>10.44</v>
          </cell>
          <cell r="X68">
            <v>772758.36</v>
          </cell>
          <cell r="Z68">
            <v>0</v>
          </cell>
          <cell r="AA68">
            <v>0</v>
          </cell>
          <cell r="AB68">
            <v>0</v>
          </cell>
          <cell r="AC68">
            <v>7.1</v>
          </cell>
          <cell r="AD68">
            <v>525534.9</v>
          </cell>
          <cell r="AE68">
            <v>8.6999999999999993</v>
          </cell>
          <cell r="AF68">
            <v>643965.29999999993</v>
          </cell>
          <cell r="AH68">
            <v>0</v>
          </cell>
          <cell r="AI68">
            <v>0</v>
          </cell>
          <cell r="AJ68">
            <v>0</v>
          </cell>
          <cell r="AK68">
            <v>8.5</v>
          </cell>
          <cell r="AL68">
            <v>629161.5</v>
          </cell>
          <cell r="AN68">
            <v>0</v>
          </cell>
          <cell r="AP68">
            <v>0</v>
          </cell>
          <cell r="AR68">
            <v>0</v>
          </cell>
          <cell r="AS68">
            <v>0</v>
          </cell>
          <cell r="AT68">
            <v>0</v>
          </cell>
          <cell r="AV68">
            <v>0</v>
          </cell>
          <cell r="AW68">
            <v>10.3</v>
          </cell>
          <cell r="AX68">
            <v>762395.70000000007</v>
          </cell>
          <cell r="AY68">
            <v>0</v>
          </cell>
          <cell r="AZ68">
            <v>0</v>
          </cell>
          <cell r="BA68">
            <v>12</v>
          </cell>
          <cell r="BB68">
            <v>888228</v>
          </cell>
          <cell r="BD68">
            <v>0</v>
          </cell>
          <cell r="BF68">
            <v>0</v>
          </cell>
          <cell r="BG68">
            <v>7</v>
          </cell>
          <cell r="BH68">
            <v>518133</v>
          </cell>
          <cell r="BI68">
            <v>0</v>
          </cell>
          <cell r="BJ68">
            <v>0</v>
          </cell>
          <cell r="BL68">
            <v>0</v>
          </cell>
          <cell r="BN68">
            <v>0</v>
          </cell>
          <cell r="BP68">
            <v>0</v>
          </cell>
          <cell r="BQ68">
            <v>7</v>
          </cell>
          <cell r="BR68">
            <v>518133</v>
          </cell>
          <cell r="BT68">
            <v>0</v>
          </cell>
          <cell r="BU68">
            <v>7.3</v>
          </cell>
          <cell r="BV68">
            <v>540338.69999999995</v>
          </cell>
          <cell r="BX68">
            <v>0</v>
          </cell>
          <cell r="BY68">
            <v>7.15</v>
          </cell>
          <cell r="BZ68">
            <v>529235.85</v>
          </cell>
          <cell r="CB68">
            <v>0</v>
          </cell>
          <cell r="CD68">
            <v>0</v>
          </cell>
          <cell r="CF68">
            <v>0</v>
          </cell>
          <cell r="CG68">
            <v>12.3</v>
          </cell>
          <cell r="CH68">
            <v>910433.70000000007</v>
          </cell>
          <cell r="CJ68">
            <v>0</v>
          </cell>
          <cell r="CL68">
            <v>0</v>
          </cell>
          <cell r="CN68">
            <v>0</v>
          </cell>
          <cell r="CO68">
            <v>7.5</v>
          </cell>
          <cell r="CP68">
            <v>555142.5</v>
          </cell>
        </row>
        <row r="69">
          <cell r="A69">
            <v>68</v>
          </cell>
          <cell r="B69" t="str">
            <v>APARATOS SANITARIOS Y DE COCINA</v>
          </cell>
          <cell r="C69"/>
          <cell r="D69"/>
          <cell r="E69"/>
          <cell r="F69">
            <v>13590909</v>
          </cell>
          <cell r="H69">
            <v>0</v>
          </cell>
          <cell r="J69">
            <v>0</v>
          </cell>
          <cell r="L69">
            <v>0</v>
          </cell>
          <cell r="N69">
            <v>1067415</v>
          </cell>
          <cell r="P69">
            <v>1067415</v>
          </cell>
          <cell r="Q69">
            <v>0</v>
          </cell>
          <cell r="R69">
            <v>1067415</v>
          </cell>
          <cell r="S69">
            <v>0</v>
          </cell>
          <cell r="T69">
            <v>1067415</v>
          </cell>
          <cell r="V69">
            <v>264192</v>
          </cell>
          <cell r="X69">
            <v>0</v>
          </cell>
          <cell r="Z69">
            <v>0</v>
          </cell>
          <cell r="AA69">
            <v>0</v>
          </cell>
          <cell r="AB69">
            <v>1067415</v>
          </cell>
          <cell r="AD69">
            <v>0</v>
          </cell>
          <cell r="AF69">
            <v>0</v>
          </cell>
          <cell r="AH69">
            <v>0</v>
          </cell>
          <cell r="AI69">
            <v>0</v>
          </cell>
          <cell r="AJ69">
            <v>1067415</v>
          </cell>
          <cell r="AL69">
            <v>0</v>
          </cell>
          <cell r="AN69">
            <v>0</v>
          </cell>
          <cell r="AP69">
            <v>0</v>
          </cell>
          <cell r="AR69">
            <v>264192</v>
          </cell>
          <cell r="AS69">
            <v>0</v>
          </cell>
          <cell r="AT69">
            <v>1067415</v>
          </cell>
          <cell r="AV69">
            <v>0</v>
          </cell>
          <cell r="AW69"/>
          <cell r="AX69">
            <v>0</v>
          </cell>
          <cell r="AY69">
            <v>0</v>
          </cell>
          <cell r="AZ69">
            <v>1067415</v>
          </cell>
          <cell r="BB69">
            <v>0</v>
          </cell>
          <cell r="BD69">
            <v>264192</v>
          </cell>
          <cell r="BF69">
            <v>0</v>
          </cell>
          <cell r="BH69">
            <v>0</v>
          </cell>
          <cell r="BI69">
            <v>0</v>
          </cell>
          <cell r="BJ69">
            <v>1067415</v>
          </cell>
          <cell r="BL69">
            <v>0</v>
          </cell>
          <cell r="BN69">
            <v>0</v>
          </cell>
          <cell r="BP69">
            <v>0</v>
          </cell>
          <cell r="BR69">
            <v>0</v>
          </cell>
          <cell r="BT69">
            <v>264192</v>
          </cell>
          <cell r="BV69">
            <v>0</v>
          </cell>
          <cell r="BX69">
            <v>0</v>
          </cell>
          <cell r="BZ69">
            <v>0</v>
          </cell>
          <cell r="CB69">
            <v>264192</v>
          </cell>
          <cell r="CD69">
            <v>0</v>
          </cell>
          <cell r="CF69">
            <v>1331607</v>
          </cell>
          <cell r="CH69">
            <v>0</v>
          </cell>
          <cell r="CJ69">
            <v>264192</v>
          </cell>
          <cell r="CL69">
            <v>1067415</v>
          </cell>
          <cell r="CN69">
            <v>0</v>
          </cell>
          <cell r="CP69">
            <v>0</v>
          </cell>
        </row>
        <row r="70">
          <cell r="A70">
            <v>69</v>
          </cell>
          <cell r="B70" t="str">
            <v>SUMINISTRO E INSTALACIÓN DE SANITARIO SENCILLO BLANCO</v>
          </cell>
          <cell r="C70" t="str">
            <v>UND</v>
          </cell>
          <cell r="D70">
            <v>11</v>
          </cell>
          <cell r="E70">
            <v>626441</v>
          </cell>
          <cell r="F70">
            <v>6890851</v>
          </cell>
          <cell r="G70"/>
          <cell r="H70">
            <v>0</v>
          </cell>
          <cell r="I70"/>
          <cell r="J70">
            <v>0</v>
          </cell>
          <cell r="K70"/>
          <cell r="L70">
            <v>0</v>
          </cell>
          <cell r="M70">
            <v>1</v>
          </cell>
          <cell r="N70">
            <v>626441</v>
          </cell>
          <cell r="O70">
            <v>1</v>
          </cell>
          <cell r="P70">
            <v>626441</v>
          </cell>
          <cell r="Q70">
            <v>1</v>
          </cell>
          <cell r="R70">
            <v>626441</v>
          </cell>
          <cell r="S70">
            <v>1</v>
          </cell>
          <cell r="T70">
            <v>626441</v>
          </cell>
          <cell r="U70"/>
          <cell r="V70">
            <v>0</v>
          </cell>
          <cell r="W70"/>
          <cell r="X70">
            <v>0</v>
          </cell>
          <cell r="Y70"/>
          <cell r="Z70">
            <v>0</v>
          </cell>
          <cell r="AA70">
            <v>1</v>
          </cell>
          <cell r="AB70">
            <v>626441</v>
          </cell>
          <cell r="AC70"/>
          <cell r="AD70">
            <v>0</v>
          </cell>
          <cell r="AE70"/>
          <cell r="AF70">
            <v>0</v>
          </cell>
          <cell r="AG70"/>
          <cell r="AH70">
            <v>0</v>
          </cell>
          <cell r="AI70">
            <v>1</v>
          </cell>
          <cell r="AJ70">
            <v>626441</v>
          </cell>
          <cell r="AK70"/>
          <cell r="AL70">
            <v>0</v>
          </cell>
          <cell r="AM70"/>
          <cell r="AN70">
            <v>0</v>
          </cell>
          <cell r="AO70"/>
          <cell r="AP70">
            <v>0</v>
          </cell>
          <cell r="AQ70"/>
          <cell r="AR70">
            <v>0</v>
          </cell>
          <cell r="AS70">
            <v>1</v>
          </cell>
          <cell r="AT70">
            <v>626441</v>
          </cell>
          <cell r="AU70"/>
          <cell r="AV70">
            <v>0</v>
          </cell>
          <cell r="AW70"/>
          <cell r="AX70">
            <v>0</v>
          </cell>
          <cell r="AY70">
            <v>1</v>
          </cell>
          <cell r="AZ70">
            <v>626441</v>
          </cell>
          <cell r="BA70"/>
          <cell r="BB70">
            <v>0</v>
          </cell>
          <cell r="BC70"/>
          <cell r="BD70">
            <v>0</v>
          </cell>
          <cell r="BE70"/>
          <cell r="BF70">
            <v>0</v>
          </cell>
          <cell r="BG70"/>
          <cell r="BH70">
            <v>0</v>
          </cell>
          <cell r="BI70">
            <v>1</v>
          </cell>
          <cell r="BJ70">
            <v>626441</v>
          </cell>
          <cell r="BK70"/>
          <cell r="BL70">
            <v>0</v>
          </cell>
          <cell r="BM70"/>
          <cell r="BN70">
            <v>0</v>
          </cell>
          <cell r="BO70"/>
          <cell r="BP70">
            <v>0</v>
          </cell>
          <cell r="BQ70"/>
          <cell r="BR70">
            <v>0</v>
          </cell>
          <cell r="BS70"/>
          <cell r="BT70">
            <v>0</v>
          </cell>
          <cell r="BU70"/>
          <cell r="BV70">
            <v>0</v>
          </cell>
          <cell r="BW70"/>
          <cell r="BX70">
            <v>0</v>
          </cell>
          <cell r="BY70"/>
          <cell r="BZ70">
            <v>0</v>
          </cell>
          <cell r="CA70"/>
          <cell r="CB70">
            <v>0</v>
          </cell>
          <cell r="CC70"/>
          <cell r="CD70">
            <v>0</v>
          </cell>
          <cell r="CE70">
            <v>1</v>
          </cell>
          <cell r="CF70">
            <v>626441</v>
          </cell>
          <cell r="CG70"/>
          <cell r="CH70">
            <v>0</v>
          </cell>
          <cell r="CI70"/>
          <cell r="CJ70">
            <v>0</v>
          </cell>
          <cell r="CK70">
            <v>1</v>
          </cell>
          <cell r="CL70">
            <v>626441</v>
          </cell>
          <cell r="CM70"/>
          <cell r="CN70">
            <v>0</v>
          </cell>
          <cell r="CO70"/>
          <cell r="CP70">
            <v>0</v>
          </cell>
        </row>
        <row r="71">
          <cell r="A71">
            <v>70</v>
          </cell>
          <cell r="B71" t="str">
            <v>SUMINISTRO E INSTALACIÓN DE LAVAMANOS COLOR BLANCO DE COLGAR INCLUYE ELEMENTOS DE FIJACIÓN</v>
          </cell>
          <cell r="C71" t="str">
            <v>UND</v>
          </cell>
          <cell r="D71">
            <v>11</v>
          </cell>
          <cell r="E71">
            <v>241930</v>
          </cell>
          <cell r="F71">
            <v>2661230</v>
          </cell>
          <cell r="H71">
            <v>0</v>
          </cell>
          <cell r="J71">
            <v>0</v>
          </cell>
          <cell r="L71">
            <v>0</v>
          </cell>
          <cell r="M71">
            <v>1</v>
          </cell>
          <cell r="N71">
            <v>241930</v>
          </cell>
          <cell r="O71">
            <v>1</v>
          </cell>
          <cell r="P71">
            <v>241930</v>
          </cell>
          <cell r="Q71">
            <v>1</v>
          </cell>
          <cell r="R71">
            <v>241930</v>
          </cell>
          <cell r="S71">
            <v>1</v>
          </cell>
          <cell r="T71">
            <v>241930</v>
          </cell>
          <cell r="V71">
            <v>0</v>
          </cell>
          <cell r="X71">
            <v>0</v>
          </cell>
          <cell r="Z71">
            <v>0</v>
          </cell>
          <cell r="AA71">
            <v>1</v>
          </cell>
          <cell r="AB71">
            <v>241930</v>
          </cell>
          <cell r="AD71">
            <v>0</v>
          </cell>
          <cell r="AF71">
            <v>0</v>
          </cell>
          <cell r="AH71">
            <v>0</v>
          </cell>
          <cell r="AI71">
            <v>1</v>
          </cell>
          <cell r="AJ71">
            <v>241930</v>
          </cell>
          <cell r="AL71">
            <v>0</v>
          </cell>
          <cell r="AN71">
            <v>0</v>
          </cell>
          <cell r="AP71">
            <v>0</v>
          </cell>
          <cell r="AR71">
            <v>0</v>
          </cell>
          <cell r="AS71">
            <v>1</v>
          </cell>
          <cell r="AT71">
            <v>241930</v>
          </cell>
          <cell r="AV71">
            <v>0</v>
          </cell>
          <cell r="AW71"/>
          <cell r="AX71">
            <v>0</v>
          </cell>
          <cell r="AY71">
            <v>1</v>
          </cell>
          <cell r="AZ71">
            <v>241930</v>
          </cell>
          <cell r="BB71">
            <v>0</v>
          </cell>
          <cell r="BD71">
            <v>0</v>
          </cell>
          <cell r="BF71">
            <v>0</v>
          </cell>
          <cell r="BH71">
            <v>0</v>
          </cell>
          <cell r="BI71">
            <v>1</v>
          </cell>
          <cell r="BJ71">
            <v>241930</v>
          </cell>
          <cell r="BL71">
            <v>0</v>
          </cell>
          <cell r="BN71">
            <v>0</v>
          </cell>
          <cell r="BP71">
            <v>0</v>
          </cell>
          <cell r="BR71">
            <v>0</v>
          </cell>
          <cell r="BT71">
            <v>0</v>
          </cell>
          <cell r="BV71">
            <v>0</v>
          </cell>
          <cell r="BX71">
            <v>0</v>
          </cell>
          <cell r="BZ71">
            <v>0</v>
          </cell>
          <cell r="CB71">
            <v>0</v>
          </cell>
          <cell r="CD71">
            <v>0</v>
          </cell>
          <cell r="CE71">
            <v>1</v>
          </cell>
          <cell r="CF71">
            <v>241930</v>
          </cell>
          <cell r="CH71">
            <v>0</v>
          </cell>
          <cell r="CJ71">
            <v>0</v>
          </cell>
          <cell r="CK71">
            <v>1</v>
          </cell>
          <cell r="CL71">
            <v>241930</v>
          </cell>
          <cell r="CN71">
            <v>0</v>
          </cell>
          <cell r="CP71">
            <v>0</v>
          </cell>
        </row>
        <row r="72">
          <cell r="A72">
            <v>71</v>
          </cell>
          <cell r="B72" t="str">
            <v>SUMINISTRO E INSTALACIÓN GRIFERÍA PARA DUCHA SENCILLA</v>
          </cell>
          <cell r="C72" t="str">
            <v>UND</v>
          </cell>
          <cell r="D72">
            <v>11</v>
          </cell>
          <cell r="E72">
            <v>199044</v>
          </cell>
          <cell r="F72">
            <v>2189484</v>
          </cell>
          <cell r="G72"/>
          <cell r="H72">
            <v>0</v>
          </cell>
          <cell r="I72"/>
          <cell r="J72">
            <v>0</v>
          </cell>
          <cell r="K72"/>
          <cell r="L72">
            <v>0</v>
          </cell>
          <cell r="M72">
            <v>1</v>
          </cell>
          <cell r="N72">
            <v>199044</v>
          </cell>
          <cell r="O72">
            <v>1</v>
          </cell>
          <cell r="P72">
            <v>199044</v>
          </cell>
          <cell r="Q72">
            <v>1</v>
          </cell>
          <cell r="R72">
            <v>199044</v>
          </cell>
          <cell r="S72">
            <v>1</v>
          </cell>
          <cell r="T72">
            <v>199044</v>
          </cell>
          <cell r="U72"/>
          <cell r="V72">
            <v>0</v>
          </cell>
          <cell r="W72"/>
          <cell r="X72">
            <v>0</v>
          </cell>
          <cell r="Y72"/>
          <cell r="Z72">
            <v>0</v>
          </cell>
          <cell r="AA72">
            <v>1</v>
          </cell>
          <cell r="AB72">
            <v>199044</v>
          </cell>
          <cell r="AC72"/>
          <cell r="AD72">
            <v>0</v>
          </cell>
          <cell r="AE72"/>
          <cell r="AF72">
            <v>0</v>
          </cell>
          <cell r="AG72"/>
          <cell r="AH72">
            <v>0</v>
          </cell>
          <cell r="AI72">
            <v>1</v>
          </cell>
          <cell r="AJ72">
            <v>199044</v>
          </cell>
          <cell r="AK72"/>
          <cell r="AL72">
            <v>0</v>
          </cell>
          <cell r="AM72"/>
          <cell r="AN72">
            <v>0</v>
          </cell>
          <cell r="AO72"/>
          <cell r="AP72">
            <v>0</v>
          </cell>
          <cell r="AQ72"/>
          <cell r="AR72">
            <v>0</v>
          </cell>
          <cell r="AS72">
            <v>1</v>
          </cell>
          <cell r="AT72">
            <v>199044</v>
          </cell>
          <cell r="AU72"/>
          <cell r="AV72">
            <v>0</v>
          </cell>
          <cell r="AW72"/>
          <cell r="AX72">
            <v>0</v>
          </cell>
          <cell r="AY72">
            <v>1</v>
          </cell>
          <cell r="AZ72">
            <v>199044</v>
          </cell>
          <cell r="BA72"/>
          <cell r="BB72">
            <v>0</v>
          </cell>
          <cell r="BC72"/>
          <cell r="BD72">
            <v>0</v>
          </cell>
          <cell r="BE72"/>
          <cell r="BF72">
            <v>0</v>
          </cell>
          <cell r="BG72"/>
          <cell r="BH72">
            <v>0</v>
          </cell>
          <cell r="BI72">
            <v>1</v>
          </cell>
          <cell r="BJ72">
            <v>199044</v>
          </cell>
          <cell r="BK72"/>
          <cell r="BL72">
            <v>0</v>
          </cell>
          <cell r="BM72"/>
          <cell r="BN72">
            <v>0</v>
          </cell>
          <cell r="BO72"/>
          <cell r="BP72">
            <v>0</v>
          </cell>
          <cell r="BQ72"/>
          <cell r="BR72">
            <v>0</v>
          </cell>
          <cell r="BS72"/>
          <cell r="BT72">
            <v>0</v>
          </cell>
          <cell r="BU72"/>
          <cell r="BV72">
            <v>0</v>
          </cell>
          <cell r="BW72"/>
          <cell r="BX72">
            <v>0</v>
          </cell>
          <cell r="BY72"/>
          <cell r="BZ72">
            <v>0</v>
          </cell>
          <cell r="CA72"/>
          <cell r="CB72">
            <v>0</v>
          </cell>
          <cell r="CC72"/>
          <cell r="CD72">
            <v>0</v>
          </cell>
          <cell r="CE72">
            <v>1</v>
          </cell>
          <cell r="CF72">
            <v>199044</v>
          </cell>
          <cell r="CG72"/>
          <cell r="CH72">
            <v>0</v>
          </cell>
          <cell r="CI72"/>
          <cell r="CJ72">
            <v>0</v>
          </cell>
          <cell r="CK72">
            <v>1</v>
          </cell>
          <cell r="CL72">
            <v>199044</v>
          </cell>
          <cell r="CM72"/>
          <cell r="CN72">
            <v>0</v>
          </cell>
          <cell r="CO72"/>
          <cell r="CP72">
            <v>0</v>
          </cell>
        </row>
        <row r="73">
          <cell r="A73">
            <v>72</v>
          </cell>
          <cell r="B73" t="str">
            <v>SUMINISTRO E INSTALACIÓN LAVAPLATOS ACERO INOXIDABLE 0.6 X 0.40 M</v>
          </cell>
          <cell r="C73" t="str">
            <v>UND</v>
          </cell>
          <cell r="D73">
            <v>7</v>
          </cell>
          <cell r="E73">
            <v>264192</v>
          </cell>
          <cell r="F73">
            <v>1849344</v>
          </cell>
          <cell r="H73">
            <v>0</v>
          </cell>
          <cell r="J73">
            <v>0</v>
          </cell>
          <cell r="L73">
            <v>0</v>
          </cell>
          <cell r="N73">
            <v>0</v>
          </cell>
          <cell r="P73">
            <v>0</v>
          </cell>
          <cell r="Q73">
            <v>0</v>
          </cell>
          <cell r="R73">
            <v>0</v>
          </cell>
          <cell r="S73">
            <v>0</v>
          </cell>
          <cell r="T73">
            <v>0</v>
          </cell>
          <cell r="U73">
            <v>1</v>
          </cell>
          <cell r="V73">
            <v>264192</v>
          </cell>
          <cell r="X73">
            <v>0</v>
          </cell>
          <cell r="Z73">
            <v>0</v>
          </cell>
          <cell r="AA73">
            <v>0</v>
          </cell>
          <cell r="AB73">
            <v>0</v>
          </cell>
          <cell r="AD73">
            <v>0</v>
          </cell>
          <cell r="AF73">
            <v>0</v>
          </cell>
          <cell r="AH73">
            <v>0</v>
          </cell>
          <cell r="AI73">
            <v>0</v>
          </cell>
          <cell r="AJ73">
            <v>0</v>
          </cell>
          <cell r="AL73">
            <v>0</v>
          </cell>
          <cell r="AN73">
            <v>0</v>
          </cell>
          <cell r="AP73">
            <v>0</v>
          </cell>
          <cell r="AQ73">
            <v>1</v>
          </cell>
          <cell r="AR73">
            <v>264192</v>
          </cell>
          <cell r="AS73">
            <v>0</v>
          </cell>
          <cell r="AT73">
            <v>0</v>
          </cell>
          <cell r="AV73">
            <v>0</v>
          </cell>
          <cell r="AW73"/>
          <cell r="AX73">
            <v>0</v>
          </cell>
          <cell r="AY73">
            <v>0</v>
          </cell>
          <cell r="AZ73">
            <v>0</v>
          </cell>
          <cell r="BB73">
            <v>0</v>
          </cell>
          <cell r="BC73">
            <v>1</v>
          </cell>
          <cell r="BD73">
            <v>264192</v>
          </cell>
          <cell r="BF73">
            <v>0</v>
          </cell>
          <cell r="BH73">
            <v>0</v>
          </cell>
          <cell r="BI73">
            <v>0</v>
          </cell>
          <cell r="BJ73">
            <v>0</v>
          </cell>
          <cell r="BL73">
            <v>0</v>
          </cell>
          <cell r="BN73">
            <v>0</v>
          </cell>
          <cell r="BP73">
            <v>0</v>
          </cell>
          <cell r="BR73">
            <v>0</v>
          </cell>
          <cell r="BS73">
            <v>1</v>
          </cell>
          <cell r="BT73">
            <v>264192</v>
          </cell>
          <cell r="BV73">
            <v>0</v>
          </cell>
          <cell r="BX73">
            <v>0</v>
          </cell>
          <cell r="BZ73">
            <v>0</v>
          </cell>
          <cell r="CA73">
            <v>1</v>
          </cell>
          <cell r="CB73">
            <v>264192</v>
          </cell>
          <cell r="CD73">
            <v>0</v>
          </cell>
          <cell r="CE73">
            <v>1</v>
          </cell>
          <cell r="CF73">
            <v>264192</v>
          </cell>
          <cell r="CH73">
            <v>0</v>
          </cell>
          <cell r="CI73">
            <v>1</v>
          </cell>
          <cell r="CJ73">
            <v>264192</v>
          </cell>
          <cell r="CL73">
            <v>0</v>
          </cell>
          <cell r="CN73">
            <v>0</v>
          </cell>
          <cell r="CP73">
            <v>0</v>
          </cell>
        </row>
        <row r="74">
          <cell r="A74">
            <v>73</v>
          </cell>
          <cell r="B74" t="str">
            <v>CARPINTERIA METALICA</v>
          </cell>
          <cell r="C74"/>
          <cell r="D74"/>
          <cell r="E74"/>
          <cell r="F74">
            <v>31101268.399999999</v>
          </cell>
          <cell r="H74">
            <v>0</v>
          </cell>
          <cell r="J74">
            <v>1519056.45</v>
          </cell>
          <cell r="L74">
            <v>548660</v>
          </cell>
          <cell r="N74">
            <v>930484.32000000007</v>
          </cell>
          <cell r="P74">
            <v>930484.32000000007</v>
          </cell>
          <cell r="Q74">
            <v>0</v>
          </cell>
          <cell r="R74">
            <v>1181300.32</v>
          </cell>
          <cell r="S74">
            <v>0</v>
          </cell>
          <cell r="T74">
            <v>930484.32000000007</v>
          </cell>
          <cell r="V74">
            <v>576112.80899999989</v>
          </cell>
          <cell r="X74">
            <v>0</v>
          </cell>
          <cell r="Z74">
            <v>1893904.2000000002</v>
          </cell>
          <cell r="AA74">
            <v>0</v>
          </cell>
          <cell r="AB74">
            <v>930484.32000000007</v>
          </cell>
          <cell r="AD74">
            <v>0</v>
          </cell>
          <cell r="AF74">
            <v>681906</v>
          </cell>
          <cell r="AH74">
            <v>705420</v>
          </cell>
          <cell r="AI74">
            <v>0</v>
          </cell>
          <cell r="AJ74">
            <v>930484.32000000007</v>
          </cell>
          <cell r="AL74">
            <v>666230</v>
          </cell>
          <cell r="AN74">
            <v>1541194.2000000002</v>
          </cell>
          <cell r="AP74">
            <v>0</v>
          </cell>
          <cell r="AR74">
            <v>576112.80899999989</v>
          </cell>
          <cell r="AS74">
            <v>0</v>
          </cell>
          <cell r="AT74">
            <v>930484.32000000007</v>
          </cell>
          <cell r="AV74">
            <v>1541194.2000000002</v>
          </cell>
          <cell r="AW74"/>
          <cell r="AX74">
            <v>0</v>
          </cell>
          <cell r="AY74">
            <v>0</v>
          </cell>
          <cell r="AZ74">
            <v>930484.32000000007</v>
          </cell>
          <cell r="BB74">
            <v>0</v>
          </cell>
          <cell r="BD74">
            <v>0</v>
          </cell>
          <cell r="BF74">
            <v>2303665.6770000001</v>
          </cell>
          <cell r="BH74">
            <v>0</v>
          </cell>
          <cell r="BI74">
            <v>0</v>
          </cell>
          <cell r="BJ74">
            <v>930484.32000000007</v>
          </cell>
          <cell r="BL74">
            <v>2091811.4400000002</v>
          </cell>
          <cell r="BN74">
            <v>2940706.8</v>
          </cell>
          <cell r="BP74">
            <v>1541194.2000000002</v>
          </cell>
          <cell r="BR74">
            <v>0</v>
          </cell>
          <cell r="BT74">
            <v>576112.80899999989</v>
          </cell>
          <cell r="BV74">
            <v>0</v>
          </cell>
          <cell r="BX74">
            <v>0</v>
          </cell>
          <cell r="BZ74">
            <v>0</v>
          </cell>
          <cell r="CB74">
            <v>576112.80899999989</v>
          </cell>
          <cell r="CD74">
            <v>0</v>
          </cell>
          <cell r="CF74">
            <v>0</v>
          </cell>
          <cell r="CH74">
            <v>0</v>
          </cell>
          <cell r="CJ74">
            <v>576112.80899999989</v>
          </cell>
          <cell r="CL74">
            <v>1621531.5300000003</v>
          </cell>
          <cell r="CN74">
            <v>0</v>
          </cell>
          <cell r="CP74">
            <v>0</v>
          </cell>
        </row>
        <row r="75">
          <cell r="A75">
            <v>74</v>
          </cell>
          <cell r="B75" t="str">
            <v>SUMINISTRO E INSTALACIÓN DE PUERTA EN LÁMINA CAL. 18.</v>
          </cell>
          <cell r="C75" t="str">
            <v>M2</v>
          </cell>
          <cell r="D75">
            <v>38.24</v>
          </cell>
          <cell r="E75">
            <v>442755</v>
          </cell>
          <cell r="F75">
            <v>16930951.199999999</v>
          </cell>
          <cell r="H75">
            <v>0</v>
          </cell>
          <cell r="I75">
            <v>2.15</v>
          </cell>
          <cell r="J75">
            <v>951923.25</v>
          </cell>
          <cell r="L75">
            <v>0</v>
          </cell>
          <cell r="M75">
            <v>1.7600000000000002</v>
          </cell>
          <cell r="N75">
            <v>779248.8</v>
          </cell>
          <cell r="O75">
            <v>1.7600000000000002</v>
          </cell>
          <cell r="P75">
            <v>779248.8</v>
          </cell>
          <cell r="Q75">
            <v>1.7600000000000002</v>
          </cell>
          <cell r="R75">
            <v>779248.8</v>
          </cell>
          <cell r="S75">
            <v>1.7600000000000002</v>
          </cell>
          <cell r="T75">
            <v>779248.8</v>
          </cell>
          <cell r="V75">
            <v>0</v>
          </cell>
          <cell r="X75">
            <v>0</v>
          </cell>
          <cell r="Y75">
            <v>2.2000000000000002</v>
          </cell>
          <cell r="Z75">
            <v>974061.00000000012</v>
          </cell>
          <cell r="AA75">
            <v>1.7600000000000002</v>
          </cell>
          <cell r="AB75">
            <v>779248.8</v>
          </cell>
          <cell r="AD75">
            <v>0</v>
          </cell>
          <cell r="AF75">
            <v>0</v>
          </cell>
          <cell r="AH75">
            <v>0</v>
          </cell>
          <cell r="AI75">
            <v>1.7600000000000002</v>
          </cell>
          <cell r="AJ75">
            <v>779248.8</v>
          </cell>
          <cell r="AL75">
            <v>0</v>
          </cell>
          <cell r="AM75">
            <v>2.2000000000000002</v>
          </cell>
          <cell r="AN75">
            <v>974061.00000000012</v>
          </cell>
          <cell r="AP75">
            <v>0</v>
          </cell>
          <cell r="AR75">
            <v>0</v>
          </cell>
          <cell r="AS75">
            <v>1.7600000000000002</v>
          </cell>
          <cell r="AT75">
            <v>779248.8</v>
          </cell>
          <cell r="AU75">
            <v>2.2000000000000002</v>
          </cell>
          <cell r="AV75">
            <v>974061.00000000012</v>
          </cell>
          <cell r="AW75"/>
          <cell r="AX75">
            <v>0</v>
          </cell>
          <cell r="AY75">
            <v>1.7600000000000002</v>
          </cell>
          <cell r="AZ75">
            <v>779248.8</v>
          </cell>
          <cell r="BB75">
            <v>0</v>
          </cell>
          <cell r="BD75">
            <v>0</v>
          </cell>
          <cell r="BE75">
            <v>2.1</v>
          </cell>
          <cell r="BF75">
            <v>929785.5</v>
          </cell>
          <cell r="BH75">
            <v>0</v>
          </cell>
          <cell r="BI75">
            <v>1.7600000000000002</v>
          </cell>
          <cell r="BJ75">
            <v>779248.8</v>
          </cell>
          <cell r="BK75">
            <v>2.12</v>
          </cell>
          <cell r="BL75">
            <v>938640.60000000009</v>
          </cell>
          <cell r="BM75">
            <v>4.08</v>
          </cell>
          <cell r="BN75">
            <v>1806440.4000000001</v>
          </cell>
          <cell r="BO75">
            <v>2.2000000000000002</v>
          </cell>
          <cell r="BP75">
            <v>974061.00000000012</v>
          </cell>
          <cell r="BR75">
            <v>0</v>
          </cell>
          <cell r="BT75">
            <v>0</v>
          </cell>
          <cell r="BV75">
            <v>0</v>
          </cell>
          <cell r="BX75">
            <v>0</v>
          </cell>
          <cell r="BZ75">
            <v>0</v>
          </cell>
          <cell r="CB75">
            <v>0</v>
          </cell>
          <cell r="CD75">
            <v>0</v>
          </cell>
          <cell r="CF75">
            <v>0</v>
          </cell>
          <cell r="CH75">
            <v>0</v>
          </cell>
          <cell r="CJ75">
            <v>0</v>
          </cell>
          <cell r="CK75">
            <v>3.1500000000000004</v>
          </cell>
          <cell r="CL75">
            <v>1394678.2500000002</v>
          </cell>
          <cell r="CN75">
            <v>0</v>
          </cell>
          <cell r="CP75">
            <v>0</v>
          </cell>
        </row>
        <row r="76">
          <cell r="A76">
            <v>75</v>
          </cell>
          <cell r="B76" t="str">
            <v>SUMINISTRO E INSTALACIÓN DE VENTANA EN LÁMINA COLD ROLLED CAL.18 CON VIDRIO. (INCLUYE ANTICORROSIVO).</v>
          </cell>
          <cell r="C76" t="str">
            <v>M2</v>
          </cell>
          <cell r="D76">
            <v>23.2</v>
          </cell>
          <cell r="E76">
            <v>472611</v>
          </cell>
          <cell r="F76">
            <v>10964575.199999999</v>
          </cell>
          <cell r="H76">
            <v>0</v>
          </cell>
          <cell r="I76">
            <v>1.2</v>
          </cell>
          <cell r="J76">
            <v>567133.19999999995</v>
          </cell>
          <cell r="L76">
            <v>0</v>
          </cell>
          <cell r="M76">
            <v>0.32000000000000006</v>
          </cell>
          <cell r="N76">
            <v>151235.52000000002</v>
          </cell>
          <cell r="O76">
            <v>0.32000000000000006</v>
          </cell>
          <cell r="P76">
            <v>151235.52000000002</v>
          </cell>
          <cell r="Q76">
            <v>0.32000000000000006</v>
          </cell>
          <cell r="R76">
            <v>151235.52000000002</v>
          </cell>
          <cell r="S76">
            <v>0.32000000000000006</v>
          </cell>
          <cell r="T76">
            <v>151235.52000000002</v>
          </cell>
          <cell r="U76">
            <v>1.2189999999999999</v>
          </cell>
          <cell r="V76">
            <v>576112.80899999989</v>
          </cell>
          <cell r="X76">
            <v>0</v>
          </cell>
          <cell r="Y76">
            <v>1.2</v>
          </cell>
          <cell r="Z76">
            <v>567133.19999999995</v>
          </cell>
          <cell r="AA76">
            <v>0.32000000000000006</v>
          </cell>
          <cell r="AB76">
            <v>151235.52000000002</v>
          </cell>
          <cell r="AD76">
            <v>0</v>
          </cell>
          <cell r="AF76">
            <v>0</v>
          </cell>
          <cell r="AH76">
            <v>0</v>
          </cell>
          <cell r="AI76">
            <v>0.32000000000000006</v>
          </cell>
          <cell r="AJ76">
            <v>151235.52000000002</v>
          </cell>
          <cell r="AL76">
            <v>0</v>
          </cell>
          <cell r="AM76">
            <v>1.2</v>
          </cell>
          <cell r="AN76">
            <v>567133.19999999995</v>
          </cell>
          <cell r="AP76">
            <v>0</v>
          </cell>
          <cell r="AQ76">
            <v>1.2189999999999999</v>
          </cell>
          <cell r="AR76">
            <v>576112.80899999989</v>
          </cell>
          <cell r="AS76">
            <v>0.32000000000000006</v>
          </cell>
          <cell r="AT76">
            <v>151235.52000000002</v>
          </cell>
          <cell r="AU76">
            <v>1.2</v>
          </cell>
          <cell r="AV76">
            <v>567133.19999999995</v>
          </cell>
          <cell r="AW76"/>
          <cell r="AX76">
            <v>0</v>
          </cell>
          <cell r="AY76">
            <v>0.32000000000000006</v>
          </cell>
          <cell r="AZ76">
            <v>151235.52000000002</v>
          </cell>
          <cell r="BB76">
            <v>0</v>
          </cell>
          <cell r="BD76">
            <v>0</v>
          </cell>
          <cell r="BE76">
            <v>2.907</v>
          </cell>
          <cell r="BF76">
            <v>1373880.1769999999</v>
          </cell>
          <cell r="BH76">
            <v>0</v>
          </cell>
          <cell r="BI76">
            <v>0.32000000000000006</v>
          </cell>
          <cell r="BJ76">
            <v>151235.52000000002</v>
          </cell>
          <cell r="BK76">
            <v>2.44</v>
          </cell>
          <cell r="BL76">
            <v>1153170.8400000001</v>
          </cell>
          <cell r="BM76">
            <v>2.4</v>
          </cell>
          <cell r="BN76">
            <v>1134266.3999999999</v>
          </cell>
          <cell r="BO76">
            <v>1.2</v>
          </cell>
          <cell r="BP76">
            <v>567133.19999999995</v>
          </cell>
          <cell r="BR76">
            <v>0</v>
          </cell>
          <cell r="BS76">
            <v>1.2189999999999999</v>
          </cell>
          <cell r="BT76">
            <v>576112.80899999989</v>
          </cell>
          <cell r="BV76">
            <v>0</v>
          </cell>
          <cell r="BX76">
            <v>0</v>
          </cell>
          <cell r="BZ76">
            <v>0</v>
          </cell>
          <cell r="CA76">
            <v>1.2189999999999999</v>
          </cell>
          <cell r="CB76">
            <v>576112.80899999989</v>
          </cell>
          <cell r="CD76">
            <v>0</v>
          </cell>
          <cell r="CF76">
            <v>0</v>
          </cell>
          <cell r="CH76">
            <v>0</v>
          </cell>
          <cell r="CI76">
            <v>1.2189999999999999</v>
          </cell>
          <cell r="CJ76">
            <v>576112.80899999989</v>
          </cell>
          <cell r="CK76">
            <v>0.48</v>
          </cell>
          <cell r="CL76">
            <v>226853.28</v>
          </cell>
          <cell r="CN76">
            <v>0</v>
          </cell>
          <cell r="CP76">
            <v>0</v>
          </cell>
        </row>
        <row r="77">
          <cell r="A77">
            <v>76</v>
          </cell>
          <cell r="B77" t="str">
            <v>CERRAMIENTO EN MALLA ESLABONADA CAL 10 (INCLUYE TUBO AGUA NEGRA DE 2" Y ANGULO 1" X 1" X1/8")</v>
          </cell>
          <cell r="C77" t="str">
            <v>M2</v>
          </cell>
          <cell r="D77">
            <v>0</v>
          </cell>
          <cell r="E77">
            <v>490368</v>
          </cell>
          <cell r="F77">
            <v>0</v>
          </cell>
          <cell r="H77">
            <v>0</v>
          </cell>
          <cell r="J77">
            <v>0</v>
          </cell>
          <cell r="L77">
            <v>0</v>
          </cell>
          <cell r="N77">
            <v>0</v>
          </cell>
          <cell r="P77">
            <v>0</v>
          </cell>
          <cell r="Q77">
            <v>0</v>
          </cell>
          <cell r="R77">
            <v>0</v>
          </cell>
          <cell r="S77">
            <v>0</v>
          </cell>
          <cell r="T77">
            <v>0</v>
          </cell>
          <cell r="V77">
            <v>0</v>
          </cell>
          <cell r="X77">
            <v>0</v>
          </cell>
          <cell r="Z77">
            <v>0</v>
          </cell>
          <cell r="AA77">
            <v>0</v>
          </cell>
          <cell r="AB77">
            <v>0</v>
          </cell>
          <cell r="AD77">
            <v>0</v>
          </cell>
          <cell r="AF77">
            <v>0</v>
          </cell>
          <cell r="AH77">
            <v>0</v>
          </cell>
          <cell r="AI77">
            <v>0</v>
          </cell>
          <cell r="AJ77">
            <v>0</v>
          </cell>
          <cell r="AL77">
            <v>0</v>
          </cell>
          <cell r="AN77">
            <v>0</v>
          </cell>
          <cell r="AP77">
            <v>0</v>
          </cell>
          <cell r="AR77">
            <v>0</v>
          </cell>
          <cell r="AS77">
            <v>0</v>
          </cell>
          <cell r="AT77">
            <v>0</v>
          </cell>
          <cell r="AV77">
            <v>0</v>
          </cell>
          <cell r="AW77"/>
          <cell r="AX77">
            <v>0</v>
          </cell>
          <cell r="AY77">
            <v>0</v>
          </cell>
          <cell r="AZ77">
            <v>0</v>
          </cell>
          <cell r="BB77">
            <v>0</v>
          </cell>
          <cell r="BD77">
            <v>0</v>
          </cell>
          <cell r="BF77">
            <v>0</v>
          </cell>
          <cell r="BH77">
            <v>0</v>
          </cell>
          <cell r="BI77">
            <v>0</v>
          </cell>
          <cell r="BJ77">
            <v>0</v>
          </cell>
          <cell r="BL77">
            <v>0</v>
          </cell>
          <cell r="BN77">
            <v>0</v>
          </cell>
          <cell r="BP77">
            <v>0</v>
          </cell>
          <cell r="BR77">
            <v>0</v>
          </cell>
          <cell r="BT77">
            <v>0</v>
          </cell>
          <cell r="BV77">
            <v>0</v>
          </cell>
          <cell r="BX77">
            <v>0</v>
          </cell>
          <cell r="BZ77">
            <v>0</v>
          </cell>
          <cell r="CB77">
            <v>0</v>
          </cell>
          <cell r="CD77">
            <v>0</v>
          </cell>
          <cell r="CF77">
            <v>0</v>
          </cell>
          <cell r="CH77">
            <v>0</v>
          </cell>
          <cell r="CJ77">
            <v>0</v>
          </cell>
          <cell r="CL77">
            <v>0</v>
          </cell>
          <cell r="CN77">
            <v>0</v>
          </cell>
          <cell r="CP77">
            <v>0</v>
          </cell>
          <cell r="CR77" t="str">
            <v xml:space="preserve"> </v>
          </cell>
        </row>
        <row r="78">
          <cell r="A78">
            <v>77</v>
          </cell>
          <cell r="B78" t="str">
            <v>SUMINISTRO E INSTALACIÓN DE CANAL EN LÁMINA GALVANIZADA CAL.20 DESARROLLO HASTA 0.50 M</v>
          </cell>
          <cell r="C78" t="str">
            <v>ML</v>
          </cell>
          <cell r="D78">
            <v>40.9</v>
          </cell>
          <cell r="E78">
            <v>78380</v>
          </cell>
          <cell r="F78">
            <v>3205742</v>
          </cell>
          <cell r="H78">
            <v>0</v>
          </cell>
          <cell r="J78">
            <v>0</v>
          </cell>
          <cell r="K78">
            <v>7</v>
          </cell>
          <cell r="L78">
            <v>548660</v>
          </cell>
          <cell r="N78">
            <v>0</v>
          </cell>
          <cell r="P78">
            <v>0</v>
          </cell>
          <cell r="Q78">
            <v>3.2</v>
          </cell>
          <cell r="R78">
            <v>250816</v>
          </cell>
          <cell r="T78">
            <v>0</v>
          </cell>
          <cell r="V78">
            <v>0</v>
          </cell>
          <cell r="X78">
            <v>0</v>
          </cell>
          <cell r="Y78">
            <v>4.5</v>
          </cell>
          <cell r="Z78">
            <v>352710</v>
          </cell>
          <cell r="AB78">
            <v>0</v>
          </cell>
          <cell r="AD78">
            <v>0</v>
          </cell>
          <cell r="AE78">
            <v>8.6999999999999993</v>
          </cell>
          <cell r="AF78">
            <v>681906</v>
          </cell>
          <cell r="AG78">
            <v>9</v>
          </cell>
          <cell r="AH78">
            <v>705420</v>
          </cell>
          <cell r="AJ78">
            <v>0</v>
          </cell>
          <cell r="AK78">
            <v>8.5</v>
          </cell>
          <cell r="AL78">
            <v>666230</v>
          </cell>
          <cell r="AN78">
            <v>0</v>
          </cell>
          <cell r="AP78">
            <v>0</v>
          </cell>
          <cell r="AR78">
            <v>0</v>
          </cell>
          <cell r="AT78">
            <v>0</v>
          </cell>
          <cell r="AV78">
            <v>0</v>
          </cell>
          <cell r="AW78"/>
          <cell r="AX78">
            <v>0</v>
          </cell>
          <cell r="AZ78">
            <v>0</v>
          </cell>
          <cell r="BB78">
            <v>0</v>
          </cell>
          <cell r="BD78">
            <v>0</v>
          </cell>
          <cell r="BF78">
            <v>0</v>
          </cell>
          <cell r="BH78">
            <v>0</v>
          </cell>
          <cell r="BI78">
            <v>0</v>
          </cell>
          <cell r="BJ78">
            <v>0</v>
          </cell>
          <cell r="BL78">
            <v>0</v>
          </cell>
          <cell r="BN78">
            <v>0</v>
          </cell>
          <cell r="BP78">
            <v>0</v>
          </cell>
          <cell r="BR78">
            <v>0</v>
          </cell>
          <cell r="BT78">
            <v>0</v>
          </cell>
          <cell r="BV78">
            <v>0</v>
          </cell>
          <cell r="BX78">
            <v>0</v>
          </cell>
          <cell r="BZ78">
            <v>0</v>
          </cell>
          <cell r="CB78">
            <v>0</v>
          </cell>
          <cell r="CD78">
            <v>0</v>
          </cell>
          <cell r="CF78">
            <v>0</v>
          </cell>
          <cell r="CH78">
            <v>0</v>
          </cell>
          <cell r="CJ78">
            <v>0</v>
          </cell>
          <cell r="CL78">
            <v>0</v>
          </cell>
          <cell r="CN78">
            <v>0</v>
          </cell>
          <cell r="CP78">
            <v>0</v>
          </cell>
        </row>
      </sheetData>
      <sheetData sheetId="1"/>
      <sheetData sheetId="2"/>
      <sheetData sheetId="3"/>
      <sheetData sheetId="4"/>
      <sheetData sheetId="5">
        <row r="3">
          <cell r="B3"/>
          <cell r="C3"/>
          <cell r="D3"/>
          <cell r="E3"/>
          <cell r="F3"/>
        </row>
        <row r="4">
          <cell r="B4" t="str">
            <v>CONCRETO DE 4000 PSI (1:2:2)</v>
          </cell>
          <cell r="C4" t="str">
            <v>M3</v>
          </cell>
          <cell r="D4">
            <v>1</v>
          </cell>
          <cell r="E4">
            <v>869721.18</v>
          </cell>
          <cell r="F4" t="str">
            <v>BÁSICO</v>
          </cell>
        </row>
        <row r="5">
          <cell r="B5" t="str">
            <v>CONCRETO DE 3500 PSI (1:2:3)</v>
          </cell>
          <cell r="C5" t="str">
            <v>M3</v>
          </cell>
          <cell r="D5">
            <v>1</v>
          </cell>
          <cell r="E5">
            <v>828941.76</v>
          </cell>
          <cell r="F5" t="str">
            <v>BÁSICO</v>
          </cell>
        </row>
        <row r="6">
          <cell r="B6" t="str">
            <v>CONCRETO DE 3000 PSI (1:2:3)</v>
          </cell>
          <cell r="C6" t="str">
            <v>M3</v>
          </cell>
          <cell r="D6">
            <v>1</v>
          </cell>
          <cell r="E6">
            <v>765149.14</v>
          </cell>
          <cell r="F6" t="str">
            <v>BÁSICO</v>
          </cell>
        </row>
        <row r="7">
          <cell r="B7" t="str">
            <v>CONCRETO IMPERMEABILIZADO DE 3000 PSI (1:2:3)</v>
          </cell>
          <cell r="C7" t="str">
            <v>M3</v>
          </cell>
          <cell r="D7">
            <v>1</v>
          </cell>
          <cell r="E7">
            <v>836600.33</v>
          </cell>
          <cell r="F7" t="str">
            <v>BÁSICO</v>
          </cell>
        </row>
        <row r="8">
          <cell r="B8" t="str">
            <v>CONCRETO DE 2500 PSI (1:2:4)</v>
          </cell>
          <cell r="C8" t="str">
            <v>M3</v>
          </cell>
          <cell r="D8">
            <v>1</v>
          </cell>
          <cell r="E8">
            <v>703756.21</v>
          </cell>
          <cell r="F8" t="str">
            <v>BÁSICO</v>
          </cell>
        </row>
        <row r="9">
          <cell r="B9" t="str">
            <v>CONCRETO DE 2000 PSI (1:3:4)</v>
          </cell>
          <cell r="C9" t="str">
            <v>M3</v>
          </cell>
          <cell r="D9">
            <v>1</v>
          </cell>
          <cell r="E9">
            <v>641777.72</v>
          </cell>
          <cell r="F9" t="str">
            <v>BÁSICO</v>
          </cell>
        </row>
        <row r="10">
          <cell r="B10" t="str">
            <v>MORTERO 1:4</v>
          </cell>
          <cell r="C10" t="str">
            <v>M3</v>
          </cell>
          <cell r="D10">
            <v>1</v>
          </cell>
          <cell r="E10">
            <v>646005.14</v>
          </cell>
          <cell r="F10" t="str">
            <v>BÁSICO</v>
          </cell>
        </row>
        <row r="11">
          <cell r="B11" t="str">
            <v>MORTERO 1:4 IMPERMEABILIZADO</v>
          </cell>
          <cell r="C11" t="str">
            <v>M3</v>
          </cell>
          <cell r="D11">
            <v>1</v>
          </cell>
          <cell r="E11">
            <v>934466.39</v>
          </cell>
          <cell r="F11" t="str">
            <v>BÁSICO</v>
          </cell>
        </row>
        <row r="12">
          <cell r="B12" t="str">
            <v>MORTERO 1:3</v>
          </cell>
          <cell r="C12" t="str">
            <v>M3</v>
          </cell>
          <cell r="D12">
            <v>1</v>
          </cell>
          <cell r="E12">
            <v>720478.82</v>
          </cell>
          <cell r="F12" t="str">
            <v>BÁSICO</v>
          </cell>
        </row>
        <row r="13">
          <cell r="B13" t="str">
            <v>MORTERO 1:3 IMPERMEABILIZADO</v>
          </cell>
          <cell r="C13" t="str">
            <v>M3</v>
          </cell>
          <cell r="D13">
            <v>1</v>
          </cell>
          <cell r="E13">
            <v>996150.34</v>
          </cell>
          <cell r="F13" t="str">
            <v>BÁSICO</v>
          </cell>
        </row>
        <row r="14">
          <cell r="B14" t="str">
            <v>ACERO DE REFUERZO</v>
          </cell>
          <cell r="C14"/>
          <cell r="D14"/>
          <cell r="E14"/>
          <cell r="F14"/>
        </row>
        <row r="15">
          <cell r="B15" t="str">
            <v>SUMINISTRO, FIGURADA Y AMARRE DE ACERO 60,000 PSI (420 Mpa)</v>
          </cell>
          <cell r="C15" t="str">
            <v>KG</v>
          </cell>
          <cell r="D15">
            <v>1</v>
          </cell>
          <cell r="E15">
            <v>13885</v>
          </cell>
          <cell r="F15" t="str">
            <v>ACERO DE REFUERZO</v>
          </cell>
        </row>
        <row r="16">
          <cell r="B16" t="str">
            <v xml:space="preserve">SUMINISTRO E INSTALACIÓN DE MALLA ELECTROSOLDADA 6.00 mm 15X15 CM </v>
          </cell>
          <cell r="C16" t="str">
            <v>M2</v>
          </cell>
          <cell r="D16">
            <v>1</v>
          </cell>
          <cell r="E16">
            <v>33427</v>
          </cell>
          <cell r="F16" t="str">
            <v>ACERO DE REFUERZO</v>
          </cell>
        </row>
        <row r="17">
          <cell r="B17" t="str">
            <v xml:space="preserve">SUMINISTRO E INSTALACIÓN DE MALLA ELECTROSOLDADA 4.00 mm 15X15 CM </v>
          </cell>
          <cell r="C17" t="str">
            <v>M2</v>
          </cell>
          <cell r="D17">
            <v>1</v>
          </cell>
          <cell r="E17">
            <v>19043</v>
          </cell>
          <cell r="F17" t="str">
            <v>ACERO DE REFUERZO</v>
          </cell>
        </row>
        <row r="18">
          <cell r="B18"/>
          <cell r="C18"/>
          <cell r="D18"/>
          <cell r="E18"/>
          <cell r="F18"/>
        </row>
        <row r="19">
          <cell r="B19"/>
          <cell r="C19"/>
          <cell r="D19"/>
          <cell r="E19"/>
          <cell r="F19"/>
        </row>
        <row r="20">
          <cell r="B20" t="str">
            <v>LOCALIZACIÓN Y REPLANTEO DE OBRA ARQUITECTÓNICA (INCLUYE COMISIÓN TOPOGRÁFICA)</v>
          </cell>
          <cell r="C20" t="str">
            <v>M2</v>
          </cell>
          <cell r="D20">
            <v>1</v>
          </cell>
          <cell r="E20">
            <v>13617</v>
          </cell>
          <cell r="F20" t="str">
            <v>VIVIENDA Y EDIFICACIÓN</v>
          </cell>
        </row>
        <row r="21">
          <cell r="B21" t="str">
            <v>LOCALIZACIÓN Y REPLANTEO DE OBRA ARQUITECTÓNICA (NO INCLUYE COMISIÓN TOPOGRÁFICA)</v>
          </cell>
          <cell r="C21" t="str">
            <v>M2</v>
          </cell>
          <cell r="D21">
            <v>1</v>
          </cell>
          <cell r="E21">
            <v>5949</v>
          </cell>
          <cell r="F21" t="str">
            <v>VIVIENDA Y EDIFICACIÓN</v>
          </cell>
        </row>
        <row r="22">
          <cell r="B22" t="str">
            <v>DESMONTE DE CUBIERTA DE ZINC + ENTRAMADO. (INCLUYE RETIRO Y ACARREO LIBRE HASTA 5 KM.)</v>
          </cell>
          <cell r="C22" t="str">
            <v>M2</v>
          </cell>
          <cell r="D22">
            <v>1</v>
          </cell>
          <cell r="E22">
            <v>34901</v>
          </cell>
          <cell r="F22" t="str">
            <v>VIVIENDA Y EDIFICACIÓN</v>
          </cell>
        </row>
        <row r="23">
          <cell r="B23" t="str">
            <v>DESMONTE CUBIERTAS TEJA DE ASBESTO Y/ O ASBESTO CEMENTO. (INCLUYE RETIRO - ACARREO LIBRE HASTA 5 KM.)</v>
          </cell>
          <cell r="C23" t="str">
            <v>M2</v>
          </cell>
          <cell r="D23">
            <v>1</v>
          </cell>
          <cell r="E23">
            <v>23819</v>
          </cell>
          <cell r="F23" t="str">
            <v>VIVIENDA Y EDIFICACIÓN</v>
          </cell>
        </row>
        <row r="24">
          <cell r="B24" t="str">
            <v>DESMONTE DE CORREAS METÁLICAS  (INCLUYE RETIRO Y ACARREO LIBRE HASTA 5 KM.)</v>
          </cell>
          <cell r="C24" t="str">
            <v>M</v>
          </cell>
          <cell r="D24">
            <v>1</v>
          </cell>
          <cell r="E24">
            <v>10530</v>
          </cell>
          <cell r="F24" t="str">
            <v>VIVIENDA Y EDIFICACIÓN</v>
          </cell>
        </row>
        <row r="25">
          <cell r="B25" t="str">
            <v>DESMONTE DE CORREAS EN MADERA  (INCLUYE RETIRO Y ACARREO LIBRE HASTA 5 KM.)</v>
          </cell>
          <cell r="C25" t="str">
            <v>M</v>
          </cell>
          <cell r="D25">
            <v>1</v>
          </cell>
          <cell r="E25">
            <v>9198</v>
          </cell>
          <cell r="F25" t="str">
            <v>VIVIENDA Y EDIFICACIÓN</v>
          </cell>
        </row>
        <row r="26">
          <cell r="B26" t="str">
            <v>DESMONTE DE ESTRUCTURA METÁLICA PERFILES - VIGAS.</v>
          </cell>
          <cell r="C26" t="str">
            <v>KG</v>
          </cell>
          <cell r="D26">
            <v>1</v>
          </cell>
          <cell r="E26">
            <v>4785</v>
          </cell>
          <cell r="F26" t="str">
            <v>VIVIENDA Y EDIFICACIÓN</v>
          </cell>
        </row>
        <row r="27">
          <cell r="B27" t="str">
            <v>DEMOLICIÓN DE MESÓN EN CONCRETO. (INCLUYE RETIRO Y ACARREO LIBRE HASTA 5 KM.)</v>
          </cell>
          <cell r="C27" t="str">
            <v>M2</v>
          </cell>
          <cell r="D27">
            <v>1</v>
          </cell>
          <cell r="E27">
            <v>60213</v>
          </cell>
          <cell r="F27" t="str">
            <v>VIVIENDA Y EDIFICACIÓN</v>
          </cell>
        </row>
        <row r="28">
          <cell r="B28" t="str">
            <v>DEMOLICIÓN DE MUROS EN MAMPOSTERÍA DE LADRILLO E = 0.25 M. (INCLUYE RETIRO Y ACARREO LIBRE HASTA 5 KM.)</v>
          </cell>
          <cell r="C28" t="str">
            <v>M2</v>
          </cell>
          <cell r="D28">
            <v>1</v>
          </cell>
          <cell r="E28">
            <v>37885</v>
          </cell>
          <cell r="F28" t="str">
            <v>VIVIENDA Y EDIFICACIÓN</v>
          </cell>
        </row>
        <row r="29">
          <cell r="B29" t="str">
            <v>DEMOLICIÓN DE ENCHAPE CERÁMICO, (INCLUYE RETIRO Y ACARREO LIBRE HASTA 5 KM.)</v>
          </cell>
          <cell r="C29" t="str">
            <v>M2</v>
          </cell>
          <cell r="D29">
            <v>1</v>
          </cell>
          <cell r="E29">
            <v>20170</v>
          </cell>
          <cell r="F29" t="str">
            <v>VIVIENDA Y EDIFICACIÓN</v>
          </cell>
        </row>
        <row r="30">
          <cell r="B30" t="str">
            <v>DESMONTE DE DIVISIÓN - PISO A TECHO. (INCLUYE RETIRO Y ACARREO LIBRE HASTA 5 KM.)</v>
          </cell>
          <cell r="C30" t="str">
            <v>M2</v>
          </cell>
          <cell r="D30">
            <v>1</v>
          </cell>
          <cell r="E30">
            <v>25602</v>
          </cell>
          <cell r="F30" t="str">
            <v>VIVIENDA Y EDIFICACIÓN</v>
          </cell>
        </row>
        <row r="31">
          <cell r="B31" t="str">
            <v>ASEO GENERAL PARA ENTREGA FINAL DE EDIFICACIONES INCLUYE MUROS, FACHADAS, VENTANAS PUERTAS Y CIELO RASOS</v>
          </cell>
          <cell r="C31" t="str">
            <v>M2</v>
          </cell>
          <cell r="D31">
            <v>1</v>
          </cell>
          <cell r="E31">
            <v>14512</v>
          </cell>
          <cell r="F31" t="str">
            <v>VIVIENDA Y EDIFICACIÓN</v>
          </cell>
        </row>
        <row r="32">
          <cell r="B32" t="str">
            <v>LIMPIEZA DE MUROS CON HIDROLAVADORA</v>
          </cell>
          <cell r="C32" t="str">
            <v>M2</v>
          </cell>
          <cell r="D32">
            <v>1</v>
          </cell>
          <cell r="E32">
            <v>7143</v>
          </cell>
          <cell r="F32" t="str">
            <v>VIVIENDA Y EDIFICACIÓN</v>
          </cell>
        </row>
        <row r="33">
          <cell r="B33" t="str">
            <v>REGATAS SOBRE MUROS EN CONCRETO, MAMPOSTERÍA DE LADRILLO O DE BLOQUE</v>
          </cell>
          <cell r="C33" t="str">
            <v>M</v>
          </cell>
          <cell r="D33">
            <v>1</v>
          </cell>
          <cell r="E33">
            <v>4962</v>
          </cell>
          <cell r="F33" t="str">
            <v>VIVIENDA Y EDIFICACIÓN</v>
          </cell>
        </row>
        <row r="34">
          <cell r="B34" t="str">
            <v>DEMOLICIÓN DE MURO EN CONCRETO REFORZADO, (INCLUYE RETIRO Y ACARREO LIBRE HASTA 5 KM.)</v>
          </cell>
          <cell r="C34" t="str">
            <v>M2</v>
          </cell>
          <cell r="D34">
            <v>1</v>
          </cell>
          <cell r="E34">
            <v>396451</v>
          </cell>
          <cell r="F34" t="str">
            <v>VIVIENDA Y EDIFICACIÓN</v>
          </cell>
        </row>
        <row r="35">
          <cell r="B35" t="str">
            <v>DEMOLICIÓN DE MUROS EN MAMPOSTERÍA DE LADRILLO E = 0.15 M. (INCLUYE RETIRO Y ACARREO LIBRE HASTA 5 KM.)</v>
          </cell>
          <cell r="C35" t="str">
            <v>M2</v>
          </cell>
          <cell r="D35">
            <v>1</v>
          </cell>
          <cell r="E35">
            <v>31112</v>
          </cell>
          <cell r="F35" t="str">
            <v>VIVIENDA Y EDIFICACIÓN</v>
          </cell>
        </row>
        <row r="36">
          <cell r="B36" t="str">
            <v>DEMOLICIÓN DE PAÑETES. (INCLUYE RETIRO Y ACARREO LIBRE HASTA 5 KM.)</v>
          </cell>
          <cell r="C36" t="str">
            <v>M2</v>
          </cell>
          <cell r="D36">
            <v>1</v>
          </cell>
          <cell r="E36">
            <v>14618</v>
          </cell>
          <cell r="F36" t="str">
            <v>VIVIENDA Y EDIFICACIÓN</v>
          </cell>
        </row>
        <row r="37">
          <cell r="B37" t="str">
            <v>DEMOLICIÓN DE PLACA DE PISO EN CONCRETO DE E = 10 CM. (INCLUYE RETIRO Y ACARREO LIBRE HASTA 5 KM.)</v>
          </cell>
          <cell r="C37" t="str">
            <v>M2</v>
          </cell>
          <cell r="D37">
            <v>1</v>
          </cell>
          <cell r="E37">
            <v>63675</v>
          </cell>
          <cell r="F37" t="str">
            <v>VIVIENDA Y EDIFICACIÓN</v>
          </cell>
        </row>
        <row r="38">
          <cell r="B38" t="str">
            <v>DEMOLICIÓN DE PLACA DE ENTREPISO  EN CONCRETO DE E = 10 CM. (INCLUYE RETIRO Y ACARREO LIBRE HASTA 5 KM.)</v>
          </cell>
          <cell r="C38" t="str">
            <v>M3</v>
          </cell>
          <cell r="D38">
            <v>1</v>
          </cell>
          <cell r="E38">
            <v>229738</v>
          </cell>
          <cell r="F38" t="str">
            <v>VIVIENDA Y EDIFICACIÓN</v>
          </cell>
        </row>
        <row r="39">
          <cell r="B39" t="str">
            <v>DEMOLICIÓN DE PISO EN CERÁMICA + MORTERO. (INCLUYE RETIRO Y ACARREO LIBRE HASTA 5 KM.)</v>
          </cell>
          <cell r="C39" t="str">
            <v>M2</v>
          </cell>
          <cell r="D39">
            <v>1</v>
          </cell>
          <cell r="E39">
            <v>20684</v>
          </cell>
          <cell r="F39" t="str">
            <v>VIVIENDA Y EDIFICACIÓN</v>
          </cell>
        </row>
        <row r="40">
          <cell r="B40" t="str">
            <v>DESMONTE DE MARCOS, PUERTAS Y VENTANAS.</v>
          </cell>
          <cell r="C40" t="str">
            <v>M2</v>
          </cell>
          <cell r="D40">
            <v>1</v>
          </cell>
          <cell r="E40">
            <v>60447</v>
          </cell>
          <cell r="F40"/>
        </row>
        <row r="41">
          <cell r="B41" t="str">
            <v>DEMOLICIÓN DE CIELO FALSO EN ESTRUCTURA DE ALUMINIO, (INCLUYE RETIRO Y ACARREO LIBRE HASTA 5 KM.)</v>
          </cell>
          <cell r="C41" t="str">
            <v>M2</v>
          </cell>
          <cell r="D41">
            <v>1</v>
          </cell>
          <cell r="E41">
            <v>19409</v>
          </cell>
          <cell r="F41" t="str">
            <v>VIVIENDA Y EDIFICACIÓN</v>
          </cell>
        </row>
        <row r="42">
          <cell r="B42" t="str">
            <v xml:space="preserve"> DESMONTE DE TUBERIAS HIDRAULICAS (INCLUYE RETIRO Y ACARREO LIBRE HASTA 5 KM.)</v>
          </cell>
          <cell r="C42" t="str">
            <v>ML</v>
          </cell>
          <cell r="D42">
            <v>1</v>
          </cell>
          <cell r="E42">
            <v>2046</v>
          </cell>
          <cell r="F42" t="str">
            <v>VIVIENDA Y EDIFICACIÓN</v>
          </cell>
        </row>
        <row r="43">
          <cell r="B43" t="str">
            <v xml:space="preserve"> DESMONTE DE APARATOS SANITARIOS </v>
          </cell>
          <cell r="C43" t="str">
            <v>UND</v>
          </cell>
          <cell r="D43">
            <v>1</v>
          </cell>
          <cell r="E43">
            <v>19098</v>
          </cell>
          <cell r="F43" t="str">
            <v>VIVIENDA Y EDIFICACIÓN</v>
          </cell>
        </row>
        <row r="44">
          <cell r="B44"/>
          <cell r="C44"/>
          <cell r="D44"/>
          <cell r="E44"/>
          <cell r="F44" t="str">
            <v>VIVIENDA Y EDIFICACIÓN</v>
          </cell>
        </row>
        <row r="45">
          <cell r="B45" t="str">
            <v>DESCAPOTE MANUAL HASTA 20 CM (INCLUYE RETIRO Y ACARREO LIBRE HASTA 5 KM)</v>
          </cell>
          <cell r="C45" t="str">
            <v>M2</v>
          </cell>
          <cell r="D45">
            <v>1</v>
          </cell>
          <cell r="E45">
            <v>18897</v>
          </cell>
          <cell r="F45"/>
        </row>
        <row r="46">
          <cell r="B46" t="str">
            <v>EXCAVACIÓN MANUAL EN MATERIAL COMÚN</v>
          </cell>
          <cell r="C46" t="str">
            <v>M3</v>
          </cell>
          <cell r="D46">
            <v>1</v>
          </cell>
          <cell r="E46">
            <v>116450</v>
          </cell>
          <cell r="F46" t="str">
            <v>VIVIENDA Y EDIFICACIÓN</v>
          </cell>
        </row>
        <row r="47">
          <cell r="B47" t="str">
            <v>EXCAVACIÓN MANUAL EN MATERIAL CONGLOMERADO</v>
          </cell>
          <cell r="C47" t="str">
            <v>M3</v>
          </cell>
          <cell r="D47">
            <v>1</v>
          </cell>
          <cell r="E47">
            <v>163030</v>
          </cell>
          <cell r="F47" t="str">
            <v>VIVIENDA Y EDIFICACIÓN</v>
          </cell>
        </row>
        <row r="48">
          <cell r="B48" t="str">
            <v>SUMINISTRO Y COMPACTACIÓN DE MATERIAL GRANULAR NATURAL ≤ 4" (100 MM) PARA RELLENOS</v>
          </cell>
          <cell r="C48" t="str">
            <v>M3</v>
          </cell>
          <cell r="D48">
            <v>1</v>
          </cell>
          <cell r="E48">
            <v>154155</v>
          </cell>
          <cell r="F48" t="str">
            <v>VIVIENDA Y EDIFICACIÓN</v>
          </cell>
        </row>
        <row r="49">
          <cell r="B49"/>
          <cell r="C49"/>
          <cell r="D49"/>
          <cell r="E49"/>
          <cell r="F49" t="str">
            <v>VIVIENDA Y EDIFICACIÓN</v>
          </cell>
        </row>
        <row r="50">
          <cell r="B50" t="str">
            <v>RELLENO CON MATERIAL DEL SITIO, COMPACTADO CON RANA</v>
          </cell>
          <cell r="C50" t="str">
            <v>M3</v>
          </cell>
          <cell r="D50">
            <v>1</v>
          </cell>
          <cell r="E50">
            <v>47909</v>
          </cell>
          <cell r="F50" t="str">
            <v>VIVIENDA Y EDIFICACIÓN</v>
          </cell>
        </row>
        <row r="51">
          <cell r="B51" t="str">
            <v>RELLENO EN MATERIAL TRITURADO 3/4" COMPACTADO MANUALMENTE E:10CM</v>
          </cell>
          <cell r="C51" t="str">
            <v>M2</v>
          </cell>
          <cell r="D51">
            <v>1</v>
          </cell>
          <cell r="E51">
            <v>26375</v>
          </cell>
          <cell r="F51" t="str">
            <v>VIVIENDA Y EDIFICACIÓN</v>
          </cell>
        </row>
        <row r="52">
          <cell r="B52" t="str">
            <v>RELLENO CON MATERIAL DE EXCAVACION COMPACTADO MANUALMENTE CON PISON</v>
          </cell>
          <cell r="C52" t="str">
            <v>M3</v>
          </cell>
          <cell r="D52">
            <v>1</v>
          </cell>
          <cell r="E52">
            <v>68288</v>
          </cell>
          <cell r="F52" t="str">
            <v>VIVIENDA Y EDIFICACIÓN</v>
          </cell>
        </row>
        <row r="53">
          <cell r="B53" t="str">
            <v>SOLADO CONCRETO f'c = 2000 psi (14 MPa), ESPESOR 0.05 M</v>
          </cell>
          <cell r="C53" t="str">
            <v>M2</v>
          </cell>
          <cell r="D53">
            <v>1</v>
          </cell>
          <cell r="E53">
            <v>65698</v>
          </cell>
          <cell r="F53" t="str">
            <v>VIVIENDA Y EDIFICACIÓN</v>
          </cell>
        </row>
        <row r="54">
          <cell r="B54" t="str">
            <v>SOLADO CONCRETO f'c = 2000 psi (14 MPa), ESPESOR 0.07 M</v>
          </cell>
          <cell r="C54" t="str">
            <v>M2</v>
          </cell>
          <cell r="D54">
            <v>1</v>
          </cell>
          <cell r="E54">
            <v>84821</v>
          </cell>
          <cell r="F54" t="str">
            <v>VIVIENDA Y EDIFICACIÓN</v>
          </cell>
        </row>
        <row r="55">
          <cell r="B55" t="str">
            <v>CONCRETO CICLÓPEO 21MPa (3000 PSI) RELACIÓN 60C/40P</v>
          </cell>
          <cell r="C55" t="str">
            <v>M3</v>
          </cell>
          <cell r="D55">
            <v>1</v>
          </cell>
          <cell r="E55">
            <v>1108683</v>
          </cell>
          <cell r="F55" t="str">
            <v>VIVIENDA Y EDIFICACIÓN</v>
          </cell>
        </row>
        <row r="56">
          <cell r="B56" t="str">
            <v>ZAPATA CUADRADA EN CONCRETO f'c = 3000 PSI (21MPa), Dimensiones 0,9x0,9x0,25 m</v>
          </cell>
          <cell r="C56" t="str">
            <v>M3</v>
          </cell>
          <cell r="D56">
            <v>1</v>
          </cell>
          <cell r="E56">
            <v>1763453</v>
          </cell>
          <cell r="F56"/>
        </row>
        <row r="57">
          <cell r="B57" t="str">
            <v>ZAPATA CUADRADA EN CONCRETO f'c = 3000 PSI (21MPa), Dimensiones 1,5x1,5x0,3 m</v>
          </cell>
          <cell r="C57" t="str">
            <v>M3</v>
          </cell>
          <cell r="D57">
            <v>1</v>
          </cell>
          <cell r="E57">
            <v>1711429</v>
          </cell>
          <cell r="F57" t="str">
            <v>VIVIENDA Y EDIFICACIÓN</v>
          </cell>
        </row>
        <row r="58">
          <cell r="B58" t="str">
            <v>PEDESTAL EN CONCRETO f'c = 3000 PSI (21MPa), Dimensiones 0,40x0,40x0,55 m</v>
          </cell>
          <cell r="C58" t="str">
            <v>M3</v>
          </cell>
          <cell r="D58">
            <v>1</v>
          </cell>
          <cell r="E58">
            <v>1930936</v>
          </cell>
          <cell r="F58" t="str">
            <v>VIVIENDA Y EDIFICACIÓN</v>
          </cell>
        </row>
        <row r="59">
          <cell r="B59" t="str">
            <v>PEDESTAL EN CONCRETO f'c = 3000 PSI (21MPa), Dimensiones 0,30x0,30x0,55 m</v>
          </cell>
          <cell r="C59" t="str">
            <v>M3</v>
          </cell>
          <cell r="D59">
            <v>1</v>
          </cell>
          <cell r="E59">
            <v>1943329</v>
          </cell>
          <cell r="F59" t="str">
            <v>VIVIENDA Y EDIFICACIÓN</v>
          </cell>
        </row>
        <row r="60">
          <cell r="B60" t="str">
            <v>PEDESTAL EN CONCRETO f'c = 3000 PSI (21MPa), Dimensiones 0,25x0,25x0,50 m</v>
          </cell>
          <cell r="C60" t="str">
            <v>M3</v>
          </cell>
          <cell r="D60">
            <v>1</v>
          </cell>
          <cell r="E60">
            <v>1852166</v>
          </cell>
          <cell r="F60" t="str">
            <v>VIVIENDA Y EDIFICACIÓN</v>
          </cell>
        </row>
        <row r="61">
          <cell r="B61" t="str">
            <v xml:space="preserve">VIGA DE CIMENTACIÓN EN CONCRETO f'c = 3000 PSI (21MPa), Sección 0,15x0,20 m </v>
          </cell>
          <cell r="C61" t="str">
            <v>M3</v>
          </cell>
          <cell r="D61">
            <v>1</v>
          </cell>
          <cell r="E61">
            <v>1926335</v>
          </cell>
          <cell r="F61" t="str">
            <v>VIVIENDA Y EDIFICACIÓN</v>
          </cell>
        </row>
        <row r="62">
          <cell r="B62" t="str">
            <v xml:space="preserve">VIGA DE CIMENTACIÓN EN CONCRETO f'c = 3000 PSI (21MPa), Sección 0,20x0,30 m </v>
          </cell>
          <cell r="C62" t="str">
            <v>M3</v>
          </cell>
          <cell r="D62">
            <v>1</v>
          </cell>
          <cell r="E62">
            <v>1810313</v>
          </cell>
          <cell r="F62" t="str">
            <v>VIVIENDA Y EDIFICACIÓN</v>
          </cell>
        </row>
        <row r="63">
          <cell r="B63" t="str">
            <v xml:space="preserve">VIGA DE CONFINAMIENTO EN CONCRETO  f'c = 3000 PSI (21MPa), Sección 0,1x0,20 m </v>
          </cell>
          <cell r="C63" t="str">
            <v>M</v>
          </cell>
          <cell r="D63">
            <v>1</v>
          </cell>
          <cell r="E63">
            <v>87249</v>
          </cell>
          <cell r="F63" t="str">
            <v>VIVIENDA Y EDIFICACIÓN</v>
          </cell>
        </row>
        <row r="64">
          <cell r="B64"/>
          <cell r="C64"/>
          <cell r="D64"/>
          <cell r="E64"/>
          <cell r="F64"/>
        </row>
        <row r="65">
          <cell r="B65" t="str">
            <v>COLUMNA EN CONCRETO f'c = 3000 PSI (21MPa), Dimensiones 0,12x0,20 m</v>
          </cell>
          <cell r="C65" t="str">
            <v>M3</v>
          </cell>
          <cell r="D65">
            <v>1</v>
          </cell>
          <cell r="E65">
            <v>2184805</v>
          </cell>
          <cell r="F65" t="str">
            <v>VIVIENDA Y EDIFICACIÓN</v>
          </cell>
        </row>
        <row r="66">
          <cell r="B66" t="str">
            <v>COLUMNA EN CONCRETO f'c = 3000 PSI (21MPa), Dimensiones 0,15x0,20 m</v>
          </cell>
          <cell r="C66" t="str">
            <v>M3</v>
          </cell>
          <cell r="D66">
            <v>1</v>
          </cell>
          <cell r="E66">
            <v>2111861</v>
          </cell>
          <cell r="F66" t="str">
            <v>VIVIENDA Y EDIFICACIÓN</v>
          </cell>
        </row>
        <row r="67">
          <cell r="B67" t="str">
            <v>COLUMNA EN CONCRETO f'c = 3000 PSI (21MPa), Dimensiones 0,10x0,20 m</v>
          </cell>
          <cell r="C67" t="str">
            <v>M3</v>
          </cell>
          <cell r="D67">
            <v>1</v>
          </cell>
          <cell r="E67">
            <v>2252877</v>
          </cell>
          <cell r="F67" t="str">
            <v>VIVIENDA Y EDIFICACIÓN</v>
          </cell>
        </row>
        <row r="68">
          <cell r="B68" t="str">
            <v>COLUMNA EN CONCRETO f'c = 3000 PSI (21MPa), Dimensiones 0,25x0,25 m</v>
          </cell>
          <cell r="C68" t="str">
            <v>M3</v>
          </cell>
          <cell r="D68">
            <v>1</v>
          </cell>
          <cell r="E68">
            <v>1791805</v>
          </cell>
          <cell r="F68" t="str">
            <v>VIVIENDA Y EDIFICACIÓN</v>
          </cell>
        </row>
        <row r="69">
          <cell r="B69" t="str">
            <v>COLUMNA EN CONCRETO f'c = 3000 PSI (21MPa), Dimensiones 0,40x0,40 m</v>
          </cell>
          <cell r="C69" t="str">
            <v>M3</v>
          </cell>
          <cell r="D69">
            <v>1</v>
          </cell>
          <cell r="E69">
            <v>1973397</v>
          </cell>
          <cell r="F69" t="str">
            <v>VIVIENDA Y EDIFICACIÓN</v>
          </cell>
        </row>
        <row r="70">
          <cell r="B70" t="str">
            <v>VIGA DE AMARRE SOBRE MURO EN CONCRETO f'c = 3000 PSI (21MPa), Dimensiones 0,10X0,15 m</v>
          </cell>
          <cell r="C70" t="str">
            <v>M3</v>
          </cell>
          <cell r="D70">
            <v>1</v>
          </cell>
          <cell r="E70">
            <v>2202628</v>
          </cell>
          <cell r="F70" t="str">
            <v>VIVIENDA Y EDIFICACIÓN</v>
          </cell>
        </row>
        <row r="71">
          <cell r="B71" t="str">
            <v>VIGA DE AMARRE SOBRE MURO EN CONCRETO f'c = 3000 PSI (21MPa), Dimensiones 0,15X0,20 m</v>
          </cell>
          <cell r="C71" t="str">
            <v>M3</v>
          </cell>
          <cell r="D71">
            <v>1</v>
          </cell>
          <cell r="E71">
            <v>2159835</v>
          </cell>
          <cell r="F71" t="str">
            <v>VIVIENDA Y EDIFICACIÓN</v>
          </cell>
        </row>
        <row r="72">
          <cell r="B72" t="str">
            <v>PLACA MACIZA EN CONCRETO f'c = 3000 PSI (21MPa), Dimensiones 0,90x0,90x0,10 m</v>
          </cell>
          <cell r="C72" t="str">
            <v>M2</v>
          </cell>
          <cell r="D72">
            <v>1</v>
          </cell>
          <cell r="E72">
            <v>319663</v>
          </cell>
          <cell r="F72" t="str">
            <v>VIVIENDA Y EDIFICACIÓN</v>
          </cell>
        </row>
        <row r="73">
          <cell r="B73" t="str">
            <v>PLACA MACIZA EN CONCRETO f'c = 3000 PSI (21MPa), Dimensiones 1,30x1,30x0,15 m</v>
          </cell>
          <cell r="C73" t="str">
            <v>M2</v>
          </cell>
          <cell r="D73">
            <v>1</v>
          </cell>
          <cell r="E73">
            <v>399206</v>
          </cell>
          <cell r="F73" t="str">
            <v>VIVIENDA Y EDIFICACIÓN</v>
          </cell>
        </row>
        <row r="74">
          <cell r="B74"/>
          <cell r="C74"/>
          <cell r="D74"/>
          <cell r="E74"/>
          <cell r="F74" t="str">
            <v>VIVIENDA Y EDIFICACIÓN</v>
          </cell>
        </row>
        <row r="75">
          <cell r="B75" t="str">
            <v>MURO EN BLOQUE No 4</v>
          </cell>
          <cell r="C75" t="str">
            <v>M2</v>
          </cell>
          <cell r="D75">
            <v>1</v>
          </cell>
          <cell r="E75">
            <v>110998</v>
          </cell>
          <cell r="F75" t="str">
            <v>VIVIENDA Y EDIFICACIÓN</v>
          </cell>
        </row>
        <row r="76">
          <cell r="B76" t="str">
            <v xml:space="preserve">MURO EN LADRILLO PRENSADO MACIZO E = 0.12 M. H&lt;1.60M (TIPO SANTA FE O SIMILAR) </v>
          </cell>
          <cell r="C76" t="str">
            <v>M2</v>
          </cell>
          <cell r="D76">
            <v>1</v>
          </cell>
          <cell r="E76">
            <v>254313</v>
          </cell>
          <cell r="F76"/>
        </row>
        <row r="77">
          <cell r="B77" t="str">
            <v>PAÑETE LISO SOBRE MESONES E=1,5 CM H&lt;1,6M</v>
          </cell>
          <cell r="C77" t="str">
            <v>M2</v>
          </cell>
          <cell r="D77">
            <v>1</v>
          </cell>
          <cell r="E77">
            <v>55341</v>
          </cell>
          <cell r="F77" t="str">
            <v>VIVIENDA Y EDIFICACIÓN</v>
          </cell>
        </row>
        <row r="78">
          <cell r="B78" t="str">
            <v>PAÑETE LISO SOBRE MURO E=1,5 CM</v>
          </cell>
          <cell r="C78" t="str">
            <v>M2</v>
          </cell>
          <cell r="D78">
            <v>1</v>
          </cell>
          <cell r="E78">
            <v>55661</v>
          </cell>
          <cell r="F78" t="str">
            <v>VIVIENDA Y EDIFICACIÓN</v>
          </cell>
        </row>
        <row r="79">
          <cell r="B79" t="str">
            <v>PAÑETE LISO BAJO PLACA 1.4</v>
          </cell>
          <cell r="C79" t="str">
            <v>M2</v>
          </cell>
          <cell r="D79">
            <v>2</v>
          </cell>
          <cell r="E79">
            <v>61677</v>
          </cell>
          <cell r="F79" t="str">
            <v>VIVIENDA Y EDIFICACIÓN</v>
          </cell>
        </row>
        <row r="80">
          <cell r="B80" t="str">
            <v>ENCHAPE EN CERÁMICA PARA PISO</v>
          </cell>
          <cell r="C80" t="str">
            <v>M2</v>
          </cell>
          <cell r="D80">
            <v>1</v>
          </cell>
          <cell r="E80">
            <v>147896</v>
          </cell>
          <cell r="F80"/>
        </row>
        <row r="81">
          <cell r="B81" t="str">
            <v>GUARDA ESCOBA EN CERÁMICA E = 8.0 CM.</v>
          </cell>
          <cell r="C81" t="str">
            <v>M</v>
          </cell>
          <cell r="D81">
            <v>1</v>
          </cell>
          <cell r="E81">
            <v>25699</v>
          </cell>
          <cell r="F81" t="str">
            <v>VIVIENDA Y EDIFICACIÓN</v>
          </cell>
        </row>
        <row r="82">
          <cell r="B82" t="str">
            <v>ENCHAPE EN CERÁMICA PARA MURO</v>
          </cell>
          <cell r="C82" t="str">
            <v>M2</v>
          </cell>
          <cell r="D82">
            <v>1</v>
          </cell>
          <cell r="E82">
            <v>166700</v>
          </cell>
          <cell r="F82" t="str">
            <v>VIVIENDA Y EDIFICACIÓN</v>
          </cell>
        </row>
        <row r="83">
          <cell r="B83" t="str">
            <v>ENCHAPE EN TABLETA DE GRES PARA PISO</v>
          </cell>
          <cell r="C83" t="str">
            <v>M2</v>
          </cell>
          <cell r="D83">
            <v>1</v>
          </cell>
          <cell r="E83">
            <v>157203</v>
          </cell>
          <cell r="F83" t="str">
            <v>VIVIENDA Y EDIFICACIÓN</v>
          </cell>
        </row>
        <row r="84">
          <cell r="B84" t="str">
            <v>GUARDA ESCOBA DE GRES</v>
          </cell>
          <cell r="C84" t="str">
            <v>M</v>
          </cell>
          <cell r="D84">
            <v>1</v>
          </cell>
          <cell r="E84">
            <v>38902</v>
          </cell>
          <cell r="F84" t="str">
            <v>VIVIENDA Y EDIFICACIÓN</v>
          </cell>
        </row>
        <row r="85">
          <cell r="B85" t="str">
            <v>ENCHAPE CERÁMICO EN MESÓN DE COCINA</v>
          </cell>
          <cell r="C85" t="str">
            <v>M2</v>
          </cell>
          <cell r="D85">
            <v>1</v>
          </cell>
          <cell r="E85">
            <v>142204</v>
          </cell>
          <cell r="F85" t="str">
            <v>VIVIENDA Y EDIFICACIÓN</v>
          </cell>
        </row>
        <row r="86">
          <cell r="B86" t="str">
            <v>SUMINISTRO E INSTALACIÓN DE ESTUCO MUROS</v>
          </cell>
          <cell r="C86" t="str">
            <v>M2</v>
          </cell>
          <cell r="D86">
            <v>1</v>
          </cell>
          <cell r="E86">
            <v>16649</v>
          </cell>
          <cell r="F86" t="str">
            <v>VIVIENDA Y EDIFICACIÓN</v>
          </cell>
        </row>
        <row r="87">
          <cell r="B87" t="str">
            <v>SUMINISTRO E INSTALACIÓN DE VINILO TIPO I SOBRE PAÑETE O ESTUCO A TRES MANOS (INTERIORES)</v>
          </cell>
          <cell r="C87" t="str">
            <v>M2</v>
          </cell>
          <cell r="D87">
            <v>1</v>
          </cell>
          <cell r="E87">
            <v>23963</v>
          </cell>
          <cell r="F87" t="str">
            <v>VIVIENDA Y EDIFICACIÓN</v>
          </cell>
        </row>
        <row r="88">
          <cell r="B88" t="str">
            <v>SUMINISTRO E INSTALACIÓN DE PINTURA KORAZA O SIMILAR PARA FACHADAS TRES MANOS (EXTERIORES)</v>
          </cell>
          <cell r="C88" t="str">
            <v>M2</v>
          </cell>
          <cell r="D88">
            <v>1</v>
          </cell>
          <cell r="E88">
            <v>29121</v>
          </cell>
          <cell r="F88" t="str">
            <v>VIVIENDA Y EDIFICACIÓN</v>
          </cell>
        </row>
        <row r="89">
          <cell r="B89" t="str">
            <v>MESONES EN CONCRETO A = 0.60 M. 17.5 MPa - (2500 PSI) INCLUYE REFUERZO, E = 0.05 M.</v>
          </cell>
          <cell r="C89" t="str">
            <v>M2</v>
          </cell>
          <cell r="D89">
            <v>1</v>
          </cell>
          <cell r="E89">
            <v>318473</v>
          </cell>
          <cell r="F89" t="str">
            <v>VIVIENDA Y EDIFICACIÓN</v>
          </cell>
        </row>
        <row r="90">
          <cell r="B90" t="str">
            <v>SUMINISTRO E INSTALACIÓN DE PINTURA ESMALTE EN PUERTAS Y VENTANAS METÁLICAS A TRES (3) MANOS, INCLUYE ANTICORROSIVO, PREPARACIÓN DE SUPERFICIE, LIJADO Y LIMPIEZA DE LA ESTRUCTURA EXISTENTE.</v>
          </cell>
          <cell r="C90" t="str">
            <v>M2</v>
          </cell>
          <cell r="D90">
            <v>1</v>
          </cell>
          <cell r="E90">
            <v>44681</v>
          </cell>
          <cell r="F90" t="str">
            <v>VIVIENDA Y EDIFICACIÓN</v>
          </cell>
        </row>
        <row r="91">
          <cell r="B91"/>
          <cell r="C91"/>
          <cell r="D91"/>
          <cell r="E91"/>
          <cell r="F91" t="str">
            <v>VIVIENDA Y EDIFICACIÓN</v>
          </cell>
        </row>
        <row r="92">
          <cell r="B92"/>
          <cell r="C92"/>
          <cell r="D92"/>
          <cell r="E92"/>
          <cell r="F92" t="str">
            <v>VIVIENDA Y EDIFICACIÓN</v>
          </cell>
        </row>
        <row r="93">
          <cell r="B93" t="str">
            <v>PLACA BASE EN CONCRETO E = 10.0 CM. 17.5 MPa (2500 PSI)</v>
          </cell>
          <cell r="C93" t="str">
            <v>M2</v>
          </cell>
          <cell r="D93">
            <v>1</v>
          </cell>
          <cell r="E93">
            <v>208729</v>
          </cell>
          <cell r="F93" t="str">
            <v>VIVIENDA Y EDIFICACIÓN</v>
          </cell>
        </row>
        <row r="94">
          <cell r="B94" t="str">
            <v xml:space="preserve">PLACA BASE E= 8 CM EN CONCRETO f'c = 2500 PSI (17.5 Mpa), Incluye malla electrosoldada </v>
          </cell>
          <cell r="C94" t="str">
            <v>M2</v>
          </cell>
          <cell r="D94">
            <v>1</v>
          </cell>
          <cell r="E94">
            <v>167995</v>
          </cell>
          <cell r="F94" t="str">
            <v>VIVIENDA Y EDIFICACIÓN</v>
          </cell>
        </row>
        <row r="95">
          <cell r="B95" t="str">
            <v>PLACA BASE E= 5 CM EN CONCRETO f'c = 2500 PSI (17.5 Mpa)</v>
          </cell>
          <cell r="C95" t="str">
            <v>M2</v>
          </cell>
          <cell r="D95">
            <v>1</v>
          </cell>
          <cell r="E95">
            <v>116881</v>
          </cell>
          <cell r="F95" t="str">
            <v>VIVIENDA Y EDIFICACIÓN</v>
          </cell>
        </row>
        <row r="96">
          <cell r="B96"/>
          <cell r="C96"/>
          <cell r="D96"/>
          <cell r="E96"/>
          <cell r="F96" t="str">
            <v>VIVIENDA Y EDIFICACIÓN</v>
          </cell>
        </row>
        <row r="97">
          <cell r="B97" t="str">
            <v>SUMINISTRO E INSTALACIÓN DE TUBERÍA PVC SANITARIA DE Ø=4"</v>
          </cell>
          <cell r="C97" t="str">
            <v>M</v>
          </cell>
          <cell r="D97">
            <v>1</v>
          </cell>
          <cell r="E97">
            <v>83609</v>
          </cell>
          <cell r="F97" t="str">
            <v>VIVIENDA Y EDIFICACIÓN</v>
          </cell>
        </row>
        <row r="98">
          <cell r="B98" t="str">
            <v>SUMINISTRO E INSTALACIÓN DE TUBERÍA PVC SANITARIA D = 3"</v>
          </cell>
          <cell r="C98" t="str">
            <v>M</v>
          </cell>
          <cell r="D98">
            <v>1</v>
          </cell>
          <cell r="E98">
            <v>63984</v>
          </cell>
          <cell r="F98" t="str">
            <v>VIVIENDA Y EDIFICACIÓN</v>
          </cell>
        </row>
        <row r="99">
          <cell r="B99" t="str">
            <v>SUMINISTRO E INSTALACIÓN DE TUBERÍA PVC SANITARIA D = 2"</v>
          </cell>
          <cell r="C99" t="str">
            <v>M</v>
          </cell>
          <cell r="D99">
            <v>1</v>
          </cell>
          <cell r="E99">
            <v>60892</v>
          </cell>
          <cell r="F99" t="str">
            <v>VIVIENDA Y EDIFICACIÓN</v>
          </cell>
        </row>
        <row r="100">
          <cell r="B100" t="str">
            <v>PUNTO SANITARIO O DE DESAGÜES DE 2"</v>
          </cell>
          <cell r="C100" t="str">
            <v>UND</v>
          </cell>
          <cell r="D100">
            <v>1</v>
          </cell>
          <cell r="E100">
            <v>124187</v>
          </cell>
          <cell r="F100" t="str">
            <v>VIVIENDA Y EDIFICACIÓN</v>
          </cell>
        </row>
        <row r="101">
          <cell r="B101" t="str">
            <v>PUNTO SANITARIO O DE DESAGÜES DE 3"</v>
          </cell>
          <cell r="C101" t="str">
            <v>UND</v>
          </cell>
          <cell r="D101">
            <v>1</v>
          </cell>
          <cell r="E101">
            <v>149906</v>
          </cell>
          <cell r="F101" t="str">
            <v>VIVIENDA Y EDIFICACIÓN</v>
          </cell>
        </row>
        <row r="102">
          <cell r="B102" t="str">
            <v>PUNTO SANITARIO O DE DESAGÜES DE 4"</v>
          </cell>
          <cell r="C102" t="str">
            <v>UND</v>
          </cell>
          <cell r="D102">
            <v>1</v>
          </cell>
          <cell r="E102">
            <v>189464</v>
          </cell>
          <cell r="F102" t="str">
            <v>VIVIENDA Y EDIFICACIÓN</v>
          </cell>
        </row>
        <row r="103">
          <cell r="B103" t="str">
            <v>SUMINISTRO E INSTALACIÓN DE SIFÓN SANITARIO DE 4" PVC</v>
          </cell>
          <cell r="C103" t="str">
            <v>UND</v>
          </cell>
          <cell r="D103">
            <v>1</v>
          </cell>
          <cell r="E103">
            <v>80199</v>
          </cell>
          <cell r="F103" t="str">
            <v>VIVIENDA Y EDIFICACIÓN</v>
          </cell>
        </row>
        <row r="104">
          <cell r="B104" t="str">
            <v>SUMINISTRO E INSTALACIÓN DE SIFÓN SANITARIO DE 3" PVC</v>
          </cell>
          <cell r="C104" t="str">
            <v>UND</v>
          </cell>
          <cell r="D104">
            <v>1</v>
          </cell>
          <cell r="E104">
            <v>51944</v>
          </cell>
          <cell r="F104" t="str">
            <v>VIVIENDA Y EDIFICACIÓN</v>
          </cell>
        </row>
        <row r="105">
          <cell r="B105" t="str">
            <v>SUMINISTRO E INSTALACIÓN DE SIFÓN SANITARIO DE 2" PVC</v>
          </cell>
          <cell r="C105" t="str">
            <v>UND</v>
          </cell>
          <cell r="D105">
            <v>1</v>
          </cell>
          <cell r="E105">
            <v>47432</v>
          </cell>
          <cell r="F105" t="str">
            <v>VIVIENDA Y EDIFICACIÓN</v>
          </cell>
        </row>
        <row r="106">
          <cell r="B106" t="str">
            <v>SUMINISTRO E INSTALACIÓN DE REJILLA DE PISO PVC DE 3 X 2"</v>
          </cell>
          <cell r="C106" t="str">
            <v>UND</v>
          </cell>
          <cell r="D106">
            <v>1</v>
          </cell>
          <cell r="E106">
            <v>17923</v>
          </cell>
          <cell r="F106" t="str">
            <v>VIVIENDA Y EDIFICACIÓN</v>
          </cell>
        </row>
        <row r="107">
          <cell r="B107" t="str">
            <v>SUMINISTRO E INSTALACIÓN DE REJILLA DE PISO PVC DE 4 X 3"</v>
          </cell>
          <cell r="C107" t="str">
            <v>UND</v>
          </cell>
          <cell r="D107">
            <v>1</v>
          </cell>
          <cell r="E107">
            <v>23041</v>
          </cell>
          <cell r="F107" t="str">
            <v>VIVIENDA Y EDIFICACIÓN</v>
          </cell>
        </row>
        <row r="108">
          <cell r="B108" t="str">
            <v>SUMINISTRO E INSTALACIÓN DE LAVAMANOS COLOR BLANCO DE COLGAR INCLUYE ELEMENTOS DE FIJACIÓN</v>
          </cell>
          <cell r="C108" t="str">
            <v>UND</v>
          </cell>
          <cell r="D108">
            <v>1</v>
          </cell>
          <cell r="E108">
            <v>241930</v>
          </cell>
          <cell r="F108" t="str">
            <v>VIVIENDA Y EDIFICACIÓN</v>
          </cell>
        </row>
        <row r="109">
          <cell r="B109" t="str">
            <v>SUMINISTRO E INSTALACIÓN DE SANITARIO SENCILLO BLANCO</v>
          </cell>
          <cell r="C109" t="str">
            <v>UND</v>
          </cell>
          <cell r="D109">
            <v>1</v>
          </cell>
          <cell r="E109">
            <v>626441</v>
          </cell>
          <cell r="F109" t="str">
            <v>VIVIENDA Y EDIFICACIÓN</v>
          </cell>
        </row>
        <row r="110">
          <cell r="B110" t="str">
            <v>SUMINISTRO E INSTALACIÓN GRIFERÍA PARA DUCHA SENCILLA</v>
          </cell>
          <cell r="C110" t="str">
            <v>UND</v>
          </cell>
          <cell r="D110">
            <v>1</v>
          </cell>
          <cell r="E110">
            <v>199044</v>
          </cell>
          <cell r="F110"/>
        </row>
        <row r="111">
          <cell r="B111" t="str">
            <v>SUMINISTRO E INSTALACIÓN LAVAPLATOS ACERO INOXIDABLE 0.50 X 0.35 M</v>
          </cell>
          <cell r="C111" t="str">
            <v>UND</v>
          </cell>
          <cell r="D111">
            <v>1</v>
          </cell>
          <cell r="E111">
            <v>240893</v>
          </cell>
          <cell r="F111" t="str">
            <v>VIVIENDA Y EDIFICACIÓN</v>
          </cell>
        </row>
        <row r="112">
          <cell r="B112" t="str">
            <v>SUMINISTRO E INSTALACIÓN LAVAPLATOS ACERO INOXIDABLE 0.6 X 0.40 M</v>
          </cell>
          <cell r="C112" t="str">
            <v>UND</v>
          </cell>
          <cell r="D112">
            <v>1</v>
          </cell>
          <cell r="E112">
            <v>264192</v>
          </cell>
          <cell r="F112" t="str">
            <v>VIVIENDA Y EDIFICACIÓN</v>
          </cell>
        </row>
        <row r="113">
          <cell r="B113" t="str">
            <v>SUMINISTRO E INSTALACIÓN LAVAPLATOS ACERO INOXIDABLE 1.00 MX 0.50 M DOBLE POCETA</v>
          </cell>
          <cell r="C113" t="str">
            <v>UND</v>
          </cell>
          <cell r="D113">
            <v>1</v>
          </cell>
          <cell r="E113">
            <v>1003634</v>
          </cell>
          <cell r="F113" t="str">
            <v>VIVIENDA Y EDIFICACIÓN</v>
          </cell>
        </row>
        <row r="114">
          <cell r="B114" t="str">
            <v>SUMINISTRO E INSTALACIÓN LAVAPLATOS ACERO INOXIDABLE 1.00M X 0.50M CON ESCURRIDERO</v>
          </cell>
          <cell r="C114" t="str">
            <v>UND</v>
          </cell>
          <cell r="D114">
            <v>1</v>
          </cell>
          <cell r="E114">
            <v>448365</v>
          </cell>
          <cell r="F114" t="str">
            <v>VIVIENDA Y EDIFICACIÓN</v>
          </cell>
        </row>
        <row r="115">
          <cell r="B115" t="str">
            <v>SUMINISTRO E INSTALACIÓN DE MESÓN EN ACERO INOXIDABLE ANCHO HASTA 60 CM (Incluye grifería)</v>
          </cell>
          <cell r="C115" t="str">
            <v>UND</v>
          </cell>
          <cell r="D115">
            <v>1</v>
          </cell>
          <cell r="E115">
            <v>801131</v>
          </cell>
          <cell r="F115" t="str">
            <v>VIVIENDA Y EDIFICACIÓN</v>
          </cell>
        </row>
        <row r="116">
          <cell r="B116" t="str">
            <v>COMBO SANITARIO (Sanitario, Lavamanos y Ducha)</v>
          </cell>
          <cell r="C116" t="str">
            <v>UND</v>
          </cell>
          <cell r="D116">
            <v>1</v>
          </cell>
          <cell r="E116">
            <v>1106411</v>
          </cell>
          <cell r="F116" t="str">
            <v>VIVIENDA Y EDIFICACIÓN</v>
          </cell>
        </row>
        <row r="117">
          <cell r="B117" t="str">
            <v>SUMINISTRO E INSTALACIÓN ORINAL MEDIANO COMPLETO. (INCLUYE GRIFERÍA CROMADA)</v>
          </cell>
          <cell r="C117" t="str">
            <v>UND</v>
          </cell>
          <cell r="D117">
            <v>1</v>
          </cell>
          <cell r="E117">
            <v>817165</v>
          </cell>
          <cell r="F117"/>
        </row>
        <row r="118">
          <cell r="B118" t="str">
            <v>CAJA DE INSPECCIÓN 0,60 X 0,60 X 0,60 M EN LADRILLO TOLETE COMÚN</v>
          </cell>
          <cell r="C118" t="str">
            <v>UND</v>
          </cell>
          <cell r="D118">
            <v>1</v>
          </cell>
          <cell r="E118">
            <v>816637</v>
          </cell>
          <cell r="F118" t="str">
            <v>VIVIENDA Y EDIFICACIÓN</v>
          </cell>
        </row>
        <row r="119">
          <cell r="B119" t="str">
            <v>SUMINISTRO E INSTALACIÓN DE TUBERÍA PVC DE 1/2" T.P, PARA RED DE SUMINISTRO INTERNA.</v>
          </cell>
          <cell r="C119" t="str">
            <v>M</v>
          </cell>
          <cell r="D119">
            <v>1</v>
          </cell>
          <cell r="E119">
            <v>24471</v>
          </cell>
          <cell r="F119" t="str">
            <v>VIVIENDA Y EDIFICACIÓN</v>
          </cell>
        </row>
        <row r="120">
          <cell r="B120" t="str">
            <v>SUMINISTRO E INSTALACIÓN DE TUBERÍA PVC DE 3/4" T.P, PARA RED DE SUMINISTRO INTERNA.</v>
          </cell>
          <cell r="C120" t="str">
            <v>M</v>
          </cell>
          <cell r="D120">
            <v>1</v>
          </cell>
          <cell r="E120">
            <v>27252</v>
          </cell>
          <cell r="F120" t="str">
            <v>VIVIENDA Y EDIFICACIÓN</v>
          </cell>
        </row>
        <row r="121">
          <cell r="B121" t="str">
            <v>SUMINISTRO E INSTALACIÓN DE SALIDA DE AGUA FRÍA EN TUBERÍA PVC DE 1/2" T.P.</v>
          </cell>
          <cell r="C121" t="str">
            <v>UND</v>
          </cell>
          <cell r="D121">
            <v>1</v>
          </cell>
          <cell r="E121">
            <v>77838</v>
          </cell>
          <cell r="F121" t="str">
            <v>VIVIENDA Y EDIFICACIÓN</v>
          </cell>
        </row>
        <row r="122">
          <cell r="B122" t="str">
            <v>SUMINISTRO E INSTALACIÓN DE SALIDA DE AGUA FRÍA EN TUBERÍA PVC DE 3/4" T.P.</v>
          </cell>
          <cell r="C122" t="str">
            <v>UND</v>
          </cell>
          <cell r="D122">
            <v>1</v>
          </cell>
          <cell r="E122">
            <v>88941</v>
          </cell>
          <cell r="F122" t="str">
            <v>VIVIENDA Y EDIFICACIÓN</v>
          </cell>
        </row>
        <row r="123">
          <cell r="B123" t="str">
            <v>SUMINISTRO E INSTALACIÓN DE TANQUE DE ALMACENAMIENTO DE 250 L. (Incluye accesorios y tubería para instalación)</v>
          </cell>
          <cell r="C123" t="str">
            <v>UND</v>
          </cell>
          <cell r="D123">
            <v>1</v>
          </cell>
          <cell r="E123">
            <v>757882</v>
          </cell>
          <cell r="F123" t="str">
            <v>VIVIENDA Y EDIFICACIÓN</v>
          </cell>
        </row>
        <row r="124">
          <cell r="B124" t="str">
            <v>SUMINISTRO E INSTALACIÓN DE TANQUE DE ALMACENAMIENTO, 500 L (Incluye accesorios y tubería para instalación)</v>
          </cell>
          <cell r="C124" t="str">
            <v>UND</v>
          </cell>
          <cell r="D124">
            <v>1</v>
          </cell>
          <cell r="E124">
            <v>837082</v>
          </cell>
          <cell r="F124" t="str">
            <v>VIVIENDA Y EDIFICACIÓN</v>
          </cell>
        </row>
        <row r="125">
          <cell r="B125" t="str">
            <v>SUMINISTRO E INSTALACIÓN DE TANQUE DE ALMACENAMIENTO, 2000 L (Incluye accesorios)</v>
          </cell>
          <cell r="C125" t="str">
            <v>UND</v>
          </cell>
          <cell r="D125">
            <v>1</v>
          </cell>
          <cell r="E125">
            <v>2177408</v>
          </cell>
          <cell r="F125" t="str">
            <v>VIVIENDA Y EDIFICACIÓN</v>
          </cell>
        </row>
        <row r="126">
          <cell r="B126" t="str">
            <v>SUMINISTRO E INSTALACIÓN DE ACCESORIOS DE TANQUE DE ALMACENAMIENTO (REPARACION)</v>
          </cell>
          <cell r="C126" t="str">
            <v>UND</v>
          </cell>
          <cell r="D126">
            <v>1</v>
          </cell>
          <cell r="E126">
            <v>296851</v>
          </cell>
          <cell r="F126" t="str">
            <v>VIVIENDA Y EDIFICACIÓN</v>
          </cell>
        </row>
        <row r="127">
          <cell r="B127" t="str">
            <v>POZO SÉPTICO 2,20 x 1,20 x 1,32 M EN LADRILLO TOLETE</v>
          </cell>
          <cell r="C127" t="str">
            <v>UND</v>
          </cell>
          <cell r="D127">
            <v>1</v>
          </cell>
          <cell r="E127">
            <v>5720707</v>
          </cell>
          <cell r="F127" t="str">
            <v>VIVIENDA Y EDIFICACIÓN</v>
          </cell>
        </row>
        <row r="128">
          <cell r="B128" t="str">
            <v>CAMPO DE INFILTRACIÓN 2,00 x 0,80 x 0,50 M</v>
          </cell>
          <cell r="C128" t="str">
            <v>UND</v>
          </cell>
          <cell r="D128">
            <v>1</v>
          </cell>
          <cell r="E128">
            <v>442295</v>
          </cell>
          <cell r="F128" t="str">
            <v>VIVIENDA Y EDIFICACIÓN</v>
          </cell>
        </row>
        <row r="129">
          <cell r="B129" t="str">
            <v>SUMINISTRO E INSTALACIÓN DE GRIFERÍA COMPLETA CON LLAVE TIPO GANSO</v>
          </cell>
          <cell r="C129" t="str">
            <v>UND</v>
          </cell>
          <cell r="D129">
            <v>1</v>
          </cell>
          <cell r="E129">
            <v>201724</v>
          </cell>
          <cell r="F129"/>
        </row>
        <row r="130">
          <cell r="B130" t="str">
            <v>SUMINISTRO E INSTALACIÓN DE GRIFERÍA COMPLETA PARA LAVAMANOS CON LLAVE SENCILLA</v>
          </cell>
          <cell r="C130" t="str">
            <v>UND</v>
          </cell>
          <cell r="D130">
            <v>1</v>
          </cell>
          <cell r="E130">
            <v>149874</v>
          </cell>
          <cell r="F130" t="str">
            <v>VIVIENDA Y EDIFICACIÓN</v>
          </cell>
        </row>
        <row r="131">
          <cell r="B131" t="str">
            <v>SUMINISTRO E INSTALACIÓN DE KIT DE SUMINISTRO DE AGUA Y ACCESORIOS PARA TANQUE DE SANITARIO</v>
          </cell>
          <cell r="C131" t="str">
            <v>UND</v>
          </cell>
          <cell r="D131">
            <v>1</v>
          </cell>
          <cell r="E131">
            <v>259155</v>
          </cell>
          <cell r="F131" t="str">
            <v>VIVIENDA Y EDIFICACIÓN</v>
          </cell>
        </row>
        <row r="132">
          <cell r="B132"/>
          <cell r="C132"/>
          <cell r="D132"/>
          <cell r="E132"/>
          <cell r="F132" t="str">
            <v>VIVIENDA Y EDIFICACIÓN</v>
          </cell>
        </row>
        <row r="133">
          <cell r="B133" t="str">
            <v>SUMINISTRO E INSTALACIÓN DE TUBERÍA PVC CONDUIT DE 1/2". (TIPO PESADO - DB).</v>
          </cell>
          <cell r="C133" t="str">
            <v>M</v>
          </cell>
          <cell r="D133">
            <v>1</v>
          </cell>
          <cell r="E133">
            <v>34374</v>
          </cell>
          <cell r="F133" t="str">
            <v>VIVIENDA Y EDIFICACIÓN</v>
          </cell>
        </row>
        <row r="134">
          <cell r="B134" t="str">
            <v>SUMINISTRO E INSTALACIÓN DE TUBERÍA PVC SCH40 CONDUIT DE 1/2" PARA RED ELECTRICA EXPUESTA EN ALTURA.</v>
          </cell>
          <cell r="C134" t="str">
            <v>M</v>
          </cell>
          <cell r="D134">
            <v>1</v>
          </cell>
          <cell r="E134">
            <v>10443</v>
          </cell>
          <cell r="F134" t="str">
            <v>VIVIENDA Y EDIFICACIÓN</v>
          </cell>
        </row>
        <row r="135">
          <cell r="B135" t="str">
            <v>SUMINISTRO E INSTALACIÓN DE ALIMENTADOR PARCIAL MONOFÁSICO EN CABLE DE COBRE No.12 AWG ( F,N,T). (INCLUYE TUBO PVC DE 1/2")</v>
          </cell>
          <cell r="C135" t="str">
            <v>M</v>
          </cell>
          <cell r="D135">
            <v>1</v>
          </cell>
          <cell r="E135">
            <v>50836</v>
          </cell>
          <cell r="F135" t="str">
            <v>VIVIENDA Y EDIFICACIÓN</v>
          </cell>
        </row>
        <row r="136">
          <cell r="B136" t="str">
            <v>SUMINISTRO E INSTALACIÓN DE SALIDA COMPLETA PARA TOMACORRIENTE MONOFÁSICO, EN CALIBRE 12 AWG Y DUCTO PVC DE 1/2". (INCLUYE APARATO).</v>
          </cell>
          <cell r="C136" t="str">
            <v>UND</v>
          </cell>
          <cell r="D136">
            <v>1</v>
          </cell>
          <cell r="E136">
            <v>207206</v>
          </cell>
          <cell r="F136" t="str">
            <v>VIVIENDA Y EDIFICACIÓN</v>
          </cell>
        </row>
        <row r="137">
          <cell r="B137" t="str">
            <v>SUMINISTRO E INSTALACIÓN DE SALIDA COMPLETA PARA TOMA CORRIENTE MONOFÁSICO TIPO GFCI, EN CALIBRE 12 AWG (F,N,T) Y DUCTO PVC DE 1/2". (INCLUYE APARATO).</v>
          </cell>
          <cell r="C137" t="str">
            <v>UND</v>
          </cell>
          <cell r="D137">
            <v>1</v>
          </cell>
          <cell r="E137">
            <v>275445</v>
          </cell>
          <cell r="F137"/>
        </row>
        <row r="138">
          <cell r="B138" t="str">
            <v>SUMINISTRO E INSTALACIÓN DE SALIDA COMPLETA PARA INTERRUPTOR SENCILLO EN CALIBRE 12 AWG Y DUCTO PVC 1/2 " (INCLUYE APARATO)</v>
          </cell>
          <cell r="C138" t="str">
            <v>UND</v>
          </cell>
          <cell r="D138">
            <v>1</v>
          </cell>
          <cell r="E138">
            <v>182887</v>
          </cell>
          <cell r="F138" t="str">
            <v>VIVIENDA Y EDIFICACIÓN</v>
          </cell>
        </row>
        <row r="139">
          <cell r="B139" t="str">
            <v>SUMINISTRO E INSTALACIÓN DE SALIDA DE ILUMINACIÓN EN PLACA O MURO, EN CALIBRE 12 AWG (F, N, T) EN DUCTO PVC 1/2 "</v>
          </cell>
          <cell r="C139" t="str">
            <v>UND</v>
          </cell>
          <cell r="D139">
            <v>1</v>
          </cell>
          <cell r="E139">
            <v>189200</v>
          </cell>
          <cell r="F139"/>
        </row>
        <row r="140">
          <cell r="B140" t="str">
            <v>DESMANTELAMIENTO DE RED ELECTRICA (INCLUYE ACCESORIOS Y CABLEADO- NO TUBERIA)</v>
          </cell>
          <cell r="C140" t="str">
            <v>M</v>
          </cell>
          <cell r="D140">
            <v>1</v>
          </cell>
          <cell r="E140">
            <v>2770</v>
          </cell>
          <cell r="F140"/>
        </row>
        <row r="141">
          <cell r="B141" t="str">
            <v>DESMANTELAMIENTO DE RED ELECTRICA (INCLUYE ACCESORIOS Y CABLEADO Y TUBERIA PVC)</v>
          </cell>
          <cell r="C141" t="str">
            <v>M</v>
          </cell>
          <cell r="D141">
            <v>1</v>
          </cell>
          <cell r="E141">
            <v>3693</v>
          </cell>
          <cell r="F141" t="str">
            <v>ESCENARIOS DEPORTIVOS</v>
          </cell>
        </row>
        <row r="142">
          <cell r="B142" t="str">
            <v xml:space="preserve">SUMINISTRO E INSTACION DE CABLEADO ELECTRICO DE COBRE No.12 AWG ( F,N,T) NO INCL TUBERIA </v>
          </cell>
          <cell r="C142" t="str">
            <v>M</v>
          </cell>
          <cell r="D142">
            <v>1</v>
          </cell>
          <cell r="E142">
            <v>9070</v>
          </cell>
          <cell r="F142" t="str">
            <v>ESCENARIOS DEPORTIVOS</v>
          </cell>
        </row>
        <row r="143">
          <cell r="B143" t="str">
            <v>SUMINISTRO E INSTALACIÓN DE TOMACORRIENTE DOBLE MONOFÁSICO TIPO GFCI</v>
          </cell>
          <cell r="C143" t="str">
            <v>UND</v>
          </cell>
          <cell r="D143">
            <v>1</v>
          </cell>
          <cell r="E143">
            <v>99123</v>
          </cell>
          <cell r="F143" t="str">
            <v>ESCENARIOS DEPORTIVOS</v>
          </cell>
        </row>
        <row r="144">
          <cell r="B144" t="str">
            <v>SUMINISTRO E INSTALACIÓN DE TOMACORRIENTE DOBLE MONOFÁSICA</v>
          </cell>
          <cell r="C144" t="str">
            <v>UND</v>
          </cell>
          <cell r="D144">
            <v>1</v>
          </cell>
          <cell r="E144">
            <v>34073</v>
          </cell>
          <cell r="F144" t="str">
            <v>ESCENARIOS DEPORTIVOS</v>
          </cell>
        </row>
        <row r="145">
          <cell r="B145" t="str">
            <v xml:space="preserve">SUMINISTRO E INSTALACION DE INTERRUPTOR DOBLE </v>
          </cell>
          <cell r="C145" t="str">
            <v>UND</v>
          </cell>
          <cell r="D145">
            <v>1</v>
          </cell>
          <cell r="E145">
            <v>36693</v>
          </cell>
          <cell r="F145" t="str">
            <v>ESCENARIOS DEPORTIVOS</v>
          </cell>
        </row>
        <row r="146">
          <cell r="B146" t="str">
            <v xml:space="preserve">SUMINISTRO E INSTALACION DE INTERRUPTOR SENCILLO </v>
          </cell>
          <cell r="C146" t="str">
            <v>UND</v>
          </cell>
          <cell r="D146">
            <v>1</v>
          </cell>
          <cell r="E146">
            <v>29906</v>
          </cell>
          <cell r="F146" t="str">
            <v>ESCENARIOS DEPORTIVOS</v>
          </cell>
        </row>
        <row r="147">
          <cell r="B147" t="str">
            <v>SUMINISTRO E INSTALACION DE PLAFON Y BOMBILLO DE 40W</v>
          </cell>
          <cell r="C147" t="str">
            <v>UND</v>
          </cell>
          <cell r="D147">
            <v>1</v>
          </cell>
          <cell r="E147">
            <v>61619</v>
          </cell>
          <cell r="F147" t="str">
            <v>ESCENARIOS DEPORTIVOS</v>
          </cell>
        </row>
        <row r="148">
          <cell r="B148" t="str">
            <v>SUMINISTRO, INSTALACIÓN Y CONEXIONADO DE CABLE CONCENTRICO (ANTIFRAUDE) No. 1 x 8 +8 AWG EN COBRE (ACOMETIDA MONOFÁSICA)</v>
          </cell>
          <cell r="C148" t="str">
            <v>UND</v>
          </cell>
          <cell r="D148">
            <v>1</v>
          </cell>
          <cell r="E148">
            <v>31315</v>
          </cell>
          <cell r="F148"/>
        </row>
        <row r="149">
          <cell r="B149" t="str">
            <v>SUMINISTRO E INSTALACIÓN DE BREAKER TERMOMAGNÉTICO MONOPOLAR ENCHUFABLE DE 1 X 15/20 AMP.</v>
          </cell>
          <cell r="C149" t="str">
            <v>UND</v>
          </cell>
          <cell r="D149">
            <v>1</v>
          </cell>
          <cell r="E149">
            <v>39883</v>
          </cell>
          <cell r="F149"/>
        </row>
        <row r="150">
          <cell r="B150" t="str">
            <v>DESMANTELAMIENTO Y REINSTALACION DE RED ELECTRICACONTROLADA EXPUESTA  (INCLUYE ACCESORIOS, CABLEADO,TUBERIA Y APARATOS )</v>
          </cell>
          <cell r="C150" t="str">
            <v>M</v>
          </cell>
          <cell r="D150">
            <v>1</v>
          </cell>
          <cell r="E150">
            <v>27699</v>
          </cell>
          <cell r="F150" t="str">
            <v>OBRAS VIALES</v>
          </cell>
        </row>
        <row r="151">
          <cell r="B151"/>
          <cell r="C151"/>
          <cell r="D151"/>
          <cell r="E151"/>
          <cell r="F151" t="str">
            <v>OBRAS VIALES</v>
          </cell>
        </row>
        <row r="152">
          <cell r="B152" t="str">
            <v>SUMINISTRO E INSTALACIÓN CUBIERTA EN LAMINA DE ZINC</v>
          </cell>
          <cell r="C152" t="str">
            <v>M2</v>
          </cell>
          <cell r="D152">
            <v>1</v>
          </cell>
          <cell r="E152" t="e">
            <v>#N/A</v>
          </cell>
          <cell r="F152" t="str">
            <v>OBRAS VIALES</v>
          </cell>
        </row>
        <row r="153">
          <cell r="B153" t="str">
            <v>INSTALACIÓN DE CUBIERTA EN LAMINA DE ZINC EXISTENTE</v>
          </cell>
          <cell r="C153" t="str">
            <v>M2</v>
          </cell>
          <cell r="D153">
            <v>1</v>
          </cell>
          <cell r="E153">
            <v>23198</v>
          </cell>
          <cell r="F153" t="str">
            <v>OBRAS VIALES</v>
          </cell>
        </row>
        <row r="154">
          <cell r="B154" t="str">
            <v>SUMINISTRO E INSTALACIÓN DE CUBIERTA ARQUITECTÓNICA METÁLICA TIPO ACESCO O SIMILAR DE 0.73 M. X 3.00 M</v>
          </cell>
          <cell r="C154" t="str">
            <v>M2</v>
          </cell>
          <cell r="D154">
            <v>1</v>
          </cell>
          <cell r="E154">
            <v>77939</v>
          </cell>
          <cell r="F154"/>
        </row>
        <row r="155">
          <cell r="B155" t="str">
            <v xml:space="preserve">SUMINISTRO E INSTALACIÓN DE CABALLETE PARA TEJA ARQUITECTÓNICA </v>
          </cell>
          <cell r="C155" t="str">
            <v>M</v>
          </cell>
          <cell r="D155">
            <v>1</v>
          </cell>
          <cell r="E155">
            <v>80927</v>
          </cell>
          <cell r="F155" t="str">
            <v>OBRAS VIALES</v>
          </cell>
        </row>
        <row r="156">
          <cell r="B156" t="str">
            <v>SUMINISTRO E INSTALACIÓN DE CUBIERTA EN TEJA MASTER 1000 CAL.28 1,00 X 3,05 M</v>
          </cell>
          <cell r="C156" t="str">
            <v>M2</v>
          </cell>
          <cell r="D156">
            <v>1</v>
          </cell>
          <cell r="E156">
            <v>90128</v>
          </cell>
          <cell r="F156" t="str">
            <v>OBRAS VIALES</v>
          </cell>
        </row>
        <row r="157">
          <cell r="B157" t="str">
            <v>SUMINISTRO E INSTALACIÓN DE CABALLETE EN TEJA MASTER 1000</v>
          </cell>
          <cell r="C157" t="str">
            <v>M</v>
          </cell>
          <cell r="D157">
            <v>1</v>
          </cell>
          <cell r="E157">
            <v>74019</v>
          </cell>
          <cell r="F157"/>
        </row>
        <row r="158">
          <cell r="B158" t="str">
            <v>SUMINISTRO E INSTALACIÓN TEJA TERMOACUSTICA TIPO TRAPEZOIDAL</v>
          </cell>
          <cell r="C158" t="str">
            <v>M2</v>
          </cell>
          <cell r="D158">
            <v>1</v>
          </cell>
          <cell r="E158">
            <v>136662</v>
          </cell>
          <cell r="F158" t="str">
            <v>OBRAS VIALES</v>
          </cell>
        </row>
        <row r="159">
          <cell r="B159" t="str">
            <v>SUMINISTRO E INSTALACIÓN DE CABALLETE TERMOACUSTICA TIPO TRAPEZOIDAL</v>
          </cell>
          <cell r="C159" t="str">
            <v>M</v>
          </cell>
          <cell r="D159">
            <v>1</v>
          </cell>
          <cell r="E159">
            <v>163469</v>
          </cell>
          <cell r="F159" t="str">
            <v>OBRAS VIALES</v>
          </cell>
        </row>
        <row r="160">
          <cell r="B160" t="str">
            <v>SUMINISTRO E INSTALACIÓN DE TUBO RECTANGULAR DE 3 X 1 1/2" CAL. 18</v>
          </cell>
          <cell r="C160" t="str">
            <v>M</v>
          </cell>
          <cell r="D160">
            <v>1</v>
          </cell>
          <cell r="E160">
            <v>67740</v>
          </cell>
          <cell r="F160" t="str">
            <v>OBRAS VIALES</v>
          </cell>
        </row>
        <row r="161">
          <cell r="B161" t="str">
            <v>INSTALACIÓN DE TUBO RECTANGULAR DE 1 1/2" CAL. 18 EXISTENTE</v>
          </cell>
          <cell r="C161" t="str">
            <v>M</v>
          </cell>
          <cell r="D161">
            <v>1</v>
          </cell>
          <cell r="E161">
            <v>26060</v>
          </cell>
          <cell r="F161"/>
        </row>
        <row r="162">
          <cell r="B162" t="str">
            <v>MANTENIMIENTO DE CERCHAS TRIANGULAR</v>
          </cell>
          <cell r="C162" t="str">
            <v>M</v>
          </cell>
          <cell r="D162">
            <v>1</v>
          </cell>
          <cell r="E162">
            <v>20031</v>
          </cell>
          <cell r="F162" t="str">
            <v>OBRAS VIALES</v>
          </cell>
        </row>
        <row r="163">
          <cell r="B163" t="str">
            <v>SUMINISTRO E INSTALACIÓN DE TUBO RECTANGULAR DE 4X 2" CAL. 14</v>
          </cell>
          <cell r="C163" t="str">
            <v>M</v>
          </cell>
          <cell r="D163">
            <v>1</v>
          </cell>
          <cell r="E163">
            <v>79453</v>
          </cell>
          <cell r="F163"/>
        </row>
        <row r="164">
          <cell r="B164" t="str">
            <v>LINEA DE MORTERO DE NIVELACION SOBRE MURO E: 0,06m A:0,12m</v>
          </cell>
          <cell r="C164" t="str">
            <v>M</v>
          </cell>
          <cell r="D164">
            <v>1</v>
          </cell>
          <cell r="E164">
            <v>26556</v>
          </cell>
          <cell r="F164" t="str">
            <v>OBRAS VIALES</v>
          </cell>
        </row>
        <row r="165">
          <cell r="B165" t="str">
            <v xml:space="preserve">INSTALACION DE PLATINAS DE FIJACION INCL. PERNOS DE ANCLAJE ESTRUCTURAL </v>
          </cell>
          <cell r="C165" t="str">
            <v>UND</v>
          </cell>
          <cell r="D165">
            <v>1</v>
          </cell>
          <cell r="E165">
            <v>228592</v>
          </cell>
          <cell r="F165" t="str">
            <v>OBRAS VIALES</v>
          </cell>
        </row>
        <row r="166">
          <cell r="B166"/>
          <cell r="C166"/>
          <cell r="D166"/>
          <cell r="E166"/>
          <cell r="F166" t="str">
            <v>OBRAS VIALES</v>
          </cell>
        </row>
        <row r="167">
          <cell r="B167" t="str">
            <v>SUMINISTRO E INSTALACIÓN DE PUERTA EN LÁMINA CAL. 18.</v>
          </cell>
          <cell r="C167" t="str">
            <v>M2</v>
          </cell>
          <cell r="D167">
            <v>1</v>
          </cell>
          <cell r="E167">
            <v>427691</v>
          </cell>
          <cell r="F167"/>
        </row>
        <row r="168">
          <cell r="B168" t="str">
            <v>SUMINISTRO E INSTALACIÓN DE VENTANA EN LÁMINA COLD ROLLED CAL.18 CON VIDRIO. (INCLUYE ANTICORROSIVO).</v>
          </cell>
          <cell r="C168" t="str">
            <v>M2</v>
          </cell>
          <cell r="D168">
            <v>1</v>
          </cell>
          <cell r="E168">
            <v>461393</v>
          </cell>
          <cell r="F168" t="str">
            <v>OBRAS VIALES</v>
          </cell>
        </row>
        <row r="169">
          <cell r="B169" t="str">
            <v>SUMINISTRO E INSTALACIÓN DE VENTANA CORREDIZA EN ALUMINIO CON VIDRIO DE 5 MM Y HERRAJES COMPLETOS</v>
          </cell>
          <cell r="C169" t="str">
            <v>M2</v>
          </cell>
          <cell r="D169">
            <v>1</v>
          </cell>
          <cell r="E169">
            <v>696778</v>
          </cell>
          <cell r="F169" t="str">
            <v>OBRAS VIALES</v>
          </cell>
        </row>
        <row r="170">
          <cell r="B170" t="str">
            <v>SUMINISTRO E INSTALACIÓN DE CANAL EN LÁMINA GALVANIZADA CAL.20 DESARROLLO HASTA 0.50 M</v>
          </cell>
          <cell r="C170" t="str">
            <v>M</v>
          </cell>
          <cell r="D170">
            <v>1</v>
          </cell>
          <cell r="E170">
            <v>62660</v>
          </cell>
          <cell r="F170" t="str">
            <v>OBRAS VIALES</v>
          </cell>
        </row>
        <row r="171">
          <cell r="B171" t="str">
            <v>CERRAMIENTO EN MALLA ESLABONADA CAL 10 (INCLUYE TUBO AGUA NEGRA DE 2" Y ANGULO 1" X 1" X1/8")</v>
          </cell>
          <cell r="C171" t="str">
            <v>M2</v>
          </cell>
          <cell r="D171">
            <v>1</v>
          </cell>
          <cell r="E171">
            <v>490368</v>
          </cell>
          <cell r="F171" t="str">
            <v>OBRAS VIALES</v>
          </cell>
        </row>
        <row r="172">
          <cell r="B172" t="str">
            <v>SUMINISTRO E INSTALACIÓN DE PORTÓN TUBULAR MEDIDAS 5,00X2,00</v>
          </cell>
          <cell r="C172" t="str">
            <v>UND</v>
          </cell>
          <cell r="D172">
            <v>1</v>
          </cell>
          <cell r="E172">
            <v>0</v>
          </cell>
          <cell r="F172"/>
        </row>
        <row r="173">
          <cell r="B173" t="str">
            <v>SUMINISTRO E INSTALACIÓN DE PORTÓN MEDIDAS 7,70X2,80 M</v>
          </cell>
          <cell r="C173" t="str">
            <v>UND</v>
          </cell>
          <cell r="D173">
            <v>1</v>
          </cell>
          <cell r="E173">
            <v>0</v>
          </cell>
          <cell r="F173" t="str">
            <v>OBRAS VIALES</v>
          </cell>
        </row>
        <row r="174">
          <cell r="B174" t="str">
            <v>SUMINISTRO E INSTALACIÓN DE PUERTA REJA 0,60x1,60m PARA CUARTO DE BOMBONA DE GAS SEGÚN DISEÑO</v>
          </cell>
          <cell r="C174" t="str">
            <v>UND</v>
          </cell>
          <cell r="D174">
            <v>1</v>
          </cell>
          <cell r="E174">
            <v>870371</v>
          </cell>
          <cell r="F174" t="str">
            <v>OBRAS VIALES</v>
          </cell>
        </row>
        <row r="175">
          <cell r="B175" t="str">
            <v>CAMBIO DE CERRADURA DOBLE CILINDRO TIPO YALE 105 O SIMILAR</v>
          </cell>
          <cell r="C175" t="str">
            <v>UND</v>
          </cell>
          <cell r="D175">
            <v>1</v>
          </cell>
          <cell r="E175">
            <v>288602</v>
          </cell>
          <cell r="F175" t="str">
            <v>OBRAS VIALES</v>
          </cell>
        </row>
        <row r="176">
          <cell r="B176" t="str">
            <v xml:space="preserve">INSTALACION DE  PUERTA METALICA METALICA EXISTENTE </v>
          </cell>
          <cell r="C176" t="str">
            <v>M2</v>
          </cell>
          <cell r="D176">
            <v>1</v>
          </cell>
          <cell r="E176">
            <v>93610</v>
          </cell>
          <cell r="F176" t="str">
            <v>OBRAS VIALES</v>
          </cell>
        </row>
        <row r="177">
          <cell r="B177"/>
          <cell r="C177"/>
          <cell r="D177"/>
          <cell r="E177"/>
          <cell r="F177" t="str">
            <v>OBRAS VIALES</v>
          </cell>
        </row>
        <row r="178">
          <cell r="B178" t="str">
            <v>COLUMNA EN TUBO ESTRUCTURAL HR50 4mm, Dimensiones 0,10 X 0,10 M</v>
          </cell>
          <cell r="C178" t="str">
            <v>M</v>
          </cell>
          <cell r="D178">
            <v>1</v>
          </cell>
          <cell r="E178">
            <v>183956</v>
          </cell>
          <cell r="F178" t="str">
            <v>OBRAS VIALES</v>
          </cell>
        </row>
        <row r="179">
          <cell r="B179"/>
          <cell r="C179"/>
          <cell r="D179"/>
          <cell r="E179"/>
          <cell r="F179" t="str">
            <v>OBRAS VIALES</v>
          </cell>
        </row>
        <row r="180">
          <cell r="B180"/>
          <cell r="C180"/>
          <cell r="D180"/>
          <cell r="E180"/>
          <cell r="F180" t="str">
            <v>OBRAS VIALES</v>
          </cell>
        </row>
        <row r="181">
          <cell r="B181" t="str">
            <v>SUMINISTRO E INSTALACIÓN DE CANCHA MÚLTIPLE EN TUBO ESTRUCTURAL NEGRO DE 1 ½, 2 y 3 PULGADAS, INCL. TABLERO ACRÍLICO 10 MM PARA ANCLAR AL PISO</v>
          </cell>
          <cell r="C181" t="str">
            <v>JGO</v>
          </cell>
          <cell r="D181">
            <v>1</v>
          </cell>
          <cell r="E181">
            <v>13680609</v>
          </cell>
          <cell r="F181" t="str">
            <v>OBRAS VIALES</v>
          </cell>
        </row>
        <row r="182">
          <cell r="B182" t="str">
            <v>PLACA MACIZA PARA POLIDEPORTIVO EN CONCRETO DE 21 MPa - (3000 PSI) E = 0.10 M.</v>
          </cell>
          <cell r="C182" t="str">
            <v>M2</v>
          </cell>
          <cell r="D182">
            <v>1</v>
          </cell>
          <cell r="E182">
            <v>157290</v>
          </cell>
          <cell r="F182" t="str">
            <v>OBRAS VIALES</v>
          </cell>
        </row>
        <row r="183">
          <cell r="B183" t="str">
            <v>PLACA MACIZA PARA POLIDEPORTIVO EN CONCRETO DE 21 MPa - (3000 PSI) E = 0.12 M.</v>
          </cell>
          <cell r="C183" t="str">
            <v>M2</v>
          </cell>
          <cell r="D183">
            <v>1</v>
          </cell>
          <cell r="E183">
            <v>173836</v>
          </cell>
          <cell r="F183" t="str">
            <v>OBRAS VIALES</v>
          </cell>
        </row>
        <row r="184">
          <cell r="B184" t="str">
            <v>PLACA MACIZA PARA POLIDEPORTIVO EN CONCRETO DE 21 MPa - (3000 PSI) E = 0.15 M.</v>
          </cell>
          <cell r="C184" t="str">
            <v>M2</v>
          </cell>
          <cell r="D184">
            <v>1</v>
          </cell>
          <cell r="E184">
            <v>205831</v>
          </cell>
          <cell r="F184" t="str">
            <v>OBRAS VIALES</v>
          </cell>
        </row>
        <row r="185">
          <cell r="B185" t="str">
            <v>CORTE Y SELLADO DE JUNTAS PARA PLACA DEPORTIVA</v>
          </cell>
          <cell r="C185" t="str">
            <v>M</v>
          </cell>
          <cell r="D185">
            <v>1</v>
          </cell>
          <cell r="E185">
            <v>34966</v>
          </cell>
          <cell r="F185" t="str">
            <v>OBRAS VIALES</v>
          </cell>
        </row>
        <row r="186">
          <cell r="B186" t="str">
            <v>PINTURA PARA CANCHAS Y/O ESPACIOS DEPORTIVOS BASE ACRÍLICA. (INCLUYE LAVADO DE SUPERFICIE CON ÁCIDO).</v>
          </cell>
          <cell r="C186" t="str">
            <v>M2</v>
          </cell>
          <cell r="D186">
            <v>1</v>
          </cell>
          <cell r="E186">
            <v>40244</v>
          </cell>
          <cell r="F186"/>
        </row>
        <row r="187">
          <cell r="B187" t="str">
            <v>DEMARCACIÓN CON PINTURA PARA CANCHAS BASE ACRÍLICA.</v>
          </cell>
          <cell r="C187" t="str">
            <v>M</v>
          </cell>
          <cell r="D187">
            <v>1</v>
          </cell>
          <cell r="E187">
            <v>11294</v>
          </cell>
          <cell r="F187" t="str">
            <v>OBRAS VIALES</v>
          </cell>
        </row>
        <row r="188">
          <cell r="B188"/>
          <cell r="C188"/>
          <cell r="D188"/>
          <cell r="E188"/>
          <cell r="F188"/>
        </row>
        <row r="189">
          <cell r="B189"/>
          <cell r="C189"/>
          <cell r="D189"/>
          <cell r="E189"/>
          <cell r="F189"/>
        </row>
        <row r="190">
          <cell r="B190" t="str">
            <v>COMISIÓN TOPOGRÁFICA PARA REPLANTEO Y CONTROL DE OBRA</v>
          </cell>
          <cell r="C190" t="str">
            <v>JORNADA</v>
          </cell>
          <cell r="D190">
            <v>1</v>
          </cell>
          <cell r="E190">
            <v>1469858</v>
          </cell>
          <cell r="F190" t="str">
            <v>CAMINOS ANCESTRALES</v>
          </cell>
        </row>
        <row r="191">
          <cell r="B191" t="str">
            <v>CONFIGURACIÓN Y COMPACTACIÓN SUBRASANTE CBR=95%</v>
          </cell>
          <cell r="C191" t="str">
            <v>M2</v>
          </cell>
          <cell r="D191">
            <v>1</v>
          </cell>
          <cell r="E191">
            <v>16972</v>
          </cell>
          <cell r="F191" t="str">
            <v>CAMINOS ANCESTRALES</v>
          </cell>
        </row>
        <row r="192">
          <cell r="B192" t="str">
            <v>DESMONTE Y LIMPIEZA EN BOSQUE. (NORMA INVIAS).</v>
          </cell>
          <cell r="C192" t="str">
            <v>HA</v>
          </cell>
          <cell r="D192">
            <v>1</v>
          </cell>
          <cell r="E192">
            <v>4575607</v>
          </cell>
          <cell r="F192" t="str">
            <v>CAMINOS ANCESTRALES</v>
          </cell>
        </row>
        <row r="193">
          <cell r="B193" t="str">
            <v>RETIRO DE CERCA DE ALAMBRE</v>
          </cell>
          <cell r="C193" t="str">
            <v>M</v>
          </cell>
          <cell r="D193">
            <v>1</v>
          </cell>
          <cell r="E193">
            <v>11937</v>
          </cell>
          <cell r="F193" t="str">
            <v>CAMINOS ANCESTRALES</v>
          </cell>
        </row>
        <row r="194">
          <cell r="B194"/>
          <cell r="C194"/>
          <cell r="D194"/>
          <cell r="E194"/>
          <cell r="F194"/>
        </row>
        <row r="195">
          <cell r="B195" t="str">
            <v>EXCAVACIÓN DE CORTES Y CANALES SIN CLASIFICAR (INCLUYE ACARREO LIBRE HASTA 5 KM.)</v>
          </cell>
          <cell r="C195" t="str">
            <v>M3</v>
          </cell>
          <cell r="D195">
            <v>1</v>
          </cell>
          <cell r="E195">
            <v>32089</v>
          </cell>
          <cell r="F195" t="str">
            <v>CAMINOS ANCESTRALES</v>
          </cell>
        </row>
        <row r="196">
          <cell r="B196" t="str">
            <v>EXCAVACIONES MECÁNICAS VARIAS EN MATERIAL COMÚN SECO. (INCLUYE ACARREO LIBRE HASTA 5 KM.)</v>
          </cell>
          <cell r="C196" t="str">
            <v>M3</v>
          </cell>
          <cell r="D196">
            <v>1</v>
          </cell>
          <cell r="E196">
            <v>44323</v>
          </cell>
          <cell r="F196"/>
        </row>
        <row r="197">
          <cell r="B197"/>
          <cell r="C197"/>
          <cell r="D197"/>
          <cell r="E197"/>
          <cell r="F197"/>
        </row>
        <row r="198">
          <cell r="B198" t="str">
            <v>SUMINISTRO, EXTENDIDA Y COMPACTACIÓN DE MATERIAL DE RIO TM 4" PARA MEJORAMIENTO DE SUBRASANTE</v>
          </cell>
          <cell r="C198" t="str">
            <v>M3</v>
          </cell>
          <cell r="D198">
            <v>1</v>
          </cell>
          <cell r="E198">
            <v>225928</v>
          </cell>
          <cell r="F198"/>
        </row>
        <row r="199">
          <cell r="B199" t="str">
            <v>SUMINISTRO, EXTENDIDA Y COMPACTACIÓN DE MATERIAL SELECCIONADO PARA BASE GRANULAR (INCLUYE ACARREO LIBRE)</v>
          </cell>
          <cell r="C199" t="str">
            <v>M3</v>
          </cell>
          <cell r="D199">
            <v>1</v>
          </cell>
          <cell r="E199">
            <v>301751</v>
          </cell>
          <cell r="F199" t="str">
            <v>ALCANTARILLADOS</v>
          </cell>
        </row>
        <row r="200">
          <cell r="B200" t="str">
            <v>SUMINISTRO, EXTENDIDA Y COMPACTACIÓN DE MATERIAL PARA AFIRMADO HASTA UN DIÁMETRO DE 2", (IP ≤ 9%), COMPACTADO AL 95% PROCTOR MODIFICADO</v>
          </cell>
          <cell r="C200" t="str">
            <v>M3</v>
          </cell>
          <cell r="D200">
            <v>1</v>
          </cell>
          <cell r="E200">
            <v>256959</v>
          </cell>
          <cell r="F200"/>
        </row>
        <row r="201">
          <cell r="B201"/>
          <cell r="C201"/>
          <cell r="D201"/>
          <cell r="E201"/>
          <cell r="F201" t="str">
            <v>ALCANTARILLADOS</v>
          </cell>
        </row>
        <row r="202">
          <cell r="B202" t="str">
            <v>CONCRETO MR = 3,8 Mpa (38 Kg/cm2). (INCLUYE CORTE Y SELLADO DE JUNTAS).</v>
          </cell>
          <cell r="C202" t="str">
            <v>M3</v>
          </cell>
          <cell r="D202">
            <v>1</v>
          </cell>
          <cell r="E202">
            <v>1743607</v>
          </cell>
          <cell r="F202" t="str">
            <v>ALCANTARILLADOS</v>
          </cell>
        </row>
        <row r="203">
          <cell r="B203"/>
          <cell r="C203"/>
          <cell r="D203"/>
          <cell r="E203"/>
          <cell r="F203" t="str">
            <v>ALCANTARILLADOS</v>
          </cell>
        </row>
        <row r="204">
          <cell r="B204" t="str">
            <v>SUMINISTRO E INSTALACIÓN DE SARDINEL PREFABRICADO A-10</v>
          </cell>
          <cell r="C204" t="str">
            <v>M</v>
          </cell>
          <cell r="D204">
            <v>1</v>
          </cell>
          <cell r="E204">
            <v>123409</v>
          </cell>
          <cell r="F204"/>
        </row>
        <row r="205">
          <cell r="B205" t="str">
            <v>SUMINISTRO E INSTALACIÓN DE BORDILLO PREFABRICADO A-85</v>
          </cell>
          <cell r="C205" t="str">
            <v>M</v>
          </cell>
          <cell r="D205">
            <v>1</v>
          </cell>
          <cell r="E205">
            <v>112464</v>
          </cell>
          <cell r="F205" t="str">
            <v>ALCANTARILLADOS</v>
          </cell>
        </row>
        <row r="206">
          <cell r="B206" t="str">
            <v>SUMINISTRO E INSTALACIÓN DE SARDINEL PREFABRICADO A-100</v>
          </cell>
          <cell r="C206" t="str">
            <v>UND</v>
          </cell>
          <cell r="D206">
            <v>1</v>
          </cell>
          <cell r="E206">
            <v>91410</v>
          </cell>
          <cell r="F206" t="str">
            <v>ALCANTARILLADOS</v>
          </cell>
        </row>
        <row r="207">
          <cell r="B207"/>
          <cell r="C207"/>
          <cell r="D207"/>
          <cell r="E207"/>
          <cell r="F207" t="str">
            <v>ALCANTARILLADOS</v>
          </cell>
        </row>
        <row r="208">
          <cell r="B208" t="str">
            <v>SUMINISTRO E INSTALACIÓN DE MARCAS VIALES CON PINTURA DE TRÁFICO SEGÚN NORMA INVIAS. (INCLUYE MICROESFERAS)</v>
          </cell>
          <cell r="C208" t="str">
            <v>M2</v>
          </cell>
          <cell r="D208">
            <v>1</v>
          </cell>
          <cell r="E208">
            <v>106533</v>
          </cell>
          <cell r="F208"/>
        </row>
        <row r="209">
          <cell r="B209" t="str">
            <v>SUMINISTRO Y APLICACIÓN DE PINTURA ACRÍLICA CON MICROESFERAS, LÍNEAS CONTINUAS Y DISCONTINUAS DE 12 CM SEGÚN NORMA INVIAS</v>
          </cell>
          <cell r="C209" t="str">
            <v>M</v>
          </cell>
          <cell r="D209">
            <v>1</v>
          </cell>
          <cell r="E209">
            <v>6907</v>
          </cell>
          <cell r="F209" t="str">
            <v>ALCANTARILLADOS</v>
          </cell>
        </row>
        <row r="210">
          <cell r="B210" t="str">
            <v>SUMINISTRO E INSTALACIÓN DE SEÑAL DE TRANSITO PREVENTIVA, REGLAMENTARIA O INFORMATIVA DE 60 x 60 CM.</v>
          </cell>
          <cell r="C210" t="str">
            <v>UND</v>
          </cell>
          <cell r="D210">
            <v>1</v>
          </cell>
          <cell r="E210">
            <v>601393</v>
          </cell>
          <cell r="F210" t="str">
            <v>ALCANTARILLADOS</v>
          </cell>
        </row>
        <row r="211">
          <cell r="B211" t="str">
            <v>SUMINISTRO E INSTALACIÓN SEÑAL VIAL REGLAMENTARIA, DIÁMETRO 75 CM. SEGÚN NORMA INVIAS</v>
          </cell>
          <cell r="C211" t="str">
            <v>UND</v>
          </cell>
          <cell r="D211">
            <v>1</v>
          </cell>
          <cell r="E211">
            <v>635402</v>
          </cell>
          <cell r="F211"/>
        </row>
        <row r="212">
          <cell r="B212"/>
          <cell r="C212"/>
          <cell r="D212"/>
          <cell r="E212"/>
          <cell r="F212" t="str">
            <v>ALCANTARILLADOS</v>
          </cell>
        </row>
        <row r="213">
          <cell r="B213" t="str">
            <v>EXCAVACIÓN MECÁNICA EN MATERIAL COMÚN, SIN CLASIFICAR</v>
          </cell>
          <cell r="C213" t="str">
            <v>M3</v>
          </cell>
          <cell r="D213">
            <v>1</v>
          </cell>
          <cell r="E213">
            <v>40564</v>
          </cell>
          <cell r="F213" t="str">
            <v>ALCANTARILLADOS</v>
          </cell>
        </row>
        <row r="214">
          <cell r="B214" t="str">
            <v>CIERRE Y RELLENO DEL CAUCE PROVISIONAL CON MATERIAL PRODUCTO DE EXCAVACIÓN, COMPACTADO CON EQUIPO RODANTE</v>
          </cell>
          <cell r="C214" t="str">
            <v>M3</v>
          </cell>
          <cell r="D214">
            <v>1</v>
          </cell>
          <cell r="E214">
            <v>25916</v>
          </cell>
          <cell r="F214" t="str">
            <v>ALCANTARILLADOS</v>
          </cell>
        </row>
        <row r="215">
          <cell r="B215" t="str">
            <v>SUMINISTRO E INSTALACIÓN DE COSTALES DE ARENA DE 50 KG</v>
          </cell>
          <cell r="C215" t="str">
            <v>UND</v>
          </cell>
          <cell r="D215">
            <v>1</v>
          </cell>
          <cell r="E215">
            <v>58458</v>
          </cell>
          <cell r="F215" t="str">
            <v>ALCANTARILLADOS</v>
          </cell>
        </row>
        <row r="216">
          <cell r="B216" t="str">
            <v>SUMINISTRO E INSTALACIÓN DE CONCRETO CICLÓPEO 21 MPA (60C/40P) PARA BASES DE ESTRUCTURAS DE DRENAJE Y CONTENCIÓN</v>
          </cell>
          <cell r="C216" t="str">
            <v>M3</v>
          </cell>
          <cell r="D216">
            <v>1</v>
          </cell>
          <cell r="E216">
            <v>1132615</v>
          </cell>
          <cell r="F216" t="str">
            <v>ALCANTARILLADOS</v>
          </cell>
        </row>
        <row r="217">
          <cell r="B217" t="str">
            <v>LOSA O BASE EN CONCRETO f'c = 4000 PSI (28MPa), Espesor ≤ 0,30 m</v>
          </cell>
          <cell r="C217" t="str">
            <v>M3</v>
          </cell>
          <cell r="D217">
            <v>1</v>
          </cell>
          <cell r="E217">
            <v>1694197</v>
          </cell>
          <cell r="F217" t="str">
            <v>ALCANTARILLADOS</v>
          </cell>
        </row>
        <row r="218">
          <cell r="B218" t="str">
            <v>LOSA O BASE EN CONCRETO f'c = 3000 PSI (28MPa), Espesor ≤ 0,30 m</v>
          </cell>
          <cell r="C218" t="str">
            <v>M3</v>
          </cell>
          <cell r="D218">
            <v>1</v>
          </cell>
          <cell r="E218">
            <v>1548162</v>
          </cell>
          <cell r="F218" t="str">
            <v>ALCANTARILLADOS</v>
          </cell>
        </row>
        <row r="219">
          <cell r="B219" t="str">
            <v>SUMINISTRO E INSTALACIÓN DE CONCRETO f'c = 4000 PSI (28MPa), PARA MUROS DE ESTRUCTURAS DE DRENAJE Y PROTECCIÓN, H &lt; 3,0 M, E ≤ 0,30 M</v>
          </cell>
          <cell r="C219" t="str">
            <v>M3</v>
          </cell>
          <cell r="D219">
            <v>1</v>
          </cell>
          <cell r="E219">
            <v>2135661</v>
          </cell>
          <cell r="F219" t="str">
            <v>ALCANTARILLADOS</v>
          </cell>
        </row>
        <row r="220">
          <cell r="B220" t="str">
            <v>SUMINISTRO E INSTALACIÓN DE CONCRETO f'c = 3000 PSI (21MPa), PARA MUROS DE ESTRUCTURAS DE DRENAJE Y PROTECCIÓN, H &lt; 3,0 M, E ≤ 0,30 M</v>
          </cell>
          <cell r="C220" t="str">
            <v>M3</v>
          </cell>
          <cell r="D220">
            <v>1</v>
          </cell>
          <cell r="E220">
            <v>1955914</v>
          </cell>
          <cell r="F220"/>
        </row>
        <row r="221">
          <cell r="B221" t="str">
            <v>SUMINISTRO E INSTALACIÓN DE CONCRETO f’c = 4000 PSI (28 MPa), PARA LOSA MACIZA SUPERIOR EN ESTRUCTURAS DE DRENAJE Y PROTECCIÓN E≤ 0,30 M</v>
          </cell>
          <cell r="C221" t="str">
            <v>M3</v>
          </cell>
          <cell r="D221">
            <v>1</v>
          </cell>
          <cell r="E221">
            <v>2154839</v>
          </cell>
          <cell r="F221" t="str">
            <v>TRANSPORTE</v>
          </cell>
        </row>
        <row r="222">
          <cell r="B222" t="str">
            <v>GUARDA RUEDA EN CONCRETO f’c = 4000 PSI (28 MPa), DIMENSIONES 0.30 M x 0.40 M</v>
          </cell>
          <cell r="C222" t="str">
            <v>M3</v>
          </cell>
          <cell r="D222">
            <v>1</v>
          </cell>
          <cell r="E222">
            <v>1655223</v>
          </cell>
        </row>
        <row r="223">
          <cell r="B223" t="str">
            <v>DENTELLÓN EN CONCRETO f’c = 3000 PSI (21 MPa), SECCIÓN 0,30 x 0,50 m</v>
          </cell>
          <cell r="C223" t="str">
            <v>M3</v>
          </cell>
          <cell r="D223">
            <v>1</v>
          </cell>
          <cell r="E223">
            <v>1551536</v>
          </cell>
        </row>
        <row r="224">
          <cell r="B224" t="str">
            <v>RELLENO CON MATERIAL DE AFIRMADO COMPACTADO RANA Y/O VIBRO COMPACTADOR. (INCLUYE ACARREO)</v>
          </cell>
          <cell r="C224" t="str">
            <v>M3</v>
          </cell>
          <cell r="D224">
            <v>1</v>
          </cell>
          <cell r="E224">
            <v>270193</v>
          </cell>
        </row>
        <row r="225">
          <cell r="B225" t="str">
            <v>FILTRO VERTICAL 1.80X0.40 M CON TUBERÍA SANITARIA DE 4" PERFORADA (INCLUYE GEOTEXTIL NT-1600 COCIDO Y MATERIAL FILTRANTE)</v>
          </cell>
          <cell r="C225" t="str">
            <v>M</v>
          </cell>
          <cell r="D225">
            <v>1</v>
          </cell>
          <cell r="E225">
            <v>446624</v>
          </cell>
        </row>
        <row r="226">
          <cell r="B226"/>
          <cell r="C226"/>
          <cell r="D226"/>
          <cell r="E226"/>
        </row>
        <row r="227">
          <cell r="B227" t="str">
            <v>SUMINISTRO E INSTALACIÓN DE GEOTEXTIL T-2400</v>
          </cell>
          <cell r="C227" t="str">
            <v>M2</v>
          </cell>
          <cell r="D227">
            <v>1</v>
          </cell>
          <cell r="E227">
            <v>16096</v>
          </cell>
        </row>
        <row r="228">
          <cell r="B228"/>
          <cell r="C228"/>
          <cell r="D228"/>
          <cell r="E228"/>
        </row>
        <row r="229">
          <cell r="B229"/>
          <cell r="C229"/>
          <cell r="D229"/>
          <cell r="E229"/>
        </row>
        <row r="230">
          <cell r="B230" t="str">
            <v>ROCERÍA CON GUADAÑADORA</v>
          </cell>
          <cell r="C230" t="str">
            <v>M2</v>
          </cell>
          <cell r="D230">
            <v>1</v>
          </cell>
          <cell r="E230">
            <v>919</v>
          </cell>
        </row>
        <row r="231">
          <cell r="B231" t="str">
            <v>DESMONTE Y LIMPIEZA DE CAMINO</v>
          </cell>
          <cell r="C231" t="str">
            <v>M2</v>
          </cell>
          <cell r="D231">
            <v>1</v>
          </cell>
          <cell r="E231">
            <v>506</v>
          </cell>
        </row>
        <row r="232">
          <cell r="B232" t="str">
            <v xml:space="preserve">AMPLIACIÓN Y RECONFORMACIÓN DE CAMINO MEDIANTE EXCAVACIÓN EN MATERIAL COMÚN </v>
          </cell>
          <cell r="C232" t="str">
            <v>M3</v>
          </cell>
          <cell r="D232">
            <v>1</v>
          </cell>
          <cell r="E232">
            <v>116450</v>
          </cell>
        </row>
        <row r="233">
          <cell r="B233" t="str">
            <v xml:space="preserve">CUNETEO PARA DESCOLES DE AGUAS DE ESCORRENTÍAS </v>
          </cell>
          <cell r="C233" t="str">
            <v>M</v>
          </cell>
          <cell r="D233">
            <v>1</v>
          </cell>
          <cell r="E233">
            <v>10189</v>
          </cell>
        </row>
        <row r="234">
          <cell r="B234"/>
          <cell r="C234"/>
          <cell r="D234"/>
          <cell r="E234"/>
        </row>
        <row r="235">
          <cell r="B235" t="str">
            <v>INCLUIR ÍTEMS</v>
          </cell>
          <cell r="C235" t="str">
            <v>XX</v>
          </cell>
          <cell r="D235">
            <v>1</v>
          </cell>
          <cell r="E235">
            <v>0</v>
          </cell>
        </row>
        <row r="236">
          <cell r="B236"/>
          <cell r="C236"/>
          <cell r="D236"/>
          <cell r="E236"/>
        </row>
        <row r="237">
          <cell r="B237"/>
          <cell r="C237"/>
          <cell r="D237"/>
          <cell r="E237"/>
        </row>
        <row r="238">
          <cell r="B238" t="str">
            <v>PRELIMINARES</v>
          </cell>
          <cell r="C238"/>
          <cell r="D238"/>
          <cell r="E238"/>
        </row>
        <row r="239">
          <cell r="B239" t="str">
            <v>LOCALIZACIÓN Y REPLANTEO DE REDES DE ALCANTARILLADO</v>
          </cell>
          <cell r="C239" t="str">
            <v>M</v>
          </cell>
          <cell r="D239">
            <v>1</v>
          </cell>
          <cell r="E239">
            <v>6799</v>
          </cell>
        </row>
        <row r="240">
          <cell r="B240" t="str">
            <v>EXCAVACIONES</v>
          </cell>
          <cell r="C240"/>
          <cell r="D240"/>
          <cell r="E240"/>
        </row>
        <row r="241">
          <cell r="B241" t="str">
            <v>EXCAVACIÓN MANUAL EN MATERIAL COMÚN</v>
          </cell>
          <cell r="C241" t="str">
            <v>M3</v>
          </cell>
          <cell r="D241">
            <v>1</v>
          </cell>
          <cell r="E241">
            <v>116450</v>
          </cell>
        </row>
        <row r="242">
          <cell r="B242" t="str">
            <v>EXCAVACIÓN MANUAL EN MATERIAL CONGLOMERADO</v>
          </cell>
          <cell r="C242" t="str">
            <v>M3</v>
          </cell>
          <cell r="D242">
            <v>1</v>
          </cell>
          <cell r="E242">
            <v>163030</v>
          </cell>
        </row>
        <row r="243">
          <cell r="B243" t="str">
            <v>EXCAVACIONES MECÁNICAS VARIAS EN MATERIAL COMÚN SECO. (NO INCLUYE TRANSPORTE)</v>
          </cell>
          <cell r="C243" t="str">
            <v>M3</v>
          </cell>
          <cell r="D243">
            <v>1</v>
          </cell>
          <cell r="E243">
            <v>34582</v>
          </cell>
        </row>
        <row r="244">
          <cell r="B244" t="str">
            <v>TUBERÍA SANITARIA DE PVC Y ACCESORIOS</v>
          </cell>
          <cell r="C244"/>
          <cell r="D244"/>
          <cell r="E244"/>
        </row>
        <row r="245">
          <cell r="B245" t="str">
            <v>SUMINISTRO E INSTALACIÓN TUBERÍA DE ALCANTARILLADO PVC D=8"</v>
          </cell>
          <cell r="C245" t="str">
            <v>M</v>
          </cell>
          <cell r="D245">
            <v>1</v>
          </cell>
          <cell r="E245">
            <v>170215</v>
          </cell>
        </row>
        <row r="246">
          <cell r="B246" t="str">
            <v>SUMINISTRO E INSTALACIÓN TUBERÍA DE ALCANTARILLADO PVC D=6"</v>
          </cell>
          <cell r="C246" t="str">
            <v>M</v>
          </cell>
          <cell r="D246">
            <v>1</v>
          </cell>
          <cell r="E246">
            <v>132435</v>
          </cell>
        </row>
        <row r="247">
          <cell r="B247" t="str">
            <v>SUMINISTRO E INSTALACIÓN KIT DE CONEXIÓN SANITARIA 6''X 8'' (Incluye Silla Yee PVC - Codo 45° PVC)</v>
          </cell>
          <cell r="C247" t="str">
            <v>UND</v>
          </cell>
          <cell r="D247">
            <v>1</v>
          </cell>
          <cell r="E247">
            <v>363992</v>
          </cell>
        </row>
        <row r="248">
          <cell r="B248" t="str">
            <v>RELLENOS</v>
          </cell>
          <cell r="C248"/>
          <cell r="D248"/>
          <cell r="E248"/>
        </row>
        <row r="249">
          <cell r="B249" t="str">
            <v>SUMINISTRO, EXTENDIDO Y COMPACTACIÓN DE ARENA DE RÍO PARA CAMA DE TUBERÍA</v>
          </cell>
          <cell r="C249" t="str">
            <v>M3</v>
          </cell>
          <cell r="D249">
            <v>1</v>
          </cell>
          <cell r="E249">
            <v>170375</v>
          </cell>
        </row>
        <row r="250">
          <cell r="B250" t="str">
            <v>RELLENO CON MATERIAL SELECCIONADO PROVENIENTE DE EXCAVACIÓN COMPACTADO CON RANA</v>
          </cell>
          <cell r="C250" t="str">
            <v>M3</v>
          </cell>
          <cell r="D250">
            <v>1</v>
          </cell>
          <cell r="E250">
            <v>59195</v>
          </cell>
        </row>
        <row r="251">
          <cell r="B251" t="str">
            <v>ESTRUCTURAS EN CONCRETO</v>
          </cell>
          <cell r="C251"/>
          <cell r="D251"/>
          <cell r="E251"/>
        </row>
        <row r="252">
          <cell r="B252" t="str">
            <v>SOLADO CONCRETO f'c = 2500 psi (14 MPa), ESPESOR 0.05 M</v>
          </cell>
          <cell r="C252" t="str">
            <v>M2</v>
          </cell>
          <cell r="D252">
            <v>1</v>
          </cell>
          <cell r="E252">
            <v>70035</v>
          </cell>
        </row>
        <row r="253">
          <cell r="B253" t="str">
            <v>CAJA DE INSPECCIÓN EN CONCRETO REFORZADO f'c = 3000 psi (21 MPa), MEDIDAS INTERNAS 0,50X0,50X0,50 M</v>
          </cell>
          <cell r="C253" t="str">
            <v>UND</v>
          </cell>
          <cell r="D253">
            <v>1</v>
          </cell>
          <cell r="E253">
            <v>871769</v>
          </cell>
        </row>
        <row r="254">
          <cell r="B254" t="str">
            <v>CONCRETO f'c = 3000 psi (21 MPa) PARA ESTRUCTURAS DEL POZO DE INSPECCIÓN</v>
          </cell>
          <cell r="C254" t="str">
            <v>M3</v>
          </cell>
          <cell r="D254">
            <v>1</v>
          </cell>
          <cell r="E254">
            <v>2151304</v>
          </cell>
        </row>
        <row r="255">
          <cell r="B255" t="str">
            <v>SUMINISTRO E INSTALACIÓN DE ARO - TAPA EN HF</v>
          </cell>
          <cell r="C255" t="str">
            <v>UND</v>
          </cell>
          <cell r="D255">
            <v>1</v>
          </cell>
          <cell r="E255">
            <v>675311</v>
          </cell>
        </row>
        <row r="256">
          <cell r="B256" t="str">
            <v>EMBOQUILLADO DE TUBERÍA</v>
          </cell>
          <cell r="C256" t="str">
            <v>UND</v>
          </cell>
          <cell r="D256">
            <v>1</v>
          </cell>
          <cell r="E256">
            <v>69803</v>
          </cell>
        </row>
        <row r="257">
          <cell r="B257" t="str">
            <v>SUMIDERO LATERAL (SL) EN CONCRETO DE 21 Mpa. (3000 PSI). DIMENSIONES INTERNAS: 0.40 X 1.40 M. H = 1.10 M.</v>
          </cell>
          <cell r="C257" t="str">
            <v>UND</v>
          </cell>
          <cell r="D257">
            <v>1</v>
          </cell>
          <cell r="E257">
            <v>5486883</v>
          </cell>
        </row>
        <row r="258">
          <cell r="B258" t="str">
            <v>ADECUACIÓN Y ELEVACIÓN DE POZO DE INSPECCIÓN (INCLUYE MARCO Y TAPA)</v>
          </cell>
          <cell r="C258" t="str">
            <v>UND</v>
          </cell>
          <cell r="D258">
            <v>1</v>
          </cell>
          <cell r="E258">
            <v>1910743</v>
          </cell>
        </row>
        <row r="259">
          <cell r="B259" t="str">
            <v>ADECUACIÓN DE SUMIDERO LATERAL EXISTENTE, DIMENSIONES INTERNAS 0,4 X 1,40 X 1,00 M</v>
          </cell>
          <cell r="C259" t="str">
            <v>UND</v>
          </cell>
          <cell r="D259">
            <v>1</v>
          </cell>
          <cell r="E259">
            <v>990844</v>
          </cell>
        </row>
        <row r="260">
          <cell r="B260"/>
          <cell r="C260"/>
          <cell r="D260"/>
          <cell r="E260"/>
        </row>
        <row r="261">
          <cell r="B261" t="str">
            <v>CARGUE Y TRANSPORTE DE MATERIALES SUELTOS, PRODUCTO DE SOBRANTES Y/O DERRUMBES (INCLUYE ACARREO LIBRE HASTA 5 KM.).</v>
          </cell>
          <cell r="C261" t="str">
            <v>M3</v>
          </cell>
          <cell r="D261">
            <v>1</v>
          </cell>
          <cell r="E261">
            <v>30067</v>
          </cell>
        </row>
        <row r="262">
          <cell r="B262" t="str">
            <v>DEMOLICIÓN DE ESTRUCTURAS DE CONCRETO CICLOPEO, (INCLUYE RETIRO Y ACARREO LIBRE
HASTA 5 KM.)</v>
          </cell>
          <cell r="C262" t="str">
            <v>M3</v>
          </cell>
          <cell r="D262">
            <v>1</v>
          </cell>
          <cell r="E262">
            <v>536147</v>
          </cell>
        </row>
        <row r="263">
          <cell r="B263" t="str">
            <v xml:space="preserve">DEMOLICIÓN OBRAS EN CONCRETO REFORZADO, INCLUYE CARGUE Y RETIRO DE SOBRANTES CON ACARREO LIBRE HASTA 5 KM.). </v>
          </cell>
          <cell r="C263" t="str">
            <v>M3</v>
          </cell>
          <cell r="D263">
            <v>1</v>
          </cell>
          <cell r="E263">
            <v>512427</v>
          </cell>
        </row>
        <row r="264">
          <cell r="B264" t="str">
            <v>DESMONTE DE CUBIERTA EN LÁMINA</v>
          </cell>
          <cell r="C264" t="str">
            <v>M2</v>
          </cell>
          <cell r="D264">
            <v>1</v>
          </cell>
          <cell r="E264">
            <v>15306</v>
          </cell>
        </row>
      </sheetData>
      <sheetData sheetId="6"/>
      <sheetData sheetId="7"/>
      <sheetData sheetId="8"/>
      <sheetData sheetId="9"/>
      <sheetData sheetId="10"/>
      <sheetData sheetId="11"/>
      <sheetData sheetId="12"/>
    </sheetDataSet>
  </externalBook>
</externalLink>
</file>

<file path=xl/externalLinks/externalLink2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ICIO"/>
      <sheetName val="INDICE"/>
      <sheetName val="APU"/>
      <sheetName val="EQUIPOS"/>
      <sheetName val="MATERIALES"/>
      <sheetName val="TRANSPORTES"/>
      <sheetName val="MANO DE OBRA"/>
      <sheetName val="FACTOR PRESTACIONAL"/>
    </sheetNames>
    <sheetDataSet>
      <sheetData sheetId="0" refreshError="1">
        <row r="5">
          <cell r="C5">
            <v>13</v>
          </cell>
        </row>
        <row r="6">
          <cell r="B6" t="str">
            <v>VERSIÓN</v>
          </cell>
          <cell r="C6">
            <v>1</v>
          </cell>
        </row>
        <row r="7">
          <cell r="C7" t="str">
            <v>CCE-EICP-FM-14</v>
          </cell>
        </row>
        <row r="8">
          <cell r="C8" t="str">
            <v>Análisis de Precios Unitarios- Secretaria de Planeación y Obras Publicas de Cubará, Boyacá.</v>
          </cell>
        </row>
        <row r="10">
          <cell r="F10">
            <v>0.24</v>
          </cell>
        </row>
        <row r="11">
          <cell r="F11">
            <v>0.02</v>
          </cell>
        </row>
        <row r="12">
          <cell r="F12">
            <v>7.0000000000000007E-2</v>
          </cell>
        </row>
        <row r="13">
          <cell r="B13" t="str">
            <v>Proyectó:</v>
          </cell>
        </row>
        <row r="16">
          <cell r="B16" t="str">
            <v>Aprobó:</v>
          </cell>
        </row>
      </sheetData>
      <sheetData sheetId="1" refreshError="1"/>
      <sheetData sheetId="2" refreshError="1"/>
      <sheetData sheetId="3" refreshError="1">
        <row r="3">
          <cell r="A3" t="str">
            <v>ID</v>
          </cell>
          <cell r="B3" t="str">
            <v>DESCRIPCIÓN</v>
          </cell>
          <cell r="C3" t="str">
            <v>U.M.</v>
          </cell>
          <cell r="D3" t="str">
            <v>VALOR UNITARIO</v>
          </cell>
        </row>
        <row r="4">
          <cell r="A4" t="str">
            <v>EQ00001</v>
          </cell>
          <cell r="B4" t="str">
            <v>HERRAMIENTA MENOR (% M.O)</v>
          </cell>
          <cell r="C4" t="str">
            <v>%</v>
          </cell>
        </row>
        <row r="5">
          <cell r="A5" t="str">
            <v>EQ00002</v>
          </cell>
          <cell r="B5" t="str">
            <v>EQUIPO DE TOPOGRAFÍA (ESTACIÓN TOTAL, NIVEL)</v>
          </cell>
          <cell r="C5" t="str">
            <v>DIA</v>
          </cell>
          <cell r="D5">
            <v>149960</v>
          </cell>
        </row>
        <row r="6">
          <cell r="A6" t="str">
            <v>EQ00003</v>
          </cell>
          <cell r="B6" t="str">
            <v>EXCAVADORA SOBRE ORUGAS</v>
          </cell>
          <cell r="C6" t="str">
            <v>HR</v>
          </cell>
          <cell r="D6">
            <v>305864</v>
          </cell>
        </row>
        <row r="7">
          <cell r="A7" t="str">
            <v>EQ00004</v>
          </cell>
          <cell r="B7" t="str">
            <v>CARRO TANQUE DE AGUA</v>
          </cell>
          <cell r="C7" t="str">
            <v>HR</v>
          </cell>
          <cell r="D7">
            <v>132939</v>
          </cell>
        </row>
        <row r="8">
          <cell r="A8" t="str">
            <v>EQ00005</v>
          </cell>
          <cell r="B8" t="str">
            <v>MOTONIVELADORA</v>
          </cell>
          <cell r="C8" t="str">
            <v>HR</v>
          </cell>
          <cell r="D8">
            <v>305864</v>
          </cell>
        </row>
        <row r="9">
          <cell r="A9" t="str">
            <v>EQ00006</v>
          </cell>
          <cell r="B9" t="str">
            <v>VIBRO COMPACTADOR (RODILLO)</v>
          </cell>
          <cell r="C9" t="str">
            <v>HR</v>
          </cell>
          <cell r="D9">
            <v>186975</v>
          </cell>
        </row>
        <row r="10">
          <cell r="A10" t="str">
            <v>EQ00007</v>
          </cell>
          <cell r="B10" t="str">
            <v>RETROEXCAVADORA (PAJARITA)</v>
          </cell>
          <cell r="C10" t="str">
            <v>HR</v>
          </cell>
          <cell r="D10">
            <v>210543</v>
          </cell>
        </row>
        <row r="11">
          <cell r="A11" t="str">
            <v>EQ00008</v>
          </cell>
          <cell r="B11" t="str">
            <v>CARGADOR FRONTAL O SIMILAR</v>
          </cell>
          <cell r="C11" t="str">
            <v>HR</v>
          </cell>
          <cell r="D11">
            <v>187143</v>
          </cell>
        </row>
        <row r="12">
          <cell r="A12" t="str">
            <v>EQ00009</v>
          </cell>
          <cell r="B12" t="str">
            <v>REGLA VIBRATORIA</v>
          </cell>
          <cell r="C12" t="str">
            <v>HR</v>
          </cell>
          <cell r="D12">
            <v>8000</v>
          </cell>
        </row>
        <row r="13">
          <cell r="A13" t="str">
            <v>EQ00010</v>
          </cell>
          <cell r="B13" t="str">
            <v>ASPERSOR MANUAL</v>
          </cell>
          <cell r="C13" t="str">
            <v>HR</v>
          </cell>
          <cell r="D13">
            <v>3200</v>
          </cell>
        </row>
        <row r="14">
          <cell r="A14" t="str">
            <v>EQ00011</v>
          </cell>
          <cell r="B14" t="str">
            <v>FORMALETA PARA LOSAS PAVIMENTO RÍGIDO</v>
          </cell>
          <cell r="C14" t="str">
            <v>M</v>
          </cell>
          <cell r="D14">
            <v>4093.44</v>
          </cell>
        </row>
        <row r="15">
          <cell r="A15" t="str">
            <v>EQ00012</v>
          </cell>
          <cell r="B15" t="str">
            <v>FORMALETA METÁLICA PARA POZOS</v>
          </cell>
          <cell r="C15" t="str">
            <v>DIA</v>
          </cell>
          <cell r="D15">
            <v>50000</v>
          </cell>
        </row>
        <row r="16">
          <cell r="A16" t="str">
            <v>EQ00013</v>
          </cell>
          <cell r="B16" t="str">
            <v>FORMALETA PARA CAJAS DE INSPECCIÓN</v>
          </cell>
          <cell r="C16" t="str">
            <v>DIA</v>
          </cell>
          <cell r="D16">
            <v>30000</v>
          </cell>
        </row>
        <row r="17">
          <cell r="A17" t="str">
            <v>EQ00014</v>
          </cell>
          <cell r="B17" t="str">
            <v>CORTADORA DE PAVIMENTO</v>
          </cell>
          <cell r="C17" t="str">
            <v>HR</v>
          </cell>
          <cell r="D17">
            <v>18416</v>
          </cell>
        </row>
        <row r="18">
          <cell r="A18" t="str">
            <v>EQ00015</v>
          </cell>
          <cell r="B18" t="str">
            <v>CAMIONETA (CAPACIDAD 1 TON.)</v>
          </cell>
          <cell r="C18" t="str">
            <v>HR</v>
          </cell>
          <cell r="D18">
            <v>56854</v>
          </cell>
        </row>
        <row r="19">
          <cell r="A19" t="str">
            <v>EQ00016</v>
          </cell>
          <cell r="B19" t="str">
            <v>VEHÍCULO PARA DELINEACIÓN VIAL</v>
          </cell>
          <cell r="C19" t="str">
            <v>HR</v>
          </cell>
          <cell r="D19">
            <v>184497</v>
          </cell>
        </row>
        <row r="20">
          <cell r="A20" t="str">
            <v>EQ00017</v>
          </cell>
          <cell r="B20" t="str">
            <v>MEZCLADORA</v>
          </cell>
          <cell r="C20" t="str">
            <v>DIA</v>
          </cell>
          <cell r="D20">
            <v>137211</v>
          </cell>
        </row>
        <row r="21">
          <cell r="A21" t="str">
            <v>EQ00018</v>
          </cell>
          <cell r="B21" t="str">
            <v>MOTOSIERRA</v>
          </cell>
          <cell r="C21" t="str">
            <v>HR</v>
          </cell>
          <cell r="D21">
            <v>10741</v>
          </cell>
        </row>
        <row r="22">
          <cell r="A22" t="str">
            <v>EQ00019</v>
          </cell>
          <cell r="B22" t="str">
            <v>TALADRO</v>
          </cell>
          <cell r="C22" t="str">
            <v>DIA</v>
          </cell>
          <cell r="D22">
            <v>36968</v>
          </cell>
        </row>
        <row r="23">
          <cell r="A23" t="str">
            <v>EQ00020</v>
          </cell>
          <cell r="B23" t="str">
            <v>PULIDORA</v>
          </cell>
          <cell r="C23" t="str">
            <v>DIA</v>
          </cell>
          <cell r="D23">
            <v>45000</v>
          </cell>
        </row>
        <row r="24">
          <cell r="A24" t="str">
            <v>EQ00021</v>
          </cell>
          <cell r="B24" t="str">
            <v>DOBLADORA MANUAL</v>
          </cell>
          <cell r="C24" t="str">
            <v>DIA</v>
          </cell>
          <cell r="D24">
            <v>30000</v>
          </cell>
        </row>
        <row r="25">
          <cell r="A25" t="str">
            <v>EQ00022</v>
          </cell>
          <cell r="B25" t="str">
            <v>CIZALLA MANUAL</v>
          </cell>
          <cell r="C25" t="str">
            <v>DIA</v>
          </cell>
          <cell r="D25">
            <v>30000</v>
          </cell>
        </row>
        <row r="26">
          <cell r="A26" t="str">
            <v>EQ00023</v>
          </cell>
          <cell r="B26" t="str">
            <v>VIBRO COMPACTADOR TIPO RANA</v>
          </cell>
          <cell r="C26" t="str">
            <v>DIA</v>
          </cell>
          <cell r="D26">
            <v>100000</v>
          </cell>
        </row>
        <row r="27">
          <cell r="A27" t="str">
            <v>EQ00024</v>
          </cell>
          <cell r="B27" t="str">
            <v>COMPRESOR (INCLUYE
MARTILLOS)</v>
          </cell>
          <cell r="C27" t="str">
            <v>DIA</v>
          </cell>
          <cell r="D27">
            <v>921448</v>
          </cell>
        </row>
        <row r="28">
          <cell r="A28" t="str">
            <v>EQ00025</v>
          </cell>
          <cell r="B28" t="str">
            <v>EQUIPO DE SOLDADURA</v>
          </cell>
          <cell r="C28" t="str">
            <v>DIA</v>
          </cell>
          <cell r="D28">
            <v>80000</v>
          </cell>
        </row>
        <row r="29">
          <cell r="A29" t="str">
            <v>EQ00026</v>
          </cell>
          <cell r="B29" t="str">
            <v>COMPRESOR DE PINTURA</v>
          </cell>
          <cell r="C29" t="str">
            <v>DIA</v>
          </cell>
          <cell r="D29">
            <v>90792</v>
          </cell>
        </row>
        <row r="30">
          <cell r="A30" t="str">
            <v>EQ00027</v>
          </cell>
          <cell r="B30" t="str">
            <v>SECCIÓN DE ANDAMIO (01)</v>
          </cell>
          <cell r="C30" t="str">
            <v>DIA</v>
          </cell>
          <cell r="D30">
            <v>3000</v>
          </cell>
        </row>
        <row r="31">
          <cell r="A31" t="str">
            <v>EQ00028</v>
          </cell>
          <cell r="B31" t="str">
            <v>SECCIÓN DE ANDAMIO (02)</v>
          </cell>
          <cell r="C31" t="str">
            <v>DIA</v>
          </cell>
          <cell r="D31">
            <v>6000</v>
          </cell>
        </row>
        <row r="32">
          <cell r="A32" t="str">
            <v>EQ00029</v>
          </cell>
          <cell r="B32" t="str">
            <v>VIBRADOR PORTÁTIL PARA CONCRETO</v>
          </cell>
          <cell r="C32" t="str">
            <v>DIA</v>
          </cell>
          <cell r="D32">
            <v>89075</v>
          </cell>
        </row>
        <row r="33">
          <cell r="A33" t="str">
            <v>EQ00030</v>
          </cell>
          <cell r="B33" t="str">
            <v>OXICORTE (OXIGENO ACETILENO)</v>
          </cell>
          <cell r="C33" t="str">
            <v>DIA</v>
          </cell>
          <cell r="D33">
            <v>73512</v>
          </cell>
        </row>
        <row r="34">
          <cell r="A34" t="str">
            <v>EQ00031</v>
          </cell>
          <cell r="B34" t="str">
            <v>GUADAÑADORA</v>
          </cell>
          <cell r="C34" t="str">
            <v>DIA</v>
          </cell>
          <cell r="D34">
            <v>54136</v>
          </cell>
        </row>
        <row r="35">
          <cell r="A35" t="str">
            <v>EQ00032</v>
          </cell>
          <cell r="B35" t="str">
            <v>HIDROLAVADORA</v>
          </cell>
          <cell r="C35" t="str">
            <v>DIA</v>
          </cell>
          <cell r="D35">
            <v>150000</v>
          </cell>
        </row>
        <row r="36">
          <cell r="A36" t="str">
            <v>EQ00033</v>
          </cell>
          <cell r="B36" t="str">
            <v>COMPRESOR DE 250 CFM CON MARTILLO NEUMÁTICO</v>
          </cell>
          <cell r="C36" t="str">
            <v>DIA</v>
          </cell>
          <cell r="D36">
            <v>1187064</v>
          </cell>
        </row>
      </sheetData>
      <sheetData sheetId="4" refreshError="1">
        <row r="2">
          <cell r="B2" t="str">
            <v>ID</v>
          </cell>
          <cell r="C2" t="str">
            <v>DESCRIPCIÓN</v>
          </cell>
          <cell r="D2" t="str">
            <v>UNIDAD</v>
          </cell>
          <cell r="P2" t="str">
            <v>PRECIO APROBADO</v>
          </cell>
        </row>
        <row r="3">
          <cell r="B3" t="str">
            <v>MA00001</v>
          </cell>
          <cell r="C3" t="str">
            <v>ESTUCO</v>
          </cell>
          <cell r="D3" t="str">
            <v>GAL</v>
          </cell>
          <cell r="P3">
            <v>33200</v>
          </cell>
        </row>
        <row r="4">
          <cell r="B4" t="str">
            <v>MA00002</v>
          </cell>
          <cell r="C4" t="str">
            <v>MASILLA PLÁSTICA  PANEL TEC X CUÑETE (27 KG)</v>
          </cell>
          <cell r="D4" t="str">
            <v>UND</v>
          </cell>
          <cell r="P4">
            <v>67738.66</v>
          </cell>
        </row>
        <row r="5">
          <cell r="B5" t="str">
            <v>MA00003</v>
          </cell>
          <cell r="C5" t="str">
            <v>ACERO DE REFUERZO 60000 PSI</v>
          </cell>
          <cell r="D5" t="str">
            <v>KG</v>
          </cell>
          <cell r="P5">
            <v>5501.58</v>
          </cell>
        </row>
        <row r="6">
          <cell r="B6" t="str">
            <v>MA00004</v>
          </cell>
          <cell r="C6" t="str">
            <v>ALAMBRE NEGRO # 18 (RECOCIDO)</v>
          </cell>
          <cell r="D6" t="str">
            <v>KG</v>
          </cell>
          <cell r="P6">
            <v>7850</v>
          </cell>
        </row>
        <row r="7">
          <cell r="B7" t="str">
            <v>MA00005</v>
          </cell>
          <cell r="C7" t="str">
            <v xml:space="preserve">MALLA ELECTROSOLDADA 6.00 mm 15X15 CM </v>
          </cell>
          <cell r="D7" t="str">
            <v>M2</v>
          </cell>
          <cell r="P7">
            <v>18266.669999999998</v>
          </cell>
        </row>
        <row r="8">
          <cell r="B8" t="str">
            <v>MA00006</v>
          </cell>
          <cell r="C8" t="str">
            <v>VARILLA CORRUGADA No 2 (1/4")</v>
          </cell>
          <cell r="D8" t="str">
            <v>KG</v>
          </cell>
          <cell r="P8">
            <v>6233.33</v>
          </cell>
        </row>
        <row r="9">
          <cell r="B9" t="str">
            <v>MA00007</v>
          </cell>
          <cell r="C9" t="str">
            <v>VARILLA CORRUGADA N°3 (3/8")</v>
          </cell>
          <cell r="D9" t="str">
            <v>KG</v>
          </cell>
          <cell r="P9">
            <v>5172.62</v>
          </cell>
        </row>
        <row r="10">
          <cell r="B10" t="str">
            <v>MA00008</v>
          </cell>
          <cell r="C10" t="str">
            <v>VARILLA CORRUGADA N°4 (1/2")</v>
          </cell>
          <cell r="D10" t="str">
            <v>KG</v>
          </cell>
          <cell r="P10">
            <v>5277.78</v>
          </cell>
        </row>
        <row r="11">
          <cell r="B11" t="str">
            <v>MA00009</v>
          </cell>
          <cell r="C11" t="str">
            <v>VARILLA CORRUGADA N°5 (5/8")</v>
          </cell>
          <cell r="D11" t="str">
            <v>KG</v>
          </cell>
          <cell r="P11">
            <v>5322.58</v>
          </cell>
        </row>
        <row r="12">
          <cell r="B12" t="str">
            <v>MA00010</v>
          </cell>
          <cell r="C12" t="str">
            <v>ADITIVO IMPERMEABILIZANTE PARA CONCRETO TIPO PLASTOCRETE D.M. O SIMILAR</v>
          </cell>
          <cell r="D12" t="str">
            <v>KG</v>
          </cell>
          <cell r="P12">
            <v>27219.5</v>
          </cell>
        </row>
        <row r="13">
          <cell r="B13" t="str">
            <v>MA00011</v>
          </cell>
          <cell r="C13" t="str">
            <v>ADITIVO IMPERMEABILIZANTE PARA MORTEROS TIPO SIKA-1 O SIMILAR</v>
          </cell>
          <cell r="D13" t="str">
            <v>KG</v>
          </cell>
          <cell r="P13">
            <v>27472.5</v>
          </cell>
        </row>
        <row r="14">
          <cell r="B14" t="str">
            <v>MA00012</v>
          </cell>
          <cell r="C14" t="str">
            <v>IMPERMEABILIZANTE SIKA-1</v>
          </cell>
          <cell r="D14" t="str">
            <v>KG</v>
          </cell>
          <cell r="P14">
            <v>27472.5</v>
          </cell>
        </row>
        <row r="15">
          <cell r="B15" t="str">
            <v>MA00013</v>
          </cell>
          <cell r="C15" t="str">
            <v>ARENA LAVADA DE PEÑA</v>
          </cell>
          <cell r="D15" t="str">
            <v>M3</v>
          </cell>
          <cell r="P15">
            <v>114240</v>
          </cell>
        </row>
        <row r="16">
          <cell r="B16" t="str">
            <v>MA00014</v>
          </cell>
          <cell r="C16" t="str">
            <v>ARENA LAVADA DE RIO</v>
          </cell>
          <cell r="D16" t="str">
            <v>M3</v>
          </cell>
          <cell r="P16">
            <v>71400</v>
          </cell>
        </row>
        <row r="17">
          <cell r="B17" t="str">
            <v>MA00015</v>
          </cell>
          <cell r="C17" t="str">
            <v>ARENA LAVADA Y/O TRITURADA</v>
          </cell>
          <cell r="D17" t="str">
            <v>M3</v>
          </cell>
          <cell r="P17">
            <v>101150</v>
          </cell>
        </row>
        <row r="18">
          <cell r="B18" t="str">
            <v>MA00016</v>
          </cell>
          <cell r="C18" t="str">
            <v>GRAVAS PARA LECHO FILTRANTE (DIF. DIÁMETRO) DE SÍLICE</v>
          </cell>
          <cell r="D18" t="str">
            <v>M3</v>
          </cell>
          <cell r="P18">
            <v>101483.2</v>
          </cell>
        </row>
        <row r="19">
          <cell r="B19" t="str">
            <v>MA00017</v>
          </cell>
          <cell r="C19" t="str">
            <v xml:space="preserve">MATERIAL BASE GRANULAR </v>
          </cell>
          <cell r="D19" t="str">
            <v>M3</v>
          </cell>
          <cell r="P19">
            <v>73185</v>
          </cell>
        </row>
        <row r="20">
          <cell r="B20" t="str">
            <v>MA00018</v>
          </cell>
          <cell r="C20" t="str">
            <v>MATERIAL CRUDO TAMAÑO MÁXIMO 4"</v>
          </cell>
          <cell r="D20" t="str">
            <v>M3</v>
          </cell>
          <cell r="P20">
            <v>36652</v>
          </cell>
        </row>
        <row r="21">
          <cell r="B21" t="str">
            <v>MA00019</v>
          </cell>
          <cell r="C21" t="str">
            <v>MATERIAL DE AFIRMADO PARA PISOS Y BASES</v>
          </cell>
          <cell r="D21" t="str">
            <v>M3</v>
          </cell>
          <cell r="P21">
            <v>50329.06</v>
          </cell>
        </row>
        <row r="22">
          <cell r="B22" t="str">
            <v>MA00020</v>
          </cell>
          <cell r="C22" t="str">
            <v>MATERIAL DE AFIRMADO SEGÚN NORMA INVIAS</v>
          </cell>
          <cell r="D22" t="str">
            <v>M3</v>
          </cell>
          <cell r="P22">
            <v>50741.599999999999</v>
          </cell>
        </row>
        <row r="23">
          <cell r="B23" t="str">
            <v>MA00021</v>
          </cell>
          <cell r="C23" t="str">
            <v>PIEDRA MEDIA ZONGA</v>
          </cell>
          <cell r="D23" t="str">
            <v>M3</v>
          </cell>
          <cell r="P23">
            <v>87250.8</v>
          </cell>
        </row>
        <row r="24">
          <cell r="B24" t="str">
            <v>MA00022</v>
          </cell>
          <cell r="C24" t="str">
            <v>RECEBO COMÚN</v>
          </cell>
          <cell r="D24" t="str">
            <v>M3</v>
          </cell>
          <cell r="P24">
            <v>35313.33</v>
          </cell>
        </row>
        <row r="25">
          <cell r="B25" t="str">
            <v>MA00023</v>
          </cell>
          <cell r="C25" t="str">
            <v>SUB-BASE GRANULAR No. 4 SBG-4</v>
          </cell>
          <cell r="D25" t="str">
            <v>M3</v>
          </cell>
          <cell r="P25">
            <v>68425</v>
          </cell>
        </row>
        <row r="26">
          <cell r="B26" t="str">
            <v>MA00024</v>
          </cell>
          <cell r="C26" t="str">
            <v>TRITURADO 3/4"-1/2"</v>
          </cell>
          <cell r="D26" t="str">
            <v>M3</v>
          </cell>
          <cell r="P26">
            <v>111265</v>
          </cell>
        </row>
        <row r="27">
          <cell r="B27" t="str">
            <v>MA00025</v>
          </cell>
          <cell r="C27" t="str">
            <v>AGUA</v>
          </cell>
          <cell r="D27" t="str">
            <v>LT</v>
          </cell>
          <cell r="P27">
            <v>3.65</v>
          </cell>
        </row>
        <row r="28">
          <cell r="B28" t="str">
            <v>MA00026</v>
          </cell>
          <cell r="C28" t="str">
            <v>ARO Y TAPA POZOS INSP EN HF</v>
          </cell>
          <cell r="D28" t="str">
            <v>UND</v>
          </cell>
          <cell r="P28">
            <v>462205.12</v>
          </cell>
        </row>
        <row r="29">
          <cell r="B29" t="str">
            <v>MA00027</v>
          </cell>
          <cell r="C29" t="str">
            <v xml:space="preserve">CODO SANITARIO 6" PVC 45° CXC </v>
          </cell>
          <cell r="D29" t="str">
            <v>UND</v>
          </cell>
          <cell r="P29">
            <v>55733.33</v>
          </cell>
        </row>
        <row r="30">
          <cell r="B30" t="str">
            <v>MA00028</v>
          </cell>
          <cell r="C30" t="str">
            <v>HIDRO SELLO ELASTOMÉRICO PARA TUBERÍA PVC TDP DE 6" (160 MM)</v>
          </cell>
          <cell r="D30" t="str">
            <v>UND</v>
          </cell>
          <cell r="P30">
            <v>6200</v>
          </cell>
        </row>
        <row r="31">
          <cell r="B31" t="str">
            <v>MA00029</v>
          </cell>
          <cell r="C31" t="str">
            <v>HIDRO SELLO ELASTOMÉRICO PARA TUBERÍA PVC TDP DE 8" (200 MM)</v>
          </cell>
          <cell r="D31" t="str">
            <v>UND</v>
          </cell>
          <cell r="P31">
            <v>11638.98</v>
          </cell>
        </row>
        <row r="32">
          <cell r="B32" t="str">
            <v>MA00030</v>
          </cell>
          <cell r="C32" t="str">
            <v>REJILLA PLÁSTICA PARA SUMIDERO TRÁFICO PESADO DE 60CM X 50CM X 10CM</v>
          </cell>
          <cell r="D32" t="str">
            <v>UND</v>
          </cell>
          <cell r="P32">
            <v>341640</v>
          </cell>
        </row>
        <row r="33">
          <cell r="B33" t="str">
            <v>MA00031</v>
          </cell>
          <cell r="C33" t="str">
            <v>SILLA YEE SANITARIA  8"X6" PVC (Incluye abrazaderas  - Junta de Caucho)</v>
          </cell>
          <cell r="D33" t="str">
            <v>UND</v>
          </cell>
          <cell r="P33">
            <v>148250</v>
          </cell>
        </row>
        <row r="34">
          <cell r="B34" t="str">
            <v>MA00032</v>
          </cell>
          <cell r="C34" t="str">
            <v>TUBERÍA ALCANTARILLADO TDP DE 6" (160 MM)</v>
          </cell>
          <cell r="D34" t="str">
            <v>M</v>
          </cell>
          <cell r="P34">
            <v>60450.9</v>
          </cell>
        </row>
        <row r="35">
          <cell r="B35" t="str">
            <v>MA00033</v>
          </cell>
          <cell r="C35" t="str">
            <v>TUBERÍA ALCANTARILLADO TDP DE 8" (200 MM)</v>
          </cell>
          <cell r="D35" t="str">
            <v>M</v>
          </cell>
          <cell r="P35">
            <v>86416.18</v>
          </cell>
        </row>
        <row r="36">
          <cell r="B36" t="str">
            <v>MA00034</v>
          </cell>
          <cell r="C36" t="str">
            <v>CONCRETO DE 2000 PSI (1:3:4)</v>
          </cell>
          <cell r="D36" t="str">
            <v>M3</v>
          </cell>
          <cell r="P36">
            <v>641777.72</v>
          </cell>
        </row>
        <row r="37">
          <cell r="B37" t="str">
            <v>MA00035</v>
          </cell>
          <cell r="C37" t="str">
            <v>CONCRETO DE 2500 PSI (1:2:4)</v>
          </cell>
          <cell r="D37" t="str">
            <v>M3</v>
          </cell>
          <cell r="P37">
            <v>703756.21</v>
          </cell>
        </row>
        <row r="38">
          <cell r="B38" t="str">
            <v>MA00036</v>
          </cell>
          <cell r="C38" t="str">
            <v>CONCRETO DE 3000 PSI (1:2:3)</v>
          </cell>
          <cell r="D38" t="str">
            <v>M3</v>
          </cell>
          <cell r="P38">
            <v>765149.14</v>
          </cell>
        </row>
        <row r="39">
          <cell r="B39" t="str">
            <v>MA00037</v>
          </cell>
          <cell r="C39" t="str">
            <v>CONCRETO DE 3500 PSI (1:2:3)</v>
          </cell>
          <cell r="D39" t="str">
            <v>M3</v>
          </cell>
          <cell r="P39">
            <v>828941.76</v>
          </cell>
        </row>
        <row r="40">
          <cell r="B40" t="str">
            <v>MA00038</v>
          </cell>
          <cell r="C40" t="str">
            <v>CONCRETO DE 4000 PSI (1:2:2)</v>
          </cell>
          <cell r="D40" t="str">
            <v>M3</v>
          </cell>
          <cell r="P40">
            <v>869721.18</v>
          </cell>
        </row>
        <row r="41">
          <cell r="B41" t="str">
            <v>MA00039</v>
          </cell>
          <cell r="C41" t="str">
            <v>CONCRETO IMPERMEABILIZADO DE 3000 PSI (1:2:3)</v>
          </cell>
          <cell r="D41" t="str">
            <v>M3</v>
          </cell>
          <cell r="P41">
            <v>836600.33</v>
          </cell>
        </row>
        <row r="42">
          <cell r="B42" t="str">
            <v>MA00040</v>
          </cell>
          <cell r="C42" t="str">
            <v xml:space="preserve">SUMINISTRO E INSTALACIÓN DE MALLA ELECTROSOLDADA 6.00 mm 15X15 CM </v>
          </cell>
          <cell r="D42" t="str">
            <v>M2</v>
          </cell>
          <cell r="P42">
            <v>25132.74</v>
          </cell>
        </row>
        <row r="43">
          <cell r="B43" t="str">
            <v>MA00041</v>
          </cell>
          <cell r="C43" t="str">
            <v>MORTERO 1:3</v>
          </cell>
          <cell r="D43" t="str">
            <v>M3</v>
          </cell>
          <cell r="P43">
            <v>720478.82</v>
          </cell>
        </row>
        <row r="44">
          <cell r="B44" t="str">
            <v>MA00042</v>
          </cell>
          <cell r="C44" t="str">
            <v>MORTERO 1:3 IMPERMEABILIZADO</v>
          </cell>
          <cell r="D44" t="str">
            <v>M3</v>
          </cell>
          <cell r="P44">
            <v>996150.34</v>
          </cell>
        </row>
        <row r="45">
          <cell r="B45" t="str">
            <v>MA00043</v>
          </cell>
          <cell r="C45" t="str">
            <v>MORTERO 1:4</v>
          </cell>
          <cell r="D45" t="str">
            <v>M3</v>
          </cell>
          <cell r="P45">
            <v>646005.14</v>
          </cell>
        </row>
        <row r="46">
          <cell r="B46" t="str">
            <v>MA00044</v>
          </cell>
          <cell r="C46" t="str">
            <v>MORTERO 1:4 IMPERMEABILIZADO</v>
          </cell>
          <cell r="D46" t="str">
            <v>M3</v>
          </cell>
          <cell r="P46">
            <v>934466.39</v>
          </cell>
        </row>
        <row r="47">
          <cell r="B47" t="str">
            <v>MA00045</v>
          </cell>
          <cell r="C47" t="str">
            <v>SUMINISTRO, FIGURADA Y AMARRE DE ACERO 60,000 PSI (420 Mpa)</v>
          </cell>
          <cell r="D47" t="str">
            <v>KG</v>
          </cell>
          <cell r="P47">
            <v>10439.61</v>
          </cell>
        </row>
        <row r="48">
          <cell r="B48" t="str">
            <v>MA00046</v>
          </cell>
          <cell r="C48" t="str">
            <v>BOCEL REMATES CERÁMICOS</v>
          </cell>
          <cell r="D48" t="str">
            <v>UND</v>
          </cell>
          <cell r="P48">
            <v>13416</v>
          </cell>
        </row>
        <row r="49">
          <cell r="B49" t="str">
            <v>MA00047</v>
          </cell>
          <cell r="C49" t="str">
            <v>BOQUILLA PARA JUNTAS</v>
          </cell>
          <cell r="D49" t="str">
            <v>KG</v>
          </cell>
          <cell r="P49">
            <v>7350</v>
          </cell>
        </row>
        <row r="50">
          <cell r="B50" t="str">
            <v>MA00048</v>
          </cell>
          <cell r="C50" t="str">
            <v>CERÁMICA COCINA</v>
          </cell>
          <cell r="D50" t="str">
            <v>M2</v>
          </cell>
          <cell r="P50">
            <v>40200</v>
          </cell>
        </row>
        <row r="51">
          <cell r="B51" t="str">
            <v>MA00049</v>
          </cell>
          <cell r="C51" t="str">
            <v>CERÁMICA PARA PISO PEI IV</v>
          </cell>
          <cell r="D51" t="str">
            <v>M2</v>
          </cell>
          <cell r="P51">
            <v>42708.98</v>
          </cell>
        </row>
        <row r="52">
          <cell r="B52" t="str">
            <v>MA00050</v>
          </cell>
          <cell r="C52" t="str">
            <v>ENCHAPE PORCELANATO</v>
          </cell>
          <cell r="D52" t="str">
            <v>M2</v>
          </cell>
          <cell r="P52">
            <v>75122.66</v>
          </cell>
        </row>
        <row r="53">
          <cell r="B53" t="str">
            <v>MA00051</v>
          </cell>
          <cell r="C53" t="str">
            <v>HILAZA</v>
          </cell>
          <cell r="D53" t="str">
            <v>KG</v>
          </cell>
          <cell r="P53">
            <v>5044</v>
          </cell>
        </row>
        <row r="54">
          <cell r="B54" t="str">
            <v>MA00052</v>
          </cell>
          <cell r="C54" t="str">
            <v>JUNTA PLÁSTICA PARA ENCAPE 3 MM</v>
          </cell>
          <cell r="D54" t="str">
            <v>UND</v>
          </cell>
          <cell r="P54">
            <v>67.5</v>
          </cell>
        </row>
        <row r="55">
          <cell r="B55" t="str">
            <v>MA00053</v>
          </cell>
          <cell r="C55" t="str">
            <v>NIVELADOR PLÁSTICO REUTILIZABLE</v>
          </cell>
          <cell r="D55" t="str">
            <v>UND</v>
          </cell>
          <cell r="P55">
            <v>1453.92</v>
          </cell>
        </row>
        <row r="56">
          <cell r="B56" t="str">
            <v>MA00054</v>
          </cell>
          <cell r="C56" t="str">
            <v>PEGANTE CERÁMICO (PEGACOR O SIMILAR)</v>
          </cell>
          <cell r="D56" t="str">
            <v>KG</v>
          </cell>
          <cell r="P56">
            <v>1397.76</v>
          </cell>
        </row>
        <row r="57">
          <cell r="B57" t="str">
            <v>MA00055</v>
          </cell>
          <cell r="C57" t="str">
            <v>PEGANTE PORCELÁNICO</v>
          </cell>
          <cell r="D57" t="str">
            <v>KG</v>
          </cell>
          <cell r="P57">
            <v>2990.79</v>
          </cell>
        </row>
        <row r="58">
          <cell r="B58" t="str">
            <v>MA00056</v>
          </cell>
          <cell r="C58" t="str">
            <v>MALLA ESLABONADA CAL. 10 DE 2" X 2"</v>
          </cell>
          <cell r="D58" t="str">
            <v>M2</v>
          </cell>
          <cell r="P58">
            <v>33440.47</v>
          </cell>
        </row>
        <row r="59">
          <cell r="B59" t="str">
            <v>MA00057</v>
          </cell>
          <cell r="C59" t="str">
            <v>CINTA TEFLÓN 10 m 1/2"</v>
          </cell>
          <cell r="D59" t="str">
            <v>RL</v>
          </cell>
          <cell r="P59">
            <v>2200</v>
          </cell>
        </row>
        <row r="60">
          <cell r="B60" t="str">
            <v>MA00058</v>
          </cell>
          <cell r="C60" t="str">
            <v>CAL</v>
          </cell>
          <cell r="D60" t="str">
            <v>KG</v>
          </cell>
          <cell r="P60">
            <v>1540</v>
          </cell>
        </row>
        <row r="61">
          <cell r="B61" t="str">
            <v>MA00059</v>
          </cell>
          <cell r="C61" t="str">
            <v>CEMENTO BLANCO</v>
          </cell>
          <cell r="D61" t="str">
            <v>KG</v>
          </cell>
          <cell r="P61">
            <v>2640</v>
          </cell>
        </row>
        <row r="62">
          <cell r="B62" t="str">
            <v>MA00060</v>
          </cell>
          <cell r="C62" t="str">
            <v>CEMENTO GRIS</v>
          </cell>
          <cell r="D62" t="str">
            <v>KG</v>
          </cell>
          <cell r="P62">
            <v>763.53</v>
          </cell>
        </row>
        <row r="63">
          <cell r="B63" t="str">
            <v>MA00061</v>
          </cell>
          <cell r="C63" t="str">
            <v>COSTAL DE POLIPROPILENO</v>
          </cell>
          <cell r="D63" t="str">
            <v>UND</v>
          </cell>
          <cell r="P63">
            <v>5000</v>
          </cell>
        </row>
        <row r="64">
          <cell r="B64" t="str">
            <v>MA00062</v>
          </cell>
          <cell r="C64" t="str">
            <v>AMARRE CAL.18</v>
          </cell>
          <cell r="D64" t="str">
            <v>UND</v>
          </cell>
          <cell r="P64">
            <v>500</v>
          </cell>
        </row>
        <row r="65">
          <cell r="B65" t="str">
            <v>MA00063</v>
          </cell>
          <cell r="C65" t="str">
            <v xml:space="preserve">CABALLETE MÁSTER 1000 2,00 M X 0,60 M </v>
          </cell>
          <cell r="D65" t="str">
            <v>UND</v>
          </cell>
          <cell r="P65">
            <v>42800</v>
          </cell>
        </row>
        <row r="66">
          <cell r="B66" t="str">
            <v>MA00064</v>
          </cell>
          <cell r="C66" t="str">
            <v xml:space="preserve">CUBIERTA ARQUITECTÓNICA TIPO ACESCO O SIMILAR 0.73 X 3,00 M CL 30 PREPINTADA </v>
          </cell>
          <cell r="D66" t="str">
            <v>UND</v>
          </cell>
          <cell r="P66">
            <v>91200</v>
          </cell>
        </row>
        <row r="67">
          <cell r="B67" t="str">
            <v>MA00065</v>
          </cell>
          <cell r="C67" t="str">
            <v>CUBIERTA EN LAMINA DE ZINC CAL. 35-15 DE 0,8 X 3,60 M</v>
          </cell>
          <cell r="D67" t="str">
            <v>UND</v>
          </cell>
          <cell r="P67">
            <v>43725</v>
          </cell>
        </row>
        <row r="68">
          <cell r="B68" t="str">
            <v>MA00066</v>
          </cell>
          <cell r="C68" t="str">
            <v>CUBIERTA MASTER 1000 1*3 M CAL.28 1,00 X 3,05 M PREPINTADA</v>
          </cell>
          <cell r="D68" t="str">
            <v>UND</v>
          </cell>
          <cell r="P68">
            <v>132200</v>
          </cell>
        </row>
        <row r="69">
          <cell r="B69" t="str">
            <v>MA00067</v>
          </cell>
          <cell r="C69" t="str">
            <v>TORNILLO AUTOPERFORANTE CON ARANDELA DE NEOPRENO DE 12 X 1-1/2"</v>
          </cell>
          <cell r="D69" t="str">
            <v>UND</v>
          </cell>
          <cell r="P69">
            <v>535.08000000000004</v>
          </cell>
        </row>
        <row r="70">
          <cell r="B70" t="str">
            <v>MA00068</v>
          </cell>
          <cell r="C70" t="str">
            <v>DISCO CORTE DE METAL 7"</v>
          </cell>
          <cell r="D70" t="str">
            <v>UND</v>
          </cell>
          <cell r="P70">
            <v>9750</v>
          </cell>
        </row>
        <row r="71">
          <cell r="B71" t="str">
            <v>MA00069</v>
          </cell>
          <cell r="C71" t="str">
            <v>DISCO DIAMANTADO ASFALTO-CONCRETO 350mm</v>
          </cell>
          <cell r="D71" t="str">
            <v>UND</v>
          </cell>
          <cell r="P71">
            <v>539656</v>
          </cell>
        </row>
        <row r="72">
          <cell r="B72" t="str">
            <v>MA00070</v>
          </cell>
          <cell r="C72" t="str">
            <v>DISCO DIAMANTADO DE 7"</v>
          </cell>
          <cell r="D72" t="str">
            <v>UND</v>
          </cell>
          <cell r="P72">
            <v>61464</v>
          </cell>
        </row>
        <row r="73">
          <cell r="B73" t="str">
            <v>MA00071</v>
          </cell>
          <cell r="C73" t="str">
            <v>GRATA CIRCULAR DE ALAMBRE 6"</v>
          </cell>
          <cell r="D73" t="str">
            <v>UND</v>
          </cell>
          <cell r="P73">
            <v>26650</v>
          </cell>
        </row>
        <row r="74">
          <cell r="B74" t="str">
            <v>MA00072</v>
          </cell>
          <cell r="C74" t="str">
            <v>DISOLVENTE THINNER</v>
          </cell>
          <cell r="D74" t="str">
            <v>GAL</v>
          </cell>
          <cell r="P74">
            <v>31200</v>
          </cell>
        </row>
        <row r="75">
          <cell r="B75" t="str">
            <v>MA00073</v>
          </cell>
          <cell r="C75" t="str">
            <v>ADAPTADOR TERMINAL PVC CONDUIT DE 1/2"</v>
          </cell>
          <cell r="D75" t="str">
            <v>UND</v>
          </cell>
          <cell r="P75">
            <v>750</v>
          </cell>
        </row>
        <row r="76">
          <cell r="B76" t="str">
            <v>MA00074</v>
          </cell>
          <cell r="C76" t="str">
            <v>BOMBILLO LED 15 W</v>
          </cell>
          <cell r="D76" t="str">
            <v>UND</v>
          </cell>
          <cell r="P76">
            <v>10500</v>
          </cell>
        </row>
        <row r="77">
          <cell r="B77" t="str">
            <v>MA00075</v>
          </cell>
          <cell r="C77" t="str">
            <v>CABLE DE COBRE AISLADO THHN/THWN AWG No. 12</v>
          </cell>
          <cell r="D77" t="str">
            <v>M</v>
          </cell>
          <cell r="P77">
            <v>3850</v>
          </cell>
        </row>
        <row r="78">
          <cell r="B78" t="str">
            <v>MA00076</v>
          </cell>
          <cell r="C78" t="str">
            <v>CAJA METÁLICA GALVANIZADA 2400 (4 X 4) CAL. 20</v>
          </cell>
          <cell r="D78" t="str">
            <v>UND</v>
          </cell>
          <cell r="P78">
            <v>3585.92</v>
          </cell>
        </row>
        <row r="79">
          <cell r="B79" t="str">
            <v>MA00077</v>
          </cell>
          <cell r="C79" t="str">
            <v>CAJA METÁLICA GALVANIZADA 5800 (2 X 4) CAL. 20</v>
          </cell>
          <cell r="D79" t="str">
            <v>UND</v>
          </cell>
          <cell r="P79">
            <v>2718.56</v>
          </cell>
        </row>
        <row r="80">
          <cell r="B80" t="str">
            <v>MA00078</v>
          </cell>
          <cell r="C80" t="str">
            <v>CAJA METÁLICA GALVANIZADA OCTAGONAL CAL. 20</v>
          </cell>
          <cell r="D80" t="str">
            <v>UND</v>
          </cell>
          <cell r="P80">
            <v>2364.96</v>
          </cell>
        </row>
        <row r="81">
          <cell r="B81" t="str">
            <v>MA00079</v>
          </cell>
          <cell r="C81" t="str">
            <v>CONECTOR TIPO RESORTE</v>
          </cell>
          <cell r="D81" t="str">
            <v>UND</v>
          </cell>
          <cell r="P81">
            <v>624</v>
          </cell>
        </row>
        <row r="82">
          <cell r="B82" t="str">
            <v>MA00080</v>
          </cell>
          <cell r="C82" t="str">
            <v>CURVA PVC CONDUIT 90° DE 1/2"</v>
          </cell>
          <cell r="D82" t="str">
            <v>UND</v>
          </cell>
          <cell r="P82">
            <v>1070.1600000000001</v>
          </cell>
        </row>
        <row r="83">
          <cell r="B83" t="str">
            <v>MA00081</v>
          </cell>
          <cell r="C83" t="str">
            <v>INTERRUPTOR DOBLE</v>
          </cell>
          <cell r="D83" t="str">
            <v>UND</v>
          </cell>
          <cell r="P83">
            <v>13260</v>
          </cell>
        </row>
        <row r="84">
          <cell r="B84" t="str">
            <v>MA00082</v>
          </cell>
          <cell r="C84" t="str">
            <v>INTERRUPTOR SENCILLO</v>
          </cell>
          <cell r="D84" t="str">
            <v>UND</v>
          </cell>
          <cell r="P84">
            <v>8400</v>
          </cell>
        </row>
        <row r="85">
          <cell r="B85" t="str">
            <v>MA00083</v>
          </cell>
          <cell r="C85" t="str">
            <v>ROSETA (PLAFÓN)</v>
          </cell>
          <cell r="D85" t="str">
            <v>UND</v>
          </cell>
          <cell r="P85">
            <v>2773.68</v>
          </cell>
        </row>
        <row r="86">
          <cell r="B86" t="str">
            <v>MA00084</v>
          </cell>
          <cell r="C86" t="str">
            <v>SUPLEMENTO CAJA DOBLE MET.GALV.2400</v>
          </cell>
          <cell r="D86" t="str">
            <v>UND</v>
          </cell>
          <cell r="P86">
            <v>2098.7199999999998</v>
          </cell>
        </row>
        <row r="87">
          <cell r="B87" t="str">
            <v>MA00085</v>
          </cell>
          <cell r="C87" t="str">
            <v>TOMACORRIENTE DOBLE CON POLO A TIERRA</v>
          </cell>
          <cell r="D87" t="str">
            <v>UND</v>
          </cell>
          <cell r="P87">
            <v>12003.68</v>
          </cell>
        </row>
        <row r="88">
          <cell r="B88" t="str">
            <v>MA00086</v>
          </cell>
          <cell r="C88" t="str">
            <v>TOMACORRIENTE GFCI</v>
          </cell>
          <cell r="D88" t="str">
            <v>UND</v>
          </cell>
          <cell r="P88">
            <v>58584.24</v>
          </cell>
        </row>
        <row r="89">
          <cell r="B89" t="str">
            <v>MA00087</v>
          </cell>
          <cell r="C89" t="str">
            <v>TUBERÍA CONDUIT PVC 1/2" DB</v>
          </cell>
          <cell r="D89" t="str">
            <v>M</v>
          </cell>
          <cell r="P89">
            <v>3850</v>
          </cell>
        </row>
        <row r="90">
          <cell r="B90" t="str">
            <v>MA00088</v>
          </cell>
          <cell r="C90" t="str">
            <v>UNION CONDUIT PVC 1/2"</v>
          </cell>
          <cell r="D90" t="str">
            <v>UND</v>
          </cell>
          <cell r="P90">
            <v>682.24</v>
          </cell>
        </row>
        <row r="91">
          <cell r="B91" t="str">
            <v>MA00089</v>
          </cell>
          <cell r="C91" t="str">
            <v>BISAGRA COMÚN 2"</v>
          </cell>
          <cell r="D91" t="str">
            <v>UND</v>
          </cell>
          <cell r="P91">
            <v>3850</v>
          </cell>
        </row>
        <row r="92">
          <cell r="B92" t="str">
            <v>MA00090</v>
          </cell>
          <cell r="C92" t="str">
            <v>BISAGRA COMÚN 3"</v>
          </cell>
          <cell r="D92" t="str">
            <v>UND</v>
          </cell>
          <cell r="P92">
            <v>6600</v>
          </cell>
        </row>
        <row r="93">
          <cell r="B93" t="str">
            <v>MA00091</v>
          </cell>
          <cell r="C93" t="str">
            <v>MANIJA PARA VENTANA</v>
          </cell>
          <cell r="D93" t="str">
            <v>UND</v>
          </cell>
          <cell r="P93">
            <v>9350</v>
          </cell>
        </row>
        <row r="94">
          <cell r="B94" t="str">
            <v>MA00092</v>
          </cell>
          <cell r="C94" t="str">
            <v>PASADOR MANUAL ROBUSTO METALICO 2 1/2" (6,30 cm) TOP FORGE PF0208</v>
          </cell>
          <cell r="D94" t="str">
            <v>UND</v>
          </cell>
          <cell r="P94">
            <v>10000</v>
          </cell>
        </row>
        <row r="95">
          <cell r="B95" t="str">
            <v>MA00093</v>
          </cell>
          <cell r="C95" t="str">
            <v>CHAZO EXPANSIVO DE 3/8 X 2" PARA ANCLAJE</v>
          </cell>
          <cell r="D95" t="str">
            <v>UND</v>
          </cell>
          <cell r="P95">
            <v>1947.4</v>
          </cell>
        </row>
        <row r="96">
          <cell r="B96" t="str">
            <v>MA00094</v>
          </cell>
          <cell r="C96" t="str">
            <v>PUNTILLA 1-1/2"</v>
          </cell>
          <cell r="D96" t="str">
            <v>LB</v>
          </cell>
          <cell r="P96">
            <v>6600</v>
          </cell>
        </row>
        <row r="97">
          <cell r="B97" t="str">
            <v>MA00095</v>
          </cell>
          <cell r="C97" t="str">
            <v>PUNTILLA 2-1/2"</v>
          </cell>
          <cell r="D97" t="str">
            <v>LB</v>
          </cell>
          <cell r="P97">
            <v>6600</v>
          </cell>
        </row>
        <row r="98">
          <cell r="B98" t="str">
            <v>MA00096</v>
          </cell>
          <cell r="C98" t="str">
            <v>GEOTEXTIL NT 1600</v>
          </cell>
          <cell r="D98" t="str">
            <v>M2</v>
          </cell>
          <cell r="P98">
            <v>5520.28</v>
          </cell>
        </row>
        <row r="99">
          <cell r="B99" t="str">
            <v>MA00097</v>
          </cell>
          <cell r="C99" t="str">
            <v>GEOTEXTIL TEJIDO CON RESISTENCIA A LA ROTURA 45.2 KN/M T2400</v>
          </cell>
          <cell r="D99" t="str">
            <v>M2</v>
          </cell>
          <cell r="P99">
            <v>8961.48</v>
          </cell>
        </row>
        <row r="100">
          <cell r="B100" t="str">
            <v>MA00098</v>
          </cell>
          <cell r="C100" t="str">
            <v>HILO EN POLIPROPILENO ROLLO X 100 M</v>
          </cell>
          <cell r="D100" t="str">
            <v>UND</v>
          </cell>
          <cell r="P100">
            <v>9000</v>
          </cell>
        </row>
        <row r="101">
          <cell r="B101" t="str">
            <v>MA00099</v>
          </cell>
          <cell r="C101" t="str">
            <v>ADAPTADOR MACHO PVC DE 1/2"</v>
          </cell>
          <cell r="D101" t="str">
            <v>UND</v>
          </cell>
          <cell r="P101">
            <v>618.28</v>
          </cell>
        </row>
        <row r="102">
          <cell r="B102" t="str">
            <v>MA00100</v>
          </cell>
          <cell r="C102" t="str">
            <v>ADAPTADOR MACHO PVC DE 3/4"</v>
          </cell>
          <cell r="D102" t="str">
            <v>UND</v>
          </cell>
          <cell r="P102">
            <v>1126.8399999999999</v>
          </cell>
        </row>
        <row r="103">
          <cell r="B103" t="str">
            <v>MA00101</v>
          </cell>
          <cell r="C103" t="str">
            <v>CODO PVC DE 1/2" T.P.</v>
          </cell>
          <cell r="D103" t="str">
            <v>UND</v>
          </cell>
          <cell r="P103">
            <v>895.96</v>
          </cell>
        </row>
        <row r="104">
          <cell r="B104" t="str">
            <v>MA00102</v>
          </cell>
          <cell r="C104" t="str">
            <v>CODO PVC DE 3/4" T.P.</v>
          </cell>
          <cell r="D104" t="str">
            <v>UND</v>
          </cell>
          <cell r="P104">
            <v>1435.72</v>
          </cell>
        </row>
        <row r="105">
          <cell r="B105" t="str">
            <v>MA00103</v>
          </cell>
          <cell r="C105" t="str">
            <v>TANQUE DE ALMACENAMIENTO DE 250 L. (INCLUYE ACCESORIOS DE CONEXIÓN).</v>
          </cell>
          <cell r="D105" t="str">
            <v>UND</v>
          </cell>
          <cell r="P105">
            <v>299375.44</v>
          </cell>
        </row>
        <row r="106">
          <cell r="B106" t="str">
            <v>MA00104</v>
          </cell>
          <cell r="C106" t="str">
            <v>TANQUE DE ALMACENAMIENTO DE 500 L. (INCLUYE ACCESORIOS DE CONEXIÓN).</v>
          </cell>
          <cell r="D106" t="str">
            <v>UND</v>
          </cell>
          <cell r="P106">
            <v>356089.24</v>
          </cell>
        </row>
        <row r="107">
          <cell r="B107" t="str">
            <v>MA00105</v>
          </cell>
          <cell r="C107" t="str">
            <v>TAPÓN PVC ROSCADO 1/2"</v>
          </cell>
          <cell r="D107" t="str">
            <v>UND</v>
          </cell>
          <cell r="P107">
            <v>800</v>
          </cell>
        </row>
        <row r="108">
          <cell r="B108" t="str">
            <v>MA00106</v>
          </cell>
          <cell r="C108" t="str">
            <v>TAPÓN PVC ROSCADO 3/4"</v>
          </cell>
          <cell r="D108" t="str">
            <v>UND</v>
          </cell>
          <cell r="P108">
            <v>1100</v>
          </cell>
        </row>
        <row r="109">
          <cell r="B109" t="str">
            <v>MA00107</v>
          </cell>
          <cell r="C109" t="str">
            <v>TEE PVC DE 1/2" T.P.</v>
          </cell>
          <cell r="D109" t="str">
            <v>UND</v>
          </cell>
          <cell r="P109">
            <v>1183.52</v>
          </cell>
        </row>
        <row r="110">
          <cell r="B110" t="str">
            <v>MA00108</v>
          </cell>
          <cell r="C110" t="str">
            <v>TEE PVC DE 3/4" T.P.</v>
          </cell>
          <cell r="D110" t="str">
            <v>UND</v>
          </cell>
          <cell r="P110">
            <v>1997.84</v>
          </cell>
        </row>
        <row r="111">
          <cell r="B111" t="str">
            <v>MA00109</v>
          </cell>
          <cell r="C111" t="str">
            <v>TUBERÍA PVC DE 1/2". T.P. (RDE. 9)</v>
          </cell>
          <cell r="D111" t="str">
            <v>M</v>
          </cell>
          <cell r="P111">
            <v>5399.16</v>
          </cell>
        </row>
        <row r="112">
          <cell r="B112" t="str">
            <v>MA00110</v>
          </cell>
          <cell r="C112" t="str">
            <v>TUBERÍA PVC DE 3/4". T.P. (RDE. 11)</v>
          </cell>
          <cell r="D112" t="str">
            <v>M</v>
          </cell>
          <cell r="P112">
            <v>7178.52</v>
          </cell>
        </row>
        <row r="113">
          <cell r="B113" t="str">
            <v>MA00111</v>
          </cell>
          <cell r="C113" t="str">
            <v>UNION DE 1/2"</v>
          </cell>
          <cell r="D113" t="str">
            <v>UND</v>
          </cell>
          <cell r="P113">
            <v>900</v>
          </cell>
        </row>
        <row r="114">
          <cell r="B114" t="str">
            <v>MA00112</v>
          </cell>
          <cell r="C114" t="str">
            <v>UNION DE 3/4"</v>
          </cell>
          <cell r="D114" t="str">
            <v>UND</v>
          </cell>
          <cell r="P114">
            <v>1350</v>
          </cell>
        </row>
        <row r="115">
          <cell r="B115" t="str">
            <v>MA00113</v>
          </cell>
          <cell r="C115" t="str">
            <v>VÁLVULA CON FLOTADOR PARA TANQUE ELEVADO</v>
          </cell>
          <cell r="D115" t="str">
            <v>UND</v>
          </cell>
          <cell r="P115">
            <v>69518.8</v>
          </cell>
        </row>
        <row r="116">
          <cell r="B116" t="str">
            <v>MA00114</v>
          </cell>
          <cell r="C116" t="str">
            <v>BRIDA FLEXIBLE PARA INSTALACIÓN DE SANITARIO</v>
          </cell>
          <cell r="D116" t="str">
            <v>UND</v>
          </cell>
          <cell r="P116">
            <v>55016</v>
          </cell>
        </row>
        <row r="117">
          <cell r="B117" t="str">
            <v>MA00115</v>
          </cell>
          <cell r="C117" t="str">
            <v>CODO SANITARIO DE 2" PVC</v>
          </cell>
          <cell r="D117" t="str">
            <v>UND</v>
          </cell>
          <cell r="P117">
            <v>4619.68</v>
          </cell>
        </row>
        <row r="118">
          <cell r="B118" t="str">
            <v>MA00116</v>
          </cell>
          <cell r="C118" t="str">
            <v>CODO SANITARIO DE 3" PVC</v>
          </cell>
          <cell r="D118" t="str">
            <v>UND</v>
          </cell>
          <cell r="P118">
            <v>10696.4</v>
          </cell>
        </row>
        <row r="119">
          <cell r="B119" t="str">
            <v>MA00117</v>
          </cell>
          <cell r="C119" t="str">
            <v>CODO SANITARIO DE 4" PVC</v>
          </cell>
          <cell r="D119" t="str">
            <v>UND</v>
          </cell>
          <cell r="P119">
            <v>18542.68</v>
          </cell>
        </row>
        <row r="120">
          <cell r="B120" t="str">
            <v>MA00118</v>
          </cell>
          <cell r="C120" t="str">
            <v>COMBO SANITARIO + LAVAMANOS BLANCO+DUCHA. (INCLUYE GRIFERÍAS).</v>
          </cell>
          <cell r="D120" t="str">
            <v>UND</v>
          </cell>
          <cell r="P120">
            <v>509000</v>
          </cell>
        </row>
        <row r="121">
          <cell r="B121" t="str">
            <v>MA00119</v>
          </cell>
          <cell r="C121" t="str">
            <v>DUCHA CON LLAVE SENCILLA</v>
          </cell>
          <cell r="D121" t="str">
            <v>UND</v>
          </cell>
          <cell r="P121">
            <v>84090.58</v>
          </cell>
        </row>
        <row r="122">
          <cell r="B122" t="str">
            <v>MA00120</v>
          </cell>
          <cell r="C122" t="str">
            <v>LAVAMANOS BLANCO DE COLGAR. INCLUYE GRAPAS DE ANCLAJE</v>
          </cell>
          <cell r="D122" t="str">
            <v>UND</v>
          </cell>
          <cell r="P122">
            <v>118600</v>
          </cell>
        </row>
        <row r="123">
          <cell r="B123" t="str">
            <v>MA00121</v>
          </cell>
          <cell r="C123" t="str">
            <v>LAVAPLATOS ACERO INOXIDABLE 0.50 X 0.35 M</v>
          </cell>
          <cell r="D123" t="str">
            <v>UND</v>
          </cell>
          <cell r="P123">
            <v>96616</v>
          </cell>
        </row>
        <row r="124">
          <cell r="B124" t="str">
            <v>MA00122</v>
          </cell>
          <cell r="C124" t="str">
            <v>LAVAPLATOS ACERO INOXIDABLE 0.6 X 0.40 M</v>
          </cell>
          <cell r="D124" t="str">
            <v>UND</v>
          </cell>
          <cell r="P124">
            <v>113300</v>
          </cell>
        </row>
        <row r="125">
          <cell r="B125" t="str">
            <v>MA00123</v>
          </cell>
          <cell r="C125" t="str">
            <v>LAVAPLATOS ACERO INOXIDABLE 1.00 MX 0.50 M DOBLE POCETA</v>
          </cell>
          <cell r="D125" t="str">
            <v>UND</v>
          </cell>
          <cell r="P125">
            <v>640536</v>
          </cell>
        </row>
        <row r="126">
          <cell r="B126" t="str">
            <v>MA00124</v>
          </cell>
          <cell r="C126" t="str">
            <v>MESÓN EN ACERO INOXIDABLE POCETA  (Incluye grifería)</v>
          </cell>
          <cell r="D126" t="str">
            <v>UND</v>
          </cell>
          <cell r="P126">
            <v>423176</v>
          </cell>
        </row>
        <row r="127">
          <cell r="B127" t="str">
            <v>MA00125</v>
          </cell>
          <cell r="C127" t="str">
            <v>ORINAL MEDIANO COMPLETO (Incluye grifería)</v>
          </cell>
          <cell r="D127" t="str">
            <v>UND</v>
          </cell>
          <cell r="P127">
            <v>483496</v>
          </cell>
        </row>
        <row r="128">
          <cell r="B128" t="str">
            <v>MA00126</v>
          </cell>
          <cell r="C128" t="str">
            <v>REJILLA DE PISO PVC DE 3 X 2"</v>
          </cell>
          <cell r="D128" t="str">
            <v>UND</v>
          </cell>
          <cell r="P128">
            <v>3494.4</v>
          </cell>
        </row>
        <row r="129">
          <cell r="B129" t="str">
            <v>MA00127</v>
          </cell>
          <cell r="C129" t="str">
            <v>REJILLA DE PISO PVC DE 4 X 3"</v>
          </cell>
          <cell r="D129" t="str">
            <v>UND</v>
          </cell>
          <cell r="P129">
            <v>6895.72</v>
          </cell>
        </row>
        <row r="130">
          <cell r="B130" t="str">
            <v>MA00128</v>
          </cell>
          <cell r="C130" t="str">
            <v>SANITARIO SENCILLO BLANCO (INCLUYE ACCESORIOS DE CONEXIÓN)</v>
          </cell>
          <cell r="D130" t="str">
            <v>UND</v>
          </cell>
          <cell r="P130">
            <v>268216</v>
          </cell>
        </row>
        <row r="131">
          <cell r="B131" t="str">
            <v>MA00129</v>
          </cell>
          <cell r="C131" t="str">
            <v>SIFÓN SANITARIO DE 2" PVC</v>
          </cell>
          <cell r="D131" t="str">
            <v>UND</v>
          </cell>
          <cell r="P131">
            <v>12527.32</v>
          </cell>
        </row>
        <row r="132">
          <cell r="B132" t="str">
            <v>MA00130</v>
          </cell>
          <cell r="C132" t="str">
            <v>SIFÓN SANITARIO DE 3" PVC</v>
          </cell>
          <cell r="D132" t="str">
            <v>UND</v>
          </cell>
          <cell r="P132">
            <v>15758.6</v>
          </cell>
        </row>
        <row r="133">
          <cell r="B133" t="str">
            <v>MA00131</v>
          </cell>
          <cell r="C133" t="str">
            <v>SIFÓN SANITARIO DE 4" PVC</v>
          </cell>
          <cell r="D133" t="str">
            <v>UND</v>
          </cell>
          <cell r="P133">
            <v>33616.959999999999</v>
          </cell>
        </row>
        <row r="134">
          <cell r="B134" t="str">
            <v>MA00132</v>
          </cell>
          <cell r="C134" t="str">
            <v>TEE SENCILLA SANITARIA DE 2" PVC</v>
          </cell>
          <cell r="D134" t="str">
            <v>UND</v>
          </cell>
          <cell r="P134">
            <v>10013.82</v>
          </cell>
        </row>
        <row r="135">
          <cell r="B135" t="str">
            <v>MA00133</v>
          </cell>
          <cell r="C135" t="str">
            <v>TEE SENCILLA SANITARIA DE 3" PVC</v>
          </cell>
          <cell r="D135" t="str">
            <v>UND</v>
          </cell>
          <cell r="P135">
            <v>12577.76</v>
          </cell>
        </row>
        <row r="136">
          <cell r="B136" t="str">
            <v>MA00134</v>
          </cell>
          <cell r="C136" t="str">
            <v>TEE SENCILLA SANITARIA DE 4" PVC</v>
          </cell>
          <cell r="D136" t="str">
            <v>UND</v>
          </cell>
          <cell r="P136">
            <v>26235.74</v>
          </cell>
        </row>
        <row r="137">
          <cell r="B137" t="str">
            <v>MA00135</v>
          </cell>
          <cell r="C137" t="str">
            <v>TUBERÍA PVC CORRUGADA PARA DRENAJE DE 4" (100 MM)</v>
          </cell>
          <cell r="D137" t="str">
            <v>M</v>
          </cell>
          <cell r="P137">
            <v>26398.84</v>
          </cell>
        </row>
        <row r="138">
          <cell r="B138" t="str">
            <v>MA00136</v>
          </cell>
          <cell r="C138" t="str">
            <v>TUBERÍA PVC DE 2". T.P.</v>
          </cell>
          <cell r="D138" t="str">
            <v>UND</v>
          </cell>
          <cell r="P138">
            <v>24174.62</v>
          </cell>
        </row>
        <row r="139">
          <cell r="B139" t="str">
            <v>MA00137</v>
          </cell>
          <cell r="C139" t="str">
            <v>TUBERÍA SANITARIA DE 3" PVC T.P.</v>
          </cell>
          <cell r="D139" t="str">
            <v>M</v>
          </cell>
          <cell r="P139">
            <v>25832.560000000001</v>
          </cell>
        </row>
        <row r="140">
          <cell r="B140" t="str">
            <v>MA00138</v>
          </cell>
          <cell r="C140" t="str">
            <v>TUBERÍA SANITARIA DE 4" PVC T.P.</v>
          </cell>
          <cell r="D140" t="str">
            <v>M</v>
          </cell>
          <cell r="P140">
            <v>36360.82</v>
          </cell>
        </row>
        <row r="141">
          <cell r="B141" t="str">
            <v>MA00139</v>
          </cell>
          <cell r="C141" t="str">
            <v>UNIÓN PVC SANITARIA DE 2"</v>
          </cell>
          <cell r="D141" t="str">
            <v>UND</v>
          </cell>
          <cell r="P141">
            <v>3960.32</v>
          </cell>
        </row>
        <row r="142">
          <cell r="B142" t="str">
            <v>MA00140</v>
          </cell>
          <cell r="C142" t="str">
            <v>UNIÓN PVC SANITARIA DE 3"</v>
          </cell>
          <cell r="D142" t="str">
            <v>UND</v>
          </cell>
          <cell r="P142">
            <v>5706.82</v>
          </cell>
        </row>
        <row r="143">
          <cell r="B143" t="str">
            <v>MA00141</v>
          </cell>
          <cell r="C143" t="str">
            <v>UNIÓN PVC SANITARIA DE 4"</v>
          </cell>
          <cell r="D143" t="str">
            <v>UND</v>
          </cell>
          <cell r="P143">
            <v>11471.54</v>
          </cell>
        </row>
        <row r="144">
          <cell r="B144" t="str">
            <v>MA00142</v>
          </cell>
          <cell r="C144" t="str">
            <v>LIMPIADOR PVC X 1/4 (ELÉCTRICO)</v>
          </cell>
          <cell r="D144" t="str">
            <v>UND</v>
          </cell>
          <cell r="P144">
            <v>47471.839999999997</v>
          </cell>
        </row>
        <row r="145">
          <cell r="B145" t="str">
            <v>MA00143</v>
          </cell>
          <cell r="C145" t="str">
            <v>REMOVEDOR PVC (LIMPIADOR 1/4 )</v>
          </cell>
          <cell r="D145" t="str">
            <v>GAL</v>
          </cell>
          <cell r="P145">
            <v>54704</v>
          </cell>
        </row>
        <row r="146">
          <cell r="B146" t="str">
            <v>MA00144</v>
          </cell>
          <cell r="C146" t="str">
            <v>LUBRICANTE PARA ALAMBRADO DE CABLES</v>
          </cell>
          <cell r="D146" t="str">
            <v>UND</v>
          </cell>
          <cell r="P146">
            <v>34008</v>
          </cell>
        </row>
        <row r="147">
          <cell r="B147" t="str">
            <v>MA00145</v>
          </cell>
          <cell r="C147" t="str">
            <v>LUBRICANTE TUB PVC/500GR</v>
          </cell>
          <cell r="D147" t="str">
            <v>UND</v>
          </cell>
          <cell r="P147">
            <v>32179.16</v>
          </cell>
        </row>
        <row r="148">
          <cell r="B148" t="str">
            <v>MA00146</v>
          </cell>
          <cell r="C148" t="str">
            <v>ESTACA EN MADERA H=0,50 m</v>
          </cell>
          <cell r="D148" t="str">
            <v>UND</v>
          </cell>
          <cell r="P148">
            <v>2400</v>
          </cell>
        </row>
        <row r="149">
          <cell r="B149" t="str">
            <v>MA00147</v>
          </cell>
          <cell r="C149" t="str">
            <v>ESTIBA EN MADERA PARA FORMALETA, DIM. 0,70 m x 1,40 m</v>
          </cell>
          <cell r="D149" t="str">
            <v>UND</v>
          </cell>
          <cell r="P149">
            <v>58000</v>
          </cell>
        </row>
        <row r="150">
          <cell r="B150" t="str">
            <v>MA00148</v>
          </cell>
          <cell r="C150" t="str">
            <v>LISTÓN DE MADERA 2" x 2" x 3 m</v>
          </cell>
          <cell r="D150" t="str">
            <v>UND</v>
          </cell>
          <cell r="P150">
            <v>9900</v>
          </cell>
        </row>
        <row r="151">
          <cell r="B151" t="str">
            <v>MA00149</v>
          </cell>
          <cell r="C151" t="str">
            <v>LISTÓN DE MADERA 2" x 4" x 3 m</v>
          </cell>
          <cell r="D151" t="str">
            <v>UND</v>
          </cell>
          <cell r="P151">
            <v>17000</v>
          </cell>
        </row>
        <row r="152">
          <cell r="B152" t="str">
            <v>MA00150</v>
          </cell>
          <cell r="C152" t="str">
            <v>TABLA BURRA ORDINARIA 10" x 1" x 3m</v>
          </cell>
          <cell r="D152" t="str">
            <v>UND</v>
          </cell>
          <cell r="P152">
            <v>22000</v>
          </cell>
        </row>
        <row r="153">
          <cell r="B153" t="str">
            <v>MA00151</v>
          </cell>
          <cell r="C153" t="str">
            <v>BLOQUE No 4 ESTÁNDAR (0,10x0,20x0,30 m)</v>
          </cell>
          <cell r="D153" t="str">
            <v>UND</v>
          </cell>
          <cell r="P153">
            <v>1847.74</v>
          </cell>
        </row>
        <row r="154">
          <cell r="B154" t="str">
            <v>MA00152</v>
          </cell>
          <cell r="C154" t="str">
            <v>LADRILLO TOLETE COMÚN (20 x 10 x 6 cm)</v>
          </cell>
          <cell r="D154" t="str">
            <v>UND</v>
          </cell>
          <cell r="P154">
            <v>1250</v>
          </cell>
        </row>
        <row r="155">
          <cell r="B155" t="str">
            <v>MA00153</v>
          </cell>
          <cell r="C155" t="str">
            <v>ANGULO 1-1/2" X 1/8"</v>
          </cell>
          <cell r="D155" t="str">
            <v>M</v>
          </cell>
          <cell r="P155">
            <v>12312.5</v>
          </cell>
        </row>
        <row r="156">
          <cell r="B156" t="str">
            <v>MA00154</v>
          </cell>
          <cell r="C156" t="str">
            <v>ANGULO 3/4" X 1/8"</v>
          </cell>
          <cell r="D156" t="str">
            <v>M</v>
          </cell>
          <cell r="P156">
            <v>4241.67</v>
          </cell>
        </row>
        <row r="157">
          <cell r="B157" t="str">
            <v>MA00155</v>
          </cell>
          <cell r="C157" t="str">
            <v>ANGULO 30 X 30 X 4.5 MM (1-1/4" X 3/16")</v>
          </cell>
          <cell r="D157" t="str">
            <v>M</v>
          </cell>
          <cell r="P157">
            <v>14511.64</v>
          </cell>
        </row>
        <row r="158">
          <cell r="B158" t="str">
            <v>MA00156</v>
          </cell>
          <cell r="C158" t="str">
            <v>CANAL GALVANIZADA CAL. 20, PREFABRICADA SEGÚN DISEÑO</v>
          </cell>
          <cell r="D158" t="str">
            <v>M</v>
          </cell>
          <cell r="P158">
            <v>26000</v>
          </cell>
        </row>
        <row r="159">
          <cell r="B159" t="str">
            <v>MA00157</v>
          </cell>
          <cell r="C159" t="str">
            <v>LAMINA COLL ROLLED CAL 18 (0,85mm) 1x2 m</v>
          </cell>
          <cell r="D159" t="str">
            <v>UND</v>
          </cell>
          <cell r="P159">
            <v>123750</v>
          </cell>
        </row>
        <row r="160">
          <cell r="B160" t="str">
            <v>MA00158</v>
          </cell>
          <cell r="C160" t="str">
            <v>PERFIL M225 DE 10 cm CAL. 18</v>
          </cell>
          <cell r="D160" t="str">
            <v>M</v>
          </cell>
          <cell r="P160">
            <v>15750</v>
          </cell>
        </row>
        <row r="161">
          <cell r="B161" t="str">
            <v>MA00159</v>
          </cell>
          <cell r="C161" t="str">
            <v>TUBERÍA GALVANIZADA PARA CERRAMIENTO DE 2" X 6 M</v>
          </cell>
          <cell r="D161" t="str">
            <v>M</v>
          </cell>
          <cell r="P161">
            <v>17478.990000000002</v>
          </cell>
        </row>
        <row r="162">
          <cell r="B162" t="str">
            <v>MA00160</v>
          </cell>
          <cell r="C162" t="str">
            <v>TUBO CUADRADO 1" x 1" CAL.18</v>
          </cell>
          <cell r="D162" t="str">
            <v>M</v>
          </cell>
          <cell r="P162">
            <v>24750</v>
          </cell>
        </row>
        <row r="163">
          <cell r="B163" t="str">
            <v>MA00161</v>
          </cell>
          <cell r="C163" t="str">
            <v>TUBO CUADRADO ESTRUCTURAL HR50 4mm 0,10X0,10 M</v>
          </cell>
          <cell r="D163" t="str">
            <v>M</v>
          </cell>
          <cell r="P163">
            <v>35689.17</v>
          </cell>
        </row>
        <row r="164">
          <cell r="B164" t="str">
            <v>MA00162</v>
          </cell>
          <cell r="C164" t="str">
            <v>TUBO RECTANGULAR DE 3" x 1 1/2" CAL.18</v>
          </cell>
          <cell r="D164" t="str">
            <v>M</v>
          </cell>
          <cell r="P164">
            <v>13517.78</v>
          </cell>
        </row>
        <row r="165">
          <cell r="B165" t="str">
            <v>MA00163</v>
          </cell>
          <cell r="C165" t="str">
            <v>ANTICORROSIVO PRIMER</v>
          </cell>
          <cell r="D165" t="str">
            <v>GAL</v>
          </cell>
          <cell r="P165">
            <v>178200</v>
          </cell>
        </row>
        <row r="166">
          <cell r="B166" t="str">
            <v>MA00164</v>
          </cell>
          <cell r="C166" t="str">
            <v>ESFERAS REFLECTIVAS</v>
          </cell>
          <cell r="D166" t="str">
            <v>KG</v>
          </cell>
          <cell r="P166">
            <v>30100</v>
          </cell>
        </row>
        <row r="167">
          <cell r="B167" t="str">
            <v>MA00165</v>
          </cell>
          <cell r="C167" t="str">
            <v>ESMALTE ROJO FIESTA P-30</v>
          </cell>
          <cell r="D167" t="str">
            <v>GAL</v>
          </cell>
          <cell r="P167">
            <v>106200</v>
          </cell>
        </row>
        <row r="168">
          <cell r="B168" t="str">
            <v>MA00166</v>
          </cell>
          <cell r="C168" t="str">
            <v>PINTURA ACRÍLICA BASE AGUA PARA DEMARCACIÓN</v>
          </cell>
          <cell r="D168" t="str">
            <v>GAL</v>
          </cell>
          <cell r="P168">
            <v>159384.16</v>
          </cell>
        </row>
        <row r="169">
          <cell r="B169" t="str">
            <v>MA00167</v>
          </cell>
          <cell r="C169" t="str">
            <v>PINTURA ANTICORROSIVO</v>
          </cell>
          <cell r="D169" t="str">
            <v>GAL</v>
          </cell>
          <cell r="P169">
            <v>61200</v>
          </cell>
        </row>
        <row r="170">
          <cell r="B170" t="str">
            <v>MA00168</v>
          </cell>
          <cell r="C170" t="str">
            <v>PINTURA DEMARCACIÓN TIPO TRÁFICO</v>
          </cell>
          <cell r="D170" t="str">
            <v>GAL</v>
          </cell>
          <cell r="P170">
            <v>160923.01999999999</v>
          </cell>
        </row>
        <row r="171">
          <cell r="B171" t="str">
            <v>MA00169</v>
          </cell>
          <cell r="C171" t="str">
            <v>PINTURA ESMALTE SINTÉTICO TIPO I</v>
          </cell>
          <cell r="D171" t="str">
            <v>GAL</v>
          </cell>
          <cell r="P171">
            <v>96598.66</v>
          </cell>
        </row>
        <row r="172">
          <cell r="B172" t="str">
            <v>MA00170</v>
          </cell>
          <cell r="C172" t="str">
            <v>PINTURA VINILO TIPO 1</v>
          </cell>
          <cell r="D172" t="str">
            <v>GAL</v>
          </cell>
          <cell r="P172">
            <v>78587.94</v>
          </cell>
        </row>
        <row r="173">
          <cell r="B173" t="str">
            <v>MA00171</v>
          </cell>
          <cell r="C173" t="str">
            <v>RODILLO 9"</v>
          </cell>
          <cell r="D173" t="str">
            <v>UND</v>
          </cell>
          <cell r="P173">
            <v>8250</v>
          </cell>
        </row>
        <row r="174">
          <cell r="B174" t="str">
            <v>MA00172</v>
          </cell>
          <cell r="C174" t="str">
            <v>SARDINEL PREFABRICADO A-10</v>
          </cell>
          <cell r="D174" t="str">
            <v>UND</v>
          </cell>
          <cell r="P174">
            <v>44413.2</v>
          </cell>
        </row>
        <row r="175">
          <cell r="B175" t="str">
            <v>MA00173</v>
          </cell>
          <cell r="C175" t="str">
            <v>SARDINEL PREFABRICADO A-100</v>
          </cell>
          <cell r="D175" t="str">
            <v>UND</v>
          </cell>
          <cell r="P175">
            <v>41156.44</v>
          </cell>
        </row>
        <row r="176">
          <cell r="B176" t="str">
            <v>MA00174</v>
          </cell>
          <cell r="C176" t="str">
            <v>SARDINEL PREFABRICADO A-85</v>
          </cell>
          <cell r="D176" t="str">
            <v>UND</v>
          </cell>
          <cell r="P176">
            <v>38143.040000000001</v>
          </cell>
        </row>
        <row r="177">
          <cell r="B177" t="str">
            <v>MA00175</v>
          </cell>
          <cell r="C177" t="str">
            <v>SILICONA LIQUIDA 300 ML</v>
          </cell>
          <cell r="D177" t="str">
            <v>UND</v>
          </cell>
          <cell r="P177">
            <v>10350</v>
          </cell>
        </row>
        <row r="178">
          <cell r="B178" t="str">
            <v>MA00176</v>
          </cell>
          <cell r="C178" t="str">
            <v>SELLANTE POLIURETANO TIPO SIKA FLEX PRO 3WF O SIMILAR</v>
          </cell>
          <cell r="D178" t="str">
            <v>UND</v>
          </cell>
          <cell r="P178">
            <v>37509.339999999997</v>
          </cell>
        </row>
        <row r="179">
          <cell r="B179" t="str">
            <v>MA00177</v>
          </cell>
          <cell r="C179" t="str">
            <v>ESPUMA DE POLIETILENO TIPO SIKA-ROD</v>
          </cell>
          <cell r="D179" t="str">
            <v>M</v>
          </cell>
          <cell r="P179">
            <v>1878.3</v>
          </cell>
        </row>
        <row r="180">
          <cell r="B180" t="str">
            <v>MA00178</v>
          </cell>
          <cell r="C180" t="str">
            <v>SELLANTE POLIURETANO TIPO SIKA FLEX PRO 3WF O SIMILAR</v>
          </cell>
          <cell r="D180" t="str">
            <v>UND</v>
          </cell>
          <cell r="P180">
            <v>37509.339999999997</v>
          </cell>
        </row>
        <row r="181">
          <cell r="B181" t="str">
            <v>MA00179</v>
          </cell>
          <cell r="C181" t="str">
            <v>SELLA SIL SOPORTE 1/2", SOPORTE BASE PARA SELLO DE JUNTAS DE DILATACIÓN O SIMILAR</v>
          </cell>
          <cell r="D181" t="str">
            <v>M</v>
          </cell>
          <cell r="P181">
            <v>921.96</v>
          </cell>
        </row>
        <row r="182">
          <cell r="B182" t="str">
            <v>MA00180</v>
          </cell>
          <cell r="C182" t="str">
            <v>VULKEM 45 SSL, SELLANTE MOCO COMPONENTE DE POLIURETANO, AUTO- NIVELANTE O SIMILAR</v>
          </cell>
          <cell r="D182" t="str">
            <v>GAL</v>
          </cell>
          <cell r="P182">
            <v>193688.92</v>
          </cell>
        </row>
        <row r="183">
          <cell r="B183" t="str">
            <v>MA00181</v>
          </cell>
          <cell r="C183" t="str">
            <v>CINTA DE DEMARCACIÓN Cal. 3 (ROLLO 500mx0.10m)</v>
          </cell>
          <cell r="D183" t="str">
            <v>M</v>
          </cell>
          <cell r="P183">
            <v>67.91</v>
          </cell>
        </row>
        <row r="184">
          <cell r="B184" t="str">
            <v>MA00182</v>
          </cell>
          <cell r="C184" t="str">
            <v>SEÑAL PREVENTIVA INFORMATIVA Y REGLAMENTARIA 60 x 60</v>
          </cell>
          <cell r="D184" t="str">
            <v>UND</v>
          </cell>
          <cell r="P184">
            <v>338346.66</v>
          </cell>
        </row>
        <row r="185">
          <cell r="B185" t="str">
            <v>MA00183</v>
          </cell>
          <cell r="C185" t="str">
            <v>SEÑAL REGLAMENTARIA PARA OBRA 75 CM</v>
          </cell>
          <cell r="D185" t="str">
            <v>UND</v>
          </cell>
          <cell r="P185">
            <v>362700</v>
          </cell>
        </row>
        <row r="186">
          <cell r="B186" t="str">
            <v>MA00184</v>
          </cell>
          <cell r="C186" t="str">
            <v>SOLDADURA 6011 x 1/8"</v>
          </cell>
          <cell r="D186" t="str">
            <v>KG</v>
          </cell>
          <cell r="P186">
            <v>29590</v>
          </cell>
        </row>
        <row r="187">
          <cell r="B187" t="str">
            <v>MA00185</v>
          </cell>
          <cell r="C187" t="str">
            <v>SOLDADURA 7018 1/8</v>
          </cell>
          <cell r="D187" t="str">
            <v>KG</v>
          </cell>
          <cell r="P187">
            <v>29095</v>
          </cell>
        </row>
        <row r="188">
          <cell r="B188" t="str">
            <v>MA00186</v>
          </cell>
          <cell r="C188" t="str">
            <v>SOLDADURA DE ESTAÑO</v>
          </cell>
          <cell r="D188" t="str">
            <v>KG</v>
          </cell>
          <cell r="P188">
            <v>3850</v>
          </cell>
        </row>
        <row r="189">
          <cell r="B189" t="str">
            <v>MA00187</v>
          </cell>
          <cell r="C189" t="str">
            <v>SOLDADURA ELÉCTRICA 6013</v>
          </cell>
          <cell r="D189" t="str">
            <v>KG</v>
          </cell>
          <cell r="P189">
            <v>23035.3</v>
          </cell>
        </row>
        <row r="190">
          <cell r="B190" t="str">
            <v>MA00188</v>
          </cell>
          <cell r="C190" t="str">
            <v>SOLDADURA LIQUIDA PVC 1/4"</v>
          </cell>
          <cell r="D190" t="str">
            <v>GAL</v>
          </cell>
          <cell r="P190">
            <v>67444</v>
          </cell>
        </row>
        <row r="191">
          <cell r="B191" t="str">
            <v>MA00189</v>
          </cell>
          <cell r="C191" t="str">
            <v>VENTANA CORREDIZA EN ALUMINIO BLANCO/ANODIZADO</v>
          </cell>
          <cell r="D191" t="str">
            <v>M2</v>
          </cell>
          <cell r="P191">
            <v>365521.18</v>
          </cell>
        </row>
        <row r="192">
          <cell r="B192" t="str">
            <v>MA00190</v>
          </cell>
          <cell r="C192" t="str">
            <v>VIDRIO INCOLORO DE 5 MM.</v>
          </cell>
          <cell r="D192" t="str">
            <v>M2</v>
          </cell>
          <cell r="P192">
            <v>83200</v>
          </cell>
        </row>
        <row r="193">
          <cell r="B193" t="str">
            <v>MA00191</v>
          </cell>
          <cell r="C193" t="str">
            <v>PRODUCTOS DE LIMPIEZA (DETERGENTES, LIMPIADORES, ÁCIDOS, ETC.)</v>
          </cell>
          <cell r="D193" t="str">
            <v>UND</v>
          </cell>
          <cell r="P193">
            <v>520</v>
          </cell>
        </row>
        <row r="194">
          <cell r="B194" t="str">
            <v>MA00192</v>
          </cell>
          <cell r="C194" t="str">
            <v>PINTURA VINILO PARA EXTERIOR TIPO KORAZA O SIMILAR</v>
          </cell>
          <cell r="D194" t="str">
            <v>GAL</v>
          </cell>
          <cell r="P194">
            <v>127138</v>
          </cell>
        </row>
        <row r="195">
          <cell r="B195" t="str">
            <v>MA00193</v>
          </cell>
          <cell r="C195" t="str">
            <v>LIJA DE AGUA No. 120</v>
          </cell>
          <cell r="D195" t="str">
            <v>UND</v>
          </cell>
          <cell r="P195">
            <v>2200</v>
          </cell>
        </row>
        <row r="196">
          <cell r="B196" t="str">
            <v>MA00194</v>
          </cell>
          <cell r="C196" t="str">
            <v>CERÁMICA PARA MURO</v>
          </cell>
          <cell r="D196" t="str">
            <v>M2</v>
          </cell>
          <cell r="P196">
            <v>50450</v>
          </cell>
        </row>
        <row r="197">
          <cell r="B197" t="str">
            <v>MA00195</v>
          </cell>
          <cell r="C197" t="str">
            <v>PISO EN TABLÓN DE GRES DE 30 X 30 CM.</v>
          </cell>
          <cell r="D197" t="str">
            <v>M2</v>
          </cell>
          <cell r="P197">
            <v>39727.660000000003</v>
          </cell>
        </row>
        <row r="198">
          <cell r="B198" t="str">
            <v>MA00196</v>
          </cell>
          <cell r="C198" t="str">
            <v xml:space="preserve">MALLA ELECTROSOLDADA 4.00 mm 15X15 CM </v>
          </cell>
          <cell r="D198" t="str">
            <v>M2</v>
          </cell>
          <cell r="P198">
            <v>7966.67</v>
          </cell>
        </row>
        <row r="199">
          <cell r="B199" t="str">
            <v>MA00197</v>
          </cell>
          <cell r="C199" t="str">
            <v xml:space="preserve">SUMINISTRO E INSTALACIÓN DE MALLA ELECTROSOLDADA 4.00 mm 15X15 CM </v>
          </cell>
          <cell r="D199" t="str">
            <v>M2</v>
          </cell>
          <cell r="P199">
            <v>14317.74</v>
          </cell>
        </row>
        <row r="200">
          <cell r="B200" t="str">
            <v>MA00198</v>
          </cell>
          <cell r="C200" t="str">
            <v>DOS CANCHAS MÚLTIPLES EN TUBO ESTRUCTURAL NEGRO, INCLUYE 2 TABLEROS ACRÍLICO 10 mm, 2 AROS METÁLICOS, 2 MALLAS BALONCESTO Y 2 MALLAS DE MICROFÚTBOL</v>
          </cell>
          <cell r="D200" t="str">
            <v>JGO</v>
          </cell>
          <cell r="P200">
            <v>10086490.619999999</v>
          </cell>
        </row>
        <row r="201">
          <cell r="B201" t="str">
            <v>MA00199</v>
          </cell>
          <cell r="C201" t="str">
            <v>PINTURA ACRÍLICA ANTIDESLIZANTE PARA CANCHAS - TRÁFICO. (COLOR A ELECCIÓN).</v>
          </cell>
          <cell r="D201" t="str">
            <v>GAL</v>
          </cell>
          <cell r="P201">
            <v>160102.79999999999</v>
          </cell>
        </row>
        <row r="202">
          <cell r="B202" t="str">
            <v>MA00200</v>
          </cell>
          <cell r="C202" t="str">
            <v>BASE ACRÍLICA ANTIDESLIZANTE PARA CANCHAS - TRÁFICO. (COLOR NEGRO).</v>
          </cell>
          <cell r="D202" t="str">
            <v>GAL</v>
          </cell>
          <cell r="P202">
            <v>150482.79999999999</v>
          </cell>
        </row>
        <row r="203">
          <cell r="B203" t="str">
            <v>MA00201</v>
          </cell>
          <cell r="C203" t="str">
            <v>CINTA DE PAPEL SUPERCINTA 250</v>
          </cell>
          <cell r="D203" t="str">
            <v>RLL</v>
          </cell>
          <cell r="P203">
            <v>9757.2800000000007</v>
          </cell>
        </row>
        <row r="204">
          <cell r="B204" t="str">
            <v>MA00202</v>
          </cell>
          <cell r="C204" t="str">
            <v>ACIDO MURIÁTICO / NÍTRICO</v>
          </cell>
          <cell r="D204" t="str">
            <v>GAL</v>
          </cell>
          <cell r="P204">
            <v>24700</v>
          </cell>
        </row>
        <row r="205">
          <cell r="B205" t="str">
            <v>MA00203</v>
          </cell>
          <cell r="C205" t="str">
            <v xml:space="preserve">CABALLETE ARQUITECTONICO PINTADO 2,00 M X 0,60 M </v>
          </cell>
          <cell r="D205" t="str">
            <v>UND</v>
          </cell>
          <cell r="P205">
            <v>50800</v>
          </cell>
        </row>
        <row r="206">
          <cell r="B206" t="str">
            <v>MA00204</v>
          </cell>
          <cell r="C206" t="str">
            <v>TEJA TERMOACUSTICA TIPO TRAPEZOIDAL</v>
          </cell>
          <cell r="D206" t="str">
            <v>M2</v>
          </cell>
          <cell r="P206">
            <v>83400</v>
          </cell>
        </row>
        <row r="207">
          <cell r="B207" t="str">
            <v>MA00205</v>
          </cell>
          <cell r="C207" t="str">
            <v>TORNILLO AUTOPERFORANTE CON ARANDELA EPDM TIPO SOMBRILLA DE 14 X 1-1/2"</v>
          </cell>
          <cell r="D207" t="str">
            <v>UND</v>
          </cell>
          <cell r="P207">
            <v>500</v>
          </cell>
        </row>
        <row r="208">
          <cell r="B208" t="str">
            <v>MA00206</v>
          </cell>
          <cell r="C208" t="str">
            <v>CABALLETE TERMOACUSTICO TIPO TRAPEZOIDAL DE 2,00 M X0,70 M</v>
          </cell>
          <cell r="D208" t="str">
            <v>UND</v>
          </cell>
          <cell r="P208">
            <v>149666.67000000001</v>
          </cell>
        </row>
        <row r="209">
          <cell r="B209" t="str">
            <v>MA00207</v>
          </cell>
          <cell r="C209" t="str">
            <v>NUEVO</v>
          </cell>
          <cell r="D209" t="str">
            <v>M</v>
          </cell>
          <cell r="P209">
            <v>5000</v>
          </cell>
        </row>
        <row r="210">
          <cell r="B210" t="str">
            <v>MA00208</v>
          </cell>
          <cell r="C210" t="str">
            <v>TUBO RECTANGULAR DE 4" x 2" CAL.14</v>
          </cell>
          <cell r="D210" t="str">
            <v>M</v>
          </cell>
          <cell r="P210">
            <v>25800</v>
          </cell>
        </row>
        <row r="211">
          <cell r="B211" t="str">
            <v>MA00209</v>
          </cell>
          <cell r="C211" t="str">
            <v>PERNO DE ANCLAJE A HORMIGON 10X80 MM</v>
          </cell>
          <cell r="D211" t="str">
            <v>UND</v>
          </cell>
          <cell r="P211">
            <v>21546</v>
          </cell>
        </row>
        <row r="212">
          <cell r="B212" t="str">
            <v>MA00210</v>
          </cell>
          <cell r="C212" t="str">
            <v>PLATINA HR 5MM</v>
          </cell>
          <cell r="D212" t="str">
            <v>M2</v>
          </cell>
          <cell r="P212">
            <v>162539.5</v>
          </cell>
        </row>
        <row r="213">
          <cell r="B213" t="str">
            <v>MA00211</v>
          </cell>
          <cell r="C213" t="str">
            <v>LADRILLO PRENSADO MACIZO (TIPO SANTAFÉ O SIMILAR)</v>
          </cell>
          <cell r="D213" t="str">
            <v>UND</v>
          </cell>
          <cell r="P213">
            <v>1870</v>
          </cell>
        </row>
        <row r="214">
          <cell r="B214" t="str">
            <v>MA00212</v>
          </cell>
          <cell r="C214" t="str">
            <v>TANQUE DE ALMACENAMIENTO DE 2000 L.. (INCLUYE ACCESORIOS DE CONEXIÓN).</v>
          </cell>
          <cell r="D214" t="str">
            <v>UND</v>
          </cell>
          <cell r="P214">
            <v>1281615.22</v>
          </cell>
        </row>
        <row r="215">
          <cell r="B215" t="str">
            <v>MA00213</v>
          </cell>
          <cell r="C215" t="str">
            <v>LLAVE PARA LAVAMANOS/LAVAPLATOS TIPO CUELLO DE GANSO</v>
          </cell>
          <cell r="D215" t="str">
            <v>UND</v>
          </cell>
          <cell r="P215">
            <v>67496</v>
          </cell>
        </row>
        <row r="216">
          <cell r="B216" t="str">
            <v>MA00214</v>
          </cell>
          <cell r="C216" t="str">
            <v>KIT DE DESAGUE LAVAMANOS (SIFÓN, CANASTILLA, MANGUERAS DE CONEXION)</v>
          </cell>
          <cell r="D216" t="str">
            <v>UND</v>
          </cell>
          <cell r="P216">
            <v>34216</v>
          </cell>
        </row>
        <row r="217">
          <cell r="B217" t="str">
            <v>MA00215</v>
          </cell>
          <cell r="C217" t="str">
            <v>LLAVE PARA LAVAMANOS SENCILLA TIPO PERA O PALANCA</v>
          </cell>
          <cell r="D217" t="str">
            <v>UND</v>
          </cell>
          <cell r="P217">
            <v>30368</v>
          </cell>
        </row>
        <row r="218">
          <cell r="B218" t="str">
            <v>MA00216</v>
          </cell>
          <cell r="C218" t="str">
            <v>DISCO LIJA PARA METAL DIAM. 115MM</v>
          </cell>
          <cell r="D218" t="str">
            <v>UND</v>
          </cell>
          <cell r="P218">
            <v>20900</v>
          </cell>
        </row>
        <row r="219">
          <cell r="B219" t="str">
            <v>MA00217</v>
          </cell>
          <cell r="C219" t="str">
            <v>BREAKER TERMOMAGNÉTICO ENCHUFABLE MONOPOLAR DE 1X15/20 AMP.</v>
          </cell>
          <cell r="D219" t="str">
            <v>UND</v>
          </cell>
          <cell r="P219">
            <v>18332.080000000002</v>
          </cell>
        </row>
        <row r="220">
          <cell r="B220" t="str">
            <v>MA00218</v>
          </cell>
          <cell r="C220" t="str">
            <v>PUNTILLA 5"</v>
          </cell>
          <cell r="D220" t="str">
            <v>LB</v>
          </cell>
          <cell r="P220">
            <v>6600</v>
          </cell>
        </row>
        <row r="221">
          <cell r="B221" t="str">
            <v>MA00219</v>
          </cell>
          <cell r="C221" t="str">
            <v>PUNTILLA 4"</v>
          </cell>
          <cell r="D221" t="str">
            <v>LB</v>
          </cell>
          <cell r="P221">
            <v>6600</v>
          </cell>
        </row>
        <row r="222">
          <cell r="B222" t="str">
            <v>MA00220</v>
          </cell>
          <cell r="C222" t="str">
            <v xml:space="preserve">MIEL DE PURGA </v>
          </cell>
          <cell r="D222" t="str">
            <v>KG</v>
          </cell>
          <cell r="P222">
            <v>1466.67</v>
          </cell>
        </row>
        <row r="223">
          <cell r="B223" t="str">
            <v>MA00221</v>
          </cell>
          <cell r="C223" t="str">
            <v xml:space="preserve">BARRO DE PEGA </v>
          </cell>
          <cell r="D223" t="str">
            <v>M3</v>
          </cell>
          <cell r="P223">
            <v>98800</v>
          </cell>
        </row>
        <row r="224">
          <cell r="B224" t="str">
            <v>MA00222</v>
          </cell>
          <cell r="C224" t="str">
            <v xml:space="preserve">LADRILLO ADOBE </v>
          </cell>
          <cell r="D224" t="str">
            <v>UND</v>
          </cell>
          <cell r="P224">
            <v>2721.34</v>
          </cell>
        </row>
        <row r="225">
          <cell r="B225" t="str">
            <v>MA00223</v>
          </cell>
          <cell r="C225" t="str">
            <v>TUBO PARA CHIMENEA DE 5" EN LAMINA GALVANIZADA CAL 24</v>
          </cell>
          <cell r="D225" t="str">
            <v>M</v>
          </cell>
          <cell r="P225">
            <v>130790</v>
          </cell>
        </row>
        <row r="226">
          <cell r="B226" t="str">
            <v>MA00224</v>
          </cell>
          <cell r="C226" t="str">
            <v>CODO DE 90° DE 5" EN LAMINA GALVANIZADA CAL 24</v>
          </cell>
          <cell r="D226" t="str">
            <v>UND</v>
          </cell>
          <cell r="P226">
            <v>143990</v>
          </cell>
        </row>
        <row r="227">
          <cell r="B227" t="str">
            <v>MA00225</v>
          </cell>
          <cell r="C227" t="str">
            <v>PARRILLA DE 1.2 CON 4 BRAZOS</v>
          </cell>
          <cell r="D227" t="str">
            <v xml:space="preserve">UND </v>
          </cell>
          <cell r="P227">
            <v>450000</v>
          </cell>
        </row>
        <row r="228">
          <cell r="B228" t="str">
            <v>MA00226</v>
          </cell>
          <cell r="C228" t="str">
            <v>TORNILLOS 5"</v>
          </cell>
          <cell r="D228" t="str">
            <v>UND</v>
          </cell>
          <cell r="P228">
            <v>2000</v>
          </cell>
        </row>
        <row r="229">
          <cell r="B229" t="str">
            <v>MA00227</v>
          </cell>
          <cell r="C229" t="str">
            <v>Fondo de 70 cm de diámetro en acero inox. calibre 6 mm con falca en acero inoxidable calibre 18, soldada</v>
          </cell>
          <cell r="D229" t="str">
            <v>UND</v>
          </cell>
          <cell r="P229">
            <v>3272500</v>
          </cell>
        </row>
        <row r="230">
          <cell r="B230" t="str">
            <v>MA00228</v>
          </cell>
          <cell r="C230" t="str">
            <v>Fondo de 80 cm de diámetro en acero inox. calibre 6 mm con falca en acero inoxidable calibre 18, soldada</v>
          </cell>
          <cell r="D230" t="str">
            <v>UND</v>
          </cell>
          <cell r="P230">
            <v>3272500</v>
          </cell>
        </row>
        <row r="231">
          <cell r="B231" t="str">
            <v>MA00229</v>
          </cell>
          <cell r="C231" t="str">
            <v>Fondo de 90 cm de diámetro en acero inox. calibre 6 mm con falca en acero inoxidable calibre 18, soldada</v>
          </cell>
          <cell r="D231" t="str">
            <v>UND</v>
          </cell>
          <cell r="P231">
            <v>3272500</v>
          </cell>
        </row>
        <row r="232">
          <cell r="B232" t="str">
            <v>MA00230</v>
          </cell>
          <cell r="C232" t="str">
            <v>Batea en acero inoxidable calibre 16 de 150 cm , redonda o cuadrada,
con llantas.</v>
          </cell>
          <cell r="D232" t="str">
            <v>UND</v>
          </cell>
          <cell r="P232">
            <v>2094400</v>
          </cell>
        </row>
        <row r="233">
          <cell r="B233" t="str">
            <v>MA00231</v>
          </cell>
          <cell r="C233" t="str">
            <v>Prelimpiador en acero inoxidable calibre 18 de 100 cm,
tipo tradicional</v>
          </cell>
          <cell r="D233" t="str">
            <v>UND</v>
          </cell>
          <cell r="P233">
            <v>916300</v>
          </cell>
        </row>
        <row r="234">
          <cell r="B234" t="str">
            <v>MA00232</v>
          </cell>
          <cell r="C234" t="str">
            <v>Trapiche completo de 500 kg/rpm, con motor diésel 10 HP, INCLcorrea y polea</v>
          </cell>
          <cell r="D234" t="str">
            <v>UND</v>
          </cell>
          <cell r="P234">
            <v>18129650</v>
          </cell>
        </row>
        <row r="235">
          <cell r="B235" t="str">
            <v>MA00233</v>
          </cell>
          <cell r="C235" t="str">
            <v xml:space="preserve">Gaveras en madera para panela de libra cuadradas (80 espacios)
</v>
          </cell>
          <cell r="D235" t="str">
            <v>UND</v>
          </cell>
          <cell r="P235">
            <v>1047200</v>
          </cell>
        </row>
        <row r="236">
          <cell r="B236" t="str">
            <v>MA00234</v>
          </cell>
          <cell r="C236" t="str">
            <v>Remellón en acero inoxidable con cabo en acero inoxidable</v>
          </cell>
          <cell r="D236" t="str">
            <v>UND</v>
          </cell>
          <cell r="P236">
            <v>261800</v>
          </cell>
        </row>
        <row r="237">
          <cell r="B237" t="str">
            <v>MA00235</v>
          </cell>
          <cell r="C237" t="str">
            <v xml:space="preserve">ENTRADA AL HORNO EN HIERRO </v>
          </cell>
          <cell r="D237" t="str">
            <v>UND</v>
          </cell>
          <cell r="P237">
            <v>418000</v>
          </cell>
        </row>
        <row r="238">
          <cell r="B238" t="str">
            <v>MA00236</v>
          </cell>
          <cell r="C238" t="str">
            <v>LUBRICANTE PARA ALAMBRADO DE CABLES</v>
          </cell>
          <cell r="D238" t="str">
            <v>UND</v>
          </cell>
          <cell r="P238">
            <v>32968</v>
          </cell>
        </row>
        <row r="239">
          <cell r="B239" t="str">
            <v>MA00237</v>
          </cell>
          <cell r="C239" t="str">
            <v>BREAKER TERMOMAGNÉTICO ENCHUFABLE MONOPOLAR DE 1X15/20 AMP.</v>
          </cell>
          <cell r="D239" t="str">
            <v>UND</v>
          </cell>
          <cell r="P239">
            <v>18332.080000000002</v>
          </cell>
        </row>
        <row r="240">
          <cell r="B240" t="str">
            <v>MA00238</v>
          </cell>
          <cell r="C240" t="str">
            <v>YESO CORRIENTE</v>
          </cell>
          <cell r="D240" t="str">
            <v>KG</v>
          </cell>
          <cell r="P240">
            <v>1612</v>
          </cell>
        </row>
        <row r="241">
          <cell r="B241" t="str">
            <v>MA00239</v>
          </cell>
          <cell r="C241" t="str">
            <v>ESTUCO GRIS EN POLVO X 25 KG</v>
          </cell>
          <cell r="D241" t="str">
            <v>KG</v>
          </cell>
          <cell r="P241">
            <v>1214.72</v>
          </cell>
        </row>
        <row r="242">
          <cell r="B242" t="str">
            <v>MA00240</v>
          </cell>
          <cell r="C242" t="str">
            <v>NONONONOO</v>
          </cell>
          <cell r="D242" t="str">
            <v>UND</v>
          </cell>
          <cell r="P242">
            <v>1918.8</v>
          </cell>
        </row>
        <row r="243">
          <cell r="B243" t="str">
            <v>MA00241</v>
          </cell>
          <cell r="C243" t="str">
            <v>TUBERIA CONDUIT SCH40 1/2"</v>
          </cell>
          <cell r="D243" t="str">
            <v>M</v>
          </cell>
          <cell r="P243">
            <v>2802.68</v>
          </cell>
        </row>
        <row r="244">
          <cell r="B244" t="str">
            <v>MA00242</v>
          </cell>
          <cell r="C244" t="str">
            <v xml:space="preserve">UNION CONDUIT GRIS SCH 40 1/2 </v>
          </cell>
          <cell r="D244" t="str">
            <v>UND</v>
          </cell>
          <cell r="P244">
            <v>728.57</v>
          </cell>
        </row>
        <row r="245">
          <cell r="B245" t="str">
            <v>MA00243</v>
          </cell>
          <cell r="C245" t="str">
            <v>CURVA CONDUIT 90° SCH40 1/2´´</v>
          </cell>
          <cell r="D245" t="str">
            <v>UND</v>
          </cell>
          <cell r="P245">
            <v>2749.27</v>
          </cell>
        </row>
        <row r="246">
          <cell r="B246" t="str">
            <v>MA00244</v>
          </cell>
          <cell r="C246" t="str">
            <v>ADAPTADOR TERMINAL CONDUIT SCH40 1/2´´</v>
          </cell>
          <cell r="D246" t="str">
            <v>UND</v>
          </cell>
          <cell r="P246">
            <v>931.73</v>
          </cell>
        </row>
        <row r="247">
          <cell r="B247" t="str">
            <v>MA00245</v>
          </cell>
          <cell r="C247" t="str">
            <v>BOMBILLO LED 40W</v>
          </cell>
          <cell r="D247" t="str">
            <v>UND</v>
          </cell>
          <cell r="P247">
            <v>22226.67</v>
          </cell>
        </row>
        <row r="248">
          <cell r="B248" t="str">
            <v>MA00246</v>
          </cell>
          <cell r="C248" t="str">
            <v>VALVULA CHECK 1/2´´</v>
          </cell>
          <cell r="D248" t="str">
            <v>UND</v>
          </cell>
          <cell r="P248">
            <v>24952.2</v>
          </cell>
        </row>
        <row r="249">
          <cell r="B249" t="str">
            <v>MA00247</v>
          </cell>
          <cell r="C249" t="str">
            <v>Kit Entrada Y Salida Tanque Plastico</v>
          </cell>
          <cell r="D249" t="str">
            <v>UND</v>
          </cell>
          <cell r="P249">
            <v>16615.5</v>
          </cell>
        </row>
        <row r="250">
          <cell r="B250" t="str">
            <v>MA00248</v>
          </cell>
          <cell r="C250" t="str">
            <v>varilla lisa 1/2´´</v>
          </cell>
          <cell r="D250" t="str">
            <v>M</v>
          </cell>
          <cell r="P250">
            <v>6725.64</v>
          </cell>
        </row>
        <row r="251">
          <cell r="B251" t="str">
            <v>MA00249</v>
          </cell>
          <cell r="C251" t="str">
            <v>TUBO REDONDO ESTRUCTURAL 1´´ CAL.18</v>
          </cell>
          <cell r="D251" t="str">
            <v>M</v>
          </cell>
          <cell r="P251">
            <v>22000</v>
          </cell>
        </row>
        <row r="252">
          <cell r="B252" t="str">
            <v>MA00250</v>
          </cell>
          <cell r="C252" t="str">
            <v>TUBO REDONDO ESTRUCTURAL 1 1/2´´ CAL 18</v>
          </cell>
          <cell r="D252" t="str">
            <v>M</v>
          </cell>
          <cell r="P252">
            <v>34833.33</v>
          </cell>
        </row>
        <row r="253">
          <cell r="B253" t="str">
            <v>MA00251</v>
          </cell>
          <cell r="C253" t="str">
            <v>CABLE DE COBRE AISLADO AWG XLPE CONCÉNTRICO PARA ACOMETIDA 1 X 8 + 8</v>
          </cell>
          <cell r="D253" t="str">
            <v>M</v>
          </cell>
          <cell r="P253">
            <v>18226</v>
          </cell>
        </row>
        <row r="254">
          <cell r="B254" t="str">
            <v>MA00252</v>
          </cell>
          <cell r="C254" t="str">
            <v xml:space="preserve">KIT COMBO FLOTADOR SANITARIO COMPLETO DE PALANCA </v>
          </cell>
          <cell r="D254" t="str">
            <v>UND</v>
          </cell>
          <cell r="P254">
            <v>93500</v>
          </cell>
        </row>
        <row r="255">
          <cell r="B255" t="str">
            <v>MA00253</v>
          </cell>
          <cell r="C255" t="str">
            <v>Acople 1/2x7/8 40cm Plastico Sanitario</v>
          </cell>
          <cell r="D255" t="str">
            <v>UND</v>
          </cell>
          <cell r="P255">
            <v>6600</v>
          </cell>
        </row>
        <row r="256">
          <cell r="B256" t="str">
            <v>MA00254</v>
          </cell>
          <cell r="C256" t="str">
            <v>LAVAPLATOS ACERO INOXIDABLE 1.00M X 0.50M CON ESCURRIDERO</v>
          </cell>
          <cell r="D256" t="str">
            <v>UND</v>
          </cell>
          <cell r="P256">
            <v>239096</v>
          </cell>
        </row>
        <row r="257">
          <cell r="B257" t="str">
            <v>MA00255</v>
          </cell>
          <cell r="C257" t="str">
            <v>CERRADURA DOBLE CILINDRO TIPO YALE 105 O SIMILAR</v>
          </cell>
          <cell r="D257" t="str">
            <v>UND</v>
          </cell>
          <cell r="P257">
            <v>95225.69</v>
          </cell>
        </row>
        <row r="258">
          <cell r="B258" t="str">
            <v>MA00256</v>
          </cell>
          <cell r="C258" t="str">
            <v>BROCA PARA CONCRETO 1"X6"</v>
          </cell>
          <cell r="D258" t="str">
            <v>UND</v>
          </cell>
          <cell r="P258">
            <v>51590</v>
          </cell>
        </row>
        <row r="259">
          <cell r="P259">
            <v>0</v>
          </cell>
        </row>
      </sheetData>
      <sheetData sheetId="5" refreshError="1">
        <row r="2">
          <cell r="A2" t="str">
            <v>ID</v>
          </cell>
          <cell r="B2" t="str">
            <v>DESCRIPCIÓN</v>
          </cell>
          <cell r="C2" t="str">
            <v>U.M.</v>
          </cell>
          <cell r="D2" t="str">
            <v>VALOR UNITARIO</v>
          </cell>
        </row>
        <row r="3">
          <cell r="A3" t="str">
            <v>TR00001</v>
          </cell>
          <cell r="B3" t="str">
            <v>AGREGADOS DESPUÉS DE 5 KM</v>
          </cell>
          <cell r="C3" t="str">
            <v>M3/KM</v>
          </cell>
          <cell r="D3">
            <v>1850</v>
          </cell>
        </row>
        <row r="4">
          <cell r="A4" t="str">
            <v>TR00002</v>
          </cell>
          <cell r="B4" t="str">
            <v>ESCOMBROS / SOBRANTES HASTA 5 KM</v>
          </cell>
          <cell r="C4" t="str">
            <v>M3/KM</v>
          </cell>
          <cell r="D4">
            <v>2300</v>
          </cell>
        </row>
        <row r="5">
          <cell r="A5" t="str">
            <v>TR00003</v>
          </cell>
          <cell r="B5" t="str">
            <v xml:space="preserve">VEHICULAR KM ADICIONAL </v>
          </cell>
          <cell r="C5" t="str">
            <v>TON/KM</v>
          </cell>
          <cell r="D5">
            <v>5000</v>
          </cell>
        </row>
        <row r="6">
          <cell r="A6" t="str">
            <v>TR00004</v>
          </cell>
          <cell r="B6" t="str">
            <v>CARGA MULAR (90 KG)</v>
          </cell>
          <cell r="C6" t="str">
            <v>KG/KM</v>
          </cell>
          <cell r="D6">
            <v>350</v>
          </cell>
        </row>
      </sheetData>
      <sheetData sheetId="6" refreshError="1">
        <row r="3">
          <cell r="A3" t="str">
            <v>ID</v>
          </cell>
          <cell r="B3" t="str">
            <v>DESCRIPCIÓN</v>
          </cell>
          <cell r="D3" t="str">
            <v>VALOR UNITARIO</v>
          </cell>
        </row>
        <row r="4">
          <cell r="A4" t="str">
            <v>MO00001</v>
          </cell>
          <cell r="B4" t="str">
            <v>MAESTRO GENERAL</v>
          </cell>
          <cell r="D4">
            <v>133570</v>
          </cell>
        </row>
        <row r="5">
          <cell r="A5" t="str">
            <v>MO00002</v>
          </cell>
          <cell r="B5" t="str">
            <v>OFICIAL</v>
          </cell>
          <cell r="D5">
            <v>95930</v>
          </cell>
        </row>
        <row r="6">
          <cell r="A6" t="str">
            <v>MO00003</v>
          </cell>
          <cell r="B6" t="str">
            <v>AYUDANTE (1)</v>
          </cell>
          <cell r="D6">
            <v>71433</v>
          </cell>
        </row>
        <row r="7">
          <cell r="A7" t="str">
            <v>MO00004</v>
          </cell>
          <cell r="B7" t="str">
            <v>AYUDANTE (2)</v>
          </cell>
          <cell r="D7">
            <v>142866</v>
          </cell>
        </row>
        <row r="8">
          <cell r="A8" t="str">
            <v>MO00005</v>
          </cell>
          <cell r="B8" t="str">
            <v>AYUDANTE (3)</v>
          </cell>
          <cell r="D8">
            <v>214299</v>
          </cell>
        </row>
        <row r="9">
          <cell r="A9" t="str">
            <v>MO00006</v>
          </cell>
          <cell r="B9" t="str">
            <v>AYUDANTE (4)</v>
          </cell>
          <cell r="D9">
            <v>285732</v>
          </cell>
        </row>
        <row r="10">
          <cell r="A10" t="str">
            <v>MO00007</v>
          </cell>
          <cell r="B10" t="str">
            <v>AYUDANTE (5)</v>
          </cell>
          <cell r="D10">
            <v>357165</v>
          </cell>
        </row>
        <row r="11">
          <cell r="A11" t="str">
            <v>MO00008</v>
          </cell>
          <cell r="B11" t="str">
            <v>AYUDANTE (6)</v>
          </cell>
          <cell r="D11">
            <v>428598</v>
          </cell>
        </row>
        <row r="12">
          <cell r="A12" t="str">
            <v>MO00009</v>
          </cell>
          <cell r="B12" t="str">
            <v>ELÉCTRICO</v>
          </cell>
          <cell r="D12">
            <v>121352</v>
          </cell>
        </row>
        <row r="13">
          <cell r="A13" t="str">
            <v>MO00010</v>
          </cell>
          <cell r="B13" t="str">
            <v>SOLDADOR</v>
          </cell>
          <cell r="D13">
            <v>133570</v>
          </cell>
        </row>
        <row r="14">
          <cell r="A14" t="str">
            <v>MO00012</v>
          </cell>
          <cell r="B14" t="str">
            <v>TOPÓGRAFO</v>
          </cell>
          <cell r="D14">
            <v>237250</v>
          </cell>
        </row>
        <row r="15">
          <cell r="A15" t="str">
            <v>MO00013</v>
          </cell>
          <cell r="B15" t="str">
            <v>AUXILIAR TOPOGRAFÍA (1)</v>
          </cell>
          <cell r="D15">
            <v>118625.04</v>
          </cell>
        </row>
        <row r="16">
          <cell r="A16" t="str">
            <v>MO00014</v>
          </cell>
          <cell r="B16" t="str">
            <v>CADENERO</v>
          </cell>
          <cell r="D16">
            <v>81175.039999999994</v>
          </cell>
        </row>
      </sheetData>
      <sheetData sheetId="7" refreshError="1">
        <row r="21">
          <cell r="E21">
            <v>1.95</v>
          </cell>
        </row>
      </sheetData>
    </sheetDataSet>
  </externalBook>
</externalLink>
</file>

<file path=xl/externalLinks/externalLink2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ICIO"/>
      <sheetName val="INDICE"/>
      <sheetName val="APU"/>
      <sheetName val="EQUIPOS"/>
      <sheetName val="MATERIALES"/>
      <sheetName val="TRANSPORTES"/>
      <sheetName val="MANO DE OBRA"/>
      <sheetName val="FACTOR PRESTACIONAL"/>
    </sheetNames>
    <sheetDataSet>
      <sheetData sheetId="0" refreshError="1"/>
      <sheetData sheetId="1" refreshError="1"/>
      <sheetData sheetId="2" refreshError="1"/>
      <sheetData sheetId="3" refreshError="1">
        <row r="3">
          <cell r="A3" t="str">
            <v>ID</v>
          </cell>
          <cell r="B3" t="str">
            <v>DESCRIPCIÓN</v>
          </cell>
          <cell r="C3" t="str">
            <v>U.M.</v>
          </cell>
          <cell r="D3" t="str">
            <v>VALOR UNITARIO</v>
          </cell>
        </row>
        <row r="4">
          <cell r="A4" t="str">
            <v>EQ00001</v>
          </cell>
          <cell r="B4" t="str">
            <v>HERRAMIENTA MENOR (% M.O)</v>
          </cell>
          <cell r="C4" t="str">
            <v>%</v>
          </cell>
        </row>
        <row r="5">
          <cell r="A5" t="str">
            <v>EQ00002</v>
          </cell>
          <cell r="B5" t="str">
            <v>EQUIPO DE TOPOGRAFÍA (ESTACIÓN TOTAL, NIVEL)</v>
          </cell>
          <cell r="C5" t="str">
            <v>DIA</v>
          </cell>
          <cell r="D5">
            <v>149960</v>
          </cell>
        </row>
        <row r="6">
          <cell r="A6" t="str">
            <v>EQ00003</v>
          </cell>
          <cell r="B6" t="str">
            <v>EXCAVADORA SOBRE ORUGAS</v>
          </cell>
          <cell r="C6" t="str">
            <v>HR</v>
          </cell>
          <cell r="D6">
            <v>305864</v>
          </cell>
        </row>
        <row r="7">
          <cell r="A7" t="str">
            <v>EQ00004</v>
          </cell>
          <cell r="B7" t="str">
            <v>CARRO TANQUE DE AGUA</v>
          </cell>
          <cell r="C7" t="str">
            <v>HR</v>
          </cell>
          <cell r="D7">
            <v>132939</v>
          </cell>
        </row>
        <row r="8">
          <cell r="A8" t="str">
            <v>EQ00005</v>
          </cell>
          <cell r="B8" t="str">
            <v>MOTONIVELADORA</v>
          </cell>
          <cell r="C8" t="str">
            <v>HR</v>
          </cell>
          <cell r="D8">
            <v>305864</v>
          </cell>
        </row>
        <row r="9">
          <cell r="A9" t="str">
            <v>EQ00006</v>
          </cell>
          <cell r="B9" t="str">
            <v>VIBRO COMPACTADOR (RODILLO)</v>
          </cell>
          <cell r="C9" t="str">
            <v>HR</v>
          </cell>
          <cell r="D9">
            <v>186975</v>
          </cell>
        </row>
        <row r="10">
          <cell r="A10" t="str">
            <v>EQ00007</v>
          </cell>
          <cell r="B10" t="str">
            <v>RETROEXCAVADORA (PAJARITA)</v>
          </cell>
          <cell r="C10" t="str">
            <v>HR</v>
          </cell>
          <cell r="D10">
            <v>210543</v>
          </cell>
        </row>
        <row r="11">
          <cell r="A11" t="str">
            <v>EQ00008</v>
          </cell>
          <cell r="B11" t="str">
            <v>CARGADOR FRONTAL O SIMILAR</v>
          </cell>
          <cell r="C11" t="str">
            <v>HR</v>
          </cell>
          <cell r="D11">
            <v>187143</v>
          </cell>
        </row>
        <row r="12">
          <cell r="A12" t="str">
            <v>EQ00009</v>
          </cell>
          <cell r="B12" t="str">
            <v>REGLA VIBRATORIA</v>
          </cell>
          <cell r="C12" t="str">
            <v>HR</v>
          </cell>
          <cell r="D12">
            <v>8000</v>
          </cell>
        </row>
        <row r="13">
          <cell r="A13" t="str">
            <v>EQ00010</v>
          </cell>
          <cell r="B13" t="str">
            <v>ASPERSOR MANUAL</v>
          </cell>
          <cell r="C13" t="str">
            <v>HR</v>
          </cell>
          <cell r="D13">
            <v>3200</v>
          </cell>
        </row>
        <row r="14">
          <cell r="A14" t="str">
            <v>EQ00011</v>
          </cell>
          <cell r="B14" t="str">
            <v>FORMALETA PARA LOSAS PAVIMENTO RÍGIDO</v>
          </cell>
          <cell r="C14" t="str">
            <v>M</v>
          </cell>
          <cell r="D14">
            <v>4093.44</v>
          </cell>
        </row>
        <row r="15">
          <cell r="A15" t="str">
            <v>EQ00012</v>
          </cell>
          <cell r="B15" t="str">
            <v>FORMALETA METÁLICA PARA POZOS</v>
          </cell>
          <cell r="C15" t="str">
            <v>DIA</v>
          </cell>
          <cell r="D15">
            <v>50000</v>
          </cell>
        </row>
        <row r="16">
          <cell r="A16" t="str">
            <v>EQ00013</v>
          </cell>
          <cell r="B16" t="str">
            <v>FORMALETA PARA CAJAS DE INSPECCIÓN</v>
          </cell>
          <cell r="C16" t="str">
            <v>DIA</v>
          </cell>
          <cell r="D16">
            <v>30000</v>
          </cell>
        </row>
        <row r="17">
          <cell r="A17" t="str">
            <v>EQ00014</v>
          </cell>
          <cell r="B17" t="str">
            <v>CORTADORA DE PAVIMENTO</v>
          </cell>
          <cell r="C17" t="str">
            <v>HR</v>
          </cell>
          <cell r="D17">
            <v>18416</v>
          </cell>
        </row>
        <row r="18">
          <cell r="A18" t="str">
            <v>EQ00015</v>
          </cell>
          <cell r="B18" t="str">
            <v>CAMIONETA (CAPACIDAD 1 TON.)</v>
          </cell>
          <cell r="C18" t="str">
            <v>HR</v>
          </cell>
          <cell r="D18">
            <v>56854</v>
          </cell>
        </row>
        <row r="19">
          <cell r="A19" t="str">
            <v>EQ00016</v>
          </cell>
          <cell r="B19" t="str">
            <v>VEHÍCULO PARA DELINEACIÓN VIAL</v>
          </cell>
          <cell r="C19" t="str">
            <v>HR</v>
          </cell>
          <cell r="D19">
            <v>184497</v>
          </cell>
        </row>
        <row r="20">
          <cell r="A20" t="str">
            <v>EQ00017</v>
          </cell>
          <cell r="B20" t="str">
            <v>MEZCLADORA</v>
          </cell>
          <cell r="C20" t="str">
            <v>DIA</v>
          </cell>
          <cell r="D20">
            <v>137211</v>
          </cell>
        </row>
        <row r="21">
          <cell r="A21" t="str">
            <v>EQ00018</v>
          </cell>
          <cell r="B21" t="str">
            <v>MOTOSIERRA</v>
          </cell>
          <cell r="C21" t="str">
            <v>HR</v>
          </cell>
          <cell r="D21">
            <v>10741</v>
          </cell>
        </row>
        <row r="22">
          <cell r="A22" t="str">
            <v>EQ00019</v>
          </cell>
          <cell r="B22" t="str">
            <v>TALADRO</v>
          </cell>
          <cell r="C22" t="str">
            <v>DIA</v>
          </cell>
          <cell r="D22">
            <v>36968</v>
          </cell>
        </row>
        <row r="23">
          <cell r="A23" t="str">
            <v>EQ00020</v>
          </cell>
          <cell r="B23" t="str">
            <v>PULIDORA</v>
          </cell>
          <cell r="C23" t="str">
            <v>DIA</v>
          </cell>
          <cell r="D23">
            <v>45000</v>
          </cell>
        </row>
        <row r="24">
          <cell r="A24" t="str">
            <v>EQ00021</v>
          </cell>
          <cell r="B24" t="str">
            <v>DOBLADORA MANUAL</v>
          </cell>
          <cell r="C24" t="str">
            <v>DIA</v>
          </cell>
          <cell r="D24">
            <v>30000</v>
          </cell>
        </row>
        <row r="25">
          <cell r="A25" t="str">
            <v>EQ00022</v>
          </cell>
          <cell r="B25" t="str">
            <v>CIZALLA MANUAL</v>
          </cell>
          <cell r="C25" t="str">
            <v>DIA</v>
          </cell>
          <cell r="D25">
            <v>30000</v>
          </cell>
        </row>
        <row r="26">
          <cell r="A26" t="str">
            <v>EQ00023</v>
          </cell>
          <cell r="B26" t="str">
            <v>VIBRO COMPACTADOR TIPO RANA</v>
          </cell>
          <cell r="C26" t="str">
            <v>DIA</v>
          </cell>
          <cell r="D26">
            <v>100000</v>
          </cell>
        </row>
        <row r="27">
          <cell r="A27" t="str">
            <v>EQ00024</v>
          </cell>
          <cell r="B27" t="str">
            <v>COMPRESOR (INCLUYE
MARTILLOS)</v>
          </cell>
          <cell r="C27" t="str">
            <v>DIA</v>
          </cell>
          <cell r="D27">
            <v>921448</v>
          </cell>
        </row>
        <row r="28">
          <cell r="A28" t="str">
            <v>EQ00025</v>
          </cell>
          <cell r="B28" t="str">
            <v>EQUIPO DE SOLDADURA</v>
          </cell>
          <cell r="C28" t="str">
            <v>DIA</v>
          </cell>
          <cell r="D28">
            <v>80000</v>
          </cell>
        </row>
        <row r="29">
          <cell r="A29" t="str">
            <v>EQ00026</v>
          </cell>
          <cell r="B29" t="str">
            <v>COMPRESOR DE PINTURA</v>
          </cell>
          <cell r="C29" t="str">
            <v>DIA</v>
          </cell>
          <cell r="D29">
            <v>90792</v>
          </cell>
        </row>
        <row r="30">
          <cell r="A30" t="str">
            <v>EQ00027</v>
          </cell>
          <cell r="B30" t="str">
            <v>SECCIÓN DE ANDAMIO (01)</v>
          </cell>
          <cell r="C30" t="str">
            <v>DIA</v>
          </cell>
          <cell r="D30">
            <v>3000</v>
          </cell>
        </row>
        <row r="31">
          <cell r="A31" t="str">
            <v>EQ00028</v>
          </cell>
          <cell r="B31" t="str">
            <v>SECCIÓN DE ANDAMIO (02)</v>
          </cell>
          <cell r="C31" t="str">
            <v>DIA</v>
          </cell>
          <cell r="D31">
            <v>6000</v>
          </cell>
        </row>
        <row r="32">
          <cell r="A32" t="str">
            <v>EQ00029</v>
          </cell>
          <cell r="B32" t="str">
            <v>VIBRADOR PORTÁTIL PARA CONCRETO</v>
          </cell>
          <cell r="C32" t="str">
            <v>DIA</v>
          </cell>
          <cell r="D32">
            <v>89075</v>
          </cell>
        </row>
        <row r="33">
          <cell r="A33" t="str">
            <v>EQ00030</v>
          </cell>
          <cell r="B33" t="str">
            <v>OXICORTE (OXIGENO ACETILENO)</v>
          </cell>
          <cell r="C33" t="str">
            <v>DIA</v>
          </cell>
          <cell r="D33">
            <v>73512</v>
          </cell>
        </row>
        <row r="34">
          <cell r="A34" t="str">
            <v>EQ00031</v>
          </cell>
          <cell r="B34" t="str">
            <v>GUADAÑADORA</v>
          </cell>
          <cell r="C34" t="str">
            <v>DIA</v>
          </cell>
          <cell r="D34">
            <v>54136</v>
          </cell>
        </row>
        <row r="35">
          <cell r="A35" t="str">
            <v>EQ00032</v>
          </cell>
          <cell r="B35" t="str">
            <v>HIDROLAVADORA</v>
          </cell>
          <cell r="C35" t="str">
            <v>DIA</v>
          </cell>
          <cell r="D35">
            <v>150000</v>
          </cell>
        </row>
      </sheetData>
      <sheetData sheetId="4" refreshError="1">
        <row r="2">
          <cell r="B2" t="str">
            <v>ID</v>
          </cell>
          <cell r="C2" t="str">
            <v>DESCRIPCIÓN</v>
          </cell>
          <cell r="D2" t="str">
            <v>UNIDAD</v>
          </cell>
          <cell r="P2" t="str">
            <v>PRECIO APROBADO</v>
          </cell>
        </row>
        <row r="3">
          <cell r="B3" t="str">
            <v>MA00003</v>
          </cell>
          <cell r="C3" t="str">
            <v>ACERO DE REFUERZO 60000 PSI</v>
          </cell>
          <cell r="D3" t="str">
            <v>KG</v>
          </cell>
          <cell r="P3">
            <v>5545.93</v>
          </cell>
        </row>
        <row r="4">
          <cell r="B4" t="str">
            <v>MA00004</v>
          </cell>
          <cell r="C4" t="str">
            <v>ALAMBRE NEGRO # 18 (RECOCIDO)</v>
          </cell>
          <cell r="D4" t="str">
            <v>KG</v>
          </cell>
          <cell r="P4">
            <v>7850</v>
          </cell>
        </row>
        <row r="5">
          <cell r="B5" t="str">
            <v>MA00005</v>
          </cell>
          <cell r="C5" t="str">
            <v xml:space="preserve">MALLA ELECTROSOLDADA 6.00 mm 15X15 CM </v>
          </cell>
          <cell r="D5" t="str">
            <v>M2</v>
          </cell>
          <cell r="P5">
            <v>18266.669999999998</v>
          </cell>
        </row>
        <row r="6">
          <cell r="B6" t="str">
            <v>MA00006</v>
          </cell>
          <cell r="C6" t="str">
            <v>VARILLA CORRUGADA No 2 (1/4")</v>
          </cell>
          <cell r="D6" t="str">
            <v>KG</v>
          </cell>
          <cell r="P6">
            <v>6233.33</v>
          </cell>
        </row>
        <row r="7">
          <cell r="B7" t="str">
            <v>MA00007</v>
          </cell>
          <cell r="C7" t="str">
            <v>VARILLA CORRUGADA N°3 (3/8")</v>
          </cell>
          <cell r="D7" t="str">
            <v>KG</v>
          </cell>
          <cell r="P7">
            <v>5172.62</v>
          </cell>
        </row>
        <row r="8">
          <cell r="B8" t="str">
            <v>MA00008</v>
          </cell>
          <cell r="C8" t="str">
            <v>VARILLA CORRUGADA N°4 (1/2")</v>
          </cell>
          <cell r="D8" t="str">
            <v>KG</v>
          </cell>
          <cell r="P8">
            <v>5277.78</v>
          </cell>
        </row>
        <row r="9">
          <cell r="B9" t="str">
            <v>MA00009</v>
          </cell>
          <cell r="C9" t="str">
            <v>VARILLA CORRUGADA N°5 (5/8")</v>
          </cell>
          <cell r="D9" t="str">
            <v>KG</v>
          </cell>
          <cell r="P9">
            <v>5500</v>
          </cell>
        </row>
        <row r="10">
          <cell r="B10" t="str">
            <v>MA00196</v>
          </cell>
          <cell r="C10" t="str">
            <v xml:space="preserve">MALLA ELECTROSOLDADA 4.00 mm 15X15 CM </v>
          </cell>
          <cell r="D10" t="str">
            <v>M2</v>
          </cell>
          <cell r="P10">
            <v>7966.67</v>
          </cell>
        </row>
        <row r="11">
          <cell r="B11" t="str">
            <v>MA00010</v>
          </cell>
          <cell r="C11" t="str">
            <v>ADITIVO IMPERMEABILIZANTE PARA CONCRETO TIPO PLASTOCRETE D.M. O SIMILAR</v>
          </cell>
          <cell r="D11" t="str">
            <v>KG</v>
          </cell>
          <cell r="P11">
            <v>21574.77</v>
          </cell>
        </row>
        <row r="12">
          <cell r="B12" t="str">
            <v>MA00011</v>
          </cell>
          <cell r="C12" t="str">
            <v>ADITIVO IMPERMEABILIZANTE PARA MORTEROS TIPO SIKA-1 O SIMILAR</v>
          </cell>
          <cell r="D12" t="str">
            <v>KG</v>
          </cell>
          <cell r="P12">
            <v>18232.759999999998</v>
          </cell>
        </row>
        <row r="13">
          <cell r="B13" t="str">
            <v>MA00012</v>
          </cell>
          <cell r="C13" t="str">
            <v>IMPERMEABILIZANTE SIKA-1</v>
          </cell>
          <cell r="D13" t="str">
            <v>KG</v>
          </cell>
          <cell r="P13">
            <v>20000</v>
          </cell>
        </row>
        <row r="14">
          <cell r="B14" t="str">
            <v>MA00013</v>
          </cell>
          <cell r="C14" t="str">
            <v>ARENA LAVADA DE PEÑA</v>
          </cell>
          <cell r="D14" t="str">
            <v>M3</v>
          </cell>
          <cell r="P14">
            <v>114240</v>
          </cell>
        </row>
        <row r="15">
          <cell r="B15" t="str">
            <v>MA00014</v>
          </cell>
          <cell r="C15" t="str">
            <v>ARENA LAVADA DE RIO</v>
          </cell>
          <cell r="D15" t="str">
            <v>M3</v>
          </cell>
          <cell r="P15">
            <v>71400</v>
          </cell>
        </row>
        <row r="16">
          <cell r="B16" t="str">
            <v>MA00015</v>
          </cell>
          <cell r="C16" t="str">
            <v>ARENA LAVADA Y/O TRITURADA</v>
          </cell>
          <cell r="D16" t="str">
            <v>M3</v>
          </cell>
          <cell r="P16">
            <v>101150</v>
          </cell>
        </row>
        <row r="17">
          <cell r="B17" t="str">
            <v>MA00016</v>
          </cell>
          <cell r="C17" t="str">
            <v>GRAVAS PARA LECHO FILTRANTE (DIF. DIÁMETRO) DE SÍLICE</v>
          </cell>
          <cell r="D17" t="str">
            <v>M3</v>
          </cell>
          <cell r="P17">
            <v>101483.2</v>
          </cell>
        </row>
        <row r="18">
          <cell r="B18" t="str">
            <v>MA00017</v>
          </cell>
          <cell r="C18" t="str">
            <v xml:space="preserve">MATERIAL BASE GRANULAR </v>
          </cell>
          <cell r="D18" t="str">
            <v>M3</v>
          </cell>
          <cell r="P18">
            <v>73185</v>
          </cell>
        </row>
        <row r="19">
          <cell r="B19" t="str">
            <v>MA00018</v>
          </cell>
          <cell r="C19" t="str">
            <v>MATERIAL CRUDO TAMAÑO MÁXIMO 4"</v>
          </cell>
          <cell r="D19" t="str">
            <v>M3</v>
          </cell>
          <cell r="P19">
            <v>36652</v>
          </cell>
        </row>
        <row r="20">
          <cell r="B20" t="str">
            <v>MA00019</v>
          </cell>
          <cell r="C20" t="str">
            <v>MATERIAL DE AFIRMADO PARA PISOS Y BASES</v>
          </cell>
          <cell r="D20" t="str">
            <v>M3</v>
          </cell>
          <cell r="P20">
            <v>50329.06</v>
          </cell>
        </row>
        <row r="21">
          <cell r="B21" t="str">
            <v>MA00020</v>
          </cell>
          <cell r="C21" t="str">
            <v>MATERIAL DE AFIRMADO SEGÚN NORMA INVIAS</v>
          </cell>
          <cell r="D21" t="str">
            <v>M3</v>
          </cell>
          <cell r="P21">
            <v>50741.599999999999</v>
          </cell>
        </row>
        <row r="22">
          <cell r="B22" t="str">
            <v>MA00021</v>
          </cell>
          <cell r="C22" t="str">
            <v>PIEDRA MEDIA ZONGA</v>
          </cell>
          <cell r="D22" t="str">
            <v>M3</v>
          </cell>
          <cell r="P22">
            <v>87250.8</v>
          </cell>
        </row>
        <row r="23">
          <cell r="B23" t="str">
            <v>MA00022</v>
          </cell>
          <cell r="C23" t="str">
            <v>RECEBO COMÚN</v>
          </cell>
          <cell r="D23" t="str">
            <v>M3</v>
          </cell>
          <cell r="P23">
            <v>35313.33</v>
          </cell>
        </row>
        <row r="24">
          <cell r="B24" t="str">
            <v>MA00023</v>
          </cell>
          <cell r="C24" t="str">
            <v>SUB-BASE GRANULAR No. 4 SBG-4</v>
          </cell>
          <cell r="D24" t="str">
            <v>M3</v>
          </cell>
          <cell r="P24">
            <v>68425</v>
          </cell>
        </row>
        <row r="25">
          <cell r="B25" t="str">
            <v>MA00024</v>
          </cell>
          <cell r="C25" t="str">
            <v>TRITURADO 3/4"-1/2"</v>
          </cell>
          <cell r="D25" t="str">
            <v>M3</v>
          </cell>
          <cell r="P25">
            <v>111265</v>
          </cell>
        </row>
        <row r="26">
          <cell r="B26" t="str">
            <v>MA00025</v>
          </cell>
          <cell r="C26" t="str">
            <v>AGUA</v>
          </cell>
          <cell r="D26" t="str">
            <v>LT</v>
          </cell>
          <cell r="P26">
            <v>3.65</v>
          </cell>
        </row>
        <row r="27">
          <cell r="B27" t="str">
            <v>MA00026</v>
          </cell>
          <cell r="C27" t="str">
            <v>ARO Y TAPA POZOS INSP EN HF</v>
          </cell>
          <cell r="D27" t="str">
            <v>UND</v>
          </cell>
          <cell r="P27">
            <v>462205.12</v>
          </cell>
        </row>
        <row r="28">
          <cell r="B28" t="str">
            <v>MA00027</v>
          </cell>
          <cell r="C28" t="str">
            <v xml:space="preserve">CODO SANITARIO 6" PVC 45° CXC </v>
          </cell>
          <cell r="D28" t="str">
            <v>UND</v>
          </cell>
          <cell r="P28">
            <v>64000</v>
          </cell>
        </row>
        <row r="29">
          <cell r="B29" t="str">
            <v>MA00028</v>
          </cell>
          <cell r="C29" t="str">
            <v>HIDRO SELLO ELASTOMÉRICO PARA TUBERÍA PVC TDP DE 6" (160 MM)</v>
          </cell>
          <cell r="D29" t="str">
            <v>UND</v>
          </cell>
          <cell r="P29">
            <v>6200</v>
          </cell>
        </row>
        <row r="30">
          <cell r="B30" t="str">
            <v>MA00029</v>
          </cell>
          <cell r="C30" t="str">
            <v>HIDRO SELLO ELASTOMÉRICO PARA TUBERÍA PVC TDP DE 8" (200 MM)</v>
          </cell>
          <cell r="D30" t="str">
            <v>UND</v>
          </cell>
          <cell r="P30">
            <v>11638.98</v>
          </cell>
        </row>
        <row r="31">
          <cell r="B31" t="str">
            <v>MA00030</v>
          </cell>
          <cell r="C31" t="str">
            <v>REJILLA PLÁSTICA PARA SUMIDERO TRÁFICO PESADO DE 60CM X 50CM X 10CM</v>
          </cell>
          <cell r="D31" t="str">
            <v>UND</v>
          </cell>
          <cell r="P31">
            <v>341640</v>
          </cell>
        </row>
        <row r="32">
          <cell r="B32" t="str">
            <v>MA00031</v>
          </cell>
          <cell r="C32" t="str">
            <v>SILLA YEE SANITARIA  8"X6" PVC (Incluye abrazaderas  - Junta de Caucho)</v>
          </cell>
          <cell r="D32" t="str">
            <v>UND</v>
          </cell>
          <cell r="P32">
            <v>137000</v>
          </cell>
        </row>
        <row r="33">
          <cell r="B33" t="str">
            <v>MA00032</v>
          </cell>
          <cell r="C33" t="str">
            <v>TUBERÍA ALCANTARILLADO TDP DE 6" (160 MM)</v>
          </cell>
          <cell r="D33" t="str">
            <v>M</v>
          </cell>
          <cell r="P33">
            <v>60450.9</v>
          </cell>
        </row>
        <row r="34">
          <cell r="B34" t="str">
            <v>MA00033</v>
          </cell>
          <cell r="C34" t="str">
            <v>TUBERÍA ALCANTARILLADO TDP DE 8" (200 MM)</v>
          </cell>
          <cell r="D34" t="str">
            <v>M</v>
          </cell>
          <cell r="P34">
            <v>86416.18</v>
          </cell>
        </row>
        <row r="35">
          <cell r="B35" t="str">
            <v>MA00034</v>
          </cell>
          <cell r="C35" t="str">
            <v>CONCRETO DE 2000 PSI (1:3:4)</v>
          </cell>
          <cell r="D35" t="str">
            <v>M3</v>
          </cell>
          <cell r="P35">
            <v>645501.06999999995</v>
          </cell>
        </row>
        <row r="36">
          <cell r="B36" t="str">
            <v>MA00035</v>
          </cell>
          <cell r="C36" t="str">
            <v>CONCRETO DE 2500 PSI (1:2:4)</v>
          </cell>
          <cell r="D36" t="str">
            <v>M3</v>
          </cell>
          <cell r="P36">
            <v>706662.53</v>
          </cell>
        </row>
        <row r="37">
          <cell r="B37" t="str">
            <v>MA00036</v>
          </cell>
          <cell r="C37" t="str">
            <v>CONCRETO DE 3000 PSI (1:2:3)</v>
          </cell>
          <cell r="D37" t="str">
            <v>M3</v>
          </cell>
          <cell r="P37">
            <v>766728.49</v>
          </cell>
        </row>
        <row r="38">
          <cell r="B38" t="str">
            <v>MA00037</v>
          </cell>
          <cell r="C38" t="str">
            <v>CONCRETO DE 3500 PSI (1:2:3)</v>
          </cell>
          <cell r="D38" t="str">
            <v>M3</v>
          </cell>
          <cell r="P38">
            <v>829208.95</v>
          </cell>
        </row>
        <row r="39">
          <cell r="B39" t="str">
            <v>MA00038</v>
          </cell>
          <cell r="C39" t="str">
            <v>CONCRETO DE 4000 PSI (1:2:2)</v>
          </cell>
          <cell r="D39" t="str">
            <v>M3</v>
          </cell>
          <cell r="P39">
            <v>869544.98</v>
          </cell>
        </row>
        <row r="40">
          <cell r="B40" t="str">
            <v>MA00039</v>
          </cell>
          <cell r="C40" t="str">
            <v>CONCRETO IMPERMEABILIZADO DE 3000 PSI (1:2:3)</v>
          </cell>
          <cell r="D40" t="str">
            <v>M3</v>
          </cell>
          <cell r="P40">
            <v>823362.26</v>
          </cell>
        </row>
        <row r="41">
          <cell r="B41" t="str">
            <v>MA00040</v>
          </cell>
          <cell r="C41" t="str">
            <v xml:space="preserve">SUMINISTRO E INSTALACIÓN DE MALLA ELECTROSOLDADA 6.00 mm 15X15 CM </v>
          </cell>
          <cell r="D41" t="str">
            <v>M2</v>
          </cell>
          <cell r="P41">
            <v>25132.74</v>
          </cell>
        </row>
        <row r="42">
          <cell r="B42" t="str">
            <v>MA00041</v>
          </cell>
          <cell r="C42" t="str">
            <v>MORTERO 1:3</v>
          </cell>
          <cell r="D42" t="str">
            <v>M3</v>
          </cell>
          <cell r="P42">
            <v>719116.57</v>
          </cell>
        </row>
        <row r="43">
          <cell r="B43" t="str">
            <v>MA00042</v>
          </cell>
          <cell r="C43" t="str">
            <v>MORTERO 1:3 IMPERMEABILIZADO</v>
          </cell>
          <cell r="D43" t="str">
            <v>M3</v>
          </cell>
          <cell r="P43">
            <v>897770.82</v>
          </cell>
        </row>
        <row r="44">
          <cell r="B44" t="str">
            <v>MA00043</v>
          </cell>
          <cell r="C44" t="str">
            <v>MORTERO 1:4</v>
          </cell>
          <cell r="D44" t="str">
            <v>M3</v>
          </cell>
          <cell r="P44">
            <v>646198.98</v>
          </cell>
        </row>
        <row r="45">
          <cell r="B45" t="str">
            <v>MA00044</v>
          </cell>
          <cell r="C45" t="str">
            <v>MORTERO 1:4 IMPERMEABILIZADO</v>
          </cell>
          <cell r="D45" t="str">
            <v>M3</v>
          </cell>
          <cell r="P45">
            <v>837642.96</v>
          </cell>
        </row>
        <row r="46">
          <cell r="B46" t="str">
            <v>MA00045</v>
          </cell>
          <cell r="C46" t="str">
            <v>SUMINISTRO, FIGURADA Y AMARRE DE ACERO 60,000 PSI (420 Mpa)</v>
          </cell>
          <cell r="D46" t="str">
            <v>KG</v>
          </cell>
          <cell r="P46">
            <v>10486.18</v>
          </cell>
        </row>
        <row r="47">
          <cell r="B47" t="str">
            <v>MA00197</v>
          </cell>
          <cell r="C47" t="str">
            <v xml:space="preserve">SUMINISTRO E INSTALACIÓN DE MALLA ELECTROSOLDADA 4.00 mm 15X15 CM </v>
          </cell>
          <cell r="D47" t="str">
            <v>M2</v>
          </cell>
          <cell r="P47">
            <v>14317.74</v>
          </cell>
        </row>
        <row r="48">
          <cell r="B48" t="str">
            <v>MA00056</v>
          </cell>
          <cell r="C48" t="str">
            <v>MALLA ESLABONADA CAL. 10 DE 2" X 2"</v>
          </cell>
          <cell r="D48" t="str">
            <v>M2</v>
          </cell>
          <cell r="P48">
            <v>33440.47</v>
          </cell>
        </row>
        <row r="49">
          <cell r="B49" t="str">
            <v>MA00057</v>
          </cell>
          <cell r="C49" t="str">
            <v>CINTA TEFLÓN 10 m 1/2"</v>
          </cell>
          <cell r="D49" t="str">
            <v>RL</v>
          </cell>
          <cell r="P49">
            <v>1872</v>
          </cell>
        </row>
        <row r="50">
          <cell r="B50" t="str">
            <v>MA00058</v>
          </cell>
          <cell r="C50" t="str">
            <v>CAL</v>
          </cell>
          <cell r="D50" t="str">
            <v>KG</v>
          </cell>
          <cell r="P50">
            <v>955</v>
          </cell>
        </row>
        <row r="51">
          <cell r="B51" t="str">
            <v>MA00059</v>
          </cell>
          <cell r="C51" t="str">
            <v>CEMENTO BLANCO</v>
          </cell>
          <cell r="D51" t="str">
            <v>KG</v>
          </cell>
          <cell r="P51">
            <v>2129.4</v>
          </cell>
        </row>
        <row r="52">
          <cell r="B52" t="str">
            <v>MA00060</v>
          </cell>
          <cell r="C52" t="str">
            <v>CEMENTO GRIS</v>
          </cell>
          <cell r="D52" t="str">
            <v>KG</v>
          </cell>
          <cell r="P52">
            <v>750</v>
          </cell>
        </row>
        <row r="53">
          <cell r="B53" t="str">
            <v>MA00061</v>
          </cell>
          <cell r="C53" t="str">
            <v>COSTAL DE POLIPROPILENO</v>
          </cell>
          <cell r="D53" t="str">
            <v>UND</v>
          </cell>
          <cell r="P53">
            <v>5000</v>
          </cell>
        </row>
        <row r="54">
          <cell r="B54" t="str">
            <v>MA00062</v>
          </cell>
          <cell r="C54" t="str">
            <v>AMARRE CAL.18</v>
          </cell>
          <cell r="D54" t="str">
            <v>UND</v>
          </cell>
          <cell r="P54">
            <v>500</v>
          </cell>
        </row>
        <row r="55">
          <cell r="B55" t="str">
            <v>MA00063</v>
          </cell>
          <cell r="C55" t="str">
            <v xml:space="preserve">CABALLETE MÁSTER 1000 2,00 M X 0,60 M </v>
          </cell>
          <cell r="D55" t="str">
            <v>UND</v>
          </cell>
          <cell r="P55">
            <v>44000</v>
          </cell>
        </row>
        <row r="56">
          <cell r="B56" t="str">
            <v>MA00064</v>
          </cell>
          <cell r="C56" t="str">
            <v>CUBIERTA ARQUITECTÓNICA TIPO ACESCO O SIMILAR 0.73 X 3,00 M CL 30</v>
          </cell>
          <cell r="D56" t="str">
            <v>UND</v>
          </cell>
          <cell r="P56">
            <v>72307.539999999994</v>
          </cell>
        </row>
        <row r="57">
          <cell r="B57" t="str">
            <v>MA00065</v>
          </cell>
          <cell r="C57" t="str">
            <v>CUBIERTA EN LAMINA DE ZINC CAL. 35-15 DE 0,8 X 3,60 M</v>
          </cell>
          <cell r="D57" t="str">
            <v>UND</v>
          </cell>
          <cell r="P57">
            <v>37950</v>
          </cell>
        </row>
        <row r="58">
          <cell r="B58" t="str">
            <v>MA00066</v>
          </cell>
          <cell r="C58" t="str">
            <v>CUBIERTA MASTER 1000 1*3 M CAL.28 1,00 X 3,05 M</v>
          </cell>
          <cell r="D58" t="str">
            <v>UND</v>
          </cell>
          <cell r="P58">
            <v>138000</v>
          </cell>
        </row>
        <row r="59">
          <cell r="B59" t="str">
            <v>MA00067</v>
          </cell>
          <cell r="C59" t="str">
            <v>TORNILLO AUTOPERFORANTE CON ARANDELA DE NEOPRENO DE 12 X 1-1/2"</v>
          </cell>
          <cell r="D59" t="str">
            <v>UND</v>
          </cell>
          <cell r="P59">
            <v>535.08000000000004</v>
          </cell>
        </row>
        <row r="60">
          <cell r="B60" t="str">
            <v>MA00203</v>
          </cell>
          <cell r="C60" t="str">
            <v xml:space="preserve">CABALLETE ARQUITECTONICO PINTADO 2,00 M X 0,60 M </v>
          </cell>
          <cell r="D60" t="str">
            <v>UND</v>
          </cell>
          <cell r="P60">
            <v>50800</v>
          </cell>
        </row>
        <row r="61">
          <cell r="B61" t="str">
            <v>MA00204</v>
          </cell>
          <cell r="C61" t="str">
            <v>TEJA TERMOACUSTICA TIPO TRAPEZOIDAL</v>
          </cell>
          <cell r="D61" t="str">
            <v>M2</v>
          </cell>
          <cell r="P61">
            <v>83400</v>
          </cell>
        </row>
        <row r="62">
          <cell r="B62" t="str">
            <v>MA00205</v>
          </cell>
          <cell r="C62" t="str">
            <v>TORNILLO AUTOPERFORANTE CON ARANDELA EPDM TIPO SOMBRILLA DE 14 X 1-1/2"</v>
          </cell>
          <cell r="D62" t="str">
            <v>UND</v>
          </cell>
          <cell r="P62">
            <v>500</v>
          </cell>
        </row>
        <row r="63">
          <cell r="B63" t="str">
            <v>MA00206</v>
          </cell>
          <cell r="C63" t="str">
            <v>CABALLETE TERMOACUSTICO TIPO TRAPEZOIDAL DE 2,00 M X0,70 M</v>
          </cell>
          <cell r="D63" t="str">
            <v>UND</v>
          </cell>
          <cell r="P63">
            <v>149666.67000000001</v>
          </cell>
        </row>
        <row r="64">
          <cell r="B64" t="str">
            <v>MA00201</v>
          </cell>
          <cell r="C64" t="str">
            <v>CINTA DE PAPEL SUPERCINTA 250</v>
          </cell>
          <cell r="D64" t="str">
            <v>RLL</v>
          </cell>
          <cell r="P64">
            <v>9757.2800000000007</v>
          </cell>
        </row>
        <row r="65">
          <cell r="B65" t="str">
            <v>MA00068</v>
          </cell>
          <cell r="C65" t="str">
            <v>DISCO CORTE DE METAL 7"</v>
          </cell>
          <cell r="D65" t="str">
            <v>UND</v>
          </cell>
          <cell r="P65">
            <v>9200</v>
          </cell>
        </row>
        <row r="66">
          <cell r="B66" t="str">
            <v>MA00069</v>
          </cell>
          <cell r="C66" t="str">
            <v>DISCO DIAMANTADO ASFALTO-CONCRETO 350mm</v>
          </cell>
          <cell r="D66" t="str">
            <v>UND</v>
          </cell>
          <cell r="P66">
            <v>539656</v>
          </cell>
        </row>
        <row r="67">
          <cell r="B67" t="str">
            <v>MA00070</v>
          </cell>
          <cell r="C67" t="str">
            <v>DISCO DIAMANTADO DE 7"</v>
          </cell>
          <cell r="D67" t="str">
            <v>UND</v>
          </cell>
          <cell r="P67">
            <v>61464</v>
          </cell>
        </row>
        <row r="68">
          <cell r="B68" t="str">
            <v>MA00071</v>
          </cell>
          <cell r="C68" t="str">
            <v>GRATA CIRCULAR DE ALAMBRE 6"</v>
          </cell>
          <cell r="D68" t="str">
            <v>UND</v>
          </cell>
          <cell r="P68">
            <v>29559</v>
          </cell>
        </row>
        <row r="69">
          <cell r="B69" t="str">
            <v>MA00072</v>
          </cell>
          <cell r="C69" t="str">
            <v>DISOLVENTE THINNER</v>
          </cell>
          <cell r="D69" t="str">
            <v>GAL</v>
          </cell>
          <cell r="P69">
            <v>31200</v>
          </cell>
        </row>
        <row r="70">
          <cell r="B70" t="str">
            <v>MA00073</v>
          </cell>
          <cell r="C70" t="str">
            <v>ADAPTADOR TERMINAL PVC CONDUIT DE 1/2"</v>
          </cell>
          <cell r="D70" t="str">
            <v>UND</v>
          </cell>
          <cell r="P70">
            <v>624</v>
          </cell>
        </row>
        <row r="71">
          <cell r="B71" t="str">
            <v>MA00074</v>
          </cell>
          <cell r="C71" t="str">
            <v>BOMBILLO LED 15 W</v>
          </cell>
          <cell r="D71" t="str">
            <v>UND</v>
          </cell>
          <cell r="P71">
            <v>13500</v>
          </cell>
        </row>
        <row r="72">
          <cell r="B72" t="str">
            <v>MA00075</v>
          </cell>
          <cell r="C72" t="str">
            <v>CABLE DE COBRE AISLADO THHN/THWN AWG No. 12</v>
          </cell>
          <cell r="D72" t="str">
            <v>M</v>
          </cell>
          <cell r="P72">
            <v>2875.6</v>
          </cell>
        </row>
        <row r="73">
          <cell r="B73" t="str">
            <v>MA00076</v>
          </cell>
          <cell r="C73" t="str">
            <v>CAJA METÁLICA GALVANIZADA 2400 (4 X 4) CAL. 20</v>
          </cell>
          <cell r="D73" t="str">
            <v>UND</v>
          </cell>
          <cell r="P73">
            <v>3585.92</v>
          </cell>
        </row>
        <row r="74">
          <cell r="B74" t="str">
            <v>MA00077</v>
          </cell>
          <cell r="C74" t="str">
            <v>CAJA METÁLICA GALVANIZADA 5800 (2 X 4) CAL. 20</v>
          </cell>
          <cell r="D74" t="str">
            <v>UND</v>
          </cell>
          <cell r="P74">
            <v>2718.56</v>
          </cell>
        </row>
        <row r="75">
          <cell r="B75" t="str">
            <v>MA00078</v>
          </cell>
          <cell r="C75" t="str">
            <v>CAJA METÁLICA GALVANIZADA OCTAGONAL CAL. 20</v>
          </cell>
          <cell r="D75" t="str">
            <v>UND</v>
          </cell>
          <cell r="P75">
            <v>2364.96</v>
          </cell>
        </row>
        <row r="76">
          <cell r="B76" t="str">
            <v>MA00079</v>
          </cell>
          <cell r="C76" t="str">
            <v>CONECTOR TIPO RESORTE</v>
          </cell>
          <cell r="D76" t="str">
            <v>UND</v>
          </cell>
          <cell r="P76">
            <v>624</v>
          </cell>
        </row>
        <row r="77">
          <cell r="B77" t="str">
            <v>MA00080</v>
          </cell>
          <cell r="C77" t="str">
            <v>CURVA PVC CONDUIT 90° DE 1/2"</v>
          </cell>
          <cell r="D77" t="str">
            <v>UND</v>
          </cell>
          <cell r="P77">
            <v>1070.1600000000001</v>
          </cell>
        </row>
        <row r="78">
          <cell r="B78" t="str">
            <v>MA00081</v>
          </cell>
          <cell r="C78" t="str">
            <v>INTERRUPTOR DOBLE</v>
          </cell>
          <cell r="D78" t="str">
            <v>UND</v>
          </cell>
          <cell r="P78">
            <v>13260</v>
          </cell>
        </row>
        <row r="79">
          <cell r="B79" t="str">
            <v>MA00082</v>
          </cell>
          <cell r="C79" t="str">
            <v>INTERRUPTOR SENCILLO</v>
          </cell>
          <cell r="D79" t="str">
            <v>UND</v>
          </cell>
          <cell r="P79">
            <v>8164</v>
          </cell>
        </row>
        <row r="80">
          <cell r="B80" t="str">
            <v>MA00083</v>
          </cell>
          <cell r="C80" t="str">
            <v>ROSETA (PLAFÓN)</v>
          </cell>
          <cell r="D80" t="str">
            <v>UND</v>
          </cell>
          <cell r="P80">
            <v>2773.68</v>
          </cell>
        </row>
        <row r="81">
          <cell r="B81" t="str">
            <v>MA00084</v>
          </cell>
          <cell r="C81" t="str">
            <v>SUPLEMENTO CAJA DOBLE MET.GALV.2400</v>
          </cell>
          <cell r="D81" t="str">
            <v>UND</v>
          </cell>
          <cell r="P81">
            <v>2098.7199999999998</v>
          </cell>
        </row>
        <row r="82">
          <cell r="B82" t="str">
            <v>MA00085</v>
          </cell>
          <cell r="C82" t="str">
            <v>TOMACORRIENTE DOBLE CON POLO A TIERRA</v>
          </cell>
          <cell r="D82" t="str">
            <v>UND</v>
          </cell>
          <cell r="P82">
            <v>12003.68</v>
          </cell>
        </row>
        <row r="83">
          <cell r="B83" t="str">
            <v>MA00086</v>
          </cell>
          <cell r="C83" t="str">
            <v>TOMACORRIENTE GFCI</v>
          </cell>
          <cell r="D83" t="str">
            <v>UND</v>
          </cell>
          <cell r="P83">
            <v>58584.24</v>
          </cell>
        </row>
        <row r="84">
          <cell r="B84" t="str">
            <v>MA00087</v>
          </cell>
          <cell r="C84" t="str">
            <v>TUBERÍA CONDUIT PVC 1/2" DB</v>
          </cell>
          <cell r="D84" t="str">
            <v>M</v>
          </cell>
          <cell r="P84">
            <v>2413.84</v>
          </cell>
        </row>
        <row r="85">
          <cell r="B85" t="str">
            <v>MA00088</v>
          </cell>
          <cell r="C85" t="str">
            <v>UNION CONDUIT PVC 1/2"</v>
          </cell>
          <cell r="D85" t="str">
            <v>UND</v>
          </cell>
          <cell r="P85">
            <v>682.24</v>
          </cell>
        </row>
        <row r="86">
          <cell r="B86" t="str">
            <v>MA00046</v>
          </cell>
          <cell r="C86" t="str">
            <v>BOCEL REMATES CERÁMICOS</v>
          </cell>
          <cell r="D86" t="str">
            <v>UND</v>
          </cell>
          <cell r="P86">
            <v>13416</v>
          </cell>
        </row>
        <row r="87">
          <cell r="B87" t="str">
            <v>MA00047</v>
          </cell>
          <cell r="C87" t="str">
            <v>BOQUILLA PARA JUNTAS</v>
          </cell>
          <cell r="D87" t="str">
            <v>KG</v>
          </cell>
          <cell r="P87">
            <v>7245.3</v>
          </cell>
        </row>
        <row r="88">
          <cell r="B88" t="str">
            <v>MA00048</v>
          </cell>
          <cell r="C88" t="str">
            <v>CERÁMICA COCINA</v>
          </cell>
          <cell r="D88" t="str">
            <v>M2</v>
          </cell>
          <cell r="P88">
            <v>40200</v>
          </cell>
        </row>
        <row r="89">
          <cell r="B89" t="str">
            <v>MA00049</v>
          </cell>
          <cell r="C89" t="str">
            <v>CERÁMICA PARA PISO PEI IV</v>
          </cell>
          <cell r="D89" t="str">
            <v>M2</v>
          </cell>
          <cell r="P89">
            <v>42708.98</v>
          </cell>
        </row>
        <row r="90">
          <cell r="B90" t="str">
            <v>MA00050</v>
          </cell>
          <cell r="C90" t="str">
            <v>ENCHAPE PORCELANATO</v>
          </cell>
          <cell r="D90" t="str">
            <v>M2</v>
          </cell>
          <cell r="P90">
            <v>75122.66</v>
          </cell>
        </row>
        <row r="91">
          <cell r="B91" t="str">
            <v>MA00051</v>
          </cell>
          <cell r="C91" t="str">
            <v>HILAZA</v>
          </cell>
          <cell r="D91" t="str">
            <v>KG</v>
          </cell>
          <cell r="P91">
            <v>5044</v>
          </cell>
        </row>
        <row r="92">
          <cell r="B92" t="str">
            <v>MA00052</v>
          </cell>
          <cell r="C92" t="str">
            <v>JUNTA PLÁSTICA PARA ENCAPE 3 MM</v>
          </cell>
          <cell r="D92" t="str">
            <v>UND</v>
          </cell>
          <cell r="P92">
            <v>43.4</v>
          </cell>
        </row>
        <row r="93">
          <cell r="B93" t="str">
            <v>MA00053</v>
          </cell>
          <cell r="C93" t="str">
            <v>NIVELADOR PLÁSTICO REUTILIZABLE</v>
          </cell>
          <cell r="D93" t="str">
            <v>UND</v>
          </cell>
          <cell r="P93">
            <v>1453.92</v>
          </cell>
        </row>
        <row r="94">
          <cell r="B94" t="str">
            <v>MA00054</v>
          </cell>
          <cell r="C94" t="str">
            <v>PEGANTE CERÁMICO (PEGACOR O SIMILAR)</v>
          </cell>
          <cell r="D94" t="str">
            <v>KG</v>
          </cell>
          <cell r="P94">
            <v>1397.76</v>
          </cell>
        </row>
        <row r="95">
          <cell r="B95" t="str">
            <v>MA00055</v>
          </cell>
          <cell r="C95" t="str">
            <v>PEGANTE PORCELÁNICO</v>
          </cell>
          <cell r="D95" t="str">
            <v>KG</v>
          </cell>
          <cell r="P95">
            <v>2990.79</v>
          </cell>
        </row>
        <row r="96">
          <cell r="B96" t="str">
            <v>MA00194</v>
          </cell>
          <cell r="C96" t="str">
            <v>CERÁMICA PARA MURO</v>
          </cell>
          <cell r="D96" t="str">
            <v>M2</v>
          </cell>
          <cell r="P96">
            <v>50450</v>
          </cell>
        </row>
        <row r="97">
          <cell r="B97" t="str">
            <v>MA00195</v>
          </cell>
          <cell r="C97" t="str">
            <v>PISO EN TABLÓN DE GRES DE 30 X 30 CM.</v>
          </cell>
          <cell r="D97" t="str">
            <v>M2</v>
          </cell>
          <cell r="P97">
            <v>39727.660000000003</v>
          </cell>
        </row>
        <row r="98">
          <cell r="B98" t="str">
            <v>MA00001</v>
          </cell>
          <cell r="C98" t="str">
            <v>ESTUCO</v>
          </cell>
          <cell r="D98" t="str">
            <v>GAL</v>
          </cell>
          <cell r="P98">
            <v>35500</v>
          </cell>
        </row>
        <row r="99">
          <cell r="B99" t="str">
            <v>MA00089</v>
          </cell>
          <cell r="C99" t="str">
            <v>BISAGRA COMÚN 2"</v>
          </cell>
          <cell r="D99" t="str">
            <v>UND</v>
          </cell>
          <cell r="P99">
            <v>2340</v>
          </cell>
        </row>
        <row r="100">
          <cell r="B100" t="str">
            <v>MA00090</v>
          </cell>
          <cell r="C100" t="str">
            <v>BISAGRA COMÚN 3"</v>
          </cell>
          <cell r="D100" t="str">
            <v>UND</v>
          </cell>
          <cell r="P100">
            <v>3622.32</v>
          </cell>
        </row>
        <row r="101">
          <cell r="B101" t="str">
            <v>MA00091</v>
          </cell>
          <cell r="C101" t="str">
            <v>MANIJA PARA VENTANA</v>
          </cell>
          <cell r="D101" t="str">
            <v>UND</v>
          </cell>
          <cell r="P101">
            <v>2350.92</v>
          </cell>
        </row>
        <row r="102">
          <cell r="B102" t="str">
            <v>MA00092</v>
          </cell>
          <cell r="C102" t="str">
            <v>PASADOR MANUAL ROBUSTO METALICO 2 1/2" (6,30 cm) TOP FORGE PF0208</v>
          </cell>
          <cell r="D102" t="str">
            <v>UND</v>
          </cell>
          <cell r="P102">
            <v>10000</v>
          </cell>
        </row>
        <row r="103">
          <cell r="B103" t="str">
            <v>MA00093</v>
          </cell>
          <cell r="C103" t="str">
            <v>CHAZO EXPANSIVO DE 3/8 X 2" PARA ANCLAJE</v>
          </cell>
          <cell r="D103" t="str">
            <v>UND</v>
          </cell>
          <cell r="P103">
            <v>1947.4</v>
          </cell>
        </row>
        <row r="104">
          <cell r="B104" t="str">
            <v>MA00094</v>
          </cell>
          <cell r="C104" t="str">
            <v>PUNTILLA 1-1/2"</v>
          </cell>
          <cell r="D104" t="str">
            <v>LB</v>
          </cell>
          <cell r="P104">
            <v>6600</v>
          </cell>
        </row>
        <row r="105">
          <cell r="B105" t="str">
            <v>MA00095</v>
          </cell>
          <cell r="C105" t="str">
            <v>PUNTILLA 2-1/2"</v>
          </cell>
          <cell r="D105" t="str">
            <v>LB</v>
          </cell>
          <cell r="P105">
            <v>6600</v>
          </cell>
        </row>
        <row r="106">
          <cell r="B106" t="str">
            <v>MA00096</v>
          </cell>
          <cell r="C106" t="str">
            <v>GEOTEXTIL NT 1600</v>
          </cell>
          <cell r="D106" t="str">
            <v>M2</v>
          </cell>
          <cell r="P106">
            <v>5520.28</v>
          </cell>
        </row>
        <row r="107">
          <cell r="B107" t="str">
            <v>MA00097</v>
          </cell>
          <cell r="C107" t="str">
            <v>GEOTEXTIL TEJIDO CON RESISTENCIA A LA ROTURA 45.2 KN/M T2400</v>
          </cell>
          <cell r="D107" t="str">
            <v>M2</v>
          </cell>
          <cell r="P107">
            <v>8961.48</v>
          </cell>
        </row>
        <row r="108">
          <cell r="B108" t="str">
            <v>MA00098</v>
          </cell>
          <cell r="C108" t="str">
            <v>HILO EN POLIPROPILENO ROLLO X 100 M</v>
          </cell>
          <cell r="D108" t="str">
            <v>UND</v>
          </cell>
          <cell r="P108">
            <v>9000</v>
          </cell>
        </row>
        <row r="109">
          <cell r="B109" t="str">
            <v>MA00198</v>
          </cell>
          <cell r="C109" t="str">
            <v>DOS CANCHAS MÚLTIPLES EN TUBO ESTRUCTURAL NEGRO, INCLUYE 2 TABLEROS ACRÍLICO 10 mm, 2 AROS METÁLICOS, 2 MALLAS BALONCESTO Y 2 MALLAS DE MICROFÚTBOL</v>
          </cell>
          <cell r="D109" t="str">
            <v>JGO</v>
          </cell>
          <cell r="P109">
            <v>10086490.619999999</v>
          </cell>
        </row>
        <row r="110">
          <cell r="B110" t="str">
            <v>MA00099</v>
          </cell>
          <cell r="C110" t="str">
            <v>ADAPTADOR MACHO PVC DE 1/2"</v>
          </cell>
          <cell r="D110" t="str">
            <v>UND</v>
          </cell>
          <cell r="P110">
            <v>618.28</v>
          </cell>
        </row>
        <row r="111">
          <cell r="B111" t="str">
            <v>MA00100</v>
          </cell>
          <cell r="C111" t="str">
            <v>ADAPTADOR MACHO PVC DE 3/4"</v>
          </cell>
          <cell r="D111" t="str">
            <v>UND</v>
          </cell>
          <cell r="P111">
            <v>1126.8399999999999</v>
          </cell>
        </row>
        <row r="112">
          <cell r="B112" t="str">
            <v>MA00101</v>
          </cell>
          <cell r="C112" t="str">
            <v>CODO PVC DE 1/2" T.P.</v>
          </cell>
          <cell r="D112" t="str">
            <v>UND</v>
          </cell>
          <cell r="P112">
            <v>895.96</v>
          </cell>
        </row>
        <row r="113">
          <cell r="B113" t="str">
            <v>MA00102</v>
          </cell>
          <cell r="C113" t="str">
            <v>CODO PVC DE 3/4" T.P.</v>
          </cell>
          <cell r="D113" t="str">
            <v>UND</v>
          </cell>
          <cell r="P113">
            <v>1435.72</v>
          </cell>
        </row>
        <row r="114">
          <cell r="B114" t="str">
            <v>MA00103</v>
          </cell>
          <cell r="C114" t="str">
            <v>TANQUE DE ALMACENAMIENTO DE 250 L. (INCLUYE ACCESORIOS DE CONEXIÓN).</v>
          </cell>
          <cell r="D114" t="str">
            <v>UND</v>
          </cell>
          <cell r="P114">
            <v>299375.44</v>
          </cell>
        </row>
        <row r="115">
          <cell r="B115" t="str">
            <v>MA00104</v>
          </cell>
          <cell r="C115" t="str">
            <v>TANQUE DE ALMACENAMIENTO DE 500 L. (INCLUYE ACCESORIOS DE CONEXIÓN).</v>
          </cell>
          <cell r="D115" t="str">
            <v>UND</v>
          </cell>
          <cell r="P115">
            <v>356089.24</v>
          </cell>
        </row>
        <row r="116">
          <cell r="B116" t="str">
            <v>MA00105</v>
          </cell>
          <cell r="C116" t="str">
            <v>TAPÓN PVC ROSCADO 1/2"</v>
          </cell>
          <cell r="D116" t="str">
            <v>UND</v>
          </cell>
          <cell r="P116">
            <v>773.24</v>
          </cell>
        </row>
        <row r="117">
          <cell r="B117" t="str">
            <v>MA00106</v>
          </cell>
          <cell r="C117" t="str">
            <v>TAPÓN PVC ROSCADO 3/4"</v>
          </cell>
          <cell r="D117" t="str">
            <v>UND</v>
          </cell>
          <cell r="P117">
            <v>832</v>
          </cell>
        </row>
        <row r="118">
          <cell r="B118" t="str">
            <v>MA00107</v>
          </cell>
          <cell r="C118" t="str">
            <v>TEE PVC DE 1/2" T.P.</v>
          </cell>
          <cell r="D118" t="str">
            <v>UND</v>
          </cell>
          <cell r="P118">
            <v>1183.52</v>
          </cell>
        </row>
        <row r="119">
          <cell r="B119" t="str">
            <v>MA00108</v>
          </cell>
          <cell r="C119" t="str">
            <v>TEE PVC DE 3/4" T.P.</v>
          </cell>
          <cell r="D119" t="str">
            <v>UND</v>
          </cell>
          <cell r="P119">
            <v>1997.84</v>
          </cell>
        </row>
        <row r="120">
          <cell r="B120" t="str">
            <v>MA00109</v>
          </cell>
          <cell r="C120" t="str">
            <v>TUBERÍA PVC DE 1/2". T.P. (RDE. 9)</v>
          </cell>
          <cell r="D120" t="str">
            <v>M</v>
          </cell>
          <cell r="P120">
            <v>5399.16</v>
          </cell>
        </row>
        <row r="121">
          <cell r="B121" t="str">
            <v>MA00110</v>
          </cell>
          <cell r="C121" t="str">
            <v>TUBERÍA PVC DE 3/4". T.P. (RDE. 11)</v>
          </cell>
          <cell r="D121" t="str">
            <v>M</v>
          </cell>
          <cell r="P121">
            <v>7178.52</v>
          </cell>
        </row>
        <row r="122">
          <cell r="B122" t="str">
            <v>MA00111</v>
          </cell>
          <cell r="C122" t="str">
            <v>UNION DE 1/2"</v>
          </cell>
          <cell r="D122" t="str">
            <v>UND</v>
          </cell>
          <cell r="P122">
            <v>442.52</v>
          </cell>
        </row>
        <row r="123">
          <cell r="B123" t="str">
            <v>MA00112</v>
          </cell>
          <cell r="C123" t="str">
            <v>UNION DE 3/4"</v>
          </cell>
          <cell r="D123" t="str">
            <v>UND</v>
          </cell>
          <cell r="P123">
            <v>900</v>
          </cell>
        </row>
        <row r="124">
          <cell r="B124" t="str">
            <v>MA00113</v>
          </cell>
          <cell r="C124" t="str">
            <v>VÁLVULA CON FLOTADOR PARA TANQUE ELEVADO</v>
          </cell>
          <cell r="D124" t="str">
            <v>UND</v>
          </cell>
          <cell r="P124">
            <v>69518.8</v>
          </cell>
        </row>
        <row r="125">
          <cell r="B125" t="str">
            <v>MA00114</v>
          </cell>
          <cell r="C125" t="str">
            <v>BRIDA FLEXIBLE PARA INSTALACIÓN DE SANITARIO</v>
          </cell>
          <cell r="D125" t="str">
            <v>UND</v>
          </cell>
          <cell r="P125">
            <v>55016</v>
          </cell>
        </row>
        <row r="126">
          <cell r="B126" t="str">
            <v>MA00115</v>
          </cell>
          <cell r="C126" t="str">
            <v>CODO SANITARIO DE 2" PVC</v>
          </cell>
          <cell r="D126" t="str">
            <v>UND</v>
          </cell>
          <cell r="P126">
            <v>4619.68</v>
          </cell>
        </row>
        <row r="127">
          <cell r="B127" t="str">
            <v>MA00116</v>
          </cell>
          <cell r="C127" t="str">
            <v>CODO SANITARIO DE 3" PVC</v>
          </cell>
          <cell r="D127" t="str">
            <v>UND</v>
          </cell>
          <cell r="P127">
            <v>10696.4</v>
          </cell>
        </row>
        <row r="128">
          <cell r="B128" t="str">
            <v>MA00117</v>
          </cell>
          <cell r="C128" t="str">
            <v>CODO SANITARIO DE 4" PVC</v>
          </cell>
          <cell r="D128" t="str">
            <v>UND</v>
          </cell>
          <cell r="P128">
            <v>18542.68</v>
          </cell>
        </row>
        <row r="129">
          <cell r="B129" t="str">
            <v>MA00118</v>
          </cell>
          <cell r="C129" t="str">
            <v>COMBO SANITARIO + LAVAMANOS BLANCO+DUCHA. (INCLUYE GRIFERÍAS).</v>
          </cell>
          <cell r="D129" t="str">
            <v>UND</v>
          </cell>
          <cell r="P129">
            <v>493464.92</v>
          </cell>
        </row>
        <row r="130">
          <cell r="B130" t="str">
            <v>MA00119</v>
          </cell>
          <cell r="C130" t="str">
            <v>DUCHA CON LLAVE SENCILLA</v>
          </cell>
          <cell r="D130" t="str">
            <v>UND</v>
          </cell>
          <cell r="P130">
            <v>84090.58</v>
          </cell>
        </row>
        <row r="131">
          <cell r="B131" t="str">
            <v>MA00120</v>
          </cell>
          <cell r="C131" t="str">
            <v>LAVAMANOS BLANCO DE COLGAR. INCLUYE GRAPAS DE ANCLAJE</v>
          </cell>
          <cell r="D131" t="str">
            <v>UND</v>
          </cell>
          <cell r="P131">
            <v>90638.78</v>
          </cell>
        </row>
        <row r="132">
          <cell r="B132" t="str">
            <v>MA00121</v>
          </cell>
          <cell r="C132" t="str">
            <v>LAVAPLATOS ACERO INOXIDABLE 0.50 X 0.35 M</v>
          </cell>
          <cell r="D132" t="str">
            <v>UND</v>
          </cell>
          <cell r="P132">
            <v>96616</v>
          </cell>
        </row>
        <row r="133">
          <cell r="B133" t="str">
            <v>MA00122</v>
          </cell>
          <cell r="C133" t="str">
            <v>LAVAPLATOS ACERO INOXIDABLE 0.6 X 0.40 M</v>
          </cell>
          <cell r="D133" t="str">
            <v>UND</v>
          </cell>
          <cell r="P133">
            <v>109096</v>
          </cell>
        </row>
        <row r="134">
          <cell r="B134" t="str">
            <v>MA00123</v>
          </cell>
          <cell r="C134" t="str">
            <v>LAVAPLATOS ACERO INOXIDABLE 1.00 MX 0.50 M DOBLE POCETA</v>
          </cell>
          <cell r="D134" t="str">
            <v>UND</v>
          </cell>
          <cell r="P134">
            <v>640536</v>
          </cell>
        </row>
        <row r="135">
          <cell r="B135" t="str">
            <v>MA00124</v>
          </cell>
          <cell r="C135" t="str">
            <v>MESÓN EN ACERO INOXIDABLE POCETA  (Incluye grifería)</v>
          </cell>
          <cell r="D135" t="str">
            <v>UND</v>
          </cell>
          <cell r="P135">
            <v>423176</v>
          </cell>
        </row>
        <row r="136">
          <cell r="B136" t="str">
            <v>MA00125</v>
          </cell>
          <cell r="C136" t="str">
            <v>ORINAL MEDIANO COMPLETO (Incluye grifería)</v>
          </cell>
          <cell r="D136" t="str">
            <v>UND</v>
          </cell>
          <cell r="P136">
            <v>483496</v>
          </cell>
        </row>
        <row r="137">
          <cell r="B137" t="str">
            <v>MA00126</v>
          </cell>
          <cell r="C137" t="str">
            <v>REJILLA DE PISO PVC DE 3 X 2"</v>
          </cell>
          <cell r="D137" t="str">
            <v>UND</v>
          </cell>
          <cell r="P137">
            <v>3494.4</v>
          </cell>
        </row>
        <row r="138">
          <cell r="B138" t="str">
            <v>MA00127</v>
          </cell>
          <cell r="C138" t="str">
            <v>REJILLA DE PISO PVC DE 4 X 3"</v>
          </cell>
          <cell r="D138" t="str">
            <v>UND</v>
          </cell>
          <cell r="P138">
            <v>6895.72</v>
          </cell>
        </row>
        <row r="139">
          <cell r="B139" t="str">
            <v>MA00128</v>
          </cell>
          <cell r="C139" t="str">
            <v>SANITARIO SENCILLO BLANCO (INCLUYE ACCESORIOS DE CONEXIÓN)</v>
          </cell>
          <cell r="D139" t="str">
            <v>UND</v>
          </cell>
          <cell r="P139">
            <v>268216</v>
          </cell>
        </row>
        <row r="140">
          <cell r="B140" t="str">
            <v>MA00129</v>
          </cell>
          <cell r="C140" t="str">
            <v>SIFÓN SANITARIO DE 2" PVC</v>
          </cell>
          <cell r="D140" t="str">
            <v>UND</v>
          </cell>
          <cell r="P140">
            <v>12527.32</v>
          </cell>
        </row>
        <row r="141">
          <cell r="B141" t="str">
            <v>MA00130</v>
          </cell>
          <cell r="C141" t="str">
            <v>SIFÓN SANITARIO DE 3" PVC</v>
          </cell>
          <cell r="D141" t="str">
            <v>UND</v>
          </cell>
          <cell r="P141">
            <v>15758.6</v>
          </cell>
        </row>
        <row r="142">
          <cell r="B142" t="str">
            <v>MA00131</v>
          </cell>
          <cell r="C142" t="str">
            <v>SIFÓN SANITARIO DE 4" PVC</v>
          </cell>
          <cell r="D142" t="str">
            <v>UND</v>
          </cell>
          <cell r="P142">
            <v>33616.959999999999</v>
          </cell>
        </row>
        <row r="143">
          <cell r="B143" t="str">
            <v>MA00132</v>
          </cell>
          <cell r="C143" t="str">
            <v>TEE SENCILLA SANITARIA DE 2" PVC</v>
          </cell>
          <cell r="D143" t="str">
            <v>UND</v>
          </cell>
          <cell r="P143">
            <v>10013.82</v>
          </cell>
        </row>
        <row r="144">
          <cell r="B144" t="str">
            <v>MA00133</v>
          </cell>
          <cell r="C144" t="str">
            <v>TEE SENCILLA SANITARIA DE 3" PVC</v>
          </cell>
          <cell r="D144" t="str">
            <v>UND</v>
          </cell>
          <cell r="P144">
            <v>12577.76</v>
          </cell>
        </row>
        <row r="145">
          <cell r="B145" t="str">
            <v>MA00134</v>
          </cell>
          <cell r="C145" t="str">
            <v>TEE SENCILLA SANITARIA DE 4" PVC</v>
          </cell>
          <cell r="D145" t="str">
            <v>UND</v>
          </cell>
          <cell r="P145">
            <v>26235.74</v>
          </cell>
        </row>
        <row r="146">
          <cell r="B146" t="str">
            <v>MA00135</v>
          </cell>
          <cell r="C146" t="str">
            <v>TUBERÍA PVC CORRUGADA PARA DRENAJE DE 4" (100 MM)</v>
          </cell>
          <cell r="D146" t="str">
            <v>M</v>
          </cell>
          <cell r="P146">
            <v>26398.84</v>
          </cell>
        </row>
        <row r="147">
          <cell r="B147" t="str">
            <v>MA00136</v>
          </cell>
          <cell r="C147" t="str">
            <v>TUBERÍA PVC DE 2". T.P.</v>
          </cell>
          <cell r="D147" t="str">
            <v>UND</v>
          </cell>
          <cell r="P147">
            <v>24174.62</v>
          </cell>
        </row>
        <row r="148">
          <cell r="B148" t="str">
            <v>MA00137</v>
          </cell>
          <cell r="C148" t="str">
            <v>TUBERÍA SANITARIA DE 3" PVC T.P.</v>
          </cell>
          <cell r="D148" t="str">
            <v>M</v>
          </cell>
          <cell r="P148">
            <v>25832.560000000001</v>
          </cell>
        </row>
        <row r="149">
          <cell r="B149" t="str">
            <v>MA00138</v>
          </cell>
          <cell r="C149" t="str">
            <v>TUBERÍA SANITARIA DE 4" PVC T.P.</v>
          </cell>
          <cell r="D149" t="str">
            <v>M</v>
          </cell>
          <cell r="P149">
            <v>36360.82</v>
          </cell>
        </row>
        <row r="150">
          <cell r="B150" t="str">
            <v>MA00139</v>
          </cell>
          <cell r="C150" t="str">
            <v>UNIÓN PVC SANITARIA DE 2"</v>
          </cell>
          <cell r="D150" t="str">
            <v>UND</v>
          </cell>
          <cell r="P150">
            <v>3960.32</v>
          </cell>
        </row>
        <row r="151">
          <cell r="B151" t="str">
            <v>MA00140</v>
          </cell>
          <cell r="C151" t="str">
            <v>UNIÓN PVC SANITARIA DE 3"</v>
          </cell>
          <cell r="D151" t="str">
            <v>UND</v>
          </cell>
          <cell r="P151">
            <v>5706.82</v>
          </cell>
        </row>
        <row r="152">
          <cell r="B152" t="str">
            <v>MA00141</v>
          </cell>
          <cell r="C152" t="str">
            <v>UNIÓN PVC SANITARIA DE 4"</v>
          </cell>
          <cell r="D152" t="str">
            <v>UND</v>
          </cell>
          <cell r="P152">
            <v>11471.54</v>
          </cell>
        </row>
        <row r="153">
          <cell r="B153" t="str">
            <v>MA00142</v>
          </cell>
          <cell r="C153" t="str">
            <v>LIMPIADOR PVC X 1/4 (ELÉCTRICO)</v>
          </cell>
          <cell r="D153" t="str">
            <v>UND</v>
          </cell>
          <cell r="P153">
            <v>47471.839999999997</v>
          </cell>
        </row>
        <row r="154">
          <cell r="B154" t="str">
            <v>MA00143</v>
          </cell>
          <cell r="C154" t="str">
            <v>REMOVEDOR PVC (LIMPIADOR 1/4 )</v>
          </cell>
          <cell r="D154" t="str">
            <v>GAL</v>
          </cell>
          <cell r="P154">
            <v>54704</v>
          </cell>
        </row>
        <row r="155">
          <cell r="B155" t="str">
            <v>MA00191</v>
          </cell>
          <cell r="C155" t="str">
            <v>PRODUCTOS DE LIMPIEZA (DETERGENTES, LIMPIADORES, ÁCIDOS, ETC.)</v>
          </cell>
          <cell r="D155" t="str">
            <v>UND</v>
          </cell>
          <cell r="P155">
            <v>520</v>
          </cell>
        </row>
        <row r="156">
          <cell r="B156" t="str">
            <v>MA00202</v>
          </cell>
          <cell r="C156" t="str">
            <v>ACIDO MURIÁTICO / NÍTRICO</v>
          </cell>
          <cell r="D156" t="str">
            <v>GAL</v>
          </cell>
          <cell r="P156">
            <v>24700</v>
          </cell>
        </row>
        <row r="157">
          <cell r="B157" t="str">
            <v>MA00144</v>
          </cell>
          <cell r="C157" t="str">
            <v>LUBRICANTE PARA ALAMBRADO DE CABLES</v>
          </cell>
          <cell r="D157" t="str">
            <v>UND</v>
          </cell>
          <cell r="P157">
            <v>34008</v>
          </cell>
        </row>
        <row r="158">
          <cell r="B158" t="str">
            <v>MA00145</v>
          </cell>
          <cell r="C158" t="str">
            <v>LUBRICANTE TUB PVC/500GR</v>
          </cell>
          <cell r="D158" t="str">
            <v>UND</v>
          </cell>
          <cell r="P158">
            <v>32179.16</v>
          </cell>
        </row>
        <row r="159">
          <cell r="B159" t="str">
            <v>MA00146</v>
          </cell>
          <cell r="C159" t="str">
            <v>ESTACA EN MADERA H=0,50 m</v>
          </cell>
          <cell r="D159" t="str">
            <v>UND</v>
          </cell>
          <cell r="P159">
            <v>2400</v>
          </cell>
        </row>
        <row r="160">
          <cell r="B160" t="str">
            <v>MA00147</v>
          </cell>
          <cell r="C160" t="str">
            <v>ESTIBA EN MADERA PARA FORMALETA, DIM. 0,70 m x 1,40 m</v>
          </cell>
          <cell r="D160" t="str">
            <v>UND</v>
          </cell>
          <cell r="P160">
            <v>58000</v>
          </cell>
        </row>
        <row r="161">
          <cell r="B161" t="str">
            <v>MA00148</v>
          </cell>
          <cell r="C161" t="str">
            <v>LISTÓN DE MADERA 2" x 2" x 3 m</v>
          </cell>
          <cell r="D161" t="str">
            <v>UND</v>
          </cell>
          <cell r="P161">
            <v>9900</v>
          </cell>
        </row>
        <row r="162">
          <cell r="B162" t="str">
            <v>MA00149</v>
          </cell>
          <cell r="C162" t="str">
            <v>LISTÓN DE MADERA 2" x 4" x 3 m</v>
          </cell>
          <cell r="D162" t="str">
            <v>UND</v>
          </cell>
          <cell r="P162">
            <v>17000</v>
          </cell>
        </row>
        <row r="163">
          <cell r="B163" t="str">
            <v>MA00150</v>
          </cell>
          <cell r="C163" t="str">
            <v>TABLA BURRA ORDINARIA 10" x 1" x 3m</v>
          </cell>
          <cell r="D163" t="str">
            <v>UND</v>
          </cell>
          <cell r="P163">
            <v>22000</v>
          </cell>
        </row>
        <row r="164">
          <cell r="B164" t="str">
            <v>MA00151</v>
          </cell>
          <cell r="C164" t="str">
            <v>BLOQUE No 4 ESTÁNDAR (0,10x0,20x0,30 m)</v>
          </cell>
          <cell r="D164" t="str">
            <v>UND</v>
          </cell>
          <cell r="P164">
            <v>1847.74</v>
          </cell>
        </row>
        <row r="165">
          <cell r="B165" t="str">
            <v>MA00152</v>
          </cell>
          <cell r="C165" t="str">
            <v>LADRILLO TOLETE COMÚN (20 x 10 x 6 cm)</v>
          </cell>
          <cell r="D165" t="str">
            <v>UND</v>
          </cell>
          <cell r="P165">
            <v>773.06</v>
          </cell>
        </row>
        <row r="166">
          <cell r="B166" t="str">
            <v>MA00002</v>
          </cell>
          <cell r="C166" t="str">
            <v>MASILLA PLÁSTICA  PANEL TEC X CUÑETE (27 KG)</v>
          </cell>
          <cell r="D166" t="str">
            <v>UND</v>
          </cell>
          <cell r="P166">
            <v>67738.66</v>
          </cell>
        </row>
        <row r="167">
          <cell r="B167" t="str">
            <v>MA00207</v>
          </cell>
          <cell r="C167" t="str">
            <v>NUEVO</v>
          </cell>
          <cell r="D167" t="str">
            <v>M</v>
          </cell>
          <cell r="P167">
            <v>5000</v>
          </cell>
        </row>
        <row r="168">
          <cell r="B168" t="str">
            <v>MA00153</v>
          </cell>
          <cell r="C168" t="str">
            <v>ANGULO 1-1/2" X 1/8"</v>
          </cell>
          <cell r="D168" t="str">
            <v>M</v>
          </cell>
          <cell r="P168">
            <v>10902.66</v>
          </cell>
        </row>
        <row r="169">
          <cell r="B169" t="str">
            <v>MA00154</v>
          </cell>
          <cell r="C169" t="str">
            <v>ANGULO 3/4" X 1/8"</v>
          </cell>
          <cell r="D169" t="str">
            <v>M</v>
          </cell>
          <cell r="P169">
            <v>3367.51</v>
          </cell>
        </row>
        <row r="170">
          <cell r="B170" t="str">
            <v>MA00155</v>
          </cell>
          <cell r="C170" t="str">
            <v>ANGULO 30 X 30 X 4.5 MM (1-1/4" X 3/16")</v>
          </cell>
          <cell r="D170" t="str">
            <v>M</v>
          </cell>
          <cell r="P170">
            <v>14511.64</v>
          </cell>
        </row>
        <row r="171">
          <cell r="B171" t="str">
            <v>MA00156</v>
          </cell>
          <cell r="C171" t="str">
            <v>CANAL GALVANIZADA CAL. 20, PREFABRICADA SEGÚN DISEÑO</v>
          </cell>
          <cell r="D171" t="str">
            <v>M</v>
          </cell>
          <cell r="P171">
            <v>26000</v>
          </cell>
        </row>
        <row r="172">
          <cell r="B172" t="str">
            <v>MA00157</v>
          </cell>
          <cell r="C172" t="str">
            <v>LAMINA COLL ROLLED CAL 18 (0,85mm) 1x2 m</v>
          </cell>
          <cell r="D172" t="str">
            <v>UND</v>
          </cell>
          <cell r="P172">
            <v>126500</v>
          </cell>
        </row>
        <row r="173">
          <cell r="B173" t="str">
            <v>MA00158</v>
          </cell>
          <cell r="C173" t="str">
            <v>PERFIL M225 DE 10 cm CAL. 18</v>
          </cell>
          <cell r="D173" t="str">
            <v>M</v>
          </cell>
          <cell r="P173">
            <v>15750</v>
          </cell>
        </row>
        <row r="174">
          <cell r="B174" t="str">
            <v>MA00159</v>
          </cell>
          <cell r="C174" t="str">
            <v>TUBERÍA GALVANIZADA PARA CERRAMIENTO DE 2" X 6 M</v>
          </cell>
          <cell r="D174" t="str">
            <v>M</v>
          </cell>
          <cell r="P174">
            <v>104873.94</v>
          </cell>
        </row>
        <row r="175">
          <cell r="B175" t="str">
            <v>MA00160</v>
          </cell>
          <cell r="C175" t="str">
            <v>TUBO CUADRADO 1" x 1" CAL.18</v>
          </cell>
          <cell r="D175" t="str">
            <v>M</v>
          </cell>
          <cell r="P175">
            <v>7350</v>
          </cell>
        </row>
        <row r="176">
          <cell r="B176" t="str">
            <v>MA00161</v>
          </cell>
          <cell r="C176" t="str">
            <v>TUBO CUADRADO ESTRUCTURAL HR50 4mm 0,10X0,10 M</v>
          </cell>
          <cell r="D176" t="str">
            <v>M</v>
          </cell>
          <cell r="P176">
            <v>35689.17</v>
          </cell>
        </row>
        <row r="177">
          <cell r="B177" t="str">
            <v>MA00162</v>
          </cell>
          <cell r="C177" t="str">
            <v>TUBO RECTANGULAR DE 3" x 1 1/2" CAL.18</v>
          </cell>
          <cell r="D177" t="str">
            <v>M</v>
          </cell>
          <cell r="P177">
            <v>19225</v>
          </cell>
        </row>
        <row r="178">
          <cell r="B178" t="str">
            <v>MA00163</v>
          </cell>
          <cell r="C178" t="str">
            <v>ANTICORROSIVO PRIMER</v>
          </cell>
          <cell r="D178" t="str">
            <v>GAL</v>
          </cell>
          <cell r="P178">
            <v>142916.28</v>
          </cell>
        </row>
        <row r="179">
          <cell r="B179" t="str">
            <v>MA00164</v>
          </cell>
          <cell r="C179" t="str">
            <v>ESFERAS REFLECTIVAS</v>
          </cell>
          <cell r="D179" t="str">
            <v>KG</v>
          </cell>
          <cell r="P179">
            <v>21285.34</v>
          </cell>
        </row>
        <row r="180">
          <cell r="B180" t="str">
            <v>MA00165</v>
          </cell>
          <cell r="C180" t="str">
            <v>ESMALTE ROJO FIESTA P-30</v>
          </cell>
          <cell r="D180" t="str">
            <v>GAL</v>
          </cell>
          <cell r="P180">
            <v>85000</v>
          </cell>
        </row>
        <row r="181">
          <cell r="B181" t="str">
            <v>MA00166</v>
          </cell>
          <cell r="C181" t="str">
            <v>PINTURA ACRÍLICA BASE AGUA PARA DEMARCACIÓN</v>
          </cell>
          <cell r="D181" t="str">
            <v>GAL</v>
          </cell>
          <cell r="P181">
            <v>159384.16</v>
          </cell>
        </row>
        <row r="182">
          <cell r="B182" t="str">
            <v>MA00167</v>
          </cell>
          <cell r="C182" t="str">
            <v>PINTURA ANTICORROSIVO</v>
          </cell>
          <cell r="D182" t="str">
            <v>GAL</v>
          </cell>
          <cell r="P182">
            <v>53442.14</v>
          </cell>
        </row>
        <row r="183">
          <cell r="B183" t="str">
            <v>MA00168</v>
          </cell>
          <cell r="C183" t="str">
            <v>PINTURA DEMARCACIÓN TIPO TRÁFICO</v>
          </cell>
          <cell r="D183" t="str">
            <v>GAL</v>
          </cell>
          <cell r="P183">
            <v>160923.01999999999</v>
          </cell>
        </row>
        <row r="184">
          <cell r="B184" t="str">
            <v>MA00169</v>
          </cell>
          <cell r="C184" t="str">
            <v>PINTURA ESMALTE SINTÉTICO TIPO I</v>
          </cell>
          <cell r="D184" t="str">
            <v>GAL</v>
          </cell>
          <cell r="P184">
            <v>96598.66</v>
          </cell>
        </row>
        <row r="185">
          <cell r="B185" t="str">
            <v>MA00170</v>
          </cell>
          <cell r="C185" t="str">
            <v>PINTURA VINILO TIPO 1</v>
          </cell>
          <cell r="D185" t="str">
            <v>GAL</v>
          </cell>
          <cell r="P185">
            <v>78587.94</v>
          </cell>
        </row>
        <row r="186">
          <cell r="B186" t="str">
            <v>MA00171</v>
          </cell>
          <cell r="C186" t="str">
            <v>RODILLO 9"</v>
          </cell>
          <cell r="D186" t="str">
            <v>UND</v>
          </cell>
          <cell r="P186">
            <v>7200</v>
          </cell>
        </row>
        <row r="187">
          <cell r="B187" t="str">
            <v>MA00192</v>
          </cell>
          <cell r="C187" t="str">
            <v>PINTURA VINILO PARA EXTERIOR TIPO KORAZA O SIMILAR</v>
          </cell>
          <cell r="D187" t="str">
            <v>GAL</v>
          </cell>
          <cell r="P187">
            <v>116943.32</v>
          </cell>
        </row>
        <row r="188">
          <cell r="B188" t="str">
            <v>MA00193</v>
          </cell>
          <cell r="C188" t="str">
            <v>LIJA DE AGUA No. 120</v>
          </cell>
          <cell r="D188" t="str">
            <v>UND</v>
          </cell>
          <cell r="P188">
            <v>1918.8</v>
          </cell>
        </row>
        <row r="189">
          <cell r="B189" t="str">
            <v>MA00199</v>
          </cell>
          <cell r="C189" t="str">
            <v>PINTURA ACRÍLICA ANTIDESLIZANTE PARA CANCHAS - TRÁFICO. (COLOR A ELECCIÓN).</v>
          </cell>
          <cell r="D189" t="str">
            <v>GAL</v>
          </cell>
          <cell r="P189">
            <v>160102.79999999999</v>
          </cell>
        </row>
        <row r="190">
          <cell r="B190" t="str">
            <v>MA00200</v>
          </cell>
          <cell r="C190" t="str">
            <v>BASE ACRÍLICA ANTIDESLIZANTE PARA CANCHAS - TRÁFICO. (COLOR NEGRO).</v>
          </cell>
          <cell r="D190" t="str">
            <v>GAL</v>
          </cell>
          <cell r="P190">
            <v>150482.79999999999</v>
          </cell>
        </row>
        <row r="191">
          <cell r="B191" t="str">
            <v>MA00172</v>
          </cell>
          <cell r="C191" t="str">
            <v>SARDINEL PREFABRICADO A-10</v>
          </cell>
          <cell r="D191" t="str">
            <v>UND</v>
          </cell>
          <cell r="P191">
            <v>44413.2</v>
          </cell>
        </row>
        <row r="192">
          <cell r="B192" t="str">
            <v>MA00173</v>
          </cell>
          <cell r="C192" t="str">
            <v>SARDINEL PREFABRICADO A-100</v>
          </cell>
          <cell r="D192" t="str">
            <v>UND</v>
          </cell>
          <cell r="P192">
            <v>41156.44</v>
          </cell>
        </row>
        <row r="193">
          <cell r="B193" t="str">
            <v>MA00174</v>
          </cell>
          <cell r="C193" t="str">
            <v>SARDINEL PREFABRICADO A-85</v>
          </cell>
          <cell r="D193" t="str">
            <v>UND</v>
          </cell>
          <cell r="P193">
            <v>38143.040000000001</v>
          </cell>
        </row>
        <row r="194">
          <cell r="B194" t="str">
            <v>MA00175</v>
          </cell>
          <cell r="C194" t="str">
            <v>SILICONA LIQUIDA 300 ML</v>
          </cell>
          <cell r="D194" t="str">
            <v>UND</v>
          </cell>
          <cell r="P194">
            <v>10350</v>
          </cell>
        </row>
        <row r="195">
          <cell r="B195" t="str">
            <v>MA00176</v>
          </cell>
          <cell r="C195" t="str">
            <v>SELLANTE POLIURETANO TIPO SIKA FLEX PRO 3WF O SIMILAR</v>
          </cell>
          <cell r="D195" t="str">
            <v>UND</v>
          </cell>
          <cell r="P195">
            <v>37509.339999999997</v>
          </cell>
        </row>
        <row r="196">
          <cell r="B196" t="str">
            <v>MA00177</v>
          </cell>
          <cell r="C196" t="str">
            <v>ESPUMA DE POLIETILENO TIPO SIKA-ROD</v>
          </cell>
          <cell r="D196" t="str">
            <v>M</v>
          </cell>
          <cell r="P196">
            <v>1878.3</v>
          </cell>
        </row>
        <row r="197">
          <cell r="B197" t="str">
            <v>MA00178</v>
          </cell>
          <cell r="C197" t="str">
            <v>SELLANTE POLIURETANO TIPO SIKA FLEX PRO 3WF O SIMILAR</v>
          </cell>
          <cell r="D197" t="str">
            <v>UND</v>
          </cell>
          <cell r="P197">
            <v>37509.339999999997</v>
          </cell>
        </row>
        <row r="198">
          <cell r="B198" t="str">
            <v>MA00179</v>
          </cell>
          <cell r="C198" t="str">
            <v>SELLA SIL SOPORTE 1/2", SOPORTE BASE PARA SELLO DE JUNTAS DE DILATACIÓN O SIMILAR</v>
          </cell>
          <cell r="D198" t="str">
            <v>M</v>
          </cell>
          <cell r="P198">
            <v>921.96</v>
          </cell>
        </row>
        <row r="199">
          <cell r="B199" t="str">
            <v>MA00180</v>
          </cell>
          <cell r="C199" t="str">
            <v>VULKEM 45 SSL, SELLANTE MOCO COMPONENTE DE POLIURETANO, AUTO- NIVELANTE O SIMILAR</v>
          </cell>
          <cell r="D199" t="str">
            <v>GAL</v>
          </cell>
          <cell r="P199">
            <v>193688.92</v>
          </cell>
        </row>
        <row r="200">
          <cell r="B200" t="str">
            <v>MA00181</v>
          </cell>
          <cell r="C200" t="str">
            <v>CINTA DE DEMARCACIÓN Cal. 3 (ROLLO 500mx0.10m)</v>
          </cell>
          <cell r="D200" t="str">
            <v>M</v>
          </cell>
          <cell r="P200">
            <v>67.91</v>
          </cell>
        </row>
        <row r="201">
          <cell r="B201" t="str">
            <v>MA00182</v>
          </cell>
          <cell r="C201" t="str">
            <v>SEÑAL PREVENTIVA INFORMATIVA Y REGLAMENTARIA 60 x 60</v>
          </cell>
          <cell r="D201" t="str">
            <v>UND</v>
          </cell>
          <cell r="P201">
            <v>338346.66</v>
          </cell>
        </row>
        <row r="202">
          <cell r="B202" t="str">
            <v>MA00183</v>
          </cell>
          <cell r="C202" t="str">
            <v>SEÑAL REGLAMENTARIA PARA OBRA 75 CM</v>
          </cell>
          <cell r="D202" t="str">
            <v>UND</v>
          </cell>
          <cell r="P202">
            <v>362700</v>
          </cell>
        </row>
        <row r="203">
          <cell r="B203" t="str">
            <v>MA00184</v>
          </cell>
          <cell r="C203" t="str">
            <v>SOLDADURA 6011 x 1/8"</v>
          </cell>
          <cell r="D203" t="str">
            <v>KG</v>
          </cell>
          <cell r="P203">
            <v>16165.24</v>
          </cell>
        </row>
        <row r="204">
          <cell r="B204" t="str">
            <v>MA00185</v>
          </cell>
          <cell r="C204" t="str">
            <v>SOLDADURA 70/18 1/8</v>
          </cell>
          <cell r="D204" t="str">
            <v>KG</v>
          </cell>
          <cell r="P204">
            <v>27600</v>
          </cell>
        </row>
        <row r="205">
          <cell r="B205" t="str">
            <v>MA00186</v>
          </cell>
          <cell r="C205" t="str">
            <v>SOLDADURA DE ESTAÑO</v>
          </cell>
          <cell r="D205" t="str">
            <v>KG</v>
          </cell>
          <cell r="P205">
            <v>1352</v>
          </cell>
        </row>
        <row r="206">
          <cell r="B206" t="str">
            <v>MA00187</v>
          </cell>
          <cell r="C206" t="str">
            <v>SOLDADURA ELÉCTRICA 6013</v>
          </cell>
          <cell r="D206" t="str">
            <v>KG</v>
          </cell>
          <cell r="P206">
            <v>27600</v>
          </cell>
        </row>
        <row r="207">
          <cell r="B207" t="str">
            <v>MA00188</v>
          </cell>
          <cell r="C207" t="str">
            <v>SOLDADURA LIQUIDA PVC 1/4"</v>
          </cell>
          <cell r="D207" t="str">
            <v>GAL</v>
          </cell>
          <cell r="P207">
            <v>67444</v>
          </cell>
        </row>
        <row r="208">
          <cell r="B208" t="str">
            <v>MA00189</v>
          </cell>
          <cell r="C208" t="str">
            <v>VENTANA CORREDIZA EN ALUMINIO BLANCO/ANODIZADO</v>
          </cell>
          <cell r="D208" t="str">
            <v>M2</v>
          </cell>
          <cell r="P208">
            <v>365521.18</v>
          </cell>
        </row>
        <row r="209">
          <cell r="B209" t="str">
            <v>MA00190</v>
          </cell>
          <cell r="C209" t="str">
            <v>VIDRIO INCOLORO DE 5 MM.</v>
          </cell>
          <cell r="D209" t="str">
            <v>M2</v>
          </cell>
          <cell r="P209">
            <v>83200</v>
          </cell>
        </row>
      </sheetData>
      <sheetData sheetId="5" refreshError="1">
        <row r="1">
          <cell r="A1"/>
        </row>
        <row r="2">
          <cell r="A2" t="str">
            <v>ID</v>
          </cell>
          <cell r="B2" t="str">
            <v>DESCRIPCIÓN</v>
          </cell>
          <cell r="C2" t="str">
            <v>U.M.</v>
          </cell>
          <cell r="D2" t="str">
            <v>VALOR UNITARIO</v>
          </cell>
        </row>
        <row r="3">
          <cell r="A3" t="str">
            <v>TR00001</v>
          </cell>
          <cell r="B3" t="str">
            <v>AGREGADOS DESPUÉS DE 5 KM</v>
          </cell>
          <cell r="C3" t="str">
            <v>M3/KM</v>
          </cell>
          <cell r="D3">
            <v>1850</v>
          </cell>
        </row>
        <row r="4">
          <cell r="A4" t="str">
            <v>TR00002</v>
          </cell>
          <cell r="B4" t="str">
            <v>ESCOMBROS / SOBRANTES HASTA 5 KM</v>
          </cell>
          <cell r="C4" t="str">
            <v>M3/KM</v>
          </cell>
          <cell r="D4">
            <v>2300</v>
          </cell>
        </row>
        <row r="5">
          <cell r="A5" t="str">
            <v>TR00003</v>
          </cell>
          <cell r="B5" t="str">
            <v xml:space="preserve">VEHICULAR KM ADICIONAL </v>
          </cell>
          <cell r="C5" t="str">
            <v>TON/KM</v>
          </cell>
          <cell r="D5">
            <v>5000</v>
          </cell>
        </row>
        <row r="6">
          <cell r="A6" t="str">
            <v>TR00004</v>
          </cell>
          <cell r="B6" t="str">
            <v>CARGA MULAR (90 KG)</v>
          </cell>
          <cell r="C6" t="str">
            <v>KG/KM</v>
          </cell>
          <cell r="D6">
            <v>350</v>
          </cell>
        </row>
        <row r="17">
          <cell r="D17"/>
        </row>
      </sheetData>
      <sheetData sheetId="6" refreshError="1">
        <row r="3">
          <cell r="A3" t="str">
            <v>ID</v>
          </cell>
          <cell r="B3" t="str">
            <v>DESCRIPCIÓN</v>
          </cell>
          <cell r="D3" t="str">
            <v>VALOR UNITARIO</v>
          </cell>
        </row>
        <row r="4">
          <cell r="A4" t="str">
            <v>MO00001</v>
          </cell>
          <cell r="B4" t="str">
            <v>MAESTRO GENERAL</v>
          </cell>
          <cell r="D4">
            <v>133570</v>
          </cell>
        </row>
        <row r="5">
          <cell r="A5" t="str">
            <v>MO00002</v>
          </cell>
          <cell r="B5" t="str">
            <v>OFICIAL</v>
          </cell>
          <cell r="D5">
            <v>95930</v>
          </cell>
        </row>
        <row r="6">
          <cell r="A6" t="str">
            <v>MO00003</v>
          </cell>
          <cell r="B6" t="str">
            <v>AYUDANTE (1)</v>
          </cell>
          <cell r="D6">
            <v>71433</v>
          </cell>
        </row>
        <row r="7">
          <cell r="A7" t="str">
            <v>MO00004</v>
          </cell>
          <cell r="B7" t="str">
            <v>AYUDANTE (2)</v>
          </cell>
          <cell r="D7">
            <v>142866</v>
          </cell>
        </row>
        <row r="8">
          <cell r="A8" t="str">
            <v>MO00005</v>
          </cell>
          <cell r="B8" t="str">
            <v>AYUDANTE (3)</v>
          </cell>
          <cell r="D8">
            <v>214299</v>
          </cell>
        </row>
        <row r="9">
          <cell r="A9" t="str">
            <v>MO00006</v>
          </cell>
          <cell r="B9" t="str">
            <v>AYUDANTE (4)</v>
          </cell>
          <cell r="D9">
            <v>285732</v>
          </cell>
        </row>
        <row r="10">
          <cell r="A10" t="str">
            <v>MO00007</v>
          </cell>
          <cell r="B10" t="str">
            <v>AYUDANTE (5)</v>
          </cell>
          <cell r="D10">
            <v>357165</v>
          </cell>
        </row>
        <row r="11">
          <cell r="A11" t="str">
            <v>MO00008</v>
          </cell>
          <cell r="B11" t="str">
            <v>AYUDANTE (6)</v>
          </cell>
          <cell r="D11">
            <v>428598</v>
          </cell>
        </row>
        <row r="12">
          <cell r="A12" t="str">
            <v>MO00009</v>
          </cell>
          <cell r="B12" t="str">
            <v>ELÉCTRICO</v>
          </cell>
          <cell r="D12">
            <v>121352</v>
          </cell>
        </row>
        <row r="13">
          <cell r="A13" t="str">
            <v>MO00010</v>
          </cell>
          <cell r="B13" t="str">
            <v>SOLDADOR</v>
          </cell>
          <cell r="D13">
            <v>133570</v>
          </cell>
        </row>
        <row r="14">
          <cell r="A14" t="str">
            <v>MO00012</v>
          </cell>
          <cell r="B14" t="str">
            <v>TOPÓGRAFO</v>
          </cell>
          <cell r="D14">
            <v>237250</v>
          </cell>
        </row>
        <row r="15">
          <cell r="A15" t="str">
            <v>MO00013</v>
          </cell>
          <cell r="B15" t="str">
            <v>AUXILIAR TOPOGRAFÍA (1)</v>
          </cell>
          <cell r="D15">
            <v>118625.04</v>
          </cell>
        </row>
        <row r="16">
          <cell r="A16" t="str">
            <v>MO00014</v>
          </cell>
          <cell r="B16" t="str">
            <v>CADENERO</v>
          </cell>
          <cell r="D16">
            <v>81175.039999999994</v>
          </cell>
        </row>
      </sheetData>
      <sheetData sheetId="7" refreshError="1">
        <row r="21">
          <cell r="E21">
            <v>1.95</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3">
    <wetp:webextensionref xmlns:r="http://schemas.openxmlformats.org/officeDocument/2006/relationships" r:id="rId1"/>
  </wetp:taskpane>
</wetp:taskpanes>
</file>

<file path=xl/webextensions/webextension1.xml><?xml version="1.0" encoding="utf-8"?>
<we:webextension xmlns:we="http://schemas.microsoft.com/office/webextensions/webextension/2010/11" id="{28ECBA9C-102D-49BC-B103-6DC7D7D02956}">
  <we:reference id="wa200010215" version="2.0.0.0" store="es-ES" storeType="OMEX"/>
  <we:alternateReferences>
    <we:reference id="wa200010215" version="2.0.0.0" store="WA200010215" storeType="OMEX"/>
  </we:alternateReferences>
  <we:properties>
    <we:property name="bps.codex_control.document_id" value="&quot;e31727e9-5bbb-4600-90c4-6cbfece1ccb5&quot;"/>
  </we:properties>
  <we:bindings/>
  <we:snapshot xmlns:r="http://schemas.openxmlformats.org/officeDocument/2006/relationships"/>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AE7C27-7425-484A-8730-B4E312219783}">
  <sheetPr>
    <pageSetUpPr fitToPage="1"/>
  </sheetPr>
  <dimension ref="A2:AM2004"/>
  <sheetViews>
    <sheetView view="pageBreakPreview" zoomScale="70" zoomScaleNormal="60" zoomScaleSheetLayoutView="70" workbookViewId="0">
      <selection activeCell="W4" sqref="W4"/>
    </sheetView>
  </sheetViews>
  <sheetFormatPr baseColWidth="10" defaultColWidth="11.42578125" defaultRowHeight="12.75"/>
  <cols>
    <col min="1" max="1" width="19.140625" style="383" customWidth="1"/>
    <col min="2" max="2" width="4" style="383" customWidth="1"/>
    <col min="3" max="4" width="11.42578125" style="383"/>
    <col min="5" max="5" width="14" style="383" customWidth="1"/>
    <col min="6" max="8" width="11.42578125" style="383"/>
    <col min="9" max="9" width="18.85546875" style="383" customWidth="1"/>
    <col min="10" max="10" width="20.42578125" style="444" customWidth="1"/>
    <col min="11" max="11" width="11.42578125" style="383"/>
    <col min="12" max="12" width="12.7109375" style="383" bestFit="1" customWidth="1"/>
    <col min="13" max="18" width="11.42578125" style="383"/>
    <col min="19" max="19" width="16.7109375" style="383" customWidth="1"/>
    <col min="20" max="20" width="5.7109375" style="383" customWidth="1"/>
    <col min="21" max="23" width="11.42578125" style="383"/>
    <col min="24" max="24" width="13.5703125" style="458" customWidth="1"/>
    <col min="25" max="25" width="17.85546875" style="471" customWidth="1"/>
    <col min="26" max="27" width="11.42578125" style="471"/>
    <col min="28" max="28" width="11.42578125" style="383"/>
    <col min="29" max="29" width="17" style="383" bestFit="1" customWidth="1"/>
    <col min="30" max="30" width="11.42578125" style="383"/>
    <col min="31" max="31" width="15.85546875" style="383" customWidth="1"/>
    <col min="32" max="16384" width="11.42578125" style="383"/>
  </cols>
  <sheetData>
    <row r="2" spans="3:22" ht="13.5" thickBot="1"/>
    <row r="3" spans="3:22">
      <c r="C3" s="384"/>
      <c r="D3" s="385"/>
      <c r="E3" s="385"/>
      <c r="F3" s="385"/>
      <c r="G3" s="385"/>
      <c r="H3" s="385"/>
      <c r="I3" s="385"/>
      <c r="J3" s="445"/>
      <c r="K3" s="385"/>
      <c r="L3" s="385"/>
      <c r="M3" s="385"/>
      <c r="N3" s="385"/>
      <c r="O3" s="385"/>
      <c r="P3" s="385"/>
      <c r="Q3" s="385"/>
      <c r="R3" s="385"/>
      <c r="S3" s="386"/>
    </row>
    <row r="4" spans="3:22" ht="117" customHeight="1" thickBot="1">
      <c r="C4" s="387"/>
      <c r="D4" s="388"/>
      <c r="E4" s="388"/>
      <c r="F4" s="388"/>
      <c r="G4" s="388"/>
      <c r="H4" s="388"/>
      <c r="I4" s="388"/>
      <c r="J4" s="446"/>
      <c r="K4" s="388"/>
      <c r="L4" s="388"/>
      <c r="M4" s="388"/>
      <c r="N4" s="388"/>
      <c r="O4" s="388"/>
      <c r="P4" s="388"/>
      <c r="Q4" s="388"/>
      <c r="R4" s="388"/>
      <c r="S4" s="389"/>
    </row>
    <row r="5" spans="3:22">
      <c r="C5" s="592" t="str">
        <f>+[42]DATOS!C$7</f>
        <v>MEJORAMIENTO DE VIVIENDA CON ENFOQUE DIFERENCIAL PARA POBLACIÓN VULNERABLE EN EL MUNICIPIO DE CUBARÁ, BOYACÁ (2026).</v>
      </c>
      <c r="D5" s="593"/>
      <c r="E5" s="593"/>
      <c r="F5" s="593"/>
      <c r="G5" s="593"/>
      <c r="H5" s="593"/>
      <c r="I5" s="593"/>
      <c r="J5" s="593"/>
      <c r="K5" s="593"/>
      <c r="L5" s="593"/>
      <c r="M5" s="593"/>
      <c r="N5" s="593"/>
      <c r="O5" s="593"/>
      <c r="P5" s="593"/>
      <c r="Q5" s="593"/>
      <c r="R5" s="593"/>
      <c r="S5" s="594"/>
    </row>
    <row r="6" spans="3:22">
      <c r="C6" s="595"/>
      <c r="D6" s="596"/>
      <c r="E6" s="596"/>
      <c r="F6" s="596"/>
      <c r="G6" s="596"/>
      <c r="H6" s="596"/>
      <c r="I6" s="596"/>
      <c r="J6" s="596"/>
      <c r="K6" s="596"/>
      <c r="L6" s="596"/>
      <c r="M6" s="596"/>
      <c r="N6" s="596"/>
      <c r="O6" s="596"/>
      <c r="P6" s="596"/>
      <c r="Q6" s="596"/>
      <c r="R6" s="596"/>
      <c r="S6" s="597"/>
    </row>
    <row r="7" spans="3:22">
      <c r="C7" s="598" t="s">
        <v>371</v>
      </c>
      <c r="D7" s="599"/>
      <c r="E7" s="599"/>
      <c r="F7" s="599"/>
      <c r="G7" s="599"/>
      <c r="H7" s="599"/>
      <c r="I7" s="599"/>
      <c r="J7" s="599"/>
      <c r="K7" s="599"/>
      <c r="L7" s="599"/>
      <c r="M7" s="599"/>
      <c r="N7" s="599"/>
      <c r="O7" s="599"/>
      <c r="P7" s="599"/>
      <c r="Q7" s="599"/>
      <c r="R7" s="599"/>
      <c r="S7" s="600"/>
    </row>
    <row r="8" spans="3:22">
      <c r="C8" s="586" t="s">
        <v>372</v>
      </c>
      <c r="D8" s="587"/>
      <c r="E8" s="601" t="s">
        <v>373</v>
      </c>
      <c r="F8" s="601"/>
      <c r="G8" s="601"/>
      <c r="H8" s="601"/>
      <c r="I8" s="601"/>
      <c r="J8" s="601"/>
      <c r="K8" s="601"/>
      <c r="L8" s="601"/>
      <c r="M8" s="601"/>
      <c r="N8" s="601"/>
      <c r="O8" s="601"/>
      <c r="P8" s="601"/>
      <c r="Q8" s="601"/>
      <c r="R8" s="601"/>
      <c r="S8" s="602"/>
    </row>
    <row r="9" spans="3:22">
      <c r="C9" s="586" t="s">
        <v>374</v>
      </c>
      <c r="D9" s="587"/>
      <c r="E9" s="603" t="s">
        <v>375</v>
      </c>
      <c r="F9" s="604"/>
      <c r="G9" s="604"/>
      <c r="H9" s="604"/>
      <c r="I9" s="604"/>
      <c r="J9" s="604"/>
      <c r="K9" s="604"/>
      <c r="L9" s="604"/>
      <c r="M9" s="604"/>
      <c r="N9" s="604"/>
      <c r="O9" s="604"/>
      <c r="P9" s="604"/>
      <c r="Q9" s="604"/>
      <c r="R9" s="604"/>
      <c r="S9" s="605"/>
    </row>
    <row r="10" spans="3:22">
      <c r="C10" s="586" t="s">
        <v>376</v>
      </c>
      <c r="D10" s="587"/>
      <c r="E10" s="390">
        <f>+[42]DATOS!F$5</f>
        <v>46143</v>
      </c>
      <c r="F10" s="391"/>
      <c r="G10" s="391"/>
      <c r="H10" s="391"/>
      <c r="I10" s="391"/>
      <c r="J10" s="391"/>
      <c r="K10" s="568" t="s">
        <v>377</v>
      </c>
      <c r="L10" s="568"/>
      <c r="M10" s="588" t="s">
        <v>378</v>
      </c>
      <c r="N10" s="588"/>
      <c r="O10" s="588"/>
      <c r="P10" s="588"/>
      <c r="Q10" s="588"/>
      <c r="R10" s="588"/>
      <c r="S10" s="589"/>
    </row>
    <row r="11" spans="3:22" ht="25.5">
      <c r="C11" s="586" t="s">
        <v>379</v>
      </c>
      <c r="D11" s="587"/>
      <c r="E11" s="590" t="s">
        <v>380</v>
      </c>
      <c r="F11" s="591"/>
      <c r="G11" s="392">
        <f>+[42]DATOS!E$5</f>
        <v>2026</v>
      </c>
      <c r="H11" s="393" t="s">
        <v>381</v>
      </c>
      <c r="I11" s="394">
        <f>+[42]DATOS!E$5</f>
        <v>2026</v>
      </c>
      <c r="J11" s="395"/>
      <c r="K11" s="568" t="s">
        <v>382</v>
      </c>
      <c r="L11" s="568"/>
      <c r="M11" s="588" t="s">
        <v>383</v>
      </c>
      <c r="N11" s="588"/>
      <c r="O11" s="588"/>
      <c r="P11" s="588"/>
      <c r="Q11" s="588"/>
      <c r="R11" s="588"/>
      <c r="S11" s="589"/>
    </row>
    <row r="12" spans="3:22">
      <c r="C12" s="396"/>
      <c r="D12" s="397"/>
      <c r="E12" s="397"/>
      <c r="F12" s="398"/>
      <c r="G12" s="398"/>
      <c r="H12" s="398"/>
      <c r="I12" s="398"/>
      <c r="J12" s="398"/>
      <c r="K12" s="398"/>
      <c r="L12" s="398"/>
      <c r="M12" s="398"/>
      <c r="N12" s="398"/>
      <c r="O12" s="398"/>
      <c r="P12" s="398"/>
      <c r="Q12" s="398"/>
      <c r="R12" s="398"/>
      <c r="S12" s="399"/>
    </row>
    <row r="13" spans="3:22">
      <c r="C13" s="572" t="s">
        <v>384</v>
      </c>
      <c r="D13" s="573"/>
      <c r="E13" s="573"/>
      <c r="F13" s="573"/>
      <c r="G13" s="573"/>
      <c r="H13" s="573"/>
      <c r="I13" s="573"/>
      <c r="J13" s="573"/>
      <c r="K13" s="573"/>
      <c r="L13" s="573"/>
      <c r="M13" s="573"/>
      <c r="N13" s="573"/>
      <c r="O13" s="573"/>
      <c r="P13" s="573"/>
      <c r="Q13" s="573"/>
      <c r="R13" s="573"/>
      <c r="S13" s="574"/>
    </row>
    <row r="14" spans="3:22">
      <c r="C14" s="396"/>
      <c r="D14" s="397"/>
      <c r="E14" s="397"/>
      <c r="F14" s="398"/>
      <c r="G14" s="398"/>
      <c r="H14" s="398"/>
      <c r="I14" s="398"/>
      <c r="J14" s="398"/>
      <c r="K14" s="398"/>
      <c r="L14" s="398"/>
      <c r="M14" s="398"/>
      <c r="N14" s="398"/>
      <c r="O14" s="398"/>
      <c r="P14" s="398"/>
      <c r="Q14" s="398"/>
      <c r="R14" s="398"/>
      <c r="S14" s="399"/>
    </row>
    <row r="15" spans="3:22">
      <c r="C15" s="400" t="s">
        <v>385</v>
      </c>
      <c r="D15" s="575" t="s">
        <v>386</v>
      </c>
      <c r="E15" s="575"/>
      <c r="F15" s="576" t="s">
        <v>387</v>
      </c>
      <c r="G15" s="577"/>
      <c r="H15" s="577"/>
      <c r="I15" s="576" t="s">
        <v>388</v>
      </c>
      <c r="J15" s="576" t="s">
        <v>389</v>
      </c>
      <c r="K15" s="579"/>
      <c r="L15" s="581" t="s">
        <v>390</v>
      </c>
      <c r="M15" s="581"/>
      <c r="N15" s="581"/>
      <c r="O15" s="581"/>
      <c r="P15" s="581"/>
      <c r="Q15" s="581"/>
      <c r="R15" s="581" t="s">
        <v>391</v>
      </c>
      <c r="S15" s="582"/>
    </row>
    <row r="16" spans="3:22" ht="38.25">
      <c r="C16" s="403">
        <f>+'PRESUPUESTO OFICIAL '!C61</f>
        <v>5.01</v>
      </c>
      <c r="D16" s="583" t="str">
        <f>+VLOOKUP(C16,'PRESUPUESTO OFICIAL '!$C$11:$H$103,2)</f>
        <v>SUMINISTRO E INSTALACIÓN DE ALIMENTADOR PARCIAL MONOFÁSICO EN CABLE DE COBRE No.12 AWG ( F,N,T). (INCLUYE TUBO PVC DE 1/2")</v>
      </c>
      <c r="E16" s="584"/>
      <c r="F16" s="585" t="str">
        <f>+VLOOKUP(C16,'PRESUPUESTO OFICIAL '!$C$11:$H$103,3)</f>
        <v>M</v>
      </c>
      <c r="G16" s="585"/>
      <c r="H16" s="585"/>
      <c r="I16" s="578"/>
      <c r="J16" s="578"/>
      <c r="K16" s="580"/>
      <c r="L16" s="401" t="s">
        <v>392</v>
      </c>
      <c r="M16" s="401" t="s">
        <v>393</v>
      </c>
      <c r="N16" s="401" t="s">
        <v>394</v>
      </c>
      <c r="O16" s="401" t="s">
        <v>395</v>
      </c>
      <c r="P16" s="401" t="s">
        <v>396</v>
      </c>
      <c r="Q16" s="401" t="s">
        <v>397</v>
      </c>
      <c r="R16" s="401" t="s">
        <v>398</v>
      </c>
      <c r="S16" s="402" t="s">
        <v>399</v>
      </c>
      <c r="U16" s="404">
        <f>+C16</f>
        <v>5.01</v>
      </c>
      <c r="V16" s="405">
        <f>+S64</f>
        <v>341.62</v>
      </c>
    </row>
    <row r="17" spans="1:39">
      <c r="C17" s="406"/>
      <c r="D17" s="407"/>
      <c r="E17" s="407"/>
      <c r="F17" s="407"/>
      <c r="G17" s="407"/>
      <c r="H17" s="407"/>
      <c r="I17" s="558"/>
      <c r="J17" s="559"/>
      <c r="K17" s="560"/>
      <c r="L17" s="560"/>
      <c r="M17" s="560"/>
      <c r="N17" s="560"/>
      <c r="O17" s="560"/>
      <c r="P17" s="560"/>
      <c r="Q17" s="560"/>
      <c r="R17" s="560"/>
      <c r="S17" s="561"/>
    </row>
    <row r="18" spans="1:39">
      <c r="A18" s="383">
        <v>1</v>
      </c>
      <c r="C18" s="406"/>
      <c r="D18" s="407"/>
      <c r="E18" s="407"/>
      <c r="F18" s="407"/>
      <c r="G18" s="407"/>
      <c r="H18" s="407"/>
      <c r="I18" s="408" t="s">
        <v>400</v>
      </c>
      <c r="J18" s="409" t="str">
        <f t="shared" ref="J18:J60" si="0">+VLOOKUP(K18,$AH$22:$AJ$58,2,)</f>
        <v>M=(Largo) x Cant</v>
      </c>
      <c r="K18" s="410" t="str">
        <f>+F16</f>
        <v>M</v>
      </c>
      <c r="L18" s="411"/>
      <c r="M18" s="412"/>
      <c r="N18" s="442"/>
      <c r="O18" s="457">
        <f>+S18</f>
        <v>0</v>
      </c>
      <c r="P18" s="413"/>
      <c r="Q18" s="413"/>
      <c r="R18" s="413"/>
      <c r="S18" s="414">
        <f>+HLOOKUP(A18,[238]Hoja1!$2:$78,48,FALSE)</f>
        <v>0</v>
      </c>
      <c r="X18" s="458">
        <f t="shared" ref="X18:X39" si="1">+N18*O18</f>
        <v>0</v>
      </c>
    </row>
    <row r="19" spans="1:39">
      <c r="A19" s="383">
        <v>2</v>
      </c>
      <c r="C19" s="406"/>
      <c r="D19" s="407"/>
      <c r="E19" s="407"/>
      <c r="F19" s="407"/>
      <c r="G19" s="407"/>
      <c r="H19" s="407"/>
      <c r="I19" s="408" t="s">
        <v>401</v>
      </c>
      <c r="J19" s="409" t="str">
        <f t="shared" si="0"/>
        <v>M=(Largo) x Cant</v>
      </c>
      <c r="K19" s="410" t="str">
        <f>+K18</f>
        <v>M</v>
      </c>
      <c r="L19" s="411"/>
      <c r="M19" s="412"/>
      <c r="N19" s="442"/>
      <c r="O19" s="457">
        <f t="shared" ref="O19:O60" si="2">+S19</f>
        <v>7</v>
      </c>
      <c r="P19" s="413"/>
      <c r="Q19" s="413"/>
      <c r="R19" s="413">
        <v>1</v>
      </c>
      <c r="S19" s="414">
        <f>+HLOOKUP(A19,[238]Hoja1!$2:$78,48,FALSE)</f>
        <v>7</v>
      </c>
      <c r="X19" s="458">
        <f t="shared" si="1"/>
        <v>0</v>
      </c>
      <c r="Y19" s="471">
        <f t="shared" ref="Y19:Y39" si="3">+X19 -L19</f>
        <v>0</v>
      </c>
    </row>
    <row r="20" spans="1:39">
      <c r="A20" s="383">
        <v>3</v>
      </c>
      <c r="C20" s="406"/>
      <c r="D20" s="407"/>
      <c r="E20" s="407"/>
      <c r="F20" s="407"/>
      <c r="G20" s="407"/>
      <c r="H20" s="407"/>
      <c r="I20" s="408" t="s">
        <v>402</v>
      </c>
      <c r="J20" s="409" t="str">
        <f t="shared" si="0"/>
        <v>M=(Largo) x Cant</v>
      </c>
      <c r="K20" s="410" t="str">
        <f>+K19</f>
        <v>M</v>
      </c>
      <c r="L20" s="411"/>
      <c r="M20" s="412"/>
      <c r="N20" s="442"/>
      <c r="O20" s="457">
        <f t="shared" si="2"/>
        <v>7</v>
      </c>
      <c r="P20" s="413"/>
      <c r="Q20" s="413"/>
      <c r="R20" s="413">
        <v>1</v>
      </c>
      <c r="S20" s="414">
        <f>+HLOOKUP(A20,[238]Hoja1!$2:$78,48,FALSE)</f>
        <v>7</v>
      </c>
      <c r="X20" s="458">
        <f t="shared" si="1"/>
        <v>0</v>
      </c>
      <c r="Y20" s="471">
        <f t="shared" si="3"/>
        <v>0</v>
      </c>
    </row>
    <row r="21" spans="1:39">
      <c r="A21" s="383">
        <v>4</v>
      </c>
      <c r="C21" s="406"/>
      <c r="D21" s="407"/>
      <c r="E21" s="407"/>
      <c r="F21" s="407"/>
      <c r="G21" s="407"/>
      <c r="H21" s="407"/>
      <c r="I21" s="408" t="s">
        <v>403</v>
      </c>
      <c r="J21" s="409" t="str">
        <f t="shared" si="0"/>
        <v>M=(Largo) x Cant</v>
      </c>
      <c r="K21" s="410" t="str">
        <f>+K20</f>
        <v>M</v>
      </c>
      <c r="L21" s="411"/>
      <c r="M21" s="412"/>
      <c r="N21" s="442"/>
      <c r="O21" s="457">
        <f t="shared" si="2"/>
        <v>7</v>
      </c>
      <c r="P21" s="413"/>
      <c r="Q21" s="413"/>
      <c r="R21" s="413">
        <v>1</v>
      </c>
      <c r="S21" s="414">
        <f>+HLOOKUP(A21,[238]Hoja1!$2:$78,48,FALSE)</f>
        <v>7</v>
      </c>
      <c r="X21" s="458">
        <f t="shared" si="1"/>
        <v>0</v>
      </c>
      <c r="Y21" s="471">
        <f t="shared" si="3"/>
        <v>0</v>
      </c>
      <c r="AK21" s="415" t="s">
        <v>162</v>
      </c>
      <c r="AL21" s="415" t="s">
        <v>404</v>
      </c>
      <c r="AM21" s="415"/>
    </row>
    <row r="22" spans="1:39">
      <c r="A22" s="383">
        <v>5</v>
      </c>
      <c r="C22" s="406"/>
      <c r="D22" s="407"/>
      <c r="E22" s="407"/>
      <c r="F22" s="407"/>
      <c r="G22" s="407"/>
      <c r="H22" s="407"/>
      <c r="I22" s="408" t="s">
        <v>405</v>
      </c>
      <c r="J22" s="409" t="str">
        <f t="shared" si="0"/>
        <v>M=(Largo) x Cant</v>
      </c>
      <c r="K22" s="410" t="str">
        <f>+K21</f>
        <v>M</v>
      </c>
      <c r="L22" s="411"/>
      <c r="M22" s="412"/>
      <c r="N22" s="442"/>
      <c r="O22" s="457">
        <f t="shared" si="2"/>
        <v>7</v>
      </c>
      <c r="P22" s="413"/>
      <c r="Q22" s="413"/>
      <c r="R22" s="413">
        <v>1</v>
      </c>
      <c r="S22" s="414">
        <f>+HLOOKUP(A22,[238]Hoja1!$2:$78,48,FALSE)</f>
        <v>7</v>
      </c>
      <c r="X22" s="458">
        <f t="shared" si="1"/>
        <v>0</v>
      </c>
      <c r="Y22" s="471">
        <f t="shared" si="3"/>
        <v>0</v>
      </c>
      <c r="AH22" s="416" t="s">
        <v>162</v>
      </c>
      <c r="AI22" s="416" t="s">
        <v>404</v>
      </c>
      <c r="AK22" s="415" t="s">
        <v>49</v>
      </c>
      <c r="AL22" s="415" t="s">
        <v>406</v>
      </c>
      <c r="AM22" s="415"/>
    </row>
    <row r="23" spans="1:39">
      <c r="A23" s="383">
        <v>6</v>
      </c>
      <c r="C23" s="406"/>
      <c r="D23" s="407"/>
      <c r="E23" s="407"/>
      <c r="F23" s="407"/>
      <c r="G23" s="407"/>
      <c r="H23" s="407"/>
      <c r="I23" s="408" t="s">
        <v>407</v>
      </c>
      <c r="J23" s="409" t="str">
        <f t="shared" si="0"/>
        <v>M=(Largo) x Cant</v>
      </c>
      <c r="K23" s="410" t="str">
        <f>+K22</f>
        <v>M</v>
      </c>
      <c r="L23" s="411"/>
      <c r="M23" s="412"/>
      <c r="N23" s="442"/>
      <c r="O23" s="457">
        <f t="shared" si="2"/>
        <v>12.2</v>
      </c>
      <c r="P23" s="413"/>
      <c r="Q23" s="413"/>
      <c r="R23" s="413">
        <v>1</v>
      </c>
      <c r="S23" s="414">
        <f>+HLOOKUP(A23,[238]Hoja1!$2:$78,48,FALSE)</f>
        <v>12.2</v>
      </c>
      <c r="X23" s="458">
        <f t="shared" si="1"/>
        <v>0</v>
      </c>
      <c r="Y23" s="471">
        <f t="shared" si="3"/>
        <v>0</v>
      </c>
      <c r="AH23" s="416" t="s">
        <v>49</v>
      </c>
      <c r="AI23" s="416" t="s">
        <v>406</v>
      </c>
      <c r="AK23" s="415" t="s">
        <v>173</v>
      </c>
      <c r="AL23" s="415" t="s">
        <v>408</v>
      </c>
      <c r="AM23" s="415"/>
    </row>
    <row r="24" spans="1:39">
      <c r="A24" s="383">
        <v>7</v>
      </c>
      <c r="C24" s="406"/>
      <c r="D24" s="407"/>
      <c r="E24" s="407"/>
      <c r="F24" s="407"/>
      <c r="G24" s="407"/>
      <c r="H24" s="407"/>
      <c r="I24" s="408" t="s">
        <v>409</v>
      </c>
      <c r="J24" s="409" t="str">
        <f t="shared" si="0"/>
        <v>M=(Largo) x Cant</v>
      </c>
      <c r="K24" s="410" t="str">
        <f>+K18</f>
        <v>M</v>
      </c>
      <c r="L24" s="411"/>
      <c r="M24" s="412"/>
      <c r="N24" s="442"/>
      <c r="O24" s="457">
        <f t="shared" si="2"/>
        <v>0</v>
      </c>
      <c r="P24" s="413"/>
      <c r="Q24" s="413"/>
      <c r="R24" s="413"/>
      <c r="S24" s="414">
        <f>+HLOOKUP(A24,[238]Hoja1!$2:$78,48,FALSE)</f>
        <v>0</v>
      </c>
      <c r="X24" s="458">
        <f t="shared" si="1"/>
        <v>0</v>
      </c>
      <c r="Y24" s="471">
        <f t="shared" si="3"/>
        <v>0</v>
      </c>
      <c r="AH24" s="383" t="s">
        <v>173</v>
      </c>
      <c r="AI24" s="383" t="s">
        <v>408</v>
      </c>
      <c r="AK24" s="415" t="s">
        <v>156</v>
      </c>
      <c r="AL24" s="415" t="s">
        <v>410</v>
      </c>
      <c r="AM24" s="415"/>
    </row>
    <row r="25" spans="1:39">
      <c r="A25" s="383">
        <v>8</v>
      </c>
      <c r="C25" s="406"/>
      <c r="D25" s="407"/>
      <c r="E25" s="407"/>
      <c r="F25" s="407"/>
      <c r="G25" s="407"/>
      <c r="H25" s="407"/>
      <c r="I25" s="408" t="s">
        <v>411</v>
      </c>
      <c r="J25" s="409" t="str">
        <f t="shared" si="0"/>
        <v>M=(Largo) x Cant</v>
      </c>
      <c r="K25" s="410" t="str">
        <f>+K24</f>
        <v>M</v>
      </c>
      <c r="L25" s="411"/>
      <c r="M25" s="412"/>
      <c r="N25" s="442"/>
      <c r="O25" s="457">
        <f t="shared" si="2"/>
        <v>12</v>
      </c>
      <c r="P25" s="413"/>
      <c r="Q25" s="413"/>
      <c r="R25" s="413">
        <v>1</v>
      </c>
      <c r="S25" s="414">
        <f>+HLOOKUP(A25,[238]Hoja1!$2:$78,48,FALSE)</f>
        <v>12</v>
      </c>
      <c r="X25" s="458">
        <f t="shared" si="1"/>
        <v>0</v>
      </c>
      <c r="Y25" s="471">
        <f t="shared" si="3"/>
        <v>0</v>
      </c>
      <c r="AH25" s="383" t="s">
        <v>156</v>
      </c>
      <c r="AI25" s="383" t="s">
        <v>410</v>
      </c>
    </row>
    <row r="26" spans="1:39">
      <c r="A26" s="383">
        <v>9</v>
      </c>
      <c r="C26" s="406"/>
      <c r="D26" s="407"/>
      <c r="E26" s="407"/>
      <c r="F26" s="407"/>
      <c r="G26" s="407"/>
      <c r="H26" s="407"/>
      <c r="I26" s="408" t="s">
        <v>412</v>
      </c>
      <c r="J26" s="409" t="str">
        <f t="shared" si="0"/>
        <v>M=(Largo) x Cant</v>
      </c>
      <c r="K26" s="410" t="str">
        <f>+K25</f>
        <v>M</v>
      </c>
      <c r="L26" s="411"/>
      <c r="M26" s="412"/>
      <c r="N26" s="442"/>
      <c r="O26" s="457">
        <f t="shared" si="2"/>
        <v>7</v>
      </c>
      <c r="P26" s="412"/>
      <c r="Q26" s="412"/>
      <c r="R26" s="413">
        <v>1</v>
      </c>
      <c r="S26" s="414">
        <f>+HLOOKUP(A26,[238]Hoja1!$2:$78,48,FALSE)</f>
        <v>7</v>
      </c>
      <c r="X26" s="458">
        <f t="shared" si="1"/>
        <v>0</v>
      </c>
      <c r="Y26" s="471">
        <f t="shared" si="3"/>
        <v>0</v>
      </c>
      <c r="AH26" s="455" t="s">
        <v>50</v>
      </c>
      <c r="AI26" s="455" t="s">
        <v>458</v>
      </c>
    </row>
    <row r="27" spans="1:39">
      <c r="A27" s="383">
        <v>10</v>
      </c>
      <c r="C27" s="406"/>
      <c r="D27" s="407"/>
      <c r="E27" s="407"/>
      <c r="F27" s="407"/>
      <c r="G27" s="407"/>
      <c r="H27" s="407"/>
      <c r="I27" s="408" t="s">
        <v>413</v>
      </c>
      <c r="J27" s="409" t="str">
        <f t="shared" si="0"/>
        <v>M=(Largo) x Cant</v>
      </c>
      <c r="K27" s="410" t="str">
        <f>+K26</f>
        <v>M</v>
      </c>
      <c r="L27" s="411"/>
      <c r="M27" s="412"/>
      <c r="N27" s="441"/>
      <c r="O27" s="457">
        <f t="shared" si="2"/>
        <v>0</v>
      </c>
      <c r="P27" s="412"/>
      <c r="Q27" s="412"/>
      <c r="R27" s="413"/>
      <c r="S27" s="414">
        <f>+HLOOKUP(A27,[238]Hoja1!$2:$78,48,FALSE)</f>
        <v>0</v>
      </c>
      <c r="X27" s="458">
        <f t="shared" si="1"/>
        <v>0</v>
      </c>
      <c r="Y27" s="471">
        <f t="shared" si="3"/>
        <v>0</v>
      </c>
    </row>
    <row r="28" spans="1:39">
      <c r="A28" s="383">
        <v>11</v>
      </c>
      <c r="C28" s="406"/>
      <c r="D28" s="407"/>
      <c r="E28" s="407"/>
      <c r="F28" s="407"/>
      <c r="G28" s="407"/>
      <c r="H28" s="407"/>
      <c r="I28" s="408" t="s">
        <v>414</v>
      </c>
      <c r="J28" s="409" t="str">
        <f t="shared" si="0"/>
        <v>M=(Largo) x Cant</v>
      </c>
      <c r="K28" s="410" t="str">
        <f>+K27</f>
        <v>M</v>
      </c>
      <c r="L28" s="411"/>
      <c r="M28" s="412"/>
      <c r="N28" s="443"/>
      <c r="O28" s="457">
        <f t="shared" si="2"/>
        <v>127.82</v>
      </c>
      <c r="P28" s="412"/>
      <c r="Q28" s="412"/>
      <c r="R28" s="413">
        <v>1</v>
      </c>
      <c r="S28" s="414">
        <f>+HLOOKUP(A28,[238]Hoja1!$2:$78,48,FALSE)</f>
        <v>127.82</v>
      </c>
      <c r="X28" s="458">
        <f t="shared" si="1"/>
        <v>0</v>
      </c>
      <c r="Y28" s="471">
        <f t="shared" si="3"/>
        <v>0</v>
      </c>
    </row>
    <row r="29" spans="1:39">
      <c r="A29" s="383">
        <v>12</v>
      </c>
      <c r="C29" s="406"/>
      <c r="D29" s="407"/>
      <c r="E29" s="407"/>
      <c r="F29" s="407"/>
      <c r="G29" s="407"/>
      <c r="H29" s="407"/>
      <c r="I29" s="408" t="s">
        <v>415</v>
      </c>
      <c r="J29" s="409" t="str">
        <f t="shared" si="0"/>
        <v>M=(Largo) x Cant</v>
      </c>
      <c r="K29" s="410" t="str">
        <f>+K23</f>
        <v>M</v>
      </c>
      <c r="L29" s="411"/>
      <c r="M29" s="412"/>
      <c r="N29" s="442"/>
      <c r="O29" s="457">
        <f t="shared" si="2"/>
        <v>0</v>
      </c>
      <c r="P29" s="413"/>
      <c r="Q29" s="413"/>
      <c r="R29" s="413"/>
      <c r="S29" s="414">
        <f>+HLOOKUP(A29,[238]Hoja1!$2:$78,48,FALSE)</f>
        <v>0</v>
      </c>
      <c r="X29" s="458">
        <f t="shared" si="1"/>
        <v>0</v>
      </c>
      <c r="Y29" s="471">
        <f t="shared" si="3"/>
        <v>0</v>
      </c>
      <c r="AH29" s="383" t="s">
        <v>173</v>
      </c>
      <c r="AI29" s="383" t="s">
        <v>408</v>
      </c>
      <c r="AK29" s="415" t="s">
        <v>156</v>
      </c>
      <c r="AL29" s="415" t="s">
        <v>410</v>
      </c>
      <c r="AM29" s="415"/>
    </row>
    <row r="30" spans="1:39">
      <c r="A30" s="383">
        <v>13</v>
      </c>
      <c r="C30" s="406"/>
      <c r="D30" s="407"/>
      <c r="E30" s="407"/>
      <c r="F30" s="407"/>
      <c r="G30" s="407"/>
      <c r="H30" s="407"/>
      <c r="I30" s="408" t="s">
        <v>416</v>
      </c>
      <c r="J30" s="409" t="str">
        <f t="shared" si="0"/>
        <v>M=(Largo) x Cant</v>
      </c>
      <c r="K30" s="410" t="str">
        <f>+K25</f>
        <v>M</v>
      </c>
      <c r="L30" s="411"/>
      <c r="M30" s="412"/>
      <c r="N30" s="442"/>
      <c r="O30" s="457">
        <f t="shared" si="2"/>
        <v>0</v>
      </c>
      <c r="P30" s="413"/>
      <c r="Q30" s="413"/>
      <c r="R30" s="413"/>
      <c r="S30" s="414">
        <f>+HLOOKUP(A30,[238]Hoja1!$2:$78,48,FALSE)</f>
        <v>0</v>
      </c>
      <c r="X30" s="458">
        <f t="shared" si="1"/>
        <v>0</v>
      </c>
      <c r="Y30" s="471">
        <f t="shared" si="3"/>
        <v>0</v>
      </c>
      <c r="AH30" s="383" t="s">
        <v>156</v>
      </c>
      <c r="AI30" s="383" t="s">
        <v>410</v>
      </c>
    </row>
    <row r="31" spans="1:39">
      <c r="A31" s="383">
        <v>14</v>
      </c>
      <c r="C31" s="406"/>
      <c r="D31" s="407"/>
      <c r="E31" s="407"/>
      <c r="F31" s="407"/>
      <c r="G31" s="407"/>
      <c r="H31" s="407"/>
      <c r="I31" s="408" t="s">
        <v>417</v>
      </c>
      <c r="J31" s="409" t="str">
        <f t="shared" si="0"/>
        <v>M=(Largo) x Cant</v>
      </c>
      <c r="K31" s="410" t="str">
        <f>+K30</f>
        <v>M</v>
      </c>
      <c r="L31" s="411"/>
      <c r="M31" s="412"/>
      <c r="N31" s="442"/>
      <c r="O31" s="457">
        <f t="shared" si="2"/>
        <v>7</v>
      </c>
      <c r="P31" s="412"/>
      <c r="Q31" s="412"/>
      <c r="R31" s="413">
        <v>1</v>
      </c>
      <c r="S31" s="414">
        <f>+HLOOKUP(A31,[238]Hoja1!$2:$78,48,FALSE)</f>
        <v>7</v>
      </c>
      <c r="X31" s="458">
        <f t="shared" si="1"/>
        <v>0</v>
      </c>
      <c r="Y31" s="471">
        <f t="shared" si="3"/>
        <v>0</v>
      </c>
    </row>
    <row r="32" spans="1:39">
      <c r="A32" s="383">
        <v>15</v>
      </c>
      <c r="C32" s="406"/>
      <c r="D32" s="407"/>
      <c r="E32" s="407"/>
      <c r="F32" s="407"/>
      <c r="G32" s="407"/>
      <c r="H32" s="407"/>
      <c r="I32" s="408" t="s">
        <v>418</v>
      </c>
      <c r="J32" s="409" t="str">
        <f t="shared" si="0"/>
        <v>M=(Largo) x Cant</v>
      </c>
      <c r="K32" s="410" t="str">
        <f>+K31</f>
        <v>M</v>
      </c>
      <c r="L32" s="411"/>
      <c r="M32" s="412"/>
      <c r="N32" s="442"/>
      <c r="O32" s="457">
        <f t="shared" si="2"/>
        <v>0</v>
      </c>
      <c r="P32" s="412"/>
      <c r="Q32" s="412"/>
      <c r="R32" s="413"/>
      <c r="S32" s="414">
        <f>+HLOOKUP(A32,[238]Hoja1!$2:$78,48,FALSE)</f>
        <v>0</v>
      </c>
      <c r="X32" s="458">
        <f t="shared" si="1"/>
        <v>0</v>
      </c>
      <c r="Y32" s="471">
        <f t="shared" si="3"/>
        <v>0</v>
      </c>
    </row>
    <row r="33" spans="1:35">
      <c r="A33" s="383">
        <v>16</v>
      </c>
      <c r="C33" s="406"/>
      <c r="D33" s="407"/>
      <c r="E33" s="407"/>
      <c r="F33" s="407"/>
      <c r="G33" s="407"/>
      <c r="H33" s="407"/>
      <c r="I33" s="408" t="s">
        <v>419</v>
      </c>
      <c r="J33" s="409" t="str">
        <f t="shared" si="0"/>
        <v>M=(Largo) x Cant</v>
      </c>
      <c r="K33" s="410" t="str">
        <f>+K32</f>
        <v>M</v>
      </c>
      <c r="L33" s="411"/>
      <c r="M33" s="412"/>
      <c r="N33" s="442"/>
      <c r="O33" s="457">
        <f t="shared" si="2"/>
        <v>11</v>
      </c>
      <c r="P33" s="412"/>
      <c r="Q33" s="412"/>
      <c r="R33" s="413">
        <v>1</v>
      </c>
      <c r="S33" s="414">
        <f>+HLOOKUP(A33,[238]Hoja1!$2:$78,48,FALSE)</f>
        <v>11</v>
      </c>
      <c r="X33" s="458">
        <f t="shared" si="1"/>
        <v>0</v>
      </c>
      <c r="Y33" s="471">
        <f t="shared" si="3"/>
        <v>0</v>
      </c>
    </row>
    <row r="34" spans="1:35">
      <c r="A34" s="383">
        <v>17</v>
      </c>
      <c r="C34" s="406"/>
      <c r="D34" s="407"/>
      <c r="E34" s="407"/>
      <c r="F34" s="407"/>
      <c r="G34" s="407"/>
      <c r="H34" s="407"/>
      <c r="I34" s="408" t="s">
        <v>420</v>
      </c>
      <c r="J34" s="409" t="str">
        <f t="shared" si="0"/>
        <v>M=(Largo) x Cant</v>
      </c>
      <c r="K34" s="410" t="str">
        <f>+K33</f>
        <v>M</v>
      </c>
      <c r="L34" s="411"/>
      <c r="M34" s="412"/>
      <c r="N34" s="442"/>
      <c r="O34" s="457">
        <f t="shared" si="2"/>
        <v>0</v>
      </c>
      <c r="P34" s="412"/>
      <c r="Q34" s="412"/>
      <c r="R34" s="413"/>
      <c r="S34" s="414">
        <f>+HLOOKUP(A34,[238]Hoja1!$2:$78,48,FALSE)</f>
        <v>0</v>
      </c>
      <c r="X34" s="458">
        <f t="shared" si="1"/>
        <v>0</v>
      </c>
      <c r="Y34" s="471">
        <f t="shared" si="3"/>
        <v>0</v>
      </c>
    </row>
    <row r="35" spans="1:35">
      <c r="A35" s="383">
        <v>18</v>
      </c>
      <c r="C35" s="406"/>
      <c r="D35" s="407"/>
      <c r="E35" s="407"/>
      <c r="F35" s="407"/>
      <c r="G35" s="407"/>
      <c r="H35" s="407"/>
      <c r="I35" s="408" t="s">
        <v>429</v>
      </c>
      <c r="J35" s="409" t="str">
        <f t="shared" si="0"/>
        <v>M=(Largo) x Cant</v>
      </c>
      <c r="K35" s="410" t="str">
        <f>+K34</f>
        <v>M</v>
      </c>
      <c r="L35" s="411"/>
      <c r="M35" s="412"/>
      <c r="N35" s="442"/>
      <c r="O35" s="457">
        <f t="shared" si="2"/>
        <v>12.2</v>
      </c>
      <c r="P35" s="412"/>
      <c r="Q35" s="412"/>
      <c r="R35" s="413">
        <v>1</v>
      </c>
      <c r="S35" s="414">
        <f>+HLOOKUP(A35,[238]Hoja1!$2:$78,48,FALSE)</f>
        <v>12.2</v>
      </c>
      <c r="X35" s="458">
        <f t="shared" si="1"/>
        <v>0</v>
      </c>
      <c r="Y35" s="471">
        <f t="shared" si="3"/>
        <v>0</v>
      </c>
    </row>
    <row r="36" spans="1:35">
      <c r="A36" s="383">
        <v>19</v>
      </c>
      <c r="C36" s="406"/>
      <c r="D36" s="407"/>
      <c r="E36" s="407"/>
      <c r="F36" s="407"/>
      <c r="G36" s="407"/>
      <c r="H36" s="407"/>
      <c r="I36" s="408" t="s">
        <v>430</v>
      </c>
      <c r="J36" s="409" t="str">
        <f t="shared" si="0"/>
        <v>M=(Largo) x Cant</v>
      </c>
      <c r="K36" s="410" t="str">
        <f t="shared" ref="K36:K60" si="4">+K35</f>
        <v>M</v>
      </c>
      <c r="L36" s="411"/>
      <c r="M36" s="412"/>
      <c r="N36" s="442"/>
      <c r="O36" s="457">
        <f t="shared" si="2"/>
        <v>7</v>
      </c>
      <c r="P36" s="412"/>
      <c r="Q36" s="412"/>
      <c r="R36" s="413">
        <v>1</v>
      </c>
      <c r="S36" s="414">
        <f>+HLOOKUP(A36,[238]Hoja1!$2:$78,48,FALSE)</f>
        <v>7</v>
      </c>
      <c r="X36" s="458">
        <f t="shared" si="1"/>
        <v>0</v>
      </c>
      <c r="Y36" s="471">
        <f t="shared" si="3"/>
        <v>0</v>
      </c>
    </row>
    <row r="37" spans="1:35">
      <c r="A37" s="383">
        <v>20</v>
      </c>
      <c r="C37" s="406"/>
      <c r="D37" s="407"/>
      <c r="E37" s="407"/>
      <c r="F37" s="407"/>
      <c r="G37" s="407"/>
      <c r="H37" s="407"/>
      <c r="I37" s="408" t="s">
        <v>431</v>
      </c>
      <c r="J37" s="409" t="str">
        <f t="shared" si="0"/>
        <v>M=(Largo) x Cant</v>
      </c>
      <c r="K37" s="410" t="str">
        <f t="shared" si="4"/>
        <v>M</v>
      </c>
      <c r="L37" s="411"/>
      <c r="M37" s="412"/>
      <c r="N37" s="442"/>
      <c r="O37" s="457">
        <f t="shared" si="2"/>
        <v>12</v>
      </c>
      <c r="P37" s="412"/>
      <c r="Q37" s="412"/>
      <c r="R37" s="413">
        <v>1</v>
      </c>
      <c r="S37" s="414">
        <f>+HLOOKUP(A37,[238]Hoja1!$2:$78,48,FALSE)</f>
        <v>12</v>
      </c>
      <c r="X37" s="458">
        <f t="shared" si="1"/>
        <v>0</v>
      </c>
      <c r="Y37" s="471">
        <f t="shared" si="3"/>
        <v>0</v>
      </c>
    </row>
    <row r="38" spans="1:35">
      <c r="A38" s="383">
        <v>21</v>
      </c>
      <c r="C38" s="406"/>
      <c r="D38" s="407"/>
      <c r="E38" s="407"/>
      <c r="F38" s="407"/>
      <c r="G38" s="407"/>
      <c r="H38" s="407"/>
      <c r="I38" s="408" t="s">
        <v>432</v>
      </c>
      <c r="J38" s="409" t="str">
        <f t="shared" si="0"/>
        <v>M=(Largo) x Cant</v>
      </c>
      <c r="K38" s="410" t="str">
        <f t="shared" si="4"/>
        <v>M</v>
      </c>
      <c r="L38" s="411"/>
      <c r="M38" s="412"/>
      <c r="N38" s="442"/>
      <c r="O38" s="457">
        <f t="shared" si="2"/>
        <v>0</v>
      </c>
      <c r="P38" s="412"/>
      <c r="Q38" s="412"/>
      <c r="R38" s="413"/>
      <c r="S38" s="414">
        <f>+HLOOKUP(A38,[238]Hoja1!$2:$78,48,FALSE)</f>
        <v>0</v>
      </c>
      <c r="X38" s="458">
        <f t="shared" si="1"/>
        <v>0</v>
      </c>
      <c r="Y38" s="471">
        <f t="shared" si="3"/>
        <v>0</v>
      </c>
    </row>
    <row r="39" spans="1:35">
      <c r="A39" s="383">
        <v>22</v>
      </c>
      <c r="C39" s="406"/>
      <c r="D39" s="407"/>
      <c r="E39" s="407"/>
      <c r="F39" s="407"/>
      <c r="G39" s="407"/>
      <c r="H39" s="407"/>
      <c r="I39" s="408" t="s">
        <v>433</v>
      </c>
      <c r="J39" s="409" t="str">
        <f t="shared" si="0"/>
        <v>M=(Largo) x Cant</v>
      </c>
      <c r="K39" s="410" t="str">
        <f t="shared" si="4"/>
        <v>M</v>
      </c>
      <c r="L39" s="411"/>
      <c r="M39" s="412"/>
      <c r="N39" s="442"/>
      <c r="O39" s="457">
        <f t="shared" si="2"/>
        <v>7</v>
      </c>
      <c r="P39" s="412"/>
      <c r="Q39" s="412"/>
      <c r="R39" s="413">
        <v>1</v>
      </c>
      <c r="S39" s="414">
        <f>+HLOOKUP(A39,[238]Hoja1!$2:$78,48,FALSE)</f>
        <v>7</v>
      </c>
      <c r="X39" s="458">
        <f t="shared" si="1"/>
        <v>0</v>
      </c>
      <c r="Y39" s="471">
        <f t="shared" si="3"/>
        <v>0</v>
      </c>
    </row>
    <row r="40" spans="1:35">
      <c r="A40" s="383">
        <v>23</v>
      </c>
      <c r="C40" s="406"/>
      <c r="D40" s="407"/>
      <c r="E40" s="407"/>
      <c r="F40" s="407"/>
      <c r="G40" s="407"/>
      <c r="H40" s="407"/>
      <c r="I40" s="408" t="s">
        <v>434</v>
      </c>
      <c r="J40" s="409" t="str">
        <f t="shared" si="0"/>
        <v>M=(Largo) x Cant</v>
      </c>
      <c r="K40" s="410" t="str">
        <f t="shared" si="4"/>
        <v>M</v>
      </c>
      <c r="L40" s="411"/>
      <c r="M40" s="412"/>
      <c r="N40" s="441"/>
      <c r="O40" s="457">
        <f t="shared" si="2"/>
        <v>0</v>
      </c>
      <c r="P40" s="412"/>
      <c r="Q40" s="412"/>
      <c r="R40" s="413"/>
      <c r="S40" s="414">
        <f>+HLOOKUP(A40,[238]Hoja1!$2:$78,48,FALSE)</f>
        <v>0</v>
      </c>
      <c r="X40" s="458">
        <f>+N40*O40</f>
        <v>0</v>
      </c>
      <c r="Y40" s="471">
        <f>+X40 -L40</f>
        <v>0</v>
      </c>
    </row>
    <row r="41" spans="1:35">
      <c r="A41" s="383">
        <v>24</v>
      </c>
      <c r="C41" s="406"/>
      <c r="D41" s="407"/>
      <c r="E41" s="407"/>
      <c r="F41" s="407"/>
      <c r="G41" s="407"/>
      <c r="H41" s="407"/>
      <c r="I41" s="408" t="s">
        <v>435</v>
      </c>
      <c r="J41" s="409" t="str">
        <f t="shared" si="0"/>
        <v>M=(Largo) x Cant</v>
      </c>
      <c r="K41" s="410" t="str">
        <f t="shared" si="4"/>
        <v>M</v>
      </c>
      <c r="L41" s="411"/>
      <c r="M41" s="412"/>
      <c r="N41" s="442"/>
      <c r="O41" s="457">
        <f t="shared" si="2"/>
        <v>6</v>
      </c>
      <c r="P41" s="413"/>
      <c r="Q41" s="413"/>
      <c r="R41" s="413">
        <v>1</v>
      </c>
      <c r="S41" s="414">
        <f>+HLOOKUP(A41,[238]Hoja1!$2:$78,48,FALSE)</f>
        <v>6</v>
      </c>
      <c r="X41" s="458">
        <f>+N41*O41</f>
        <v>0</v>
      </c>
      <c r="Y41" s="471">
        <f>+X41 -L41</f>
        <v>0</v>
      </c>
      <c r="AH41" s="383" t="s">
        <v>156</v>
      </c>
      <c r="AI41" s="383" t="s">
        <v>410</v>
      </c>
    </row>
    <row r="42" spans="1:35">
      <c r="A42" s="383">
        <v>25</v>
      </c>
      <c r="C42" s="406"/>
      <c r="D42" s="407"/>
      <c r="E42" s="407"/>
      <c r="F42" s="407"/>
      <c r="G42" s="407"/>
      <c r="H42" s="407"/>
      <c r="I42" s="408" t="s">
        <v>436</v>
      </c>
      <c r="J42" s="409" t="str">
        <f t="shared" si="0"/>
        <v>M=(Largo) x Cant</v>
      </c>
      <c r="K42" s="410" t="str">
        <f t="shared" si="4"/>
        <v>M</v>
      </c>
      <c r="L42" s="411"/>
      <c r="M42" s="412"/>
      <c r="N42" s="442"/>
      <c r="O42" s="457">
        <f t="shared" si="2"/>
        <v>10</v>
      </c>
      <c r="P42" s="412"/>
      <c r="Q42" s="412"/>
      <c r="R42" s="413">
        <v>1</v>
      </c>
      <c r="S42" s="414">
        <f>+HLOOKUP(A42,[238]Hoja1!$2:$78,48,FALSE)</f>
        <v>10</v>
      </c>
      <c r="X42" s="458">
        <f>+N42*O42</f>
        <v>0</v>
      </c>
      <c r="Y42" s="471">
        <f>+X42 -L42</f>
        <v>0</v>
      </c>
    </row>
    <row r="43" spans="1:35">
      <c r="A43" s="383">
        <v>26</v>
      </c>
      <c r="C43" s="406"/>
      <c r="D43" s="407"/>
      <c r="E43" s="407"/>
      <c r="F43" s="407"/>
      <c r="G43" s="407"/>
      <c r="H43" s="407"/>
      <c r="I43" s="408" t="s">
        <v>437</v>
      </c>
      <c r="J43" s="409" t="str">
        <f t="shared" si="0"/>
        <v>M=(Largo) x Cant</v>
      </c>
      <c r="K43" s="410" t="str">
        <f>+K32</f>
        <v>M</v>
      </c>
      <c r="L43" s="411"/>
      <c r="M43" s="412"/>
      <c r="N43" s="442"/>
      <c r="O43" s="457">
        <f t="shared" si="2"/>
        <v>0</v>
      </c>
      <c r="P43" s="412"/>
      <c r="Q43" s="412"/>
      <c r="R43" s="413"/>
      <c r="S43" s="414">
        <f>+HLOOKUP(A43,[238]Hoja1!$2:$78,48,FALSE)</f>
        <v>0</v>
      </c>
      <c r="X43" s="458">
        <f t="shared" ref="X43:X60" si="5">+N43*O43</f>
        <v>0</v>
      </c>
      <c r="Y43" s="471">
        <f t="shared" ref="Y43:Y60" si="6">+X43 -L43</f>
        <v>0</v>
      </c>
    </row>
    <row r="44" spans="1:35">
      <c r="A44" s="383">
        <v>27</v>
      </c>
      <c r="C44" s="406"/>
      <c r="D44" s="407"/>
      <c r="E44" s="407"/>
      <c r="F44" s="407"/>
      <c r="G44" s="407"/>
      <c r="H44" s="407"/>
      <c r="I44" s="408" t="s">
        <v>438</v>
      </c>
      <c r="J44" s="409" t="str">
        <f t="shared" si="0"/>
        <v>M=(Largo) x Cant</v>
      </c>
      <c r="K44" s="410" t="str">
        <f t="shared" ref="K44:K52" si="7">+K43</f>
        <v>M</v>
      </c>
      <c r="L44" s="411"/>
      <c r="M44" s="412"/>
      <c r="N44" s="442"/>
      <c r="O44" s="457">
        <f t="shared" si="2"/>
        <v>7</v>
      </c>
      <c r="P44" s="412"/>
      <c r="Q44" s="412"/>
      <c r="R44" s="413">
        <v>1</v>
      </c>
      <c r="S44" s="414">
        <f>+HLOOKUP(A44,[238]Hoja1!$2:$78,48,FALSE)</f>
        <v>7</v>
      </c>
      <c r="X44" s="458">
        <f t="shared" si="5"/>
        <v>0</v>
      </c>
      <c r="Y44" s="471">
        <f t="shared" si="6"/>
        <v>0</v>
      </c>
    </row>
    <row r="45" spans="1:35" ht="21.75" customHeight="1">
      <c r="A45" s="383">
        <v>28</v>
      </c>
      <c r="C45" s="406"/>
      <c r="D45" s="440"/>
      <c r="E45" s="407"/>
      <c r="F45" s="407"/>
      <c r="G45" s="407"/>
      <c r="H45" s="437"/>
      <c r="I45" s="408" t="s">
        <v>439</v>
      </c>
      <c r="J45" s="409" t="str">
        <f t="shared" si="0"/>
        <v>M=(Largo) x Cant</v>
      </c>
      <c r="K45" s="410" t="str">
        <f t="shared" si="7"/>
        <v>M</v>
      </c>
      <c r="L45" s="411"/>
      <c r="M45" s="412"/>
      <c r="N45" s="442"/>
      <c r="O45" s="457">
        <f t="shared" si="2"/>
        <v>0</v>
      </c>
      <c r="P45" s="413"/>
      <c r="Q45" s="413"/>
      <c r="R45" s="413"/>
      <c r="S45" s="414">
        <f>+HLOOKUP(A45,[238]Hoja1!$2:$78,48,FALSE)</f>
        <v>0</v>
      </c>
      <c r="X45" s="458">
        <f t="shared" si="5"/>
        <v>0</v>
      </c>
      <c r="Y45" s="471">
        <f t="shared" si="6"/>
        <v>0</v>
      </c>
    </row>
    <row r="46" spans="1:35">
      <c r="A46" s="383">
        <v>29</v>
      </c>
      <c r="C46" s="406"/>
      <c r="D46" s="407"/>
      <c r="E46" s="407"/>
      <c r="F46" s="407"/>
      <c r="G46" s="407"/>
      <c r="H46" s="407"/>
      <c r="I46" s="408" t="s">
        <v>440</v>
      </c>
      <c r="J46" s="409" t="str">
        <f t="shared" si="0"/>
        <v>M=(Largo) x Cant</v>
      </c>
      <c r="K46" s="410" t="str">
        <f t="shared" si="7"/>
        <v>M</v>
      </c>
      <c r="L46" s="411"/>
      <c r="M46" s="412"/>
      <c r="N46" s="443"/>
      <c r="O46" s="457">
        <f t="shared" si="2"/>
        <v>0</v>
      </c>
      <c r="P46" s="412"/>
      <c r="Q46" s="412"/>
      <c r="R46" s="413"/>
      <c r="S46" s="414">
        <f>+HLOOKUP(A46,[238]Hoja1!$2:$78,48,FALSE)</f>
        <v>0</v>
      </c>
      <c r="X46" s="458">
        <f t="shared" si="5"/>
        <v>0</v>
      </c>
      <c r="Y46" s="471">
        <f t="shared" si="6"/>
        <v>0</v>
      </c>
    </row>
    <row r="47" spans="1:35">
      <c r="A47" s="383">
        <v>30</v>
      </c>
      <c r="C47" s="406"/>
      <c r="D47" s="407"/>
      <c r="E47" s="407"/>
      <c r="F47" s="407"/>
      <c r="G47" s="407"/>
      <c r="H47" s="407"/>
      <c r="I47" s="408" t="s">
        <v>441</v>
      </c>
      <c r="J47" s="409" t="str">
        <f t="shared" si="0"/>
        <v>M=(Largo) x Cant</v>
      </c>
      <c r="K47" s="410" t="str">
        <f t="shared" si="7"/>
        <v>M</v>
      </c>
      <c r="L47" s="411"/>
      <c r="M47" s="412"/>
      <c r="N47" s="442"/>
      <c r="O47" s="457">
        <f t="shared" si="2"/>
        <v>12</v>
      </c>
      <c r="P47" s="412"/>
      <c r="Q47" s="412"/>
      <c r="R47" s="413">
        <v>1</v>
      </c>
      <c r="S47" s="414">
        <f>+HLOOKUP(A47,[238]Hoja1!$2:$78,48,FALSE)</f>
        <v>12</v>
      </c>
      <c r="X47" s="458">
        <f t="shared" si="5"/>
        <v>0</v>
      </c>
      <c r="Y47" s="471">
        <f t="shared" si="6"/>
        <v>0</v>
      </c>
    </row>
    <row r="48" spans="1:35">
      <c r="A48" s="383">
        <v>31</v>
      </c>
      <c r="C48" s="406"/>
      <c r="D48" s="407"/>
      <c r="E48" s="407"/>
      <c r="F48" s="407"/>
      <c r="G48" s="407"/>
      <c r="H48" s="407"/>
      <c r="I48" s="408" t="s">
        <v>442</v>
      </c>
      <c r="J48" s="409" t="str">
        <f t="shared" si="0"/>
        <v>M=(Largo) x Cant</v>
      </c>
      <c r="K48" s="410" t="str">
        <f t="shared" si="7"/>
        <v>M</v>
      </c>
      <c r="L48" s="411"/>
      <c r="M48" s="412"/>
      <c r="N48" s="442"/>
      <c r="O48" s="457">
        <f t="shared" si="2"/>
        <v>0</v>
      </c>
      <c r="P48" s="413"/>
      <c r="Q48" s="413"/>
      <c r="R48" s="413"/>
      <c r="S48" s="414">
        <f>+HLOOKUP(A48,[238]Hoja1!$2:$78,48,FALSE)</f>
        <v>0</v>
      </c>
      <c r="X48" s="458">
        <f t="shared" si="5"/>
        <v>0</v>
      </c>
      <c r="Y48" s="471">
        <f t="shared" si="6"/>
        <v>0</v>
      </c>
      <c r="AH48" s="383" t="s">
        <v>156</v>
      </c>
      <c r="AI48" s="383" t="s">
        <v>410</v>
      </c>
    </row>
    <row r="49" spans="1:35">
      <c r="A49" s="383">
        <v>32</v>
      </c>
      <c r="C49" s="406"/>
      <c r="D49" s="407"/>
      <c r="E49" s="407"/>
      <c r="F49" s="407"/>
      <c r="G49" s="407"/>
      <c r="H49" s="407"/>
      <c r="I49" s="408" t="s">
        <v>443</v>
      </c>
      <c r="J49" s="409" t="str">
        <f t="shared" si="0"/>
        <v>M=(Largo) x Cant</v>
      </c>
      <c r="K49" s="410" t="str">
        <f t="shared" si="7"/>
        <v>M</v>
      </c>
      <c r="L49" s="411"/>
      <c r="M49" s="412"/>
      <c r="N49" s="442"/>
      <c r="O49" s="457">
        <f t="shared" si="2"/>
        <v>12.2</v>
      </c>
      <c r="P49" s="412"/>
      <c r="Q49" s="412"/>
      <c r="R49" s="413">
        <v>1</v>
      </c>
      <c r="S49" s="414">
        <f>+HLOOKUP(A49,[238]Hoja1!$2:$78,48,FALSE)</f>
        <v>12.2</v>
      </c>
      <c r="X49" s="458">
        <f t="shared" si="5"/>
        <v>0</v>
      </c>
      <c r="Y49" s="471">
        <f t="shared" si="6"/>
        <v>0</v>
      </c>
    </row>
    <row r="50" spans="1:35">
      <c r="A50" s="383">
        <v>33</v>
      </c>
      <c r="C50" s="406"/>
      <c r="D50" s="407"/>
      <c r="E50" s="407"/>
      <c r="F50" s="407"/>
      <c r="G50" s="407"/>
      <c r="H50" s="407"/>
      <c r="I50" s="408" t="s">
        <v>444</v>
      </c>
      <c r="J50" s="409" t="str">
        <f t="shared" si="0"/>
        <v>M=(Largo) x Cant</v>
      </c>
      <c r="K50" s="410" t="str">
        <f t="shared" si="7"/>
        <v>M</v>
      </c>
      <c r="L50" s="411"/>
      <c r="M50" s="412"/>
      <c r="N50" s="442"/>
      <c r="O50" s="457">
        <f t="shared" si="2"/>
        <v>0</v>
      </c>
      <c r="P50" s="412"/>
      <c r="Q50" s="412"/>
      <c r="R50" s="413"/>
      <c r="S50" s="414">
        <f>+HLOOKUP(A50,[238]Hoja1!$2:$78,48,FALSE)</f>
        <v>0</v>
      </c>
      <c r="X50" s="458">
        <f t="shared" si="5"/>
        <v>0</v>
      </c>
      <c r="Y50" s="471">
        <f t="shared" si="6"/>
        <v>0</v>
      </c>
    </row>
    <row r="51" spans="1:35">
      <c r="A51" s="383">
        <v>34</v>
      </c>
      <c r="C51" s="406"/>
      <c r="D51" s="407"/>
      <c r="E51" s="407"/>
      <c r="F51" s="407"/>
      <c r="G51" s="407"/>
      <c r="H51" s="407"/>
      <c r="I51" s="408" t="s">
        <v>445</v>
      </c>
      <c r="J51" s="409" t="str">
        <f t="shared" si="0"/>
        <v>M=(Largo) x Cant</v>
      </c>
      <c r="K51" s="410" t="str">
        <f t="shared" si="7"/>
        <v>M</v>
      </c>
      <c r="L51" s="411"/>
      <c r="M51" s="412"/>
      <c r="N51" s="443"/>
      <c r="O51" s="457">
        <f t="shared" si="2"/>
        <v>0</v>
      </c>
      <c r="P51" s="412"/>
      <c r="Q51" s="412"/>
      <c r="R51" s="413"/>
      <c r="S51" s="414">
        <f>+HLOOKUP(A51,[238]Hoja1!$2:$78,48,FALSE)</f>
        <v>0</v>
      </c>
      <c r="X51" s="458">
        <f t="shared" si="5"/>
        <v>0</v>
      </c>
      <c r="Y51" s="471">
        <f t="shared" si="6"/>
        <v>0</v>
      </c>
    </row>
    <row r="52" spans="1:35" ht="21.75" customHeight="1">
      <c r="A52" s="383">
        <v>35</v>
      </c>
      <c r="C52" s="406"/>
      <c r="D52" s="440"/>
      <c r="E52" s="407"/>
      <c r="F52" s="407"/>
      <c r="G52" s="407"/>
      <c r="H52" s="437"/>
      <c r="I52" s="408" t="s">
        <v>446</v>
      </c>
      <c r="J52" s="409" t="str">
        <f t="shared" si="0"/>
        <v>M=(Largo) x Cant</v>
      </c>
      <c r="K52" s="410" t="str">
        <f t="shared" si="7"/>
        <v>M</v>
      </c>
      <c r="L52" s="411"/>
      <c r="M52" s="412"/>
      <c r="N52" s="442"/>
      <c r="O52" s="457">
        <f t="shared" si="2"/>
        <v>0</v>
      </c>
      <c r="P52" s="413"/>
      <c r="Q52" s="413"/>
      <c r="R52" s="413"/>
      <c r="S52" s="414">
        <f>+HLOOKUP(A52,[238]Hoja1!$2:$78,48,FALSE)</f>
        <v>0</v>
      </c>
      <c r="X52" s="458">
        <f t="shared" si="5"/>
        <v>0</v>
      </c>
      <c r="Y52" s="471">
        <f t="shared" si="6"/>
        <v>0</v>
      </c>
    </row>
    <row r="53" spans="1:35">
      <c r="A53" s="383">
        <v>36</v>
      </c>
      <c r="C53" s="406"/>
      <c r="D53" s="407"/>
      <c r="E53" s="407"/>
      <c r="F53" s="407"/>
      <c r="G53" s="407"/>
      <c r="H53" s="407"/>
      <c r="I53" s="408" t="s">
        <v>447</v>
      </c>
      <c r="J53" s="409" t="str">
        <f t="shared" si="0"/>
        <v>M=(Largo) x Cant</v>
      </c>
      <c r="K53" s="410" t="str">
        <f>+K42</f>
        <v>M</v>
      </c>
      <c r="L53" s="411"/>
      <c r="M53" s="412"/>
      <c r="N53" s="442"/>
      <c r="O53" s="457">
        <f t="shared" si="2"/>
        <v>12.2</v>
      </c>
      <c r="P53" s="412"/>
      <c r="Q53" s="412"/>
      <c r="R53" s="413">
        <v>1</v>
      </c>
      <c r="S53" s="414">
        <f>+HLOOKUP(A53,[238]Hoja1!$2:$78,48,FALSE)</f>
        <v>12.2</v>
      </c>
      <c r="X53" s="458">
        <f t="shared" si="5"/>
        <v>0</v>
      </c>
      <c r="Y53" s="471">
        <f t="shared" si="6"/>
        <v>0</v>
      </c>
    </row>
    <row r="54" spans="1:35">
      <c r="A54" s="383">
        <v>37</v>
      </c>
      <c r="C54" s="406"/>
      <c r="D54" s="407"/>
      <c r="E54" s="407"/>
      <c r="F54" s="407"/>
      <c r="G54" s="407"/>
      <c r="H54" s="407"/>
      <c r="I54" s="408" t="s">
        <v>448</v>
      </c>
      <c r="J54" s="409" t="str">
        <f t="shared" si="0"/>
        <v>M=(Largo) x Cant</v>
      </c>
      <c r="K54" s="410" t="str">
        <f t="shared" si="4"/>
        <v>M</v>
      </c>
      <c r="L54" s="411"/>
      <c r="M54" s="412"/>
      <c r="N54" s="441"/>
      <c r="O54" s="457">
        <f t="shared" si="2"/>
        <v>16.399999999999999</v>
      </c>
      <c r="P54" s="412"/>
      <c r="Q54" s="412"/>
      <c r="R54" s="413">
        <v>1</v>
      </c>
      <c r="S54" s="414">
        <f>+HLOOKUP(A54,[238]Hoja1!$2:$78,48,FALSE)</f>
        <v>16.399999999999999</v>
      </c>
      <c r="X54" s="458">
        <f t="shared" si="5"/>
        <v>0</v>
      </c>
      <c r="Y54" s="471">
        <f t="shared" si="6"/>
        <v>0</v>
      </c>
    </row>
    <row r="55" spans="1:35" ht="21.75" customHeight="1">
      <c r="A55" s="383">
        <v>38</v>
      </c>
      <c r="C55" s="406"/>
      <c r="D55" s="440"/>
      <c r="E55" s="407"/>
      <c r="F55" s="407"/>
      <c r="G55" s="407"/>
      <c r="H55" s="437"/>
      <c r="I55" s="408" t="s">
        <v>449</v>
      </c>
      <c r="J55" s="409" t="str">
        <f t="shared" si="0"/>
        <v>M=(Largo) x Cant</v>
      </c>
      <c r="K55" s="410" t="str">
        <f t="shared" si="4"/>
        <v>M</v>
      </c>
      <c r="L55" s="411"/>
      <c r="M55" s="412"/>
      <c r="N55" s="442"/>
      <c r="O55" s="457">
        <f t="shared" si="2"/>
        <v>0</v>
      </c>
      <c r="P55" s="413"/>
      <c r="Q55" s="413"/>
      <c r="R55" s="413"/>
      <c r="S55" s="414">
        <f>+HLOOKUP(A55,[238]Hoja1!$2:$78,48,FALSE)</f>
        <v>0</v>
      </c>
      <c r="X55" s="458">
        <f t="shared" si="5"/>
        <v>0</v>
      </c>
      <c r="Y55" s="471">
        <f t="shared" si="6"/>
        <v>0</v>
      </c>
    </row>
    <row r="56" spans="1:35">
      <c r="A56" s="383">
        <v>39</v>
      </c>
      <c r="C56" s="406"/>
      <c r="D56" s="407"/>
      <c r="E56" s="407"/>
      <c r="F56" s="407"/>
      <c r="G56" s="407"/>
      <c r="H56" s="407"/>
      <c r="I56" s="408" t="s">
        <v>450</v>
      </c>
      <c r="J56" s="409" t="str">
        <f t="shared" si="0"/>
        <v>M=(Largo) x Cant</v>
      </c>
      <c r="K56" s="410" t="str">
        <f t="shared" si="4"/>
        <v>M</v>
      </c>
      <c r="L56" s="411"/>
      <c r="M56" s="412"/>
      <c r="N56" s="441"/>
      <c r="O56" s="457">
        <f t="shared" si="2"/>
        <v>0</v>
      </c>
      <c r="P56" s="412"/>
      <c r="Q56" s="412"/>
      <c r="R56" s="413"/>
      <c r="S56" s="414">
        <f>+HLOOKUP(A56,[238]Hoja1!$2:$78,48,FALSE)</f>
        <v>0</v>
      </c>
      <c r="X56" s="458">
        <f t="shared" si="5"/>
        <v>0</v>
      </c>
      <c r="Y56" s="471">
        <f t="shared" si="6"/>
        <v>0</v>
      </c>
    </row>
    <row r="57" spans="1:35">
      <c r="A57" s="383">
        <v>40</v>
      </c>
      <c r="C57" s="406"/>
      <c r="D57" s="407"/>
      <c r="E57" s="407"/>
      <c r="F57" s="407"/>
      <c r="G57" s="407"/>
      <c r="H57" s="407"/>
      <c r="I57" s="408" t="s">
        <v>451</v>
      </c>
      <c r="J57" s="409" t="str">
        <f t="shared" si="0"/>
        <v>M=(Largo) x Cant</v>
      </c>
      <c r="K57" s="410" t="str">
        <f t="shared" si="4"/>
        <v>M</v>
      </c>
      <c r="L57" s="411"/>
      <c r="M57" s="412"/>
      <c r="N57" s="442"/>
      <c r="O57" s="457">
        <f t="shared" si="2"/>
        <v>12.2</v>
      </c>
      <c r="P57" s="412"/>
      <c r="Q57" s="412"/>
      <c r="R57" s="413">
        <v>1</v>
      </c>
      <c r="S57" s="414">
        <f>+HLOOKUP(A57,[238]Hoja1!$2:$78,48,FALSE)</f>
        <v>12.2</v>
      </c>
      <c r="X57" s="458">
        <f t="shared" si="5"/>
        <v>0</v>
      </c>
      <c r="Y57" s="471">
        <f t="shared" si="6"/>
        <v>0</v>
      </c>
    </row>
    <row r="58" spans="1:35">
      <c r="A58" s="383">
        <v>41</v>
      </c>
      <c r="C58" s="406"/>
      <c r="D58" s="407"/>
      <c r="E58" s="407"/>
      <c r="F58" s="407"/>
      <c r="G58" s="407"/>
      <c r="H58" s="407"/>
      <c r="I58" s="408" t="s">
        <v>452</v>
      </c>
      <c r="J58" s="409" t="str">
        <f t="shared" si="0"/>
        <v>M=(Largo) x Cant</v>
      </c>
      <c r="K58" s="410" t="str">
        <f t="shared" si="4"/>
        <v>M</v>
      </c>
      <c r="L58" s="411"/>
      <c r="M58" s="412"/>
      <c r="N58" s="442"/>
      <c r="O58" s="457">
        <f t="shared" si="2"/>
        <v>10.4</v>
      </c>
      <c r="P58" s="413"/>
      <c r="Q58" s="413"/>
      <c r="R58" s="413">
        <v>1</v>
      </c>
      <c r="S58" s="414">
        <f>+HLOOKUP(A58,[238]Hoja1!$2:$78,48,FALSE)</f>
        <v>10.4</v>
      </c>
      <c r="X58" s="458">
        <f t="shared" si="5"/>
        <v>0</v>
      </c>
      <c r="Y58" s="471">
        <f t="shared" si="6"/>
        <v>0</v>
      </c>
      <c r="AH58" s="383" t="s">
        <v>156</v>
      </c>
      <c r="AI58" s="383" t="s">
        <v>410</v>
      </c>
    </row>
    <row r="59" spans="1:35">
      <c r="A59" s="383">
        <v>42</v>
      </c>
      <c r="C59" s="406"/>
      <c r="D59" s="407"/>
      <c r="E59" s="407"/>
      <c r="F59" s="407"/>
      <c r="G59" s="407"/>
      <c r="H59" s="407"/>
      <c r="I59" s="408" t="s">
        <v>453</v>
      </c>
      <c r="J59" s="409" t="str">
        <f t="shared" si="0"/>
        <v>M=(Largo) x Cant</v>
      </c>
      <c r="K59" s="410" t="str">
        <f t="shared" si="4"/>
        <v>M</v>
      </c>
      <c r="L59" s="411"/>
      <c r="M59" s="412"/>
      <c r="N59" s="442"/>
      <c r="O59" s="457">
        <f t="shared" si="2"/>
        <v>0</v>
      </c>
      <c r="P59" s="412"/>
      <c r="Q59" s="412"/>
      <c r="R59" s="413"/>
      <c r="S59" s="414">
        <f>+HLOOKUP(A59,[238]Hoja1!$2:$78,48,FALSE)</f>
        <v>0</v>
      </c>
      <c r="X59" s="458">
        <f t="shared" si="5"/>
        <v>0</v>
      </c>
      <c r="Y59" s="471">
        <f t="shared" si="6"/>
        <v>0</v>
      </c>
    </row>
    <row r="60" spans="1:35" ht="13.5" thickBot="1">
      <c r="A60" s="383">
        <v>43</v>
      </c>
      <c r="C60" s="406"/>
      <c r="D60" s="407"/>
      <c r="E60" s="407"/>
      <c r="F60" s="407"/>
      <c r="G60" s="407"/>
      <c r="H60" s="407"/>
      <c r="I60" s="408" t="s">
        <v>454</v>
      </c>
      <c r="J60" s="409" t="str">
        <f t="shared" si="0"/>
        <v>M=(Largo) x Cant</v>
      </c>
      <c r="K60" s="410" t="str">
        <f t="shared" si="4"/>
        <v>M</v>
      </c>
      <c r="L60" s="411"/>
      <c r="M60" s="412"/>
      <c r="N60" s="442"/>
      <c r="O60" s="457">
        <f t="shared" si="2"/>
        <v>0</v>
      </c>
      <c r="P60" s="412"/>
      <c r="Q60" s="412"/>
      <c r="R60" s="413"/>
      <c r="S60" s="414">
        <f>+HLOOKUP(A60,[238]Hoja1!$2:$78,48,FALSE)</f>
        <v>0</v>
      </c>
      <c r="X60" s="458">
        <f t="shared" si="5"/>
        <v>0</v>
      </c>
      <c r="Y60" s="471">
        <f t="shared" si="6"/>
        <v>0</v>
      </c>
    </row>
    <row r="61" spans="1:35">
      <c r="C61" s="384"/>
      <c r="D61" s="419"/>
      <c r="E61" s="420"/>
      <c r="F61" s="421"/>
      <c r="G61" s="421"/>
      <c r="H61" s="421"/>
      <c r="I61" s="421"/>
      <c r="J61" s="422"/>
      <c r="K61" s="421"/>
      <c r="L61" s="421"/>
      <c r="M61" s="421"/>
      <c r="N61" s="421"/>
      <c r="O61" s="421"/>
      <c r="P61" s="421"/>
      <c r="Q61" s="421"/>
      <c r="R61" s="422"/>
      <c r="S61" s="423"/>
    </row>
    <row r="62" spans="1:35">
      <c r="C62" s="396"/>
      <c r="D62" s="397"/>
      <c r="E62" s="424"/>
      <c r="F62" s="425"/>
      <c r="G62" s="425"/>
      <c r="H62" s="425"/>
      <c r="I62" s="425"/>
      <c r="J62" s="398"/>
      <c r="K62" s="425"/>
      <c r="L62" s="425"/>
      <c r="M62" s="397"/>
      <c r="N62" s="397"/>
      <c r="O62" s="562" t="s">
        <v>421</v>
      </c>
      <c r="P62" s="563"/>
      <c r="Q62" s="564"/>
      <c r="R62" s="426"/>
      <c r="S62" s="427">
        <f>ROUND(SUM(S18:S61),2)</f>
        <v>341.62</v>
      </c>
    </row>
    <row r="63" spans="1:35">
      <c r="C63" s="396"/>
      <c r="D63" s="397"/>
      <c r="E63" s="424"/>
      <c r="F63" s="425"/>
      <c r="G63" s="425"/>
      <c r="H63" s="425"/>
      <c r="I63" s="425"/>
      <c r="J63" s="398"/>
      <c r="K63" s="425"/>
      <c r="L63" s="425"/>
      <c r="M63" s="428"/>
      <c r="N63" s="428"/>
      <c r="O63" s="429"/>
      <c r="P63" s="425"/>
      <c r="Q63" s="425"/>
      <c r="R63" s="430"/>
      <c r="S63" s="431"/>
    </row>
    <row r="64" spans="1:35">
      <c r="C64" s="565" t="e">
        <v>#REF!</v>
      </c>
      <c r="D64" s="566"/>
      <c r="E64" s="566"/>
      <c r="F64" s="566"/>
      <c r="G64" s="566"/>
      <c r="H64" s="566"/>
      <c r="I64" s="566"/>
      <c r="J64" s="566"/>
      <c r="K64" s="566"/>
      <c r="L64" s="566"/>
      <c r="M64" s="566"/>
      <c r="N64" s="567"/>
      <c r="O64" s="568" t="s">
        <v>422</v>
      </c>
      <c r="P64" s="568"/>
      <c r="Q64" s="568"/>
      <c r="R64" s="426"/>
      <c r="S64" s="427">
        <f>S62</f>
        <v>341.62</v>
      </c>
    </row>
    <row r="65" spans="3:19">
      <c r="C65" s="396"/>
      <c r="D65" s="397"/>
      <c r="E65" s="424"/>
      <c r="F65" s="425"/>
      <c r="G65" s="425"/>
      <c r="H65" s="425"/>
      <c r="I65" s="425"/>
      <c r="J65" s="398"/>
      <c r="K65" s="425"/>
      <c r="L65" s="425"/>
      <c r="M65" s="428"/>
      <c r="N65" s="428"/>
      <c r="O65" s="429"/>
      <c r="P65" s="425"/>
      <c r="Q65" s="398"/>
      <c r="R65" s="398"/>
      <c r="S65" s="432"/>
    </row>
    <row r="66" spans="3:19">
      <c r="C66" s="396"/>
      <c r="D66" s="397"/>
      <c r="E66" s="424"/>
      <c r="F66" s="425"/>
      <c r="G66" s="425"/>
      <c r="H66" s="425"/>
      <c r="I66" s="425"/>
      <c r="J66" s="398"/>
      <c r="K66" s="425"/>
      <c r="L66" s="425"/>
      <c r="M66" s="428"/>
      <c r="N66" s="428"/>
      <c r="O66" s="429"/>
      <c r="P66" s="425"/>
      <c r="Q66" s="398"/>
      <c r="R66" s="398"/>
      <c r="S66" s="432"/>
    </row>
    <row r="67" spans="3:19">
      <c r="C67" s="569" t="s">
        <v>423</v>
      </c>
      <c r="D67" s="570"/>
      <c r="E67" s="570"/>
      <c r="F67" s="570"/>
      <c r="G67" s="570"/>
      <c r="H67" s="570"/>
      <c r="I67" s="570"/>
      <c r="J67" s="571"/>
      <c r="K67" s="433" t="s">
        <v>424</v>
      </c>
      <c r="L67" s="434"/>
      <c r="M67" s="434"/>
      <c r="N67" s="434"/>
      <c r="O67" s="434"/>
      <c r="P67" s="434"/>
      <c r="Q67" s="434"/>
      <c r="R67" s="434"/>
      <c r="S67" s="435"/>
    </row>
    <row r="68" spans="3:19">
      <c r="C68" s="542"/>
      <c r="D68" s="543"/>
      <c r="E68" s="543"/>
      <c r="F68" s="543"/>
      <c r="G68" s="436"/>
      <c r="H68" s="436"/>
      <c r="I68" s="436"/>
      <c r="J68" s="447"/>
      <c r="K68" s="436"/>
      <c r="L68" s="407"/>
      <c r="M68" s="407"/>
      <c r="N68" s="407"/>
      <c r="O68" s="407"/>
      <c r="P68" s="407"/>
      <c r="Q68" s="407"/>
      <c r="R68" s="407"/>
      <c r="S68" s="437"/>
    </row>
    <row r="69" spans="3:19">
      <c r="C69" s="542"/>
      <c r="D69" s="543"/>
      <c r="E69" s="543"/>
      <c r="F69" s="543"/>
      <c r="G69" s="436"/>
      <c r="H69" s="436"/>
      <c r="I69" s="436"/>
      <c r="J69" s="447"/>
      <c r="K69" s="436"/>
      <c r="L69" s="407"/>
      <c r="M69" s="407"/>
      <c r="N69" s="407"/>
      <c r="O69" s="407"/>
      <c r="P69" s="407"/>
      <c r="Q69" s="407"/>
      <c r="R69" s="407"/>
      <c r="S69" s="437"/>
    </row>
    <row r="70" spans="3:19">
      <c r="C70" s="542" t="s">
        <v>425</v>
      </c>
      <c r="D70" s="543"/>
      <c r="E70" s="543" t="s">
        <v>425</v>
      </c>
      <c r="F70" s="543"/>
      <c r="G70" s="543" t="s">
        <v>425</v>
      </c>
      <c r="H70" s="543"/>
      <c r="I70" s="543" t="s">
        <v>425</v>
      </c>
      <c r="J70" s="544"/>
      <c r="K70" s="545" t="s">
        <v>426</v>
      </c>
      <c r="L70" s="546"/>
      <c r="M70" s="546"/>
      <c r="N70" s="546"/>
      <c r="O70" s="546"/>
      <c r="P70" s="546"/>
      <c r="Q70" s="546"/>
      <c r="R70" s="546"/>
      <c r="S70" s="547"/>
    </row>
    <row r="71" spans="3:19">
      <c r="C71" s="548" t="str">
        <f>+[42]DATOS!D$8</f>
        <v>HELMER EDUARDO BECERRA SANTANDER</v>
      </c>
      <c r="D71" s="549"/>
      <c r="E71" s="549" t="s">
        <v>427</v>
      </c>
      <c r="F71" s="549"/>
      <c r="G71" s="549" t="s">
        <v>427</v>
      </c>
      <c r="H71" s="549"/>
      <c r="I71" s="549" t="s">
        <v>427</v>
      </c>
      <c r="J71" s="550"/>
      <c r="K71" s="551" t="str">
        <f>+[42]DATOS!D$11</f>
        <v>JESUS IVAN QUIÑONES RUEDA</v>
      </c>
      <c r="L71" s="549"/>
      <c r="M71" s="549"/>
      <c r="N71" s="549"/>
      <c r="O71" s="549"/>
      <c r="P71" s="549"/>
      <c r="Q71" s="549"/>
      <c r="R71" s="549"/>
      <c r="S71" s="552"/>
    </row>
    <row r="72" spans="3:19">
      <c r="C72" s="553" t="str">
        <f>+[42]DATOS!D9</f>
        <v>APOYO SEC. DE PLANEACION Y OBRAS PÚBLICAS</v>
      </c>
      <c r="D72" s="554"/>
      <c r="E72" s="554" t="s">
        <v>428</v>
      </c>
      <c r="F72" s="554"/>
      <c r="G72" s="554" t="s">
        <v>428</v>
      </c>
      <c r="H72" s="554"/>
      <c r="I72" s="554" t="s">
        <v>428</v>
      </c>
      <c r="J72" s="555"/>
      <c r="K72" s="556" t="str">
        <f>+[42]DATOS!D12</f>
        <v>SECRETARIO DE PLANEACION Y OBRAS PÚBLICAS</v>
      </c>
      <c r="L72" s="554"/>
      <c r="M72" s="554"/>
      <c r="N72" s="554"/>
      <c r="O72" s="554"/>
      <c r="P72" s="554"/>
      <c r="Q72" s="554"/>
      <c r="R72" s="554"/>
      <c r="S72" s="557"/>
    </row>
    <row r="73" spans="3:19">
      <c r="C73" s="406"/>
      <c r="D73" s="407"/>
      <c r="E73" s="407"/>
      <c r="F73" s="407"/>
      <c r="G73" s="407"/>
      <c r="H73" s="407"/>
      <c r="I73" s="407"/>
      <c r="J73" s="407"/>
      <c r="K73" s="407"/>
      <c r="L73" s="407"/>
      <c r="M73" s="407"/>
      <c r="N73" s="407"/>
      <c r="O73" s="407"/>
      <c r="P73" s="407"/>
      <c r="Q73" s="407"/>
      <c r="R73" s="407"/>
      <c r="S73" s="437"/>
    </row>
    <row r="74" spans="3:19" ht="111.6" customHeight="1" thickBot="1">
      <c r="C74" s="417"/>
      <c r="D74" s="418"/>
      <c r="E74" s="418"/>
      <c r="F74" s="418"/>
      <c r="G74" s="418"/>
      <c r="H74" s="418"/>
      <c r="I74" s="418"/>
      <c r="J74" s="418"/>
      <c r="K74" s="418"/>
      <c r="L74" s="418"/>
      <c r="M74" s="418"/>
      <c r="N74" s="418"/>
      <c r="O74" s="418"/>
      <c r="P74" s="418"/>
      <c r="Q74" s="418"/>
      <c r="R74" s="418"/>
      <c r="S74" s="438"/>
    </row>
    <row r="77" spans="3:19" ht="13.5" thickBot="1"/>
    <row r="78" spans="3:19">
      <c r="C78" s="384"/>
      <c r="D78" s="385"/>
      <c r="E78" s="385"/>
      <c r="F78" s="385"/>
      <c r="G78" s="385"/>
      <c r="H78" s="385"/>
      <c r="I78" s="385"/>
      <c r="J78" s="445"/>
      <c r="K78" s="385"/>
      <c r="L78" s="385"/>
      <c r="M78" s="385"/>
      <c r="N78" s="385"/>
      <c r="O78" s="385"/>
      <c r="P78" s="385"/>
      <c r="Q78" s="385"/>
      <c r="R78" s="385"/>
      <c r="S78" s="386"/>
    </row>
    <row r="79" spans="3:19" ht="121.5" customHeight="1" thickBot="1">
      <c r="C79" s="387"/>
      <c r="D79" s="388"/>
      <c r="E79" s="388"/>
      <c r="F79" s="388"/>
      <c r="G79" s="388"/>
      <c r="H79" s="388"/>
      <c r="I79" s="388"/>
      <c r="J79" s="446"/>
      <c r="K79" s="388"/>
      <c r="L79" s="388"/>
      <c r="M79" s="388"/>
      <c r="N79" s="388"/>
      <c r="O79" s="388"/>
      <c r="P79" s="388"/>
      <c r="Q79" s="388"/>
      <c r="R79" s="388"/>
      <c r="S79" s="389"/>
    </row>
    <row r="80" spans="3:19">
      <c r="C80" s="592" t="str">
        <f>+[42]DATOS!C$7</f>
        <v>MEJORAMIENTO DE VIVIENDA CON ENFOQUE DIFERENCIAL PARA POBLACIÓN VULNERABLE EN EL MUNICIPIO DE CUBARÁ, BOYACÁ (2026).</v>
      </c>
      <c r="D80" s="593"/>
      <c r="E80" s="593"/>
      <c r="F80" s="593"/>
      <c r="G80" s="593"/>
      <c r="H80" s="593"/>
      <c r="I80" s="593"/>
      <c r="J80" s="593"/>
      <c r="K80" s="593"/>
      <c r="L80" s="593"/>
      <c r="M80" s="593"/>
      <c r="N80" s="593"/>
      <c r="O80" s="593"/>
      <c r="P80" s="593"/>
      <c r="Q80" s="593"/>
      <c r="R80" s="593"/>
      <c r="S80" s="594"/>
    </row>
    <row r="81" spans="1:25">
      <c r="C81" s="595"/>
      <c r="D81" s="596"/>
      <c r="E81" s="596"/>
      <c r="F81" s="596"/>
      <c r="G81" s="596"/>
      <c r="H81" s="596"/>
      <c r="I81" s="596"/>
      <c r="J81" s="596"/>
      <c r="K81" s="596"/>
      <c r="L81" s="596"/>
      <c r="M81" s="596"/>
      <c r="N81" s="596"/>
      <c r="O81" s="596"/>
      <c r="P81" s="596"/>
      <c r="Q81" s="596"/>
      <c r="R81" s="596"/>
      <c r="S81" s="597"/>
    </row>
    <row r="82" spans="1:25">
      <c r="C82" s="598" t="s">
        <v>371</v>
      </c>
      <c r="D82" s="599"/>
      <c r="E82" s="599"/>
      <c r="F82" s="599"/>
      <c r="G82" s="599"/>
      <c r="H82" s="599"/>
      <c r="I82" s="599"/>
      <c r="J82" s="599"/>
      <c r="K82" s="599"/>
      <c r="L82" s="599"/>
      <c r="M82" s="599"/>
      <c r="N82" s="599"/>
      <c r="O82" s="599"/>
      <c r="P82" s="599"/>
      <c r="Q82" s="599"/>
      <c r="R82" s="599"/>
      <c r="S82" s="600"/>
    </row>
    <row r="83" spans="1:25">
      <c r="C83" s="586" t="s">
        <v>372</v>
      </c>
      <c r="D83" s="587"/>
      <c r="E83" s="601" t="s">
        <v>373</v>
      </c>
      <c r="F83" s="601"/>
      <c r="G83" s="601"/>
      <c r="H83" s="601"/>
      <c r="I83" s="601"/>
      <c r="J83" s="601"/>
      <c r="K83" s="601"/>
      <c r="L83" s="601"/>
      <c r="M83" s="601"/>
      <c r="N83" s="601"/>
      <c r="O83" s="601"/>
      <c r="P83" s="601"/>
      <c r="Q83" s="601"/>
      <c r="R83" s="601"/>
      <c r="S83" s="602"/>
    </row>
    <row r="84" spans="1:25">
      <c r="C84" s="586" t="s">
        <v>374</v>
      </c>
      <c r="D84" s="587"/>
      <c r="E84" s="603" t="s">
        <v>375</v>
      </c>
      <c r="F84" s="604"/>
      <c r="G84" s="604"/>
      <c r="H84" s="604"/>
      <c r="I84" s="604"/>
      <c r="J84" s="604"/>
      <c r="K84" s="604"/>
      <c r="L84" s="604"/>
      <c r="M84" s="604"/>
      <c r="N84" s="604"/>
      <c r="O84" s="604"/>
      <c r="P84" s="604"/>
      <c r="Q84" s="604"/>
      <c r="R84" s="604"/>
      <c r="S84" s="605"/>
    </row>
    <row r="85" spans="1:25">
      <c r="C85" s="586" t="s">
        <v>376</v>
      </c>
      <c r="D85" s="587"/>
      <c r="E85" s="390">
        <f>+[42]DATOS!F$5</f>
        <v>46143</v>
      </c>
      <c r="F85" s="391"/>
      <c r="G85" s="391"/>
      <c r="H85" s="391"/>
      <c r="I85" s="391"/>
      <c r="J85" s="391"/>
      <c r="K85" s="568" t="s">
        <v>377</v>
      </c>
      <c r="L85" s="568"/>
      <c r="M85" s="588" t="s">
        <v>378</v>
      </c>
      <c r="N85" s="588"/>
      <c r="O85" s="588"/>
      <c r="P85" s="588"/>
      <c r="Q85" s="588"/>
      <c r="R85" s="588"/>
      <c r="S85" s="589"/>
    </row>
    <row r="86" spans="1:25" ht="25.5">
      <c r="C86" s="586" t="s">
        <v>379</v>
      </c>
      <c r="D86" s="587"/>
      <c r="E86" s="590" t="s">
        <v>380</v>
      </c>
      <c r="F86" s="591"/>
      <c r="G86" s="392">
        <f>+[42]DATOS!E$5</f>
        <v>2026</v>
      </c>
      <c r="H86" s="393" t="s">
        <v>381</v>
      </c>
      <c r="I86" s="394">
        <f>+[42]DATOS!E$5</f>
        <v>2026</v>
      </c>
      <c r="J86" s="395"/>
      <c r="K86" s="568" t="s">
        <v>382</v>
      </c>
      <c r="L86" s="568"/>
      <c r="M86" s="588" t="s">
        <v>383</v>
      </c>
      <c r="N86" s="588"/>
      <c r="O86" s="588"/>
      <c r="P86" s="588"/>
      <c r="Q86" s="588"/>
      <c r="R86" s="588"/>
      <c r="S86" s="589"/>
    </row>
    <row r="87" spans="1:25">
      <c r="C87" s="396"/>
      <c r="D87" s="397"/>
      <c r="E87" s="397"/>
      <c r="F87" s="398"/>
      <c r="G87" s="398"/>
      <c r="H87" s="398"/>
      <c r="I87" s="398"/>
      <c r="J87" s="398"/>
      <c r="K87" s="398"/>
      <c r="L87" s="398"/>
      <c r="M87" s="398"/>
      <c r="N87" s="398"/>
      <c r="O87" s="398"/>
      <c r="P87" s="398"/>
      <c r="Q87" s="398"/>
      <c r="R87" s="398"/>
      <c r="S87" s="399"/>
    </row>
    <row r="88" spans="1:25">
      <c r="C88" s="572" t="s">
        <v>384</v>
      </c>
      <c r="D88" s="573"/>
      <c r="E88" s="573"/>
      <c r="F88" s="573"/>
      <c r="G88" s="573"/>
      <c r="H88" s="573"/>
      <c r="I88" s="573"/>
      <c r="J88" s="573"/>
      <c r="K88" s="573"/>
      <c r="L88" s="573"/>
      <c r="M88" s="573"/>
      <c r="N88" s="573"/>
      <c r="O88" s="573"/>
      <c r="P88" s="573"/>
      <c r="Q88" s="573"/>
      <c r="R88" s="573"/>
      <c r="S88" s="574"/>
    </row>
    <row r="89" spans="1:25">
      <c r="C89" s="396"/>
      <c r="D89" s="397"/>
      <c r="E89" s="397"/>
      <c r="F89" s="398"/>
      <c r="G89" s="398"/>
      <c r="H89" s="398"/>
      <c r="I89" s="398"/>
      <c r="J89" s="398"/>
      <c r="K89" s="398"/>
      <c r="L89" s="398"/>
      <c r="M89" s="398"/>
      <c r="N89" s="398"/>
      <c r="O89" s="398"/>
      <c r="P89" s="398"/>
      <c r="Q89" s="398"/>
      <c r="R89" s="398"/>
      <c r="S89" s="399"/>
    </row>
    <row r="90" spans="1:25">
      <c r="C90" s="400" t="s">
        <v>385</v>
      </c>
      <c r="D90" s="575" t="s">
        <v>386</v>
      </c>
      <c r="E90" s="575"/>
      <c r="F90" s="576" t="s">
        <v>387</v>
      </c>
      <c r="G90" s="577"/>
      <c r="H90" s="577"/>
      <c r="I90" s="576" t="s">
        <v>388</v>
      </c>
      <c r="J90" s="576" t="s">
        <v>389</v>
      </c>
      <c r="K90" s="579"/>
      <c r="L90" s="581" t="s">
        <v>390</v>
      </c>
      <c r="M90" s="581"/>
      <c r="N90" s="581"/>
      <c r="O90" s="581"/>
      <c r="P90" s="581"/>
      <c r="Q90" s="581"/>
      <c r="R90" s="581" t="s">
        <v>391</v>
      </c>
      <c r="S90" s="582"/>
    </row>
    <row r="91" spans="1:25" ht="38.25">
      <c r="C91" s="403">
        <f>+'PRESUPUESTO OFICIAL '!C62</f>
        <v>5.0199999999999996</v>
      </c>
      <c r="D91" s="583" t="str">
        <f>+VLOOKUP(C91,'PRESUPUESTO OFICIAL '!$C$11:$H$103,2)</f>
        <v xml:space="preserve">SUMINISTRO E INSTALACION DE INTERRUPTOR SENCILLO </v>
      </c>
      <c r="E91" s="584"/>
      <c r="F91" s="585" t="str">
        <f>+VLOOKUP(C91,'PRESUPUESTO OFICIAL '!$C$11:$H$103,3)</f>
        <v>UND</v>
      </c>
      <c r="G91" s="585"/>
      <c r="H91" s="585"/>
      <c r="I91" s="578"/>
      <c r="J91" s="578"/>
      <c r="K91" s="580"/>
      <c r="L91" s="401" t="s">
        <v>392</v>
      </c>
      <c r="M91" s="401" t="s">
        <v>393</v>
      </c>
      <c r="N91" s="401" t="s">
        <v>394</v>
      </c>
      <c r="O91" s="401" t="s">
        <v>395</v>
      </c>
      <c r="P91" s="401" t="s">
        <v>396</v>
      </c>
      <c r="Q91" s="401" t="s">
        <v>397</v>
      </c>
      <c r="R91" s="401" t="s">
        <v>398</v>
      </c>
      <c r="S91" s="402" t="s">
        <v>399</v>
      </c>
      <c r="U91" s="404">
        <f>+C91</f>
        <v>5.0199999999999996</v>
      </c>
      <c r="V91" s="405">
        <f>+S139</f>
        <v>21</v>
      </c>
    </row>
    <row r="92" spans="1:25">
      <c r="C92" s="406"/>
      <c r="D92" s="407"/>
      <c r="E92" s="407"/>
      <c r="F92" s="407"/>
      <c r="G92" s="407"/>
      <c r="H92" s="407"/>
      <c r="I92" s="558"/>
      <c r="J92" s="559"/>
      <c r="K92" s="560"/>
      <c r="L92" s="560"/>
      <c r="M92" s="560"/>
      <c r="N92" s="560"/>
      <c r="O92" s="560"/>
      <c r="P92" s="560"/>
      <c r="Q92" s="560"/>
      <c r="R92" s="560"/>
      <c r="S92" s="561"/>
    </row>
    <row r="93" spans="1:25" ht="25.5">
      <c r="A93" s="383">
        <v>1</v>
      </c>
      <c r="C93" s="406"/>
      <c r="D93" s="407"/>
      <c r="E93" s="407"/>
      <c r="F93" s="407"/>
      <c r="G93" s="407"/>
      <c r="H93" s="407"/>
      <c r="I93" s="408" t="s">
        <v>400</v>
      </c>
      <c r="J93" s="409" t="str">
        <f t="shared" ref="J93:J135" si="8">+VLOOKUP(K93,$AH$22:$AJ$58,2,)</f>
        <v>UND= Cant de elementos</v>
      </c>
      <c r="K93" s="410" t="str">
        <f>+F91</f>
        <v>UND</v>
      </c>
      <c r="L93" s="411"/>
      <c r="M93" s="412"/>
      <c r="N93" s="442"/>
      <c r="O93" s="442"/>
      <c r="P93" s="413"/>
      <c r="Q93" s="411"/>
      <c r="R93" s="413">
        <f>+S93</f>
        <v>0</v>
      </c>
      <c r="S93" s="414">
        <f>+HLOOKUP(A93,[238]Hoja1!$2:$78,49,FALSE)</f>
        <v>0</v>
      </c>
      <c r="X93" s="458">
        <f>+N93*O93*P93*R93</f>
        <v>0</v>
      </c>
      <c r="Y93" s="471">
        <f>+X93-S93</f>
        <v>0</v>
      </c>
    </row>
    <row r="94" spans="1:25" ht="25.5">
      <c r="A94" s="383">
        <v>2</v>
      </c>
      <c r="C94" s="406"/>
      <c r="D94" s="407"/>
      <c r="E94" s="407"/>
      <c r="F94" s="407"/>
      <c r="G94" s="407"/>
      <c r="H94" s="407"/>
      <c r="I94" s="408" t="s">
        <v>401</v>
      </c>
      <c r="J94" s="409" t="str">
        <f t="shared" si="8"/>
        <v>UND= Cant de elementos</v>
      </c>
      <c r="K94" s="410" t="str">
        <f>+K93</f>
        <v>UND</v>
      </c>
      <c r="L94" s="411"/>
      <c r="M94" s="412"/>
      <c r="N94" s="442"/>
      <c r="O94" s="442"/>
      <c r="P94" s="413"/>
      <c r="Q94" s="411"/>
      <c r="R94" s="413">
        <f t="shared" ref="R94:R135" si="9">+S94</f>
        <v>0</v>
      </c>
      <c r="S94" s="414">
        <f>+HLOOKUP(A94,[238]Hoja1!$2:$78,49,FALSE)</f>
        <v>0</v>
      </c>
      <c r="X94" s="458">
        <f t="shared" ref="X94:X135" si="10">+N94*O94*P94*R94</f>
        <v>0</v>
      </c>
      <c r="Y94" s="471">
        <f t="shared" ref="Y94:Y135" si="11">+X94-L94</f>
        <v>0</v>
      </c>
    </row>
    <row r="95" spans="1:25" ht="25.5">
      <c r="A95" s="383">
        <v>3</v>
      </c>
      <c r="C95" s="406"/>
      <c r="D95" s="407"/>
      <c r="E95" s="407"/>
      <c r="F95" s="407"/>
      <c r="G95" s="407"/>
      <c r="H95" s="407"/>
      <c r="I95" s="408" t="s">
        <v>402</v>
      </c>
      <c r="J95" s="409" t="str">
        <f t="shared" si="8"/>
        <v>UND= Cant de elementos</v>
      </c>
      <c r="K95" s="410" t="str">
        <f>+K94</f>
        <v>UND</v>
      </c>
      <c r="L95" s="411"/>
      <c r="M95" s="412"/>
      <c r="N95" s="442"/>
      <c r="O95" s="442"/>
      <c r="P95" s="413"/>
      <c r="Q95" s="411"/>
      <c r="R95" s="413">
        <f t="shared" si="9"/>
        <v>0</v>
      </c>
      <c r="S95" s="414">
        <f>+HLOOKUP(A95,[238]Hoja1!$2:$78,49,FALSE)</f>
        <v>0</v>
      </c>
      <c r="X95" s="458">
        <f t="shared" si="10"/>
        <v>0</v>
      </c>
      <c r="Y95" s="471">
        <f t="shared" si="11"/>
        <v>0</v>
      </c>
    </row>
    <row r="96" spans="1:25" ht="25.5">
      <c r="A96" s="383">
        <v>4</v>
      </c>
      <c r="C96" s="406"/>
      <c r="D96" s="407"/>
      <c r="E96" s="407"/>
      <c r="F96" s="407"/>
      <c r="G96" s="407"/>
      <c r="H96" s="407"/>
      <c r="I96" s="408" t="s">
        <v>403</v>
      </c>
      <c r="J96" s="409" t="str">
        <f t="shared" si="8"/>
        <v>UND= Cant de elementos</v>
      </c>
      <c r="K96" s="410" t="str">
        <f>+K95</f>
        <v>UND</v>
      </c>
      <c r="L96" s="411"/>
      <c r="M96" s="412"/>
      <c r="N96" s="442"/>
      <c r="O96" s="442"/>
      <c r="P96" s="413"/>
      <c r="Q96" s="411"/>
      <c r="R96" s="413">
        <f t="shared" si="9"/>
        <v>0</v>
      </c>
      <c r="S96" s="414">
        <f>+HLOOKUP(A96,[238]Hoja1!$2:$78,49,FALSE)</f>
        <v>0</v>
      </c>
      <c r="X96" s="458">
        <f t="shared" si="10"/>
        <v>0</v>
      </c>
      <c r="Y96" s="471">
        <f t="shared" si="11"/>
        <v>0</v>
      </c>
    </row>
    <row r="97" spans="1:25" ht="25.5">
      <c r="A97" s="383">
        <v>5</v>
      </c>
      <c r="C97" s="406"/>
      <c r="D97" s="407"/>
      <c r="E97" s="407"/>
      <c r="F97" s="407"/>
      <c r="G97" s="407"/>
      <c r="H97" s="407"/>
      <c r="I97" s="408" t="s">
        <v>405</v>
      </c>
      <c r="J97" s="409" t="str">
        <f t="shared" si="8"/>
        <v>UND= Cant de elementos</v>
      </c>
      <c r="K97" s="410" t="str">
        <f>+K96</f>
        <v>UND</v>
      </c>
      <c r="L97" s="411"/>
      <c r="M97" s="412"/>
      <c r="N97" s="442"/>
      <c r="O97" s="442"/>
      <c r="P97" s="413"/>
      <c r="Q97" s="411"/>
      <c r="R97" s="413">
        <f t="shared" si="9"/>
        <v>0</v>
      </c>
      <c r="S97" s="414">
        <f>+HLOOKUP(A97,[238]Hoja1!$2:$78,49,FALSE)</f>
        <v>0</v>
      </c>
      <c r="X97" s="458">
        <f t="shared" si="10"/>
        <v>0</v>
      </c>
      <c r="Y97" s="471">
        <f t="shared" si="11"/>
        <v>0</v>
      </c>
    </row>
    <row r="98" spans="1:25" ht="25.5">
      <c r="A98" s="383">
        <v>6</v>
      </c>
      <c r="C98" s="406"/>
      <c r="D98" s="407"/>
      <c r="E98" s="407"/>
      <c r="F98" s="407"/>
      <c r="G98" s="407"/>
      <c r="H98" s="407"/>
      <c r="I98" s="408" t="s">
        <v>407</v>
      </c>
      <c r="J98" s="409" t="str">
        <f t="shared" si="8"/>
        <v>UND= Cant de elementos</v>
      </c>
      <c r="K98" s="410" t="str">
        <f>+K97</f>
        <v>UND</v>
      </c>
      <c r="L98" s="411"/>
      <c r="M98" s="412"/>
      <c r="N98" s="442"/>
      <c r="O98" s="442"/>
      <c r="P98" s="413"/>
      <c r="Q98" s="411"/>
      <c r="R98" s="413">
        <f t="shared" si="9"/>
        <v>1</v>
      </c>
      <c r="S98" s="414">
        <f>+HLOOKUP(A98,[238]Hoja1!$2:$78,49,FALSE)</f>
        <v>1</v>
      </c>
      <c r="X98" s="458">
        <f t="shared" si="10"/>
        <v>0</v>
      </c>
      <c r="Y98" s="471">
        <f t="shared" si="11"/>
        <v>0</v>
      </c>
    </row>
    <row r="99" spans="1:25" ht="25.5">
      <c r="A99" s="383">
        <v>7</v>
      </c>
      <c r="C99" s="406"/>
      <c r="D99" s="407"/>
      <c r="E99" s="407"/>
      <c r="F99" s="407"/>
      <c r="G99" s="407"/>
      <c r="H99" s="407"/>
      <c r="I99" s="408" t="s">
        <v>409</v>
      </c>
      <c r="J99" s="409" t="str">
        <f t="shared" si="8"/>
        <v>UND= Cant de elementos</v>
      </c>
      <c r="K99" s="410" t="str">
        <f>+K93</f>
        <v>UND</v>
      </c>
      <c r="L99" s="411"/>
      <c r="M99" s="412"/>
      <c r="N99" s="442"/>
      <c r="O99" s="442"/>
      <c r="P99" s="413"/>
      <c r="Q99" s="411"/>
      <c r="R99" s="413">
        <f t="shared" si="9"/>
        <v>0</v>
      </c>
      <c r="S99" s="414">
        <f>+HLOOKUP(A99,[238]Hoja1!$2:$78,49,FALSE)</f>
        <v>0</v>
      </c>
      <c r="X99" s="458">
        <f t="shared" si="10"/>
        <v>0</v>
      </c>
      <c r="Y99" s="471">
        <f t="shared" si="11"/>
        <v>0</v>
      </c>
    </row>
    <row r="100" spans="1:25" ht="25.5">
      <c r="A100" s="383">
        <v>8</v>
      </c>
      <c r="C100" s="406"/>
      <c r="D100" s="407"/>
      <c r="E100" s="407"/>
      <c r="F100" s="407"/>
      <c r="G100" s="407"/>
      <c r="H100" s="407"/>
      <c r="I100" s="408" t="s">
        <v>411</v>
      </c>
      <c r="J100" s="409" t="str">
        <f t="shared" si="8"/>
        <v>UND= Cant de elementos</v>
      </c>
      <c r="K100" s="410" t="str">
        <f>+K99</f>
        <v>UND</v>
      </c>
      <c r="L100" s="411"/>
      <c r="M100" s="412"/>
      <c r="N100" s="442"/>
      <c r="O100" s="442"/>
      <c r="P100" s="413"/>
      <c r="Q100" s="411"/>
      <c r="R100" s="413">
        <f t="shared" si="9"/>
        <v>1</v>
      </c>
      <c r="S100" s="414">
        <f>+HLOOKUP(A100,[238]Hoja1!$2:$78,49,FALSE)</f>
        <v>1</v>
      </c>
      <c r="X100" s="458">
        <f t="shared" si="10"/>
        <v>0</v>
      </c>
      <c r="Y100" s="471">
        <f t="shared" si="11"/>
        <v>0</v>
      </c>
    </row>
    <row r="101" spans="1:25" ht="25.5">
      <c r="A101" s="383">
        <v>9</v>
      </c>
      <c r="C101" s="406"/>
      <c r="D101" s="407"/>
      <c r="E101" s="407"/>
      <c r="F101" s="407"/>
      <c r="G101" s="407"/>
      <c r="H101" s="407"/>
      <c r="I101" s="408" t="s">
        <v>412</v>
      </c>
      <c r="J101" s="409" t="str">
        <f t="shared" si="8"/>
        <v>UND= Cant de elementos</v>
      </c>
      <c r="K101" s="410" t="str">
        <f>+K100</f>
        <v>UND</v>
      </c>
      <c r="L101" s="411"/>
      <c r="M101" s="412"/>
      <c r="N101" s="442"/>
      <c r="O101" s="442"/>
      <c r="P101" s="412"/>
      <c r="Q101" s="411"/>
      <c r="R101" s="413">
        <f t="shared" si="9"/>
        <v>0</v>
      </c>
      <c r="S101" s="414">
        <f>+HLOOKUP(A101,[238]Hoja1!$2:$78,49,FALSE)</f>
        <v>0</v>
      </c>
      <c r="X101" s="458">
        <f t="shared" si="10"/>
        <v>0</v>
      </c>
      <c r="Y101" s="471">
        <f t="shared" si="11"/>
        <v>0</v>
      </c>
    </row>
    <row r="102" spans="1:25" ht="25.5">
      <c r="A102" s="383">
        <v>10</v>
      </c>
      <c r="C102" s="406"/>
      <c r="D102" s="407"/>
      <c r="E102" s="407"/>
      <c r="F102" s="407"/>
      <c r="G102" s="407"/>
      <c r="H102" s="407"/>
      <c r="I102" s="408" t="s">
        <v>413</v>
      </c>
      <c r="J102" s="409" t="str">
        <f t="shared" si="8"/>
        <v>UND= Cant de elementos</v>
      </c>
      <c r="K102" s="410" t="str">
        <f>+K101</f>
        <v>UND</v>
      </c>
      <c r="L102" s="411"/>
      <c r="M102" s="412"/>
      <c r="N102" s="441"/>
      <c r="O102" s="441"/>
      <c r="P102" s="412"/>
      <c r="Q102" s="411"/>
      <c r="R102" s="413">
        <f t="shared" si="9"/>
        <v>0</v>
      </c>
      <c r="S102" s="414">
        <f>+HLOOKUP(A102,[238]Hoja1!$2:$78,49,FALSE)</f>
        <v>0</v>
      </c>
      <c r="X102" s="458">
        <f t="shared" si="10"/>
        <v>0</v>
      </c>
      <c r="Y102" s="471">
        <f t="shared" si="11"/>
        <v>0</v>
      </c>
    </row>
    <row r="103" spans="1:25" ht="25.5">
      <c r="A103" s="383">
        <v>11</v>
      </c>
      <c r="C103" s="406"/>
      <c r="D103" s="407"/>
      <c r="E103" s="407"/>
      <c r="F103" s="407"/>
      <c r="G103" s="407"/>
      <c r="H103" s="407"/>
      <c r="I103" s="408" t="s">
        <v>414</v>
      </c>
      <c r="J103" s="409" t="str">
        <f t="shared" si="8"/>
        <v>UND= Cant de elementos</v>
      </c>
      <c r="K103" s="410" t="str">
        <f>+K102</f>
        <v>UND</v>
      </c>
      <c r="L103" s="411"/>
      <c r="M103" s="412"/>
      <c r="N103" s="443"/>
      <c r="O103" s="443"/>
      <c r="P103" s="412"/>
      <c r="Q103" s="411"/>
      <c r="R103" s="413">
        <f t="shared" si="9"/>
        <v>8</v>
      </c>
      <c r="S103" s="414">
        <f>+HLOOKUP(A103,[238]Hoja1!$2:$78,49,FALSE)</f>
        <v>8</v>
      </c>
      <c r="X103" s="458">
        <f t="shared" si="10"/>
        <v>0</v>
      </c>
      <c r="Y103" s="471">
        <f t="shared" si="11"/>
        <v>0</v>
      </c>
    </row>
    <row r="104" spans="1:25" ht="25.5">
      <c r="A104" s="383">
        <v>12</v>
      </c>
      <c r="C104" s="406"/>
      <c r="D104" s="407"/>
      <c r="E104" s="407"/>
      <c r="F104" s="407"/>
      <c r="G104" s="407"/>
      <c r="H104" s="407"/>
      <c r="I104" s="408" t="s">
        <v>415</v>
      </c>
      <c r="J104" s="409" t="str">
        <f t="shared" si="8"/>
        <v>UND= Cant de elementos</v>
      </c>
      <c r="K104" s="410" t="str">
        <f>+K98</f>
        <v>UND</v>
      </c>
      <c r="L104" s="411"/>
      <c r="M104" s="412"/>
      <c r="N104" s="442"/>
      <c r="O104" s="442"/>
      <c r="P104" s="413"/>
      <c r="Q104" s="411"/>
      <c r="R104" s="413">
        <f t="shared" si="9"/>
        <v>0</v>
      </c>
      <c r="S104" s="414">
        <f>+HLOOKUP(A104,[238]Hoja1!$2:$78,49,FALSE)</f>
        <v>0</v>
      </c>
      <c r="X104" s="458">
        <f t="shared" si="10"/>
        <v>0</v>
      </c>
      <c r="Y104" s="471">
        <f t="shared" si="11"/>
        <v>0</v>
      </c>
    </row>
    <row r="105" spans="1:25" ht="25.5">
      <c r="A105" s="383">
        <v>13</v>
      </c>
      <c r="C105" s="406"/>
      <c r="D105" s="407"/>
      <c r="E105" s="407"/>
      <c r="F105" s="407"/>
      <c r="G105" s="407"/>
      <c r="H105" s="407"/>
      <c r="I105" s="408" t="s">
        <v>416</v>
      </c>
      <c r="J105" s="409" t="str">
        <f t="shared" si="8"/>
        <v>UND= Cant de elementos</v>
      </c>
      <c r="K105" s="410" t="str">
        <f>+K100</f>
        <v>UND</v>
      </c>
      <c r="L105" s="411"/>
      <c r="M105" s="412"/>
      <c r="N105" s="442"/>
      <c r="O105" s="442"/>
      <c r="P105" s="413"/>
      <c r="Q105" s="411"/>
      <c r="R105" s="413">
        <f t="shared" si="9"/>
        <v>0</v>
      </c>
      <c r="S105" s="414">
        <f>+HLOOKUP(A105,[238]Hoja1!$2:$78,49,FALSE)</f>
        <v>0</v>
      </c>
      <c r="X105" s="458">
        <f t="shared" si="10"/>
        <v>0</v>
      </c>
      <c r="Y105" s="471">
        <f t="shared" si="11"/>
        <v>0</v>
      </c>
    </row>
    <row r="106" spans="1:25" ht="25.5">
      <c r="A106" s="383">
        <v>14</v>
      </c>
      <c r="C106" s="406"/>
      <c r="D106" s="407"/>
      <c r="E106" s="407"/>
      <c r="F106" s="407"/>
      <c r="G106" s="407"/>
      <c r="H106" s="407"/>
      <c r="I106" s="408" t="s">
        <v>417</v>
      </c>
      <c r="J106" s="409" t="str">
        <f t="shared" si="8"/>
        <v>UND= Cant de elementos</v>
      </c>
      <c r="K106" s="410" t="str">
        <f t="shared" ref="K106:K117" si="12">+K105</f>
        <v>UND</v>
      </c>
      <c r="L106" s="411"/>
      <c r="M106" s="412"/>
      <c r="N106" s="442"/>
      <c r="O106" s="442"/>
      <c r="P106" s="412"/>
      <c r="Q106" s="411"/>
      <c r="R106" s="413">
        <f t="shared" si="9"/>
        <v>0</v>
      </c>
      <c r="S106" s="414">
        <f>+HLOOKUP(A106,[238]Hoja1!$2:$78,49,FALSE)</f>
        <v>0</v>
      </c>
      <c r="X106" s="458">
        <f t="shared" si="10"/>
        <v>0</v>
      </c>
      <c r="Y106" s="471">
        <f t="shared" si="11"/>
        <v>0</v>
      </c>
    </row>
    <row r="107" spans="1:25" ht="25.5">
      <c r="A107" s="383">
        <v>15</v>
      </c>
      <c r="C107" s="406"/>
      <c r="D107" s="407"/>
      <c r="E107" s="407"/>
      <c r="F107" s="407"/>
      <c r="G107" s="407"/>
      <c r="H107" s="407"/>
      <c r="I107" s="408" t="s">
        <v>418</v>
      </c>
      <c r="J107" s="409" t="str">
        <f t="shared" si="8"/>
        <v>UND= Cant de elementos</v>
      </c>
      <c r="K107" s="410" t="str">
        <f t="shared" si="12"/>
        <v>UND</v>
      </c>
      <c r="L107" s="411"/>
      <c r="M107" s="412"/>
      <c r="N107" s="442"/>
      <c r="O107" s="442"/>
      <c r="P107" s="413"/>
      <c r="Q107" s="411"/>
      <c r="R107" s="413">
        <f t="shared" si="9"/>
        <v>0</v>
      </c>
      <c r="S107" s="414">
        <f>+HLOOKUP(A107,[238]Hoja1!$2:$78,49,FALSE)</f>
        <v>0</v>
      </c>
      <c r="X107" s="458">
        <f t="shared" si="10"/>
        <v>0</v>
      </c>
      <c r="Y107" s="471">
        <f t="shared" si="11"/>
        <v>0</v>
      </c>
    </row>
    <row r="108" spans="1:25" ht="25.5">
      <c r="A108" s="383">
        <v>16</v>
      </c>
      <c r="C108" s="406"/>
      <c r="D108" s="407"/>
      <c r="E108" s="407"/>
      <c r="F108" s="407"/>
      <c r="G108" s="407"/>
      <c r="H108" s="407"/>
      <c r="I108" s="408" t="s">
        <v>419</v>
      </c>
      <c r="J108" s="409" t="str">
        <f t="shared" si="8"/>
        <v>UND= Cant de elementos</v>
      </c>
      <c r="K108" s="410" t="str">
        <f t="shared" si="12"/>
        <v>UND</v>
      </c>
      <c r="L108" s="411"/>
      <c r="M108" s="412"/>
      <c r="N108" s="442"/>
      <c r="O108" s="442"/>
      <c r="P108" s="412"/>
      <c r="Q108" s="411"/>
      <c r="R108" s="413">
        <f t="shared" si="9"/>
        <v>1</v>
      </c>
      <c r="S108" s="414">
        <f>+HLOOKUP(A108,[238]Hoja1!$2:$78,49,FALSE)</f>
        <v>1</v>
      </c>
      <c r="X108" s="458">
        <f t="shared" si="10"/>
        <v>0</v>
      </c>
      <c r="Y108" s="471">
        <f t="shared" si="11"/>
        <v>0</v>
      </c>
    </row>
    <row r="109" spans="1:25" ht="25.5">
      <c r="A109" s="383">
        <v>17</v>
      </c>
      <c r="C109" s="406"/>
      <c r="D109" s="407"/>
      <c r="E109" s="407"/>
      <c r="F109" s="407"/>
      <c r="G109" s="407"/>
      <c r="H109" s="407"/>
      <c r="I109" s="408" t="s">
        <v>420</v>
      </c>
      <c r="J109" s="409" t="str">
        <f t="shared" si="8"/>
        <v>UND= Cant de elementos</v>
      </c>
      <c r="K109" s="410" t="str">
        <f t="shared" si="12"/>
        <v>UND</v>
      </c>
      <c r="L109" s="411"/>
      <c r="M109" s="412"/>
      <c r="N109" s="442"/>
      <c r="O109" s="442"/>
      <c r="P109" s="412"/>
      <c r="Q109" s="411"/>
      <c r="R109" s="413">
        <f t="shared" si="9"/>
        <v>0</v>
      </c>
      <c r="S109" s="414">
        <f>+HLOOKUP(A109,[238]Hoja1!$2:$78,49,FALSE)</f>
        <v>0</v>
      </c>
      <c r="X109" s="458">
        <f t="shared" si="10"/>
        <v>0</v>
      </c>
      <c r="Y109" s="471">
        <f t="shared" si="11"/>
        <v>0</v>
      </c>
    </row>
    <row r="110" spans="1:25" ht="25.5">
      <c r="A110" s="383">
        <v>18</v>
      </c>
      <c r="C110" s="406"/>
      <c r="D110" s="407"/>
      <c r="E110" s="407"/>
      <c r="F110" s="407"/>
      <c r="G110" s="407"/>
      <c r="H110" s="407"/>
      <c r="I110" s="408" t="s">
        <v>429</v>
      </c>
      <c r="J110" s="409" t="str">
        <f t="shared" si="8"/>
        <v>UND= Cant de elementos</v>
      </c>
      <c r="K110" s="410" t="str">
        <f t="shared" si="12"/>
        <v>UND</v>
      </c>
      <c r="L110" s="411"/>
      <c r="M110" s="412"/>
      <c r="N110" s="442"/>
      <c r="O110" s="442"/>
      <c r="P110" s="412"/>
      <c r="Q110" s="411"/>
      <c r="R110" s="413">
        <f t="shared" si="9"/>
        <v>1</v>
      </c>
      <c r="S110" s="414">
        <f>+HLOOKUP(A110,[238]Hoja1!$2:$78,49,FALSE)</f>
        <v>1</v>
      </c>
      <c r="X110" s="458">
        <f t="shared" si="10"/>
        <v>0</v>
      </c>
      <c r="Y110" s="471">
        <f t="shared" si="11"/>
        <v>0</v>
      </c>
    </row>
    <row r="111" spans="1:25" ht="25.5">
      <c r="A111" s="383">
        <v>19</v>
      </c>
      <c r="C111" s="406"/>
      <c r="D111" s="407"/>
      <c r="E111" s="407"/>
      <c r="F111" s="407"/>
      <c r="G111" s="407"/>
      <c r="H111" s="407"/>
      <c r="I111" s="408" t="s">
        <v>430</v>
      </c>
      <c r="J111" s="409" t="str">
        <f t="shared" si="8"/>
        <v>UND= Cant de elementos</v>
      </c>
      <c r="K111" s="410" t="str">
        <f t="shared" si="12"/>
        <v>UND</v>
      </c>
      <c r="L111" s="411"/>
      <c r="M111" s="412"/>
      <c r="N111" s="442"/>
      <c r="O111" s="442"/>
      <c r="P111" s="412"/>
      <c r="Q111" s="411"/>
      <c r="R111" s="413">
        <f t="shared" si="9"/>
        <v>0</v>
      </c>
      <c r="S111" s="414">
        <f>+HLOOKUP(A111,[238]Hoja1!$2:$78,49,FALSE)</f>
        <v>0</v>
      </c>
      <c r="X111" s="458">
        <f t="shared" si="10"/>
        <v>0</v>
      </c>
      <c r="Y111" s="471">
        <f t="shared" si="11"/>
        <v>0</v>
      </c>
    </row>
    <row r="112" spans="1:25" ht="25.5">
      <c r="A112" s="383">
        <v>20</v>
      </c>
      <c r="C112" s="406"/>
      <c r="D112" s="407"/>
      <c r="E112" s="407"/>
      <c r="F112" s="407"/>
      <c r="G112" s="407"/>
      <c r="H112" s="407"/>
      <c r="I112" s="408" t="s">
        <v>431</v>
      </c>
      <c r="J112" s="409" t="str">
        <f t="shared" si="8"/>
        <v>UND= Cant de elementos</v>
      </c>
      <c r="K112" s="410" t="str">
        <f t="shared" si="12"/>
        <v>UND</v>
      </c>
      <c r="L112" s="411"/>
      <c r="M112" s="412"/>
      <c r="N112" s="442"/>
      <c r="O112" s="442"/>
      <c r="P112" s="412"/>
      <c r="Q112" s="411"/>
      <c r="R112" s="413">
        <f t="shared" si="9"/>
        <v>1</v>
      </c>
      <c r="S112" s="414">
        <f>+HLOOKUP(A112,[238]Hoja1!$2:$78,49,FALSE)</f>
        <v>1</v>
      </c>
      <c r="X112" s="458">
        <f t="shared" si="10"/>
        <v>0</v>
      </c>
      <c r="Y112" s="471">
        <f t="shared" si="11"/>
        <v>0</v>
      </c>
    </row>
    <row r="113" spans="1:25" ht="25.5">
      <c r="A113" s="383">
        <v>21</v>
      </c>
      <c r="C113" s="406"/>
      <c r="D113" s="407"/>
      <c r="E113" s="407"/>
      <c r="F113" s="407"/>
      <c r="G113" s="407"/>
      <c r="H113" s="407"/>
      <c r="I113" s="408" t="s">
        <v>432</v>
      </c>
      <c r="J113" s="409" t="str">
        <f t="shared" si="8"/>
        <v>UND= Cant de elementos</v>
      </c>
      <c r="K113" s="410" t="str">
        <f t="shared" si="12"/>
        <v>UND</v>
      </c>
      <c r="L113" s="411"/>
      <c r="M113" s="412"/>
      <c r="N113" s="442"/>
      <c r="O113" s="442"/>
      <c r="P113" s="412"/>
      <c r="Q113" s="411"/>
      <c r="R113" s="413">
        <f t="shared" si="9"/>
        <v>0</v>
      </c>
      <c r="S113" s="414">
        <f>+HLOOKUP(A113,[238]Hoja1!$2:$78,49,FALSE)</f>
        <v>0</v>
      </c>
      <c r="X113" s="458">
        <f t="shared" si="10"/>
        <v>0</v>
      </c>
      <c r="Y113" s="471">
        <f t="shared" si="11"/>
        <v>0</v>
      </c>
    </row>
    <row r="114" spans="1:25" ht="25.5">
      <c r="A114" s="383">
        <v>22</v>
      </c>
      <c r="C114" s="406"/>
      <c r="D114" s="407"/>
      <c r="E114" s="407"/>
      <c r="F114" s="407"/>
      <c r="G114" s="407"/>
      <c r="H114" s="407"/>
      <c r="I114" s="408" t="s">
        <v>433</v>
      </c>
      <c r="J114" s="409" t="str">
        <f t="shared" si="8"/>
        <v>UND= Cant de elementos</v>
      </c>
      <c r="K114" s="410" t="str">
        <f t="shared" si="12"/>
        <v>UND</v>
      </c>
      <c r="L114" s="411"/>
      <c r="M114" s="412"/>
      <c r="N114" s="442"/>
      <c r="O114" s="442"/>
      <c r="P114" s="412"/>
      <c r="Q114" s="411"/>
      <c r="R114" s="413">
        <f t="shared" si="9"/>
        <v>0</v>
      </c>
      <c r="S114" s="414">
        <f>+HLOOKUP(A114,[238]Hoja1!$2:$78,49,FALSE)</f>
        <v>0</v>
      </c>
      <c r="X114" s="458">
        <f t="shared" si="10"/>
        <v>0</v>
      </c>
      <c r="Y114" s="471">
        <f t="shared" si="11"/>
        <v>0</v>
      </c>
    </row>
    <row r="115" spans="1:25" ht="25.5">
      <c r="A115" s="383">
        <v>23</v>
      </c>
      <c r="C115" s="406"/>
      <c r="D115" s="407"/>
      <c r="E115" s="407"/>
      <c r="F115" s="407"/>
      <c r="G115" s="407"/>
      <c r="H115" s="407"/>
      <c r="I115" s="408" t="s">
        <v>434</v>
      </c>
      <c r="J115" s="409" t="str">
        <f t="shared" si="8"/>
        <v>UND= Cant de elementos</v>
      </c>
      <c r="K115" s="410" t="str">
        <f t="shared" si="12"/>
        <v>UND</v>
      </c>
      <c r="L115" s="411"/>
      <c r="M115" s="412"/>
      <c r="N115" s="441"/>
      <c r="O115" s="441"/>
      <c r="P115" s="412"/>
      <c r="Q115" s="411"/>
      <c r="R115" s="413">
        <f t="shared" si="9"/>
        <v>0</v>
      </c>
      <c r="S115" s="414">
        <f>+HLOOKUP(A115,[238]Hoja1!$2:$78,49,FALSE)</f>
        <v>0</v>
      </c>
      <c r="X115" s="458">
        <f t="shared" si="10"/>
        <v>0</v>
      </c>
      <c r="Y115" s="471">
        <f t="shared" si="11"/>
        <v>0</v>
      </c>
    </row>
    <row r="116" spans="1:25" ht="25.5">
      <c r="A116" s="383">
        <v>24</v>
      </c>
      <c r="C116" s="406"/>
      <c r="D116" s="407"/>
      <c r="E116" s="407"/>
      <c r="F116" s="407"/>
      <c r="G116" s="407"/>
      <c r="H116" s="407"/>
      <c r="I116" s="408" t="s">
        <v>435</v>
      </c>
      <c r="J116" s="409" t="str">
        <f t="shared" si="8"/>
        <v>UND= Cant de elementos</v>
      </c>
      <c r="K116" s="410" t="str">
        <f t="shared" si="12"/>
        <v>UND</v>
      </c>
      <c r="L116" s="411"/>
      <c r="M116" s="412"/>
      <c r="N116" s="442"/>
      <c r="O116" s="442"/>
      <c r="P116" s="413"/>
      <c r="Q116" s="411"/>
      <c r="R116" s="413">
        <f t="shared" si="9"/>
        <v>0</v>
      </c>
      <c r="S116" s="414">
        <f>+HLOOKUP(A116,[238]Hoja1!$2:$78,49,FALSE)</f>
        <v>0</v>
      </c>
      <c r="X116" s="458">
        <f t="shared" si="10"/>
        <v>0</v>
      </c>
      <c r="Y116" s="471">
        <f t="shared" si="11"/>
        <v>0</v>
      </c>
    </row>
    <row r="117" spans="1:25" ht="25.5">
      <c r="A117" s="383">
        <v>25</v>
      </c>
      <c r="C117" s="406"/>
      <c r="D117" s="407"/>
      <c r="E117" s="407"/>
      <c r="F117" s="407"/>
      <c r="G117" s="407"/>
      <c r="H117" s="407"/>
      <c r="I117" s="408" t="s">
        <v>436</v>
      </c>
      <c r="J117" s="409" t="str">
        <f t="shared" si="8"/>
        <v>UND= Cant de elementos</v>
      </c>
      <c r="K117" s="410" t="str">
        <f t="shared" si="12"/>
        <v>UND</v>
      </c>
      <c r="L117" s="411"/>
      <c r="M117" s="412"/>
      <c r="N117" s="442"/>
      <c r="O117" s="442"/>
      <c r="P117" s="412"/>
      <c r="Q117" s="411"/>
      <c r="R117" s="413">
        <f t="shared" si="9"/>
        <v>0</v>
      </c>
      <c r="S117" s="414">
        <f>+HLOOKUP(A117,[238]Hoja1!$2:$78,49,FALSE)</f>
        <v>0</v>
      </c>
      <c r="X117" s="458">
        <f t="shared" si="10"/>
        <v>0</v>
      </c>
      <c r="Y117" s="471">
        <f t="shared" si="11"/>
        <v>0</v>
      </c>
    </row>
    <row r="118" spans="1:25" ht="25.5">
      <c r="A118" s="383">
        <v>26</v>
      </c>
      <c r="C118" s="406"/>
      <c r="D118" s="407"/>
      <c r="E118" s="407"/>
      <c r="F118" s="407"/>
      <c r="G118" s="407"/>
      <c r="H118" s="407"/>
      <c r="I118" s="408" t="s">
        <v>437</v>
      </c>
      <c r="J118" s="409" t="str">
        <f t="shared" si="8"/>
        <v>UND= Cant de elementos</v>
      </c>
      <c r="K118" s="410" t="str">
        <f>+K107</f>
        <v>UND</v>
      </c>
      <c r="L118" s="411"/>
      <c r="M118" s="412"/>
      <c r="N118" s="442"/>
      <c r="O118" s="442"/>
      <c r="P118" s="412"/>
      <c r="Q118" s="411"/>
      <c r="R118" s="413">
        <f t="shared" si="9"/>
        <v>0</v>
      </c>
      <c r="S118" s="414">
        <f>+HLOOKUP(A118,[238]Hoja1!$2:$78,49,FALSE)</f>
        <v>0</v>
      </c>
      <c r="X118" s="458">
        <f t="shared" si="10"/>
        <v>0</v>
      </c>
      <c r="Y118" s="471">
        <f t="shared" si="11"/>
        <v>0</v>
      </c>
    </row>
    <row r="119" spans="1:25" ht="25.5">
      <c r="A119" s="383">
        <v>27</v>
      </c>
      <c r="C119" s="406"/>
      <c r="D119" s="407"/>
      <c r="E119" s="407"/>
      <c r="F119" s="407"/>
      <c r="G119" s="407"/>
      <c r="H119" s="407"/>
      <c r="I119" s="408" t="s">
        <v>438</v>
      </c>
      <c r="J119" s="409" t="str">
        <f t="shared" si="8"/>
        <v>UND= Cant de elementos</v>
      </c>
      <c r="K119" s="410" t="str">
        <f t="shared" ref="K119:K127" si="13">+K118</f>
        <v>UND</v>
      </c>
      <c r="L119" s="411"/>
      <c r="M119" s="412"/>
      <c r="N119" s="442"/>
      <c r="O119" s="442"/>
      <c r="P119" s="412"/>
      <c r="Q119" s="411"/>
      <c r="R119" s="413">
        <f t="shared" si="9"/>
        <v>0</v>
      </c>
      <c r="S119" s="414">
        <f>+HLOOKUP(A119,[238]Hoja1!$2:$78,49,FALSE)</f>
        <v>0</v>
      </c>
      <c r="X119" s="458">
        <f t="shared" si="10"/>
        <v>0</v>
      </c>
      <c r="Y119" s="471">
        <f t="shared" si="11"/>
        <v>0</v>
      </c>
    </row>
    <row r="120" spans="1:25" ht="25.5">
      <c r="A120" s="383">
        <v>28</v>
      </c>
      <c r="C120" s="406"/>
      <c r="D120" s="440"/>
      <c r="E120" s="407"/>
      <c r="F120" s="407"/>
      <c r="G120" s="407"/>
      <c r="H120" s="437"/>
      <c r="I120" s="408" t="s">
        <v>439</v>
      </c>
      <c r="J120" s="409" t="str">
        <f t="shared" si="8"/>
        <v>UND= Cant de elementos</v>
      </c>
      <c r="K120" s="410" t="str">
        <f t="shared" si="13"/>
        <v>UND</v>
      </c>
      <c r="L120" s="411"/>
      <c r="M120" s="412"/>
      <c r="N120" s="442"/>
      <c r="O120" s="442"/>
      <c r="P120" s="413"/>
      <c r="Q120" s="411"/>
      <c r="R120" s="413">
        <f t="shared" si="9"/>
        <v>0</v>
      </c>
      <c r="S120" s="414">
        <f>+HLOOKUP(A120,[238]Hoja1!$2:$78,49,FALSE)</f>
        <v>0</v>
      </c>
      <c r="X120" s="458">
        <f t="shared" si="10"/>
        <v>0</v>
      </c>
      <c r="Y120" s="471">
        <f t="shared" si="11"/>
        <v>0</v>
      </c>
    </row>
    <row r="121" spans="1:25" ht="25.5">
      <c r="A121" s="383">
        <v>29</v>
      </c>
      <c r="C121" s="406"/>
      <c r="D121" s="407"/>
      <c r="E121" s="407"/>
      <c r="F121" s="407"/>
      <c r="G121" s="407"/>
      <c r="H121" s="407"/>
      <c r="I121" s="408" t="s">
        <v>440</v>
      </c>
      <c r="J121" s="409" t="str">
        <f t="shared" si="8"/>
        <v>UND= Cant de elementos</v>
      </c>
      <c r="K121" s="410" t="str">
        <f t="shared" si="13"/>
        <v>UND</v>
      </c>
      <c r="L121" s="411"/>
      <c r="M121" s="412"/>
      <c r="N121" s="443"/>
      <c r="O121" s="443"/>
      <c r="P121" s="412"/>
      <c r="Q121" s="411"/>
      <c r="R121" s="413">
        <f t="shared" si="9"/>
        <v>0</v>
      </c>
      <c r="S121" s="414">
        <f>+HLOOKUP(A121,[238]Hoja1!$2:$78,49,FALSE)</f>
        <v>0</v>
      </c>
      <c r="X121" s="458">
        <f t="shared" si="10"/>
        <v>0</v>
      </c>
      <c r="Y121" s="471">
        <f t="shared" si="11"/>
        <v>0</v>
      </c>
    </row>
    <row r="122" spans="1:25" ht="25.5">
      <c r="A122" s="383">
        <v>30</v>
      </c>
      <c r="C122" s="406"/>
      <c r="D122" s="407"/>
      <c r="E122" s="407"/>
      <c r="F122" s="407"/>
      <c r="G122" s="407"/>
      <c r="H122" s="407"/>
      <c r="I122" s="408" t="s">
        <v>441</v>
      </c>
      <c r="J122" s="409" t="str">
        <f t="shared" si="8"/>
        <v>UND= Cant de elementos</v>
      </c>
      <c r="K122" s="410" t="str">
        <f t="shared" si="13"/>
        <v>UND</v>
      </c>
      <c r="L122" s="411"/>
      <c r="M122" s="412"/>
      <c r="N122" s="442"/>
      <c r="O122" s="442"/>
      <c r="P122" s="412"/>
      <c r="Q122" s="411"/>
      <c r="R122" s="413">
        <f t="shared" si="9"/>
        <v>1</v>
      </c>
      <c r="S122" s="414">
        <f>+HLOOKUP(A122,[238]Hoja1!$2:$78,49,FALSE)</f>
        <v>1</v>
      </c>
      <c r="X122" s="458">
        <f t="shared" si="10"/>
        <v>0</v>
      </c>
      <c r="Y122" s="471">
        <f t="shared" si="11"/>
        <v>0</v>
      </c>
    </row>
    <row r="123" spans="1:25" ht="25.5">
      <c r="A123" s="383">
        <v>31</v>
      </c>
      <c r="C123" s="406"/>
      <c r="D123" s="407"/>
      <c r="E123" s="407"/>
      <c r="F123" s="407"/>
      <c r="G123" s="407"/>
      <c r="H123" s="407"/>
      <c r="I123" s="408" t="s">
        <v>442</v>
      </c>
      <c r="J123" s="409" t="str">
        <f t="shared" si="8"/>
        <v>UND= Cant de elementos</v>
      </c>
      <c r="K123" s="410" t="str">
        <f t="shared" si="13"/>
        <v>UND</v>
      </c>
      <c r="L123" s="411"/>
      <c r="M123" s="412"/>
      <c r="N123" s="442"/>
      <c r="O123" s="442"/>
      <c r="P123" s="413"/>
      <c r="Q123" s="411"/>
      <c r="R123" s="413">
        <f t="shared" si="9"/>
        <v>0</v>
      </c>
      <c r="S123" s="414">
        <f>+HLOOKUP(A123,[238]Hoja1!$2:$78,49,FALSE)</f>
        <v>0</v>
      </c>
      <c r="X123" s="458">
        <f t="shared" si="10"/>
        <v>0</v>
      </c>
      <c r="Y123" s="471">
        <f t="shared" si="11"/>
        <v>0</v>
      </c>
    </row>
    <row r="124" spans="1:25" ht="25.5">
      <c r="A124" s="383">
        <v>32</v>
      </c>
      <c r="C124" s="406"/>
      <c r="D124" s="407"/>
      <c r="E124" s="407"/>
      <c r="F124" s="407"/>
      <c r="G124" s="407"/>
      <c r="H124" s="407"/>
      <c r="I124" s="408" t="s">
        <v>443</v>
      </c>
      <c r="J124" s="409" t="str">
        <f t="shared" si="8"/>
        <v>UND= Cant de elementos</v>
      </c>
      <c r="K124" s="410" t="str">
        <f t="shared" si="13"/>
        <v>UND</v>
      </c>
      <c r="L124" s="411"/>
      <c r="M124" s="412"/>
      <c r="N124" s="442"/>
      <c r="O124" s="442"/>
      <c r="P124" s="412"/>
      <c r="Q124" s="411"/>
      <c r="R124" s="413">
        <f t="shared" si="9"/>
        <v>1</v>
      </c>
      <c r="S124" s="414">
        <f>+HLOOKUP(A124,[238]Hoja1!$2:$78,49,FALSE)</f>
        <v>1</v>
      </c>
      <c r="X124" s="458">
        <f t="shared" si="10"/>
        <v>0</v>
      </c>
      <c r="Y124" s="471">
        <f t="shared" si="11"/>
        <v>0</v>
      </c>
    </row>
    <row r="125" spans="1:25" ht="25.5">
      <c r="A125" s="383">
        <v>33</v>
      </c>
      <c r="C125" s="406"/>
      <c r="D125" s="407"/>
      <c r="E125" s="407"/>
      <c r="F125" s="407"/>
      <c r="G125" s="407"/>
      <c r="H125" s="407"/>
      <c r="I125" s="408" t="s">
        <v>444</v>
      </c>
      <c r="J125" s="409" t="str">
        <f t="shared" si="8"/>
        <v>UND= Cant de elementos</v>
      </c>
      <c r="K125" s="410" t="str">
        <f t="shared" si="13"/>
        <v>UND</v>
      </c>
      <c r="L125" s="411"/>
      <c r="M125" s="412"/>
      <c r="N125" s="442"/>
      <c r="O125" s="442"/>
      <c r="P125" s="412"/>
      <c r="Q125" s="411"/>
      <c r="R125" s="413">
        <f t="shared" si="9"/>
        <v>0</v>
      </c>
      <c r="S125" s="414">
        <f>+HLOOKUP(A125,[238]Hoja1!$2:$78,49,FALSE)</f>
        <v>0</v>
      </c>
      <c r="X125" s="458">
        <f t="shared" si="10"/>
        <v>0</v>
      </c>
      <c r="Y125" s="471">
        <f t="shared" si="11"/>
        <v>0</v>
      </c>
    </row>
    <row r="126" spans="1:25" ht="25.5">
      <c r="A126" s="383">
        <v>34</v>
      </c>
      <c r="C126" s="406"/>
      <c r="D126" s="407"/>
      <c r="E126" s="407"/>
      <c r="F126" s="407"/>
      <c r="G126" s="407"/>
      <c r="H126" s="407"/>
      <c r="I126" s="408" t="s">
        <v>445</v>
      </c>
      <c r="J126" s="409" t="str">
        <f t="shared" si="8"/>
        <v>UND= Cant de elementos</v>
      </c>
      <c r="K126" s="410" t="str">
        <f t="shared" si="13"/>
        <v>UND</v>
      </c>
      <c r="L126" s="411"/>
      <c r="M126" s="412"/>
      <c r="N126" s="443"/>
      <c r="O126" s="443"/>
      <c r="P126" s="412"/>
      <c r="Q126" s="411"/>
      <c r="R126" s="413">
        <f t="shared" si="9"/>
        <v>0</v>
      </c>
      <c r="S126" s="414">
        <f>+HLOOKUP(A126,[238]Hoja1!$2:$78,49,FALSE)</f>
        <v>0</v>
      </c>
      <c r="X126" s="458">
        <f t="shared" si="10"/>
        <v>0</v>
      </c>
      <c r="Y126" s="471">
        <f t="shared" si="11"/>
        <v>0</v>
      </c>
    </row>
    <row r="127" spans="1:25" ht="25.5">
      <c r="A127" s="383">
        <v>35</v>
      </c>
      <c r="C127" s="406"/>
      <c r="D127" s="440"/>
      <c r="E127" s="407"/>
      <c r="F127" s="407"/>
      <c r="G127" s="407"/>
      <c r="H127" s="437"/>
      <c r="I127" s="408" t="s">
        <v>446</v>
      </c>
      <c r="J127" s="409" t="str">
        <f t="shared" si="8"/>
        <v>UND= Cant de elementos</v>
      </c>
      <c r="K127" s="410" t="str">
        <f t="shared" si="13"/>
        <v>UND</v>
      </c>
      <c r="L127" s="411"/>
      <c r="M127" s="412"/>
      <c r="N127" s="442"/>
      <c r="O127" s="442"/>
      <c r="P127" s="413"/>
      <c r="Q127" s="411"/>
      <c r="R127" s="413">
        <f t="shared" si="9"/>
        <v>0</v>
      </c>
      <c r="S127" s="414">
        <f>+HLOOKUP(A127,[238]Hoja1!$2:$78,49,FALSE)</f>
        <v>0</v>
      </c>
      <c r="X127" s="458">
        <f t="shared" si="10"/>
        <v>0</v>
      </c>
      <c r="Y127" s="471">
        <f t="shared" si="11"/>
        <v>0</v>
      </c>
    </row>
    <row r="128" spans="1:25" ht="25.5">
      <c r="A128" s="383">
        <v>36</v>
      </c>
      <c r="C128" s="406"/>
      <c r="D128" s="407"/>
      <c r="E128" s="407"/>
      <c r="F128" s="407"/>
      <c r="G128" s="407"/>
      <c r="H128" s="407"/>
      <c r="I128" s="408" t="s">
        <v>447</v>
      </c>
      <c r="J128" s="409" t="str">
        <f t="shared" si="8"/>
        <v>UND= Cant de elementos</v>
      </c>
      <c r="K128" s="410" t="str">
        <f>+K117</f>
        <v>UND</v>
      </c>
      <c r="L128" s="411"/>
      <c r="M128" s="412"/>
      <c r="N128" s="442"/>
      <c r="O128" s="442"/>
      <c r="P128" s="412"/>
      <c r="Q128" s="411"/>
      <c r="R128" s="413">
        <f t="shared" si="9"/>
        <v>1</v>
      </c>
      <c r="S128" s="414">
        <f>+HLOOKUP(A128,[238]Hoja1!$2:$78,49,FALSE)</f>
        <v>1</v>
      </c>
      <c r="X128" s="458">
        <f t="shared" si="10"/>
        <v>0</v>
      </c>
      <c r="Y128" s="471">
        <f t="shared" si="11"/>
        <v>0</v>
      </c>
    </row>
    <row r="129" spans="1:25" ht="25.5">
      <c r="A129" s="383">
        <v>37</v>
      </c>
      <c r="C129" s="406"/>
      <c r="D129" s="407"/>
      <c r="E129" s="407"/>
      <c r="F129" s="407"/>
      <c r="G129" s="407"/>
      <c r="H129" s="407"/>
      <c r="I129" s="408" t="s">
        <v>448</v>
      </c>
      <c r="J129" s="409" t="str">
        <f t="shared" si="8"/>
        <v>UND= Cant de elementos</v>
      </c>
      <c r="K129" s="410" t="str">
        <f t="shared" ref="K129:K135" si="14">+K128</f>
        <v>UND</v>
      </c>
      <c r="L129" s="411"/>
      <c r="M129" s="412"/>
      <c r="N129" s="441"/>
      <c r="O129" s="441"/>
      <c r="P129" s="412"/>
      <c r="Q129" s="411"/>
      <c r="R129" s="413">
        <f t="shared" si="9"/>
        <v>1</v>
      </c>
      <c r="S129" s="414">
        <f>+HLOOKUP(A129,[238]Hoja1!$2:$78,49,FALSE)</f>
        <v>1</v>
      </c>
      <c r="X129" s="458">
        <f t="shared" si="10"/>
        <v>0</v>
      </c>
      <c r="Y129" s="471">
        <f t="shared" si="11"/>
        <v>0</v>
      </c>
    </row>
    <row r="130" spans="1:25" ht="25.5">
      <c r="A130" s="383">
        <v>38</v>
      </c>
      <c r="C130" s="406"/>
      <c r="D130" s="440"/>
      <c r="E130" s="407"/>
      <c r="F130" s="407"/>
      <c r="G130" s="407"/>
      <c r="H130" s="437"/>
      <c r="I130" s="408" t="s">
        <v>449</v>
      </c>
      <c r="J130" s="409" t="str">
        <f t="shared" si="8"/>
        <v>UND= Cant de elementos</v>
      </c>
      <c r="K130" s="410" t="str">
        <f t="shared" si="14"/>
        <v>UND</v>
      </c>
      <c r="L130" s="411"/>
      <c r="M130" s="412"/>
      <c r="N130" s="442"/>
      <c r="O130" s="442"/>
      <c r="P130" s="413"/>
      <c r="Q130" s="411"/>
      <c r="R130" s="413">
        <f t="shared" si="9"/>
        <v>0</v>
      </c>
      <c r="S130" s="414">
        <f>+HLOOKUP(A130,[238]Hoja1!$2:$78,49,FALSE)</f>
        <v>0</v>
      </c>
      <c r="X130" s="458">
        <f t="shared" si="10"/>
        <v>0</v>
      </c>
      <c r="Y130" s="471">
        <f t="shared" si="11"/>
        <v>0</v>
      </c>
    </row>
    <row r="131" spans="1:25" ht="25.5">
      <c r="A131" s="383">
        <v>39</v>
      </c>
      <c r="C131" s="406"/>
      <c r="D131" s="407"/>
      <c r="E131" s="407"/>
      <c r="F131" s="407"/>
      <c r="G131" s="407"/>
      <c r="H131" s="407"/>
      <c r="I131" s="408" t="s">
        <v>450</v>
      </c>
      <c r="J131" s="409" t="str">
        <f t="shared" si="8"/>
        <v>UND= Cant de elementos</v>
      </c>
      <c r="K131" s="410" t="str">
        <f t="shared" si="14"/>
        <v>UND</v>
      </c>
      <c r="L131" s="411"/>
      <c r="M131" s="412"/>
      <c r="N131" s="441"/>
      <c r="O131" s="441"/>
      <c r="P131" s="412"/>
      <c r="Q131" s="411"/>
      <c r="R131" s="413">
        <f t="shared" si="9"/>
        <v>0</v>
      </c>
      <c r="S131" s="414">
        <f>+HLOOKUP(A131,[238]Hoja1!$2:$78,49,FALSE)</f>
        <v>0</v>
      </c>
      <c r="X131" s="458">
        <f t="shared" si="10"/>
        <v>0</v>
      </c>
      <c r="Y131" s="471">
        <f t="shared" si="11"/>
        <v>0</v>
      </c>
    </row>
    <row r="132" spans="1:25" ht="25.5">
      <c r="A132" s="383">
        <v>40</v>
      </c>
      <c r="C132" s="406"/>
      <c r="D132" s="407"/>
      <c r="E132" s="407"/>
      <c r="F132" s="407"/>
      <c r="G132" s="407"/>
      <c r="H132" s="407"/>
      <c r="I132" s="408" t="s">
        <v>451</v>
      </c>
      <c r="J132" s="409" t="str">
        <f t="shared" si="8"/>
        <v>UND= Cant de elementos</v>
      </c>
      <c r="K132" s="410" t="str">
        <f t="shared" si="14"/>
        <v>UND</v>
      </c>
      <c r="L132" s="411"/>
      <c r="M132" s="412"/>
      <c r="N132" s="442"/>
      <c r="O132" s="442"/>
      <c r="P132" s="412"/>
      <c r="Q132" s="411"/>
      <c r="R132" s="413">
        <f t="shared" si="9"/>
        <v>1</v>
      </c>
      <c r="S132" s="414">
        <f>+HLOOKUP(A132,[238]Hoja1!$2:$78,49,FALSE)</f>
        <v>1</v>
      </c>
      <c r="X132" s="458">
        <f t="shared" si="10"/>
        <v>0</v>
      </c>
      <c r="Y132" s="471">
        <f t="shared" si="11"/>
        <v>0</v>
      </c>
    </row>
    <row r="133" spans="1:25" ht="25.5">
      <c r="A133" s="383">
        <v>41</v>
      </c>
      <c r="C133" s="406"/>
      <c r="D133" s="407"/>
      <c r="E133" s="407"/>
      <c r="F133" s="407"/>
      <c r="G133" s="407"/>
      <c r="H133" s="407"/>
      <c r="I133" s="408" t="s">
        <v>452</v>
      </c>
      <c r="J133" s="409" t="str">
        <f t="shared" si="8"/>
        <v>UND= Cant de elementos</v>
      </c>
      <c r="K133" s="410" t="str">
        <f t="shared" si="14"/>
        <v>UND</v>
      </c>
      <c r="L133" s="411"/>
      <c r="M133" s="412"/>
      <c r="N133" s="442"/>
      <c r="O133" s="442"/>
      <c r="P133" s="413"/>
      <c r="Q133" s="411"/>
      <c r="R133" s="413">
        <f t="shared" si="9"/>
        <v>3</v>
      </c>
      <c r="S133" s="414">
        <f>+HLOOKUP(A133,[238]Hoja1!$2:$78,49,FALSE)</f>
        <v>3</v>
      </c>
      <c r="X133" s="458">
        <f t="shared" si="10"/>
        <v>0</v>
      </c>
      <c r="Y133" s="471">
        <f t="shared" si="11"/>
        <v>0</v>
      </c>
    </row>
    <row r="134" spans="1:25" ht="25.5">
      <c r="A134" s="383">
        <v>42</v>
      </c>
      <c r="C134" s="406"/>
      <c r="D134" s="407"/>
      <c r="E134" s="407"/>
      <c r="F134" s="407"/>
      <c r="G134" s="407"/>
      <c r="H134" s="407"/>
      <c r="I134" s="408" t="s">
        <v>453</v>
      </c>
      <c r="J134" s="409" t="str">
        <f t="shared" si="8"/>
        <v>UND= Cant de elementos</v>
      </c>
      <c r="K134" s="410" t="str">
        <f t="shared" si="14"/>
        <v>UND</v>
      </c>
      <c r="L134" s="411"/>
      <c r="M134" s="412"/>
      <c r="N134" s="442"/>
      <c r="O134" s="442"/>
      <c r="P134" s="412"/>
      <c r="Q134" s="411"/>
      <c r="R134" s="413">
        <f t="shared" si="9"/>
        <v>0</v>
      </c>
      <c r="S134" s="414">
        <f>+HLOOKUP(A134,[238]Hoja1!$2:$78,49,FALSE)</f>
        <v>0</v>
      </c>
      <c r="X134" s="458">
        <f t="shared" si="10"/>
        <v>0</v>
      </c>
      <c r="Y134" s="471">
        <f t="shared" si="11"/>
        <v>0</v>
      </c>
    </row>
    <row r="135" spans="1:25" ht="26.25" thickBot="1">
      <c r="A135" s="383">
        <v>43</v>
      </c>
      <c r="C135" s="406"/>
      <c r="D135" s="407"/>
      <c r="E135" s="407"/>
      <c r="F135" s="407"/>
      <c r="G135" s="407"/>
      <c r="H135" s="407"/>
      <c r="I135" s="408" t="s">
        <v>454</v>
      </c>
      <c r="J135" s="409" t="str">
        <f t="shared" si="8"/>
        <v>UND= Cant de elementos</v>
      </c>
      <c r="K135" s="410" t="str">
        <f t="shared" si="14"/>
        <v>UND</v>
      </c>
      <c r="L135" s="411"/>
      <c r="M135" s="412"/>
      <c r="N135" s="442"/>
      <c r="O135" s="442"/>
      <c r="P135" s="412"/>
      <c r="Q135" s="411"/>
      <c r="R135" s="413">
        <f t="shared" si="9"/>
        <v>0</v>
      </c>
      <c r="S135" s="414">
        <f>+HLOOKUP(A135,[238]Hoja1!$2:$78,49,FALSE)</f>
        <v>0</v>
      </c>
      <c r="X135" s="458">
        <f t="shared" si="10"/>
        <v>0</v>
      </c>
      <c r="Y135" s="471">
        <f t="shared" si="11"/>
        <v>0</v>
      </c>
    </row>
    <row r="136" spans="1:25">
      <c r="C136" s="384"/>
      <c r="D136" s="419"/>
      <c r="E136" s="420"/>
      <c r="F136" s="421"/>
      <c r="G136" s="421"/>
      <c r="H136" s="421"/>
      <c r="I136" s="421"/>
      <c r="J136" s="422"/>
      <c r="K136" s="421"/>
      <c r="L136" s="421"/>
      <c r="M136" s="421"/>
      <c r="N136" s="421"/>
      <c r="O136" s="421"/>
      <c r="P136" s="421"/>
      <c r="Q136" s="421"/>
      <c r="R136" s="422"/>
      <c r="S136" s="423"/>
    </row>
    <row r="137" spans="1:25">
      <c r="C137" s="396"/>
      <c r="D137" s="397"/>
      <c r="E137" s="424"/>
      <c r="F137" s="425"/>
      <c r="G137" s="425"/>
      <c r="H137" s="425"/>
      <c r="I137" s="425"/>
      <c r="J137" s="398"/>
      <c r="K137" s="425"/>
      <c r="L137" s="425"/>
      <c r="M137" s="397"/>
      <c r="N137" s="397"/>
      <c r="O137" s="562" t="s">
        <v>455</v>
      </c>
      <c r="P137" s="563"/>
      <c r="Q137" s="564"/>
      <c r="R137" s="426"/>
      <c r="S137" s="427">
        <f>ROUND(SUM(S93:S136),2)</f>
        <v>21</v>
      </c>
    </row>
    <row r="138" spans="1:25">
      <c r="C138" s="396"/>
      <c r="D138" s="397"/>
      <c r="E138" s="424"/>
      <c r="F138" s="425"/>
      <c r="G138" s="425"/>
      <c r="H138" s="425"/>
      <c r="I138" s="425"/>
      <c r="J138" s="398"/>
      <c r="K138" s="425"/>
      <c r="L138" s="425"/>
      <c r="M138" s="428"/>
      <c r="N138" s="428"/>
      <c r="O138" s="429"/>
      <c r="P138" s="425"/>
      <c r="Q138" s="425"/>
      <c r="R138" s="430"/>
      <c r="S138" s="431"/>
    </row>
    <row r="139" spans="1:25">
      <c r="C139" s="565" t="e">
        <v>#REF!</v>
      </c>
      <c r="D139" s="566"/>
      <c r="E139" s="566"/>
      <c r="F139" s="566"/>
      <c r="G139" s="566"/>
      <c r="H139" s="566"/>
      <c r="I139" s="566"/>
      <c r="J139" s="566"/>
      <c r="K139" s="566"/>
      <c r="L139" s="566"/>
      <c r="M139" s="566"/>
      <c r="N139" s="567"/>
      <c r="O139" s="568" t="s">
        <v>422</v>
      </c>
      <c r="P139" s="568"/>
      <c r="Q139" s="568"/>
      <c r="R139" s="426"/>
      <c r="S139" s="427">
        <f>S137</f>
        <v>21</v>
      </c>
    </row>
    <row r="140" spans="1:25">
      <c r="C140" s="396"/>
      <c r="D140" s="397"/>
      <c r="E140" s="424"/>
      <c r="F140" s="425"/>
      <c r="G140" s="425"/>
      <c r="H140" s="425"/>
      <c r="I140" s="425"/>
      <c r="J140" s="398"/>
      <c r="K140" s="425"/>
      <c r="L140" s="425"/>
      <c r="M140" s="428"/>
      <c r="N140" s="428"/>
      <c r="O140" s="429"/>
      <c r="P140" s="425"/>
      <c r="Q140" s="398"/>
      <c r="R140" s="398"/>
      <c r="S140" s="432"/>
    </row>
    <row r="141" spans="1:25">
      <c r="C141" s="396"/>
      <c r="D141" s="397"/>
      <c r="E141" s="424"/>
      <c r="F141" s="425"/>
      <c r="G141" s="425"/>
      <c r="H141" s="425"/>
      <c r="I141" s="425"/>
      <c r="J141" s="398"/>
      <c r="K141" s="425"/>
      <c r="L141" s="425"/>
      <c r="M141" s="428"/>
      <c r="N141" s="428"/>
      <c r="O141" s="429"/>
      <c r="P141" s="425"/>
      <c r="Q141" s="398"/>
      <c r="R141" s="398"/>
      <c r="S141" s="432"/>
    </row>
    <row r="142" spans="1:25">
      <c r="C142" s="569" t="s">
        <v>423</v>
      </c>
      <c r="D142" s="570"/>
      <c r="E142" s="570"/>
      <c r="F142" s="570"/>
      <c r="G142" s="570"/>
      <c r="H142" s="570"/>
      <c r="I142" s="570"/>
      <c r="J142" s="571"/>
      <c r="K142" s="433" t="s">
        <v>424</v>
      </c>
      <c r="L142" s="434"/>
      <c r="M142" s="434"/>
      <c r="N142" s="434"/>
      <c r="O142" s="434"/>
      <c r="P142" s="434"/>
      <c r="Q142" s="434"/>
      <c r="R142" s="434"/>
      <c r="S142" s="435"/>
    </row>
    <row r="143" spans="1:25">
      <c r="C143" s="542"/>
      <c r="D143" s="543"/>
      <c r="E143" s="543"/>
      <c r="F143" s="543"/>
      <c r="G143" s="436"/>
      <c r="H143" s="436"/>
      <c r="I143" s="436"/>
      <c r="J143" s="447"/>
      <c r="K143" s="436"/>
      <c r="L143" s="407"/>
      <c r="M143" s="407"/>
      <c r="N143" s="407"/>
      <c r="O143" s="407"/>
      <c r="P143" s="407"/>
      <c r="Q143" s="407"/>
      <c r="R143" s="407"/>
      <c r="S143" s="437"/>
    </row>
    <row r="144" spans="1:25">
      <c r="C144" s="542"/>
      <c r="D144" s="543"/>
      <c r="E144" s="543"/>
      <c r="F144" s="543"/>
      <c r="G144" s="436"/>
      <c r="H144" s="436"/>
      <c r="I144" s="436"/>
      <c r="J144" s="447"/>
      <c r="K144" s="436"/>
      <c r="L144" s="407"/>
      <c r="M144" s="407"/>
      <c r="N144" s="407"/>
      <c r="O144" s="407"/>
      <c r="P144" s="407"/>
      <c r="Q144" s="407"/>
      <c r="R144" s="407"/>
      <c r="S144" s="437"/>
    </row>
    <row r="145" spans="3:19">
      <c r="C145" s="542" t="s">
        <v>425</v>
      </c>
      <c r="D145" s="543"/>
      <c r="E145" s="543" t="s">
        <v>425</v>
      </c>
      <c r="F145" s="543"/>
      <c r="G145" s="543" t="s">
        <v>425</v>
      </c>
      <c r="H145" s="543"/>
      <c r="I145" s="543" t="s">
        <v>425</v>
      </c>
      <c r="J145" s="544"/>
      <c r="K145" s="545" t="s">
        <v>426</v>
      </c>
      <c r="L145" s="546"/>
      <c r="M145" s="546"/>
      <c r="N145" s="546"/>
      <c r="O145" s="546"/>
      <c r="P145" s="546"/>
      <c r="Q145" s="546"/>
      <c r="R145" s="546"/>
      <c r="S145" s="547"/>
    </row>
    <row r="146" spans="3:19">
      <c r="C146" s="548" t="str">
        <f>+[42]DATOS!D$8</f>
        <v>HELMER EDUARDO BECERRA SANTANDER</v>
      </c>
      <c r="D146" s="549"/>
      <c r="E146" s="549" t="s">
        <v>427</v>
      </c>
      <c r="F146" s="549"/>
      <c r="G146" s="549" t="s">
        <v>427</v>
      </c>
      <c r="H146" s="549"/>
      <c r="I146" s="549" t="s">
        <v>427</v>
      </c>
      <c r="J146" s="550"/>
      <c r="K146" s="551" t="str">
        <f>+[42]DATOS!D$11</f>
        <v>JESUS IVAN QUIÑONES RUEDA</v>
      </c>
      <c r="L146" s="549"/>
      <c r="M146" s="549"/>
      <c r="N146" s="549"/>
      <c r="O146" s="549"/>
      <c r="P146" s="549"/>
      <c r="Q146" s="549"/>
      <c r="R146" s="549"/>
      <c r="S146" s="552"/>
    </row>
    <row r="147" spans="3:19">
      <c r="C147" s="553" t="str">
        <f>+$C$72</f>
        <v>APOYO SEC. DE PLANEACION Y OBRAS PÚBLICAS</v>
      </c>
      <c r="D147" s="554"/>
      <c r="E147" s="554" t="s">
        <v>428</v>
      </c>
      <c r="F147" s="554"/>
      <c r="G147" s="554" t="s">
        <v>428</v>
      </c>
      <c r="H147" s="554"/>
      <c r="I147" s="554" t="s">
        <v>428</v>
      </c>
      <c r="J147" s="555"/>
      <c r="K147" s="556" t="str">
        <f>+$K$72</f>
        <v>SECRETARIO DE PLANEACION Y OBRAS PÚBLICAS</v>
      </c>
      <c r="L147" s="554"/>
      <c r="M147" s="554"/>
      <c r="N147" s="554"/>
      <c r="O147" s="554"/>
      <c r="P147" s="554"/>
      <c r="Q147" s="554"/>
      <c r="R147" s="554"/>
      <c r="S147" s="557"/>
    </row>
    <row r="148" spans="3:19">
      <c r="C148" s="406"/>
      <c r="D148" s="407"/>
      <c r="E148" s="407"/>
      <c r="F148" s="407"/>
      <c r="G148" s="407"/>
      <c r="H148" s="407"/>
      <c r="I148" s="407"/>
      <c r="J148" s="407"/>
      <c r="K148" s="407"/>
      <c r="L148" s="407"/>
      <c r="M148" s="407"/>
      <c r="N148" s="407"/>
      <c r="O148" s="407"/>
      <c r="P148" s="407"/>
      <c r="Q148" s="407"/>
      <c r="R148" s="407"/>
      <c r="S148" s="437"/>
    </row>
    <row r="149" spans="3:19" ht="111" customHeight="1" thickBot="1">
      <c r="C149" s="417"/>
      <c r="D149" s="418"/>
      <c r="E149" s="418"/>
      <c r="F149" s="418"/>
      <c r="G149" s="418"/>
      <c r="H149" s="418"/>
      <c r="I149" s="418"/>
      <c r="J149" s="418"/>
      <c r="K149" s="418"/>
      <c r="L149" s="418"/>
      <c r="M149" s="418"/>
      <c r="N149" s="418"/>
      <c r="O149" s="418"/>
      <c r="P149" s="418"/>
      <c r="Q149" s="418"/>
      <c r="R149" s="418"/>
      <c r="S149" s="438"/>
    </row>
    <row r="150" spans="3:19" ht="22.5" customHeight="1"/>
    <row r="151" spans="3:19" ht="13.5" thickBot="1"/>
    <row r="152" spans="3:19">
      <c r="C152" s="384"/>
      <c r="D152" s="385"/>
      <c r="E152" s="385"/>
      <c r="F152" s="385"/>
      <c r="G152" s="385"/>
      <c r="H152" s="385"/>
      <c r="I152" s="385"/>
      <c r="J152" s="445"/>
      <c r="K152" s="385"/>
      <c r="L152" s="385"/>
      <c r="M152" s="385"/>
      <c r="N152" s="385"/>
      <c r="O152" s="385"/>
      <c r="P152" s="385"/>
      <c r="Q152" s="385"/>
      <c r="R152" s="385"/>
      <c r="S152" s="386"/>
    </row>
    <row r="153" spans="3:19" ht="121.5" customHeight="1" thickBot="1">
      <c r="C153" s="387"/>
      <c r="D153" s="388"/>
      <c r="E153" s="388"/>
      <c r="F153" s="388"/>
      <c r="G153" s="388"/>
      <c r="H153" s="388"/>
      <c r="I153" s="388"/>
      <c r="J153" s="446"/>
      <c r="K153" s="388"/>
      <c r="L153" s="388"/>
      <c r="M153" s="388"/>
      <c r="N153" s="388"/>
      <c r="O153" s="388"/>
      <c r="P153" s="388"/>
      <c r="Q153" s="388"/>
      <c r="R153" s="388"/>
      <c r="S153" s="389"/>
    </row>
    <row r="154" spans="3:19">
      <c r="C154" s="592" t="str">
        <f>+[42]DATOS!C$7</f>
        <v>MEJORAMIENTO DE VIVIENDA CON ENFOQUE DIFERENCIAL PARA POBLACIÓN VULNERABLE EN EL MUNICIPIO DE CUBARÁ, BOYACÁ (2026).</v>
      </c>
      <c r="D154" s="593"/>
      <c r="E154" s="593"/>
      <c r="F154" s="593"/>
      <c r="G154" s="593"/>
      <c r="H154" s="593"/>
      <c r="I154" s="593"/>
      <c r="J154" s="593"/>
      <c r="K154" s="593"/>
      <c r="L154" s="593"/>
      <c r="M154" s="593"/>
      <c r="N154" s="593"/>
      <c r="O154" s="593"/>
      <c r="P154" s="593"/>
      <c r="Q154" s="593"/>
      <c r="R154" s="593"/>
      <c r="S154" s="594"/>
    </row>
    <row r="155" spans="3:19">
      <c r="C155" s="595"/>
      <c r="D155" s="596"/>
      <c r="E155" s="596"/>
      <c r="F155" s="596"/>
      <c r="G155" s="596"/>
      <c r="H155" s="596"/>
      <c r="I155" s="596"/>
      <c r="J155" s="596"/>
      <c r="K155" s="596"/>
      <c r="L155" s="596"/>
      <c r="M155" s="596"/>
      <c r="N155" s="596"/>
      <c r="O155" s="596"/>
      <c r="P155" s="596"/>
      <c r="Q155" s="596"/>
      <c r="R155" s="596"/>
      <c r="S155" s="597"/>
    </row>
    <row r="156" spans="3:19">
      <c r="C156" s="598" t="s">
        <v>371</v>
      </c>
      <c r="D156" s="599"/>
      <c r="E156" s="599"/>
      <c r="F156" s="599"/>
      <c r="G156" s="599"/>
      <c r="H156" s="599"/>
      <c r="I156" s="599"/>
      <c r="J156" s="599"/>
      <c r="K156" s="599"/>
      <c r="L156" s="599"/>
      <c r="M156" s="599"/>
      <c r="N156" s="599"/>
      <c r="O156" s="599"/>
      <c r="P156" s="599"/>
      <c r="Q156" s="599"/>
      <c r="R156" s="599"/>
      <c r="S156" s="600"/>
    </row>
    <row r="157" spans="3:19">
      <c r="C157" s="586" t="s">
        <v>372</v>
      </c>
      <c r="D157" s="587"/>
      <c r="E157" s="601" t="s">
        <v>373</v>
      </c>
      <c r="F157" s="601"/>
      <c r="G157" s="601"/>
      <c r="H157" s="601"/>
      <c r="I157" s="601"/>
      <c r="J157" s="601"/>
      <c r="K157" s="601"/>
      <c r="L157" s="601"/>
      <c r="M157" s="601"/>
      <c r="N157" s="601"/>
      <c r="O157" s="601"/>
      <c r="P157" s="601"/>
      <c r="Q157" s="601"/>
      <c r="R157" s="601"/>
      <c r="S157" s="602"/>
    </row>
    <row r="158" spans="3:19">
      <c r="C158" s="586" t="s">
        <v>374</v>
      </c>
      <c r="D158" s="587"/>
      <c r="E158" s="603" t="s">
        <v>375</v>
      </c>
      <c r="F158" s="604"/>
      <c r="G158" s="604"/>
      <c r="H158" s="604"/>
      <c r="I158" s="604"/>
      <c r="J158" s="604"/>
      <c r="K158" s="604"/>
      <c r="L158" s="604"/>
      <c r="M158" s="604"/>
      <c r="N158" s="604"/>
      <c r="O158" s="604"/>
      <c r="P158" s="604"/>
      <c r="Q158" s="604"/>
      <c r="R158" s="604"/>
      <c r="S158" s="605"/>
    </row>
    <row r="159" spans="3:19">
      <c r="C159" s="586" t="s">
        <v>376</v>
      </c>
      <c r="D159" s="587"/>
      <c r="E159" s="390">
        <f>+[42]DATOS!F$5</f>
        <v>46143</v>
      </c>
      <c r="F159" s="391"/>
      <c r="G159" s="391"/>
      <c r="H159" s="391"/>
      <c r="I159" s="391"/>
      <c r="J159" s="391"/>
      <c r="K159" s="568" t="s">
        <v>377</v>
      </c>
      <c r="L159" s="568"/>
      <c r="M159" s="588" t="s">
        <v>378</v>
      </c>
      <c r="N159" s="588"/>
      <c r="O159" s="588"/>
      <c r="P159" s="588"/>
      <c r="Q159" s="588"/>
      <c r="R159" s="588"/>
      <c r="S159" s="589"/>
    </row>
    <row r="160" spans="3:19" ht="25.5">
      <c r="C160" s="586" t="s">
        <v>379</v>
      </c>
      <c r="D160" s="587"/>
      <c r="E160" s="590" t="s">
        <v>380</v>
      </c>
      <c r="F160" s="591"/>
      <c r="G160" s="392">
        <f>+[42]DATOS!E$5</f>
        <v>2026</v>
      </c>
      <c r="H160" s="393" t="s">
        <v>381</v>
      </c>
      <c r="I160" s="394">
        <f>+[42]DATOS!E$5</f>
        <v>2026</v>
      </c>
      <c r="J160" s="395"/>
      <c r="K160" s="568" t="s">
        <v>382</v>
      </c>
      <c r="L160" s="568"/>
      <c r="M160" s="588" t="s">
        <v>383</v>
      </c>
      <c r="N160" s="588"/>
      <c r="O160" s="588"/>
      <c r="P160" s="588"/>
      <c r="Q160" s="588"/>
      <c r="R160" s="588"/>
      <c r="S160" s="589"/>
    </row>
    <row r="161" spans="1:25">
      <c r="C161" s="396"/>
      <c r="D161" s="397"/>
      <c r="E161" s="397"/>
      <c r="F161" s="398"/>
      <c r="G161" s="398"/>
      <c r="H161" s="398"/>
      <c r="I161" s="398"/>
      <c r="J161" s="398"/>
      <c r="K161" s="398"/>
      <c r="L161" s="398"/>
      <c r="M161" s="398"/>
      <c r="N161" s="398"/>
      <c r="O161" s="398"/>
      <c r="P161" s="398"/>
      <c r="Q161" s="398"/>
      <c r="R161" s="398"/>
      <c r="S161" s="399"/>
    </row>
    <row r="162" spans="1:25">
      <c r="C162" s="572" t="s">
        <v>384</v>
      </c>
      <c r="D162" s="573"/>
      <c r="E162" s="573"/>
      <c r="F162" s="573"/>
      <c r="G162" s="573"/>
      <c r="H162" s="573"/>
      <c r="I162" s="573"/>
      <c r="J162" s="573"/>
      <c r="K162" s="573"/>
      <c r="L162" s="573"/>
      <c r="M162" s="573"/>
      <c r="N162" s="573"/>
      <c r="O162" s="573"/>
      <c r="P162" s="573"/>
      <c r="Q162" s="573"/>
      <c r="R162" s="573"/>
      <c r="S162" s="574"/>
    </row>
    <row r="163" spans="1:25">
      <c r="C163" s="396"/>
      <c r="D163" s="397"/>
      <c r="E163" s="397"/>
      <c r="F163" s="398"/>
      <c r="G163" s="398"/>
      <c r="H163" s="398"/>
      <c r="I163" s="398"/>
      <c r="J163" s="398"/>
      <c r="K163" s="398"/>
      <c r="L163" s="398"/>
      <c r="M163" s="398"/>
      <c r="N163" s="398"/>
      <c r="O163" s="398"/>
      <c r="P163" s="398"/>
      <c r="Q163" s="398"/>
      <c r="R163" s="398"/>
      <c r="S163" s="399"/>
    </row>
    <row r="164" spans="1:25">
      <c r="C164" s="400" t="s">
        <v>385</v>
      </c>
      <c r="D164" s="575" t="s">
        <v>386</v>
      </c>
      <c r="E164" s="575"/>
      <c r="F164" s="576" t="s">
        <v>387</v>
      </c>
      <c r="G164" s="577"/>
      <c r="H164" s="577"/>
      <c r="I164" s="576" t="s">
        <v>388</v>
      </c>
      <c r="J164" s="576" t="s">
        <v>389</v>
      </c>
      <c r="K164" s="579"/>
      <c r="L164" s="581" t="s">
        <v>390</v>
      </c>
      <c r="M164" s="581"/>
      <c r="N164" s="581"/>
      <c r="O164" s="581"/>
      <c r="P164" s="581"/>
      <c r="Q164" s="581"/>
      <c r="R164" s="581" t="s">
        <v>391</v>
      </c>
      <c r="S164" s="582"/>
    </row>
    <row r="165" spans="1:25" ht="38.25">
      <c r="C165" s="403">
        <f>+'PRESUPUESTO OFICIAL '!C63</f>
        <v>5.03</v>
      </c>
      <c r="D165" s="583" t="str">
        <f>+VLOOKUP(C165,'PRESUPUESTO OFICIAL '!$C$11:$H$103,2)</f>
        <v xml:space="preserve">SUMINISTRO E INSTALACION DE INTERRUPTOR DOBLE </v>
      </c>
      <c r="E165" s="584"/>
      <c r="F165" s="585" t="str">
        <f>+VLOOKUP(C165,'PRESUPUESTO OFICIAL '!$C$11:$H$103,3)</f>
        <v>UND</v>
      </c>
      <c r="G165" s="585"/>
      <c r="H165" s="585"/>
      <c r="I165" s="578"/>
      <c r="J165" s="578"/>
      <c r="K165" s="580"/>
      <c r="L165" s="401" t="s">
        <v>392</v>
      </c>
      <c r="M165" s="401" t="s">
        <v>393</v>
      </c>
      <c r="N165" s="401" t="s">
        <v>394</v>
      </c>
      <c r="O165" s="401" t="s">
        <v>395</v>
      </c>
      <c r="P165" s="401" t="s">
        <v>396</v>
      </c>
      <c r="Q165" s="401" t="s">
        <v>397</v>
      </c>
      <c r="R165" s="401" t="s">
        <v>398</v>
      </c>
      <c r="S165" s="402" t="s">
        <v>399</v>
      </c>
      <c r="U165" s="404">
        <f>+C165</f>
        <v>5.03</v>
      </c>
      <c r="V165" s="405">
        <f>+S213</f>
        <v>11</v>
      </c>
    </row>
    <row r="166" spans="1:25">
      <c r="C166" s="406"/>
      <c r="D166" s="407"/>
      <c r="E166" s="407"/>
      <c r="F166" s="407"/>
      <c r="G166" s="407"/>
      <c r="H166" s="407"/>
      <c r="I166" s="558"/>
      <c r="J166" s="559"/>
      <c r="K166" s="560"/>
      <c r="L166" s="560"/>
      <c r="M166" s="560"/>
      <c r="N166" s="560"/>
      <c r="O166" s="560"/>
      <c r="P166" s="560"/>
      <c r="Q166" s="560"/>
      <c r="R166" s="560"/>
      <c r="S166" s="561"/>
    </row>
    <row r="167" spans="1:25" ht="25.5">
      <c r="A167" s="383">
        <v>1</v>
      </c>
      <c r="C167" s="406"/>
      <c r="D167" s="407"/>
      <c r="E167" s="407"/>
      <c r="F167" s="407"/>
      <c r="G167" s="407"/>
      <c r="H167" s="407"/>
      <c r="I167" s="408" t="s">
        <v>400</v>
      </c>
      <c r="J167" s="409" t="str">
        <f t="shared" ref="J167:J209" si="15">+VLOOKUP(K167,$AH$22:$AJ$58,2,)</f>
        <v>UND= Cant de elementos</v>
      </c>
      <c r="K167" s="410" t="str">
        <f>+F165</f>
        <v>UND</v>
      </c>
      <c r="L167" s="411"/>
      <c r="M167" s="412"/>
      <c r="N167" s="442"/>
      <c r="O167" s="442"/>
      <c r="P167" s="413"/>
      <c r="Q167" s="451"/>
      <c r="R167" s="413">
        <f>+S167</f>
        <v>0</v>
      </c>
      <c r="S167" s="414">
        <f>+HLOOKUP(A167,[238]Hoja1!$2:$78,50,FALSE)</f>
        <v>0</v>
      </c>
      <c r="X167" s="458">
        <f>+N167*O167</f>
        <v>0</v>
      </c>
      <c r="Y167" s="471">
        <f>+X167-L167</f>
        <v>0</v>
      </c>
    </row>
    <row r="168" spans="1:25" ht="25.5">
      <c r="A168" s="383">
        <v>2</v>
      </c>
      <c r="C168" s="406"/>
      <c r="D168" s="407"/>
      <c r="E168" s="407"/>
      <c r="F168" s="407"/>
      <c r="G168" s="407"/>
      <c r="H168" s="407"/>
      <c r="I168" s="408" t="s">
        <v>401</v>
      </c>
      <c r="J168" s="409" t="str">
        <f t="shared" si="15"/>
        <v>UND= Cant de elementos</v>
      </c>
      <c r="K168" s="410" t="str">
        <f>+K167</f>
        <v>UND</v>
      </c>
      <c r="L168" s="411"/>
      <c r="M168" s="412"/>
      <c r="N168" s="442"/>
      <c r="O168" s="442"/>
      <c r="P168" s="413"/>
      <c r="Q168" s="413"/>
      <c r="R168" s="413">
        <f t="shared" ref="R168:R209" si="16">+S168</f>
        <v>1</v>
      </c>
      <c r="S168" s="414">
        <f>+HLOOKUP(A168,[238]Hoja1!$2:$78,50,FALSE)</f>
        <v>1</v>
      </c>
      <c r="X168" s="458">
        <f>+N168*O168</f>
        <v>0</v>
      </c>
      <c r="Y168" s="471">
        <f t="shared" ref="Y168:Y209" si="17">+X168-L168</f>
        <v>0</v>
      </c>
    </row>
    <row r="169" spans="1:25" ht="25.5">
      <c r="A169" s="383">
        <v>3</v>
      </c>
      <c r="C169" s="406"/>
      <c r="D169" s="407"/>
      <c r="E169" s="407"/>
      <c r="F169" s="407"/>
      <c r="G169" s="407"/>
      <c r="H169" s="407"/>
      <c r="I169" s="408" t="s">
        <v>402</v>
      </c>
      <c r="J169" s="409" t="str">
        <f t="shared" si="15"/>
        <v>UND= Cant de elementos</v>
      </c>
      <c r="K169" s="410" t="str">
        <f>+K168</f>
        <v>UND</v>
      </c>
      <c r="L169" s="411"/>
      <c r="M169" s="412"/>
      <c r="N169" s="442"/>
      <c r="O169" s="442"/>
      <c r="P169" s="413"/>
      <c r="Q169" s="413"/>
      <c r="R169" s="413">
        <f t="shared" si="16"/>
        <v>1</v>
      </c>
      <c r="S169" s="414">
        <f>+HLOOKUP(A169,[238]Hoja1!$2:$78,50,FALSE)</f>
        <v>1</v>
      </c>
      <c r="X169" s="458">
        <f t="shared" ref="X169:X209" si="18">+N169*O169</f>
        <v>0</v>
      </c>
      <c r="Y169" s="471">
        <f t="shared" si="17"/>
        <v>0</v>
      </c>
    </row>
    <row r="170" spans="1:25" ht="25.5">
      <c r="A170" s="383">
        <v>4</v>
      </c>
      <c r="C170" s="406"/>
      <c r="D170" s="407"/>
      <c r="E170" s="407"/>
      <c r="F170" s="407"/>
      <c r="G170" s="407"/>
      <c r="H170" s="407"/>
      <c r="I170" s="408" t="s">
        <v>403</v>
      </c>
      <c r="J170" s="409" t="str">
        <f t="shared" si="15"/>
        <v>UND= Cant de elementos</v>
      </c>
      <c r="K170" s="410" t="str">
        <f>+K169</f>
        <v>UND</v>
      </c>
      <c r="L170" s="411"/>
      <c r="M170" s="412"/>
      <c r="N170" s="442"/>
      <c r="O170" s="442"/>
      <c r="P170" s="413"/>
      <c r="Q170" s="413"/>
      <c r="R170" s="413">
        <f t="shared" si="16"/>
        <v>1</v>
      </c>
      <c r="S170" s="414">
        <f>+HLOOKUP(A170,[238]Hoja1!$2:$78,50,FALSE)</f>
        <v>1</v>
      </c>
      <c r="X170" s="458">
        <f t="shared" si="18"/>
        <v>0</v>
      </c>
      <c r="Y170" s="471">
        <f t="shared" si="17"/>
        <v>0</v>
      </c>
    </row>
    <row r="171" spans="1:25" ht="25.5">
      <c r="A171" s="383">
        <v>5</v>
      </c>
      <c r="C171" s="406"/>
      <c r="D171" s="407"/>
      <c r="E171" s="407"/>
      <c r="F171" s="407"/>
      <c r="G171" s="407"/>
      <c r="H171" s="407"/>
      <c r="I171" s="408" t="s">
        <v>405</v>
      </c>
      <c r="J171" s="409" t="str">
        <f t="shared" si="15"/>
        <v>UND= Cant de elementos</v>
      </c>
      <c r="K171" s="410" t="str">
        <f>+K170</f>
        <v>UND</v>
      </c>
      <c r="L171" s="411"/>
      <c r="M171" s="412"/>
      <c r="N171" s="442"/>
      <c r="O171" s="442"/>
      <c r="P171" s="413"/>
      <c r="Q171" s="413"/>
      <c r="R171" s="413">
        <f t="shared" si="16"/>
        <v>1</v>
      </c>
      <c r="S171" s="414">
        <f>+HLOOKUP(A171,[238]Hoja1!$2:$78,50,FALSE)</f>
        <v>1</v>
      </c>
      <c r="X171" s="458">
        <f t="shared" si="18"/>
        <v>0</v>
      </c>
      <c r="Y171" s="471">
        <f t="shared" si="17"/>
        <v>0</v>
      </c>
    </row>
    <row r="172" spans="1:25" ht="25.5">
      <c r="A172" s="383">
        <v>6</v>
      </c>
      <c r="C172" s="406"/>
      <c r="D172" s="407"/>
      <c r="E172" s="407"/>
      <c r="F172" s="407"/>
      <c r="G172" s="407"/>
      <c r="H172" s="407"/>
      <c r="I172" s="408" t="s">
        <v>407</v>
      </c>
      <c r="J172" s="409" t="str">
        <f t="shared" si="15"/>
        <v>UND= Cant de elementos</v>
      </c>
      <c r="K172" s="410" t="str">
        <f>+K171</f>
        <v>UND</v>
      </c>
      <c r="L172" s="411"/>
      <c r="M172" s="412"/>
      <c r="N172" s="442"/>
      <c r="O172" s="442"/>
      <c r="P172" s="413"/>
      <c r="Q172" s="413"/>
      <c r="R172" s="413">
        <f t="shared" si="16"/>
        <v>0</v>
      </c>
      <c r="S172" s="414">
        <f>+HLOOKUP(A172,[238]Hoja1!$2:$78,50,FALSE)</f>
        <v>0</v>
      </c>
      <c r="X172" s="458">
        <f t="shared" si="18"/>
        <v>0</v>
      </c>
      <c r="Y172" s="471">
        <f t="shared" si="17"/>
        <v>0</v>
      </c>
    </row>
    <row r="173" spans="1:25" ht="25.5">
      <c r="A173" s="383">
        <v>7</v>
      </c>
      <c r="C173" s="406"/>
      <c r="D173" s="407"/>
      <c r="E173" s="407"/>
      <c r="F173" s="407"/>
      <c r="G173" s="407"/>
      <c r="H173" s="407"/>
      <c r="I173" s="408" t="s">
        <v>409</v>
      </c>
      <c r="J173" s="409" t="str">
        <f t="shared" si="15"/>
        <v>UND= Cant de elementos</v>
      </c>
      <c r="K173" s="410" t="str">
        <f>+K167</f>
        <v>UND</v>
      </c>
      <c r="L173" s="411"/>
      <c r="M173" s="412"/>
      <c r="N173" s="442"/>
      <c r="O173" s="442"/>
      <c r="P173" s="413"/>
      <c r="Q173" s="451"/>
      <c r="R173" s="413">
        <f t="shared" si="16"/>
        <v>0</v>
      </c>
      <c r="S173" s="414">
        <f>+HLOOKUP(A173,[238]Hoja1!$2:$78,50,FALSE)</f>
        <v>0</v>
      </c>
      <c r="U173" s="439"/>
      <c r="X173" s="458">
        <f t="shared" si="18"/>
        <v>0</v>
      </c>
      <c r="Y173" s="471">
        <f t="shared" si="17"/>
        <v>0</v>
      </c>
    </row>
    <row r="174" spans="1:25" ht="25.5">
      <c r="A174" s="383">
        <v>8</v>
      </c>
      <c r="C174" s="406"/>
      <c r="D174" s="407"/>
      <c r="E174" s="407"/>
      <c r="F174" s="407"/>
      <c r="G174" s="407"/>
      <c r="H174" s="407"/>
      <c r="I174" s="408" t="s">
        <v>411</v>
      </c>
      <c r="J174" s="409" t="str">
        <f t="shared" si="15"/>
        <v>UND= Cant de elementos</v>
      </c>
      <c r="K174" s="410" t="str">
        <f>+K173</f>
        <v>UND</v>
      </c>
      <c r="L174" s="411"/>
      <c r="M174" s="412"/>
      <c r="N174" s="442"/>
      <c r="O174" s="442"/>
      <c r="P174" s="413"/>
      <c r="Q174" s="413"/>
      <c r="R174" s="413">
        <f t="shared" si="16"/>
        <v>0</v>
      </c>
      <c r="S174" s="414">
        <f>+HLOOKUP(A174,[238]Hoja1!$2:$78,50,FALSE)</f>
        <v>0</v>
      </c>
      <c r="X174" s="458">
        <f t="shared" si="18"/>
        <v>0</v>
      </c>
      <c r="Y174" s="471">
        <f t="shared" si="17"/>
        <v>0</v>
      </c>
    </row>
    <row r="175" spans="1:25" ht="25.5">
      <c r="A175" s="383">
        <v>9</v>
      </c>
      <c r="C175" s="406"/>
      <c r="D175" s="407"/>
      <c r="E175" s="407"/>
      <c r="F175" s="407"/>
      <c r="G175" s="407"/>
      <c r="H175" s="407"/>
      <c r="I175" s="408" t="s">
        <v>412</v>
      </c>
      <c r="J175" s="409" t="str">
        <f t="shared" si="15"/>
        <v>UND= Cant de elementos</v>
      </c>
      <c r="K175" s="410" t="str">
        <f>+K174</f>
        <v>UND</v>
      </c>
      <c r="L175" s="411"/>
      <c r="M175" s="412"/>
      <c r="N175" s="442"/>
      <c r="O175" s="442"/>
      <c r="P175" s="412"/>
      <c r="Q175" s="413"/>
      <c r="R175" s="413">
        <f t="shared" si="16"/>
        <v>1</v>
      </c>
      <c r="S175" s="414">
        <f>+HLOOKUP(A175,[238]Hoja1!$2:$78,50,FALSE)</f>
        <v>1</v>
      </c>
      <c r="X175" s="458">
        <f t="shared" si="18"/>
        <v>0</v>
      </c>
      <c r="Y175" s="471">
        <f t="shared" si="17"/>
        <v>0</v>
      </c>
    </row>
    <row r="176" spans="1:25" ht="25.5">
      <c r="A176" s="383">
        <v>10</v>
      </c>
      <c r="C176" s="406"/>
      <c r="D176" s="407"/>
      <c r="E176" s="407"/>
      <c r="F176" s="407"/>
      <c r="G176" s="407"/>
      <c r="H176" s="407"/>
      <c r="I176" s="408" t="s">
        <v>413</v>
      </c>
      <c r="J176" s="409" t="str">
        <f t="shared" si="15"/>
        <v>UND= Cant de elementos</v>
      </c>
      <c r="K176" s="410" t="str">
        <f>+K175</f>
        <v>UND</v>
      </c>
      <c r="L176" s="411"/>
      <c r="M176" s="412"/>
      <c r="N176" s="441"/>
      <c r="O176" s="441"/>
      <c r="P176" s="412"/>
      <c r="Q176" s="413"/>
      <c r="R176" s="413">
        <f t="shared" si="16"/>
        <v>0</v>
      </c>
      <c r="S176" s="414">
        <f>+HLOOKUP(A176,[238]Hoja1!$2:$78,50,FALSE)</f>
        <v>0</v>
      </c>
      <c r="X176" s="458">
        <f t="shared" si="18"/>
        <v>0</v>
      </c>
      <c r="Y176" s="471">
        <f t="shared" si="17"/>
        <v>0</v>
      </c>
    </row>
    <row r="177" spans="1:25" ht="25.5">
      <c r="A177" s="383">
        <v>11</v>
      </c>
      <c r="C177" s="406"/>
      <c r="D177" s="407"/>
      <c r="E177" s="407"/>
      <c r="F177" s="407"/>
      <c r="G177" s="407"/>
      <c r="H177" s="407"/>
      <c r="I177" s="408" t="s">
        <v>414</v>
      </c>
      <c r="J177" s="409" t="str">
        <f t="shared" si="15"/>
        <v>UND= Cant de elementos</v>
      </c>
      <c r="K177" s="410" t="str">
        <f>+K176</f>
        <v>UND</v>
      </c>
      <c r="L177" s="411"/>
      <c r="M177" s="412"/>
      <c r="N177" s="443"/>
      <c r="O177" s="443"/>
      <c r="P177" s="412"/>
      <c r="Q177" s="413"/>
      <c r="R177" s="413">
        <f t="shared" si="16"/>
        <v>1</v>
      </c>
      <c r="S177" s="414">
        <f>+HLOOKUP(A177,[238]Hoja1!$2:$78,50,FALSE)</f>
        <v>1</v>
      </c>
      <c r="X177" s="458">
        <f t="shared" si="18"/>
        <v>0</v>
      </c>
      <c r="Y177" s="471">
        <f t="shared" si="17"/>
        <v>0</v>
      </c>
    </row>
    <row r="178" spans="1:25" ht="25.5">
      <c r="A178" s="383">
        <v>12</v>
      </c>
      <c r="C178" s="406"/>
      <c r="D178" s="407"/>
      <c r="E178" s="407"/>
      <c r="F178" s="407"/>
      <c r="G178" s="407"/>
      <c r="H178" s="407"/>
      <c r="I178" s="408" t="s">
        <v>415</v>
      </c>
      <c r="J178" s="409" t="str">
        <f t="shared" si="15"/>
        <v>UND= Cant de elementos</v>
      </c>
      <c r="K178" s="410" t="str">
        <f>+K172</f>
        <v>UND</v>
      </c>
      <c r="L178" s="411"/>
      <c r="M178" s="412"/>
      <c r="N178" s="442"/>
      <c r="O178" s="442"/>
      <c r="P178" s="413"/>
      <c r="Q178" s="413"/>
      <c r="R178" s="413">
        <f t="shared" si="16"/>
        <v>0</v>
      </c>
      <c r="S178" s="414">
        <f>+HLOOKUP(A178,[238]Hoja1!$2:$78,50,FALSE)</f>
        <v>0</v>
      </c>
      <c r="X178" s="458">
        <f t="shared" si="18"/>
        <v>0</v>
      </c>
      <c r="Y178" s="471">
        <f t="shared" si="17"/>
        <v>0</v>
      </c>
    </row>
    <row r="179" spans="1:25" ht="25.5">
      <c r="A179" s="383">
        <v>13</v>
      </c>
      <c r="C179" s="406"/>
      <c r="D179" s="407"/>
      <c r="E179" s="407"/>
      <c r="F179" s="407"/>
      <c r="G179" s="407"/>
      <c r="H179" s="407"/>
      <c r="I179" s="408" t="s">
        <v>416</v>
      </c>
      <c r="J179" s="409" t="str">
        <f t="shared" si="15"/>
        <v>UND= Cant de elementos</v>
      </c>
      <c r="K179" s="410" t="str">
        <f>+K174</f>
        <v>UND</v>
      </c>
      <c r="L179" s="411"/>
      <c r="M179" s="412"/>
      <c r="N179" s="442"/>
      <c r="O179" s="442"/>
      <c r="P179" s="413"/>
      <c r="Q179" s="413"/>
      <c r="R179" s="413">
        <f t="shared" si="16"/>
        <v>0</v>
      </c>
      <c r="S179" s="414">
        <f>+HLOOKUP(A179,[238]Hoja1!$2:$78,50,FALSE)</f>
        <v>0</v>
      </c>
      <c r="X179" s="458">
        <f t="shared" si="18"/>
        <v>0</v>
      </c>
      <c r="Y179" s="471">
        <f t="shared" si="17"/>
        <v>0</v>
      </c>
    </row>
    <row r="180" spans="1:25" ht="25.5">
      <c r="A180" s="383">
        <v>14</v>
      </c>
      <c r="C180" s="406"/>
      <c r="D180" s="407"/>
      <c r="E180" s="407"/>
      <c r="F180" s="407"/>
      <c r="G180" s="407"/>
      <c r="H180" s="407"/>
      <c r="I180" s="408" t="s">
        <v>417</v>
      </c>
      <c r="J180" s="409" t="str">
        <f t="shared" si="15"/>
        <v>UND= Cant de elementos</v>
      </c>
      <c r="K180" s="410" t="str">
        <f t="shared" ref="K180:K191" si="19">+K179</f>
        <v>UND</v>
      </c>
      <c r="L180" s="411"/>
      <c r="M180" s="412"/>
      <c r="N180" s="442"/>
      <c r="O180" s="442"/>
      <c r="P180" s="412"/>
      <c r="Q180" s="413"/>
      <c r="R180" s="413">
        <f t="shared" si="16"/>
        <v>1</v>
      </c>
      <c r="S180" s="414">
        <f>+HLOOKUP(A180,[238]Hoja1!$2:$78,50,FALSE)</f>
        <v>1</v>
      </c>
      <c r="X180" s="458">
        <f t="shared" si="18"/>
        <v>0</v>
      </c>
      <c r="Y180" s="471">
        <f t="shared" si="17"/>
        <v>0</v>
      </c>
    </row>
    <row r="181" spans="1:25" ht="25.5">
      <c r="A181" s="383">
        <v>15</v>
      </c>
      <c r="C181" s="406"/>
      <c r="D181" s="407"/>
      <c r="E181" s="407"/>
      <c r="F181" s="407"/>
      <c r="G181" s="407"/>
      <c r="H181" s="407"/>
      <c r="I181" s="408" t="s">
        <v>418</v>
      </c>
      <c r="J181" s="409" t="str">
        <f t="shared" si="15"/>
        <v>UND= Cant de elementos</v>
      </c>
      <c r="K181" s="410" t="str">
        <f t="shared" si="19"/>
        <v>UND</v>
      </c>
      <c r="L181" s="411"/>
      <c r="M181" s="412"/>
      <c r="N181" s="442"/>
      <c r="O181" s="442"/>
      <c r="P181" s="413"/>
      <c r="Q181" s="451"/>
      <c r="R181" s="413">
        <f t="shared" si="16"/>
        <v>0</v>
      </c>
      <c r="S181" s="414">
        <f>+HLOOKUP(A181,[238]Hoja1!$2:$78,50,FALSE)</f>
        <v>0</v>
      </c>
      <c r="X181" s="458">
        <f t="shared" si="18"/>
        <v>0</v>
      </c>
      <c r="Y181" s="471">
        <f t="shared" si="17"/>
        <v>0</v>
      </c>
    </row>
    <row r="182" spans="1:25" ht="25.5">
      <c r="A182" s="383">
        <v>16</v>
      </c>
      <c r="C182" s="406"/>
      <c r="D182" s="407"/>
      <c r="E182" s="407"/>
      <c r="F182" s="407"/>
      <c r="G182" s="407"/>
      <c r="H182" s="407"/>
      <c r="I182" s="408" t="s">
        <v>419</v>
      </c>
      <c r="J182" s="409" t="str">
        <f t="shared" si="15"/>
        <v>UND= Cant de elementos</v>
      </c>
      <c r="K182" s="410" t="str">
        <f t="shared" si="19"/>
        <v>UND</v>
      </c>
      <c r="L182" s="411"/>
      <c r="M182" s="412"/>
      <c r="N182" s="442"/>
      <c r="O182" s="442"/>
      <c r="P182" s="412"/>
      <c r="Q182" s="413"/>
      <c r="R182" s="413">
        <f t="shared" si="16"/>
        <v>0</v>
      </c>
      <c r="S182" s="414">
        <f>+HLOOKUP(A182,[238]Hoja1!$2:$78,50,FALSE)</f>
        <v>0</v>
      </c>
      <c r="X182" s="458">
        <f t="shared" si="18"/>
        <v>0</v>
      </c>
      <c r="Y182" s="471">
        <f t="shared" si="17"/>
        <v>0</v>
      </c>
    </row>
    <row r="183" spans="1:25" ht="25.5">
      <c r="A183" s="383">
        <v>17</v>
      </c>
      <c r="C183" s="406"/>
      <c r="D183" s="407"/>
      <c r="E183" s="407"/>
      <c r="F183" s="407"/>
      <c r="G183" s="407"/>
      <c r="H183" s="407"/>
      <c r="I183" s="408" t="s">
        <v>420</v>
      </c>
      <c r="J183" s="409" t="str">
        <f t="shared" si="15"/>
        <v>UND= Cant de elementos</v>
      </c>
      <c r="K183" s="410" t="str">
        <f t="shared" si="19"/>
        <v>UND</v>
      </c>
      <c r="L183" s="411"/>
      <c r="M183" s="412"/>
      <c r="N183" s="442"/>
      <c r="O183" s="442"/>
      <c r="P183" s="412"/>
      <c r="Q183" s="413"/>
      <c r="R183" s="413">
        <f t="shared" si="16"/>
        <v>0</v>
      </c>
      <c r="S183" s="414">
        <f>+HLOOKUP(A183,[238]Hoja1!$2:$78,50,FALSE)</f>
        <v>0</v>
      </c>
      <c r="X183" s="458">
        <f t="shared" si="18"/>
        <v>0</v>
      </c>
      <c r="Y183" s="471">
        <f t="shared" si="17"/>
        <v>0</v>
      </c>
    </row>
    <row r="184" spans="1:25" ht="25.5">
      <c r="A184" s="383">
        <v>18</v>
      </c>
      <c r="C184" s="406"/>
      <c r="D184" s="407"/>
      <c r="E184" s="407"/>
      <c r="F184" s="407"/>
      <c r="G184" s="407"/>
      <c r="H184" s="407"/>
      <c r="I184" s="408" t="s">
        <v>429</v>
      </c>
      <c r="J184" s="409" t="str">
        <f t="shared" si="15"/>
        <v>UND= Cant de elementos</v>
      </c>
      <c r="K184" s="410" t="str">
        <f t="shared" si="19"/>
        <v>UND</v>
      </c>
      <c r="L184" s="411"/>
      <c r="M184" s="412"/>
      <c r="N184" s="442"/>
      <c r="O184" s="442"/>
      <c r="P184" s="412"/>
      <c r="Q184" s="413"/>
      <c r="R184" s="413">
        <f t="shared" si="16"/>
        <v>0</v>
      </c>
      <c r="S184" s="414">
        <f>+HLOOKUP(A184,[238]Hoja1!$2:$78,50,FALSE)</f>
        <v>0</v>
      </c>
      <c r="X184" s="458">
        <f t="shared" si="18"/>
        <v>0</v>
      </c>
      <c r="Y184" s="471">
        <f t="shared" si="17"/>
        <v>0</v>
      </c>
    </row>
    <row r="185" spans="1:25" ht="25.5">
      <c r="A185" s="383">
        <v>19</v>
      </c>
      <c r="C185" s="406"/>
      <c r="D185" s="407"/>
      <c r="E185" s="407"/>
      <c r="F185" s="407"/>
      <c r="G185" s="407"/>
      <c r="H185" s="407"/>
      <c r="I185" s="408" t="s">
        <v>430</v>
      </c>
      <c r="J185" s="409" t="str">
        <f t="shared" si="15"/>
        <v>UND= Cant de elementos</v>
      </c>
      <c r="K185" s="410" t="str">
        <f t="shared" si="19"/>
        <v>UND</v>
      </c>
      <c r="L185" s="411"/>
      <c r="M185" s="412"/>
      <c r="N185" s="442"/>
      <c r="O185" s="442"/>
      <c r="P185" s="412"/>
      <c r="Q185" s="413"/>
      <c r="R185" s="413">
        <f t="shared" si="16"/>
        <v>1</v>
      </c>
      <c r="S185" s="414">
        <f>+HLOOKUP(A185,[238]Hoja1!$2:$78,50,FALSE)</f>
        <v>1</v>
      </c>
      <c r="X185" s="458">
        <f t="shared" si="18"/>
        <v>0</v>
      </c>
      <c r="Y185" s="471">
        <f t="shared" si="17"/>
        <v>0</v>
      </c>
    </row>
    <row r="186" spans="1:25" ht="25.5">
      <c r="A186" s="383">
        <v>20</v>
      </c>
      <c r="C186" s="406"/>
      <c r="D186" s="407"/>
      <c r="E186" s="407"/>
      <c r="F186" s="407"/>
      <c r="G186" s="407"/>
      <c r="H186" s="407"/>
      <c r="I186" s="408" t="s">
        <v>431</v>
      </c>
      <c r="J186" s="409" t="str">
        <f t="shared" si="15"/>
        <v>UND= Cant de elementos</v>
      </c>
      <c r="K186" s="410" t="str">
        <f t="shared" si="19"/>
        <v>UND</v>
      </c>
      <c r="L186" s="411"/>
      <c r="M186" s="412"/>
      <c r="N186" s="442"/>
      <c r="O186" s="442"/>
      <c r="P186" s="412"/>
      <c r="Q186" s="413"/>
      <c r="R186" s="413">
        <f t="shared" si="16"/>
        <v>0</v>
      </c>
      <c r="S186" s="414">
        <f>+HLOOKUP(A186,[238]Hoja1!$2:$78,50,FALSE)</f>
        <v>0</v>
      </c>
      <c r="X186" s="458">
        <f t="shared" si="18"/>
        <v>0</v>
      </c>
      <c r="Y186" s="471">
        <f t="shared" si="17"/>
        <v>0</v>
      </c>
    </row>
    <row r="187" spans="1:25" ht="25.5">
      <c r="A187" s="383">
        <v>21</v>
      </c>
      <c r="C187" s="406"/>
      <c r="D187" s="407"/>
      <c r="E187" s="407"/>
      <c r="F187" s="407"/>
      <c r="G187" s="407"/>
      <c r="H187" s="407"/>
      <c r="I187" s="408" t="s">
        <v>432</v>
      </c>
      <c r="J187" s="409" t="str">
        <f t="shared" si="15"/>
        <v>UND= Cant de elementos</v>
      </c>
      <c r="K187" s="410" t="str">
        <f t="shared" si="19"/>
        <v>UND</v>
      </c>
      <c r="L187" s="411"/>
      <c r="M187" s="412"/>
      <c r="N187" s="442"/>
      <c r="O187" s="442"/>
      <c r="P187" s="449"/>
      <c r="Q187" s="413"/>
      <c r="R187" s="413">
        <f t="shared" si="16"/>
        <v>0</v>
      </c>
      <c r="S187" s="414">
        <f>+HLOOKUP(A187,[238]Hoja1!$2:$78,50,FALSE)</f>
        <v>0</v>
      </c>
      <c r="X187" s="458">
        <f t="shared" si="18"/>
        <v>0</v>
      </c>
      <c r="Y187" s="471">
        <f t="shared" si="17"/>
        <v>0</v>
      </c>
    </row>
    <row r="188" spans="1:25" ht="25.5">
      <c r="A188" s="383">
        <v>22</v>
      </c>
      <c r="C188" s="406"/>
      <c r="D188" s="407"/>
      <c r="E188" s="407"/>
      <c r="F188" s="407"/>
      <c r="G188" s="407"/>
      <c r="H188" s="407"/>
      <c r="I188" s="408" t="s">
        <v>433</v>
      </c>
      <c r="J188" s="409" t="str">
        <f t="shared" si="15"/>
        <v>UND= Cant de elementos</v>
      </c>
      <c r="K188" s="410" t="str">
        <f t="shared" si="19"/>
        <v>UND</v>
      </c>
      <c r="L188" s="411"/>
      <c r="M188" s="412"/>
      <c r="N188" s="442"/>
      <c r="O188" s="442"/>
      <c r="P188" s="412"/>
      <c r="Q188" s="413"/>
      <c r="R188" s="413">
        <f t="shared" si="16"/>
        <v>1</v>
      </c>
      <c r="S188" s="414">
        <f>+HLOOKUP(A188,[238]Hoja1!$2:$78,50,FALSE)</f>
        <v>1</v>
      </c>
      <c r="X188" s="458">
        <f t="shared" si="18"/>
        <v>0</v>
      </c>
      <c r="Y188" s="471">
        <f t="shared" si="17"/>
        <v>0</v>
      </c>
    </row>
    <row r="189" spans="1:25" ht="25.5">
      <c r="A189" s="383">
        <v>23</v>
      </c>
      <c r="C189" s="406"/>
      <c r="D189" s="407"/>
      <c r="E189" s="407"/>
      <c r="F189" s="407"/>
      <c r="G189" s="407"/>
      <c r="H189" s="407"/>
      <c r="I189" s="408" t="s">
        <v>434</v>
      </c>
      <c r="J189" s="409" t="str">
        <f t="shared" si="15"/>
        <v>UND= Cant de elementos</v>
      </c>
      <c r="K189" s="410" t="str">
        <f t="shared" si="19"/>
        <v>UND</v>
      </c>
      <c r="L189" s="411"/>
      <c r="M189" s="412"/>
      <c r="N189" s="441"/>
      <c r="O189" s="441"/>
      <c r="P189" s="412"/>
      <c r="Q189" s="413"/>
      <c r="R189" s="413">
        <f t="shared" si="16"/>
        <v>0</v>
      </c>
      <c r="S189" s="414">
        <f>+HLOOKUP(A189,[238]Hoja1!$2:$78,50,FALSE)</f>
        <v>0</v>
      </c>
      <c r="X189" s="458">
        <f t="shared" si="18"/>
        <v>0</v>
      </c>
      <c r="Y189" s="471">
        <f t="shared" si="17"/>
        <v>0</v>
      </c>
    </row>
    <row r="190" spans="1:25" ht="25.5">
      <c r="A190" s="383">
        <v>24</v>
      </c>
      <c r="C190" s="406"/>
      <c r="D190" s="407"/>
      <c r="E190" s="407"/>
      <c r="F190" s="407"/>
      <c r="G190" s="407"/>
      <c r="H190" s="407"/>
      <c r="I190" s="408" t="s">
        <v>435</v>
      </c>
      <c r="J190" s="409" t="str">
        <f t="shared" si="15"/>
        <v>UND= Cant de elementos</v>
      </c>
      <c r="K190" s="410" t="str">
        <f t="shared" si="19"/>
        <v>UND</v>
      </c>
      <c r="L190" s="411"/>
      <c r="M190" s="412"/>
      <c r="N190" s="442"/>
      <c r="O190" s="442"/>
      <c r="P190" s="413"/>
      <c r="Q190" s="413"/>
      <c r="R190" s="413">
        <f t="shared" si="16"/>
        <v>0</v>
      </c>
      <c r="S190" s="414">
        <f>+HLOOKUP(A190,[238]Hoja1!$2:$78,50,FALSE)</f>
        <v>0</v>
      </c>
      <c r="X190" s="458">
        <f t="shared" si="18"/>
        <v>0</v>
      </c>
      <c r="Y190" s="471">
        <f t="shared" si="17"/>
        <v>0</v>
      </c>
    </row>
    <row r="191" spans="1:25" ht="25.5">
      <c r="A191" s="383">
        <v>25</v>
      </c>
      <c r="C191" s="406"/>
      <c r="D191" s="407"/>
      <c r="E191" s="407"/>
      <c r="F191" s="407"/>
      <c r="G191" s="407"/>
      <c r="H191" s="407"/>
      <c r="I191" s="408" t="s">
        <v>436</v>
      </c>
      <c r="J191" s="409" t="str">
        <f t="shared" si="15"/>
        <v>UND= Cant de elementos</v>
      </c>
      <c r="K191" s="410" t="str">
        <f t="shared" si="19"/>
        <v>UND</v>
      </c>
      <c r="L191" s="411"/>
      <c r="M191" s="412"/>
      <c r="N191" s="442"/>
      <c r="O191" s="442"/>
      <c r="P191" s="412"/>
      <c r="Q191" s="413"/>
      <c r="R191" s="413">
        <f t="shared" si="16"/>
        <v>1</v>
      </c>
      <c r="S191" s="414">
        <f>+HLOOKUP(A191,[238]Hoja1!$2:$78,50,FALSE)</f>
        <v>1</v>
      </c>
      <c r="X191" s="458">
        <f t="shared" si="18"/>
        <v>0</v>
      </c>
      <c r="Y191" s="471">
        <f t="shared" si="17"/>
        <v>0</v>
      </c>
    </row>
    <row r="192" spans="1:25" ht="25.5">
      <c r="A192" s="383">
        <v>26</v>
      </c>
      <c r="C192" s="406"/>
      <c r="D192" s="407"/>
      <c r="E192" s="407"/>
      <c r="F192" s="407"/>
      <c r="G192" s="407"/>
      <c r="H192" s="407"/>
      <c r="I192" s="408" t="s">
        <v>437</v>
      </c>
      <c r="J192" s="409" t="str">
        <f t="shared" si="15"/>
        <v>UND= Cant de elementos</v>
      </c>
      <c r="K192" s="410" t="str">
        <f>+K181</f>
        <v>UND</v>
      </c>
      <c r="L192" s="411"/>
      <c r="M192" s="412"/>
      <c r="N192" s="442"/>
      <c r="O192" s="442"/>
      <c r="P192" s="412"/>
      <c r="Q192" s="413"/>
      <c r="R192" s="413">
        <f t="shared" si="16"/>
        <v>0</v>
      </c>
      <c r="S192" s="414">
        <f>+HLOOKUP(A192,[238]Hoja1!$2:$78,50,FALSE)</f>
        <v>0</v>
      </c>
      <c r="X192" s="458">
        <f t="shared" si="18"/>
        <v>0</v>
      </c>
      <c r="Y192" s="471">
        <f t="shared" si="17"/>
        <v>0</v>
      </c>
    </row>
    <row r="193" spans="1:25" ht="25.5">
      <c r="A193" s="383">
        <v>27</v>
      </c>
      <c r="C193" s="406"/>
      <c r="D193" s="407"/>
      <c r="E193" s="407"/>
      <c r="F193" s="407"/>
      <c r="G193" s="407"/>
      <c r="H193" s="407"/>
      <c r="I193" s="408" t="s">
        <v>438</v>
      </c>
      <c r="J193" s="409" t="str">
        <f t="shared" si="15"/>
        <v>UND= Cant de elementos</v>
      </c>
      <c r="K193" s="410" t="str">
        <f t="shared" ref="K193:K201" si="20">+K192</f>
        <v>UND</v>
      </c>
      <c r="L193" s="411"/>
      <c r="M193" s="412"/>
      <c r="N193" s="442"/>
      <c r="O193" s="442"/>
      <c r="P193" s="412"/>
      <c r="Q193" s="413"/>
      <c r="R193" s="413">
        <f t="shared" si="16"/>
        <v>1</v>
      </c>
      <c r="S193" s="414">
        <f>+HLOOKUP(A193,[238]Hoja1!$2:$78,50,FALSE)</f>
        <v>1</v>
      </c>
      <c r="X193" s="458">
        <f t="shared" si="18"/>
        <v>0</v>
      </c>
      <c r="Y193" s="471">
        <f t="shared" si="17"/>
        <v>0</v>
      </c>
    </row>
    <row r="194" spans="1:25" ht="25.5">
      <c r="A194" s="383">
        <v>28</v>
      </c>
      <c r="C194" s="406"/>
      <c r="D194" s="440"/>
      <c r="E194" s="407"/>
      <c r="F194" s="407"/>
      <c r="G194" s="407"/>
      <c r="H194" s="437"/>
      <c r="I194" s="408" t="s">
        <v>439</v>
      </c>
      <c r="J194" s="409" t="str">
        <f t="shared" si="15"/>
        <v>UND= Cant de elementos</v>
      </c>
      <c r="K194" s="410" t="str">
        <f t="shared" si="20"/>
        <v>UND</v>
      </c>
      <c r="L194" s="411"/>
      <c r="M194" s="412"/>
      <c r="N194" s="442"/>
      <c r="O194" s="442"/>
      <c r="P194" s="413"/>
      <c r="Q194" s="413"/>
      <c r="R194" s="413">
        <f t="shared" si="16"/>
        <v>0</v>
      </c>
      <c r="S194" s="414">
        <f>+HLOOKUP(A194,[238]Hoja1!$2:$78,50,FALSE)</f>
        <v>0</v>
      </c>
      <c r="X194" s="458">
        <f t="shared" si="18"/>
        <v>0</v>
      </c>
      <c r="Y194" s="471">
        <f t="shared" si="17"/>
        <v>0</v>
      </c>
    </row>
    <row r="195" spans="1:25" ht="25.5">
      <c r="A195" s="383">
        <v>29</v>
      </c>
      <c r="C195" s="406"/>
      <c r="D195" s="407"/>
      <c r="E195" s="407"/>
      <c r="F195" s="407"/>
      <c r="G195" s="407"/>
      <c r="H195" s="407"/>
      <c r="I195" s="408" t="s">
        <v>440</v>
      </c>
      <c r="J195" s="409" t="str">
        <f t="shared" si="15"/>
        <v>UND= Cant de elementos</v>
      </c>
      <c r="K195" s="410" t="str">
        <f t="shared" si="20"/>
        <v>UND</v>
      </c>
      <c r="L195" s="411"/>
      <c r="M195" s="412"/>
      <c r="N195" s="443"/>
      <c r="O195" s="443"/>
      <c r="P195" s="412"/>
      <c r="Q195" s="413"/>
      <c r="R195" s="413">
        <f t="shared" si="16"/>
        <v>0</v>
      </c>
      <c r="S195" s="414">
        <f>+HLOOKUP(A195,[238]Hoja1!$2:$78,50,FALSE)</f>
        <v>0</v>
      </c>
      <c r="X195" s="458">
        <f t="shared" si="18"/>
        <v>0</v>
      </c>
      <c r="Y195" s="471">
        <f t="shared" si="17"/>
        <v>0</v>
      </c>
    </row>
    <row r="196" spans="1:25" ht="25.5">
      <c r="A196" s="383">
        <v>30</v>
      </c>
      <c r="C196" s="406"/>
      <c r="D196" s="407"/>
      <c r="E196" s="407"/>
      <c r="F196" s="407"/>
      <c r="G196" s="407"/>
      <c r="H196" s="407"/>
      <c r="I196" s="408" t="s">
        <v>441</v>
      </c>
      <c r="J196" s="409" t="str">
        <f t="shared" si="15"/>
        <v>UND= Cant de elementos</v>
      </c>
      <c r="K196" s="410" t="str">
        <f t="shared" si="20"/>
        <v>UND</v>
      </c>
      <c r="L196" s="411"/>
      <c r="M196" s="412"/>
      <c r="N196" s="442"/>
      <c r="O196" s="442"/>
      <c r="P196" s="412"/>
      <c r="Q196" s="413"/>
      <c r="R196" s="413">
        <f t="shared" si="16"/>
        <v>0</v>
      </c>
      <c r="S196" s="414">
        <f>+HLOOKUP(A196,[238]Hoja1!$2:$78,50,FALSE)</f>
        <v>0</v>
      </c>
      <c r="X196" s="458">
        <f t="shared" si="18"/>
        <v>0</v>
      </c>
      <c r="Y196" s="471">
        <f t="shared" si="17"/>
        <v>0</v>
      </c>
    </row>
    <row r="197" spans="1:25" ht="25.5">
      <c r="A197" s="383">
        <v>31</v>
      </c>
      <c r="C197" s="406"/>
      <c r="D197" s="407"/>
      <c r="E197" s="407"/>
      <c r="F197" s="407"/>
      <c r="G197" s="407"/>
      <c r="H197" s="407"/>
      <c r="I197" s="408" t="s">
        <v>442</v>
      </c>
      <c r="J197" s="409" t="str">
        <f t="shared" si="15"/>
        <v>UND= Cant de elementos</v>
      </c>
      <c r="K197" s="410" t="str">
        <f t="shared" si="20"/>
        <v>UND</v>
      </c>
      <c r="L197" s="411"/>
      <c r="M197" s="412"/>
      <c r="N197" s="442"/>
      <c r="O197" s="442"/>
      <c r="P197" s="449"/>
      <c r="Q197" s="413"/>
      <c r="R197" s="413">
        <f t="shared" si="16"/>
        <v>0</v>
      </c>
      <c r="S197" s="414">
        <f>+HLOOKUP(A197,[238]Hoja1!$2:$78,50,FALSE)</f>
        <v>0</v>
      </c>
      <c r="X197" s="458">
        <f t="shared" si="18"/>
        <v>0</v>
      </c>
      <c r="Y197" s="471">
        <f t="shared" si="17"/>
        <v>0</v>
      </c>
    </row>
    <row r="198" spans="1:25" ht="25.5">
      <c r="A198" s="383">
        <v>32</v>
      </c>
      <c r="C198" s="406"/>
      <c r="D198" s="407"/>
      <c r="E198" s="407"/>
      <c r="F198" s="407"/>
      <c r="G198" s="407"/>
      <c r="H198" s="407"/>
      <c r="I198" s="408" t="s">
        <v>443</v>
      </c>
      <c r="J198" s="409" t="str">
        <f t="shared" si="15"/>
        <v>UND= Cant de elementos</v>
      </c>
      <c r="K198" s="410" t="str">
        <f t="shared" si="20"/>
        <v>UND</v>
      </c>
      <c r="L198" s="411"/>
      <c r="M198" s="412"/>
      <c r="N198" s="442"/>
      <c r="O198" s="442"/>
      <c r="P198" s="412"/>
      <c r="Q198" s="413"/>
      <c r="R198" s="413">
        <f t="shared" si="16"/>
        <v>0</v>
      </c>
      <c r="S198" s="414">
        <f>+HLOOKUP(A198,[238]Hoja1!$2:$78,50,FALSE)</f>
        <v>0</v>
      </c>
      <c r="X198" s="458">
        <f t="shared" si="18"/>
        <v>0</v>
      </c>
      <c r="Y198" s="471">
        <f t="shared" si="17"/>
        <v>0</v>
      </c>
    </row>
    <row r="199" spans="1:25" ht="25.5">
      <c r="A199" s="383">
        <v>33</v>
      </c>
      <c r="C199" s="406"/>
      <c r="D199" s="407"/>
      <c r="E199" s="407"/>
      <c r="F199" s="407"/>
      <c r="G199" s="407"/>
      <c r="H199" s="407"/>
      <c r="I199" s="408" t="s">
        <v>444</v>
      </c>
      <c r="J199" s="409" t="str">
        <f t="shared" si="15"/>
        <v>UND= Cant de elementos</v>
      </c>
      <c r="K199" s="410" t="str">
        <f t="shared" si="20"/>
        <v>UND</v>
      </c>
      <c r="L199" s="411"/>
      <c r="M199" s="412"/>
      <c r="N199" s="442"/>
      <c r="O199" s="442"/>
      <c r="P199" s="412"/>
      <c r="Q199" s="413"/>
      <c r="R199" s="413">
        <f t="shared" si="16"/>
        <v>0</v>
      </c>
      <c r="S199" s="414">
        <f>+HLOOKUP(A199,[238]Hoja1!$2:$78,50,FALSE)</f>
        <v>0</v>
      </c>
      <c r="X199" s="458">
        <f t="shared" si="18"/>
        <v>0</v>
      </c>
      <c r="Y199" s="471">
        <f t="shared" si="17"/>
        <v>0</v>
      </c>
    </row>
    <row r="200" spans="1:25" ht="25.5">
      <c r="A200" s="383">
        <v>34</v>
      </c>
      <c r="C200" s="406"/>
      <c r="D200" s="407"/>
      <c r="E200" s="407"/>
      <c r="F200" s="407"/>
      <c r="G200" s="407"/>
      <c r="H200" s="407"/>
      <c r="I200" s="408" t="s">
        <v>445</v>
      </c>
      <c r="J200" s="409" t="str">
        <f t="shared" si="15"/>
        <v>UND= Cant de elementos</v>
      </c>
      <c r="K200" s="410" t="str">
        <f t="shared" si="20"/>
        <v>UND</v>
      </c>
      <c r="L200" s="411"/>
      <c r="M200" s="412"/>
      <c r="N200" s="443"/>
      <c r="O200" s="443"/>
      <c r="P200" s="412"/>
      <c r="Q200" s="413"/>
      <c r="R200" s="413">
        <f t="shared" si="16"/>
        <v>0</v>
      </c>
      <c r="S200" s="414">
        <f>+HLOOKUP(A200,[238]Hoja1!$2:$78,50,FALSE)</f>
        <v>0</v>
      </c>
      <c r="X200" s="458">
        <f t="shared" si="18"/>
        <v>0</v>
      </c>
      <c r="Y200" s="471">
        <f t="shared" si="17"/>
        <v>0</v>
      </c>
    </row>
    <row r="201" spans="1:25" ht="25.5">
      <c r="A201" s="383">
        <v>35</v>
      </c>
      <c r="C201" s="406"/>
      <c r="D201" s="440"/>
      <c r="E201" s="407"/>
      <c r="F201" s="407"/>
      <c r="G201" s="407"/>
      <c r="H201" s="437"/>
      <c r="I201" s="408" t="s">
        <v>446</v>
      </c>
      <c r="J201" s="409" t="str">
        <f t="shared" si="15"/>
        <v>UND= Cant de elementos</v>
      </c>
      <c r="K201" s="410" t="str">
        <f t="shared" si="20"/>
        <v>UND</v>
      </c>
      <c r="L201" s="411"/>
      <c r="M201" s="412"/>
      <c r="N201" s="442"/>
      <c r="O201" s="442"/>
      <c r="P201" s="413"/>
      <c r="Q201" s="413"/>
      <c r="R201" s="413">
        <f t="shared" si="16"/>
        <v>0</v>
      </c>
      <c r="S201" s="414">
        <f>+HLOOKUP(A201,[238]Hoja1!$2:$78,50,FALSE)</f>
        <v>0</v>
      </c>
      <c r="X201" s="458">
        <f t="shared" si="18"/>
        <v>0</v>
      </c>
      <c r="Y201" s="471">
        <f t="shared" si="17"/>
        <v>0</v>
      </c>
    </row>
    <row r="202" spans="1:25" ht="25.5">
      <c r="A202" s="383">
        <v>36</v>
      </c>
      <c r="C202" s="406"/>
      <c r="D202" s="407"/>
      <c r="E202" s="407"/>
      <c r="F202" s="407"/>
      <c r="G202" s="407"/>
      <c r="H202" s="407"/>
      <c r="I202" s="408" t="s">
        <v>447</v>
      </c>
      <c r="J202" s="409" t="str">
        <f t="shared" si="15"/>
        <v>UND= Cant de elementos</v>
      </c>
      <c r="K202" s="410" t="str">
        <f>+K191</f>
        <v>UND</v>
      </c>
      <c r="L202" s="411"/>
      <c r="M202" s="412"/>
      <c r="N202" s="442"/>
      <c r="O202" s="442"/>
      <c r="P202" s="412"/>
      <c r="Q202" s="413"/>
      <c r="R202" s="413">
        <f t="shared" si="16"/>
        <v>0</v>
      </c>
      <c r="S202" s="414">
        <f>+HLOOKUP(A202,[238]Hoja1!$2:$78,50,FALSE)</f>
        <v>0</v>
      </c>
      <c r="X202" s="458">
        <f t="shared" si="18"/>
        <v>0</v>
      </c>
      <c r="Y202" s="471">
        <f t="shared" si="17"/>
        <v>0</v>
      </c>
    </row>
    <row r="203" spans="1:25" ht="25.5">
      <c r="A203" s="383">
        <v>37</v>
      </c>
      <c r="C203" s="406"/>
      <c r="D203" s="407"/>
      <c r="E203" s="407"/>
      <c r="F203" s="407"/>
      <c r="G203" s="407"/>
      <c r="H203" s="407"/>
      <c r="I203" s="408" t="s">
        <v>448</v>
      </c>
      <c r="J203" s="409" t="str">
        <f t="shared" si="15"/>
        <v>UND= Cant de elementos</v>
      </c>
      <c r="K203" s="410" t="str">
        <f t="shared" ref="K203:K209" si="21">+K202</f>
        <v>UND</v>
      </c>
      <c r="L203" s="411"/>
      <c r="M203" s="412"/>
      <c r="N203" s="442"/>
      <c r="O203" s="442"/>
      <c r="P203" s="413"/>
      <c r="Q203" s="451"/>
      <c r="R203" s="413">
        <f t="shared" si="16"/>
        <v>0</v>
      </c>
      <c r="S203" s="414">
        <f>+HLOOKUP(A203,[238]Hoja1!$2:$78,50,FALSE)</f>
        <v>0</v>
      </c>
      <c r="U203" s="452">
        <f>+R203*Q203</f>
        <v>0</v>
      </c>
      <c r="X203" s="458">
        <f t="shared" si="18"/>
        <v>0</v>
      </c>
      <c r="Y203" s="471">
        <f t="shared" si="17"/>
        <v>0</v>
      </c>
    </row>
    <row r="204" spans="1:25" ht="25.5">
      <c r="A204" s="383">
        <v>38</v>
      </c>
      <c r="C204" s="406"/>
      <c r="D204" s="440"/>
      <c r="E204" s="407"/>
      <c r="F204" s="407"/>
      <c r="G204" s="407"/>
      <c r="H204" s="437"/>
      <c r="I204" s="408" t="s">
        <v>449</v>
      </c>
      <c r="J204" s="409" t="str">
        <f t="shared" si="15"/>
        <v>UND= Cant de elementos</v>
      </c>
      <c r="K204" s="410" t="str">
        <f t="shared" si="21"/>
        <v>UND</v>
      </c>
      <c r="L204" s="411"/>
      <c r="M204" s="412"/>
      <c r="N204" s="442"/>
      <c r="O204" s="442"/>
      <c r="P204" s="413"/>
      <c r="Q204" s="413"/>
      <c r="R204" s="413">
        <f t="shared" si="16"/>
        <v>0</v>
      </c>
      <c r="S204" s="414">
        <f>+HLOOKUP(A204,[238]Hoja1!$2:$78,50,FALSE)</f>
        <v>0</v>
      </c>
      <c r="X204" s="458">
        <f t="shared" si="18"/>
        <v>0</v>
      </c>
      <c r="Y204" s="471">
        <f t="shared" si="17"/>
        <v>0</v>
      </c>
    </row>
    <row r="205" spans="1:25" ht="25.5">
      <c r="A205" s="383">
        <v>39</v>
      </c>
      <c r="C205" s="406"/>
      <c r="D205" s="407"/>
      <c r="E205" s="407"/>
      <c r="F205" s="407"/>
      <c r="G205" s="407"/>
      <c r="H205" s="407"/>
      <c r="I205" s="408" t="s">
        <v>450</v>
      </c>
      <c r="J205" s="409" t="str">
        <f t="shared" si="15"/>
        <v>UND= Cant de elementos</v>
      </c>
      <c r="K205" s="410" t="str">
        <f t="shared" si="21"/>
        <v>UND</v>
      </c>
      <c r="L205" s="411"/>
      <c r="M205" s="412"/>
      <c r="N205" s="441"/>
      <c r="O205" s="441"/>
      <c r="P205" s="412"/>
      <c r="Q205" s="413"/>
      <c r="R205" s="413">
        <f t="shared" si="16"/>
        <v>0</v>
      </c>
      <c r="S205" s="414">
        <f>+HLOOKUP(A205,[238]Hoja1!$2:$78,50,FALSE)</f>
        <v>0</v>
      </c>
      <c r="X205" s="458">
        <f t="shared" si="18"/>
        <v>0</v>
      </c>
      <c r="Y205" s="471">
        <f t="shared" si="17"/>
        <v>0</v>
      </c>
    </row>
    <row r="206" spans="1:25" ht="25.5">
      <c r="A206" s="383">
        <v>40</v>
      </c>
      <c r="C206" s="406"/>
      <c r="D206" s="407"/>
      <c r="E206" s="407"/>
      <c r="F206" s="407"/>
      <c r="G206" s="407"/>
      <c r="H206" s="407"/>
      <c r="I206" s="408" t="s">
        <v>451</v>
      </c>
      <c r="J206" s="409" t="str">
        <f t="shared" si="15"/>
        <v>UND= Cant de elementos</v>
      </c>
      <c r="K206" s="410" t="str">
        <f t="shared" si="21"/>
        <v>UND</v>
      </c>
      <c r="L206" s="411"/>
      <c r="M206" s="412"/>
      <c r="N206" s="442"/>
      <c r="O206" s="442"/>
      <c r="P206" s="412"/>
      <c r="Q206" s="413"/>
      <c r="R206" s="413">
        <f t="shared" si="16"/>
        <v>0</v>
      </c>
      <c r="S206" s="414">
        <f>+HLOOKUP(A206,[238]Hoja1!$2:$78,50,FALSE)</f>
        <v>0</v>
      </c>
      <c r="X206" s="458">
        <f t="shared" si="18"/>
        <v>0</v>
      </c>
      <c r="Y206" s="471">
        <f t="shared" si="17"/>
        <v>0</v>
      </c>
    </row>
    <row r="207" spans="1:25" ht="25.5">
      <c r="A207" s="383">
        <v>41</v>
      </c>
      <c r="C207" s="406"/>
      <c r="D207" s="407"/>
      <c r="E207" s="407"/>
      <c r="F207" s="407"/>
      <c r="G207" s="407"/>
      <c r="H207" s="407"/>
      <c r="I207" s="408" t="s">
        <v>452</v>
      </c>
      <c r="J207" s="409" t="str">
        <f t="shared" si="15"/>
        <v>UND= Cant de elementos</v>
      </c>
      <c r="K207" s="410" t="str">
        <f t="shared" si="21"/>
        <v>UND</v>
      </c>
      <c r="L207" s="411"/>
      <c r="M207" s="412"/>
      <c r="N207" s="442"/>
      <c r="O207" s="442"/>
      <c r="P207" s="413"/>
      <c r="Q207" s="413"/>
      <c r="R207" s="413">
        <f t="shared" si="16"/>
        <v>0</v>
      </c>
      <c r="S207" s="414">
        <f>+HLOOKUP(A207,[238]Hoja1!$2:$78,50,FALSE)</f>
        <v>0</v>
      </c>
      <c r="X207" s="458">
        <f t="shared" si="18"/>
        <v>0</v>
      </c>
      <c r="Y207" s="471">
        <f t="shared" si="17"/>
        <v>0</v>
      </c>
    </row>
    <row r="208" spans="1:25" ht="25.5">
      <c r="A208" s="383">
        <v>42</v>
      </c>
      <c r="C208" s="406"/>
      <c r="D208" s="407"/>
      <c r="E208" s="407"/>
      <c r="F208" s="407"/>
      <c r="G208" s="407"/>
      <c r="H208" s="407"/>
      <c r="I208" s="408" t="s">
        <v>453</v>
      </c>
      <c r="J208" s="409" t="str">
        <f t="shared" si="15"/>
        <v>UND= Cant de elementos</v>
      </c>
      <c r="K208" s="410" t="str">
        <f t="shared" si="21"/>
        <v>UND</v>
      </c>
      <c r="L208" s="411"/>
      <c r="M208" s="412"/>
      <c r="N208" s="442"/>
      <c r="O208" s="442"/>
      <c r="P208" s="412"/>
      <c r="Q208" s="413"/>
      <c r="R208" s="413">
        <f t="shared" si="16"/>
        <v>0</v>
      </c>
      <c r="S208" s="414">
        <f>+HLOOKUP(A208,[238]Hoja1!$2:$78,50,FALSE)</f>
        <v>0</v>
      </c>
      <c r="X208" s="458">
        <f t="shared" si="18"/>
        <v>0</v>
      </c>
      <c r="Y208" s="471">
        <f t="shared" si="17"/>
        <v>0</v>
      </c>
    </row>
    <row r="209" spans="1:25" ht="26.25" thickBot="1">
      <c r="A209" s="383">
        <v>43</v>
      </c>
      <c r="C209" s="406"/>
      <c r="D209" s="407"/>
      <c r="E209" s="407"/>
      <c r="F209" s="407"/>
      <c r="G209" s="407"/>
      <c r="H209" s="407"/>
      <c r="I209" s="408" t="s">
        <v>454</v>
      </c>
      <c r="J209" s="409" t="str">
        <f t="shared" si="15"/>
        <v>UND= Cant de elementos</v>
      </c>
      <c r="K209" s="410" t="str">
        <f t="shared" si="21"/>
        <v>UND</v>
      </c>
      <c r="L209" s="411"/>
      <c r="M209" s="412"/>
      <c r="N209" s="442"/>
      <c r="O209" s="442"/>
      <c r="P209" s="412"/>
      <c r="Q209" s="413"/>
      <c r="R209" s="413">
        <f t="shared" si="16"/>
        <v>0</v>
      </c>
      <c r="S209" s="414">
        <f>+HLOOKUP(A209,[238]Hoja1!$2:$78,50,FALSE)</f>
        <v>0</v>
      </c>
      <c r="X209" s="458">
        <f t="shared" si="18"/>
        <v>0</v>
      </c>
      <c r="Y209" s="471">
        <f t="shared" si="17"/>
        <v>0</v>
      </c>
    </row>
    <row r="210" spans="1:25">
      <c r="C210" s="384"/>
      <c r="D210" s="419"/>
      <c r="E210" s="420"/>
      <c r="F210" s="421"/>
      <c r="G210" s="421"/>
      <c r="H210" s="421"/>
      <c r="I210" s="421"/>
      <c r="J210" s="422"/>
      <c r="K210" s="421"/>
      <c r="L210" s="421"/>
      <c r="M210" s="421"/>
      <c r="N210" s="421"/>
      <c r="O210" s="421"/>
      <c r="P210" s="421"/>
      <c r="Q210" s="421"/>
      <c r="R210" s="422"/>
      <c r="S210" s="423"/>
    </row>
    <row r="211" spans="1:25">
      <c r="C211" s="396"/>
      <c r="D211" s="397"/>
      <c r="E211" s="424"/>
      <c r="F211" s="425"/>
      <c r="G211" s="425"/>
      <c r="H211" s="425"/>
      <c r="I211" s="425"/>
      <c r="J211" s="398"/>
      <c r="K211" s="425"/>
      <c r="L211" s="425"/>
      <c r="M211" s="397"/>
      <c r="N211" s="397"/>
      <c r="O211" s="562" t="s">
        <v>455</v>
      </c>
      <c r="P211" s="563"/>
      <c r="Q211" s="564"/>
      <c r="R211" s="426"/>
      <c r="S211" s="427">
        <f>ROUND(SUM(S167:S210),2)</f>
        <v>11</v>
      </c>
    </row>
    <row r="212" spans="1:25">
      <c r="C212" s="396"/>
      <c r="D212" s="397"/>
      <c r="E212" s="424"/>
      <c r="F212" s="425"/>
      <c r="G212" s="425"/>
      <c r="H212" s="425"/>
      <c r="I212" s="425"/>
      <c r="J212" s="398"/>
      <c r="K212" s="425"/>
      <c r="L212" s="425"/>
      <c r="M212" s="428"/>
      <c r="N212" s="428"/>
      <c r="O212" s="429"/>
      <c r="P212" s="425"/>
      <c r="Q212" s="425"/>
      <c r="R212" s="430"/>
      <c r="S212" s="431"/>
    </row>
    <row r="213" spans="1:25">
      <c r="C213" s="565" t="e">
        <v>#REF!</v>
      </c>
      <c r="D213" s="566"/>
      <c r="E213" s="566"/>
      <c r="F213" s="566"/>
      <c r="G213" s="566"/>
      <c r="H213" s="566"/>
      <c r="I213" s="566"/>
      <c r="J213" s="566"/>
      <c r="K213" s="566"/>
      <c r="L213" s="566"/>
      <c r="M213" s="566"/>
      <c r="N213" s="567"/>
      <c r="O213" s="568" t="s">
        <v>422</v>
      </c>
      <c r="P213" s="568"/>
      <c r="Q213" s="568"/>
      <c r="R213" s="426"/>
      <c r="S213" s="427">
        <f>S211</f>
        <v>11</v>
      </c>
    </row>
    <row r="214" spans="1:25">
      <c r="C214" s="396"/>
      <c r="D214" s="397"/>
      <c r="E214" s="424"/>
      <c r="F214" s="425"/>
      <c r="G214" s="425"/>
      <c r="H214" s="425"/>
      <c r="I214" s="425"/>
      <c r="J214" s="398"/>
      <c r="K214" s="425"/>
      <c r="L214" s="425"/>
      <c r="M214" s="428"/>
      <c r="N214" s="428"/>
      <c r="O214" s="429"/>
      <c r="P214" s="425"/>
      <c r="Q214" s="398"/>
      <c r="R214" s="398"/>
      <c r="S214" s="432"/>
    </row>
    <row r="215" spans="1:25">
      <c r="C215" s="396"/>
      <c r="D215" s="397"/>
      <c r="E215" s="424"/>
      <c r="F215" s="425"/>
      <c r="G215" s="425"/>
      <c r="H215" s="425"/>
      <c r="I215" s="425"/>
      <c r="J215" s="398"/>
      <c r="K215" s="425"/>
      <c r="L215" s="425"/>
      <c r="M215" s="428"/>
      <c r="N215" s="428"/>
      <c r="O215" s="429"/>
      <c r="P215" s="425"/>
      <c r="Q215" s="398"/>
      <c r="R215" s="398"/>
      <c r="S215" s="432"/>
    </row>
    <row r="216" spans="1:25">
      <c r="C216" s="569" t="s">
        <v>423</v>
      </c>
      <c r="D216" s="570"/>
      <c r="E216" s="570"/>
      <c r="F216" s="570"/>
      <c r="G216" s="570"/>
      <c r="H216" s="570"/>
      <c r="I216" s="570"/>
      <c r="J216" s="571"/>
      <c r="K216" s="433" t="s">
        <v>424</v>
      </c>
      <c r="L216" s="434"/>
      <c r="M216" s="434"/>
      <c r="N216" s="434"/>
      <c r="O216" s="434"/>
      <c r="P216" s="434"/>
      <c r="Q216" s="434"/>
      <c r="R216" s="434"/>
      <c r="S216" s="435"/>
    </row>
    <row r="217" spans="1:25">
      <c r="C217" s="542"/>
      <c r="D217" s="543"/>
      <c r="E217" s="543"/>
      <c r="F217" s="543"/>
      <c r="G217" s="436"/>
      <c r="H217" s="436"/>
      <c r="I217" s="436"/>
      <c r="J217" s="447"/>
      <c r="K217" s="436"/>
      <c r="L217" s="407"/>
      <c r="M217" s="407"/>
      <c r="N217" s="407"/>
      <c r="O217" s="407"/>
      <c r="P217" s="407"/>
      <c r="Q217" s="407"/>
      <c r="R217" s="407"/>
      <c r="S217" s="437"/>
    </row>
    <row r="218" spans="1:25">
      <c r="C218" s="542"/>
      <c r="D218" s="543"/>
      <c r="E218" s="543"/>
      <c r="F218" s="543"/>
      <c r="G218" s="436"/>
      <c r="H218" s="436"/>
      <c r="I218" s="436"/>
      <c r="J218" s="447"/>
      <c r="K218" s="436"/>
      <c r="L218" s="407"/>
      <c r="M218" s="407"/>
      <c r="N218" s="407"/>
      <c r="O218" s="407"/>
      <c r="P218" s="407"/>
      <c r="Q218" s="407"/>
      <c r="R218" s="407"/>
      <c r="S218" s="437"/>
    </row>
    <row r="219" spans="1:25">
      <c r="C219" s="542" t="s">
        <v>425</v>
      </c>
      <c r="D219" s="543"/>
      <c r="E219" s="543" t="s">
        <v>425</v>
      </c>
      <c r="F219" s="543"/>
      <c r="G219" s="543" t="s">
        <v>425</v>
      </c>
      <c r="H219" s="543"/>
      <c r="I219" s="543" t="s">
        <v>425</v>
      </c>
      <c r="J219" s="544"/>
      <c r="K219" s="545" t="s">
        <v>426</v>
      </c>
      <c r="L219" s="546"/>
      <c r="M219" s="546"/>
      <c r="N219" s="546"/>
      <c r="O219" s="546"/>
      <c r="P219" s="546"/>
      <c r="Q219" s="546"/>
      <c r="R219" s="546"/>
      <c r="S219" s="547"/>
    </row>
    <row r="220" spans="1:25">
      <c r="C220" s="548" t="str">
        <f>+[42]DATOS!D$8</f>
        <v>HELMER EDUARDO BECERRA SANTANDER</v>
      </c>
      <c r="D220" s="549"/>
      <c r="E220" s="549" t="s">
        <v>427</v>
      </c>
      <c r="F220" s="549"/>
      <c r="G220" s="549" t="s">
        <v>427</v>
      </c>
      <c r="H220" s="549"/>
      <c r="I220" s="549" t="s">
        <v>427</v>
      </c>
      <c r="J220" s="550"/>
      <c r="K220" s="551" t="str">
        <f>+[42]DATOS!D$11</f>
        <v>JESUS IVAN QUIÑONES RUEDA</v>
      </c>
      <c r="L220" s="549"/>
      <c r="M220" s="549"/>
      <c r="N220" s="549"/>
      <c r="O220" s="549"/>
      <c r="P220" s="549"/>
      <c r="Q220" s="549"/>
      <c r="R220" s="549"/>
      <c r="S220" s="552"/>
    </row>
    <row r="221" spans="1:25">
      <c r="C221" s="553" t="str">
        <f>+$C$72</f>
        <v>APOYO SEC. DE PLANEACION Y OBRAS PÚBLICAS</v>
      </c>
      <c r="D221" s="554"/>
      <c r="E221" s="554" t="s">
        <v>428</v>
      </c>
      <c r="F221" s="554"/>
      <c r="G221" s="554" t="s">
        <v>428</v>
      </c>
      <c r="H221" s="554"/>
      <c r="I221" s="554" t="s">
        <v>428</v>
      </c>
      <c r="J221" s="555"/>
      <c r="K221" s="556" t="str">
        <f>+$K$72</f>
        <v>SECRETARIO DE PLANEACION Y OBRAS PÚBLICAS</v>
      </c>
      <c r="L221" s="554"/>
      <c r="M221" s="554"/>
      <c r="N221" s="554"/>
      <c r="O221" s="554"/>
      <c r="P221" s="554"/>
      <c r="Q221" s="554"/>
      <c r="R221" s="554"/>
      <c r="S221" s="557"/>
    </row>
    <row r="222" spans="1:25">
      <c r="C222" s="406"/>
      <c r="D222" s="407"/>
      <c r="E222" s="407"/>
      <c r="F222" s="407"/>
      <c r="G222" s="407"/>
      <c r="H222" s="407"/>
      <c r="I222" s="407"/>
      <c r="J222" s="407"/>
      <c r="K222" s="407"/>
      <c r="L222" s="407"/>
      <c r="M222" s="407"/>
      <c r="N222" s="407"/>
      <c r="O222" s="407"/>
      <c r="P222" s="407"/>
      <c r="Q222" s="407"/>
      <c r="R222" s="407"/>
      <c r="S222" s="437"/>
    </row>
    <row r="223" spans="1:25" ht="111" customHeight="1" thickBot="1">
      <c r="C223" s="417"/>
      <c r="D223" s="418"/>
      <c r="E223" s="418"/>
      <c r="F223" s="418"/>
      <c r="G223" s="418"/>
      <c r="H223" s="418"/>
      <c r="I223" s="418"/>
      <c r="J223" s="418"/>
      <c r="K223" s="418"/>
      <c r="L223" s="418"/>
      <c r="M223" s="418"/>
      <c r="N223" s="418"/>
      <c r="O223" s="418"/>
      <c r="P223" s="418"/>
      <c r="Q223" s="418"/>
      <c r="R223" s="418"/>
      <c r="S223" s="438"/>
    </row>
    <row r="224" spans="1:25" ht="22.5" customHeight="1"/>
    <row r="225" spans="3:22" ht="13.5" thickBot="1"/>
    <row r="226" spans="3:22">
      <c r="C226" s="384"/>
      <c r="D226" s="385"/>
      <c r="E226" s="385"/>
      <c r="F226" s="385"/>
      <c r="G226" s="385"/>
      <c r="H226" s="385"/>
      <c r="I226" s="385"/>
      <c r="J226" s="445"/>
      <c r="K226" s="385"/>
      <c r="L226" s="385"/>
      <c r="M226" s="385"/>
      <c r="N226" s="385"/>
      <c r="O226" s="385"/>
      <c r="P226" s="385"/>
      <c r="Q226" s="385"/>
      <c r="R226" s="385"/>
      <c r="S226" s="386"/>
    </row>
    <row r="227" spans="3:22" ht="117" customHeight="1" thickBot="1">
      <c r="C227" s="387"/>
      <c r="D227" s="388"/>
      <c r="E227" s="388"/>
      <c r="F227" s="388"/>
      <c r="G227" s="388"/>
      <c r="H227" s="388"/>
      <c r="I227" s="388"/>
      <c r="J227" s="446"/>
      <c r="K227" s="388"/>
      <c r="L227" s="388"/>
      <c r="M227" s="388"/>
      <c r="N227" s="388"/>
      <c r="O227" s="388"/>
      <c r="P227" s="388"/>
      <c r="Q227" s="388"/>
      <c r="R227" s="388"/>
      <c r="S227" s="389"/>
    </row>
    <row r="228" spans="3:22">
      <c r="C228" s="592" t="str">
        <f>+[42]DATOS!C$7</f>
        <v>MEJORAMIENTO DE VIVIENDA CON ENFOQUE DIFERENCIAL PARA POBLACIÓN VULNERABLE EN EL MUNICIPIO DE CUBARÁ, BOYACÁ (2026).</v>
      </c>
      <c r="D228" s="593"/>
      <c r="E228" s="593"/>
      <c r="F228" s="593"/>
      <c r="G228" s="593"/>
      <c r="H228" s="593"/>
      <c r="I228" s="593"/>
      <c r="J228" s="593"/>
      <c r="K228" s="593"/>
      <c r="L228" s="593"/>
      <c r="M228" s="593"/>
      <c r="N228" s="593"/>
      <c r="O228" s="593"/>
      <c r="P228" s="593"/>
      <c r="Q228" s="593"/>
      <c r="R228" s="593"/>
      <c r="S228" s="594"/>
    </row>
    <row r="229" spans="3:22">
      <c r="C229" s="595"/>
      <c r="D229" s="596"/>
      <c r="E229" s="596"/>
      <c r="F229" s="596"/>
      <c r="G229" s="596"/>
      <c r="H229" s="596"/>
      <c r="I229" s="596"/>
      <c r="J229" s="596"/>
      <c r="K229" s="596"/>
      <c r="L229" s="596"/>
      <c r="M229" s="596"/>
      <c r="N229" s="596"/>
      <c r="O229" s="596"/>
      <c r="P229" s="596"/>
      <c r="Q229" s="596"/>
      <c r="R229" s="596"/>
      <c r="S229" s="597"/>
    </row>
    <row r="230" spans="3:22">
      <c r="C230" s="598" t="s">
        <v>371</v>
      </c>
      <c r="D230" s="599"/>
      <c r="E230" s="599"/>
      <c r="F230" s="599"/>
      <c r="G230" s="599"/>
      <c r="H230" s="599"/>
      <c r="I230" s="599"/>
      <c r="J230" s="599"/>
      <c r="K230" s="599"/>
      <c r="L230" s="599"/>
      <c r="M230" s="599"/>
      <c r="N230" s="599"/>
      <c r="O230" s="599"/>
      <c r="P230" s="599"/>
      <c r="Q230" s="599"/>
      <c r="R230" s="599"/>
      <c r="S230" s="600"/>
    </row>
    <row r="231" spans="3:22">
      <c r="C231" s="586" t="s">
        <v>372</v>
      </c>
      <c r="D231" s="587"/>
      <c r="E231" s="601" t="s">
        <v>373</v>
      </c>
      <c r="F231" s="601"/>
      <c r="G231" s="601"/>
      <c r="H231" s="601"/>
      <c r="I231" s="601"/>
      <c r="J231" s="601"/>
      <c r="K231" s="601"/>
      <c r="L231" s="601"/>
      <c r="M231" s="601"/>
      <c r="N231" s="601"/>
      <c r="O231" s="601"/>
      <c r="P231" s="601"/>
      <c r="Q231" s="601"/>
      <c r="R231" s="601"/>
      <c r="S231" s="602"/>
    </row>
    <row r="232" spans="3:22">
      <c r="C232" s="586" t="s">
        <v>374</v>
      </c>
      <c r="D232" s="587"/>
      <c r="E232" s="603" t="s">
        <v>375</v>
      </c>
      <c r="F232" s="604"/>
      <c r="G232" s="604"/>
      <c r="H232" s="604"/>
      <c r="I232" s="604"/>
      <c r="J232" s="604"/>
      <c r="K232" s="604"/>
      <c r="L232" s="604"/>
      <c r="M232" s="604"/>
      <c r="N232" s="604"/>
      <c r="O232" s="604"/>
      <c r="P232" s="604"/>
      <c r="Q232" s="604"/>
      <c r="R232" s="604"/>
      <c r="S232" s="605"/>
    </row>
    <row r="233" spans="3:22">
      <c r="C233" s="586" t="s">
        <v>376</v>
      </c>
      <c r="D233" s="587"/>
      <c r="E233" s="390">
        <f>+[42]DATOS!F$5</f>
        <v>46143</v>
      </c>
      <c r="F233" s="391"/>
      <c r="G233" s="391"/>
      <c r="H233" s="391"/>
      <c r="I233" s="391"/>
      <c r="J233" s="391"/>
      <c r="K233" s="568" t="s">
        <v>377</v>
      </c>
      <c r="L233" s="568"/>
      <c r="M233" s="588" t="s">
        <v>378</v>
      </c>
      <c r="N233" s="588"/>
      <c r="O233" s="588"/>
      <c r="P233" s="588"/>
      <c r="Q233" s="588"/>
      <c r="R233" s="588"/>
      <c r="S233" s="589"/>
    </row>
    <row r="234" spans="3:22" ht="25.5">
      <c r="C234" s="586" t="s">
        <v>379</v>
      </c>
      <c r="D234" s="587"/>
      <c r="E234" s="590" t="s">
        <v>380</v>
      </c>
      <c r="F234" s="591"/>
      <c r="G234" s="392">
        <f>+[42]DATOS!E$5</f>
        <v>2026</v>
      </c>
      <c r="H234" s="393" t="s">
        <v>381</v>
      </c>
      <c r="I234" s="394">
        <f>+[42]DATOS!E$5</f>
        <v>2026</v>
      </c>
      <c r="J234" s="395"/>
      <c r="K234" s="568" t="s">
        <v>382</v>
      </c>
      <c r="L234" s="568"/>
      <c r="M234" s="588" t="s">
        <v>383</v>
      </c>
      <c r="N234" s="588"/>
      <c r="O234" s="588"/>
      <c r="P234" s="588"/>
      <c r="Q234" s="588"/>
      <c r="R234" s="588"/>
      <c r="S234" s="589"/>
    </row>
    <row r="235" spans="3:22">
      <c r="C235" s="396"/>
      <c r="D235" s="397"/>
      <c r="E235" s="397"/>
      <c r="F235" s="398"/>
      <c r="G235" s="398"/>
      <c r="H235" s="398"/>
      <c r="I235" s="398"/>
      <c r="J235" s="398"/>
      <c r="K235" s="398"/>
      <c r="L235" s="398"/>
      <c r="M235" s="398"/>
      <c r="N235" s="398"/>
      <c r="O235" s="398"/>
      <c r="P235" s="398"/>
      <c r="Q235" s="398"/>
      <c r="R235" s="398"/>
      <c r="S235" s="399"/>
    </row>
    <row r="236" spans="3:22">
      <c r="C236" s="572" t="s">
        <v>384</v>
      </c>
      <c r="D236" s="573"/>
      <c r="E236" s="573"/>
      <c r="F236" s="573"/>
      <c r="G236" s="573"/>
      <c r="H236" s="573"/>
      <c r="I236" s="573"/>
      <c r="J236" s="573"/>
      <c r="K236" s="573"/>
      <c r="L236" s="573"/>
      <c r="M236" s="573"/>
      <c r="N236" s="573"/>
      <c r="O236" s="573"/>
      <c r="P236" s="573"/>
      <c r="Q236" s="573"/>
      <c r="R236" s="573"/>
      <c r="S236" s="574"/>
    </row>
    <row r="237" spans="3:22">
      <c r="C237" s="396"/>
      <c r="D237" s="397"/>
      <c r="E237" s="397"/>
      <c r="F237" s="398"/>
      <c r="G237" s="398"/>
      <c r="H237" s="398"/>
      <c r="I237" s="398"/>
      <c r="J237" s="398"/>
      <c r="K237" s="398"/>
      <c r="L237" s="398"/>
      <c r="M237" s="398"/>
      <c r="N237" s="398"/>
      <c r="O237" s="398"/>
      <c r="P237" s="398"/>
      <c r="Q237" s="398"/>
      <c r="R237" s="398"/>
      <c r="S237" s="399"/>
    </row>
    <row r="238" spans="3:22">
      <c r="C238" s="400" t="s">
        <v>385</v>
      </c>
      <c r="D238" s="575" t="s">
        <v>386</v>
      </c>
      <c r="E238" s="575"/>
      <c r="F238" s="576" t="s">
        <v>387</v>
      </c>
      <c r="G238" s="577"/>
      <c r="H238" s="577"/>
      <c r="I238" s="576" t="s">
        <v>388</v>
      </c>
      <c r="J238" s="576" t="s">
        <v>389</v>
      </c>
      <c r="K238" s="579"/>
      <c r="L238" s="581" t="s">
        <v>390</v>
      </c>
      <c r="M238" s="581"/>
      <c r="N238" s="581"/>
      <c r="O238" s="581"/>
      <c r="P238" s="581"/>
      <c r="Q238" s="581"/>
      <c r="R238" s="581" t="s">
        <v>391</v>
      </c>
      <c r="S238" s="582"/>
    </row>
    <row r="239" spans="3:22" ht="38.25">
      <c r="C239" s="403">
        <f>+'PRESUPUESTO OFICIAL '!C64</f>
        <v>5.04</v>
      </c>
      <c r="D239" s="583" t="str">
        <f>+VLOOKUP(C239,'PRESUPUESTO OFICIAL '!$C$11:$H$103,2)</f>
        <v>SUMINISTRO E INSTALACION DE PLAFON Y BOMBILLO DE 40W</v>
      </c>
      <c r="E239" s="584"/>
      <c r="F239" s="585" t="str">
        <f>+VLOOKUP(C239,'PRESUPUESTO OFICIAL '!$C$11:$H$103,3)</f>
        <v>UND</v>
      </c>
      <c r="G239" s="585"/>
      <c r="H239" s="585"/>
      <c r="I239" s="578"/>
      <c r="J239" s="578"/>
      <c r="K239" s="580"/>
      <c r="L239" s="401" t="s">
        <v>392</v>
      </c>
      <c r="M239" s="401" t="s">
        <v>393</v>
      </c>
      <c r="N239" s="401" t="s">
        <v>394</v>
      </c>
      <c r="O239" s="401" t="s">
        <v>395</v>
      </c>
      <c r="P239" s="401" t="s">
        <v>396</v>
      </c>
      <c r="Q239" s="401" t="s">
        <v>397</v>
      </c>
      <c r="R239" s="401" t="s">
        <v>398</v>
      </c>
      <c r="S239" s="402" t="s">
        <v>399</v>
      </c>
      <c r="U239" s="404">
        <f>+C239</f>
        <v>5.04</v>
      </c>
      <c r="V239" s="405">
        <f>+S287</f>
        <v>44</v>
      </c>
    </row>
    <row r="240" spans="3:22">
      <c r="C240" s="406"/>
      <c r="D240" s="407"/>
      <c r="E240" s="407"/>
      <c r="F240" s="407"/>
      <c r="G240" s="407"/>
      <c r="H240" s="407"/>
      <c r="I240" s="558"/>
      <c r="J240" s="559"/>
      <c r="K240" s="560"/>
      <c r="L240" s="560"/>
      <c r="M240" s="560"/>
      <c r="N240" s="560"/>
      <c r="O240" s="560"/>
      <c r="P240" s="560"/>
      <c r="Q240" s="560"/>
      <c r="R240" s="560"/>
      <c r="S240" s="561"/>
    </row>
    <row r="241" spans="1:39" ht="25.5">
      <c r="A241" s="383">
        <v>1</v>
      </c>
      <c r="C241" s="406"/>
      <c r="D241" s="407"/>
      <c r="E241" s="407"/>
      <c r="F241" s="407"/>
      <c r="G241" s="407"/>
      <c r="H241" s="407"/>
      <c r="I241" s="408" t="s">
        <v>400</v>
      </c>
      <c r="J241" s="409" t="str">
        <f t="shared" ref="J241:J283" si="22">+VLOOKUP(K241,$AH$22:$AJ$58,2,)</f>
        <v>UND= Cant de elementos</v>
      </c>
      <c r="K241" s="410" t="str">
        <f>+F239</f>
        <v>UND</v>
      </c>
      <c r="L241" s="411"/>
      <c r="M241" s="412"/>
      <c r="N241" s="442"/>
      <c r="O241" s="442"/>
      <c r="P241" s="413"/>
      <c r="Q241" s="451"/>
      <c r="R241" s="413">
        <f>+S241</f>
        <v>0</v>
      </c>
      <c r="S241" s="414">
        <f>+HLOOKUP(A241,[238]Hoja1!$2:$78,51,FALSE)</f>
        <v>0</v>
      </c>
      <c r="U241" s="453">
        <f>+S241</f>
        <v>0</v>
      </c>
      <c r="X241" s="458">
        <f t="shared" ref="X241:X262" si="23">+N241*O241</f>
        <v>0</v>
      </c>
    </row>
    <row r="242" spans="1:39" ht="25.5">
      <c r="A242" s="383">
        <v>2</v>
      </c>
      <c r="C242" s="406"/>
      <c r="D242" s="407"/>
      <c r="E242" s="407"/>
      <c r="F242" s="407"/>
      <c r="G242" s="407"/>
      <c r="H242" s="407"/>
      <c r="I242" s="408" t="s">
        <v>401</v>
      </c>
      <c r="J242" s="409" t="str">
        <f t="shared" si="22"/>
        <v>UND= Cant de elementos</v>
      </c>
      <c r="K242" s="410" t="str">
        <f>+K241</f>
        <v>UND</v>
      </c>
      <c r="L242" s="411"/>
      <c r="M242" s="412"/>
      <c r="N242" s="442"/>
      <c r="O242" s="442"/>
      <c r="P242" s="413"/>
      <c r="Q242" s="413"/>
      <c r="R242" s="413">
        <f t="shared" ref="R242:R283" si="24">+S242</f>
        <v>2</v>
      </c>
      <c r="S242" s="414">
        <f>+HLOOKUP(A242,[238]Hoja1!$2:$78,51,FALSE)</f>
        <v>2</v>
      </c>
      <c r="U242" s="453">
        <f t="shared" ref="U242:U305" si="25">+S242</f>
        <v>2</v>
      </c>
      <c r="X242" s="458">
        <f t="shared" si="23"/>
        <v>0</v>
      </c>
      <c r="Y242" s="471">
        <f t="shared" ref="Y242:Y262" si="26">+X242 -L242</f>
        <v>0</v>
      </c>
      <c r="AB242" s="439">
        <f>+N242*O242*P242</f>
        <v>0</v>
      </c>
    </row>
    <row r="243" spans="1:39" ht="25.5">
      <c r="A243" s="383">
        <v>3</v>
      </c>
      <c r="C243" s="406"/>
      <c r="D243" s="407"/>
      <c r="E243" s="407"/>
      <c r="F243" s="407"/>
      <c r="G243" s="407"/>
      <c r="H243" s="407"/>
      <c r="I243" s="408" t="s">
        <v>402</v>
      </c>
      <c r="J243" s="409" t="str">
        <f t="shared" si="22"/>
        <v>UND= Cant de elementos</v>
      </c>
      <c r="K243" s="410" t="str">
        <f>+K242</f>
        <v>UND</v>
      </c>
      <c r="L243" s="411"/>
      <c r="M243" s="412"/>
      <c r="N243" s="442"/>
      <c r="O243" s="442"/>
      <c r="P243" s="413"/>
      <c r="Q243" s="413"/>
      <c r="R243" s="413">
        <f t="shared" si="24"/>
        <v>2</v>
      </c>
      <c r="S243" s="414">
        <f>+HLOOKUP(A243,[238]Hoja1!$2:$78,51,FALSE)</f>
        <v>2</v>
      </c>
      <c r="U243" s="453">
        <f t="shared" si="25"/>
        <v>2</v>
      </c>
      <c r="X243" s="458">
        <f t="shared" si="23"/>
        <v>0</v>
      </c>
      <c r="Y243" s="471">
        <f t="shared" si="26"/>
        <v>0</v>
      </c>
    </row>
    <row r="244" spans="1:39" ht="25.5">
      <c r="A244" s="383">
        <v>4</v>
      </c>
      <c r="C244" s="406"/>
      <c r="D244" s="407"/>
      <c r="E244" s="407"/>
      <c r="F244" s="407"/>
      <c r="G244" s="407"/>
      <c r="H244" s="407"/>
      <c r="I244" s="408" t="s">
        <v>403</v>
      </c>
      <c r="J244" s="409" t="str">
        <f t="shared" si="22"/>
        <v>UND= Cant de elementos</v>
      </c>
      <c r="K244" s="410" t="str">
        <f>+K243</f>
        <v>UND</v>
      </c>
      <c r="L244" s="411"/>
      <c r="M244" s="412"/>
      <c r="N244" s="442"/>
      <c r="O244" s="442"/>
      <c r="P244" s="413"/>
      <c r="Q244" s="413"/>
      <c r="R244" s="413">
        <f t="shared" si="24"/>
        <v>2</v>
      </c>
      <c r="S244" s="414">
        <f>+HLOOKUP(A244,[238]Hoja1!$2:$78,51,FALSE)</f>
        <v>2</v>
      </c>
      <c r="U244" s="453">
        <f t="shared" si="25"/>
        <v>2</v>
      </c>
      <c r="X244" s="458">
        <f t="shared" si="23"/>
        <v>0</v>
      </c>
      <c r="Y244" s="471">
        <f t="shared" si="26"/>
        <v>0</v>
      </c>
      <c r="AK244" s="415" t="s">
        <v>162</v>
      </c>
      <c r="AL244" s="415" t="s">
        <v>404</v>
      </c>
      <c r="AM244" s="415"/>
    </row>
    <row r="245" spans="1:39" ht="25.5">
      <c r="A245" s="383">
        <v>5</v>
      </c>
      <c r="C245" s="406"/>
      <c r="D245" s="407"/>
      <c r="E245" s="407"/>
      <c r="F245" s="407"/>
      <c r="G245" s="407"/>
      <c r="H245" s="407"/>
      <c r="I245" s="408" t="s">
        <v>405</v>
      </c>
      <c r="J245" s="409" t="str">
        <f t="shared" si="22"/>
        <v>UND= Cant de elementos</v>
      </c>
      <c r="K245" s="410" t="str">
        <f>+K244</f>
        <v>UND</v>
      </c>
      <c r="L245" s="411"/>
      <c r="M245" s="412"/>
      <c r="N245" s="442"/>
      <c r="O245" s="442"/>
      <c r="P245" s="413"/>
      <c r="Q245" s="413"/>
      <c r="R245" s="413">
        <f t="shared" si="24"/>
        <v>2</v>
      </c>
      <c r="S245" s="414">
        <f>+HLOOKUP(A245,[238]Hoja1!$2:$78,51,FALSE)</f>
        <v>2</v>
      </c>
      <c r="U245" s="453">
        <f t="shared" si="25"/>
        <v>2</v>
      </c>
      <c r="X245" s="458">
        <f t="shared" si="23"/>
        <v>0</v>
      </c>
      <c r="Y245" s="471">
        <f t="shared" si="26"/>
        <v>0</v>
      </c>
      <c r="AH245" s="416" t="s">
        <v>162</v>
      </c>
      <c r="AI245" s="416" t="s">
        <v>404</v>
      </c>
      <c r="AK245" s="415" t="s">
        <v>49</v>
      </c>
      <c r="AL245" s="415" t="s">
        <v>406</v>
      </c>
      <c r="AM245" s="415"/>
    </row>
    <row r="246" spans="1:39" ht="25.5">
      <c r="A246" s="383">
        <v>6</v>
      </c>
      <c r="C246" s="406"/>
      <c r="D246" s="407"/>
      <c r="E246" s="407"/>
      <c r="F246" s="407"/>
      <c r="G246" s="407"/>
      <c r="H246" s="407"/>
      <c r="I246" s="408" t="s">
        <v>407</v>
      </c>
      <c r="J246" s="409" t="str">
        <f t="shared" si="22"/>
        <v>UND= Cant de elementos</v>
      </c>
      <c r="K246" s="410" t="str">
        <f>+K245</f>
        <v>UND</v>
      </c>
      <c r="L246" s="411"/>
      <c r="M246" s="412"/>
      <c r="N246" s="442"/>
      <c r="O246" s="442"/>
      <c r="P246" s="413"/>
      <c r="Q246" s="413"/>
      <c r="R246" s="413">
        <f t="shared" si="24"/>
        <v>1</v>
      </c>
      <c r="S246" s="414">
        <f>+HLOOKUP(A246,[238]Hoja1!$2:$78,51,FALSE)</f>
        <v>1</v>
      </c>
      <c r="U246" s="453">
        <f t="shared" si="25"/>
        <v>1</v>
      </c>
      <c r="X246" s="458">
        <f t="shared" si="23"/>
        <v>0</v>
      </c>
      <c r="Y246" s="471">
        <f t="shared" si="26"/>
        <v>0</v>
      </c>
      <c r="AH246" s="416" t="s">
        <v>49</v>
      </c>
      <c r="AI246" s="416" t="s">
        <v>406</v>
      </c>
      <c r="AK246" s="415" t="s">
        <v>173</v>
      </c>
      <c r="AL246" s="415" t="s">
        <v>408</v>
      </c>
      <c r="AM246" s="415"/>
    </row>
    <row r="247" spans="1:39" ht="25.5">
      <c r="A247" s="383">
        <v>7</v>
      </c>
      <c r="C247" s="406"/>
      <c r="D247" s="407"/>
      <c r="E247" s="407"/>
      <c r="F247" s="407"/>
      <c r="G247" s="407"/>
      <c r="H247" s="407"/>
      <c r="I247" s="408" t="s">
        <v>409</v>
      </c>
      <c r="J247" s="409" t="str">
        <f t="shared" si="22"/>
        <v>UND= Cant de elementos</v>
      </c>
      <c r="K247" s="410" t="str">
        <f>+K241</f>
        <v>UND</v>
      </c>
      <c r="L247" s="411"/>
      <c r="M247" s="412"/>
      <c r="N247" s="442"/>
      <c r="O247" s="442"/>
      <c r="P247" s="413"/>
      <c r="Q247" s="451"/>
      <c r="R247" s="413">
        <f t="shared" si="24"/>
        <v>0</v>
      </c>
      <c r="S247" s="414">
        <f>+HLOOKUP(A247,[238]Hoja1!$2:$78,51,FALSE)</f>
        <v>0</v>
      </c>
      <c r="U247" s="453">
        <f t="shared" si="25"/>
        <v>0</v>
      </c>
      <c r="X247" s="458">
        <f t="shared" si="23"/>
        <v>0</v>
      </c>
      <c r="Y247" s="471">
        <f t="shared" si="26"/>
        <v>0</v>
      </c>
      <c r="AH247" s="383" t="s">
        <v>173</v>
      </c>
      <c r="AI247" s="383" t="s">
        <v>408</v>
      </c>
      <c r="AK247" s="415" t="s">
        <v>156</v>
      </c>
      <c r="AL247" s="415" t="s">
        <v>410</v>
      </c>
      <c r="AM247" s="415"/>
    </row>
    <row r="248" spans="1:39" ht="25.5">
      <c r="A248" s="383">
        <v>8</v>
      </c>
      <c r="C248" s="406"/>
      <c r="D248" s="407"/>
      <c r="E248" s="407"/>
      <c r="F248" s="407"/>
      <c r="G248" s="407"/>
      <c r="H248" s="407"/>
      <c r="I248" s="408" t="s">
        <v>411</v>
      </c>
      <c r="J248" s="409" t="str">
        <f t="shared" si="22"/>
        <v>UND= Cant de elementos</v>
      </c>
      <c r="K248" s="410" t="str">
        <f>+K247</f>
        <v>UND</v>
      </c>
      <c r="L248" s="411"/>
      <c r="M248" s="412"/>
      <c r="N248" s="442"/>
      <c r="O248" s="442"/>
      <c r="P248" s="413"/>
      <c r="Q248" s="413"/>
      <c r="R248" s="413">
        <f t="shared" si="24"/>
        <v>1</v>
      </c>
      <c r="S248" s="414">
        <f>+HLOOKUP(A248,[238]Hoja1!$2:$78,51,FALSE)</f>
        <v>1</v>
      </c>
      <c r="U248" s="453">
        <f t="shared" si="25"/>
        <v>1</v>
      </c>
      <c r="X248" s="458">
        <f t="shared" si="23"/>
        <v>0</v>
      </c>
      <c r="Y248" s="471">
        <f t="shared" si="26"/>
        <v>0</v>
      </c>
      <c r="AH248" s="383" t="s">
        <v>156</v>
      </c>
      <c r="AI248" s="383" t="s">
        <v>410</v>
      </c>
    </row>
    <row r="249" spans="1:39" ht="25.5">
      <c r="A249" s="383">
        <v>9</v>
      </c>
      <c r="C249" s="406"/>
      <c r="D249" s="407"/>
      <c r="E249" s="407"/>
      <c r="F249" s="407"/>
      <c r="G249" s="407"/>
      <c r="H249" s="407"/>
      <c r="I249" s="408" t="s">
        <v>412</v>
      </c>
      <c r="J249" s="409" t="str">
        <f t="shared" si="22"/>
        <v>UND= Cant de elementos</v>
      </c>
      <c r="K249" s="410" t="str">
        <f>+K248</f>
        <v>UND</v>
      </c>
      <c r="L249" s="411"/>
      <c r="M249" s="412"/>
      <c r="N249" s="442"/>
      <c r="O249" s="442"/>
      <c r="P249" s="412"/>
      <c r="Q249" s="413"/>
      <c r="R249" s="413">
        <f t="shared" si="24"/>
        <v>2</v>
      </c>
      <c r="S249" s="414">
        <f>+HLOOKUP(A249,[238]Hoja1!$2:$78,51,FALSE)</f>
        <v>2</v>
      </c>
      <c r="U249" s="453">
        <f t="shared" si="25"/>
        <v>2</v>
      </c>
      <c r="X249" s="458">
        <f t="shared" si="23"/>
        <v>0</v>
      </c>
      <c r="Y249" s="471">
        <f t="shared" si="26"/>
        <v>0</v>
      </c>
    </row>
    <row r="250" spans="1:39" ht="25.5">
      <c r="A250" s="383">
        <v>10</v>
      </c>
      <c r="C250" s="406"/>
      <c r="D250" s="407"/>
      <c r="E250" s="407"/>
      <c r="F250" s="407"/>
      <c r="G250" s="407"/>
      <c r="H250" s="407"/>
      <c r="I250" s="408" t="s">
        <v>413</v>
      </c>
      <c r="J250" s="409" t="str">
        <f t="shared" si="22"/>
        <v>UND= Cant de elementos</v>
      </c>
      <c r="K250" s="410" t="str">
        <f>+K249</f>
        <v>UND</v>
      </c>
      <c r="L250" s="411"/>
      <c r="M250" s="412"/>
      <c r="N250" s="441"/>
      <c r="O250" s="441"/>
      <c r="P250" s="412"/>
      <c r="Q250" s="413"/>
      <c r="R250" s="413">
        <f t="shared" si="24"/>
        <v>0</v>
      </c>
      <c r="S250" s="414">
        <f>+HLOOKUP(A250,[238]Hoja1!$2:$78,51,FALSE)</f>
        <v>0</v>
      </c>
      <c r="U250" s="453">
        <f t="shared" si="25"/>
        <v>0</v>
      </c>
      <c r="X250" s="458">
        <f t="shared" si="23"/>
        <v>0</v>
      </c>
      <c r="Y250" s="471">
        <f t="shared" si="26"/>
        <v>0</v>
      </c>
    </row>
    <row r="251" spans="1:39" ht="25.5">
      <c r="A251" s="383">
        <v>11</v>
      </c>
      <c r="C251" s="406"/>
      <c r="D251" s="407"/>
      <c r="E251" s="407"/>
      <c r="F251" s="407"/>
      <c r="G251" s="407"/>
      <c r="H251" s="407"/>
      <c r="I251" s="408" t="s">
        <v>414</v>
      </c>
      <c r="J251" s="409" t="str">
        <f t="shared" si="22"/>
        <v>UND= Cant de elementos</v>
      </c>
      <c r="K251" s="410" t="str">
        <f>+K250</f>
        <v>UND</v>
      </c>
      <c r="L251" s="411"/>
      <c r="M251" s="412"/>
      <c r="N251" s="443"/>
      <c r="O251" s="443"/>
      <c r="P251" s="412"/>
      <c r="Q251" s="413"/>
      <c r="R251" s="413">
        <f t="shared" si="24"/>
        <v>10</v>
      </c>
      <c r="S251" s="414">
        <f>+HLOOKUP(A251,[238]Hoja1!$2:$78,51,FALSE)</f>
        <v>10</v>
      </c>
      <c r="U251" s="453">
        <f t="shared" si="25"/>
        <v>10</v>
      </c>
      <c r="X251" s="458">
        <f t="shared" si="23"/>
        <v>0</v>
      </c>
      <c r="Y251" s="471">
        <f t="shared" si="26"/>
        <v>0</v>
      </c>
    </row>
    <row r="252" spans="1:39" ht="25.5">
      <c r="A252" s="383">
        <v>12</v>
      </c>
      <c r="C252" s="406"/>
      <c r="D252" s="407"/>
      <c r="E252" s="407"/>
      <c r="F252" s="407"/>
      <c r="G252" s="407"/>
      <c r="H252" s="407"/>
      <c r="I252" s="408" t="s">
        <v>415</v>
      </c>
      <c r="J252" s="409" t="str">
        <f t="shared" si="22"/>
        <v>UND= Cant de elementos</v>
      </c>
      <c r="K252" s="410" t="str">
        <f>+K246</f>
        <v>UND</v>
      </c>
      <c r="L252" s="411"/>
      <c r="M252" s="412"/>
      <c r="N252" s="442"/>
      <c r="O252" s="442"/>
      <c r="P252" s="413"/>
      <c r="Q252" s="413"/>
      <c r="R252" s="413">
        <f t="shared" si="24"/>
        <v>0</v>
      </c>
      <c r="S252" s="414">
        <f>+HLOOKUP(A252,[238]Hoja1!$2:$78,51,FALSE)</f>
        <v>0</v>
      </c>
      <c r="U252" s="453">
        <f t="shared" si="25"/>
        <v>0</v>
      </c>
      <c r="X252" s="458">
        <f t="shared" si="23"/>
        <v>0</v>
      </c>
      <c r="Y252" s="471">
        <f t="shared" si="26"/>
        <v>0</v>
      </c>
      <c r="AH252" s="383" t="s">
        <v>173</v>
      </c>
      <c r="AI252" s="383" t="s">
        <v>408</v>
      </c>
      <c r="AK252" s="415" t="s">
        <v>156</v>
      </c>
      <c r="AL252" s="415" t="s">
        <v>410</v>
      </c>
      <c r="AM252" s="415"/>
    </row>
    <row r="253" spans="1:39" ht="25.5">
      <c r="A253" s="383">
        <v>13</v>
      </c>
      <c r="C253" s="406"/>
      <c r="D253" s="407"/>
      <c r="E253" s="407"/>
      <c r="F253" s="407"/>
      <c r="G253" s="407"/>
      <c r="H253" s="407"/>
      <c r="I253" s="408" t="s">
        <v>416</v>
      </c>
      <c r="J253" s="409" t="str">
        <f t="shared" si="22"/>
        <v>UND= Cant de elementos</v>
      </c>
      <c r="K253" s="410" t="str">
        <f>+K248</f>
        <v>UND</v>
      </c>
      <c r="L253" s="411"/>
      <c r="M253" s="412"/>
      <c r="N253" s="442"/>
      <c r="O253" s="442"/>
      <c r="P253" s="413"/>
      <c r="Q253" s="413"/>
      <c r="R253" s="413">
        <f t="shared" si="24"/>
        <v>0</v>
      </c>
      <c r="S253" s="414">
        <f>+HLOOKUP(A253,[238]Hoja1!$2:$78,51,FALSE)</f>
        <v>0</v>
      </c>
      <c r="U253" s="453">
        <f t="shared" si="25"/>
        <v>0</v>
      </c>
      <c r="X253" s="458">
        <f t="shared" si="23"/>
        <v>0</v>
      </c>
      <c r="Y253" s="471">
        <f t="shared" si="26"/>
        <v>0</v>
      </c>
      <c r="AH253" s="383" t="s">
        <v>156</v>
      </c>
      <c r="AI253" s="383" t="s">
        <v>410</v>
      </c>
    </row>
    <row r="254" spans="1:39" ht="25.5">
      <c r="A254" s="383">
        <v>14</v>
      </c>
      <c r="C254" s="406"/>
      <c r="D254" s="407"/>
      <c r="E254" s="407"/>
      <c r="F254" s="407"/>
      <c r="G254" s="407"/>
      <c r="H254" s="407"/>
      <c r="I254" s="408" t="s">
        <v>417</v>
      </c>
      <c r="J254" s="409" t="str">
        <f t="shared" si="22"/>
        <v>UND= Cant de elementos</v>
      </c>
      <c r="K254" s="410" t="str">
        <f>+K253</f>
        <v>UND</v>
      </c>
      <c r="L254" s="411"/>
      <c r="M254" s="412"/>
      <c r="N254" s="442"/>
      <c r="O254" s="442"/>
      <c r="P254" s="412"/>
      <c r="Q254" s="413"/>
      <c r="R254" s="413">
        <f t="shared" si="24"/>
        <v>2</v>
      </c>
      <c r="S254" s="414">
        <f>+HLOOKUP(A254,[238]Hoja1!$2:$78,51,FALSE)</f>
        <v>2</v>
      </c>
      <c r="U254" s="453">
        <f t="shared" si="25"/>
        <v>2</v>
      </c>
      <c r="X254" s="458">
        <f t="shared" si="23"/>
        <v>0</v>
      </c>
      <c r="Y254" s="471">
        <f t="shared" si="26"/>
        <v>0</v>
      </c>
    </row>
    <row r="255" spans="1:39" ht="25.5">
      <c r="A255" s="383">
        <v>15</v>
      </c>
      <c r="C255" s="406"/>
      <c r="D255" s="407"/>
      <c r="E255" s="407"/>
      <c r="F255" s="407"/>
      <c r="G255" s="407"/>
      <c r="H255" s="407"/>
      <c r="I255" s="408" t="s">
        <v>418</v>
      </c>
      <c r="J255" s="409" t="str">
        <f t="shared" si="22"/>
        <v>UND= Cant de elementos</v>
      </c>
      <c r="K255" s="410" t="str">
        <f>+K254</f>
        <v>UND</v>
      </c>
      <c r="L255" s="411"/>
      <c r="M255" s="412"/>
      <c r="N255" s="442"/>
      <c r="O255" s="442"/>
      <c r="P255" s="413"/>
      <c r="Q255" s="451"/>
      <c r="R255" s="413">
        <f t="shared" si="24"/>
        <v>0</v>
      </c>
      <c r="S255" s="414">
        <f>+HLOOKUP(A255,[238]Hoja1!$2:$78,51,FALSE)</f>
        <v>0</v>
      </c>
      <c r="U255" s="453">
        <f t="shared" si="25"/>
        <v>0</v>
      </c>
      <c r="X255" s="458">
        <f t="shared" si="23"/>
        <v>0</v>
      </c>
      <c r="Y255" s="471">
        <f t="shared" si="26"/>
        <v>0</v>
      </c>
    </row>
    <row r="256" spans="1:39" ht="25.5">
      <c r="A256" s="383">
        <v>16</v>
      </c>
      <c r="C256" s="406"/>
      <c r="D256" s="407"/>
      <c r="E256" s="407"/>
      <c r="F256" s="407"/>
      <c r="G256" s="407"/>
      <c r="H256" s="407"/>
      <c r="I256" s="408" t="s">
        <v>419</v>
      </c>
      <c r="J256" s="409" t="str">
        <f t="shared" si="22"/>
        <v>UND= Cant de elementos</v>
      </c>
      <c r="K256" s="410" t="str">
        <f>+K255</f>
        <v>UND</v>
      </c>
      <c r="L256" s="411"/>
      <c r="M256" s="412"/>
      <c r="N256" s="442"/>
      <c r="O256" s="442"/>
      <c r="P256" s="412"/>
      <c r="Q256" s="413"/>
      <c r="R256" s="413">
        <f t="shared" si="24"/>
        <v>1</v>
      </c>
      <c r="S256" s="414">
        <f>+HLOOKUP(A256,[238]Hoja1!$2:$78,51,FALSE)</f>
        <v>1</v>
      </c>
      <c r="U256" s="453">
        <f t="shared" si="25"/>
        <v>1</v>
      </c>
      <c r="X256" s="458">
        <f t="shared" si="23"/>
        <v>0</v>
      </c>
      <c r="Y256" s="471">
        <f t="shared" si="26"/>
        <v>0</v>
      </c>
    </row>
    <row r="257" spans="1:35" ht="25.5">
      <c r="A257" s="383">
        <v>17</v>
      </c>
      <c r="C257" s="406"/>
      <c r="D257" s="407"/>
      <c r="E257" s="407"/>
      <c r="F257" s="407"/>
      <c r="G257" s="407"/>
      <c r="H257" s="407"/>
      <c r="I257" s="408" t="s">
        <v>420</v>
      </c>
      <c r="J257" s="409" t="str">
        <f t="shared" si="22"/>
        <v>UND= Cant de elementos</v>
      </c>
      <c r="K257" s="410" t="str">
        <f>+K256</f>
        <v>UND</v>
      </c>
      <c r="L257" s="411"/>
      <c r="M257" s="412"/>
      <c r="N257" s="442"/>
      <c r="O257" s="442"/>
      <c r="P257" s="412"/>
      <c r="Q257" s="413"/>
      <c r="R257" s="413">
        <f t="shared" si="24"/>
        <v>0</v>
      </c>
      <c r="S257" s="414">
        <f>+HLOOKUP(A257,[238]Hoja1!$2:$78,51,FALSE)</f>
        <v>0</v>
      </c>
      <c r="U257" s="453">
        <f t="shared" si="25"/>
        <v>0</v>
      </c>
      <c r="X257" s="458">
        <f t="shared" si="23"/>
        <v>0</v>
      </c>
      <c r="Y257" s="471">
        <f t="shared" si="26"/>
        <v>0</v>
      </c>
    </row>
    <row r="258" spans="1:35" ht="25.5">
      <c r="A258" s="383">
        <v>18</v>
      </c>
      <c r="C258" s="406"/>
      <c r="D258" s="407"/>
      <c r="E258" s="407"/>
      <c r="F258" s="407"/>
      <c r="G258" s="407"/>
      <c r="H258" s="407"/>
      <c r="I258" s="408" t="s">
        <v>429</v>
      </c>
      <c r="J258" s="409" t="str">
        <f t="shared" si="22"/>
        <v>UND= Cant de elementos</v>
      </c>
      <c r="K258" s="410" t="str">
        <f>+K257</f>
        <v>UND</v>
      </c>
      <c r="L258" s="411"/>
      <c r="M258" s="412"/>
      <c r="N258" s="442"/>
      <c r="O258" s="442"/>
      <c r="P258" s="412"/>
      <c r="Q258" s="413"/>
      <c r="R258" s="413">
        <f t="shared" si="24"/>
        <v>1</v>
      </c>
      <c r="S258" s="414">
        <f>+HLOOKUP(A258,[238]Hoja1!$2:$78,51,FALSE)</f>
        <v>1</v>
      </c>
      <c r="U258" s="453">
        <f t="shared" si="25"/>
        <v>1</v>
      </c>
      <c r="X258" s="458">
        <f t="shared" si="23"/>
        <v>0</v>
      </c>
      <c r="Y258" s="471">
        <f t="shared" si="26"/>
        <v>0</v>
      </c>
    </row>
    <row r="259" spans="1:35" ht="25.5">
      <c r="A259" s="383">
        <v>19</v>
      </c>
      <c r="C259" s="406"/>
      <c r="D259" s="407"/>
      <c r="E259" s="407"/>
      <c r="F259" s="407"/>
      <c r="G259" s="407"/>
      <c r="H259" s="407"/>
      <c r="I259" s="408" t="s">
        <v>430</v>
      </c>
      <c r="J259" s="409" t="str">
        <f t="shared" si="22"/>
        <v>UND= Cant de elementos</v>
      </c>
      <c r="K259" s="410" t="str">
        <f t="shared" ref="K259:K283" si="27">+K258</f>
        <v>UND</v>
      </c>
      <c r="L259" s="411"/>
      <c r="M259" s="412"/>
      <c r="N259" s="442"/>
      <c r="O259" s="442"/>
      <c r="P259" s="412"/>
      <c r="Q259" s="413"/>
      <c r="R259" s="413">
        <f t="shared" si="24"/>
        <v>2</v>
      </c>
      <c r="S259" s="414">
        <f>+HLOOKUP(A259,[238]Hoja1!$2:$78,51,FALSE)</f>
        <v>2</v>
      </c>
      <c r="U259" s="453">
        <f t="shared" si="25"/>
        <v>2</v>
      </c>
      <c r="X259" s="458">
        <f t="shared" si="23"/>
        <v>0</v>
      </c>
      <c r="Y259" s="471">
        <f t="shared" si="26"/>
        <v>0</v>
      </c>
    </row>
    <row r="260" spans="1:35" ht="25.5">
      <c r="A260" s="383">
        <v>20</v>
      </c>
      <c r="C260" s="406"/>
      <c r="D260" s="407"/>
      <c r="E260" s="407"/>
      <c r="F260" s="407"/>
      <c r="G260" s="407"/>
      <c r="H260" s="407"/>
      <c r="I260" s="408" t="s">
        <v>431</v>
      </c>
      <c r="J260" s="409" t="str">
        <f t="shared" si="22"/>
        <v>UND= Cant de elementos</v>
      </c>
      <c r="K260" s="410" t="str">
        <f t="shared" si="27"/>
        <v>UND</v>
      </c>
      <c r="L260" s="411"/>
      <c r="M260" s="412"/>
      <c r="N260" s="442"/>
      <c r="O260" s="442"/>
      <c r="P260" s="412"/>
      <c r="Q260" s="413"/>
      <c r="R260" s="413">
        <f t="shared" si="24"/>
        <v>1</v>
      </c>
      <c r="S260" s="414">
        <f>+HLOOKUP(A260,[238]Hoja1!$2:$78,51,FALSE)</f>
        <v>1</v>
      </c>
      <c r="U260" s="453">
        <f t="shared" si="25"/>
        <v>1</v>
      </c>
      <c r="X260" s="458">
        <f t="shared" si="23"/>
        <v>0</v>
      </c>
      <c r="Y260" s="471">
        <f t="shared" si="26"/>
        <v>0</v>
      </c>
    </row>
    <row r="261" spans="1:35" ht="25.5">
      <c r="A261" s="383">
        <v>21</v>
      </c>
      <c r="C261" s="406"/>
      <c r="D261" s="407"/>
      <c r="E261" s="407"/>
      <c r="F261" s="407"/>
      <c r="G261" s="407"/>
      <c r="H261" s="407"/>
      <c r="I261" s="408" t="s">
        <v>432</v>
      </c>
      <c r="J261" s="409" t="str">
        <f t="shared" si="22"/>
        <v>UND= Cant de elementos</v>
      </c>
      <c r="K261" s="410" t="str">
        <f t="shared" si="27"/>
        <v>UND</v>
      </c>
      <c r="L261" s="411"/>
      <c r="M261" s="412"/>
      <c r="N261" s="442"/>
      <c r="O261" s="442"/>
      <c r="P261" s="449"/>
      <c r="Q261" s="413"/>
      <c r="R261" s="413">
        <f t="shared" si="24"/>
        <v>0</v>
      </c>
      <c r="S261" s="414">
        <f>+HLOOKUP(A261,[238]Hoja1!$2:$78,51,FALSE)</f>
        <v>0</v>
      </c>
      <c r="U261" s="453">
        <f t="shared" si="25"/>
        <v>0</v>
      </c>
      <c r="X261" s="458">
        <f t="shared" si="23"/>
        <v>0</v>
      </c>
      <c r="Y261" s="471">
        <f t="shared" si="26"/>
        <v>0</v>
      </c>
    </row>
    <row r="262" spans="1:35" ht="25.5">
      <c r="A262" s="383">
        <v>22</v>
      </c>
      <c r="C262" s="406"/>
      <c r="D262" s="407"/>
      <c r="E262" s="407"/>
      <c r="F262" s="407"/>
      <c r="G262" s="407"/>
      <c r="H262" s="407"/>
      <c r="I262" s="408" t="s">
        <v>433</v>
      </c>
      <c r="J262" s="409" t="str">
        <f t="shared" si="22"/>
        <v>UND= Cant de elementos</v>
      </c>
      <c r="K262" s="410" t="str">
        <f t="shared" si="27"/>
        <v>UND</v>
      </c>
      <c r="L262" s="411"/>
      <c r="M262" s="412"/>
      <c r="N262" s="442"/>
      <c r="O262" s="442"/>
      <c r="P262" s="412"/>
      <c r="Q262" s="413"/>
      <c r="R262" s="413">
        <f t="shared" si="24"/>
        <v>2</v>
      </c>
      <c r="S262" s="414">
        <f>+HLOOKUP(A262,[238]Hoja1!$2:$78,51,FALSE)</f>
        <v>2</v>
      </c>
      <c r="U262" s="453">
        <f t="shared" si="25"/>
        <v>2</v>
      </c>
      <c r="X262" s="458">
        <f t="shared" si="23"/>
        <v>0</v>
      </c>
      <c r="Y262" s="471">
        <f t="shared" si="26"/>
        <v>0</v>
      </c>
    </row>
    <row r="263" spans="1:35" ht="25.5">
      <c r="A263" s="383">
        <v>23</v>
      </c>
      <c r="C263" s="406"/>
      <c r="D263" s="407"/>
      <c r="E263" s="407"/>
      <c r="F263" s="407"/>
      <c r="G263" s="407"/>
      <c r="H263" s="407"/>
      <c r="I263" s="408" t="s">
        <v>434</v>
      </c>
      <c r="J263" s="409" t="str">
        <f t="shared" si="22"/>
        <v>UND= Cant de elementos</v>
      </c>
      <c r="K263" s="410" t="str">
        <f t="shared" si="27"/>
        <v>UND</v>
      </c>
      <c r="L263" s="411"/>
      <c r="M263" s="412"/>
      <c r="N263" s="441"/>
      <c r="O263" s="441"/>
      <c r="P263" s="412"/>
      <c r="Q263" s="413"/>
      <c r="R263" s="413">
        <f t="shared" si="24"/>
        <v>0</v>
      </c>
      <c r="S263" s="414">
        <f>+HLOOKUP(A263,[238]Hoja1!$2:$78,51,FALSE)</f>
        <v>0</v>
      </c>
      <c r="U263" s="453">
        <f t="shared" si="25"/>
        <v>0</v>
      </c>
      <c r="X263" s="458">
        <f>+N263*O263</f>
        <v>0</v>
      </c>
      <c r="Y263" s="471">
        <f>+X263 -L263</f>
        <v>0</v>
      </c>
    </row>
    <row r="264" spans="1:35" ht="25.5">
      <c r="A264" s="383">
        <v>24</v>
      </c>
      <c r="C264" s="406"/>
      <c r="D264" s="407"/>
      <c r="E264" s="407"/>
      <c r="F264" s="407"/>
      <c r="G264" s="407"/>
      <c r="H264" s="407"/>
      <c r="I264" s="408" t="s">
        <v>435</v>
      </c>
      <c r="J264" s="409" t="str">
        <f t="shared" si="22"/>
        <v>UND= Cant de elementos</v>
      </c>
      <c r="K264" s="410" t="str">
        <f t="shared" si="27"/>
        <v>UND</v>
      </c>
      <c r="L264" s="411"/>
      <c r="M264" s="412"/>
      <c r="N264" s="442"/>
      <c r="O264" s="442"/>
      <c r="P264" s="413"/>
      <c r="Q264" s="413"/>
      <c r="R264" s="413">
        <f t="shared" si="24"/>
        <v>1</v>
      </c>
      <c r="S264" s="414">
        <f>+HLOOKUP(A264,[238]Hoja1!$2:$78,51,FALSE)</f>
        <v>1</v>
      </c>
      <c r="U264" s="453">
        <f t="shared" si="25"/>
        <v>1</v>
      </c>
      <c r="X264" s="458">
        <f>+N264*O264</f>
        <v>0</v>
      </c>
      <c r="Y264" s="471">
        <f>+X264 -L264</f>
        <v>0</v>
      </c>
      <c r="AH264" s="383" t="s">
        <v>156</v>
      </c>
      <c r="AI264" s="383" t="s">
        <v>410</v>
      </c>
    </row>
    <row r="265" spans="1:35" ht="25.5">
      <c r="A265" s="383">
        <v>25</v>
      </c>
      <c r="C265" s="406"/>
      <c r="D265" s="407"/>
      <c r="E265" s="407"/>
      <c r="F265" s="407"/>
      <c r="G265" s="407"/>
      <c r="H265" s="407"/>
      <c r="I265" s="408" t="s">
        <v>436</v>
      </c>
      <c r="J265" s="409" t="str">
        <f t="shared" si="22"/>
        <v>UND= Cant de elementos</v>
      </c>
      <c r="K265" s="410" t="str">
        <f t="shared" si="27"/>
        <v>UND</v>
      </c>
      <c r="L265" s="411"/>
      <c r="M265" s="412"/>
      <c r="N265" s="442"/>
      <c r="O265" s="442"/>
      <c r="P265" s="412"/>
      <c r="Q265" s="413"/>
      <c r="R265" s="413">
        <f t="shared" si="24"/>
        <v>2</v>
      </c>
      <c r="S265" s="414">
        <f>+HLOOKUP(A265,[238]Hoja1!$2:$78,51,FALSE)</f>
        <v>2</v>
      </c>
      <c r="U265" s="453">
        <f t="shared" si="25"/>
        <v>2</v>
      </c>
      <c r="X265" s="458">
        <f>+N265*O265</f>
        <v>0</v>
      </c>
      <c r="Y265" s="471">
        <f>+X265 -L265</f>
        <v>0</v>
      </c>
    </row>
    <row r="266" spans="1:35" ht="25.5">
      <c r="A266" s="383">
        <v>26</v>
      </c>
      <c r="C266" s="406"/>
      <c r="D266" s="407"/>
      <c r="E266" s="407"/>
      <c r="F266" s="407"/>
      <c r="G266" s="407"/>
      <c r="H266" s="407"/>
      <c r="I266" s="408" t="s">
        <v>437</v>
      </c>
      <c r="J266" s="409" t="str">
        <f t="shared" si="22"/>
        <v>UND= Cant de elementos</v>
      </c>
      <c r="K266" s="410" t="str">
        <f>+K255</f>
        <v>UND</v>
      </c>
      <c r="L266" s="411"/>
      <c r="M266" s="412"/>
      <c r="N266" s="442"/>
      <c r="O266" s="442"/>
      <c r="P266" s="412"/>
      <c r="Q266" s="413"/>
      <c r="R266" s="413">
        <f t="shared" si="24"/>
        <v>0</v>
      </c>
      <c r="S266" s="414">
        <f>+HLOOKUP(A266,[238]Hoja1!$2:$78,51,FALSE)</f>
        <v>0</v>
      </c>
      <c r="U266" s="453">
        <f t="shared" si="25"/>
        <v>0</v>
      </c>
      <c r="X266" s="458">
        <f t="shared" ref="X266:X283" si="28">+N266*O266</f>
        <v>0</v>
      </c>
      <c r="Y266" s="471">
        <f t="shared" ref="Y266:Y283" si="29">+X266 -L266</f>
        <v>0</v>
      </c>
    </row>
    <row r="267" spans="1:35" ht="25.5">
      <c r="A267" s="383">
        <v>27</v>
      </c>
      <c r="C267" s="406"/>
      <c r="D267" s="407"/>
      <c r="E267" s="407"/>
      <c r="F267" s="407"/>
      <c r="G267" s="407"/>
      <c r="H267" s="407"/>
      <c r="I267" s="408" t="s">
        <v>438</v>
      </c>
      <c r="J267" s="409" t="str">
        <f t="shared" si="22"/>
        <v>UND= Cant de elementos</v>
      </c>
      <c r="K267" s="410" t="str">
        <f t="shared" ref="K267:K275" si="30">+K266</f>
        <v>UND</v>
      </c>
      <c r="L267" s="411"/>
      <c r="M267" s="412"/>
      <c r="N267" s="442"/>
      <c r="O267" s="442"/>
      <c r="P267" s="412"/>
      <c r="Q267" s="413"/>
      <c r="R267" s="413">
        <f t="shared" si="24"/>
        <v>2</v>
      </c>
      <c r="S267" s="414">
        <f>+HLOOKUP(A267,[238]Hoja1!$2:$78,51,FALSE)</f>
        <v>2</v>
      </c>
      <c r="U267" s="453">
        <f t="shared" si="25"/>
        <v>2</v>
      </c>
      <c r="X267" s="458">
        <f t="shared" si="28"/>
        <v>0</v>
      </c>
      <c r="Y267" s="471">
        <f t="shared" si="29"/>
        <v>0</v>
      </c>
    </row>
    <row r="268" spans="1:35" ht="21.75" customHeight="1">
      <c r="A268" s="383">
        <v>28</v>
      </c>
      <c r="C268" s="406"/>
      <c r="D268" s="440"/>
      <c r="E268" s="407"/>
      <c r="F268" s="407"/>
      <c r="G268" s="407"/>
      <c r="H268" s="437"/>
      <c r="I268" s="408" t="s">
        <v>439</v>
      </c>
      <c r="J268" s="409" t="str">
        <f t="shared" si="22"/>
        <v>UND= Cant de elementos</v>
      </c>
      <c r="K268" s="410" t="str">
        <f t="shared" si="30"/>
        <v>UND</v>
      </c>
      <c r="L268" s="411"/>
      <c r="M268" s="412"/>
      <c r="N268" s="442"/>
      <c r="O268" s="442"/>
      <c r="P268" s="413"/>
      <c r="Q268" s="413"/>
      <c r="R268" s="413">
        <f t="shared" si="24"/>
        <v>0</v>
      </c>
      <c r="S268" s="414">
        <f>+HLOOKUP(A268,[238]Hoja1!$2:$78,51,FALSE)</f>
        <v>0</v>
      </c>
      <c r="U268" s="453">
        <f t="shared" si="25"/>
        <v>0</v>
      </c>
      <c r="X268" s="458">
        <f t="shared" si="28"/>
        <v>0</v>
      </c>
      <c r="Y268" s="471">
        <f t="shared" si="29"/>
        <v>0</v>
      </c>
    </row>
    <row r="269" spans="1:35" ht="25.5">
      <c r="A269" s="383">
        <v>29</v>
      </c>
      <c r="C269" s="406"/>
      <c r="D269" s="407"/>
      <c r="E269" s="407"/>
      <c r="F269" s="407"/>
      <c r="G269" s="407"/>
      <c r="H269" s="407"/>
      <c r="I269" s="408" t="s">
        <v>440</v>
      </c>
      <c r="J269" s="409" t="str">
        <f t="shared" si="22"/>
        <v>UND= Cant de elementos</v>
      </c>
      <c r="K269" s="410" t="str">
        <f t="shared" si="30"/>
        <v>UND</v>
      </c>
      <c r="L269" s="411"/>
      <c r="M269" s="412"/>
      <c r="N269" s="443"/>
      <c r="O269" s="443"/>
      <c r="P269" s="412"/>
      <c r="Q269" s="413"/>
      <c r="R269" s="413">
        <f t="shared" si="24"/>
        <v>0</v>
      </c>
      <c r="S269" s="414">
        <f>+HLOOKUP(A269,[238]Hoja1!$2:$78,51,FALSE)</f>
        <v>0</v>
      </c>
      <c r="U269" s="453">
        <f t="shared" si="25"/>
        <v>0</v>
      </c>
      <c r="X269" s="458">
        <f t="shared" si="28"/>
        <v>0</v>
      </c>
      <c r="Y269" s="471">
        <f t="shared" si="29"/>
        <v>0</v>
      </c>
    </row>
    <row r="270" spans="1:35" ht="25.5">
      <c r="A270" s="383">
        <v>30</v>
      </c>
      <c r="C270" s="406"/>
      <c r="D270" s="407"/>
      <c r="E270" s="407"/>
      <c r="F270" s="407"/>
      <c r="G270" s="407"/>
      <c r="H270" s="407"/>
      <c r="I270" s="408" t="s">
        <v>441</v>
      </c>
      <c r="J270" s="409" t="str">
        <f t="shared" si="22"/>
        <v>UND= Cant de elementos</v>
      </c>
      <c r="K270" s="410" t="str">
        <f t="shared" si="30"/>
        <v>UND</v>
      </c>
      <c r="L270" s="411"/>
      <c r="M270" s="412"/>
      <c r="N270" s="442"/>
      <c r="O270" s="442"/>
      <c r="P270" s="412"/>
      <c r="Q270" s="413"/>
      <c r="R270" s="413">
        <f t="shared" si="24"/>
        <v>1</v>
      </c>
      <c r="S270" s="414">
        <f>+HLOOKUP(A270,[238]Hoja1!$2:$78,51,FALSE)</f>
        <v>1</v>
      </c>
      <c r="U270" s="453">
        <f t="shared" si="25"/>
        <v>1</v>
      </c>
      <c r="X270" s="458">
        <f t="shared" si="28"/>
        <v>0</v>
      </c>
      <c r="Y270" s="471">
        <f t="shared" si="29"/>
        <v>0</v>
      </c>
    </row>
    <row r="271" spans="1:35" ht="25.5">
      <c r="A271" s="383">
        <v>31</v>
      </c>
      <c r="C271" s="406"/>
      <c r="D271" s="407"/>
      <c r="E271" s="407"/>
      <c r="F271" s="407"/>
      <c r="G271" s="407"/>
      <c r="H271" s="407"/>
      <c r="I271" s="408" t="s">
        <v>442</v>
      </c>
      <c r="J271" s="409" t="str">
        <f t="shared" si="22"/>
        <v>UND= Cant de elementos</v>
      </c>
      <c r="K271" s="410" t="str">
        <f t="shared" si="30"/>
        <v>UND</v>
      </c>
      <c r="L271" s="411"/>
      <c r="M271" s="412"/>
      <c r="N271" s="442"/>
      <c r="O271" s="442"/>
      <c r="P271" s="449"/>
      <c r="Q271" s="413"/>
      <c r="R271" s="413">
        <f t="shared" si="24"/>
        <v>0</v>
      </c>
      <c r="S271" s="414">
        <f>+HLOOKUP(A271,[238]Hoja1!$2:$78,51,FALSE)</f>
        <v>0</v>
      </c>
      <c r="U271" s="453">
        <f t="shared" si="25"/>
        <v>0</v>
      </c>
      <c r="X271" s="458">
        <f t="shared" si="28"/>
        <v>0</v>
      </c>
      <c r="Y271" s="471">
        <f t="shared" si="29"/>
        <v>0</v>
      </c>
      <c r="AH271" s="383" t="s">
        <v>156</v>
      </c>
      <c r="AI271" s="383" t="s">
        <v>410</v>
      </c>
    </row>
    <row r="272" spans="1:35" ht="25.5">
      <c r="A272" s="383">
        <v>32</v>
      </c>
      <c r="C272" s="406"/>
      <c r="D272" s="407"/>
      <c r="E272" s="407"/>
      <c r="F272" s="407"/>
      <c r="G272" s="407"/>
      <c r="H272" s="407"/>
      <c r="I272" s="408" t="s">
        <v>443</v>
      </c>
      <c r="J272" s="409" t="str">
        <f t="shared" si="22"/>
        <v>UND= Cant de elementos</v>
      </c>
      <c r="K272" s="410" t="str">
        <f t="shared" si="30"/>
        <v>UND</v>
      </c>
      <c r="L272" s="411"/>
      <c r="M272" s="412"/>
      <c r="N272" s="442"/>
      <c r="O272" s="442"/>
      <c r="P272" s="412"/>
      <c r="Q272" s="413"/>
      <c r="R272" s="413">
        <f t="shared" si="24"/>
        <v>1</v>
      </c>
      <c r="S272" s="414">
        <f>+HLOOKUP(A272,[238]Hoja1!$2:$78,51,FALSE)</f>
        <v>1</v>
      </c>
      <c r="U272" s="453">
        <f t="shared" si="25"/>
        <v>1</v>
      </c>
      <c r="X272" s="458">
        <f t="shared" si="28"/>
        <v>0</v>
      </c>
      <c r="Y272" s="471">
        <f t="shared" si="29"/>
        <v>0</v>
      </c>
    </row>
    <row r="273" spans="1:35" ht="25.5">
      <c r="A273" s="383">
        <v>33</v>
      </c>
      <c r="C273" s="406"/>
      <c r="D273" s="407"/>
      <c r="E273" s="407"/>
      <c r="F273" s="407"/>
      <c r="G273" s="407"/>
      <c r="H273" s="407"/>
      <c r="I273" s="408" t="s">
        <v>444</v>
      </c>
      <c r="J273" s="409" t="str">
        <f t="shared" si="22"/>
        <v>UND= Cant de elementos</v>
      </c>
      <c r="K273" s="410" t="str">
        <f t="shared" si="30"/>
        <v>UND</v>
      </c>
      <c r="L273" s="411"/>
      <c r="M273" s="412"/>
      <c r="N273" s="442"/>
      <c r="O273" s="442"/>
      <c r="P273" s="412"/>
      <c r="Q273" s="413"/>
      <c r="R273" s="413">
        <f t="shared" si="24"/>
        <v>0</v>
      </c>
      <c r="S273" s="414">
        <f>+HLOOKUP(A273,[238]Hoja1!$2:$78,51,FALSE)</f>
        <v>0</v>
      </c>
      <c r="U273" s="453">
        <f t="shared" si="25"/>
        <v>0</v>
      </c>
      <c r="X273" s="458">
        <f t="shared" si="28"/>
        <v>0</v>
      </c>
      <c r="Y273" s="471">
        <f t="shared" si="29"/>
        <v>0</v>
      </c>
    </row>
    <row r="274" spans="1:35" ht="25.5">
      <c r="A274" s="383">
        <v>34</v>
      </c>
      <c r="C274" s="406"/>
      <c r="D274" s="407"/>
      <c r="E274" s="407"/>
      <c r="F274" s="407"/>
      <c r="G274" s="407"/>
      <c r="H274" s="407"/>
      <c r="I274" s="408" t="s">
        <v>445</v>
      </c>
      <c r="J274" s="409" t="str">
        <f t="shared" si="22"/>
        <v>UND= Cant de elementos</v>
      </c>
      <c r="K274" s="410" t="str">
        <f t="shared" si="30"/>
        <v>UND</v>
      </c>
      <c r="L274" s="411"/>
      <c r="M274" s="412"/>
      <c r="N274" s="443"/>
      <c r="O274" s="443"/>
      <c r="P274" s="412"/>
      <c r="Q274" s="413"/>
      <c r="R274" s="413">
        <f t="shared" si="24"/>
        <v>0</v>
      </c>
      <c r="S274" s="414">
        <f>+HLOOKUP(A274,[238]Hoja1!$2:$78,51,FALSE)</f>
        <v>0</v>
      </c>
      <c r="U274" s="453">
        <f t="shared" si="25"/>
        <v>0</v>
      </c>
      <c r="X274" s="458">
        <f t="shared" si="28"/>
        <v>0</v>
      </c>
      <c r="Y274" s="471">
        <f t="shared" si="29"/>
        <v>0</v>
      </c>
    </row>
    <row r="275" spans="1:35" ht="21.75" customHeight="1">
      <c r="A275" s="383">
        <v>35</v>
      </c>
      <c r="C275" s="406"/>
      <c r="D275" s="440"/>
      <c r="E275" s="407"/>
      <c r="F275" s="407"/>
      <c r="G275" s="407"/>
      <c r="H275" s="437"/>
      <c r="I275" s="408" t="s">
        <v>446</v>
      </c>
      <c r="J275" s="409" t="str">
        <f t="shared" si="22"/>
        <v>UND= Cant de elementos</v>
      </c>
      <c r="K275" s="410" t="str">
        <f t="shared" si="30"/>
        <v>UND</v>
      </c>
      <c r="L275" s="411"/>
      <c r="M275" s="412"/>
      <c r="N275" s="442"/>
      <c r="O275" s="442"/>
      <c r="P275" s="413"/>
      <c r="Q275" s="413"/>
      <c r="R275" s="413">
        <f t="shared" si="24"/>
        <v>0</v>
      </c>
      <c r="S275" s="414">
        <f>+HLOOKUP(A275,[238]Hoja1!$2:$78,51,FALSE)</f>
        <v>0</v>
      </c>
      <c r="U275" s="453">
        <f t="shared" si="25"/>
        <v>0</v>
      </c>
      <c r="X275" s="458">
        <f t="shared" si="28"/>
        <v>0</v>
      </c>
      <c r="Y275" s="471">
        <f t="shared" si="29"/>
        <v>0</v>
      </c>
    </row>
    <row r="276" spans="1:35" ht="25.5">
      <c r="A276" s="383">
        <v>36</v>
      </c>
      <c r="C276" s="406"/>
      <c r="D276" s="407"/>
      <c r="E276" s="407"/>
      <c r="F276" s="407"/>
      <c r="G276" s="407"/>
      <c r="H276" s="407"/>
      <c r="I276" s="408" t="s">
        <v>447</v>
      </c>
      <c r="J276" s="409" t="str">
        <f t="shared" si="22"/>
        <v>UND= Cant de elementos</v>
      </c>
      <c r="K276" s="410" t="str">
        <f>+K265</f>
        <v>UND</v>
      </c>
      <c r="L276" s="411"/>
      <c r="M276" s="412"/>
      <c r="N276" s="442"/>
      <c r="O276" s="442"/>
      <c r="P276" s="412"/>
      <c r="Q276" s="413"/>
      <c r="R276" s="413">
        <f t="shared" si="24"/>
        <v>1</v>
      </c>
      <c r="S276" s="414">
        <f>+HLOOKUP(A276,[238]Hoja1!$2:$78,51,FALSE)</f>
        <v>1</v>
      </c>
      <c r="U276" s="453">
        <f t="shared" si="25"/>
        <v>1</v>
      </c>
      <c r="X276" s="458">
        <f t="shared" si="28"/>
        <v>0</v>
      </c>
      <c r="Y276" s="471">
        <f t="shared" si="29"/>
        <v>0</v>
      </c>
    </row>
    <row r="277" spans="1:35" ht="25.5">
      <c r="A277" s="383">
        <v>37</v>
      </c>
      <c r="C277" s="406"/>
      <c r="D277" s="407"/>
      <c r="E277" s="407"/>
      <c r="F277" s="407"/>
      <c r="G277" s="407"/>
      <c r="H277" s="407"/>
      <c r="I277" s="408" t="s">
        <v>448</v>
      </c>
      <c r="J277" s="409" t="str">
        <f t="shared" si="22"/>
        <v>UND= Cant de elementos</v>
      </c>
      <c r="K277" s="410" t="str">
        <f t="shared" si="27"/>
        <v>UND</v>
      </c>
      <c r="L277" s="411"/>
      <c r="M277" s="412"/>
      <c r="N277" s="442"/>
      <c r="O277" s="442"/>
      <c r="P277" s="413"/>
      <c r="Q277" s="451"/>
      <c r="R277" s="413">
        <f t="shared" si="24"/>
        <v>1</v>
      </c>
      <c r="S277" s="414">
        <f>+HLOOKUP(A277,[238]Hoja1!$2:$78,51,FALSE)</f>
        <v>1</v>
      </c>
      <c r="U277" s="453">
        <f t="shared" si="25"/>
        <v>1</v>
      </c>
      <c r="X277" s="458">
        <f t="shared" si="28"/>
        <v>0</v>
      </c>
      <c r="Y277" s="471">
        <f t="shared" si="29"/>
        <v>0</v>
      </c>
    </row>
    <row r="278" spans="1:35" ht="21.75" customHeight="1">
      <c r="A278" s="383">
        <v>38</v>
      </c>
      <c r="C278" s="406"/>
      <c r="D278" s="440"/>
      <c r="E278" s="407"/>
      <c r="F278" s="407"/>
      <c r="G278" s="407"/>
      <c r="H278" s="437"/>
      <c r="I278" s="408" t="s">
        <v>449</v>
      </c>
      <c r="J278" s="409" t="str">
        <f t="shared" si="22"/>
        <v>UND= Cant de elementos</v>
      </c>
      <c r="K278" s="410" t="str">
        <f t="shared" si="27"/>
        <v>UND</v>
      </c>
      <c r="L278" s="411"/>
      <c r="M278" s="412"/>
      <c r="N278" s="442"/>
      <c r="O278" s="442"/>
      <c r="P278" s="413"/>
      <c r="Q278" s="413"/>
      <c r="R278" s="413">
        <f t="shared" si="24"/>
        <v>0</v>
      </c>
      <c r="S278" s="414">
        <f>+HLOOKUP(A278,[238]Hoja1!$2:$78,51,FALSE)</f>
        <v>0</v>
      </c>
      <c r="U278" s="453">
        <f t="shared" si="25"/>
        <v>0</v>
      </c>
      <c r="X278" s="458">
        <f t="shared" si="28"/>
        <v>0</v>
      </c>
      <c r="Y278" s="471">
        <f t="shared" si="29"/>
        <v>0</v>
      </c>
    </row>
    <row r="279" spans="1:35" ht="25.5">
      <c r="A279" s="383">
        <v>39</v>
      </c>
      <c r="C279" s="406"/>
      <c r="D279" s="407"/>
      <c r="E279" s="407"/>
      <c r="F279" s="407"/>
      <c r="G279" s="407"/>
      <c r="H279" s="407"/>
      <c r="I279" s="408" t="s">
        <v>450</v>
      </c>
      <c r="J279" s="409" t="str">
        <f t="shared" si="22"/>
        <v>UND= Cant de elementos</v>
      </c>
      <c r="K279" s="410" t="str">
        <f t="shared" si="27"/>
        <v>UND</v>
      </c>
      <c r="L279" s="411"/>
      <c r="M279" s="412"/>
      <c r="N279" s="441"/>
      <c r="O279" s="441"/>
      <c r="P279" s="412"/>
      <c r="Q279" s="413"/>
      <c r="R279" s="413">
        <f t="shared" si="24"/>
        <v>0</v>
      </c>
      <c r="S279" s="414">
        <f>+HLOOKUP(A279,[238]Hoja1!$2:$78,51,FALSE)</f>
        <v>0</v>
      </c>
      <c r="U279" s="453">
        <f t="shared" si="25"/>
        <v>0</v>
      </c>
      <c r="X279" s="458">
        <f t="shared" si="28"/>
        <v>0</v>
      </c>
      <c r="Y279" s="471">
        <f t="shared" si="29"/>
        <v>0</v>
      </c>
    </row>
    <row r="280" spans="1:35" ht="25.5">
      <c r="A280" s="383">
        <v>40</v>
      </c>
      <c r="C280" s="406"/>
      <c r="D280" s="407"/>
      <c r="E280" s="407"/>
      <c r="F280" s="407"/>
      <c r="G280" s="407"/>
      <c r="H280" s="407"/>
      <c r="I280" s="408" t="s">
        <v>451</v>
      </c>
      <c r="J280" s="409" t="str">
        <f t="shared" si="22"/>
        <v>UND= Cant de elementos</v>
      </c>
      <c r="K280" s="410" t="str">
        <f t="shared" si="27"/>
        <v>UND</v>
      </c>
      <c r="L280" s="411"/>
      <c r="M280" s="412"/>
      <c r="N280" s="442"/>
      <c r="O280" s="442"/>
      <c r="P280" s="412"/>
      <c r="Q280" s="413"/>
      <c r="R280" s="413">
        <f t="shared" si="24"/>
        <v>1</v>
      </c>
      <c r="S280" s="414">
        <f>+HLOOKUP(A280,[238]Hoja1!$2:$78,51,FALSE)</f>
        <v>1</v>
      </c>
      <c r="U280" s="453">
        <f t="shared" si="25"/>
        <v>1</v>
      </c>
      <c r="X280" s="458">
        <f t="shared" si="28"/>
        <v>0</v>
      </c>
      <c r="Y280" s="471">
        <f t="shared" si="29"/>
        <v>0</v>
      </c>
    </row>
    <row r="281" spans="1:35" ht="25.5">
      <c r="A281" s="383">
        <v>41</v>
      </c>
      <c r="C281" s="406"/>
      <c r="D281" s="407"/>
      <c r="E281" s="407"/>
      <c r="F281" s="407"/>
      <c r="G281" s="407"/>
      <c r="H281" s="407"/>
      <c r="I281" s="408" t="s">
        <v>452</v>
      </c>
      <c r="J281" s="409" t="str">
        <f t="shared" si="22"/>
        <v>UND= Cant de elementos</v>
      </c>
      <c r="K281" s="410" t="str">
        <f t="shared" si="27"/>
        <v>UND</v>
      </c>
      <c r="L281" s="411"/>
      <c r="M281" s="412"/>
      <c r="N281" s="442"/>
      <c r="O281" s="442"/>
      <c r="P281" s="413"/>
      <c r="Q281" s="413"/>
      <c r="R281" s="413">
        <f t="shared" si="24"/>
        <v>3</v>
      </c>
      <c r="S281" s="414">
        <f>+HLOOKUP(A281,[238]Hoja1!$2:$78,51,FALSE)</f>
        <v>3</v>
      </c>
      <c r="U281" s="453">
        <f t="shared" si="25"/>
        <v>3</v>
      </c>
      <c r="X281" s="458">
        <f t="shared" si="28"/>
        <v>0</v>
      </c>
      <c r="Y281" s="471">
        <f t="shared" si="29"/>
        <v>0</v>
      </c>
      <c r="AH281" s="383" t="s">
        <v>156</v>
      </c>
      <c r="AI281" s="383" t="s">
        <v>410</v>
      </c>
    </row>
    <row r="282" spans="1:35" ht="25.5">
      <c r="A282" s="383">
        <v>42</v>
      </c>
      <c r="C282" s="406"/>
      <c r="D282" s="407"/>
      <c r="E282" s="407"/>
      <c r="F282" s="407"/>
      <c r="G282" s="407"/>
      <c r="H282" s="407"/>
      <c r="I282" s="408" t="s">
        <v>453</v>
      </c>
      <c r="J282" s="409" t="str">
        <f t="shared" si="22"/>
        <v>UND= Cant de elementos</v>
      </c>
      <c r="K282" s="410" t="str">
        <f t="shared" si="27"/>
        <v>UND</v>
      </c>
      <c r="L282" s="411"/>
      <c r="M282" s="412"/>
      <c r="N282" s="442"/>
      <c r="O282" s="442"/>
      <c r="P282" s="412"/>
      <c r="Q282" s="413"/>
      <c r="R282" s="413">
        <f t="shared" si="24"/>
        <v>0</v>
      </c>
      <c r="S282" s="414">
        <f>+HLOOKUP(A282,[238]Hoja1!$2:$78,51,FALSE)</f>
        <v>0</v>
      </c>
      <c r="U282" s="453">
        <f t="shared" si="25"/>
        <v>0</v>
      </c>
      <c r="X282" s="458">
        <f t="shared" si="28"/>
        <v>0</v>
      </c>
      <c r="Y282" s="471">
        <f t="shared" si="29"/>
        <v>0</v>
      </c>
    </row>
    <row r="283" spans="1:35" ht="26.25" thickBot="1">
      <c r="A283" s="383">
        <v>43</v>
      </c>
      <c r="C283" s="406"/>
      <c r="D283" s="407"/>
      <c r="E283" s="407"/>
      <c r="F283" s="407"/>
      <c r="G283" s="407"/>
      <c r="H283" s="407"/>
      <c r="I283" s="408" t="s">
        <v>454</v>
      </c>
      <c r="J283" s="409" t="str">
        <f t="shared" si="22"/>
        <v>UND= Cant de elementos</v>
      </c>
      <c r="K283" s="410" t="str">
        <f t="shared" si="27"/>
        <v>UND</v>
      </c>
      <c r="L283" s="411"/>
      <c r="M283" s="412"/>
      <c r="N283" s="442"/>
      <c r="O283" s="442"/>
      <c r="P283" s="412"/>
      <c r="Q283" s="413"/>
      <c r="R283" s="413">
        <f t="shared" si="24"/>
        <v>0</v>
      </c>
      <c r="S283" s="414">
        <f>+HLOOKUP(A283,[238]Hoja1!$2:$78,51,FALSE)</f>
        <v>0</v>
      </c>
      <c r="U283" s="453">
        <f t="shared" si="25"/>
        <v>0</v>
      </c>
      <c r="X283" s="458">
        <f t="shared" si="28"/>
        <v>0</v>
      </c>
      <c r="Y283" s="471">
        <f t="shared" si="29"/>
        <v>0</v>
      </c>
    </row>
    <row r="284" spans="1:35">
      <c r="C284" s="384"/>
      <c r="D284" s="419"/>
      <c r="E284" s="420"/>
      <c r="F284" s="421"/>
      <c r="G284" s="421"/>
      <c r="H284" s="421"/>
      <c r="I284" s="421"/>
      <c r="J284" s="422"/>
      <c r="K284" s="421"/>
      <c r="L284" s="421"/>
      <c r="M284" s="421"/>
      <c r="N284" s="421"/>
      <c r="O284" s="421"/>
      <c r="P284" s="421"/>
      <c r="Q284" s="421"/>
      <c r="R284" s="422"/>
      <c r="S284" s="423"/>
      <c r="U284" s="453"/>
    </row>
    <row r="285" spans="1:35">
      <c r="C285" s="396"/>
      <c r="D285" s="397"/>
      <c r="E285" s="424"/>
      <c r="F285" s="425"/>
      <c r="G285" s="425"/>
      <c r="H285" s="425"/>
      <c r="I285" s="425"/>
      <c r="J285" s="398"/>
      <c r="K285" s="425"/>
      <c r="L285" s="425"/>
      <c r="M285" s="397"/>
      <c r="N285" s="397"/>
      <c r="O285" s="562" t="s">
        <v>421</v>
      </c>
      <c r="P285" s="563"/>
      <c r="Q285" s="564"/>
      <c r="R285" s="426"/>
      <c r="S285" s="427">
        <f>ROUND(SUM(S241:S284),2)</f>
        <v>44</v>
      </c>
      <c r="U285" s="453"/>
    </row>
    <row r="286" spans="1:35">
      <c r="C286" s="396"/>
      <c r="D286" s="397"/>
      <c r="E286" s="424"/>
      <c r="F286" s="425"/>
      <c r="G286" s="425"/>
      <c r="H286" s="425"/>
      <c r="I286" s="425"/>
      <c r="J286" s="398"/>
      <c r="K286" s="425"/>
      <c r="L286" s="425"/>
      <c r="M286" s="428"/>
      <c r="N286" s="428"/>
      <c r="O286" s="429"/>
      <c r="P286" s="425"/>
      <c r="Q286" s="425"/>
      <c r="R286" s="430"/>
      <c r="S286" s="431"/>
      <c r="U286" s="453"/>
    </row>
    <row r="287" spans="1:35">
      <c r="C287" s="565" t="e">
        <v>#REF!</v>
      </c>
      <c r="D287" s="566"/>
      <c r="E287" s="566"/>
      <c r="F287" s="566"/>
      <c r="G287" s="566"/>
      <c r="H287" s="566"/>
      <c r="I287" s="566"/>
      <c r="J287" s="566"/>
      <c r="K287" s="566"/>
      <c r="L287" s="566"/>
      <c r="M287" s="566"/>
      <c r="N287" s="567"/>
      <c r="O287" s="568" t="s">
        <v>422</v>
      </c>
      <c r="P287" s="568"/>
      <c r="Q287" s="568"/>
      <c r="R287" s="426"/>
      <c r="S287" s="427">
        <f>S285</f>
        <v>44</v>
      </c>
      <c r="U287" s="453"/>
    </row>
    <row r="288" spans="1:35">
      <c r="C288" s="396"/>
      <c r="D288" s="397"/>
      <c r="E288" s="424"/>
      <c r="F288" s="425"/>
      <c r="G288" s="425"/>
      <c r="H288" s="425"/>
      <c r="I288" s="425"/>
      <c r="J288" s="398"/>
      <c r="K288" s="425"/>
      <c r="L288" s="425"/>
      <c r="M288" s="428"/>
      <c r="N288" s="428"/>
      <c r="O288" s="429"/>
      <c r="P288" s="425"/>
      <c r="Q288" s="398"/>
      <c r="R288" s="398"/>
      <c r="S288" s="432"/>
      <c r="U288" s="453"/>
    </row>
    <row r="289" spans="3:21">
      <c r="C289" s="396"/>
      <c r="D289" s="397"/>
      <c r="E289" s="424"/>
      <c r="F289" s="425"/>
      <c r="G289" s="425"/>
      <c r="H289" s="425"/>
      <c r="I289" s="425"/>
      <c r="J289" s="398"/>
      <c r="K289" s="425"/>
      <c r="L289" s="425"/>
      <c r="M289" s="428"/>
      <c r="N289" s="428"/>
      <c r="O289" s="429"/>
      <c r="P289" s="425"/>
      <c r="Q289" s="398"/>
      <c r="R289" s="398"/>
      <c r="S289" s="432"/>
      <c r="U289" s="453"/>
    </row>
    <row r="290" spans="3:21">
      <c r="C290" s="569" t="s">
        <v>423</v>
      </c>
      <c r="D290" s="570"/>
      <c r="E290" s="570"/>
      <c r="F290" s="570"/>
      <c r="G290" s="570"/>
      <c r="H290" s="570"/>
      <c r="I290" s="570"/>
      <c r="J290" s="571"/>
      <c r="K290" s="433" t="s">
        <v>424</v>
      </c>
      <c r="L290" s="434"/>
      <c r="M290" s="434"/>
      <c r="N290" s="434"/>
      <c r="O290" s="434"/>
      <c r="P290" s="434"/>
      <c r="Q290" s="434"/>
      <c r="R290" s="434"/>
      <c r="S290" s="435"/>
      <c r="U290" s="453"/>
    </row>
    <row r="291" spans="3:21">
      <c r="C291" s="542"/>
      <c r="D291" s="543"/>
      <c r="E291" s="543"/>
      <c r="F291" s="543"/>
      <c r="G291" s="436"/>
      <c r="H291" s="436"/>
      <c r="I291" s="436"/>
      <c r="J291" s="447"/>
      <c r="K291" s="436"/>
      <c r="L291" s="407"/>
      <c r="M291" s="407"/>
      <c r="N291" s="407"/>
      <c r="O291" s="407"/>
      <c r="P291" s="407"/>
      <c r="Q291" s="407"/>
      <c r="R291" s="407"/>
      <c r="S291" s="437"/>
      <c r="U291" s="453"/>
    </row>
    <row r="292" spans="3:21">
      <c r="C292" s="542"/>
      <c r="D292" s="543"/>
      <c r="E292" s="543"/>
      <c r="F292" s="543"/>
      <c r="G292" s="436"/>
      <c r="H292" s="436"/>
      <c r="I292" s="436"/>
      <c r="J292" s="447"/>
      <c r="K292" s="436"/>
      <c r="L292" s="407"/>
      <c r="M292" s="407"/>
      <c r="N292" s="407"/>
      <c r="O292" s="407"/>
      <c r="P292" s="407"/>
      <c r="Q292" s="407"/>
      <c r="R292" s="407"/>
      <c r="S292" s="437"/>
      <c r="U292" s="453"/>
    </row>
    <row r="293" spans="3:21">
      <c r="C293" s="542" t="s">
        <v>425</v>
      </c>
      <c r="D293" s="543"/>
      <c r="E293" s="543" t="s">
        <v>425</v>
      </c>
      <c r="F293" s="543"/>
      <c r="G293" s="543" t="s">
        <v>425</v>
      </c>
      <c r="H293" s="543"/>
      <c r="I293" s="543" t="s">
        <v>425</v>
      </c>
      <c r="J293" s="544"/>
      <c r="K293" s="545" t="s">
        <v>426</v>
      </c>
      <c r="L293" s="546"/>
      <c r="M293" s="546"/>
      <c r="N293" s="546"/>
      <c r="O293" s="546"/>
      <c r="P293" s="546"/>
      <c r="Q293" s="546"/>
      <c r="R293" s="546"/>
      <c r="S293" s="547"/>
      <c r="U293" s="453"/>
    </row>
    <row r="294" spans="3:21">
      <c r="C294" s="548" t="str">
        <f>+[42]DATOS!D$8</f>
        <v>HELMER EDUARDO BECERRA SANTANDER</v>
      </c>
      <c r="D294" s="549"/>
      <c r="E294" s="549" t="s">
        <v>427</v>
      </c>
      <c r="F294" s="549"/>
      <c r="G294" s="549" t="s">
        <v>427</v>
      </c>
      <c r="H294" s="549"/>
      <c r="I294" s="549" t="s">
        <v>427</v>
      </c>
      <c r="J294" s="550"/>
      <c r="K294" s="551" t="str">
        <f>+[42]DATOS!D$11</f>
        <v>JESUS IVAN QUIÑONES RUEDA</v>
      </c>
      <c r="L294" s="549"/>
      <c r="M294" s="549"/>
      <c r="N294" s="549"/>
      <c r="O294" s="549"/>
      <c r="P294" s="549"/>
      <c r="Q294" s="549"/>
      <c r="R294" s="549"/>
      <c r="S294" s="552"/>
      <c r="U294" s="453"/>
    </row>
    <row r="295" spans="3:21">
      <c r="C295" s="553" t="s">
        <v>456</v>
      </c>
      <c r="D295" s="554"/>
      <c r="E295" s="554" t="s">
        <v>428</v>
      </c>
      <c r="F295" s="554"/>
      <c r="G295" s="554" t="s">
        <v>428</v>
      </c>
      <c r="H295" s="554"/>
      <c r="I295" s="554" t="s">
        <v>428</v>
      </c>
      <c r="J295" s="555"/>
      <c r="K295" s="556" t="s">
        <v>457</v>
      </c>
      <c r="L295" s="554"/>
      <c r="M295" s="554"/>
      <c r="N295" s="554"/>
      <c r="O295" s="554"/>
      <c r="P295" s="554"/>
      <c r="Q295" s="554"/>
      <c r="R295" s="554"/>
      <c r="S295" s="557"/>
      <c r="U295" s="453"/>
    </row>
    <row r="296" spans="3:21">
      <c r="C296" s="406"/>
      <c r="D296" s="407"/>
      <c r="E296" s="407"/>
      <c r="F296" s="407"/>
      <c r="G296" s="407"/>
      <c r="H296" s="407"/>
      <c r="I296" s="407"/>
      <c r="J296" s="407"/>
      <c r="K296" s="407"/>
      <c r="L296" s="407"/>
      <c r="M296" s="407"/>
      <c r="N296" s="407"/>
      <c r="O296" s="407"/>
      <c r="P296" s="407"/>
      <c r="Q296" s="407"/>
      <c r="R296" s="407"/>
      <c r="S296" s="437"/>
      <c r="U296" s="453"/>
    </row>
    <row r="297" spans="3:21" ht="111.6" customHeight="1" thickBot="1">
      <c r="C297" s="417"/>
      <c r="D297" s="418"/>
      <c r="E297" s="418"/>
      <c r="F297" s="418"/>
      <c r="G297" s="418"/>
      <c r="H297" s="418"/>
      <c r="I297" s="418"/>
      <c r="J297" s="418"/>
      <c r="K297" s="418"/>
      <c r="L297" s="418"/>
      <c r="M297" s="418"/>
      <c r="N297" s="418"/>
      <c r="O297" s="418"/>
      <c r="P297" s="418"/>
      <c r="Q297" s="418"/>
      <c r="R297" s="418"/>
      <c r="S297" s="438"/>
      <c r="U297" s="453"/>
    </row>
    <row r="298" spans="3:21">
      <c r="U298" s="453"/>
    </row>
    <row r="299" spans="3:21">
      <c r="U299" s="453"/>
    </row>
    <row r="300" spans="3:21" ht="13.5" thickBot="1">
      <c r="U300" s="453"/>
    </row>
    <row r="301" spans="3:21">
      <c r="C301" s="384"/>
      <c r="D301" s="385"/>
      <c r="E301" s="385"/>
      <c r="F301" s="385"/>
      <c r="G301" s="385"/>
      <c r="H301" s="385"/>
      <c r="I301" s="385"/>
      <c r="J301" s="445"/>
      <c r="K301" s="385"/>
      <c r="L301" s="385"/>
      <c r="M301" s="385"/>
      <c r="N301" s="385"/>
      <c r="O301" s="385"/>
      <c r="P301" s="385"/>
      <c r="Q301" s="385"/>
      <c r="R301" s="385"/>
      <c r="S301" s="386"/>
      <c r="U301" s="453"/>
    </row>
    <row r="302" spans="3:21" ht="121.5" customHeight="1" thickBot="1">
      <c r="C302" s="387"/>
      <c r="D302" s="388"/>
      <c r="E302" s="388"/>
      <c r="F302" s="388"/>
      <c r="G302" s="388"/>
      <c r="H302" s="388"/>
      <c r="I302" s="388"/>
      <c r="J302" s="446"/>
      <c r="K302" s="388"/>
      <c r="L302" s="388"/>
      <c r="M302" s="388"/>
      <c r="N302" s="388"/>
      <c r="O302" s="388"/>
      <c r="P302" s="388"/>
      <c r="Q302" s="388"/>
      <c r="R302" s="388"/>
      <c r="S302" s="389"/>
      <c r="U302" s="453">
        <f t="shared" si="25"/>
        <v>0</v>
      </c>
    </row>
    <row r="303" spans="3:21">
      <c r="C303" s="592" t="str">
        <f>+[42]DATOS!C$7</f>
        <v>MEJORAMIENTO DE VIVIENDA CON ENFOQUE DIFERENCIAL PARA POBLACIÓN VULNERABLE EN EL MUNICIPIO DE CUBARÁ, BOYACÁ (2026).</v>
      </c>
      <c r="D303" s="593"/>
      <c r="E303" s="593"/>
      <c r="F303" s="593"/>
      <c r="G303" s="593"/>
      <c r="H303" s="593"/>
      <c r="I303" s="593"/>
      <c r="J303" s="593"/>
      <c r="K303" s="593"/>
      <c r="L303" s="593"/>
      <c r="M303" s="593"/>
      <c r="N303" s="593"/>
      <c r="O303" s="593"/>
      <c r="P303" s="593"/>
      <c r="Q303" s="593"/>
      <c r="R303" s="593"/>
      <c r="S303" s="594"/>
      <c r="U303" s="453">
        <f t="shared" si="25"/>
        <v>0</v>
      </c>
    </row>
    <row r="304" spans="3:21">
      <c r="C304" s="595"/>
      <c r="D304" s="596"/>
      <c r="E304" s="596"/>
      <c r="F304" s="596"/>
      <c r="G304" s="596"/>
      <c r="H304" s="596"/>
      <c r="I304" s="596"/>
      <c r="J304" s="596"/>
      <c r="K304" s="596"/>
      <c r="L304" s="596"/>
      <c r="M304" s="596"/>
      <c r="N304" s="596"/>
      <c r="O304" s="596"/>
      <c r="P304" s="596"/>
      <c r="Q304" s="596"/>
      <c r="R304" s="596"/>
      <c r="S304" s="597"/>
      <c r="U304" s="453">
        <f t="shared" si="25"/>
        <v>0</v>
      </c>
    </row>
    <row r="305" spans="1:25">
      <c r="C305" s="598" t="s">
        <v>371</v>
      </c>
      <c r="D305" s="599"/>
      <c r="E305" s="599"/>
      <c r="F305" s="599"/>
      <c r="G305" s="599"/>
      <c r="H305" s="599"/>
      <c r="I305" s="599"/>
      <c r="J305" s="599"/>
      <c r="K305" s="599"/>
      <c r="L305" s="599"/>
      <c r="M305" s="599"/>
      <c r="N305" s="599"/>
      <c r="O305" s="599"/>
      <c r="P305" s="599"/>
      <c r="Q305" s="599"/>
      <c r="R305" s="599"/>
      <c r="S305" s="600"/>
      <c r="U305" s="453">
        <f t="shared" si="25"/>
        <v>0</v>
      </c>
    </row>
    <row r="306" spans="1:25">
      <c r="C306" s="586" t="s">
        <v>372</v>
      </c>
      <c r="D306" s="587"/>
      <c r="E306" s="601" t="s">
        <v>373</v>
      </c>
      <c r="F306" s="601"/>
      <c r="G306" s="601"/>
      <c r="H306" s="601"/>
      <c r="I306" s="601"/>
      <c r="J306" s="601"/>
      <c r="K306" s="601"/>
      <c r="L306" s="601"/>
      <c r="M306" s="601"/>
      <c r="N306" s="601"/>
      <c r="O306" s="601"/>
      <c r="P306" s="601"/>
      <c r="Q306" s="601"/>
      <c r="R306" s="601"/>
      <c r="S306" s="602"/>
      <c r="U306" s="453">
        <f t="shared" ref="U306:U358" si="31">+S306</f>
        <v>0</v>
      </c>
    </row>
    <row r="307" spans="1:25">
      <c r="C307" s="586" t="s">
        <v>374</v>
      </c>
      <c r="D307" s="587"/>
      <c r="E307" s="603" t="s">
        <v>375</v>
      </c>
      <c r="F307" s="604"/>
      <c r="G307" s="604"/>
      <c r="H307" s="604"/>
      <c r="I307" s="604"/>
      <c r="J307" s="604"/>
      <c r="K307" s="604"/>
      <c r="L307" s="604"/>
      <c r="M307" s="604"/>
      <c r="N307" s="604"/>
      <c r="O307" s="604"/>
      <c r="P307" s="604"/>
      <c r="Q307" s="604"/>
      <c r="R307" s="604"/>
      <c r="S307" s="605"/>
      <c r="U307" s="453">
        <f t="shared" si="31"/>
        <v>0</v>
      </c>
    </row>
    <row r="308" spans="1:25">
      <c r="C308" s="586" t="s">
        <v>376</v>
      </c>
      <c r="D308" s="587"/>
      <c r="E308" s="390">
        <f>+[42]DATOS!F$5</f>
        <v>46143</v>
      </c>
      <c r="F308" s="391"/>
      <c r="G308" s="391"/>
      <c r="H308" s="391"/>
      <c r="I308" s="391"/>
      <c r="J308" s="391"/>
      <c r="K308" s="568" t="s">
        <v>377</v>
      </c>
      <c r="L308" s="568"/>
      <c r="M308" s="588" t="s">
        <v>378</v>
      </c>
      <c r="N308" s="588"/>
      <c r="O308" s="588"/>
      <c r="P308" s="588"/>
      <c r="Q308" s="588"/>
      <c r="R308" s="588"/>
      <c r="S308" s="589"/>
      <c r="U308" s="453">
        <f t="shared" si="31"/>
        <v>0</v>
      </c>
    </row>
    <row r="309" spans="1:25" ht="25.5">
      <c r="C309" s="586" t="s">
        <v>379</v>
      </c>
      <c r="D309" s="587"/>
      <c r="E309" s="590" t="s">
        <v>380</v>
      </c>
      <c r="F309" s="591"/>
      <c r="G309" s="392">
        <f>+[42]DATOS!E$5</f>
        <v>2026</v>
      </c>
      <c r="H309" s="393" t="s">
        <v>381</v>
      </c>
      <c r="I309" s="394">
        <f>+[42]DATOS!E$5</f>
        <v>2026</v>
      </c>
      <c r="J309" s="395"/>
      <c r="K309" s="568" t="s">
        <v>382</v>
      </c>
      <c r="L309" s="568"/>
      <c r="M309" s="588" t="s">
        <v>383</v>
      </c>
      <c r="N309" s="588"/>
      <c r="O309" s="588"/>
      <c r="P309" s="588"/>
      <c r="Q309" s="588"/>
      <c r="R309" s="588"/>
      <c r="S309" s="589"/>
      <c r="U309" s="453">
        <f t="shared" si="31"/>
        <v>0</v>
      </c>
    </row>
    <row r="310" spans="1:25">
      <c r="C310" s="396"/>
      <c r="D310" s="397"/>
      <c r="E310" s="397"/>
      <c r="F310" s="398"/>
      <c r="G310" s="398"/>
      <c r="H310" s="398"/>
      <c r="I310" s="398"/>
      <c r="J310" s="398"/>
      <c r="K310" s="398"/>
      <c r="L310" s="398"/>
      <c r="M310" s="398"/>
      <c r="N310" s="398"/>
      <c r="O310" s="398"/>
      <c r="P310" s="398"/>
      <c r="Q310" s="398"/>
      <c r="R310" s="398"/>
      <c r="S310" s="399"/>
      <c r="U310" s="453">
        <f t="shared" si="31"/>
        <v>0</v>
      </c>
    </row>
    <row r="311" spans="1:25">
      <c r="C311" s="572" t="s">
        <v>384</v>
      </c>
      <c r="D311" s="573"/>
      <c r="E311" s="573"/>
      <c r="F311" s="573"/>
      <c r="G311" s="573"/>
      <c r="H311" s="573"/>
      <c r="I311" s="573"/>
      <c r="J311" s="573"/>
      <c r="K311" s="573"/>
      <c r="L311" s="573"/>
      <c r="M311" s="573"/>
      <c r="N311" s="573"/>
      <c r="O311" s="573"/>
      <c r="P311" s="573"/>
      <c r="Q311" s="573"/>
      <c r="R311" s="573"/>
      <c r="S311" s="574"/>
      <c r="U311" s="453">
        <f t="shared" si="31"/>
        <v>0</v>
      </c>
    </row>
    <row r="312" spans="1:25">
      <c r="C312" s="396"/>
      <c r="D312" s="397"/>
      <c r="E312" s="397"/>
      <c r="F312" s="398"/>
      <c r="G312" s="398"/>
      <c r="H312" s="398"/>
      <c r="I312" s="398"/>
      <c r="J312" s="398"/>
      <c r="K312" s="398"/>
      <c r="L312" s="398"/>
      <c r="M312" s="398"/>
      <c r="N312" s="398"/>
      <c r="O312" s="398"/>
      <c r="P312" s="398"/>
      <c r="Q312" s="398"/>
      <c r="R312" s="398"/>
      <c r="S312" s="399"/>
      <c r="U312" s="453">
        <f t="shared" si="31"/>
        <v>0</v>
      </c>
    </row>
    <row r="313" spans="1:25">
      <c r="C313" s="400" t="s">
        <v>385</v>
      </c>
      <c r="D313" s="575" t="s">
        <v>386</v>
      </c>
      <c r="E313" s="575"/>
      <c r="F313" s="576" t="s">
        <v>387</v>
      </c>
      <c r="G313" s="577"/>
      <c r="H313" s="577"/>
      <c r="I313" s="576" t="s">
        <v>388</v>
      </c>
      <c r="J313" s="576" t="s">
        <v>389</v>
      </c>
      <c r="K313" s="579"/>
      <c r="L313" s="581" t="s">
        <v>390</v>
      </c>
      <c r="M313" s="581"/>
      <c r="N313" s="581"/>
      <c r="O313" s="581"/>
      <c r="P313" s="581"/>
      <c r="Q313" s="581"/>
      <c r="R313" s="581" t="s">
        <v>391</v>
      </c>
      <c r="S313" s="582"/>
      <c r="U313" s="453">
        <f t="shared" si="31"/>
        <v>0</v>
      </c>
    </row>
    <row r="314" spans="1:25" ht="38.25">
      <c r="C314" s="403">
        <f>+'PRESUPUESTO OFICIAL '!C65</f>
        <v>5.05</v>
      </c>
      <c r="D314" s="583" t="str">
        <f>+VLOOKUP(C314,'PRESUPUESTO OFICIAL '!$C$11:$H$103,2)</f>
        <v>SUMINISTRO E INSTALACIÓN DE TOMACORRIENTE DOBLE MONOFÁSICA</v>
      </c>
      <c r="E314" s="584"/>
      <c r="F314" s="585" t="str">
        <f>+VLOOKUP(C314,'PRESUPUESTO OFICIAL '!$C$11:$H$103,3)</f>
        <v>UND</v>
      </c>
      <c r="G314" s="585"/>
      <c r="H314" s="585"/>
      <c r="I314" s="578"/>
      <c r="J314" s="578"/>
      <c r="K314" s="580"/>
      <c r="L314" s="401" t="s">
        <v>392</v>
      </c>
      <c r="M314" s="401" t="s">
        <v>393</v>
      </c>
      <c r="N314" s="401" t="s">
        <v>394</v>
      </c>
      <c r="O314" s="401" t="s">
        <v>395</v>
      </c>
      <c r="P314" s="401" t="s">
        <v>396</v>
      </c>
      <c r="Q314" s="401" t="s">
        <v>397</v>
      </c>
      <c r="R314" s="401" t="s">
        <v>398</v>
      </c>
      <c r="S314" s="402" t="s">
        <v>399</v>
      </c>
      <c r="U314" s="453">
        <f>+C314</f>
        <v>5.05</v>
      </c>
      <c r="V314" s="405">
        <f>+S362</f>
        <v>37</v>
      </c>
    </row>
    <row r="315" spans="1:25">
      <c r="C315" s="406"/>
      <c r="D315" s="407"/>
      <c r="E315" s="407"/>
      <c r="F315" s="407"/>
      <c r="G315" s="407"/>
      <c r="H315" s="407"/>
      <c r="I315" s="558"/>
      <c r="J315" s="559"/>
      <c r="K315" s="560"/>
      <c r="L315" s="560"/>
      <c r="M315" s="560"/>
      <c r="N315" s="560"/>
      <c r="O315" s="560"/>
      <c r="P315" s="560"/>
      <c r="Q315" s="560"/>
      <c r="R315" s="560"/>
      <c r="S315" s="561"/>
      <c r="U315" s="453">
        <f t="shared" si="31"/>
        <v>0</v>
      </c>
    </row>
    <row r="316" spans="1:25" ht="25.5">
      <c r="A316" s="383">
        <v>1</v>
      </c>
      <c r="C316" s="406"/>
      <c r="D316" s="407"/>
      <c r="E316" s="407"/>
      <c r="F316" s="407"/>
      <c r="G316" s="407"/>
      <c r="H316" s="407"/>
      <c r="I316" s="408" t="s">
        <v>400</v>
      </c>
      <c r="J316" s="409" t="str">
        <f t="shared" ref="J316:J358" si="32">+VLOOKUP(K316,$AH$22:$AJ$58,2,)</f>
        <v>UND= Cant de elementos</v>
      </c>
      <c r="K316" s="410" t="str">
        <f>+F314</f>
        <v>UND</v>
      </c>
      <c r="L316" s="411"/>
      <c r="M316" s="412"/>
      <c r="N316" s="442"/>
      <c r="O316" s="442"/>
      <c r="P316" s="413"/>
      <c r="Q316" s="451"/>
      <c r="R316" s="413">
        <f>+S316</f>
        <v>0</v>
      </c>
      <c r="S316" s="414">
        <f>+HLOOKUP(A316,[238]Hoja1!$2:$78,52,FALSE)</f>
        <v>0</v>
      </c>
      <c r="U316" s="453">
        <f t="shared" si="31"/>
        <v>0</v>
      </c>
      <c r="X316" s="458">
        <f>+N316*O316</f>
        <v>0</v>
      </c>
      <c r="Y316" s="471">
        <f>+X316-L316</f>
        <v>0</v>
      </c>
    </row>
    <row r="317" spans="1:25" ht="25.5">
      <c r="A317" s="383">
        <v>2</v>
      </c>
      <c r="C317" s="406"/>
      <c r="D317" s="407"/>
      <c r="E317" s="407"/>
      <c r="F317" s="407"/>
      <c r="G317" s="407"/>
      <c r="H317" s="407"/>
      <c r="I317" s="408" t="s">
        <v>401</v>
      </c>
      <c r="J317" s="409" t="str">
        <f t="shared" si="32"/>
        <v>UND= Cant de elementos</v>
      </c>
      <c r="K317" s="410" t="str">
        <f>+K316</f>
        <v>UND</v>
      </c>
      <c r="L317" s="411"/>
      <c r="M317" s="412"/>
      <c r="N317" s="442"/>
      <c r="O317" s="442"/>
      <c r="P317" s="413"/>
      <c r="Q317" s="413"/>
      <c r="R317" s="413">
        <f t="shared" ref="R317:R358" si="33">+S317</f>
        <v>0</v>
      </c>
      <c r="S317" s="414">
        <f>+HLOOKUP(A317,[238]Hoja1!$2:$78,52,FALSE)</f>
        <v>0</v>
      </c>
      <c r="U317" s="453">
        <f t="shared" si="31"/>
        <v>0</v>
      </c>
      <c r="X317" s="458">
        <f>+N317*O317</f>
        <v>0</v>
      </c>
      <c r="Y317" s="471">
        <f t="shared" ref="Y317:Y358" si="34">+X317-L317</f>
        <v>0</v>
      </c>
    </row>
    <row r="318" spans="1:25" ht="25.5">
      <c r="A318" s="383">
        <v>3</v>
      </c>
      <c r="C318" s="406"/>
      <c r="D318" s="407"/>
      <c r="E318" s="407"/>
      <c r="F318" s="407"/>
      <c r="G318" s="407"/>
      <c r="H318" s="407"/>
      <c r="I318" s="408" t="s">
        <v>402</v>
      </c>
      <c r="J318" s="409" t="str">
        <f t="shared" si="32"/>
        <v>UND= Cant de elementos</v>
      </c>
      <c r="K318" s="410" t="str">
        <f>+K317</f>
        <v>UND</v>
      </c>
      <c r="L318" s="411"/>
      <c r="M318" s="412"/>
      <c r="N318" s="442"/>
      <c r="O318" s="442"/>
      <c r="P318" s="413"/>
      <c r="Q318" s="413"/>
      <c r="R318" s="413">
        <f t="shared" si="33"/>
        <v>0</v>
      </c>
      <c r="S318" s="414">
        <f>+HLOOKUP(A318,[238]Hoja1!$2:$78,52,FALSE)</f>
        <v>0</v>
      </c>
      <c r="U318" s="453">
        <f t="shared" si="31"/>
        <v>0</v>
      </c>
      <c r="X318" s="458">
        <f t="shared" ref="X318:X358" si="35">+N318*O318</f>
        <v>0</v>
      </c>
      <c r="Y318" s="471">
        <f t="shared" si="34"/>
        <v>0</v>
      </c>
    </row>
    <row r="319" spans="1:25" ht="25.5">
      <c r="A319" s="383">
        <v>4</v>
      </c>
      <c r="C319" s="406"/>
      <c r="D319" s="407"/>
      <c r="E319" s="407"/>
      <c r="F319" s="407"/>
      <c r="G319" s="407"/>
      <c r="H319" s="407"/>
      <c r="I319" s="408" t="s">
        <v>403</v>
      </c>
      <c r="J319" s="409" t="str">
        <f t="shared" si="32"/>
        <v>UND= Cant de elementos</v>
      </c>
      <c r="K319" s="410" t="str">
        <f>+K318</f>
        <v>UND</v>
      </c>
      <c r="L319" s="411"/>
      <c r="M319" s="412"/>
      <c r="N319" s="442"/>
      <c r="O319" s="442"/>
      <c r="P319" s="413"/>
      <c r="Q319" s="413"/>
      <c r="R319" s="413">
        <f t="shared" si="33"/>
        <v>0</v>
      </c>
      <c r="S319" s="414">
        <f>+HLOOKUP(A319,[238]Hoja1!$2:$78,52,FALSE)</f>
        <v>0</v>
      </c>
      <c r="U319" s="453">
        <f t="shared" si="31"/>
        <v>0</v>
      </c>
      <c r="X319" s="458">
        <f t="shared" si="35"/>
        <v>0</v>
      </c>
      <c r="Y319" s="471">
        <f t="shared" si="34"/>
        <v>0</v>
      </c>
    </row>
    <row r="320" spans="1:25" ht="25.5">
      <c r="A320" s="383">
        <v>5</v>
      </c>
      <c r="C320" s="406"/>
      <c r="D320" s="407"/>
      <c r="E320" s="407"/>
      <c r="F320" s="407"/>
      <c r="G320" s="407"/>
      <c r="H320" s="407"/>
      <c r="I320" s="408" t="s">
        <v>405</v>
      </c>
      <c r="J320" s="409" t="str">
        <f t="shared" si="32"/>
        <v>UND= Cant de elementos</v>
      </c>
      <c r="K320" s="410" t="str">
        <f>+K319</f>
        <v>UND</v>
      </c>
      <c r="L320" s="411"/>
      <c r="M320" s="412"/>
      <c r="N320" s="442"/>
      <c r="O320" s="442"/>
      <c r="P320" s="413"/>
      <c r="Q320" s="413"/>
      <c r="R320" s="413">
        <f t="shared" si="33"/>
        <v>0</v>
      </c>
      <c r="S320" s="414">
        <f>+HLOOKUP(A320,[238]Hoja1!$2:$78,52,FALSE)</f>
        <v>0</v>
      </c>
      <c r="U320" s="453">
        <f t="shared" si="31"/>
        <v>0</v>
      </c>
      <c r="X320" s="458">
        <f t="shared" si="35"/>
        <v>0</v>
      </c>
      <c r="Y320" s="471">
        <f t="shared" si="34"/>
        <v>0</v>
      </c>
    </row>
    <row r="321" spans="1:25" ht="25.5">
      <c r="A321" s="383">
        <v>6</v>
      </c>
      <c r="C321" s="406"/>
      <c r="D321" s="407"/>
      <c r="E321" s="407"/>
      <c r="F321" s="407"/>
      <c r="G321" s="407"/>
      <c r="H321" s="407"/>
      <c r="I321" s="408" t="s">
        <v>407</v>
      </c>
      <c r="J321" s="409" t="str">
        <f t="shared" si="32"/>
        <v>UND= Cant de elementos</v>
      </c>
      <c r="K321" s="410" t="str">
        <f>+K320</f>
        <v>UND</v>
      </c>
      <c r="L321" s="411"/>
      <c r="M321" s="412"/>
      <c r="N321" s="442"/>
      <c r="O321" s="442"/>
      <c r="P321" s="413"/>
      <c r="Q321" s="413"/>
      <c r="R321" s="413">
        <f t="shared" si="33"/>
        <v>2</v>
      </c>
      <c r="S321" s="414">
        <f>+HLOOKUP(A321,[238]Hoja1!$2:$78,52,FALSE)</f>
        <v>2</v>
      </c>
      <c r="U321" s="453">
        <f t="shared" si="31"/>
        <v>2</v>
      </c>
      <c r="X321" s="458">
        <f t="shared" si="35"/>
        <v>0</v>
      </c>
      <c r="Y321" s="471">
        <f t="shared" si="34"/>
        <v>0</v>
      </c>
    </row>
    <row r="322" spans="1:25" ht="25.5">
      <c r="A322" s="383">
        <v>7</v>
      </c>
      <c r="C322" s="406"/>
      <c r="D322" s="407"/>
      <c r="E322" s="407"/>
      <c r="F322" s="407"/>
      <c r="G322" s="407"/>
      <c r="H322" s="407"/>
      <c r="I322" s="408" t="s">
        <v>409</v>
      </c>
      <c r="J322" s="409" t="str">
        <f t="shared" si="32"/>
        <v>UND= Cant de elementos</v>
      </c>
      <c r="K322" s="410" t="str">
        <f>+K316</f>
        <v>UND</v>
      </c>
      <c r="L322" s="411"/>
      <c r="M322" s="412"/>
      <c r="N322" s="442"/>
      <c r="O322" s="442"/>
      <c r="P322" s="413"/>
      <c r="Q322" s="451"/>
      <c r="R322" s="413">
        <f t="shared" si="33"/>
        <v>0</v>
      </c>
      <c r="S322" s="414">
        <f>+HLOOKUP(A322,[238]Hoja1!$2:$78,52,FALSE)</f>
        <v>0</v>
      </c>
      <c r="U322" s="453">
        <f t="shared" si="31"/>
        <v>0</v>
      </c>
      <c r="X322" s="458">
        <f t="shared" si="35"/>
        <v>0</v>
      </c>
      <c r="Y322" s="471">
        <f t="shared" si="34"/>
        <v>0</v>
      </c>
    </row>
    <row r="323" spans="1:25" ht="25.5">
      <c r="A323" s="383">
        <v>8</v>
      </c>
      <c r="C323" s="406"/>
      <c r="D323" s="407"/>
      <c r="E323" s="407"/>
      <c r="F323" s="407"/>
      <c r="G323" s="407"/>
      <c r="H323" s="407"/>
      <c r="I323" s="408" t="s">
        <v>411</v>
      </c>
      <c r="J323" s="409" t="str">
        <f t="shared" si="32"/>
        <v>UND= Cant de elementos</v>
      </c>
      <c r="K323" s="410" t="str">
        <f>+K322</f>
        <v>UND</v>
      </c>
      <c r="L323" s="411"/>
      <c r="M323" s="412"/>
      <c r="N323" s="442"/>
      <c r="O323" s="442"/>
      <c r="P323" s="413"/>
      <c r="Q323" s="413"/>
      <c r="R323" s="413">
        <f t="shared" si="33"/>
        <v>2</v>
      </c>
      <c r="S323" s="414">
        <f>+HLOOKUP(A323,[238]Hoja1!$2:$78,52,FALSE)</f>
        <v>2</v>
      </c>
      <c r="U323" s="453">
        <f t="shared" si="31"/>
        <v>2</v>
      </c>
      <c r="X323" s="458">
        <f t="shared" si="35"/>
        <v>0</v>
      </c>
      <c r="Y323" s="471">
        <f t="shared" si="34"/>
        <v>0</v>
      </c>
    </row>
    <row r="324" spans="1:25" ht="25.5">
      <c r="A324" s="383">
        <v>9</v>
      </c>
      <c r="C324" s="406"/>
      <c r="D324" s="407"/>
      <c r="E324" s="407"/>
      <c r="F324" s="407"/>
      <c r="G324" s="407"/>
      <c r="H324" s="407"/>
      <c r="I324" s="408" t="s">
        <v>412</v>
      </c>
      <c r="J324" s="409" t="str">
        <f t="shared" si="32"/>
        <v>UND= Cant de elementos</v>
      </c>
      <c r="K324" s="410" t="str">
        <f>+K323</f>
        <v>UND</v>
      </c>
      <c r="L324" s="411"/>
      <c r="M324" s="412"/>
      <c r="N324" s="442"/>
      <c r="O324" s="442"/>
      <c r="P324" s="412"/>
      <c r="Q324" s="413"/>
      <c r="R324" s="413">
        <f t="shared" si="33"/>
        <v>0</v>
      </c>
      <c r="S324" s="414">
        <f>+HLOOKUP(A324,[238]Hoja1!$2:$78,52,FALSE)</f>
        <v>0</v>
      </c>
      <c r="U324" s="453">
        <f t="shared" si="31"/>
        <v>0</v>
      </c>
      <c r="X324" s="458">
        <f t="shared" si="35"/>
        <v>0</v>
      </c>
      <c r="Y324" s="471">
        <f t="shared" si="34"/>
        <v>0</v>
      </c>
    </row>
    <row r="325" spans="1:25" ht="25.5">
      <c r="A325" s="383">
        <v>10</v>
      </c>
      <c r="C325" s="406"/>
      <c r="D325" s="407"/>
      <c r="E325" s="407"/>
      <c r="F325" s="407"/>
      <c r="G325" s="407"/>
      <c r="H325" s="407"/>
      <c r="I325" s="408" t="s">
        <v>413</v>
      </c>
      <c r="J325" s="409" t="str">
        <f t="shared" si="32"/>
        <v>UND= Cant de elementos</v>
      </c>
      <c r="K325" s="410" t="str">
        <f>+K324</f>
        <v>UND</v>
      </c>
      <c r="L325" s="411"/>
      <c r="M325" s="412"/>
      <c r="N325" s="441"/>
      <c r="O325" s="441"/>
      <c r="P325" s="412"/>
      <c r="Q325" s="413"/>
      <c r="R325" s="413">
        <f t="shared" si="33"/>
        <v>0</v>
      </c>
      <c r="S325" s="414">
        <f>+HLOOKUP(A325,[238]Hoja1!$2:$78,52,FALSE)</f>
        <v>0</v>
      </c>
      <c r="U325" s="453">
        <f t="shared" si="31"/>
        <v>0</v>
      </c>
      <c r="X325" s="458">
        <f t="shared" si="35"/>
        <v>0</v>
      </c>
      <c r="Y325" s="471">
        <f t="shared" si="34"/>
        <v>0</v>
      </c>
    </row>
    <row r="326" spans="1:25" ht="25.5">
      <c r="A326" s="383">
        <v>11</v>
      </c>
      <c r="C326" s="406"/>
      <c r="D326" s="407"/>
      <c r="E326" s="407"/>
      <c r="F326" s="407"/>
      <c r="G326" s="407"/>
      <c r="H326" s="407"/>
      <c r="I326" s="408" t="s">
        <v>414</v>
      </c>
      <c r="J326" s="409" t="str">
        <f t="shared" si="32"/>
        <v>UND= Cant de elementos</v>
      </c>
      <c r="K326" s="410" t="str">
        <f>+K325</f>
        <v>UND</v>
      </c>
      <c r="L326" s="411"/>
      <c r="M326" s="412"/>
      <c r="N326" s="443"/>
      <c r="O326" s="443"/>
      <c r="P326" s="412"/>
      <c r="Q326" s="413"/>
      <c r="R326" s="413">
        <f t="shared" si="33"/>
        <v>14</v>
      </c>
      <c r="S326" s="414">
        <f>+HLOOKUP(A326,[238]Hoja1!$2:$78,52,FALSE)</f>
        <v>14</v>
      </c>
      <c r="U326" s="453">
        <f t="shared" si="31"/>
        <v>14</v>
      </c>
      <c r="X326" s="458">
        <f t="shared" si="35"/>
        <v>0</v>
      </c>
      <c r="Y326" s="471">
        <f t="shared" si="34"/>
        <v>0</v>
      </c>
    </row>
    <row r="327" spans="1:25" ht="25.5">
      <c r="A327" s="383">
        <v>12</v>
      </c>
      <c r="C327" s="406"/>
      <c r="D327" s="407"/>
      <c r="E327" s="407"/>
      <c r="F327" s="407"/>
      <c r="G327" s="407"/>
      <c r="H327" s="407"/>
      <c r="I327" s="408" t="s">
        <v>415</v>
      </c>
      <c r="J327" s="409" t="str">
        <f t="shared" si="32"/>
        <v>UND= Cant de elementos</v>
      </c>
      <c r="K327" s="410" t="str">
        <f>+K321</f>
        <v>UND</v>
      </c>
      <c r="L327" s="411"/>
      <c r="M327" s="412"/>
      <c r="N327" s="442"/>
      <c r="O327" s="442"/>
      <c r="P327" s="413"/>
      <c r="Q327" s="413"/>
      <c r="R327" s="413">
        <f t="shared" si="33"/>
        <v>0</v>
      </c>
      <c r="S327" s="414">
        <f>+HLOOKUP(A327,[238]Hoja1!$2:$78,52,FALSE)</f>
        <v>0</v>
      </c>
      <c r="U327" s="453">
        <f t="shared" si="31"/>
        <v>0</v>
      </c>
      <c r="X327" s="458">
        <f t="shared" si="35"/>
        <v>0</v>
      </c>
      <c r="Y327" s="471">
        <f t="shared" si="34"/>
        <v>0</v>
      </c>
    </row>
    <row r="328" spans="1:25" ht="25.5">
      <c r="A328" s="383">
        <v>13</v>
      </c>
      <c r="C328" s="406"/>
      <c r="D328" s="407"/>
      <c r="E328" s="407"/>
      <c r="F328" s="407"/>
      <c r="G328" s="407"/>
      <c r="H328" s="407"/>
      <c r="I328" s="408" t="s">
        <v>416</v>
      </c>
      <c r="J328" s="409" t="str">
        <f t="shared" si="32"/>
        <v>UND= Cant de elementos</v>
      </c>
      <c r="K328" s="410" t="str">
        <f>+K323</f>
        <v>UND</v>
      </c>
      <c r="L328" s="411"/>
      <c r="M328" s="412"/>
      <c r="N328" s="442"/>
      <c r="O328" s="442"/>
      <c r="P328" s="413"/>
      <c r="Q328" s="413"/>
      <c r="R328" s="413">
        <f t="shared" si="33"/>
        <v>0</v>
      </c>
      <c r="S328" s="414">
        <f>+HLOOKUP(A328,[238]Hoja1!$2:$78,52,FALSE)</f>
        <v>0</v>
      </c>
      <c r="U328" s="453">
        <f t="shared" si="31"/>
        <v>0</v>
      </c>
      <c r="X328" s="458">
        <f t="shared" si="35"/>
        <v>0</v>
      </c>
      <c r="Y328" s="471">
        <f t="shared" si="34"/>
        <v>0</v>
      </c>
    </row>
    <row r="329" spans="1:25" ht="25.5">
      <c r="A329" s="383">
        <v>14</v>
      </c>
      <c r="C329" s="406"/>
      <c r="D329" s="407"/>
      <c r="E329" s="407"/>
      <c r="F329" s="407"/>
      <c r="G329" s="407"/>
      <c r="H329" s="407"/>
      <c r="I329" s="408" t="s">
        <v>417</v>
      </c>
      <c r="J329" s="409" t="str">
        <f t="shared" si="32"/>
        <v>UND= Cant de elementos</v>
      </c>
      <c r="K329" s="410" t="str">
        <f t="shared" ref="K329:K340" si="36">+K328</f>
        <v>UND</v>
      </c>
      <c r="L329" s="411"/>
      <c r="M329" s="412"/>
      <c r="N329" s="442"/>
      <c r="O329" s="442"/>
      <c r="P329" s="412"/>
      <c r="Q329" s="413"/>
      <c r="R329" s="413">
        <f t="shared" si="33"/>
        <v>0</v>
      </c>
      <c r="S329" s="414">
        <f>+HLOOKUP(A329,[238]Hoja1!$2:$78,52,FALSE)</f>
        <v>0</v>
      </c>
      <c r="U329" s="453">
        <f t="shared" si="31"/>
        <v>0</v>
      </c>
      <c r="X329" s="458">
        <f t="shared" si="35"/>
        <v>0</v>
      </c>
      <c r="Y329" s="471">
        <f t="shared" si="34"/>
        <v>0</v>
      </c>
    </row>
    <row r="330" spans="1:25" ht="25.5">
      <c r="A330" s="383">
        <v>15</v>
      </c>
      <c r="C330" s="406"/>
      <c r="D330" s="407"/>
      <c r="E330" s="407"/>
      <c r="F330" s="407"/>
      <c r="G330" s="407"/>
      <c r="H330" s="407"/>
      <c r="I330" s="408" t="s">
        <v>418</v>
      </c>
      <c r="J330" s="409" t="str">
        <f t="shared" si="32"/>
        <v>UND= Cant de elementos</v>
      </c>
      <c r="K330" s="410" t="str">
        <f t="shared" si="36"/>
        <v>UND</v>
      </c>
      <c r="L330" s="411"/>
      <c r="M330" s="412"/>
      <c r="N330" s="442"/>
      <c r="O330" s="442"/>
      <c r="P330" s="413"/>
      <c r="Q330" s="451"/>
      <c r="R330" s="413">
        <f t="shared" si="33"/>
        <v>0</v>
      </c>
      <c r="S330" s="414">
        <f>+HLOOKUP(A330,[238]Hoja1!$2:$78,52,FALSE)</f>
        <v>0</v>
      </c>
      <c r="U330" s="453">
        <f t="shared" si="31"/>
        <v>0</v>
      </c>
      <c r="X330" s="458">
        <f t="shared" si="35"/>
        <v>0</v>
      </c>
      <c r="Y330" s="471">
        <f t="shared" si="34"/>
        <v>0</v>
      </c>
    </row>
    <row r="331" spans="1:25" ht="25.5">
      <c r="A331" s="383">
        <v>16</v>
      </c>
      <c r="C331" s="406"/>
      <c r="D331" s="407"/>
      <c r="E331" s="407"/>
      <c r="F331" s="407"/>
      <c r="G331" s="407"/>
      <c r="H331" s="407"/>
      <c r="I331" s="408" t="s">
        <v>419</v>
      </c>
      <c r="J331" s="409" t="str">
        <f t="shared" si="32"/>
        <v>UND= Cant de elementos</v>
      </c>
      <c r="K331" s="410" t="str">
        <f t="shared" si="36"/>
        <v>UND</v>
      </c>
      <c r="L331" s="411"/>
      <c r="M331" s="412"/>
      <c r="N331" s="442"/>
      <c r="O331" s="442"/>
      <c r="P331" s="412"/>
      <c r="Q331" s="413"/>
      <c r="R331" s="413">
        <f t="shared" si="33"/>
        <v>1</v>
      </c>
      <c r="S331" s="414">
        <f>+HLOOKUP(A331,[238]Hoja1!$2:$78,52,FALSE)</f>
        <v>1</v>
      </c>
      <c r="U331" s="453">
        <f t="shared" si="31"/>
        <v>1</v>
      </c>
      <c r="X331" s="458">
        <f t="shared" si="35"/>
        <v>0</v>
      </c>
      <c r="Y331" s="471">
        <f t="shared" si="34"/>
        <v>0</v>
      </c>
    </row>
    <row r="332" spans="1:25" ht="25.5">
      <c r="A332" s="383">
        <v>17</v>
      </c>
      <c r="C332" s="406"/>
      <c r="D332" s="407"/>
      <c r="E332" s="407"/>
      <c r="F332" s="407"/>
      <c r="G332" s="407"/>
      <c r="H332" s="407"/>
      <c r="I332" s="408" t="s">
        <v>420</v>
      </c>
      <c r="J332" s="409" t="str">
        <f t="shared" si="32"/>
        <v>UND= Cant de elementos</v>
      </c>
      <c r="K332" s="410" t="str">
        <f t="shared" si="36"/>
        <v>UND</v>
      </c>
      <c r="L332" s="411"/>
      <c r="M332" s="412"/>
      <c r="N332" s="442"/>
      <c r="O332" s="442"/>
      <c r="P332" s="412"/>
      <c r="Q332" s="413"/>
      <c r="R332" s="413">
        <f t="shared" si="33"/>
        <v>0</v>
      </c>
      <c r="S332" s="414">
        <f>+HLOOKUP(A332,[238]Hoja1!$2:$78,52,FALSE)</f>
        <v>0</v>
      </c>
      <c r="U332" s="453">
        <f t="shared" si="31"/>
        <v>0</v>
      </c>
      <c r="X332" s="458">
        <f t="shared" si="35"/>
        <v>0</v>
      </c>
      <c r="Y332" s="471">
        <f t="shared" si="34"/>
        <v>0</v>
      </c>
    </row>
    <row r="333" spans="1:25" ht="25.5">
      <c r="A333" s="383">
        <v>18</v>
      </c>
      <c r="C333" s="406"/>
      <c r="D333" s="407"/>
      <c r="E333" s="407"/>
      <c r="F333" s="407"/>
      <c r="G333" s="407"/>
      <c r="H333" s="407"/>
      <c r="I333" s="408" t="s">
        <v>429</v>
      </c>
      <c r="J333" s="409" t="str">
        <f t="shared" si="32"/>
        <v>UND= Cant de elementos</v>
      </c>
      <c r="K333" s="410" t="str">
        <f t="shared" si="36"/>
        <v>UND</v>
      </c>
      <c r="L333" s="411"/>
      <c r="M333" s="412"/>
      <c r="N333" s="442"/>
      <c r="O333" s="442"/>
      <c r="P333" s="412"/>
      <c r="Q333" s="413"/>
      <c r="R333" s="413">
        <f t="shared" si="33"/>
        <v>2</v>
      </c>
      <c r="S333" s="414">
        <f>+HLOOKUP(A333,[238]Hoja1!$2:$78,52,FALSE)</f>
        <v>2</v>
      </c>
      <c r="U333" s="453">
        <f t="shared" si="31"/>
        <v>2</v>
      </c>
      <c r="X333" s="458">
        <f t="shared" si="35"/>
        <v>0</v>
      </c>
      <c r="Y333" s="471">
        <f t="shared" si="34"/>
        <v>0</v>
      </c>
    </row>
    <row r="334" spans="1:25" ht="25.5">
      <c r="A334" s="383">
        <v>19</v>
      </c>
      <c r="C334" s="406"/>
      <c r="D334" s="407"/>
      <c r="E334" s="407"/>
      <c r="F334" s="407"/>
      <c r="G334" s="407"/>
      <c r="H334" s="407"/>
      <c r="I334" s="408" t="s">
        <v>430</v>
      </c>
      <c r="J334" s="409" t="str">
        <f t="shared" si="32"/>
        <v>UND= Cant de elementos</v>
      </c>
      <c r="K334" s="410" t="str">
        <f t="shared" si="36"/>
        <v>UND</v>
      </c>
      <c r="L334" s="411"/>
      <c r="M334" s="412"/>
      <c r="N334" s="442"/>
      <c r="O334" s="442"/>
      <c r="P334" s="412"/>
      <c r="Q334" s="413"/>
      <c r="R334" s="413">
        <f t="shared" si="33"/>
        <v>0</v>
      </c>
      <c r="S334" s="414">
        <f>+HLOOKUP(A334,[238]Hoja1!$2:$78,52,FALSE)</f>
        <v>0</v>
      </c>
      <c r="U334" s="453">
        <f t="shared" si="31"/>
        <v>0</v>
      </c>
      <c r="X334" s="458">
        <f t="shared" si="35"/>
        <v>0</v>
      </c>
      <c r="Y334" s="471">
        <f t="shared" si="34"/>
        <v>0</v>
      </c>
    </row>
    <row r="335" spans="1:25" ht="25.5">
      <c r="A335" s="383">
        <v>20</v>
      </c>
      <c r="C335" s="406"/>
      <c r="D335" s="407"/>
      <c r="E335" s="407"/>
      <c r="F335" s="407"/>
      <c r="G335" s="407"/>
      <c r="H335" s="407"/>
      <c r="I335" s="408" t="s">
        <v>431</v>
      </c>
      <c r="J335" s="409" t="str">
        <f t="shared" si="32"/>
        <v>UND= Cant de elementos</v>
      </c>
      <c r="K335" s="410" t="str">
        <f t="shared" si="36"/>
        <v>UND</v>
      </c>
      <c r="L335" s="411"/>
      <c r="M335" s="412"/>
      <c r="N335" s="442"/>
      <c r="O335" s="442"/>
      <c r="P335" s="412"/>
      <c r="Q335" s="413"/>
      <c r="R335" s="413">
        <f t="shared" si="33"/>
        <v>2</v>
      </c>
      <c r="S335" s="414">
        <f>+HLOOKUP(A335,[238]Hoja1!$2:$78,52,FALSE)</f>
        <v>2</v>
      </c>
      <c r="U335" s="453">
        <f t="shared" si="31"/>
        <v>2</v>
      </c>
      <c r="X335" s="458">
        <f t="shared" si="35"/>
        <v>0</v>
      </c>
      <c r="Y335" s="471">
        <f t="shared" si="34"/>
        <v>0</v>
      </c>
    </row>
    <row r="336" spans="1:25" ht="25.5">
      <c r="A336" s="383">
        <v>21</v>
      </c>
      <c r="C336" s="406"/>
      <c r="D336" s="407"/>
      <c r="E336" s="407"/>
      <c r="F336" s="407"/>
      <c r="G336" s="407"/>
      <c r="H336" s="407"/>
      <c r="I336" s="408" t="s">
        <v>432</v>
      </c>
      <c r="J336" s="409" t="str">
        <f t="shared" si="32"/>
        <v>UND= Cant de elementos</v>
      </c>
      <c r="K336" s="410" t="str">
        <f t="shared" si="36"/>
        <v>UND</v>
      </c>
      <c r="L336" s="411"/>
      <c r="M336" s="412"/>
      <c r="N336" s="442"/>
      <c r="O336" s="442"/>
      <c r="P336" s="449"/>
      <c r="Q336" s="413"/>
      <c r="R336" s="413">
        <f t="shared" si="33"/>
        <v>0</v>
      </c>
      <c r="S336" s="414">
        <f>+HLOOKUP(A336,[238]Hoja1!$2:$78,52,FALSE)</f>
        <v>0</v>
      </c>
      <c r="U336" s="453">
        <f t="shared" si="31"/>
        <v>0</v>
      </c>
      <c r="X336" s="458">
        <f t="shared" si="35"/>
        <v>0</v>
      </c>
      <c r="Y336" s="471">
        <f t="shared" si="34"/>
        <v>0</v>
      </c>
    </row>
    <row r="337" spans="1:25" ht="25.5">
      <c r="A337" s="383">
        <v>22</v>
      </c>
      <c r="C337" s="406"/>
      <c r="D337" s="407"/>
      <c r="E337" s="407"/>
      <c r="F337" s="407"/>
      <c r="G337" s="407"/>
      <c r="H337" s="407"/>
      <c r="I337" s="408" t="s">
        <v>433</v>
      </c>
      <c r="J337" s="409" t="str">
        <f t="shared" si="32"/>
        <v>UND= Cant de elementos</v>
      </c>
      <c r="K337" s="410" t="str">
        <f t="shared" si="36"/>
        <v>UND</v>
      </c>
      <c r="L337" s="411"/>
      <c r="M337" s="412"/>
      <c r="N337" s="442"/>
      <c r="O337" s="442"/>
      <c r="P337" s="412"/>
      <c r="Q337" s="413"/>
      <c r="R337" s="413">
        <f t="shared" si="33"/>
        <v>0</v>
      </c>
      <c r="S337" s="414">
        <f>+HLOOKUP(A337,[238]Hoja1!$2:$78,52,FALSE)</f>
        <v>0</v>
      </c>
      <c r="U337" s="453">
        <f t="shared" si="31"/>
        <v>0</v>
      </c>
      <c r="X337" s="458">
        <f t="shared" si="35"/>
        <v>0</v>
      </c>
      <c r="Y337" s="471">
        <f t="shared" si="34"/>
        <v>0</v>
      </c>
    </row>
    <row r="338" spans="1:25" ht="25.5">
      <c r="A338" s="383">
        <v>23</v>
      </c>
      <c r="C338" s="406"/>
      <c r="D338" s="407"/>
      <c r="E338" s="407"/>
      <c r="F338" s="407"/>
      <c r="G338" s="407"/>
      <c r="H338" s="407"/>
      <c r="I338" s="408" t="s">
        <v>434</v>
      </c>
      <c r="J338" s="409" t="str">
        <f t="shared" si="32"/>
        <v>UND= Cant de elementos</v>
      </c>
      <c r="K338" s="410" t="str">
        <f t="shared" si="36"/>
        <v>UND</v>
      </c>
      <c r="L338" s="411"/>
      <c r="M338" s="412"/>
      <c r="N338" s="441"/>
      <c r="O338" s="441"/>
      <c r="P338" s="412"/>
      <c r="Q338" s="413"/>
      <c r="R338" s="413">
        <f t="shared" si="33"/>
        <v>0</v>
      </c>
      <c r="S338" s="414">
        <f>+HLOOKUP(A338,[238]Hoja1!$2:$78,52,FALSE)</f>
        <v>0</v>
      </c>
      <c r="U338" s="453">
        <f t="shared" si="31"/>
        <v>0</v>
      </c>
      <c r="X338" s="458">
        <f t="shared" si="35"/>
        <v>0</v>
      </c>
      <c r="Y338" s="471">
        <f t="shared" si="34"/>
        <v>0</v>
      </c>
    </row>
    <row r="339" spans="1:25" ht="25.5">
      <c r="A339" s="383">
        <v>24</v>
      </c>
      <c r="C339" s="406"/>
      <c r="D339" s="407"/>
      <c r="E339" s="407"/>
      <c r="F339" s="407"/>
      <c r="G339" s="407"/>
      <c r="H339" s="407"/>
      <c r="I339" s="408" t="s">
        <v>435</v>
      </c>
      <c r="J339" s="409" t="str">
        <f t="shared" si="32"/>
        <v>UND= Cant de elementos</v>
      </c>
      <c r="K339" s="410" t="str">
        <f t="shared" si="36"/>
        <v>UND</v>
      </c>
      <c r="L339" s="411"/>
      <c r="M339" s="412"/>
      <c r="N339" s="442"/>
      <c r="O339" s="442"/>
      <c r="P339" s="413"/>
      <c r="Q339" s="413"/>
      <c r="R339" s="413">
        <f t="shared" si="33"/>
        <v>1</v>
      </c>
      <c r="S339" s="414">
        <f>+HLOOKUP(A339,[238]Hoja1!$2:$78,52,FALSE)</f>
        <v>1</v>
      </c>
      <c r="U339" s="453">
        <f t="shared" si="31"/>
        <v>1</v>
      </c>
      <c r="X339" s="458">
        <f t="shared" si="35"/>
        <v>0</v>
      </c>
      <c r="Y339" s="471">
        <f t="shared" si="34"/>
        <v>0</v>
      </c>
    </row>
    <row r="340" spans="1:25" ht="25.5">
      <c r="A340" s="383">
        <v>25</v>
      </c>
      <c r="C340" s="406"/>
      <c r="D340" s="407"/>
      <c r="E340" s="407"/>
      <c r="F340" s="407"/>
      <c r="G340" s="407"/>
      <c r="H340" s="407"/>
      <c r="I340" s="408" t="s">
        <v>436</v>
      </c>
      <c r="J340" s="409" t="str">
        <f t="shared" si="32"/>
        <v>UND= Cant de elementos</v>
      </c>
      <c r="K340" s="410" t="str">
        <f t="shared" si="36"/>
        <v>UND</v>
      </c>
      <c r="L340" s="411"/>
      <c r="M340" s="412"/>
      <c r="N340" s="442"/>
      <c r="O340" s="442"/>
      <c r="P340" s="412"/>
      <c r="Q340" s="413"/>
      <c r="R340" s="413">
        <f t="shared" si="33"/>
        <v>3</v>
      </c>
      <c r="S340" s="414">
        <f>+HLOOKUP(A340,[238]Hoja1!$2:$78,52,FALSE)</f>
        <v>3</v>
      </c>
      <c r="U340" s="453">
        <f t="shared" si="31"/>
        <v>3</v>
      </c>
      <c r="X340" s="458">
        <f t="shared" si="35"/>
        <v>0</v>
      </c>
      <c r="Y340" s="471">
        <f t="shared" si="34"/>
        <v>0</v>
      </c>
    </row>
    <row r="341" spans="1:25" ht="25.5">
      <c r="A341" s="383">
        <v>26</v>
      </c>
      <c r="C341" s="406"/>
      <c r="D341" s="407"/>
      <c r="E341" s="407"/>
      <c r="F341" s="407"/>
      <c r="G341" s="407"/>
      <c r="H341" s="407"/>
      <c r="I341" s="408" t="s">
        <v>437</v>
      </c>
      <c r="J341" s="409" t="str">
        <f t="shared" si="32"/>
        <v>UND= Cant de elementos</v>
      </c>
      <c r="K341" s="410" t="str">
        <f>+K330</f>
        <v>UND</v>
      </c>
      <c r="L341" s="411"/>
      <c r="M341" s="412"/>
      <c r="N341" s="442"/>
      <c r="O341" s="442"/>
      <c r="P341" s="412"/>
      <c r="Q341" s="413"/>
      <c r="R341" s="413">
        <f t="shared" si="33"/>
        <v>0</v>
      </c>
      <c r="S341" s="414">
        <f>+HLOOKUP(A341,[238]Hoja1!$2:$78,52,FALSE)</f>
        <v>0</v>
      </c>
      <c r="U341" s="453">
        <f t="shared" si="31"/>
        <v>0</v>
      </c>
      <c r="X341" s="458">
        <f t="shared" si="35"/>
        <v>0</v>
      </c>
      <c r="Y341" s="471">
        <f t="shared" si="34"/>
        <v>0</v>
      </c>
    </row>
    <row r="342" spans="1:25" ht="25.5">
      <c r="A342" s="383">
        <v>27</v>
      </c>
      <c r="C342" s="406"/>
      <c r="D342" s="407"/>
      <c r="E342" s="407"/>
      <c r="F342" s="407"/>
      <c r="G342" s="407"/>
      <c r="H342" s="407"/>
      <c r="I342" s="408" t="s">
        <v>438</v>
      </c>
      <c r="J342" s="409" t="str">
        <f t="shared" si="32"/>
        <v>UND= Cant de elementos</v>
      </c>
      <c r="K342" s="410" t="str">
        <f t="shared" ref="K342:K350" si="37">+K341</f>
        <v>UND</v>
      </c>
      <c r="L342" s="411"/>
      <c r="M342" s="412"/>
      <c r="N342" s="442"/>
      <c r="O342" s="442"/>
      <c r="P342" s="412"/>
      <c r="Q342" s="413"/>
      <c r="R342" s="413">
        <f t="shared" si="33"/>
        <v>0</v>
      </c>
      <c r="S342" s="414">
        <f>+HLOOKUP(A342,[238]Hoja1!$2:$78,52,FALSE)</f>
        <v>0</v>
      </c>
      <c r="U342" s="453">
        <f t="shared" si="31"/>
        <v>0</v>
      </c>
      <c r="X342" s="458">
        <f t="shared" si="35"/>
        <v>0</v>
      </c>
      <c r="Y342" s="471">
        <f t="shared" si="34"/>
        <v>0</v>
      </c>
    </row>
    <row r="343" spans="1:25" ht="25.5">
      <c r="A343" s="383">
        <v>28</v>
      </c>
      <c r="C343" s="406"/>
      <c r="D343" s="440"/>
      <c r="E343" s="407"/>
      <c r="F343" s="407"/>
      <c r="G343" s="407"/>
      <c r="H343" s="437"/>
      <c r="I343" s="408" t="s">
        <v>439</v>
      </c>
      <c r="J343" s="409" t="str">
        <f t="shared" si="32"/>
        <v>UND= Cant de elementos</v>
      </c>
      <c r="K343" s="410" t="str">
        <f t="shared" si="37"/>
        <v>UND</v>
      </c>
      <c r="L343" s="411"/>
      <c r="M343" s="412"/>
      <c r="N343" s="442"/>
      <c r="O343" s="442"/>
      <c r="P343" s="413"/>
      <c r="Q343" s="413"/>
      <c r="R343" s="413">
        <f t="shared" si="33"/>
        <v>0</v>
      </c>
      <c r="S343" s="414">
        <f>+HLOOKUP(A343,[238]Hoja1!$2:$78,52,FALSE)</f>
        <v>0</v>
      </c>
      <c r="U343" s="453">
        <f t="shared" si="31"/>
        <v>0</v>
      </c>
      <c r="X343" s="458">
        <f t="shared" si="35"/>
        <v>0</v>
      </c>
      <c r="Y343" s="471">
        <f t="shared" si="34"/>
        <v>0</v>
      </c>
    </row>
    <row r="344" spans="1:25" ht="25.5">
      <c r="A344" s="383">
        <v>29</v>
      </c>
      <c r="C344" s="406"/>
      <c r="D344" s="407"/>
      <c r="E344" s="407"/>
      <c r="F344" s="407"/>
      <c r="G344" s="407"/>
      <c r="H344" s="407"/>
      <c r="I344" s="408" t="s">
        <v>440</v>
      </c>
      <c r="J344" s="409" t="str">
        <f t="shared" si="32"/>
        <v>UND= Cant de elementos</v>
      </c>
      <c r="K344" s="410" t="str">
        <f t="shared" si="37"/>
        <v>UND</v>
      </c>
      <c r="L344" s="411"/>
      <c r="M344" s="412"/>
      <c r="N344" s="443"/>
      <c r="O344" s="443"/>
      <c r="P344" s="412"/>
      <c r="Q344" s="413"/>
      <c r="R344" s="413">
        <f t="shared" si="33"/>
        <v>0</v>
      </c>
      <c r="S344" s="414">
        <f>+HLOOKUP(A344,[238]Hoja1!$2:$78,52,FALSE)</f>
        <v>0</v>
      </c>
      <c r="U344" s="453">
        <f t="shared" si="31"/>
        <v>0</v>
      </c>
      <c r="X344" s="458">
        <f t="shared" si="35"/>
        <v>0</v>
      </c>
      <c r="Y344" s="471">
        <f t="shared" si="34"/>
        <v>0</v>
      </c>
    </row>
    <row r="345" spans="1:25" ht="25.5">
      <c r="A345" s="383">
        <v>30</v>
      </c>
      <c r="C345" s="406"/>
      <c r="D345" s="407"/>
      <c r="E345" s="407"/>
      <c r="F345" s="407"/>
      <c r="G345" s="407"/>
      <c r="H345" s="407"/>
      <c r="I345" s="408" t="s">
        <v>441</v>
      </c>
      <c r="J345" s="409" t="str">
        <f t="shared" si="32"/>
        <v>UND= Cant de elementos</v>
      </c>
      <c r="K345" s="410" t="str">
        <f t="shared" si="37"/>
        <v>UND</v>
      </c>
      <c r="L345" s="411"/>
      <c r="M345" s="412"/>
      <c r="N345" s="442"/>
      <c r="O345" s="442"/>
      <c r="P345" s="412"/>
      <c r="Q345" s="413"/>
      <c r="R345" s="413">
        <f t="shared" si="33"/>
        <v>2</v>
      </c>
      <c r="S345" s="414">
        <f>+HLOOKUP(A345,[238]Hoja1!$2:$78,52,FALSE)</f>
        <v>2</v>
      </c>
      <c r="U345" s="453">
        <f t="shared" si="31"/>
        <v>2</v>
      </c>
      <c r="X345" s="458">
        <f t="shared" si="35"/>
        <v>0</v>
      </c>
      <c r="Y345" s="471">
        <f t="shared" si="34"/>
        <v>0</v>
      </c>
    </row>
    <row r="346" spans="1:25" ht="25.5">
      <c r="A346" s="383">
        <v>31</v>
      </c>
      <c r="C346" s="406"/>
      <c r="D346" s="407"/>
      <c r="E346" s="407"/>
      <c r="F346" s="407"/>
      <c r="G346" s="407"/>
      <c r="H346" s="407"/>
      <c r="I346" s="408" t="s">
        <v>442</v>
      </c>
      <c r="J346" s="409" t="str">
        <f t="shared" si="32"/>
        <v>UND= Cant de elementos</v>
      </c>
      <c r="K346" s="410" t="str">
        <f t="shared" si="37"/>
        <v>UND</v>
      </c>
      <c r="L346" s="411"/>
      <c r="M346" s="412"/>
      <c r="N346" s="442"/>
      <c r="O346" s="442"/>
      <c r="P346" s="449"/>
      <c r="Q346" s="413"/>
      <c r="R346" s="413">
        <f t="shared" si="33"/>
        <v>0</v>
      </c>
      <c r="S346" s="414">
        <f>+HLOOKUP(A346,[238]Hoja1!$2:$78,52,FALSE)</f>
        <v>0</v>
      </c>
      <c r="U346" s="453">
        <f t="shared" si="31"/>
        <v>0</v>
      </c>
      <c r="X346" s="458">
        <f t="shared" si="35"/>
        <v>0</v>
      </c>
      <c r="Y346" s="471">
        <f t="shared" si="34"/>
        <v>0</v>
      </c>
    </row>
    <row r="347" spans="1:25" ht="25.5">
      <c r="A347" s="383">
        <v>32</v>
      </c>
      <c r="C347" s="406"/>
      <c r="D347" s="407"/>
      <c r="E347" s="407"/>
      <c r="F347" s="407"/>
      <c r="G347" s="407"/>
      <c r="H347" s="407"/>
      <c r="I347" s="408" t="s">
        <v>443</v>
      </c>
      <c r="J347" s="409" t="str">
        <f t="shared" si="32"/>
        <v>UND= Cant de elementos</v>
      </c>
      <c r="K347" s="410" t="str">
        <f t="shared" si="37"/>
        <v>UND</v>
      </c>
      <c r="L347" s="411"/>
      <c r="M347" s="412"/>
      <c r="N347" s="442"/>
      <c r="O347" s="442"/>
      <c r="P347" s="412"/>
      <c r="Q347" s="413"/>
      <c r="R347" s="413">
        <f t="shared" si="33"/>
        <v>2</v>
      </c>
      <c r="S347" s="414">
        <f>+HLOOKUP(A347,[238]Hoja1!$2:$78,52,FALSE)</f>
        <v>2</v>
      </c>
      <c r="U347" s="453">
        <f t="shared" si="31"/>
        <v>2</v>
      </c>
      <c r="X347" s="458">
        <f t="shared" si="35"/>
        <v>0</v>
      </c>
      <c r="Y347" s="471">
        <f t="shared" si="34"/>
        <v>0</v>
      </c>
    </row>
    <row r="348" spans="1:25" ht="25.5">
      <c r="A348" s="383">
        <v>33</v>
      </c>
      <c r="C348" s="406"/>
      <c r="D348" s="407"/>
      <c r="E348" s="407"/>
      <c r="F348" s="407"/>
      <c r="G348" s="407"/>
      <c r="H348" s="407"/>
      <c r="I348" s="408" t="s">
        <v>444</v>
      </c>
      <c r="J348" s="409" t="str">
        <f t="shared" si="32"/>
        <v>UND= Cant de elementos</v>
      </c>
      <c r="K348" s="410" t="str">
        <f t="shared" si="37"/>
        <v>UND</v>
      </c>
      <c r="L348" s="411"/>
      <c r="M348" s="412"/>
      <c r="N348" s="442"/>
      <c r="O348" s="442"/>
      <c r="P348" s="412"/>
      <c r="Q348" s="413"/>
      <c r="R348" s="413">
        <f t="shared" si="33"/>
        <v>0</v>
      </c>
      <c r="S348" s="414">
        <f>+HLOOKUP(A348,[238]Hoja1!$2:$78,52,FALSE)</f>
        <v>0</v>
      </c>
      <c r="U348" s="453">
        <f t="shared" si="31"/>
        <v>0</v>
      </c>
      <c r="X348" s="458">
        <f t="shared" si="35"/>
        <v>0</v>
      </c>
      <c r="Y348" s="471">
        <f t="shared" si="34"/>
        <v>0</v>
      </c>
    </row>
    <row r="349" spans="1:25" ht="25.5">
      <c r="A349" s="383">
        <v>34</v>
      </c>
      <c r="C349" s="406"/>
      <c r="D349" s="407"/>
      <c r="E349" s="407"/>
      <c r="F349" s="407"/>
      <c r="G349" s="407"/>
      <c r="H349" s="407"/>
      <c r="I349" s="408" t="s">
        <v>445</v>
      </c>
      <c r="J349" s="409" t="str">
        <f t="shared" si="32"/>
        <v>UND= Cant de elementos</v>
      </c>
      <c r="K349" s="410" t="str">
        <f t="shared" si="37"/>
        <v>UND</v>
      </c>
      <c r="L349" s="411"/>
      <c r="M349" s="412"/>
      <c r="N349" s="443"/>
      <c r="O349" s="443"/>
      <c r="P349" s="412"/>
      <c r="Q349" s="413"/>
      <c r="R349" s="413">
        <f t="shared" si="33"/>
        <v>0</v>
      </c>
      <c r="S349" s="414">
        <f>+HLOOKUP(A349,[238]Hoja1!$2:$78,52,FALSE)</f>
        <v>0</v>
      </c>
      <c r="U349" s="453">
        <f t="shared" si="31"/>
        <v>0</v>
      </c>
      <c r="X349" s="458">
        <f t="shared" si="35"/>
        <v>0</v>
      </c>
      <c r="Y349" s="471">
        <f t="shared" si="34"/>
        <v>0</v>
      </c>
    </row>
    <row r="350" spans="1:25" ht="25.5">
      <c r="A350" s="383">
        <v>35</v>
      </c>
      <c r="C350" s="406"/>
      <c r="D350" s="440"/>
      <c r="E350" s="407"/>
      <c r="F350" s="407"/>
      <c r="G350" s="407"/>
      <c r="H350" s="437"/>
      <c r="I350" s="408" t="s">
        <v>446</v>
      </c>
      <c r="J350" s="409" t="str">
        <f t="shared" si="32"/>
        <v>UND= Cant de elementos</v>
      </c>
      <c r="K350" s="410" t="str">
        <f t="shared" si="37"/>
        <v>UND</v>
      </c>
      <c r="L350" s="411"/>
      <c r="M350" s="412"/>
      <c r="N350" s="442"/>
      <c r="O350" s="442"/>
      <c r="P350" s="413"/>
      <c r="Q350" s="413"/>
      <c r="R350" s="413">
        <f t="shared" si="33"/>
        <v>0</v>
      </c>
      <c r="S350" s="414">
        <f>+HLOOKUP(A350,[238]Hoja1!$2:$78,52,FALSE)</f>
        <v>0</v>
      </c>
      <c r="U350" s="453">
        <f t="shared" si="31"/>
        <v>0</v>
      </c>
      <c r="X350" s="458">
        <f t="shared" si="35"/>
        <v>0</v>
      </c>
      <c r="Y350" s="471">
        <f t="shared" si="34"/>
        <v>0</v>
      </c>
    </row>
    <row r="351" spans="1:25" ht="25.5">
      <c r="A351" s="383">
        <v>36</v>
      </c>
      <c r="C351" s="406"/>
      <c r="D351" s="407"/>
      <c r="E351" s="407"/>
      <c r="F351" s="407"/>
      <c r="G351" s="407"/>
      <c r="H351" s="407"/>
      <c r="I351" s="408" t="s">
        <v>447</v>
      </c>
      <c r="J351" s="409" t="str">
        <f t="shared" si="32"/>
        <v>UND= Cant de elementos</v>
      </c>
      <c r="K351" s="410" t="str">
        <f>+K340</f>
        <v>UND</v>
      </c>
      <c r="L351" s="411"/>
      <c r="M351" s="412"/>
      <c r="N351" s="442"/>
      <c r="O351" s="442"/>
      <c r="P351" s="412"/>
      <c r="Q351" s="413"/>
      <c r="R351" s="413">
        <f t="shared" si="33"/>
        <v>2</v>
      </c>
      <c r="S351" s="414">
        <f>+HLOOKUP(A351,[238]Hoja1!$2:$78,52,FALSE)</f>
        <v>2</v>
      </c>
      <c r="U351" s="453">
        <f t="shared" si="31"/>
        <v>2</v>
      </c>
      <c r="X351" s="458">
        <f t="shared" si="35"/>
        <v>0</v>
      </c>
      <c r="Y351" s="471">
        <f t="shared" si="34"/>
        <v>0</v>
      </c>
    </row>
    <row r="352" spans="1:25" ht="25.5">
      <c r="A352" s="383">
        <v>37</v>
      </c>
      <c r="C352" s="406"/>
      <c r="D352" s="407"/>
      <c r="E352" s="407"/>
      <c r="F352" s="407"/>
      <c r="G352" s="407"/>
      <c r="H352" s="407"/>
      <c r="I352" s="408" t="s">
        <v>448</v>
      </c>
      <c r="J352" s="409" t="str">
        <f t="shared" si="32"/>
        <v>UND= Cant de elementos</v>
      </c>
      <c r="K352" s="410" t="str">
        <f t="shared" ref="K352:K358" si="38">+K351</f>
        <v>UND</v>
      </c>
      <c r="L352" s="411"/>
      <c r="M352" s="412"/>
      <c r="N352" s="442"/>
      <c r="O352" s="442"/>
      <c r="P352" s="413"/>
      <c r="Q352" s="451"/>
      <c r="R352" s="413">
        <f t="shared" si="33"/>
        <v>2</v>
      </c>
      <c r="S352" s="414">
        <f>+HLOOKUP(A352,[238]Hoja1!$2:$78,52,FALSE)</f>
        <v>2</v>
      </c>
      <c r="U352" s="453">
        <f t="shared" si="31"/>
        <v>2</v>
      </c>
      <c r="X352" s="458">
        <f t="shared" si="35"/>
        <v>0</v>
      </c>
      <c r="Y352" s="471">
        <f t="shared" si="34"/>
        <v>0</v>
      </c>
    </row>
    <row r="353" spans="1:25" ht="25.5">
      <c r="A353" s="383">
        <v>38</v>
      </c>
      <c r="C353" s="406"/>
      <c r="D353" s="440"/>
      <c r="E353" s="407"/>
      <c r="F353" s="407"/>
      <c r="G353" s="407"/>
      <c r="H353" s="437"/>
      <c r="I353" s="408" t="s">
        <v>449</v>
      </c>
      <c r="J353" s="409" t="str">
        <f t="shared" si="32"/>
        <v>UND= Cant de elementos</v>
      </c>
      <c r="K353" s="410" t="str">
        <f t="shared" si="38"/>
        <v>UND</v>
      </c>
      <c r="L353" s="411"/>
      <c r="M353" s="412"/>
      <c r="N353" s="442"/>
      <c r="O353" s="442"/>
      <c r="P353" s="413"/>
      <c r="Q353" s="413"/>
      <c r="R353" s="413">
        <f t="shared" si="33"/>
        <v>0</v>
      </c>
      <c r="S353" s="414">
        <f>+HLOOKUP(A353,[238]Hoja1!$2:$78,52,FALSE)</f>
        <v>0</v>
      </c>
      <c r="U353" s="453">
        <f t="shared" si="31"/>
        <v>0</v>
      </c>
      <c r="X353" s="458">
        <f t="shared" si="35"/>
        <v>0</v>
      </c>
      <c r="Y353" s="471">
        <f t="shared" si="34"/>
        <v>0</v>
      </c>
    </row>
    <row r="354" spans="1:25" ht="25.5">
      <c r="A354" s="383">
        <v>39</v>
      </c>
      <c r="C354" s="406"/>
      <c r="D354" s="407"/>
      <c r="E354" s="407"/>
      <c r="F354" s="407"/>
      <c r="G354" s="407"/>
      <c r="H354" s="407"/>
      <c r="I354" s="408" t="s">
        <v>450</v>
      </c>
      <c r="J354" s="409" t="str">
        <f t="shared" si="32"/>
        <v>UND= Cant de elementos</v>
      </c>
      <c r="K354" s="410" t="str">
        <f t="shared" si="38"/>
        <v>UND</v>
      </c>
      <c r="L354" s="411"/>
      <c r="M354" s="412"/>
      <c r="N354" s="441"/>
      <c r="O354" s="441"/>
      <c r="P354" s="412"/>
      <c r="Q354" s="413"/>
      <c r="R354" s="413">
        <f t="shared" si="33"/>
        <v>0</v>
      </c>
      <c r="S354" s="414">
        <f>+HLOOKUP(A354,[238]Hoja1!$2:$78,52,FALSE)</f>
        <v>0</v>
      </c>
      <c r="U354" s="453">
        <f t="shared" si="31"/>
        <v>0</v>
      </c>
      <c r="X354" s="458">
        <f t="shared" si="35"/>
        <v>0</v>
      </c>
      <c r="Y354" s="471">
        <f t="shared" si="34"/>
        <v>0</v>
      </c>
    </row>
    <row r="355" spans="1:25" ht="25.5">
      <c r="A355" s="383">
        <v>40</v>
      </c>
      <c r="C355" s="406"/>
      <c r="D355" s="407"/>
      <c r="E355" s="407"/>
      <c r="F355" s="407"/>
      <c r="G355" s="407"/>
      <c r="H355" s="407"/>
      <c r="I355" s="408" t="s">
        <v>451</v>
      </c>
      <c r="J355" s="409" t="str">
        <f t="shared" si="32"/>
        <v>UND= Cant de elementos</v>
      </c>
      <c r="K355" s="410" t="str">
        <f t="shared" si="38"/>
        <v>UND</v>
      </c>
      <c r="L355" s="411"/>
      <c r="M355" s="412"/>
      <c r="N355" s="442"/>
      <c r="O355" s="442"/>
      <c r="P355" s="412"/>
      <c r="Q355" s="413"/>
      <c r="R355" s="413">
        <f t="shared" si="33"/>
        <v>2</v>
      </c>
      <c r="S355" s="414">
        <f>+HLOOKUP(A355,[238]Hoja1!$2:$78,52,FALSE)</f>
        <v>2</v>
      </c>
      <c r="U355" s="453">
        <f t="shared" si="31"/>
        <v>2</v>
      </c>
      <c r="X355" s="458">
        <f t="shared" si="35"/>
        <v>0</v>
      </c>
      <c r="Y355" s="471">
        <f t="shared" si="34"/>
        <v>0</v>
      </c>
    </row>
    <row r="356" spans="1:25" ht="25.5">
      <c r="A356" s="383">
        <v>41</v>
      </c>
      <c r="C356" s="406"/>
      <c r="D356" s="407"/>
      <c r="E356" s="407"/>
      <c r="F356" s="407"/>
      <c r="G356" s="407"/>
      <c r="H356" s="407"/>
      <c r="I356" s="408" t="s">
        <v>452</v>
      </c>
      <c r="J356" s="409" t="str">
        <f t="shared" si="32"/>
        <v>UND= Cant de elementos</v>
      </c>
      <c r="K356" s="410" t="str">
        <f t="shared" si="38"/>
        <v>UND</v>
      </c>
      <c r="L356" s="411"/>
      <c r="M356" s="412"/>
      <c r="N356" s="442"/>
      <c r="O356" s="442"/>
      <c r="P356" s="413"/>
      <c r="Q356" s="413"/>
      <c r="R356" s="413">
        <f t="shared" si="33"/>
        <v>0</v>
      </c>
      <c r="S356" s="414">
        <f>+HLOOKUP(A356,[238]Hoja1!$2:$78,52,FALSE)</f>
        <v>0</v>
      </c>
      <c r="U356" s="453">
        <f t="shared" si="31"/>
        <v>0</v>
      </c>
      <c r="X356" s="458">
        <f t="shared" si="35"/>
        <v>0</v>
      </c>
      <c r="Y356" s="471">
        <f t="shared" si="34"/>
        <v>0</v>
      </c>
    </row>
    <row r="357" spans="1:25" ht="25.5">
      <c r="A357" s="383">
        <v>42</v>
      </c>
      <c r="C357" s="406"/>
      <c r="D357" s="407"/>
      <c r="E357" s="407"/>
      <c r="F357" s="407"/>
      <c r="G357" s="407"/>
      <c r="H357" s="407"/>
      <c r="I357" s="408" t="s">
        <v>453</v>
      </c>
      <c r="J357" s="409" t="str">
        <f t="shared" si="32"/>
        <v>UND= Cant de elementos</v>
      </c>
      <c r="K357" s="410" t="str">
        <f t="shared" si="38"/>
        <v>UND</v>
      </c>
      <c r="L357" s="411"/>
      <c r="M357" s="412"/>
      <c r="N357" s="442"/>
      <c r="O357" s="442"/>
      <c r="P357" s="412"/>
      <c r="Q357" s="413"/>
      <c r="R357" s="413">
        <f t="shared" si="33"/>
        <v>0</v>
      </c>
      <c r="S357" s="414">
        <f>+HLOOKUP(A357,[238]Hoja1!$2:$78,52,FALSE)</f>
        <v>0</v>
      </c>
      <c r="U357" s="453">
        <f t="shared" si="31"/>
        <v>0</v>
      </c>
      <c r="X357" s="458">
        <f t="shared" si="35"/>
        <v>0</v>
      </c>
      <c r="Y357" s="471">
        <f t="shared" si="34"/>
        <v>0</v>
      </c>
    </row>
    <row r="358" spans="1:25" ht="26.25" thickBot="1">
      <c r="A358" s="383">
        <v>43</v>
      </c>
      <c r="C358" s="406"/>
      <c r="D358" s="407"/>
      <c r="E358" s="407"/>
      <c r="F358" s="407"/>
      <c r="G358" s="407"/>
      <c r="H358" s="407"/>
      <c r="I358" s="408" t="s">
        <v>454</v>
      </c>
      <c r="J358" s="409" t="str">
        <f t="shared" si="32"/>
        <v>UND= Cant de elementos</v>
      </c>
      <c r="K358" s="410" t="str">
        <f t="shared" si="38"/>
        <v>UND</v>
      </c>
      <c r="L358" s="411"/>
      <c r="M358" s="412"/>
      <c r="N358" s="442"/>
      <c r="O358" s="442"/>
      <c r="P358" s="412"/>
      <c r="Q358" s="413"/>
      <c r="R358" s="413">
        <f t="shared" si="33"/>
        <v>0</v>
      </c>
      <c r="S358" s="414">
        <f>+HLOOKUP(A358,[238]Hoja1!$2:$78,52,FALSE)</f>
        <v>0</v>
      </c>
      <c r="U358" s="453">
        <f t="shared" si="31"/>
        <v>0</v>
      </c>
      <c r="X358" s="458">
        <f t="shared" si="35"/>
        <v>0</v>
      </c>
      <c r="Y358" s="471">
        <f t="shared" si="34"/>
        <v>0</v>
      </c>
    </row>
    <row r="359" spans="1:25">
      <c r="C359" s="384"/>
      <c r="D359" s="419"/>
      <c r="E359" s="420"/>
      <c r="F359" s="421"/>
      <c r="G359" s="421"/>
      <c r="H359" s="421"/>
      <c r="I359" s="421"/>
      <c r="J359" s="422"/>
      <c r="K359" s="421"/>
      <c r="L359" s="421"/>
      <c r="M359" s="421"/>
      <c r="N359" s="421"/>
      <c r="O359" s="421"/>
      <c r="P359" s="421"/>
      <c r="Q359" s="421"/>
      <c r="R359" s="422"/>
      <c r="S359" s="423"/>
    </row>
    <row r="360" spans="1:25">
      <c r="C360" s="396"/>
      <c r="D360" s="397"/>
      <c r="E360" s="424"/>
      <c r="F360" s="425"/>
      <c r="G360" s="425"/>
      <c r="H360" s="425"/>
      <c r="I360" s="425"/>
      <c r="J360" s="398"/>
      <c r="K360" s="425"/>
      <c r="L360" s="425"/>
      <c r="M360" s="397"/>
      <c r="N360" s="397"/>
      <c r="O360" s="562" t="s">
        <v>455</v>
      </c>
      <c r="P360" s="563"/>
      <c r="Q360" s="564"/>
      <c r="R360" s="426"/>
      <c r="S360" s="427">
        <f>ROUND(SUM(S316:S359),2)</f>
        <v>37</v>
      </c>
    </row>
    <row r="361" spans="1:25">
      <c r="C361" s="396"/>
      <c r="D361" s="397"/>
      <c r="E361" s="424"/>
      <c r="F361" s="425"/>
      <c r="G361" s="425"/>
      <c r="H361" s="425"/>
      <c r="I361" s="425"/>
      <c r="J361" s="398"/>
      <c r="K361" s="425"/>
      <c r="L361" s="425"/>
      <c r="M361" s="428"/>
      <c r="N361" s="428"/>
      <c r="O361" s="429"/>
      <c r="P361" s="425"/>
      <c r="Q361" s="425"/>
      <c r="R361" s="430"/>
      <c r="S361" s="431"/>
    </row>
    <row r="362" spans="1:25">
      <c r="C362" s="565" t="e">
        <v>#REF!</v>
      </c>
      <c r="D362" s="566"/>
      <c r="E362" s="566"/>
      <c r="F362" s="566"/>
      <c r="G362" s="566"/>
      <c r="H362" s="566"/>
      <c r="I362" s="566"/>
      <c r="J362" s="566"/>
      <c r="K362" s="566"/>
      <c r="L362" s="566"/>
      <c r="M362" s="566"/>
      <c r="N362" s="567"/>
      <c r="O362" s="568" t="s">
        <v>422</v>
      </c>
      <c r="P362" s="568"/>
      <c r="Q362" s="568"/>
      <c r="R362" s="426"/>
      <c r="S362" s="427">
        <f>S360</f>
        <v>37</v>
      </c>
    </row>
    <row r="363" spans="1:25">
      <c r="C363" s="396"/>
      <c r="D363" s="397"/>
      <c r="E363" s="424"/>
      <c r="F363" s="425"/>
      <c r="G363" s="425"/>
      <c r="H363" s="425"/>
      <c r="I363" s="425"/>
      <c r="J363" s="398"/>
      <c r="K363" s="425"/>
      <c r="L363" s="425"/>
      <c r="M363" s="428"/>
      <c r="N363" s="428"/>
      <c r="O363" s="429"/>
      <c r="P363" s="425"/>
      <c r="Q363" s="398"/>
      <c r="R363" s="398"/>
      <c r="S363" s="432"/>
    </row>
    <row r="364" spans="1:25">
      <c r="C364" s="396"/>
      <c r="D364" s="397"/>
      <c r="E364" s="424"/>
      <c r="F364" s="425"/>
      <c r="G364" s="425"/>
      <c r="H364" s="425"/>
      <c r="I364" s="425"/>
      <c r="J364" s="398"/>
      <c r="K364" s="425"/>
      <c r="L364" s="425"/>
      <c r="M364" s="428"/>
      <c r="N364" s="428"/>
      <c r="O364" s="429"/>
      <c r="P364" s="425"/>
      <c r="Q364" s="398"/>
      <c r="R364" s="398"/>
      <c r="S364" s="432"/>
    </row>
    <row r="365" spans="1:25">
      <c r="C365" s="569" t="s">
        <v>423</v>
      </c>
      <c r="D365" s="570"/>
      <c r="E365" s="570"/>
      <c r="F365" s="570"/>
      <c r="G365" s="570"/>
      <c r="H365" s="570"/>
      <c r="I365" s="570"/>
      <c r="J365" s="571"/>
      <c r="K365" s="433" t="s">
        <v>424</v>
      </c>
      <c r="L365" s="434"/>
      <c r="M365" s="434"/>
      <c r="N365" s="434"/>
      <c r="O365" s="434"/>
      <c r="P365" s="434"/>
      <c r="Q365" s="434"/>
      <c r="R365" s="434"/>
      <c r="S365" s="435"/>
    </row>
    <row r="366" spans="1:25">
      <c r="C366" s="542"/>
      <c r="D366" s="543"/>
      <c r="E366" s="543"/>
      <c r="F366" s="543"/>
      <c r="G366" s="436"/>
      <c r="H366" s="436"/>
      <c r="I366" s="436"/>
      <c r="J366" s="447"/>
      <c r="K366" s="436"/>
      <c r="L366" s="407"/>
      <c r="M366" s="407"/>
      <c r="N366" s="407"/>
      <c r="O366" s="407"/>
      <c r="P366" s="407"/>
      <c r="Q366" s="407"/>
      <c r="R366" s="407"/>
      <c r="S366" s="437"/>
    </row>
    <row r="367" spans="1:25">
      <c r="C367" s="542"/>
      <c r="D367" s="543"/>
      <c r="E367" s="543"/>
      <c r="F367" s="543"/>
      <c r="G367" s="436"/>
      <c r="H367" s="436"/>
      <c r="I367" s="436"/>
      <c r="J367" s="447"/>
      <c r="K367" s="436"/>
      <c r="L367" s="407"/>
      <c r="M367" s="407"/>
      <c r="N367" s="407"/>
      <c r="O367" s="407"/>
      <c r="P367" s="407"/>
      <c r="Q367" s="407"/>
      <c r="R367" s="407"/>
      <c r="S367" s="437"/>
    </row>
    <row r="368" spans="1:25">
      <c r="C368" s="542" t="s">
        <v>425</v>
      </c>
      <c r="D368" s="543"/>
      <c r="E368" s="543" t="s">
        <v>425</v>
      </c>
      <c r="F368" s="543"/>
      <c r="G368" s="543" t="s">
        <v>425</v>
      </c>
      <c r="H368" s="543"/>
      <c r="I368" s="543" t="s">
        <v>425</v>
      </c>
      <c r="J368" s="544"/>
      <c r="K368" s="545" t="s">
        <v>426</v>
      </c>
      <c r="L368" s="546"/>
      <c r="M368" s="546"/>
      <c r="N368" s="546"/>
      <c r="O368" s="546"/>
      <c r="P368" s="546"/>
      <c r="Q368" s="546"/>
      <c r="R368" s="546"/>
      <c r="S368" s="547"/>
    </row>
    <row r="369" spans="3:19">
      <c r="C369" s="548" t="str">
        <f>+[42]DATOS!D$8</f>
        <v>HELMER EDUARDO BECERRA SANTANDER</v>
      </c>
      <c r="D369" s="549"/>
      <c r="E369" s="549" t="s">
        <v>427</v>
      </c>
      <c r="F369" s="549"/>
      <c r="G369" s="549" t="s">
        <v>427</v>
      </c>
      <c r="H369" s="549"/>
      <c r="I369" s="549" t="s">
        <v>427</v>
      </c>
      <c r="J369" s="550"/>
      <c r="K369" s="551" t="str">
        <f>+[42]DATOS!D$11</f>
        <v>JESUS IVAN QUIÑONES RUEDA</v>
      </c>
      <c r="L369" s="549"/>
      <c r="M369" s="549"/>
      <c r="N369" s="549"/>
      <c r="O369" s="549"/>
      <c r="P369" s="549"/>
      <c r="Q369" s="549"/>
      <c r="R369" s="549"/>
      <c r="S369" s="552"/>
    </row>
    <row r="370" spans="3:19">
      <c r="C370" s="553" t="str">
        <f>+$C$72</f>
        <v>APOYO SEC. DE PLANEACION Y OBRAS PÚBLICAS</v>
      </c>
      <c r="D370" s="554"/>
      <c r="E370" s="554" t="s">
        <v>428</v>
      </c>
      <c r="F370" s="554"/>
      <c r="G370" s="554" t="s">
        <v>428</v>
      </c>
      <c r="H370" s="554"/>
      <c r="I370" s="554" t="s">
        <v>428</v>
      </c>
      <c r="J370" s="555"/>
      <c r="K370" s="556" t="str">
        <f>+$K$72</f>
        <v>SECRETARIO DE PLANEACION Y OBRAS PÚBLICAS</v>
      </c>
      <c r="L370" s="554"/>
      <c r="M370" s="554"/>
      <c r="N370" s="554"/>
      <c r="O370" s="554"/>
      <c r="P370" s="554"/>
      <c r="Q370" s="554"/>
      <c r="R370" s="554"/>
      <c r="S370" s="557"/>
    </row>
    <row r="371" spans="3:19">
      <c r="C371" s="406"/>
      <c r="D371" s="407"/>
      <c r="E371" s="407"/>
      <c r="F371" s="407"/>
      <c r="G371" s="407"/>
      <c r="H371" s="407"/>
      <c r="I371" s="407"/>
      <c r="J371" s="407"/>
      <c r="K371" s="407"/>
      <c r="L371" s="407"/>
      <c r="M371" s="407"/>
      <c r="N371" s="407"/>
      <c r="O371" s="407"/>
      <c r="P371" s="407"/>
      <c r="Q371" s="407"/>
      <c r="R371" s="407"/>
      <c r="S371" s="437"/>
    </row>
    <row r="372" spans="3:19" ht="111" customHeight="1" thickBot="1">
      <c r="C372" s="417"/>
      <c r="D372" s="418"/>
      <c r="E372" s="418"/>
      <c r="F372" s="418"/>
      <c r="G372" s="418"/>
      <c r="H372" s="418"/>
      <c r="I372" s="418"/>
      <c r="J372" s="418"/>
      <c r="K372" s="418"/>
      <c r="L372" s="418"/>
      <c r="M372" s="418"/>
      <c r="N372" s="418"/>
      <c r="O372" s="418"/>
      <c r="P372" s="418"/>
      <c r="Q372" s="418"/>
      <c r="R372" s="418"/>
      <c r="S372" s="438"/>
    </row>
    <row r="373" spans="3:19" ht="22.5" customHeight="1"/>
    <row r="374" spans="3:19" ht="13.5" thickBot="1"/>
    <row r="375" spans="3:19">
      <c r="C375" s="384"/>
      <c r="D375" s="385"/>
      <c r="E375" s="385"/>
      <c r="F375" s="385"/>
      <c r="G375" s="385"/>
      <c r="H375" s="385"/>
      <c r="I375" s="385"/>
      <c r="J375" s="445"/>
      <c r="K375" s="385"/>
      <c r="L375" s="385"/>
      <c r="M375" s="385"/>
      <c r="N375" s="385"/>
      <c r="O375" s="385"/>
      <c r="P375" s="385"/>
      <c r="Q375" s="385"/>
      <c r="R375" s="385"/>
      <c r="S375" s="386"/>
    </row>
    <row r="376" spans="3:19" ht="121.5" customHeight="1" thickBot="1">
      <c r="C376" s="387"/>
      <c r="D376" s="388"/>
      <c r="E376" s="388"/>
      <c r="F376" s="388"/>
      <c r="G376" s="388"/>
      <c r="H376" s="388"/>
      <c r="I376" s="388"/>
      <c r="J376" s="446"/>
      <c r="K376" s="388"/>
      <c r="L376" s="388"/>
      <c r="M376" s="388"/>
      <c r="N376" s="388"/>
      <c r="O376" s="388"/>
      <c r="P376" s="388"/>
      <c r="Q376" s="388"/>
      <c r="R376" s="388"/>
      <c r="S376" s="389"/>
    </row>
    <row r="377" spans="3:19">
      <c r="C377" s="592" t="str">
        <f>+[42]DATOS!C$7</f>
        <v>MEJORAMIENTO DE VIVIENDA CON ENFOQUE DIFERENCIAL PARA POBLACIÓN VULNERABLE EN EL MUNICIPIO DE CUBARÁ, BOYACÁ (2026).</v>
      </c>
      <c r="D377" s="593"/>
      <c r="E377" s="593"/>
      <c r="F377" s="593"/>
      <c r="G377" s="593"/>
      <c r="H377" s="593"/>
      <c r="I377" s="593"/>
      <c r="J377" s="593"/>
      <c r="K377" s="593"/>
      <c r="L377" s="593"/>
      <c r="M377" s="593"/>
      <c r="N377" s="593"/>
      <c r="O377" s="593"/>
      <c r="P377" s="593"/>
      <c r="Q377" s="593"/>
      <c r="R377" s="593"/>
      <c r="S377" s="594"/>
    </row>
    <row r="378" spans="3:19">
      <c r="C378" s="595"/>
      <c r="D378" s="596"/>
      <c r="E378" s="596"/>
      <c r="F378" s="596"/>
      <c r="G378" s="596"/>
      <c r="H378" s="596"/>
      <c r="I378" s="596"/>
      <c r="J378" s="596"/>
      <c r="K378" s="596"/>
      <c r="L378" s="596"/>
      <c r="M378" s="596"/>
      <c r="N378" s="596"/>
      <c r="O378" s="596"/>
      <c r="P378" s="596"/>
      <c r="Q378" s="596"/>
      <c r="R378" s="596"/>
      <c r="S378" s="597"/>
    </row>
    <row r="379" spans="3:19">
      <c r="C379" s="598" t="s">
        <v>371</v>
      </c>
      <c r="D379" s="599"/>
      <c r="E379" s="599"/>
      <c r="F379" s="599"/>
      <c r="G379" s="599"/>
      <c r="H379" s="599"/>
      <c r="I379" s="599"/>
      <c r="J379" s="599"/>
      <c r="K379" s="599"/>
      <c r="L379" s="599"/>
      <c r="M379" s="599"/>
      <c r="N379" s="599"/>
      <c r="O379" s="599"/>
      <c r="P379" s="599"/>
      <c r="Q379" s="599"/>
      <c r="R379" s="599"/>
      <c r="S379" s="600"/>
    </row>
    <row r="380" spans="3:19">
      <c r="C380" s="586" t="s">
        <v>372</v>
      </c>
      <c r="D380" s="587"/>
      <c r="E380" s="601" t="s">
        <v>373</v>
      </c>
      <c r="F380" s="601"/>
      <c r="G380" s="601"/>
      <c r="H380" s="601"/>
      <c r="I380" s="601"/>
      <c r="J380" s="601"/>
      <c r="K380" s="601"/>
      <c r="L380" s="601"/>
      <c r="M380" s="601"/>
      <c r="N380" s="601"/>
      <c r="O380" s="601"/>
      <c r="P380" s="601"/>
      <c r="Q380" s="601"/>
      <c r="R380" s="601"/>
      <c r="S380" s="602"/>
    </row>
    <row r="381" spans="3:19">
      <c r="C381" s="586" t="s">
        <v>374</v>
      </c>
      <c r="D381" s="587"/>
      <c r="E381" s="603" t="s">
        <v>375</v>
      </c>
      <c r="F381" s="604"/>
      <c r="G381" s="604"/>
      <c r="H381" s="604"/>
      <c r="I381" s="604"/>
      <c r="J381" s="604"/>
      <c r="K381" s="604"/>
      <c r="L381" s="604"/>
      <c r="M381" s="604"/>
      <c r="N381" s="604"/>
      <c r="O381" s="604"/>
      <c r="P381" s="604"/>
      <c r="Q381" s="604"/>
      <c r="R381" s="604"/>
      <c r="S381" s="605"/>
    </row>
    <row r="382" spans="3:19">
      <c r="C382" s="586" t="s">
        <v>376</v>
      </c>
      <c r="D382" s="587"/>
      <c r="E382" s="390">
        <f>+[42]DATOS!F$5</f>
        <v>46143</v>
      </c>
      <c r="F382" s="391"/>
      <c r="G382" s="391"/>
      <c r="H382" s="391"/>
      <c r="I382" s="391"/>
      <c r="J382" s="391"/>
      <c r="K382" s="568" t="s">
        <v>377</v>
      </c>
      <c r="L382" s="568"/>
      <c r="M382" s="588" t="s">
        <v>378</v>
      </c>
      <c r="N382" s="588"/>
      <c r="O382" s="588"/>
      <c r="P382" s="588"/>
      <c r="Q382" s="588"/>
      <c r="R382" s="588"/>
      <c r="S382" s="589"/>
    </row>
    <row r="383" spans="3:19" ht="25.5">
      <c r="C383" s="586" t="s">
        <v>379</v>
      </c>
      <c r="D383" s="587"/>
      <c r="E383" s="590" t="s">
        <v>380</v>
      </c>
      <c r="F383" s="591"/>
      <c r="G383" s="392">
        <f>+[42]DATOS!E$5</f>
        <v>2026</v>
      </c>
      <c r="H383" s="393" t="s">
        <v>381</v>
      </c>
      <c r="I383" s="394">
        <f>+[42]DATOS!E$5</f>
        <v>2026</v>
      </c>
      <c r="J383" s="395"/>
      <c r="K383" s="568" t="s">
        <v>382</v>
      </c>
      <c r="L383" s="568"/>
      <c r="M383" s="588" t="s">
        <v>383</v>
      </c>
      <c r="N383" s="588"/>
      <c r="O383" s="588"/>
      <c r="P383" s="588"/>
      <c r="Q383" s="588"/>
      <c r="R383" s="588"/>
      <c r="S383" s="589"/>
    </row>
    <row r="384" spans="3:19">
      <c r="C384" s="396"/>
      <c r="D384" s="397"/>
      <c r="E384" s="397"/>
      <c r="F384" s="398"/>
      <c r="G384" s="398"/>
      <c r="H384" s="398"/>
      <c r="I384" s="398"/>
      <c r="J384" s="398"/>
      <c r="K384" s="398"/>
      <c r="L384" s="398"/>
      <c r="M384" s="398"/>
      <c r="N384" s="398"/>
      <c r="O384" s="398"/>
      <c r="P384" s="398"/>
      <c r="Q384" s="398"/>
      <c r="R384" s="398"/>
      <c r="S384" s="399"/>
    </row>
    <row r="385" spans="1:25">
      <c r="C385" s="572" t="s">
        <v>384</v>
      </c>
      <c r="D385" s="573"/>
      <c r="E385" s="573"/>
      <c r="F385" s="573"/>
      <c r="G385" s="573"/>
      <c r="H385" s="573"/>
      <c r="I385" s="573"/>
      <c r="J385" s="573"/>
      <c r="K385" s="573"/>
      <c r="L385" s="573"/>
      <c r="M385" s="573"/>
      <c r="N385" s="573"/>
      <c r="O385" s="573"/>
      <c r="P385" s="573"/>
      <c r="Q385" s="573"/>
      <c r="R385" s="573"/>
      <c r="S385" s="574"/>
    </row>
    <row r="386" spans="1:25">
      <c r="C386" s="396"/>
      <c r="D386" s="397"/>
      <c r="E386" s="397"/>
      <c r="F386" s="398"/>
      <c r="G386" s="398"/>
      <c r="H386" s="398"/>
      <c r="I386" s="398"/>
      <c r="J386" s="398"/>
      <c r="K386" s="398"/>
      <c r="L386" s="398"/>
      <c r="M386" s="398"/>
      <c r="N386" s="398"/>
      <c r="O386" s="398"/>
      <c r="P386" s="398"/>
      <c r="Q386" s="398"/>
      <c r="R386" s="398"/>
      <c r="S386" s="399"/>
    </row>
    <row r="387" spans="1:25">
      <c r="C387" s="400" t="s">
        <v>385</v>
      </c>
      <c r="D387" s="575" t="s">
        <v>386</v>
      </c>
      <c r="E387" s="575"/>
      <c r="F387" s="576" t="s">
        <v>387</v>
      </c>
      <c r="G387" s="577"/>
      <c r="H387" s="577"/>
      <c r="I387" s="576" t="s">
        <v>388</v>
      </c>
      <c r="J387" s="576" t="s">
        <v>389</v>
      </c>
      <c r="K387" s="579"/>
      <c r="L387" s="581" t="s">
        <v>390</v>
      </c>
      <c r="M387" s="581"/>
      <c r="N387" s="581"/>
      <c r="O387" s="581"/>
      <c r="P387" s="581"/>
      <c r="Q387" s="581"/>
      <c r="R387" s="581" t="s">
        <v>391</v>
      </c>
      <c r="S387" s="582"/>
    </row>
    <row r="388" spans="1:25" ht="38.25">
      <c r="C388" s="403">
        <f>+'PRESUPUESTO OFICIAL '!C69</f>
        <v>6.01</v>
      </c>
      <c r="D388" s="583" t="str">
        <f>+VLOOKUP(C388,'PRESUPUESTO OFICIAL '!$C$11:$H$103,2)</f>
        <v>MURO EN BLOQUE No 4</v>
      </c>
      <c r="E388" s="584"/>
      <c r="F388" s="585" t="str">
        <f>+VLOOKUP(C388,'PRESUPUESTO OFICIAL '!$C$11:$H$103,3)</f>
        <v>M2</v>
      </c>
      <c r="G388" s="585"/>
      <c r="H388" s="585"/>
      <c r="I388" s="578"/>
      <c r="J388" s="578"/>
      <c r="K388" s="580"/>
      <c r="L388" s="401" t="s">
        <v>392</v>
      </c>
      <c r="M388" s="401" t="s">
        <v>393</v>
      </c>
      <c r="N388" s="401" t="s">
        <v>394</v>
      </c>
      <c r="O388" s="401" t="s">
        <v>395</v>
      </c>
      <c r="P388" s="401" t="s">
        <v>396</v>
      </c>
      <c r="Q388" s="401" t="s">
        <v>397</v>
      </c>
      <c r="R388" s="401" t="s">
        <v>398</v>
      </c>
      <c r="S388" s="402" t="s">
        <v>399</v>
      </c>
      <c r="U388" s="404">
        <f>+C388</f>
        <v>6.01</v>
      </c>
      <c r="V388" s="405">
        <f>+S436</f>
        <v>499.26</v>
      </c>
    </row>
    <row r="389" spans="1:25">
      <c r="C389" s="406"/>
      <c r="D389" s="407"/>
      <c r="E389" s="407"/>
      <c r="F389" s="407"/>
      <c r="G389" s="407"/>
      <c r="H389" s="407"/>
      <c r="I389" s="558"/>
      <c r="J389" s="559"/>
      <c r="K389" s="560"/>
      <c r="L389" s="560"/>
      <c r="M389" s="560"/>
      <c r="N389" s="560"/>
      <c r="O389" s="560"/>
      <c r="P389" s="560"/>
      <c r="Q389" s="560"/>
      <c r="R389" s="560"/>
      <c r="S389" s="561"/>
    </row>
    <row r="390" spans="1:25" ht="25.5">
      <c r="A390" s="383">
        <v>1</v>
      </c>
      <c r="C390" s="406"/>
      <c r="D390" s="407"/>
      <c r="E390" s="407"/>
      <c r="F390" s="407"/>
      <c r="G390" s="407"/>
      <c r="H390" s="407"/>
      <c r="I390" s="408" t="s">
        <v>400</v>
      </c>
      <c r="J390" s="409" t="str">
        <f t="shared" ref="J390:J432" si="39">+VLOOKUP(K390,$AH$22:$AJ$58,2,)</f>
        <v>A=(Ancho x Largo)* Cant</v>
      </c>
      <c r="K390" s="410" t="str">
        <f>+F388</f>
        <v>M2</v>
      </c>
      <c r="L390" s="411"/>
      <c r="M390" s="459"/>
      <c r="N390" s="457"/>
      <c r="O390" s="457"/>
      <c r="P390" s="460"/>
      <c r="Q390" s="460"/>
      <c r="R390" s="460"/>
      <c r="S390" s="414">
        <f>+HLOOKUP(A390,[238]Hoja1!$2:$78,54,FALSE)</f>
        <v>0</v>
      </c>
      <c r="X390" s="458">
        <f>+N390*O390</f>
        <v>0</v>
      </c>
      <c r="Y390" s="471">
        <f>+X390-L390</f>
        <v>0</v>
      </c>
    </row>
    <row r="391" spans="1:25" ht="25.5">
      <c r="A391" s="383">
        <v>2</v>
      </c>
      <c r="C391" s="406"/>
      <c r="D391" s="407"/>
      <c r="E391" s="407"/>
      <c r="F391" s="407"/>
      <c r="G391" s="407"/>
      <c r="H391" s="407"/>
      <c r="I391" s="408" t="s">
        <v>401</v>
      </c>
      <c r="J391" s="409" t="str">
        <f t="shared" si="39"/>
        <v>A=(Ancho x Largo)* Cant</v>
      </c>
      <c r="K391" s="410" t="str">
        <f>+K390</f>
        <v>M2</v>
      </c>
      <c r="L391" s="411">
        <f>+O391*P391</f>
        <v>15.450000000000001</v>
      </c>
      <c r="M391" s="459"/>
      <c r="N391" s="457"/>
      <c r="O391" s="457">
        <f>+S391/P391</f>
        <v>6.3061224489795915</v>
      </c>
      <c r="P391" s="462">
        <v>2.4500000000000002</v>
      </c>
      <c r="Q391" s="460"/>
      <c r="R391" s="460">
        <v>1</v>
      </c>
      <c r="S391" s="414">
        <f>+HLOOKUP(A391,[238]Hoja1!$2:$78,54,FALSE)</f>
        <v>15.45</v>
      </c>
      <c r="X391" s="458" t="e">
        <f>+N391*#REF!</f>
        <v>#REF!</v>
      </c>
      <c r="Y391" s="471" t="e">
        <f t="shared" ref="Y391:Y432" si="40">+X391-L391</f>
        <v>#REF!</v>
      </c>
    </row>
    <row r="392" spans="1:25" ht="25.5">
      <c r="A392" s="383">
        <v>3</v>
      </c>
      <c r="C392" s="406"/>
      <c r="D392" s="407"/>
      <c r="E392" s="407"/>
      <c r="F392" s="407"/>
      <c r="G392" s="407"/>
      <c r="H392" s="407"/>
      <c r="I392" s="408" t="s">
        <v>402</v>
      </c>
      <c r="J392" s="409" t="str">
        <f t="shared" si="39"/>
        <v>A=(Ancho x Largo)* Cant</v>
      </c>
      <c r="K392" s="410" t="str">
        <f>+K391</f>
        <v>M2</v>
      </c>
      <c r="L392" s="411">
        <f t="shared" ref="L392:L432" si="41">+O392*P392</f>
        <v>15.450000000000001</v>
      </c>
      <c r="M392" s="459"/>
      <c r="N392" s="457"/>
      <c r="O392" s="457">
        <f t="shared" ref="O392:O398" si="42">+S392/P392</f>
        <v>6.3061224489795915</v>
      </c>
      <c r="P392" s="462">
        <v>2.4500000000000002</v>
      </c>
      <c r="Q392" s="460"/>
      <c r="R392" s="460">
        <v>1</v>
      </c>
      <c r="S392" s="414">
        <f>+HLOOKUP(A392,[238]Hoja1!$2:$78,54,FALSE)</f>
        <v>15.45</v>
      </c>
      <c r="X392" s="458">
        <f t="shared" ref="X392:X432" si="43">+N392*O392</f>
        <v>0</v>
      </c>
      <c r="Y392" s="471">
        <f t="shared" si="40"/>
        <v>-15.450000000000001</v>
      </c>
    </row>
    <row r="393" spans="1:25" ht="25.5">
      <c r="A393" s="383">
        <v>4</v>
      </c>
      <c r="C393" s="406"/>
      <c r="D393" s="407"/>
      <c r="E393" s="407"/>
      <c r="F393" s="407"/>
      <c r="G393" s="407"/>
      <c r="H393" s="407"/>
      <c r="I393" s="408" t="s">
        <v>403</v>
      </c>
      <c r="J393" s="409" t="str">
        <f t="shared" si="39"/>
        <v>A=(Ancho x Largo)* Cant</v>
      </c>
      <c r="K393" s="410" t="str">
        <f>+K392</f>
        <v>M2</v>
      </c>
      <c r="L393" s="411">
        <f t="shared" si="41"/>
        <v>15.450000000000001</v>
      </c>
      <c r="M393" s="459"/>
      <c r="N393" s="457"/>
      <c r="O393" s="457">
        <f t="shared" si="42"/>
        <v>6.3061224489795915</v>
      </c>
      <c r="P393" s="462">
        <v>2.4500000000000002</v>
      </c>
      <c r="Q393" s="460"/>
      <c r="R393" s="460">
        <v>1</v>
      </c>
      <c r="S393" s="414">
        <f>+HLOOKUP(A393,[238]Hoja1!$2:$78,54,FALSE)</f>
        <v>15.45</v>
      </c>
      <c r="X393" s="458">
        <f t="shared" si="43"/>
        <v>0</v>
      </c>
      <c r="Y393" s="471">
        <f t="shared" si="40"/>
        <v>-15.450000000000001</v>
      </c>
    </row>
    <row r="394" spans="1:25" ht="25.5">
      <c r="A394" s="383">
        <v>5</v>
      </c>
      <c r="C394" s="406"/>
      <c r="D394" s="407"/>
      <c r="E394" s="407"/>
      <c r="F394" s="407"/>
      <c r="G394" s="407"/>
      <c r="H394" s="407"/>
      <c r="I394" s="408" t="s">
        <v>405</v>
      </c>
      <c r="J394" s="409" t="str">
        <f t="shared" si="39"/>
        <v>A=(Ancho x Largo)* Cant</v>
      </c>
      <c r="K394" s="410" t="str">
        <f>+K393</f>
        <v>M2</v>
      </c>
      <c r="L394" s="411">
        <f t="shared" si="41"/>
        <v>15.450000000000001</v>
      </c>
      <c r="M394" s="459"/>
      <c r="N394" s="457"/>
      <c r="O394" s="457">
        <f t="shared" si="42"/>
        <v>6.3061224489795915</v>
      </c>
      <c r="P394" s="462">
        <v>2.4500000000000002</v>
      </c>
      <c r="Q394" s="460"/>
      <c r="R394" s="460">
        <v>1</v>
      </c>
      <c r="S394" s="414">
        <f>+HLOOKUP(A394,[238]Hoja1!$2:$78,54,FALSE)</f>
        <v>15.45</v>
      </c>
      <c r="X394" s="458">
        <f t="shared" si="43"/>
        <v>0</v>
      </c>
      <c r="Y394" s="471">
        <f t="shared" si="40"/>
        <v>-15.450000000000001</v>
      </c>
    </row>
    <row r="395" spans="1:25" ht="25.5">
      <c r="A395" s="383">
        <v>6</v>
      </c>
      <c r="C395" s="406"/>
      <c r="D395" s="407"/>
      <c r="E395" s="407"/>
      <c r="F395" s="407"/>
      <c r="G395" s="407"/>
      <c r="H395" s="407"/>
      <c r="I395" s="408" t="s">
        <v>407</v>
      </c>
      <c r="J395" s="409" t="str">
        <f t="shared" si="39"/>
        <v>A=(Ancho x Largo)* Cant</v>
      </c>
      <c r="K395" s="410" t="str">
        <f>+K394</f>
        <v>M2</v>
      </c>
      <c r="L395" s="411">
        <f t="shared" si="41"/>
        <v>16.1754</v>
      </c>
      <c r="M395" s="459"/>
      <c r="N395" s="457"/>
      <c r="O395" s="457">
        <f t="shared" si="42"/>
        <v>6.8250632911392399</v>
      </c>
      <c r="P395" s="462">
        <v>2.37</v>
      </c>
      <c r="Q395" s="460"/>
      <c r="R395" s="460">
        <v>1</v>
      </c>
      <c r="S395" s="414">
        <f>+HLOOKUP(A395,[238]Hoja1!$2:$78,54,FALSE)</f>
        <v>16.1754</v>
      </c>
      <c r="X395" s="458">
        <f t="shared" si="43"/>
        <v>0</v>
      </c>
      <c r="Y395" s="471">
        <f t="shared" si="40"/>
        <v>-16.1754</v>
      </c>
    </row>
    <row r="396" spans="1:25" ht="25.5">
      <c r="A396" s="383">
        <v>7</v>
      </c>
      <c r="C396" s="406"/>
      <c r="D396" s="407"/>
      <c r="E396" s="407"/>
      <c r="F396" s="407"/>
      <c r="G396" s="407"/>
      <c r="H396" s="407"/>
      <c r="I396" s="408" t="s">
        <v>409</v>
      </c>
      <c r="J396" s="409" t="str">
        <f t="shared" si="39"/>
        <v>A=(Ancho x Largo)* Cant</v>
      </c>
      <c r="K396" s="410" t="str">
        <f>+K390</f>
        <v>M2</v>
      </c>
      <c r="L396" s="411"/>
      <c r="M396" s="459"/>
      <c r="N396" s="457"/>
      <c r="O396" s="457"/>
      <c r="P396" s="462"/>
      <c r="Q396" s="460"/>
      <c r="R396" s="460"/>
      <c r="S396" s="414">
        <f>+HLOOKUP(A396,[238]Hoja1!$2:$78,54,FALSE)</f>
        <v>0</v>
      </c>
      <c r="X396" s="458">
        <f t="shared" si="43"/>
        <v>0</v>
      </c>
      <c r="Y396" s="471">
        <f t="shared" si="40"/>
        <v>0</v>
      </c>
    </row>
    <row r="397" spans="1:25" ht="25.5">
      <c r="A397" s="383">
        <v>8</v>
      </c>
      <c r="C397" s="406"/>
      <c r="D397" s="407"/>
      <c r="E397" s="407"/>
      <c r="F397" s="407"/>
      <c r="G397" s="407"/>
      <c r="H397" s="407"/>
      <c r="I397" s="408" t="s">
        <v>411</v>
      </c>
      <c r="J397" s="409" t="str">
        <f t="shared" si="39"/>
        <v>A=(Ancho x Largo)* Cant</v>
      </c>
      <c r="K397" s="410" t="str">
        <f>+K396</f>
        <v>M2</v>
      </c>
      <c r="L397" s="411">
        <f t="shared" si="41"/>
        <v>28.43</v>
      </c>
      <c r="M397" s="459"/>
      <c r="N397" s="457"/>
      <c r="O397" s="457">
        <f t="shared" si="42"/>
        <v>10.338181818181818</v>
      </c>
      <c r="P397" s="462">
        <v>2.75</v>
      </c>
      <c r="Q397" s="460"/>
      <c r="R397" s="460">
        <v>1</v>
      </c>
      <c r="S397" s="414">
        <f>+HLOOKUP(A397,[238]Hoja1!$2:$78,54,FALSE)</f>
        <v>28.43</v>
      </c>
      <c r="X397" s="458">
        <f t="shared" si="43"/>
        <v>0</v>
      </c>
      <c r="Y397" s="471">
        <f t="shared" si="40"/>
        <v>-28.43</v>
      </c>
    </row>
    <row r="398" spans="1:25" ht="25.5">
      <c r="A398" s="383">
        <v>9</v>
      </c>
      <c r="C398" s="406"/>
      <c r="D398" s="407"/>
      <c r="E398" s="407"/>
      <c r="F398" s="407"/>
      <c r="G398" s="407"/>
      <c r="H398" s="407"/>
      <c r="I398" s="408" t="s">
        <v>412</v>
      </c>
      <c r="J398" s="409" t="str">
        <f t="shared" si="39"/>
        <v>A=(Ancho x Largo)* Cant</v>
      </c>
      <c r="K398" s="410" t="str">
        <f>+K397</f>
        <v>M2</v>
      </c>
      <c r="L398" s="411">
        <f t="shared" si="41"/>
        <v>15.450000000000001</v>
      </c>
      <c r="M398" s="459"/>
      <c r="N398" s="457"/>
      <c r="O398" s="457">
        <f t="shared" si="42"/>
        <v>6.3061224489795915</v>
      </c>
      <c r="P398" s="462">
        <v>2.4500000000000002</v>
      </c>
      <c r="Q398" s="460"/>
      <c r="R398" s="460">
        <v>1</v>
      </c>
      <c r="S398" s="414">
        <f>+HLOOKUP(A398,[238]Hoja1!$2:$78,54,FALSE)</f>
        <v>15.45</v>
      </c>
      <c r="X398" s="458">
        <f t="shared" si="43"/>
        <v>0</v>
      </c>
      <c r="Y398" s="471">
        <f t="shared" si="40"/>
        <v>-15.450000000000001</v>
      </c>
    </row>
    <row r="399" spans="1:25" ht="25.5">
      <c r="A399" s="383">
        <v>10</v>
      </c>
      <c r="C399" s="406"/>
      <c r="D399" s="407"/>
      <c r="E399" s="407"/>
      <c r="F399" s="407"/>
      <c r="G399" s="407"/>
      <c r="H399" s="407"/>
      <c r="I399" s="408" t="s">
        <v>413</v>
      </c>
      <c r="J399" s="409" t="str">
        <f t="shared" si="39"/>
        <v>A=(Ancho x Largo)* Cant</v>
      </c>
      <c r="K399" s="410" t="str">
        <f>+K398</f>
        <v>M2</v>
      </c>
      <c r="L399" s="411">
        <f t="shared" si="41"/>
        <v>0</v>
      </c>
      <c r="M399" s="459"/>
      <c r="N399" s="457"/>
      <c r="O399" s="457">
        <f t="shared" ref="O399:O413" si="44">+S399/2.4</f>
        <v>0</v>
      </c>
      <c r="P399" s="462"/>
      <c r="Q399" s="460"/>
      <c r="R399" s="460"/>
      <c r="S399" s="414">
        <f>+HLOOKUP(A399,[238]Hoja1!$2:$78,54,FALSE)</f>
        <v>0</v>
      </c>
      <c r="X399" s="458">
        <f t="shared" si="43"/>
        <v>0</v>
      </c>
      <c r="Y399" s="471">
        <f t="shared" si="40"/>
        <v>0</v>
      </c>
    </row>
    <row r="400" spans="1:25" ht="25.5">
      <c r="A400" s="383">
        <v>11</v>
      </c>
      <c r="C400" s="406"/>
      <c r="D400" s="407"/>
      <c r="E400" s="407"/>
      <c r="F400" s="407"/>
      <c r="G400" s="407"/>
      <c r="H400" s="407"/>
      <c r="I400" s="408" t="s">
        <v>414</v>
      </c>
      <c r="J400" s="409" t="str">
        <f t="shared" si="39"/>
        <v>A=(Ancho x Largo)* Cant</v>
      </c>
      <c r="K400" s="410" t="str">
        <f>+K399</f>
        <v>M2</v>
      </c>
      <c r="L400" s="411">
        <f t="shared" si="41"/>
        <v>0</v>
      </c>
      <c r="M400" s="459"/>
      <c r="N400" s="457"/>
      <c r="O400" s="457">
        <f t="shared" si="44"/>
        <v>0</v>
      </c>
      <c r="P400" s="462"/>
      <c r="Q400" s="460"/>
      <c r="R400" s="460"/>
      <c r="S400" s="414">
        <f>+HLOOKUP(A400,[238]Hoja1!$2:$78,54,FALSE)</f>
        <v>0</v>
      </c>
      <c r="X400" s="458">
        <f t="shared" si="43"/>
        <v>0</v>
      </c>
      <c r="Y400" s="471">
        <f t="shared" si="40"/>
        <v>0</v>
      </c>
    </row>
    <row r="401" spans="1:25" ht="25.5">
      <c r="A401" s="383">
        <v>12</v>
      </c>
      <c r="C401" s="406"/>
      <c r="D401" s="407"/>
      <c r="E401" s="407"/>
      <c r="F401" s="407"/>
      <c r="G401" s="407"/>
      <c r="H401" s="407"/>
      <c r="I401" s="408" t="s">
        <v>415</v>
      </c>
      <c r="J401" s="409" t="str">
        <f t="shared" si="39"/>
        <v>A=(Ancho x Largo)* Cant</v>
      </c>
      <c r="K401" s="410" t="str">
        <f>+K395</f>
        <v>M2</v>
      </c>
      <c r="L401" s="411">
        <f t="shared" si="41"/>
        <v>0</v>
      </c>
      <c r="M401" s="459"/>
      <c r="N401" s="457"/>
      <c r="O401" s="457">
        <f t="shared" si="44"/>
        <v>0</v>
      </c>
      <c r="P401" s="462"/>
      <c r="Q401" s="460"/>
      <c r="R401" s="460"/>
      <c r="S401" s="414">
        <f>+HLOOKUP(A401,[238]Hoja1!$2:$78,54,FALSE)</f>
        <v>0</v>
      </c>
      <c r="X401" s="458">
        <f t="shared" si="43"/>
        <v>0</v>
      </c>
      <c r="Y401" s="471">
        <f t="shared" si="40"/>
        <v>0</v>
      </c>
    </row>
    <row r="402" spans="1:25" ht="25.5">
      <c r="A402" s="383">
        <v>13</v>
      </c>
      <c r="C402" s="406"/>
      <c r="D402" s="407"/>
      <c r="E402" s="407"/>
      <c r="F402" s="407"/>
      <c r="G402" s="407"/>
      <c r="H402" s="407"/>
      <c r="I402" s="408" t="s">
        <v>416</v>
      </c>
      <c r="J402" s="409" t="str">
        <f t="shared" si="39"/>
        <v>A=(Ancho x Largo)* Cant</v>
      </c>
      <c r="K402" s="410" t="str">
        <f>+K397</f>
        <v>M2</v>
      </c>
      <c r="L402" s="411">
        <f t="shared" si="41"/>
        <v>0</v>
      </c>
      <c r="M402" s="459"/>
      <c r="N402" s="457"/>
      <c r="O402" s="457">
        <f t="shared" si="44"/>
        <v>0</v>
      </c>
      <c r="P402" s="462"/>
      <c r="Q402" s="460"/>
      <c r="R402" s="460"/>
      <c r="S402" s="414">
        <f>+HLOOKUP(A402,[238]Hoja1!$2:$78,54,FALSE)</f>
        <v>0</v>
      </c>
      <c r="X402" s="458">
        <f t="shared" si="43"/>
        <v>0</v>
      </c>
      <c r="Y402" s="471">
        <f t="shared" si="40"/>
        <v>0</v>
      </c>
    </row>
    <row r="403" spans="1:25" ht="25.5">
      <c r="A403" s="383">
        <v>14</v>
      </c>
      <c r="C403" s="406"/>
      <c r="D403" s="407"/>
      <c r="E403" s="407"/>
      <c r="F403" s="407"/>
      <c r="G403" s="407"/>
      <c r="H403" s="407"/>
      <c r="I403" s="408" t="s">
        <v>417</v>
      </c>
      <c r="J403" s="409" t="str">
        <f t="shared" si="39"/>
        <v>A=(Ancho x Largo)* Cant</v>
      </c>
      <c r="K403" s="410" t="str">
        <f t="shared" ref="K403:K414" si="45">+K402</f>
        <v>M2</v>
      </c>
      <c r="L403" s="411">
        <f t="shared" si="41"/>
        <v>15.450000000000001</v>
      </c>
      <c r="M403" s="459"/>
      <c r="N403" s="457"/>
      <c r="O403" s="457">
        <f t="shared" ref="O403:O411" si="46">+S403/P403</f>
        <v>6.3061224489795915</v>
      </c>
      <c r="P403" s="462">
        <v>2.4500000000000002</v>
      </c>
      <c r="Q403" s="460"/>
      <c r="R403" s="460">
        <v>1</v>
      </c>
      <c r="S403" s="414">
        <f>+HLOOKUP(A403,[238]Hoja1!$2:$78,54,FALSE)</f>
        <v>15.45</v>
      </c>
      <c r="X403" s="458">
        <f t="shared" si="43"/>
        <v>0</v>
      </c>
      <c r="Y403" s="471">
        <f t="shared" si="40"/>
        <v>-15.450000000000001</v>
      </c>
    </row>
    <row r="404" spans="1:25" ht="25.5">
      <c r="A404" s="383">
        <v>15</v>
      </c>
      <c r="C404" s="406"/>
      <c r="D404" s="407"/>
      <c r="E404" s="407"/>
      <c r="F404" s="407"/>
      <c r="G404" s="407"/>
      <c r="H404" s="407"/>
      <c r="I404" s="408" t="s">
        <v>418</v>
      </c>
      <c r="J404" s="409" t="str">
        <f t="shared" si="39"/>
        <v>A=(Ancho x Largo)* Cant</v>
      </c>
      <c r="K404" s="410" t="str">
        <f t="shared" si="45"/>
        <v>M2</v>
      </c>
      <c r="L404" s="411">
        <f t="shared" si="41"/>
        <v>14.340000000000002</v>
      </c>
      <c r="M404" s="459"/>
      <c r="N404" s="457"/>
      <c r="O404" s="457">
        <f t="shared" si="46"/>
        <v>5.9750000000000005</v>
      </c>
      <c r="P404" s="462">
        <v>2.4</v>
      </c>
      <c r="Q404" s="460"/>
      <c r="R404" s="460">
        <v>1</v>
      </c>
      <c r="S404" s="414">
        <f>+HLOOKUP(A404,[238]Hoja1!$2:$78,54,FALSE)</f>
        <v>14.34</v>
      </c>
      <c r="X404" s="458">
        <f t="shared" si="43"/>
        <v>0</v>
      </c>
      <c r="Y404" s="471">
        <f t="shared" si="40"/>
        <v>-14.340000000000002</v>
      </c>
    </row>
    <row r="405" spans="1:25" ht="25.5">
      <c r="A405" s="383">
        <v>16</v>
      </c>
      <c r="C405" s="406"/>
      <c r="D405" s="407"/>
      <c r="E405" s="407"/>
      <c r="F405" s="407"/>
      <c r="G405" s="407"/>
      <c r="H405" s="407"/>
      <c r="I405" s="408" t="s">
        <v>419</v>
      </c>
      <c r="J405" s="409" t="str">
        <f t="shared" si="39"/>
        <v>A=(Ancho x Largo)* Cant</v>
      </c>
      <c r="K405" s="410" t="str">
        <f t="shared" si="45"/>
        <v>M2</v>
      </c>
      <c r="L405" s="411">
        <f t="shared" si="41"/>
        <v>35.520000000000003</v>
      </c>
      <c r="M405" s="459"/>
      <c r="N405" s="457"/>
      <c r="O405" s="457">
        <f t="shared" si="46"/>
        <v>12.040677966101695</v>
      </c>
      <c r="P405" s="462">
        <v>2.95</v>
      </c>
      <c r="Q405" s="460"/>
      <c r="R405" s="460">
        <v>1</v>
      </c>
      <c r="S405" s="414">
        <f>+HLOOKUP(A405,[238]Hoja1!$2:$78,54,FALSE)</f>
        <v>35.520000000000003</v>
      </c>
      <c r="X405" s="458">
        <f t="shared" si="43"/>
        <v>0</v>
      </c>
      <c r="Y405" s="471">
        <f t="shared" si="40"/>
        <v>-35.520000000000003</v>
      </c>
    </row>
    <row r="406" spans="1:25" ht="25.5">
      <c r="A406" s="383">
        <v>17</v>
      </c>
      <c r="C406" s="406"/>
      <c r="D406" s="407"/>
      <c r="E406" s="407"/>
      <c r="F406" s="407"/>
      <c r="G406" s="407"/>
      <c r="H406" s="407"/>
      <c r="I406" s="408" t="s">
        <v>420</v>
      </c>
      <c r="J406" s="409" t="str">
        <f t="shared" si="39"/>
        <v>A=(Ancho x Largo)* Cant</v>
      </c>
      <c r="K406" s="410" t="str">
        <f t="shared" si="45"/>
        <v>M2</v>
      </c>
      <c r="L406" s="411">
        <f t="shared" si="41"/>
        <v>0</v>
      </c>
      <c r="M406" s="459"/>
      <c r="N406" s="457"/>
      <c r="O406" s="457"/>
      <c r="P406" s="462"/>
      <c r="Q406" s="460"/>
      <c r="R406" s="460"/>
      <c r="S406" s="414">
        <f>+HLOOKUP(A406,[238]Hoja1!$2:$78,54,FALSE)</f>
        <v>0</v>
      </c>
      <c r="X406" s="458">
        <f t="shared" si="43"/>
        <v>0</v>
      </c>
      <c r="Y406" s="471">
        <f t="shared" si="40"/>
        <v>0</v>
      </c>
    </row>
    <row r="407" spans="1:25" ht="25.5">
      <c r="A407" s="383">
        <v>18</v>
      </c>
      <c r="C407" s="406"/>
      <c r="D407" s="407"/>
      <c r="E407" s="407"/>
      <c r="F407" s="407"/>
      <c r="G407" s="407"/>
      <c r="H407" s="407"/>
      <c r="I407" s="408" t="s">
        <v>429</v>
      </c>
      <c r="J407" s="409" t="str">
        <f t="shared" si="39"/>
        <v>A=(Ancho x Largo)* Cant</v>
      </c>
      <c r="K407" s="410" t="str">
        <f t="shared" si="45"/>
        <v>M2</v>
      </c>
      <c r="L407" s="411">
        <f t="shared" si="41"/>
        <v>19.285399999999999</v>
      </c>
      <c r="M407" s="459"/>
      <c r="N407" s="457"/>
      <c r="O407" s="457">
        <f t="shared" si="46"/>
        <v>8.0355833333333333</v>
      </c>
      <c r="P407" s="462">
        <v>2.4</v>
      </c>
      <c r="Q407" s="460"/>
      <c r="R407" s="460">
        <v>1</v>
      </c>
      <c r="S407" s="414">
        <f>+HLOOKUP(A407,[238]Hoja1!$2:$78,54,FALSE)</f>
        <v>19.285399999999999</v>
      </c>
      <c r="X407" s="458">
        <f t="shared" si="43"/>
        <v>0</v>
      </c>
      <c r="Y407" s="471">
        <f t="shared" si="40"/>
        <v>-19.285399999999999</v>
      </c>
    </row>
    <row r="408" spans="1:25" ht="25.5">
      <c r="A408" s="383">
        <v>19</v>
      </c>
      <c r="C408" s="406"/>
      <c r="D408" s="407"/>
      <c r="E408" s="407"/>
      <c r="F408" s="407"/>
      <c r="G408" s="407"/>
      <c r="H408" s="407"/>
      <c r="I408" s="408" t="s">
        <v>430</v>
      </c>
      <c r="J408" s="409" t="str">
        <f t="shared" si="39"/>
        <v>A=(Ancho x Largo)* Cant</v>
      </c>
      <c r="K408" s="410" t="str">
        <f t="shared" si="45"/>
        <v>M2</v>
      </c>
      <c r="L408" s="411">
        <f t="shared" si="41"/>
        <v>15.450000000000001</v>
      </c>
      <c r="M408" s="459"/>
      <c r="N408" s="457"/>
      <c r="O408" s="457">
        <f t="shared" si="46"/>
        <v>6.3061224489795915</v>
      </c>
      <c r="P408" s="462">
        <v>2.4500000000000002</v>
      </c>
      <c r="Q408" s="460"/>
      <c r="R408" s="460">
        <v>1</v>
      </c>
      <c r="S408" s="414">
        <f>+HLOOKUP(A408,[238]Hoja1!$2:$78,54,FALSE)</f>
        <v>15.45</v>
      </c>
      <c r="X408" s="458">
        <f t="shared" si="43"/>
        <v>0</v>
      </c>
      <c r="Y408" s="471">
        <f t="shared" si="40"/>
        <v>-15.450000000000001</v>
      </c>
    </row>
    <row r="409" spans="1:25" ht="25.5">
      <c r="A409" s="383">
        <v>20</v>
      </c>
      <c r="C409" s="406"/>
      <c r="D409" s="407"/>
      <c r="E409" s="407"/>
      <c r="F409" s="407"/>
      <c r="G409" s="407"/>
      <c r="H409" s="407"/>
      <c r="I409" s="408" t="s">
        <v>431</v>
      </c>
      <c r="J409" s="409" t="str">
        <f t="shared" si="39"/>
        <v>A=(Ancho x Largo)* Cant</v>
      </c>
      <c r="K409" s="410" t="str">
        <f t="shared" si="45"/>
        <v>M2</v>
      </c>
      <c r="L409" s="411">
        <f t="shared" si="41"/>
        <v>28.43</v>
      </c>
      <c r="M409" s="459"/>
      <c r="N409" s="457"/>
      <c r="O409" s="457">
        <f t="shared" si="46"/>
        <v>10.338181818181818</v>
      </c>
      <c r="P409" s="462">
        <v>2.75</v>
      </c>
      <c r="Q409" s="460"/>
      <c r="R409" s="460">
        <v>1</v>
      </c>
      <c r="S409" s="414">
        <f>+HLOOKUP(A409,[238]Hoja1!$2:$78,54,FALSE)</f>
        <v>28.43</v>
      </c>
      <c r="X409" s="458">
        <f t="shared" si="43"/>
        <v>0</v>
      </c>
      <c r="Y409" s="471">
        <f t="shared" si="40"/>
        <v>-28.43</v>
      </c>
    </row>
    <row r="410" spans="1:25" ht="25.5">
      <c r="A410" s="383">
        <v>21</v>
      </c>
      <c r="C410" s="406"/>
      <c r="D410" s="407"/>
      <c r="E410" s="407"/>
      <c r="F410" s="407"/>
      <c r="G410" s="407"/>
      <c r="H410" s="407"/>
      <c r="I410" s="408" t="s">
        <v>432</v>
      </c>
      <c r="J410" s="409" t="str">
        <f t="shared" si="39"/>
        <v>A=(Ancho x Largo)* Cant</v>
      </c>
      <c r="K410" s="410" t="str">
        <f t="shared" si="45"/>
        <v>M2</v>
      </c>
      <c r="L410" s="411">
        <f t="shared" si="41"/>
        <v>26.29</v>
      </c>
      <c r="M410" s="459"/>
      <c r="N410" s="457"/>
      <c r="O410" s="457">
        <f t="shared" si="46"/>
        <v>8.7633333333333336</v>
      </c>
      <c r="P410" s="462">
        <v>3</v>
      </c>
      <c r="Q410" s="460"/>
      <c r="R410" s="460">
        <v>1</v>
      </c>
      <c r="S410" s="414">
        <f>+HLOOKUP(A410,[238]Hoja1!$2:$78,54,FALSE)</f>
        <v>26.29</v>
      </c>
      <c r="X410" s="458">
        <f t="shared" si="43"/>
        <v>0</v>
      </c>
      <c r="Y410" s="471">
        <f t="shared" si="40"/>
        <v>-26.29</v>
      </c>
    </row>
    <row r="411" spans="1:25" ht="25.5">
      <c r="A411" s="383">
        <v>22</v>
      </c>
      <c r="C411" s="406"/>
      <c r="D411" s="407"/>
      <c r="E411" s="407"/>
      <c r="F411" s="407"/>
      <c r="G411" s="407"/>
      <c r="H411" s="407"/>
      <c r="I411" s="408" t="s">
        <v>433</v>
      </c>
      <c r="J411" s="409" t="str">
        <f t="shared" si="39"/>
        <v>A=(Ancho x Largo)* Cant</v>
      </c>
      <c r="K411" s="410" t="str">
        <f t="shared" si="45"/>
        <v>M2</v>
      </c>
      <c r="L411" s="411">
        <f t="shared" si="41"/>
        <v>15.450000000000001</v>
      </c>
      <c r="M411" s="459"/>
      <c r="N411" s="457"/>
      <c r="O411" s="457">
        <f t="shared" si="46"/>
        <v>6.3061224489795915</v>
      </c>
      <c r="P411" s="462">
        <v>2.4500000000000002</v>
      </c>
      <c r="Q411" s="460"/>
      <c r="R411" s="460">
        <v>1</v>
      </c>
      <c r="S411" s="414">
        <f>+HLOOKUP(A411,[238]Hoja1!$2:$78,54,FALSE)</f>
        <v>15.45</v>
      </c>
      <c r="X411" s="458">
        <f t="shared" si="43"/>
        <v>0</v>
      </c>
      <c r="Y411" s="471">
        <f t="shared" si="40"/>
        <v>-15.450000000000001</v>
      </c>
    </row>
    <row r="412" spans="1:25" ht="25.5">
      <c r="A412" s="383">
        <v>23</v>
      </c>
      <c r="C412" s="406"/>
      <c r="D412" s="407"/>
      <c r="E412" s="407"/>
      <c r="F412" s="407"/>
      <c r="G412" s="407"/>
      <c r="H412" s="407"/>
      <c r="I412" s="408" t="s">
        <v>434</v>
      </c>
      <c r="J412" s="409" t="str">
        <f t="shared" si="39"/>
        <v>A=(Ancho x Largo)* Cant</v>
      </c>
      <c r="K412" s="410" t="str">
        <f t="shared" si="45"/>
        <v>M2</v>
      </c>
      <c r="L412" s="411">
        <f t="shared" si="41"/>
        <v>0</v>
      </c>
      <c r="M412" s="459"/>
      <c r="N412" s="457"/>
      <c r="O412" s="457">
        <f t="shared" si="44"/>
        <v>0</v>
      </c>
      <c r="P412" s="462"/>
      <c r="Q412" s="460"/>
      <c r="R412" s="460"/>
      <c r="S412" s="414">
        <f>+HLOOKUP(A412,[238]Hoja1!$2:$78,54,FALSE)</f>
        <v>0</v>
      </c>
      <c r="X412" s="458">
        <f t="shared" si="43"/>
        <v>0</v>
      </c>
      <c r="Y412" s="471">
        <f t="shared" si="40"/>
        <v>0</v>
      </c>
    </row>
    <row r="413" spans="1:25" ht="25.5">
      <c r="A413" s="383">
        <v>24</v>
      </c>
      <c r="C413" s="406"/>
      <c r="D413" s="407"/>
      <c r="E413" s="407"/>
      <c r="F413" s="407"/>
      <c r="G413" s="407"/>
      <c r="H413" s="407"/>
      <c r="I413" s="408" t="s">
        <v>435</v>
      </c>
      <c r="J413" s="409" t="str">
        <f t="shared" si="39"/>
        <v>A=(Ancho x Largo)* Cant</v>
      </c>
      <c r="K413" s="410" t="str">
        <f t="shared" si="45"/>
        <v>M2</v>
      </c>
      <c r="L413" s="411">
        <f t="shared" si="41"/>
        <v>0</v>
      </c>
      <c r="M413" s="459"/>
      <c r="N413" s="457"/>
      <c r="O413" s="457">
        <f t="shared" si="44"/>
        <v>0</v>
      </c>
      <c r="P413" s="462"/>
      <c r="Q413" s="460"/>
      <c r="R413" s="460"/>
      <c r="S413" s="414">
        <f>+HLOOKUP(A413,[238]Hoja1!$2:$78,54,FALSE)</f>
        <v>0</v>
      </c>
      <c r="X413" s="458">
        <f t="shared" si="43"/>
        <v>0</v>
      </c>
      <c r="Y413" s="471">
        <f t="shared" si="40"/>
        <v>0</v>
      </c>
    </row>
    <row r="414" spans="1:25" ht="25.5">
      <c r="A414" s="383">
        <v>25</v>
      </c>
      <c r="C414" s="406"/>
      <c r="D414" s="407"/>
      <c r="E414" s="407"/>
      <c r="F414" s="407"/>
      <c r="G414" s="407"/>
      <c r="H414" s="407"/>
      <c r="I414" s="408" t="s">
        <v>436</v>
      </c>
      <c r="J414" s="409" t="str">
        <f t="shared" si="39"/>
        <v>A=(Ancho x Largo)* Cant</v>
      </c>
      <c r="K414" s="410" t="str">
        <f t="shared" si="45"/>
        <v>M2</v>
      </c>
      <c r="L414" s="411">
        <f t="shared" si="41"/>
        <v>16.55</v>
      </c>
      <c r="M414" s="459"/>
      <c r="N414" s="457"/>
      <c r="O414" s="457">
        <f t="shared" ref="O414:O430" si="47">+S414/P414</f>
        <v>6.9831223628691985</v>
      </c>
      <c r="P414" s="462">
        <v>2.37</v>
      </c>
      <c r="Q414" s="460"/>
      <c r="R414" s="460">
        <v>1</v>
      </c>
      <c r="S414" s="414">
        <f>+HLOOKUP(A414,[238]Hoja1!$2:$78,54,FALSE)</f>
        <v>16.55</v>
      </c>
      <c r="X414" s="458">
        <f t="shared" si="43"/>
        <v>0</v>
      </c>
      <c r="Y414" s="471">
        <f t="shared" si="40"/>
        <v>-16.55</v>
      </c>
    </row>
    <row r="415" spans="1:25" ht="25.5">
      <c r="A415" s="383">
        <v>26</v>
      </c>
      <c r="C415" s="406"/>
      <c r="D415" s="407"/>
      <c r="E415" s="407"/>
      <c r="F415" s="407"/>
      <c r="G415" s="407"/>
      <c r="H415" s="407"/>
      <c r="I415" s="408" t="s">
        <v>437</v>
      </c>
      <c r="J415" s="409" t="str">
        <f t="shared" si="39"/>
        <v>A=(Ancho x Largo)* Cant</v>
      </c>
      <c r="K415" s="410" t="str">
        <f>+K404</f>
        <v>M2</v>
      </c>
      <c r="L415" s="411">
        <f t="shared" si="41"/>
        <v>0</v>
      </c>
      <c r="M415" s="459"/>
      <c r="N415" s="457"/>
      <c r="O415" s="457"/>
      <c r="P415" s="462"/>
      <c r="Q415" s="460"/>
      <c r="R415" s="460"/>
      <c r="S415" s="414">
        <f>+HLOOKUP(A415,[238]Hoja1!$2:$78,54,FALSE)</f>
        <v>0</v>
      </c>
      <c r="X415" s="458">
        <f t="shared" si="43"/>
        <v>0</v>
      </c>
      <c r="Y415" s="471">
        <f t="shared" si="40"/>
        <v>0</v>
      </c>
    </row>
    <row r="416" spans="1:25" ht="25.5">
      <c r="A416" s="383">
        <v>27</v>
      </c>
      <c r="C416" s="406"/>
      <c r="D416" s="407"/>
      <c r="E416" s="407"/>
      <c r="F416" s="407"/>
      <c r="G416" s="407"/>
      <c r="H416" s="407"/>
      <c r="I416" s="408" t="s">
        <v>438</v>
      </c>
      <c r="J416" s="409" t="str">
        <f t="shared" si="39"/>
        <v>A=(Ancho x Largo)* Cant</v>
      </c>
      <c r="K416" s="410" t="str">
        <f t="shared" ref="K416:K424" si="48">+K415</f>
        <v>M2</v>
      </c>
      <c r="L416" s="411">
        <f t="shared" si="41"/>
        <v>15.450000000000001</v>
      </c>
      <c r="M416" s="459"/>
      <c r="N416" s="457"/>
      <c r="O416" s="457">
        <f t="shared" si="47"/>
        <v>6.3061224489795915</v>
      </c>
      <c r="P416" s="462">
        <v>2.4500000000000002</v>
      </c>
      <c r="Q416" s="460"/>
      <c r="R416" s="460">
        <v>1</v>
      </c>
      <c r="S416" s="414">
        <f>+HLOOKUP(A416,[238]Hoja1!$2:$78,54,FALSE)</f>
        <v>15.45</v>
      </c>
      <c r="X416" s="458">
        <f t="shared" si="43"/>
        <v>0</v>
      </c>
      <c r="Y416" s="471">
        <f t="shared" si="40"/>
        <v>-15.450000000000001</v>
      </c>
    </row>
    <row r="417" spans="1:25" ht="25.5">
      <c r="A417" s="383">
        <v>28</v>
      </c>
      <c r="C417" s="406"/>
      <c r="D417" s="440"/>
      <c r="E417" s="407"/>
      <c r="F417" s="407"/>
      <c r="G417" s="407"/>
      <c r="H417" s="437"/>
      <c r="I417" s="408" t="s">
        <v>439</v>
      </c>
      <c r="J417" s="409" t="str">
        <f t="shared" si="39"/>
        <v>A=(Ancho x Largo)* Cant</v>
      </c>
      <c r="K417" s="410" t="str">
        <f t="shared" si="48"/>
        <v>M2</v>
      </c>
      <c r="L417" s="411">
        <f t="shared" si="41"/>
        <v>0</v>
      </c>
      <c r="M417" s="459"/>
      <c r="N417" s="457"/>
      <c r="O417" s="457"/>
      <c r="P417" s="462"/>
      <c r="Q417" s="460"/>
      <c r="R417" s="460"/>
      <c r="S417" s="414">
        <f>+HLOOKUP(A417,[238]Hoja1!$2:$78,54,FALSE)</f>
        <v>0</v>
      </c>
      <c r="X417" s="458">
        <f t="shared" si="43"/>
        <v>0</v>
      </c>
      <c r="Y417" s="471">
        <f t="shared" si="40"/>
        <v>0</v>
      </c>
    </row>
    <row r="418" spans="1:25" ht="25.5">
      <c r="A418" s="383">
        <v>29</v>
      </c>
      <c r="C418" s="406"/>
      <c r="D418" s="407"/>
      <c r="E418" s="407"/>
      <c r="F418" s="407"/>
      <c r="G418" s="407"/>
      <c r="H418" s="407"/>
      <c r="I418" s="408" t="s">
        <v>440</v>
      </c>
      <c r="J418" s="409" t="str">
        <f t="shared" si="39"/>
        <v>A=(Ancho x Largo)* Cant</v>
      </c>
      <c r="K418" s="410" t="str">
        <f t="shared" si="48"/>
        <v>M2</v>
      </c>
      <c r="L418" s="411">
        <f t="shared" si="41"/>
        <v>0</v>
      </c>
      <c r="M418" s="459"/>
      <c r="N418" s="457"/>
      <c r="O418" s="457"/>
      <c r="P418" s="462"/>
      <c r="Q418" s="460"/>
      <c r="R418" s="460"/>
      <c r="S418" s="414">
        <f>+HLOOKUP(A418,[238]Hoja1!$2:$78,54,FALSE)</f>
        <v>0</v>
      </c>
      <c r="X418" s="458">
        <f t="shared" si="43"/>
        <v>0</v>
      </c>
      <c r="Y418" s="471">
        <f t="shared" si="40"/>
        <v>0</v>
      </c>
    </row>
    <row r="419" spans="1:25" ht="25.5">
      <c r="A419" s="383">
        <v>30</v>
      </c>
      <c r="C419" s="406"/>
      <c r="D419" s="407"/>
      <c r="E419" s="407"/>
      <c r="F419" s="407"/>
      <c r="G419" s="407"/>
      <c r="H419" s="407"/>
      <c r="I419" s="408" t="s">
        <v>441</v>
      </c>
      <c r="J419" s="409" t="str">
        <f t="shared" si="39"/>
        <v>A=(Ancho x Largo)* Cant</v>
      </c>
      <c r="K419" s="410" t="str">
        <f t="shared" si="48"/>
        <v>M2</v>
      </c>
      <c r="L419" s="411">
        <f t="shared" si="41"/>
        <v>28.43</v>
      </c>
      <c r="M419" s="459"/>
      <c r="N419" s="457"/>
      <c r="O419" s="457">
        <f t="shared" si="47"/>
        <v>10.338181818181818</v>
      </c>
      <c r="P419" s="462">
        <v>2.75</v>
      </c>
      <c r="Q419" s="460"/>
      <c r="R419" s="460">
        <v>1</v>
      </c>
      <c r="S419" s="414">
        <f>+HLOOKUP(A419,[238]Hoja1!$2:$78,54,FALSE)</f>
        <v>28.43</v>
      </c>
      <c r="X419" s="458">
        <f t="shared" si="43"/>
        <v>0</v>
      </c>
      <c r="Y419" s="471">
        <f t="shared" si="40"/>
        <v>-28.43</v>
      </c>
    </row>
    <row r="420" spans="1:25" ht="25.5">
      <c r="A420" s="383">
        <v>31</v>
      </c>
      <c r="C420" s="406"/>
      <c r="D420" s="407"/>
      <c r="E420" s="407"/>
      <c r="F420" s="407"/>
      <c r="G420" s="407"/>
      <c r="H420" s="407"/>
      <c r="I420" s="408" t="s">
        <v>442</v>
      </c>
      <c r="J420" s="409" t="str">
        <f t="shared" si="39"/>
        <v>A=(Ancho x Largo)* Cant</v>
      </c>
      <c r="K420" s="410" t="str">
        <f t="shared" si="48"/>
        <v>M2</v>
      </c>
      <c r="L420" s="411">
        <f t="shared" si="41"/>
        <v>0</v>
      </c>
      <c r="M420" s="459"/>
      <c r="N420" s="457"/>
      <c r="O420" s="457"/>
      <c r="P420" s="462"/>
      <c r="Q420" s="460"/>
      <c r="R420" s="460"/>
      <c r="S420" s="414">
        <f>+HLOOKUP(A420,[238]Hoja1!$2:$78,54,FALSE)</f>
        <v>0</v>
      </c>
      <c r="X420" s="458">
        <f t="shared" si="43"/>
        <v>0</v>
      </c>
      <c r="Y420" s="471">
        <f t="shared" si="40"/>
        <v>0</v>
      </c>
    </row>
    <row r="421" spans="1:25" ht="25.5">
      <c r="A421" s="383">
        <v>32</v>
      </c>
      <c r="C421" s="406"/>
      <c r="D421" s="407"/>
      <c r="E421" s="407"/>
      <c r="F421" s="407"/>
      <c r="G421" s="407"/>
      <c r="H421" s="407"/>
      <c r="I421" s="408" t="s">
        <v>443</v>
      </c>
      <c r="J421" s="409" t="str">
        <f t="shared" si="39"/>
        <v>A=(Ancho x Largo)* Cant</v>
      </c>
      <c r="K421" s="410" t="str">
        <f t="shared" si="48"/>
        <v>M2</v>
      </c>
      <c r="L421" s="411">
        <f t="shared" si="41"/>
        <v>22.1754</v>
      </c>
      <c r="M421" s="459"/>
      <c r="N421" s="457"/>
      <c r="O421" s="457">
        <f t="shared" si="47"/>
        <v>9.2397500000000008</v>
      </c>
      <c r="P421" s="462">
        <v>2.4</v>
      </c>
      <c r="Q421" s="460"/>
      <c r="R421" s="460">
        <v>1</v>
      </c>
      <c r="S421" s="414">
        <f>+HLOOKUP(A421,[238]Hoja1!$2:$78,54,FALSE)</f>
        <v>22.1754</v>
      </c>
      <c r="X421" s="458">
        <f t="shared" si="43"/>
        <v>0</v>
      </c>
      <c r="Y421" s="471">
        <f t="shared" si="40"/>
        <v>-22.1754</v>
      </c>
    </row>
    <row r="422" spans="1:25" ht="25.5">
      <c r="A422" s="383">
        <v>33</v>
      </c>
      <c r="C422" s="406"/>
      <c r="D422" s="407"/>
      <c r="E422" s="407"/>
      <c r="F422" s="407"/>
      <c r="G422" s="407"/>
      <c r="H422" s="407"/>
      <c r="I422" s="408" t="s">
        <v>444</v>
      </c>
      <c r="J422" s="409" t="str">
        <f t="shared" si="39"/>
        <v>A=(Ancho x Largo)* Cant</v>
      </c>
      <c r="K422" s="410" t="str">
        <f t="shared" si="48"/>
        <v>M2</v>
      </c>
      <c r="L422" s="411">
        <f t="shared" si="41"/>
        <v>52.319999999999993</v>
      </c>
      <c r="M422" s="459"/>
      <c r="N422" s="457"/>
      <c r="O422" s="457">
        <f t="shared" si="47"/>
        <v>16.349999999999998</v>
      </c>
      <c r="P422" s="462">
        <v>3.2</v>
      </c>
      <c r="Q422" s="460"/>
      <c r="R422" s="460">
        <v>1</v>
      </c>
      <c r="S422" s="414">
        <f>+HLOOKUP(A422,[238]Hoja1!$2:$78,54,FALSE)</f>
        <v>52.32</v>
      </c>
      <c r="X422" s="458">
        <f t="shared" si="43"/>
        <v>0</v>
      </c>
      <c r="Y422" s="471">
        <f t="shared" si="40"/>
        <v>-52.319999999999993</v>
      </c>
    </row>
    <row r="423" spans="1:25" ht="25.5">
      <c r="A423" s="383">
        <v>34</v>
      </c>
      <c r="C423" s="406"/>
      <c r="D423" s="407"/>
      <c r="E423" s="407"/>
      <c r="F423" s="407"/>
      <c r="G423" s="407"/>
      <c r="H423" s="407"/>
      <c r="I423" s="408" t="s">
        <v>445</v>
      </c>
      <c r="J423" s="409" t="str">
        <f t="shared" si="39"/>
        <v>A=(Ancho x Largo)* Cant</v>
      </c>
      <c r="K423" s="410" t="str">
        <f t="shared" si="48"/>
        <v>M2</v>
      </c>
      <c r="L423" s="411">
        <f t="shared" si="41"/>
        <v>1.7849999999999999</v>
      </c>
      <c r="M423" s="459"/>
      <c r="N423" s="457"/>
      <c r="O423" s="457">
        <f t="shared" si="47"/>
        <v>0.74375000000000002</v>
      </c>
      <c r="P423" s="462">
        <v>2.4</v>
      </c>
      <c r="Q423" s="460"/>
      <c r="R423" s="460">
        <v>1</v>
      </c>
      <c r="S423" s="414">
        <f>+HLOOKUP(A423,[238]Hoja1!$2:$78,54,FALSE)</f>
        <v>1.7849999999999999</v>
      </c>
      <c r="X423" s="458">
        <f t="shared" si="43"/>
        <v>0</v>
      </c>
      <c r="Y423" s="471">
        <f t="shared" si="40"/>
        <v>-1.7849999999999999</v>
      </c>
    </row>
    <row r="424" spans="1:25" ht="25.5">
      <c r="A424" s="383">
        <v>35</v>
      </c>
      <c r="C424" s="406"/>
      <c r="D424" s="440"/>
      <c r="E424" s="407"/>
      <c r="F424" s="407"/>
      <c r="G424" s="407"/>
      <c r="H424" s="437"/>
      <c r="I424" s="408" t="s">
        <v>446</v>
      </c>
      <c r="J424" s="409" t="str">
        <f t="shared" si="39"/>
        <v>A=(Ancho x Largo)* Cant</v>
      </c>
      <c r="K424" s="410" t="str">
        <f t="shared" si="48"/>
        <v>M2</v>
      </c>
      <c r="L424" s="411">
        <f t="shared" si="41"/>
        <v>0</v>
      </c>
      <c r="M424" s="459"/>
      <c r="N424" s="457"/>
      <c r="O424" s="457"/>
      <c r="P424" s="462"/>
      <c r="Q424" s="460"/>
      <c r="R424" s="460"/>
      <c r="S424" s="414">
        <f>+HLOOKUP(A424,[238]Hoja1!$2:$78,54,FALSE)</f>
        <v>0</v>
      </c>
      <c r="X424" s="458">
        <f t="shared" si="43"/>
        <v>0</v>
      </c>
      <c r="Y424" s="471">
        <f t="shared" si="40"/>
        <v>0</v>
      </c>
    </row>
    <row r="425" spans="1:25" ht="25.5">
      <c r="A425" s="383">
        <v>36</v>
      </c>
      <c r="C425" s="406"/>
      <c r="D425" s="407"/>
      <c r="E425" s="407"/>
      <c r="F425" s="407"/>
      <c r="G425" s="407"/>
      <c r="H425" s="407"/>
      <c r="I425" s="408" t="s">
        <v>447</v>
      </c>
      <c r="J425" s="409" t="str">
        <f t="shared" si="39"/>
        <v>A=(Ancho x Largo)* Cant</v>
      </c>
      <c r="K425" s="410" t="str">
        <f>+K414</f>
        <v>M2</v>
      </c>
      <c r="L425" s="411">
        <f t="shared" si="41"/>
        <v>16.850000000000001</v>
      </c>
      <c r="M425" s="459"/>
      <c r="N425" s="457"/>
      <c r="O425" s="457">
        <f t="shared" si="47"/>
        <v>7.109704641350211</v>
      </c>
      <c r="P425" s="462">
        <v>2.37</v>
      </c>
      <c r="Q425" s="460"/>
      <c r="R425" s="460">
        <v>1</v>
      </c>
      <c r="S425" s="414">
        <f>+HLOOKUP(A425,[238]Hoja1!$2:$78,54,FALSE)</f>
        <v>16.850000000000001</v>
      </c>
      <c r="X425" s="458">
        <f t="shared" si="43"/>
        <v>0</v>
      </c>
      <c r="Y425" s="471">
        <f t="shared" si="40"/>
        <v>-16.850000000000001</v>
      </c>
    </row>
    <row r="426" spans="1:25" ht="25.5">
      <c r="A426" s="383">
        <v>37</v>
      </c>
      <c r="C426" s="406"/>
      <c r="D426" s="407"/>
      <c r="E426" s="407"/>
      <c r="F426" s="407"/>
      <c r="G426" s="407"/>
      <c r="H426" s="407"/>
      <c r="I426" s="408" t="s">
        <v>448</v>
      </c>
      <c r="J426" s="409" t="str">
        <f t="shared" si="39"/>
        <v>A=(Ancho x Largo)* Cant</v>
      </c>
      <c r="K426" s="410" t="str">
        <f t="shared" ref="K426:K432" si="49">+K425</f>
        <v>M2</v>
      </c>
      <c r="L426" s="411">
        <f t="shared" si="41"/>
        <v>22.922499999999999</v>
      </c>
      <c r="M426" s="459"/>
      <c r="N426" s="457"/>
      <c r="O426" s="457">
        <f t="shared" si="47"/>
        <v>9.5510416666666664</v>
      </c>
      <c r="P426" s="462">
        <v>2.4</v>
      </c>
      <c r="Q426" s="460"/>
      <c r="R426" s="460">
        <v>1</v>
      </c>
      <c r="S426" s="414">
        <f>+HLOOKUP(A426,[238]Hoja1!$2:$78,54,FALSE)</f>
        <v>22.922499999999999</v>
      </c>
      <c r="X426" s="458">
        <f t="shared" si="43"/>
        <v>0</v>
      </c>
      <c r="Y426" s="471">
        <f t="shared" si="40"/>
        <v>-22.922499999999999</v>
      </c>
    </row>
    <row r="427" spans="1:25" ht="25.5">
      <c r="A427" s="383">
        <v>38</v>
      </c>
      <c r="C427" s="406"/>
      <c r="D427" s="440"/>
      <c r="E427" s="407"/>
      <c r="F427" s="407"/>
      <c r="G427" s="407"/>
      <c r="H427" s="437"/>
      <c r="I427" s="408" t="s">
        <v>449</v>
      </c>
      <c r="J427" s="409" t="str">
        <f t="shared" si="39"/>
        <v>A=(Ancho x Largo)* Cant</v>
      </c>
      <c r="K427" s="410" t="str">
        <f t="shared" si="49"/>
        <v>M2</v>
      </c>
      <c r="L427" s="411">
        <f t="shared" si="41"/>
        <v>0</v>
      </c>
      <c r="M427" s="459"/>
      <c r="N427" s="457"/>
      <c r="O427" s="457"/>
      <c r="P427" s="462"/>
      <c r="Q427" s="460"/>
      <c r="R427" s="460"/>
      <c r="S427" s="414">
        <f>+HLOOKUP(A427,[238]Hoja1!$2:$78,54,FALSE)</f>
        <v>0</v>
      </c>
      <c r="X427" s="458">
        <f t="shared" si="43"/>
        <v>0</v>
      </c>
      <c r="Y427" s="471">
        <f t="shared" si="40"/>
        <v>0</v>
      </c>
    </row>
    <row r="428" spans="1:25" ht="25.5">
      <c r="A428" s="383">
        <v>39</v>
      </c>
      <c r="C428" s="406"/>
      <c r="D428" s="407"/>
      <c r="E428" s="407"/>
      <c r="F428" s="407"/>
      <c r="G428" s="407"/>
      <c r="H428" s="407"/>
      <c r="I428" s="408" t="s">
        <v>450</v>
      </c>
      <c r="J428" s="409" t="str">
        <f t="shared" si="39"/>
        <v>A=(Ancho x Largo)* Cant</v>
      </c>
      <c r="K428" s="410" t="str">
        <f t="shared" si="49"/>
        <v>M2</v>
      </c>
      <c r="L428" s="411">
        <f t="shared" si="41"/>
        <v>0</v>
      </c>
      <c r="M428" s="459"/>
      <c r="N428" s="457"/>
      <c r="O428" s="457"/>
      <c r="P428" s="462"/>
      <c r="Q428" s="460"/>
      <c r="R428" s="460"/>
      <c r="S428" s="414">
        <f>+HLOOKUP(A428,[238]Hoja1!$2:$78,54,FALSE)</f>
        <v>0</v>
      </c>
      <c r="X428" s="458">
        <f t="shared" si="43"/>
        <v>0</v>
      </c>
      <c r="Y428" s="471">
        <f t="shared" si="40"/>
        <v>0</v>
      </c>
    </row>
    <row r="429" spans="1:25" ht="25.5">
      <c r="A429" s="383">
        <v>40</v>
      </c>
      <c r="C429" s="406"/>
      <c r="D429" s="407"/>
      <c r="E429" s="407"/>
      <c r="F429" s="407"/>
      <c r="G429" s="407"/>
      <c r="H429" s="407"/>
      <c r="I429" s="408" t="s">
        <v>451</v>
      </c>
      <c r="J429" s="409" t="str">
        <f t="shared" si="39"/>
        <v>A=(Ancho x Largo)* Cant</v>
      </c>
      <c r="K429" s="410" t="str">
        <f t="shared" si="49"/>
        <v>M2</v>
      </c>
      <c r="L429" s="411">
        <f t="shared" si="41"/>
        <v>16.1754</v>
      </c>
      <c r="M429" s="459"/>
      <c r="N429" s="457"/>
      <c r="O429" s="457">
        <f t="shared" si="47"/>
        <v>6.8250632911392399</v>
      </c>
      <c r="P429" s="462">
        <v>2.37</v>
      </c>
      <c r="Q429" s="460"/>
      <c r="R429" s="460">
        <v>1</v>
      </c>
      <c r="S429" s="414">
        <f>+HLOOKUP(A429,[238]Hoja1!$2:$78,54,FALSE)</f>
        <v>16.1754</v>
      </c>
      <c r="X429" s="458">
        <f t="shared" si="43"/>
        <v>0</v>
      </c>
      <c r="Y429" s="471">
        <f t="shared" si="40"/>
        <v>-16.1754</v>
      </c>
    </row>
    <row r="430" spans="1:25" ht="25.5">
      <c r="A430" s="383">
        <v>41</v>
      </c>
      <c r="C430" s="406"/>
      <c r="D430" s="407"/>
      <c r="E430" s="407"/>
      <c r="F430" s="407"/>
      <c r="G430" s="407"/>
      <c r="H430" s="407"/>
      <c r="I430" s="408" t="s">
        <v>452</v>
      </c>
      <c r="J430" s="409" t="str">
        <f t="shared" si="39"/>
        <v>A=(Ancho x Largo)* Cant</v>
      </c>
      <c r="K430" s="410" t="str">
        <f t="shared" si="49"/>
        <v>M2</v>
      </c>
      <c r="L430" s="411">
        <f t="shared" si="41"/>
        <v>14.5334</v>
      </c>
      <c r="M430" s="459"/>
      <c r="N430" s="457"/>
      <c r="O430" s="457">
        <f t="shared" si="47"/>
        <v>6.7597209302325583</v>
      </c>
      <c r="P430" s="462">
        <v>2.15</v>
      </c>
      <c r="Q430" s="460"/>
      <c r="R430" s="460">
        <v>1</v>
      </c>
      <c r="S430" s="414">
        <f>+HLOOKUP(A430,[238]Hoja1!$2:$78,54,FALSE)</f>
        <v>14.5334</v>
      </c>
      <c r="X430" s="458">
        <f t="shared" si="43"/>
        <v>0</v>
      </c>
      <c r="Y430" s="471">
        <f t="shared" si="40"/>
        <v>-14.5334</v>
      </c>
    </row>
    <row r="431" spans="1:25" ht="25.5">
      <c r="A431" s="383">
        <v>42</v>
      </c>
      <c r="C431" s="406"/>
      <c r="D431" s="407"/>
      <c r="E431" s="407"/>
      <c r="F431" s="407"/>
      <c r="G431" s="407"/>
      <c r="H431" s="407"/>
      <c r="I431" s="408" t="s">
        <v>453</v>
      </c>
      <c r="J431" s="409" t="str">
        <f t="shared" si="39"/>
        <v>A=(Ancho x Largo)* Cant</v>
      </c>
      <c r="K431" s="410" t="str">
        <f t="shared" si="49"/>
        <v>M2</v>
      </c>
      <c r="L431" s="411">
        <f t="shared" si="41"/>
        <v>0</v>
      </c>
      <c r="M431" s="459"/>
      <c r="N431" s="457"/>
      <c r="O431" s="457"/>
      <c r="P431" s="462"/>
      <c r="Q431" s="460"/>
      <c r="R431" s="460"/>
      <c r="S431" s="414">
        <f>+HLOOKUP(A431,[238]Hoja1!$2:$78,54,FALSE)</f>
        <v>0</v>
      </c>
      <c r="X431" s="458">
        <f t="shared" si="43"/>
        <v>0</v>
      </c>
      <c r="Y431" s="471">
        <f t="shared" si="40"/>
        <v>0</v>
      </c>
    </row>
    <row r="432" spans="1:25" ht="26.25" thickBot="1">
      <c r="A432" s="383">
        <v>43</v>
      </c>
      <c r="C432" s="406"/>
      <c r="D432" s="407"/>
      <c r="E432" s="407"/>
      <c r="F432" s="407"/>
      <c r="G432" s="407"/>
      <c r="H432" s="407"/>
      <c r="I432" s="408" t="s">
        <v>454</v>
      </c>
      <c r="J432" s="409" t="str">
        <f t="shared" si="39"/>
        <v>A=(Ancho x Largo)* Cant</v>
      </c>
      <c r="K432" s="410" t="str">
        <f t="shared" si="49"/>
        <v>M2</v>
      </c>
      <c r="L432" s="411">
        <f t="shared" si="41"/>
        <v>0</v>
      </c>
      <c r="M432" s="459"/>
      <c r="N432" s="457"/>
      <c r="O432" s="457"/>
      <c r="P432" s="462"/>
      <c r="Q432" s="460"/>
      <c r="R432" s="460"/>
      <c r="S432" s="414">
        <f>+HLOOKUP(A432,[238]Hoja1!$2:$78,54,FALSE)</f>
        <v>0</v>
      </c>
      <c r="X432" s="458">
        <f t="shared" si="43"/>
        <v>0</v>
      </c>
      <c r="Y432" s="471">
        <f t="shared" si="40"/>
        <v>0</v>
      </c>
    </row>
    <row r="433" spans="3:19">
      <c r="C433" s="384"/>
      <c r="D433" s="419"/>
      <c r="E433" s="420"/>
      <c r="F433" s="421"/>
      <c r="G433" s="421"/>
      <c r="H433" s="421"/>
      <c r="I433" s="421"/>
      <c r="J433" s="422"/>
      <c r="K433" s="421"/>
      <c r="L433" s="421"/>
      <c r="M433" s="421"/>
      <c r="N433" s="421"/>
      <c r="O433" s="421"/>
      <c r="P433" s="421"/>
      <c r="Q433" s="421"/>
      <c r="R433" s="422"/>
      <c r="S433" s="423"/>
    </row>
    <row r="434" spans="3:19">
      <c r="C434" s="396"/>
      <c r="D434" s="397"/>
      <c r="E434" s="424"/>
      <c r="F434" s="425"/>
      <c r="G434" s="425"/>
      <c r="H434" s="425"/>
      <c r="I434" s="425"/>
      <c r="J434" s="398"/>
      <c r="K434" s="425"/>
      <c r="L434" s="425"/>
      <c r="M434" s="397"/>
      <c r="N434" s="397"/>
      <c r="O434" s="562" t="s">
        <v>455</v>
      </c>
      <c r="P434" s="563"/>
      <c r="Q434" s="564"/>
      <c r="R434" s="426"/>
      <c r="S434" s="427">
        <f>ROUND(SUM(S390:S433),2)</f>
        <v>499.26</v>
      </c>
    </row>
    <row r="435" spans="3:19">
      <c r="C435" s="396"/>
      <c r="D435" s="397"/>
      <c r="E435" s="424"/>
      <c r="F435" s="425"/>
      <c r="G435" s="425"/>
      <c r="H435" s="425"/>
      <c r="I435" s="425"/>
      <c r="J435" s="398"/>
      <c r="K435" s="425"/>
      <c r="L435" s="425"/>
      <c r="M435" s="428"/>
      <c r="N435" s="428"/>
      <c r="O435" s="429"/>
      <c r="P435" s="425"/>
      <c r="Q435" s="425"/>
      <c r="R435" s="430"/>
      <c r="S435" s="431"/>
    </row>
    <row r="436" spans="3:19">
      <c r="C436" s="565" t="e">
        <v>#REF!</v>
      </c>
      <c r="D436" s="566"/>
      <c r="E436" s="566"/>
      <c r="F436" s="566"/>
      <c r="G436" s="566"/>
      <c r="H436" s="566"/>
      <c r="I436" s="566"/>
      <c r="J436" s="566"/>
      <c r="K436" s="566"/>
      <c r="L436" s="566"/>
      <c r="M436" s="566"/>
      <c r="N436" s="567"/>
      <c r="O436" s="568" t="s">
        <v>422</v>
      </c>
      <c r="P436" s="568"/>
      <c r="Q436" s="568"/>
      <c r="R436" s="426"/>
      <c r="S436" s="427">
        <f>S434</f>
        <v>499.26</v>
      </c>
    </row>
    <row r="437" spans="3:19">
      <c r="C437" s="396"/>
      <c r="D437" s="397"/>
      <c r="E437" s="424"/>
      <c r="F437" s="425"/>
      <c r="G437" s="425"/>
      <c r="H437" s="425"/>
      <c r="I437" s="425"/>
      <c r="J437" s="398"/>
      <c r="K437" s="425"/>
      <c r="L437" s="425"/>
      <c r="M437" s="428"/>
      <c r="N437" s="428"/>
      <c r="O437" s="429"/>
      <c r="P437" s="425"/>
      <c r="Q437" s="398"/>
      <c r="R437" s="398"/>
      <c r="S437" s="432"/>
    </row>
    <row r="438" spans="3:19">
      <c r="C438" s="396"/>
      <c r="D438" s="397"/>
      <c r="E438" s="424"/>
      <c r="F438" s="425"/>
      <c r="G438" s="425"/>
      <c r="H438" s="425"/>
      <c r="I438" s="425"/>
      <c r="J438" s="398"/>
      <c r="K438" s="425"/>
      <c r="L438" s="425"/>
      <c r="M438" s="428"/>
      <c r="N438" s="428"/>
      <c r="O438" s="429"/>
      <c r="P438" s="425"/>
      <c r="Q438" s="398"/>
      <c r="R438" s="398"/>
      <c r="S438" s="432"/>
    </row>
    <row r="439" spans="3:19">
      <c r="C439" s="569" t="s">
        <v>423</v>
      </c>
      <c r="D439" s="570"/>
      <c r="E439" s="570"/>
      <c r="F439" s="570"/>
      <c r="G439" s="570"/>
      <c r="H439" s="570"/>
      <c r="I439" s="570"/>
      <c r="J439" s="571"/>
      <c r="K439" s="433" t="s">
        <v>424</v>
      </c>
      <c r="L439" s="434"/>
      <c r="M439" s="434"/>
      <c r="N439" s="434"/>
      <c r="O439" s="434"/>
      <c r="P439" s="434"/>
      <c r="Q439" s="434"/>
      <c r="R439" s="434"/>
      <c r="S439" s="435"/>
    </row>
    <row r="440" spans="3:19">
      <c r="C440" s="542"/>
      <c r="D440" s="543"/>
      <c r="E440" s="543"/>
      <c r="F440" s="543"/>
      <c r="G440" s="436"/>
      <c r="H440" s="436"/>
      <c r="I440" s="436"/>
      <c r="J440" s="447"/>
      <c r="K440" s="436"/>
      <c r="L440" s="407"/>
      <c r="M440" s="407"/>
      <c r="N440" s="407"/>
      <c r="O440" s="407"/>
      <c r="P440" s="407"/>
      <c r="Q440" s="407"/>
      <c r="R440" s="407"/>
      <c r="S440" s="437"/>
    </row>
    <row r="441" spans="3:19">
      <c r="C441" s="542"/>
      <c r="D441" s="543"/>
      <c r="E441" s="543"/>
      <c r="F441" s="543"/>
      <c r="G441" s="436"/>
      <c r="H441" s="436"/>
      <c r="I441" s="436"/>
      <c r="J441" s="447"/>
      <c r="K441" s="436"/>
      <c r="L441" s="407"/>
      <c r="M441" s="407"/>
      <c r="N441" s="407"/>
      <c r="O441" s="407"/>
      <c r="P441" s="407"/>
      <c r="Q441" s="407"/>
      <c r="R441" s="407"/>
      <c r="S441" s="437"/>
    </row>
    <row r="442" spans="3:19">
      <c r="C442" s="542" t="s">
        <v>425</v>
      </c>
      <c r="D442" s="543"/>
      <c r="E442" s="543" t="s">
        <v>425</v>
      </c>
      <c r="F442" s="543"/>
      <c r="G442" s="543" t="s">
        <v>425</v>
      </c>
      <c r="H442" s="543"/>
      <c r="I442" s="543" t="s">
        <v>425</v>
      </c>
      <c r="J442" s="544"/>
      <c r="K442" s="545" t="s">
        <v>426</v>
      </c>
      <c r="L442" s="546"/>
      <c r="M442" s="546"/>
      <c r="N442" s="546"/>
      <c r="O442" s="546"/>
      <c r="P442" s="546"/>
      <c r="Q442" s="546"/>
      <c r="R442" s="546"/>
      <c r="S442" s="547"/>
    </row>
    <row r="443" spans="3:19">
      <c r="C443" s="548" t="str">
        <f>+[42]DATOS!D$8</f>
        <v>HELMER EDUARDO BECERRA SANTANDER</v>
      </c>
      <c r="D443" s="549"/>
      <c r="E443" s="549" t="s">
        <v>427</v>
      </c>
      <c r="F443" s="549"/>
      <c r="G443" s="549" t="s">
        <v>427</v>
      </c>
      <c r="H443" s="549"/>
      <c r="I443" s="549" t="s">
        <v>427</v>
      </c>
      <c r="J443" s="550"/>
      <c r="K443" s="551" t="str">
        <f>+[42]DATOS!D$11</f>
        <v>JESUS IVAN QUIÑONES RUEDA</v>
      </c>
      <c r="L443" s="549"/>
      <c r="M443" s="549"/>
      <c r="N443" s="549"/>
      <c r="O443" s="549"/>
      <c r="P443" s="549"/>
      <c r="Q443" s="549"/>
      <c r="R443" s="549"/>
      <c r="S443" s="552"/>
    </row>
    <row r="444" spans="3:19">
      <c r="C444" s="553" t="str">
        <f>+$C$72</f>
        <v>APOYO SEC. DE PLANEACION Y OBRAS PÚBLICAS</v>
      </c>
      <c r="D444" s="554"/>
      <c r="E444" s="554" t="s">
        <v>428</v>
      </c>
      <c r="F444" s="554"/>
      <c r="G444" s="554" t="s">
        <v>428</v>
      </c>
      <c r="H444" s="554"/>
      <c r="I444" s="554" t="s">
        <v>428</v>
      </c>
      <c r="J444" s="555"/>
      <c r="K444" s="556" t="str">
        <f>+$K$72</f>
        <v>SECRETARIO DE PLANEACION Y OBRAS PÚBLICAS</v>
      </c>
      <c r="L444" s="554"/>
      <c r="M444" s="554"/>
      <c r="N444" s="554"/>
      <c r="O444" s="554"/>
      <c r="P444" s="554"/>
      <c r="Q444" s="554"/>
      <c r="R444" s="554"/>
      <c r="S444" s="557"/>
    </row>
    <row r="445" spans="3:19">
      <c r="C445" s="406"/>
      <c r="D445" s="407"/>
      <c r="E445" s="407"/>
      <c r="F445" s="407"/>
      <c r="G445" s="407"/>
      <c r="H445" s="407"/>
      <c r="I445" s="407"/>
      <c r="J445" s="407"/>
      <c r="K445" s="407"/>
      <c r="L445" s="407"/>
      <c r="M445" s="407"/>
      <c r="N445" s="407"/>
      <c r="O445" s="407"/>
      <c r="P445" s="407"/>
      <c r="Q445" s="407"/>
      <c r="R445" s="407"/>
      <c r="S445" s="437"/>
    </row>
    <row r="446" spans="3:19" ht="111" customHeight="1" thickBot="1">
      <c r="C446" s="417"/>
      <c r="D446" s="418"/>
      <c r="E446" s="418"/>
      <c r="F446" s="418"/>
      <c r="G446" s="418"/>
      <c r="H446" s="418"/>
      <c r="I446" s="418"/>
      <c r="J446" s="418"/>
      <c r="K446" s="418"/>
      <c r="L446" s="418"/>
      <c r="M446" s="418"/>
      <c r="N446" s="418"/>
      <c r="O446" s="418"/>
      <c r="P446" s="418"/>
      <c r="Q446" s="418"/>
      <c r="R446" s="418"/>
      <c r="S446" s="438"/>
    </row>
    <row r="447" spans="3:19" ht="22.5" customHeight="1"/>
    <row r="448" spans="3:19" ht="13.5" thickBot="1"/>
    <row r="449" spans="1:25">
      <c r="C449" s="384"/>
      <c r="D449" s="385"/>
      <c r="E449" s="385"/>
      <c r="F449" s="385"/>
      <c r="G449" s="385"/>
      <c r="H449" s="385"/>
      <c r="I449" s="385"/>
      <c r="J449" s="445"/>
      <c r="K449" s="385"/>
      <c r="L449" s="385"/>
      <c r="M449" s="385"/>
      <c r="N449" s="385"/>
      <c r="O449" s="385"/>
      <c r="P449" s="385"/>
      <c r="Q449" s="385"/>
      <c r="R449" s="385"/>
      <c r="S449" s="386"/>
    </row>
    <row r="450" spans="1:25" ht="121.5" customHeight="1" thickBot="1">
      <c r="C450" s="387"/>
      <c r="D450" s="388"/>
      <c r="E450" s="388"/>
      <c r="F450" s="388"/>
      <c r="G450" s="388"/>
      <c r="H450" s="388"/>
      <c r="I450" s="388"/>
      <c r="J450" s="446"/>
      <c r="K450" s="388"/>
      <c r="L450" s="388"/>
      <c r="M450" s="388"/>
      <c r="N450" s="388"/>
      <c r="O450" s="388"/>
      <c r="P450" s="388"/>
      <c r="Q450" s="388"/>
      <c r="R450" s="388"/>
      <c r="S450" s="389"/>
    </row>
    <row r="451" spans="1:25">
      <c r="C451" s="592" t="str">
        <f>+[42]DATOS!C$7</f>
        <v>MEJORAMIENTO DE VIVIENDA CON ENFOQUE DIFERENCIAL PARA POBLACIÓN VULNERABLE EN EL MUNICIPIO DE CUBARÁ, BOYACÁ (2026).</v>
      </c>
      <c r="D451" s="593"/>
      <c r="E451" s="593"/>
      <c r="F451" s="593"/>
      <c r="G451" s="593"/>
      <c r="H451" s="593"/>
      <c r="I451" s="593"/>
      <c r="J451" s="593"/>
      <c r="K451" s="593"/>
      <c r="L451" s="593"/>
      <c r="M451" s="593"/>
      <c r="N451" s="593"/>
      <c r="O451" s="593"/>
      <c r="P451" s="593"/>
      <c r="Q451" s="593"/>
      <c r="R451" s="593"/>
      <c r="S451" s="594"/>
    </row>
    <row r="452" spans="1:25">
      <c r="C452" s="595"/>
      <c r="D452" s="596"/>
      <c r="E452" s="596"/>
      <c r="F452" s="596"/>
      <c r="G452" s="596"/>
      <c r="H452" s="596"/>
      <c r="I452" s="596"/>
      <c r="J452" s="596"/>
      <c r="K452" s="596"/>
      <c r="L452" s="596"/>
      <c r="M452" s="596"/>
      <c r="N452" s="596"/>
      <c r="O452" s="596"/>
      <c r="P452" s="596"/>
      <c r="Q452" s="596"/>
      <c r="R452" s="596"/>
      <c r="S452" s="597"/>
    </row>
    <row r="453" spans="1:25">
      <c r="C453" s="598" t="s">
        <v>371</v>
      </c>
      <c r="D453" s="599"/>
      <c r="E453" s="599"/>
      <c r="F453" s="599"/>
      <c r="G453" s="599"/>
      <c r="H453" s="599"/>
      <c r="I453" s="599"/>
      <c r="J453" s="599"/>
      <c r="K453" s="599"/>
      <c r="L453" s="599"/>
      <c r="M453" s="599"/>
      <c r="N453" s="599"/>
      <c r="O453" s="599"/>
      <c r="P453" s="599"/>
      <c r="Q453" s="599"/>
      <c r="R453" s="599"/>
      <c r="S453" s="600"/>
    </row>
    <row r="454" spans="1:25">
      <c r="C454" s="586" t="s">
        <v>372</v>
      </c>
      <c r="D454" s="587"/>
      <c r="E454" s="601" t="s">
        <v>373</v>
      </c>
      <c r="F454" s="601"/>
      <c r="G454" s="601"/>
      <c r="H454" s="601"/>
      <c r="I454" s="601"/>
      <c r="J454" s="601"/>
      <c r="K454" s="601"/>
      <c r="L454" s="601"/>
      <c r="M454" s="601"/>
      <c r="N454" s="601"/>
      <c r="O454" s="601"/>
      <c r="P454" s="601"/>
      <c r="Q454" s="601"/>
      <c r="R454" s="601"/>
      <c r="S454" s="602"/>
    </row>
    <row r="455" spans="1:25">
      <c r="C455" s="586" t="s">
        <v>374</v>
      </c>
      <c r="D455" s="587"/>
      <c r="E455" s="603" t="s">
        <v>375</v>
      </c>
      <c r="F455" s="604"/>
      <c r="G455" s="604"/>
      <c r="H455" s="604"/>
      <c r="I455" s="604"/>
      <c r="J455" s="604"/>
      <c r="K455" s="604"/>
      <c r="L455" s="604"/>
      <c r="M455" s="604"/>
      <c r="N455" s="604"/>
      <c r="O455" s="604"/>
      <c r="P455" s="604"/>
      <c r="Q455" s="604"/>
      <c r="R455" s="604"/>
      <c r="S455" s="605"/>
    </row>
    <row r="456" spans="1:25">
      <c r="C456" s="586" t="s">
        <v>376</v>
      </c>
      <c r="D456" s="587"/>
      <c r="E456" s="390">
        <f>+[42]DATOS!F$5</f>
        <v>46143</v>
      </c>
      <c r="F456" s="391"/>
      <c r="G456" s="391"/>
      <c r="H456" s="391"/>
      <c r="I456" s="391"/>
      <c r="J456" s="391"/>
      <c r="K456" s="568" t="s">
        <v>377</v>
      </c>
      <c r="L456" s="568"/>
      <c r="M456" s="588" t="s">
        <v>378</v>
      </c>
      <c r="N456" s="588"/>
      <c r="O456" s="588"/>
      <c r="P456" s="588"/>
      <c r="Q456" s="588"/>
      <c r="R456" s="588"/>
      <c r="S456" s="589"/>
    </row>
    <row r="457" spans="1:25" ht="25.5">
      <c r="C457" s="586" t="s">
        <v>379</v>
      </c>
      <c r="D457" s="587"/>
      <c r="E457" s="590" t="s">
        <v>380</v>
      </c>
      <c r="F457" s="591"/>
      <c r="G457" s="392">
        <f>+[42]DATOS!E$5</f>
        <v>2026</v>
      </c>
      <c r="H457" s="393" t="s">
        <v>381</v>
      </c>
      <c r="I457" s="394">
        <f>+[42]DATOS!E$5</f>
        <v>2026</v>
      </c>
      <c r="J457" s="395"/>
      <c r="K457" s="568" t="s">
        <v>382</v>
      </c>
      <c r="L457" s="568"/>
      <c r="M457" s="588" t="s">
        <v>383</v>
      </c>
      <c r="N457" s="588"/>
      <c r="O457" s="588"/>
      <c r="P457" s="588"/>
      <c r="Q457" s="588"/>
      <c r="R457" s="588"/>
      <c r="S457" s="589"/>
    </row>
    <row r="458" spans="1:25">
      <c r="C458" s="396"/>
      <c r="D458" s="397"/>
      <c r="E458" s="397"/>
      <c r="F458" s="398"/>
      <c r="G458" s="398"/>
      <c r="H458" s="398"/>
      <c r="I458" s="398"/>
      <c r="J458" s="398"/>
      <c r="K458" s="398"/>
      <c r="L458" s="398"/>
      <c r="M458" s="398"/>
      <c r="N458" s="398"/>
      <c r="O458" s="398"/>
      <c r="P458" s="398"/>
      <c r="Q458" s="398"/>
      <c r="R458" s="398"/>
      <c r="S458" s="399"/>
    </row>
    <row r="459" spans="1:25">
      <c r="C459" s="572" t="s">
        <v>384</v>
      </c>
      <c r="D459" s="573"/>
      <c r="E459" s="573"/>
      <c r="F459" s="573"/>
      <c r="G459" s="573"/>
      <c r="H459" s="573"/>
      <c r="I459" s="573"/>
      <c r="J459" s="573"/>
      <c r="K459" s="573"/>
      <c r="L459" s="573"/>
      <c r="M459" s="573"/>
      <c r="N459" s="573"/>
      <c r="O459" s="573"/>
      <c r="P459" s="573"/>
      <c r="Q459" s="573"/>
      <c r="R459" s="573"/>
      <c r="S459" s="574"/>
    </row>
    <row r="460" spans="1:25">
      <c r="C460" s="396"/>
      <c r="D460" s="397"/>
      <c r="E460" s="397"/>
      <c r="F460" s="398"/>
      <c r="G460" s="398"/>
      <c r="H460" s="398"/>
      <c r="I460" s="398"/>
      <c r="J460" s="398"/>
      <c r="K460" s="398"/>
      <c r="L460" s="398"/>
      <c r="M460" s="398"/>
      <c r="N460" s="398"/>
      <c r="O460" s="398"/>
      <c r="P460" s="398"/>
      <c r="Q460" s="398"/>
      <c r="R460" s="398"/>
      <c r="S460" s="399"/>
    </row>
    <row r="461" spans="1:25">
      <c r="C461" s="400" t="s">
        <v>385</v>
      </c>
      <c r="D461" s="575" t="s">
        <v>386</v>
      </c>
      <c r="E461" s="575"/>
      <c r="F461" s="576" t="s">
        <v>387</v>
      </c>
      <c r="G461" s="577"/>
      <c r="H461" s="577"/>
      <c r="I461" s="576" t="s">
        <v>388</v>
      </c>
      <c r="J461" s="576" t="s">
        <v>389</v>
      </c>
      <c r="K461" s="579"/>
      <c r="L461" s="581" t="s">
        <v>390</v>
      </c>
      <c r="M461" s="581"/>
      <c r="N461" s="581"/>
      <c r="O461" s="581"/>
      <c r="P461" s="581"/>
      <c r="Q461" s="581"/>
      <c r="R461" s="581" t="s">
        <v>391</v>
      </c>
      <c r="S461" s="582"/>
    </row>
    <row r="462" spans="1:25" ht="38.25">
      <c r="C462" s="403">
        <f>+'PRESUPUESTO OFICIAL '!C70</f>
        <v>6.02</v>
      </c>
      <c r="D462" s="583" t="str">
        <f>+VLOOKUP(C462,'PRESUPUESTO OFICIAL '!$C$11:$H$103,2)</f>
        <v>PAÑETE LISO SOBRE MURO E=1,5 CM</v>
      </c>
      <c r="E462" s="584"/>
      <c r="F462" s="585" t="str">
        <f>+VLOOKUP(C462,'PRESUPUESTO OFICIAL '!$C$11:$H$103,3)</f>
        <v>M2</v>
      </c>
      <c r="G462" s="585"/>
      <c r="H462" s="585"/>
      <c r="I462" s="578"/>
      <c r="J462" s="578"/>
      <c r="K462" s="580"/>
      <c r="L462" s="401" t="s">
        <v>392</v>
      </c>
      <c r="M462" s="401" t="s">
        <v>393</v>
      </c>
      <c r="N462" s="401" t="s">
        <v>394</v>
      </c>
      <c r="O462" s="401" t="s">
        <v>395</v>
      </c>
      <c r="P462" s="401" t="s">
        <v>396</v>
      </c>
      <c r="Q462" s="401" t="s">
        <v>397</v>
      </c>
      <c r="R462" s="401" t="s">
        <v>398</v>
      </c>
      <c r="S462" s="402" t="s">
        <v>399</v>
      </c>
      <c r="U462" s="404">
        <f>+C462</f>
        <v>6.02</v>
      </c>
      <c r="V462" s="405">
        <f>+S510</f>
        <v>1589.42</v>
      </c>
    </row>
    <row r="463" spans="1:25">
      <c r="C463" s="406"/>
      <c r="D463" s="407"/>
      <c r="E463" s="407"/>
      <c r="F463" s="407"/>
      <c r="G463" s="407"/>
      <c r="H463" s="407"/>
      <c r="I463" s="558"/>
      <c r="J463" s="559"/>
      <c r="K463" s="560"/>
      <c r="L463" s="560"/>
      <c r="M463" s="560"/>
      <c r="N463" s="560"/>
      <c r="O463" s="560"/>
      <c r="P463" s="560"/>
      <c r="Q463" s="560"/>
      <c r="R463" s="560"/>
      <c r="S463" s="561"/>
    </row>
    <row r="464" spans="1:25" ht="25.5">
      <c r="A464" s="383">
        <v>1</v>
      </c>
      <c r="C464" s="406"/>
      <c r="D464" s="407"/>
      <c r="E464" s="407"/>
      <c r="F464" s="407"/>
      <c r="G464" s="407"/>
      <c r="H464" s="407"/>
      <c r="I464" s="408" t="s">
        <v>400</v>
      </c>
      <c r="J464" s="409" t="str">
        <f t="shared" ref="J464:J506" si="50">+VLOOKUP(K464,$AH$22:$AJ$58,2,)</f>
        <v>A=(Ancho x Largo)* Cant</v>
      </c>
      <c r="K464" s="410" t="str">
        <f>+F462</f>
        <v>M2</v>
      </c>
      <c r="L464" s="411"/>
      <c r="M464" s="459"/>
      <c r="N464" s="457"/>
      <c r="O464" s="457"/>
      <c r="P464" s="460"/>
      <c r="Q464" s="460"/>
      <c r="R464" s="460"/>
      <c r="S464" s="414">
        <f>+HLOOKUP(A464,[238]Hoja1!$2:$78,55,FALSE)</f>
        <v>0</v>
      </c>
      <c r="V464" s="383">
        <f>+S464/2</f>
        <v>0</v>
      </c>
      <c r="W464" s="461">
        <v>0.2</v>
      </c>
      <c r="X464" s="458">
        <f>+N464*O464</f>
        <v>0</v>
      </c>
      <c r="Y464" s="471">
        <f>+X464-L464</f>
        <v>0</v>
      </c>
    </row>
    <row r="465" spans="1:25" ht="25.5">
      <c r="A465" s="383">
        <v>2</v>
      </c>
      <c r="C465" s="406"/>
      <c r="D465" s="407"/>
      <c r="E465" s="407"/>
      <c r="F465" s="407"/>
      <c r="G465" s="407"/>
      <c r="H465" s="407"/>
      <c r="I465" s="408" t="s">
        <v>401</v>
      </c>
      <c r="J465" s="409" t="str">
        <f t="shared" si="50"/>
        <v>A=(Ancho x Largo)* Cant</v>
      </c>
      <c r="K465" s="410" t="str">
        <f>+K464</f>
        <v>M2</v>
      </c>
      <c r="L465" s="411">
        <f>+O465*P465</f>
        <v>22.644600000000001</v>
      </c>
      <c r="M465" s="459"/>
      <c r="N465" s="457"/>
      <c r="O465" s="457">
        <f>+V465/P465</f>
        <v>8.5451320754716971</v>
      </c>
      <c r="P465" s="462">
        <f>+W465</f>
        <v>2.6500000000000004</v>
      </c>
      <c r="Q465" s="460"/>
      <c r="R465" s="460">
        <v>2</v>
      </c>
      <c r="S465" s="414">
        <f>+HLOOKUP(A465,[238]Hoja1!$2:$78,55,FALSE)</f>
        <v>45.289200000000001</v>
      </c>
      <c r="U465" s="383">
        <f>+R465*P465*O465</f>
        <v>45.289200000000001</v>
      </c>
      <c r="V465" s="383">
        <f>+S465/2</f>
        <v>22.644600000000001</v>
      </c>
      <c r="W465" s="461">
        <v>2.6500000000000004</v>
      </c>
      <c r="X465" s="458">
        <f>+N465*O465</f>
        <v>0</v>
      </c>
      <c r="Y465" s="471">
        <f t="shared" ref="Y465:Y506" si="51">+X465-L465</f>
        <v>-22.644600000000001</v>
      </c>
    </row>
    <row r="466" spans="1:25" ht="25.5">
      <c r="A466" s="383">
        <v>3</v>
      </c>
      <c r="C466" s="406"/>
      <c r="D466" s="407"/>
      <c r="E466" s="407"/>
      <c r="F466" s="407"/>
      <c r="G466" s="407"/>
      <c r="H466" s="407"/>
      <c r="I466" s="408" t="s">
        <v>402</v>
      </c>
      <c r="J466" s="409" t="str">
        <f t="shared" si="50"/>
        <v>A=(Ancho x Largo)* Cant</v>
      </c>
      <c r="K466" s="410" t="str">
        <f>+K465</f>
        <v>M2</v>
      </c>
      <c r="L466" s="411">
        <f t="shared" ref="L466:L506" si="52">+O466*P466</f>
        <v>22.644600000000001</v>
      </c>
      <c r="M466" s="459"/>
      <c r="N466" s="457"/>
      <c r="O466" s="457">
        <f t="shared" ref="O466:O469" si="53">+V466/P466</f>
        <v>8.5451320754716971</v>
      </c>
      <c r="P466" s="462">
        <f t="shared" ref="P466:P468" si="54">+W466</f>
        <v>2.6500000000000004</v>
      </c>
      <c r="Q466" s="460"/>
      <c r="R466" s="460">
        <v>2</v>
      </c>
      <c r="S466" s="414">
        <f>+HLOOKUP(A466,[238]Hoja1!$2:$78,55,FALSE)</f>
        <v>45.289200000000001</v>
      </c>
      <c r="U466" s="383">
        <f t="shared" ref="U466:U506" si="55">+R466*P466*O466</f>
        <v>45.289200000000001</v>
      </c>
      <c r="V466" s="383">
        <f t="shared" ref="V466:V506" si="56">+S466/2</f>
        <v>22.644600000000001</v>
      </c>
      <c r="W466" s="461">
        <v>2.6500000000000004</v>
      </c>
      <c r="X466" s="458">
        <f t="shared" ref="X466:X506" si="57">+N466*O466</f>
        <v>0</v>
      </c>
      <c r="Y466" s="471">
        <f t="shared" si="51"/>
        <v>-22.644600000000001</v>
      </c>
    </row>
    <row r="467" spans="1:25" ht="25.5">
      <c r="A467" s="383">
        <v>4</v>
      </c>
      <c r="C467" s="406"/>
      <c r="D467" s="407"/>
      <c r="E467" s="407"/>
      <c r="F467" s="407"/>
      <c r="G467" s="407"/>
      <c r="H467" s="407"/>
      <c r="I467" s="408" t="s">
        <v>403</v>
      </c>
      <c r="J467" s="409" t="str">
        <f t="shared" si="50"/>
        <v>A=(Ancho x Largo)* Cant</v>
      </c>
      <c r="K467" s="410" t="str">
        <f>+K466</f>
        <v>M2</v>
      </c>
      <c r="L467" s="411">
        <f t="shared" si="52"/>
        <v>22.644600000000001</v>
      </c>
      <c r="M467" s="459"/>
      <c r="N467" s="457"/>
      <c r="O467" s="457">
        <f t="shared" si="53"/>
        <v>8.5451320754716971</v>
      </c>
      <c r="P467" s="462">
        <f t="shared" si="54"/>
        <v>2.6500000000000004</v>
      </c>
      <c r="Q467" s="460"/>
      <c r="R467" s="460">
        <v>2</v>
      </c>
      <c r="S467" s="414">
        <f>+HLOOKUP(A467,[238]Hoja1!$2:$78,55,FALSE)</f>
        <v>45.289200000000001</v>
      </c>
      <c r="U467" s="383">
        <f t="shared" si="55"/>
        <v>45.289200000000001</v>
      </c>
      <c r="V467" s="383">
        <f t="shared" si="56"/>
        <v>22.644600000000001</v>
      </c>
      <c r="W467" s="461">
        <v>2.6500000000000004</v>
      </c>
      <c r="X467" s="458">
        <f t="shared" si="57"/>
        <v>0</v>
      </c>
      <c r="Y467" s="471">
        <f t="shared" si="51"/>
        <v>-22.644600000000001</v>
      </c>
    </row>
    <row r="468" spans="1:25" ht="25.5">
      <c r="A468" s="383">
        <v>5</v>
      </c>
      <c r="C468" s="406"/>
      <c r="D468" s="407"/>
      <c r="E468" s="407"/>
      <c r="F468" s="407"/>
      <c r="G468" s="407"/>
      <c r="H468" s="407"/>
      <c r="I468" s="408" t="s">
        <v>405</v>
      </c>
      <c r="J468" s="409" t="str">
        <f t="shared" si="50"/>
        <v>A=(Ancho x Largo)* Cant</v>
      </c>
      <c r="K468" s="410" t="str">
        <f>+K467</f>
        <v>M2</v>
      </c>
      <c r="L468" s="411">
        <f t="shared" si="52"/>
        <v>22.644600000000001</v>
      </c>
      <c r="M468" s="459"/>
      <c r="N468" s="457"/>
      <c r="O468" s="457">
        <f t="shared" si="53"/>
        <v>8.5451320754716971</v>
      </c>
      <c r="P468" s="462">
        <f t="shared" si="54"/>
        <v>2.6500000000000004</v>
      </c>
      <c r="Q468" s="460"/>
      <c r="R468" s="460">
        <v>2</v>
      </c>
      <c r="S468" s="414">
        <f>+HLOOKUP(A468,[238]Hoja1!$2:$78,55,FALSE)</f>
        <v>45.289200000000001</v>
      </c>
      <c r="U468" s="383">
        <f t="shared" si="55"/>
        <v>45.289200000000001</v>
      </c>
      <c r="V468" s="383">
        <f t="shared" si="56"/>
        <v>22.644600000000001</v>
      </c>
      <c r="W468" s="461">
        <v>2.6500000000000004</v>
      </c>
      <c r="X468" s="458">
        <f t="shared" si="57"/>
        <v>0</v>
      </c>
      <c r="Y468" s="471">
        <f t="shared" si="51"/>
        <v>-22.644600000000001</v>
      </c>
    </row>
    <row r="469" spans="1:25" ht="25.5">
      <c r="A469" s="383">
        <v>6</v>
      </c>
      <c r="C469" s="406"/>
      <c r="D469" s="407"/>
      <c r="E469" s="407"/>
      <c r="F469" s="407"/>
      <c r="G469" s="407"/>
      <c r="H469" s="407"/>
      <c r="I469" s="408" t="s">
        <v>407</v>
      </c>
      <c r="J469" s="409" t="str">
        <f t="shared" si="50"/>
        <v>A=(Ancho x Largo)* Cant</v>
      </c>
      <c r="K469" s="410" t="str">
        <f>+K468</f>
        <v>M2</v>
      </c>
      <c r="L469" s="411">
        <f t="shared" si="52"/>
        <v>20.484000000000002</v>
      </c>
      <c r="M469" s="459"/>
      <c r="N469" s="457"/>
      <c r="O469" s="457">
        <f t="shared" si="53"/>
        <v>6.9437288135593223</v>
      </c>
      <c r="P469" s="462">
        <v>2.95</v>
      </c>
      <c r="Q469" s="460"/>
      <c r="R469" s="460">
        <v>2</v>
      </c>
      <c r="S469" s="414">
        <f>+HLOOKUP(A469,[238]Hoja1!$2:$78,55,FALSE)</f>
        <v>40.968000000000004</v>
      </c>
      <c r="U469" s="383">
        <f t="shared" si="55"/>
        <v>40.968000000000004</v>
      </c>
      <c r="V469" s="383">
        <f t="shared" si="56"/>
        <v>20.484000000000002</v>
      </c>
      <c r="W469" s="461">
        <v>3.2</v>
      </c>
      <c r="X469" s="458">
        <f t="shared" si="57"/>
        <v>0</v>
      </c>
      <c r="Y469" s="471">
        <f t="shared" si="51"/>
        <v>-20.484000000000002</v>
      </c>
    </row>
    <row r="470" spans="1:25" ht="25.5">
      <c r="A470" s="383">
        <v>7</v>
      </c>
      <c r="C470" s="406"/>
      <c r="D470" s="407"/>
      <c r="E470" s="407"/>
      <c r="F470" s="407"/>
      <c r="G470" s="407"/>
      <c r="H470" s="407"/>
      <c r="I470" s="408" t="s">
        <v>409</v>
      </c>
      <c r="J470" s="409" t="str">
        <f t="shared" si="50"/>
        <v>A=(Ancho x Largo)* Cant</v>
      </c>
      <c r="K470" s="410" t="str">
        <f>+K464</f>
        <v>M2</v>
      </c>
      <c r="L470" s="411"/>
      <c r="M470" s="459"/>
      <c r="N470" s="457"/>
      <c r="O470" s="457"/>
      <c r="P470" s="462"/>
      <c r="Q470" s="460"/>
      <c r="R470" s="460"/>
      <c r="S470" s="414">
        <f>+HLOOKUP(A470,[238]Hoja1!$2:$78,55,FALSE)</f>
        <v>0</v>
      </c>
      <c r="U470" s="383">
        <f t="shared" si="55"/>
        <v>0</v>
      </c>
      <c r="V470" s="383">
        <f t="shared" si="56"/>
        <v>0</v>
      </c>
      <c r="W470" s="461">
        <v>0.2</v>
      </c>
      <c r="X470" s="458">
        <f>+N470*O470*P470*R470</f>
        <v>0</v>
      </c>
      <c r="Y470" s="471">
        <f t="shared" si="51"/>
        <v>0</v>
      </c>
    </row>
    <row r="471" spans="1:25" ht="25.5">
      <c r="A471" s="383">
        <v>8</v>
      </c>
      <c r="C471" s="406"/>
      <c r="D471" s="407"/>
      <c r="E471" s="407"/>
      <c r="F471" s="407"/>
      <c r="G471" s="407"/>
      <c r="H471" s="407"/>
      <c r="I471" s="408" t="s">
        <v>411</v>
      </c>
      <c r="J471" s="409" t="str">
        <f t="shared" si="50"/>
        <v>A=(Ancho x Largo)* Cant</v>
      </c>
      <c r="K471" s="410" t="str">
        <f>+K470</f>
        <v>M2</v>
      </c>
      <c r="L471" s="411">
        <f t="shared" si="52"/>
        <v>35.6</v>
      </c>
      <c r="M471" s="459"/>
      <c r="N471" s="457"/>
      <c r="O471" s="457">
        <f t="shared" ref="O471" si="58">+V471/P471</f>
        <v>12.067796610169491</v>
      </c>
      <c r="P471" s="462">
        <v>2.95</v>
      </c>
      <c r="Q471" s="460"/>
      <c r="R471" s="460">
        <v>2</v>
      </c>
      <c r="S471" s="414">
        <f>+HLOOKUP(A471,[238]Hoja1!$2:$78,55,FALSE)</f>
        <v>71.2</v>
      </c>
      <c r="U471" s="383">
        <f t="shared" si="55"/>
        <v>71.2</v>
      </c>
      <c r="V471" s="383">
        <f t="shared" si="56"/>
        <v>35.6</v>
      </c>
      <c r="W471" s="461">
        <v>3.2</v>
      </c>
      <c r="X471" s="458">
        <f t="shared" si="57"/>
        <v>0</v>
      </c>
      <c r="Y471" s="471">
        <f t="shared" si="51"/>
        <v>-35.6</v>
      </c>
    </row>
    <row r="472" spans="1:25" ht="25.5">
      <c r="A472" s="383">
        <v>9</v>
      </c>
      <c r="C472" s="406"/>
      <c r="D472" s="407"/>
      <c r="E472" s="407"/>
      <c r="F472" s="407"/>
      <c r="G472" s="407"/>
      <c r="H472" s="407"/>
      <c r="I472" s="408" t="s">
        <v>412</v>
      </c>
      <c r="J472" s="409" t="str">
        <f t="shared" si="50"/>
        <v>A=(Ancho x Largo)* Cant</v>
      </c>
      <c r="K472" s="410" t="str">
        <f>+K471</f>
        <v>M2</v>
      </c>
      <c r="L472" s="411">
        <f t="shared" si="52"/>
        <v>22.644600000000001</v>
      </c>
      <c r="M472" s="459"/>
      <c r="N472" s="457"/>
      <c r="O472" s="457">
        <f t="shared" ref="O472" si="59">+V472/P472</f>
        <v>8.5451320754716971</v>
      </c>
      <c r="P472" s="462">
        <f t="shared" ref="P472" si="60">+W472</f>
        <v>2.6500000000000004</v>
      </c>
      <c r="Q472" s="460"/>
      <c r="R472" s="460">
        <v>2</v>
      </c>
      <c r="S472" s="414">
        <f>+HLOOKUP(A472,[238]Hoja1!$2:$78,55,FALSE)</f>
        <v>45.289200000000001</v>
      </c>
      <c r="U472" s="383">
        <f t="shared" si="55"/>
        <v>45.289200000000001</v>
      </c>
      <c r="V472" s="383">
        <f t="shared" si="56"/>
        <v>22.644600000000001</v>
      </c>
      <c r="W472" s="461">
        <v>2.6500000000000004</v>
      </c>
      <c r="X472" s="458">
        <f t="shared" si="57"/>
        <v>0</v>
      </c>
      <c r="Y472" s="471">
        <f t="shared" si="51"/>
        <v>-22.644600000000001</v>
      </c>
    </row>
    <row r="473" spans="1:25" ht="25.5">
      <c r="A473" s="383">
        <v>10</v>
      </c>
      <c r="C473" s="406"/>
      <c r="D473" s="407"/>
      <c r="E473" s="407"/>
      <c r="F473" s="407"/>
      <c r="G473" s="407"/>
      <c r="H473" s="407"/>
      <c r="I473" s="408" t="s">
        <v>413</v>
      </c>
      <c r="J473" s="409" t="str">
        <f t="shared" si="50"/>
        <v>A=(Ancho x Largo)* Cant</v>
      </c>
      <c r="K473" s="410" t="str">
        <f>+K472</f>
        <v>M2</v>
      </c>
      <c r="L473" s="411"/>
      <c r="M473" s="459"/>
      <c r="N473" s="457"/>
      <c r="O473" s="457"/>
      <c r="P473" s="462"/>
      <c r="Q473" s="460"/>
      <c r="R473" s="460"/>
      <c r="S473" s="414">
        <f>+HLOOKUP(A473,[238]Hoja1!$2:$78,55,FALSE)</f>
        <v>0</v>
      </c>
      <c r="U473" s="383">
        <f t="shared" si="55"/>
        <v>0</v>
      </c>
      <c r="V473" s="383">
        <f t="shared" si="56"/>
        <v>0</v>
      </c>
      <c r="W473" s="461">
        <v>0.2</v>
      </c>
      <c r="X473" s="458">
        <f t="shared" si="57"/>
        <v>0</v>
      </c>
      <c r="Y473" s="471">
        <f t="shared" si="51"/>
        <v>0</v>
      </c>
    </row>
    <row r="474" spans="1:25" ht="25.5">
      <c r="A474" s="383">
        <v>11</v>
      </c>
      <c r="C474" s="406"/>
      <c r="D474" s="407"/>
      <c r="E474" s="407"/>
      <c r="F474" s="407"/>
      <c r="G474" s="407"/>
      <c r="H474" s="407"/>
      <c r="I474" s="408" t="s">
        <v>414</v>
      </c>
      <c r="J474" s="409" t="str">
        <f t="shared" si="50"/>
        <v>A=(Ancho x Largo)* Cant</v>
      </c>
      <c r="K474" s="410" t="str">
        <f>+K473</f>
        <v>M2</v>
      </c>
      <c r="L474" s="411">
        <f t="shared" ref="L474" si="61">+O474*P474</f>
        <v>109.17100000000001</v>
      </c>
      <c r="M474" s="459"/>
      <c r="N474" s="457"/>
      <c r="O474" s="457">
        <f t="shared" ref="O474" si="62">+V474/P474</f>
        <v>34.115937500000001</v>
      </c>
      <c r="P474" s="462">
        <v>3.2</v>
      </c>
      <c r="Q474" s="460"/>
      <c r="R474" s="460">
        <v>2</v>
      </c>
      <c r="S474" s="414">
        <f>+HLOOKUP(A474,[238]Hoja1!$2:$78,55,FALSE)</f>
        <v>218.34200000000001</v>
      </c>
      <c r="U474" s="383">
        <f t="shared" si="55"/>
        <v>218.34200000000001</v>
      </c>
      <c r="V474" s="383">
        <f t="shared" si="56"/>
        <v>109.17100000000001</v>
      </c>
      <c r="W474" s="461">
        <v>0.2</v>
      </c>
      <c r="X474" s="458">
        <f t="shared" si="57"/>
        <v>0</v>
      </c>
      <c r="Y474" s="471">
        <f t="shared" si="51"/>
        <v>-109.17100000000001</v>
      </c>
    </row>
    <row r="475" spans="1:25" ht="25.5">
      <c r="A475" s="383">
        <v>12</v>
      </c>
      <c r="C475" s="406"/>
      <c r="D475" s="407"/>
      <c r="E475" s="407"/>
      <c r="F475" s="407"/>
      <c r="G475" s="407"/>
      <c r="H475" s="407"/>
      <c r="I475" s="408" t="s">
        <v>415</v>
      </c>
      <c r="J475" s="409" t="str">
        <f t="shared" si="50"/>
        <v>A=(Ancho x Largo)* Cant</v>
      </c>
      <c r="K475" s="410" t="str">
        <f>+K469</f>
        <v>M2</v>
      </c>
      <c r="L475" s="411"/>
      <c r="M475" s="459"/>
      <c r="N475" s="457"/>
      <c r="O475" s="457"/>
      <c r="P475" s="462"/>
      <c r="Q475" s="460"/>
      <c r="R475" s="460"/>
      <c r="S475" s="414">
        <f>+HLOOKUP(A475,[238]Hoja1!$2:$78,55,FALSE)</f>
        <v>0</v>
      </c>
      <c r="U475" s="383">
        <f t="shared" si="55"/>
        <v>0</v>
      </c>
      <c r="V475" s="383">
        <f t="shared" si="56"/>
        <v>0</v>
      </c>
      <c r="W475" s="461">
        <v>0.2</v>
      </c>
      <c r="X475" s="458">
        <f t="shared" si="57"/>
        <v>0</v>
      </c>
      <c r="Y475" s="471">
        <f t="shared" si="51"/>
        <v>0</v>
      </c>
    </row>
    <row r="476" spans="1:25" ht="25.5">
      <c r="A476" s="383">
        <v>13</v>
      </c>
      <c r="C476" s="406"/>
      <c r="D476" s="407"/>
      <c r="E476" s="407"/>
      <c r="F476" s="407"/>
      <c r="G476" s="407"/>
      <c r="H476" s="407"/>
      <c r="I476" s="408" t="s">
        <v>416</v>
      </c>
      <c r="J476" s="409" t="str">
        <f t="shared" si="50"/>
        <v>A=(Ancho x Largo)* Cant</v>
      </c>
      <c r="K476" s="410" t="str">
        <f>+K471</f>
        <v>M2</v>
      </c>
      <c r="L476" s="411"/>
      <c r="M476" s="459"/>
      <c r="N476" s="457"/>
      <c r="O476" s="457"/>
      <c r="P476" s="462"/>
      <c r="Q476" s="460"/>
      <c r="R476" s="460"/>
      <c r="S476" s="414">
        <f>+HLOOKUP(A476,[238]Hoja1!$2:$78,55,FALSE)</f>
        <v>0</v>
      </c>
      <c r="U476" s="383">
        <f t="shared" si="55"/>
        <v>0</v>
      </c>
      <c r="V476" s="383">
        <f t="shared" si="56"/>
        <v>0</v>
      </c>
      <c r="W476" s="461">
        <v>0.2</v>
      </c>
      <c r="X476" s="458">
        <f t="shared" si="57"/>
        <v>0</v>
      </c>
      <c r="Y476" s="471">
        <f t="shared" si="51"/>
        <v>0</v>
      </c>
    </row>
    <row r="477" spans="1:25" ht="25.5">
      <c r="A477" s="383">
        <v>14</v>
      </c>
      <c r="C477" s="406"/>
      <c r="D477" s="407"/>
      <c r="E477" s="407"/>
      <c r="F477" s="407"/>
      <c r="G477" s="407"/>
      <c r="H477" s="407"/>
      <c r="I477" s="408" t="s">
        <v>417</v>
      </c>
      <c r="J477" s="409" t="str">
        <f t="shared" si="50"/>
        <v>A=(Ancho x Largo)* Cant</v>
      </c>
      <c r="K477" s="410" t="str">
        <f t="shared" ref="K477:K488" si="63">+K476</f>
        <v>M2</v>
      </c>
      <c r="L477" s="411">
        <f t="shared" si="52"/>
        <v>22.644600000000001</v>
      </c>
      <c r="M477" s="459"/>
      <c r="N477" s="457"/>
      <c r="O477" s="457">
        <f t="shared" ref="O477" si="64">+V477/P477</f>
        <v>8.5451320754716971</v>
      </c>
      <c r="P477" s="462">
        <f t="shared" ref="P477" si="65">+W477</f>
        <v>2.6500000000000004</v>
      </c>
      <c r="Q477" s="460"/>
      <c r="R477" s="460">
        <v>2</v>
      </c>
      <c r="S477" s="414">
        <f>+HLOOKUP(A477,[238]Hoja1!$2:$78,55,FALSE)</f>
        <v>45.289200000000001</v>
      </c>
      <c r="U477" s="383">
        <f t="shared" si="55"/>
        <v>45.289200000000001</v>
      </c>
      <c r="V477" s="383">
        <f t="shared" si="56"/>
        <v>22.644600000000001</v>
      </c>
      <c r="W477" s="461">
        <v>2.6500000000000004</v>
      </c>
      <c r="X477" s="458">
        <f t="shared" si="57"/>
        <v>0</v>
      </c>
      <c r="Y477" s="471">
        <f t="shared" si="51"/>
        <v>-22.644600000000001</v>
      </c>
    </row>
    <row r="478" spans="1:25" ht="25.5">
      <c r="A478" s="383">
        <v>15</v>
      </c>
      <c r="C478" s="406"/>
      <c r="D478" s="407"/>
      <c r="E478" s="407"/>
      <c r="F478" s="407"/>
      <c r="G478" s="407"/>
      <c r="H478" s="407"/>
      <c r="I478" s="408" t="s">
        <v>418</v>
      </c>
      <c r="J478" s="409" t="str">
        <f t="shared" si="50"/>
        <v>A=(Ancho x Largo)* Cant</v>
      </c>
      <c r="K478" s="410" t="str">
        <f t="shared" si="63"/>
        <v>M2</v>
      </c>
      <c r="L478" s="411">
        <f t="shared" si="52"/>
        <v>8.56</v>
      </c>
      <c r="M478" s="459"/>
      <c r="N478" s="457"/>
      <c r="O478" s="457">
        <f t="shared" ref="O478:O479" si="66">+V478/P478</f>
        <v>3.2923076923076926</v>
      </c>
      <c r="P478" s="462">
        <f t="shared" ref="P478:P479" si="67">+W478</f>
        <v>2.6</v>
      </c>
      <c r="Q478" s="460"/>
      <c r="R478" s="460">
        <v>2</v>
      </c>
      <c r="S478" s="414">
        <f>+HLOOKUP(A478,[238]Hoja1!$2:$78,55,FALSE)</f>
        <v>17.12</v>
      </c>
      <c r="U478" s="383">
        <f t="shared" si="55"/>
        <v>17.12</v>
      </c>
      <c r="V478" s="383">
        <f t="shared" si="56"/>
        <v>8.56</v>
      </c>
      <c r="W478" s="461">
        <v>2.6</v>
      </c>
      <c r="X478" s="458">
        <f t="shared" si="57"/>
        <v>0</v>
      </c>
      <c r="Y478" s="471">
        <f t="shared" si="51"/>
        <v>-8.56</v>
      </c>
    </row>
    <row r="479" spans="1:25" ht="25.5">
      <c r="A479" s="383">
        <v>16</v>
      </c>
      <c r="C479" s="406"/>
      <c r="D479" s="407"/>
      <c r="E479" s="407"/>
      <c r="F479" s="407"/>
      <c r="G479" s="407"/>
      <c r="H479" s="407"/>
      <c r="I479" s="408" t="s">
        <v>419</v>
      </c>
      <c r="J479" s="409" t="str">
        <f t="shared" si="50"/>
        <v>A=(Ancho x Largo)* Cant</v>
      </c>
      <c r="K479" s="410" t="str">
        <f t="shared" si="63"/>
        <v>M2</v>
      </c>
      <c r="L479" s="411">
        <f t="shared" si="52"/>
        <v>42.174999999999997</v>
      </c>
      <c r="M479" s="459"/>
      <c r="N479" s="457"/>
      <c r="O479" s="457">
        <f t="shared" si="66"/>
        <v>13.179687499999998</v>
      </c>
      <c r="P479" s="462">
        <f t="shared" si="67"/>
        <v>3.2</v>
      </c>
      <c r="Q479" s="460"/>
      <c r="R479" s="460">
        <v>2</v>
      </c>
      <c r="S479" s="414">
        <f>+HLOOKUP(A479,[238]Hoja1!$2:$78,55,FALSE)</f>
        <v>84.35</v>
      </c>
      <c r="U479" s="383">
        <f t="shared" si="55"/>
        <v>84.35</v>
      </c>
      <c r="V479" s="383">
        <f t="shared" si="56"/>
        <v>42.174999999999997</v>
      </c>
      <c r="W479" s="461">
        <v>3.2</v>
      </c>
      <c r="X479" s="458">
        <f t="shared" si="57"/>
        <v>0</v>
      </c>
      <c r="Y479" s="471">
        <f t="shared" si="51"/>
        <v>-42.174999999999997</v>
      </c>
    </row>
    <row r="480" spans="1:25" ht="25.5">
      <c r="A480" s="383">
        <v>17</v>
      </c>
      <c r="C480" s="406"/>
      <c r="D480" s="407"/>
      <c r="E480" s="407"/>
      <c r="F480" s="407"/>
      <c r="G480" s="407"/>
      <c r="H480" s="407"/>
      <c r="I480" s="408" t="s">
        <v>420</v>
      </c>
      <c r="J480" s="409" t="str">
        <f t="shared" si="50"/>
        <v>A=(Ancho x Largo)* Cant</v>
      </c>
      <c r="K480" s="410" t="str">
        <f t="shared" si="63"/>
        <v>M2</v>
      </c>
      <c r="L480" s="411"/>
      <c r="M480" s="459"/>
      <c r="N480" s="457"/>
      <c r="O480" s="457"/>
      <c r="P480" s="462"/>
      <c r="Q480" s="460"/>
      <c r="R480" s="460"/>
      <c r="S480" s="414">
        <f>+HLOOKUP(A480,[238]Hoja1!$2:$78,55,FALSE)</f>
        <v>0</v>
      </c>
      <c r="U480" s="383">
        <f t="shared" si="55"/>
        <v>0</v>
      </c>
      <c r="V480" s="383">
        <f t="shared" si="56"/>
        <v>0</v>
      </c>
      <c r="W480" s="461">
        <v>0.2</v>
      </c>
      <c r="X480" s="458">
        <f t="shared" si="57"/>
        <v>0</v>
      </c>
      <c r="Y480" s="471">
        <f t="shared" si="51"/>
        <v>0</v>
      </c>
    </row>
    <row r="481" spans="1:25" ht="25.5">
      <c r="A481" s="383">
        <v>18</v>
      </c>
      <c r="C481" s="406"/>
      <c r="D481" s="407"/>
      <c r="E481" s="407"/>
      <c r="F481" s="407"/>
      <c r="G481" s="407"/>
      <c r="H481" s="407"/>
      <c r="I481" s="408" t="s">
        <v>429</v>
      </c>
      <c r="J481" s="409" t="str">
        <f t="shared" si="50"/>
        <v>A=(Ancho x Largo)* Cant</v>
      </c>
      <c r="K481" s="410" t="str">
        <f t="shared" si="63"/>
        <v>M2</v>
      </c>
      <c r="L481" s="411">
        <f t="shared" si="52"/>
        <v>23.794000000000004</v>
      </c>
      <c r="M481" s="459"/>
      <c r="N481" s="457"/>
      <c r="O481" s="457">
        <f t="shared" ref="O481" si="68">+V481/P481</f>
        <v>9.151538461538463</v>
      </c>
      <c r="P481" s="462">
        <f t="shared" ref="P481" si="69">+W481</f>
        <v>2.6</v>
      </c>
      <c r="Q481" s="460"/>
      <c r="R481" s="460">
        <v>2</v>
      </c>
      <c r="S481" s="414">
        <f>+HLOOKUP(A481,[238]Hoja1!$2:$78,55,FALSE)</f>
        <v>47.588000000000008</v>
      </c>
      <c r="U481" s="383">
        <f t="shared" si="55"/>
        <v>47.588000000000008</v>
      </c>
      <c r="V481" s="383">
        <f t="shared" si="56"/>
        <v>23.794000000000004</v>
      </c>
      <c r="W481" s="461">
        <v>2.6</v>
      </c>
      <c r="X481" s="458">
        <f t="shared" si="57"/>
        <v>0</v>
      </c>
      <c r="Y481" s="471">
        <f t="shared" si="51"/>
        <v>-23.794000000000004</v>
      </c>
    </row>
    <row r="482" spans="1:25" ht="25.5">
      <c r="A482" s="383">
        <v>19</v>
      </c>
      <c r="C482" s="406"/>
      <c r="D482" s="407"/>
      <c r="E482" s="407"/>
      <c r="F482" s="407"/>
      <c r="G482" s="407"/>
      <c r="H482" s="407"/>
      <c r="I482" s="408" t="s">
        <v>430</v>
      </c>
      <c r="J482" s="409" t="str">
        <f t="shared" si="50"/>
        <v>A=(Ancho x Largo)* Cant</v>
      </c>
      <c r="K482" s="410" t="str">
        <f t="shared" si="63"/>
        <v>M2</v>
      </c>
      <c r="L482" s="411">
        <f t="shared" si="52"/>
        <v>22.644600000000001</v>
      </c>
      <c r="M482" s="459"/>
      <c r="N482" s="457"/>
      <c r="O482" s="457">
        <f t="shared" ref="O482:O485" si="70">+V482/P482</f>
        <v>8.5451320754716971</v>
      </c>
      <c r="P482" s="462">
        <f t="shared" ref="P482:P485" si="71">+W482</f>
        <v>2.6500000000000004</v>
      </c>
      <c r="Q482" s="460"/>
      <c r="R482" s="460">
        <v>2</v>
      </c>
      <c r="S482" s="414">
        <f>+HLOOKUP(A482,[238]Hoja1!$2:$78,55,FALSE)</f>
        <v>45.289200000000001</v>
      </c>
      <c r="U482" s="383">
        <f t="shared" si="55"/>
        <v>45.289200000000001</v>
      </c>
      <c r="V482" s="383">
        <f t="shared" si="56"/>
        <v>22.644600000000001</v>
      </c>
      <c r="W482" s="461">
        <v>2.6500000000000004</v>
      </c>
      <c r="X482" s="458">
        <f t="shared" si="57"/>
        <v>0</v>
      </c>
      <c r="Y482" s="471">
        <f t="shared" si="51"/>
        <v>-22.644600000000001</v>
      </c>
    </row>
    <row r="483" spans="1:25" ht="25.5">
      <c r="A483" s="383">
        <v>20</v>
      </c>
      <c r="C483" s="406"/>
      <c r="D483" s="407"/>
      <c r="E483" s="407"/>
      <c r="F483" s="407"/>
      <c r="G483" s="407"/>
      <c r="H483" s="407"/>
      <c r="I483" s="408" t="s">
        <v>431</v>
      </c>
      <c r="J483" s="409" t="str">
        <f t="shared" si="50"/>
        <v>A=(Ancho x Largo)* Cant</v>
      </c>
      <c r="K483" s="410" t="str">
        <f t="shared" si="63"/>
        <v>M2</v>
      </c>
      <c r="L483" s="411">
        <f t="shared" si="52"/>
        <v>35.6</v>
      </c>
      <c r="M483" s="459"/>
      <c r="N483" s="457"/>
      <c r="O483" s="457">
        <f t="shared" si="70"/>
        <v>12.067796610169491</v>
      </c>
      <c r="P483" s="462">
        <v>2.95</v>
      </c>
      <c r="Q483" s="460"/>
      <c r="R483" s="460">
        <v>2</v>
      </c>
      <c r="S483" s="414">
        <f>+HLOOKUP(A483,[238]Hoja1!$2:$78,55,FALSE)</f>
        <v>71.2</v>
      </c>
      <c r="U483" s="383">
        <f t="shared" si="55"/>
        <v>71.2</v>
      </c>
      <c r="V483" s="383">
        <f t="shared" si="56"/>
        <v>35.6</v>
      </c>
      <c r="W483" s="461">
        <v>3.2</v>
      </c>
      <c r="X483" s="458">
        <f t="shared" si="57"/>
        <v>0</v>
      </c>
      <c r="Y483" s="471">
        <f t="shared" si="51"/>
        <v>-35.6</v>
      </c>
    </row>
    <row r="484" spans="1:25" ht="25.5">
      <c r="A484" s="383">
        <v>21</v>
      </c>
      <c r="C484" s="406"/>
      <c r="D484" s="407"/>
      <c r="E484" s="407"/>
      <c r="F484" s="407"/>
      <c r="G484" s="407"/>
      <c r="H484" s="407"/>
      <c r="I484" s="408" t="s">
        <v>432</v>
      </c>
      <c r="J484" s="409" t="str">
        <f t="shared" si="50"/>
        <v>A=(Ancho x Largo)* Cant</v>
      </c>
      <c r="K484" s="410" t="str">
        <f t="shared" si="63"/>
        <v>M2</v>
      </c>
      <c r="L484" s="411">
        <f t="shared" si="52"/>
        <v>21.89</v>
      </c>
      <c r="M484" s="459"/>
      <c r="N484" s="457"/>
      <c r="O484" s="457">
        <f t="shared" si="70"/>
        <v>6.8406250000000002</v>
      </c>
      <c r="P484" s="462">
        <f t="shared" si="71"/>
        <v>3.2</v>
      </c>
      <c r="Q484" s="460"/>
      <c r="R484" s="460">
        <v>2</v>
      </c>
      <c r="S484" s="414">
        <f>+HLOOKUP(A484,[238]Hoja1!$2:$78,55,FALSE)</f>
        <v>43.78</v>
      </c>
      <c r="U484" s="383">
        <f t="shared" si="55"/>
        <v>43.78</v>
      </c>
      <c r="V484" s="383">
        <f t="shared" si="56"/>
        <v>21.89</v>
      </c>
      <c r="W484" s="461">
        <v>3.2</v>
      </c>
      <c r="X484" s="458">
        <f t="shared" si="57"/>
        <v>0</v>
      </c>
      <c r="Y484" s="471">
        <f t="shared" si="51"/>
        <v>-21.89</v>
      </c>
    </row>
    <row r="485" spans="1:25" ht="25.5">
      <c r="A485" s="383">
        <v>22</v>
      </c>
      <c r="C485" s="406"/>
      <c r="D485" s="407"/>
      <c r="E485" s="407"/>
      <c r="F485" s="407"/>
      <c r="G485" s="407"/>
      <c r="H485" s="407"/>
      <c r="I485" s="408" t="s">
        <v>433</v>
      </c>
      <c r="J485" s="409" t="str">
        <f t="shared" si="50"/>
        <v>A=(Ancho x Largo)* Cant</v>
      </c>
      <c r="K485" s="410" t="str">
        <f t="shared" si="63"/>
        <v>M2</v>
      </c>
      <c r="L485" s="411">
        <f t="shared" si="52"/>
        <v>22.644600000000001</v>
      </c>
      <c r="M485" s="459"/>
      <c r="N485" s="457"/>
      <c r="O485" s="457">
        <f t="shared" si="70"/>
        <v>8.5451320754716971</v>
      </c>
      <c r="P485" s="462">
        <f t="shared" si="71"/>
        <v>2.6500000000000004</v>
      </c>
      <c r="Q485" s="460"/>
      <c r="R485" s="460">
        <v>2</v>
      </c>
      <c r="S485" s="414">
        <f>+HLOOKUP(A485,[238]Hoja1!$2:$78,55,FALSE)</f>
        <v>45.289200000000001</v>
      </c>
      <c r="U485" s="383">
        <f t="shared" si="55"/>
        <v>45.289200000000001</v>
      </c>
      <c r="V485" s="383">
        <f t="shared" si="56"/>
        <v>22.644600000000001</v>
      </c>
      <c r="W485" s="461">
        <v>2.6500000000000004</v>
      </c>
      <c r="X485" s="458">
        <f t="shared" si="57"/>
        <v>0</v>
      </c>
      <c r="Y485" s="471">
        <f t="shared" si="51"/>
        <v>-22.644600000000001</v>
      </c>
    </row>
    <row r="486" spans="1:25" ht="25.5">
      <c r="A486" s="383">
        <v>23</v>
      </c>
      <c r="C486" s="406"/>
      <c r="D486" s="407"/>
      <c r="E486" s="407"/>
      <c r="F486" s="407"/>
      <c r="G486" s="407"/>
      <c r="H486" s="407"/>
      <c r="I486" s="408" t="s">
        <v>434</v>
      </c>
      <c r="J486" s="409" t="str">
        <f t="shared" si="50"/>
        <v>A=(Ancho x Largo)* Cant</v>
      </c>
      <c r="K486" s="410" t="str">
        <f t="shared" si="63"/>
        <v>M2</v>
      </c>
      <c r="L486" s="411"/>
      <c r="M486" s="459"/>
      <c r="N486" s="457"/>
      <c r="O486" s="457"/>
      <c r="P486" s="462"/>
      <c r="Q486" s="460"/>
      <c r="R486" s="460"/>
      <c r="S486" s="414">
        <f>+HLOOKUP(A486,[238]Hoja1!$2:$78,55,FALSE)</f>
        <v>0</v>
      </c>
      <c r="U486" s="383">
        <f t="shared" si="55"/>
        <v>0</v>
      </c>
      <c r="V486" s="383">
        <f t="shared" si="56"/>
        <v>0</v>
      </c>
      <c r="W486" s="461">
        <v>0.2</v>
      </c>
      <c r="X486" s="458">
        <f t="shared" si="57"/>
        <v>0</v>
      </c>
      <c r="Y486" s="471">
        <f t="shared" si="51"/>
        <v>0</v>
      </c>
    </row>
    <row r="487" spans="1:25" ht="25.5">
      <c r="A487" s="383">
        <v>24</v>
      </c>
      <c r="C487" s="406"/>
      <c r="D487" s="407"/>
      <c r="E487" s="407"/>
      <c r="F487" s="407"/>
      <c r="G487" s="407"/>
      <c r="H487" s="407"/>
      <c r="I487" s="408" t="s">
        <v>435</v>
      </c>
      <c r="J487" s="409" t="str">
        <f t="shared" si="50"/>
        <v>A=(Ancho x Largo)* Cant</v>
      </c>
      <c r="K487" s="410" t="str">
        <f t="shared" si="63"/>
        <v>M2</v>
      </c>
      <c r="L487" s="411"/>
      <c r="M487" s="459"/>
      <c r="N487" s="457"/>
      <c r="O487" s="457"/>
      <c r="P487" s="462"/>
      <c r="Q487" s="460"/>
      <c r="R487" s="460"/>
      <c r="S487" s="414">
        <f>+HLOOKUP(A487,[238]Hoja1!$2:$78,55,FALSE)</f>
        <v>0</v>
      </c>
      <c r="U487" s="383">
        <f t="shared" si="55"/>
        <v>0</v>
      </c>
      <c r="V487" s="383">
        <f t="shared" si="56"/>
        <v>0</v>
      </c>
      <c r="W487" s="461">
        <v>0.2</v>
      </c>
      <c r="X487" s="458">
        <f t="shared" si="57"/>
        <v>0</v>
      </c>
      <c r="Y487" s="471">
        <f t="shared" si="51"/>
        <v>0</v>
      </c>
    </row>
    <row r="488" spans="1:25" ht="25.5">
      <c r="A488" s="383">
        <v>25</v>
      </c>
      <c r="C488" s="406"/>
      <c r="D488" s="407"/>
      <c r="E488" s="407"/>
      <c r="F488" s="407"/>
      <c r="G488" s="407"/>
      <c r="H488" s="407"/>
      <c r="I488" s="408" t="s">
        <v>436</v>
      </c>
      <c r="J488" s="409" t="str">
        <f t="shared" si="50"/>
        <v>A=(Ancho x Largo)* Cant</v>
      </c>
      <c r="K488" s="410" t="str">
        <f t="shared" si="63"/>
        <v>M2</v>
      </c>
      <c r="L488" s="411">
        <f t="shared" si="52"/>
        <v>21.260000000000005</v>
      </c>
      <c r="M488" s="459"/>
      <c r="N488" s="457"/>
      <c r="O488" s="457">
        <f t="shared" ref="O488" si="72">+V488/P488</f>
        <v>8.1769230769230781</v>
      </c>
      <c r="P488" s="462">
        <f t="shared" ref="P488" si="73">+W488</f>
        <v>2.6</v>
      </c>
      <c r="Q488" s="460"/>
      <c r="R488" s="460">
        <v>2</v>
      </c>
      <c r="S488" s="414">
        <f>+HLOOKUP(A488,[238]Hoja1!$2:$78,55,FALSE)</f>
        <v>42.52</v>
      </c>
      <c r="U488" s="383">
        <f t="shared" si="55"/>
        <v>42.52000000000001</v>
      </c>
      <c r="V488" s="383">
        <f t="shared" si="56"/>
        <v>21.26</v>
      </c>
      <c r="W488" s="461">
        <v>2.6</v>
      </c>
      <c r="X488" s="458">
        <f t="shared" si="57"/>
        <v>0</v>
      </c>
      <c r="Y488" s="471">
        <f t="shared" si="51"/>
        <v>-21.260000000000005</v>
      </c>
    </row>
    <row r="489" spans="1:25" ht="25.5">
      <c r="A489" s="383">
        <v>26</v>
      </c>
      <c r="C489" s="406"/>
      <c r="D489" s="407"/>
      <c r="E489" s="407"/>
      <c r="F489" s="407"/>
      <c r="G489" s="407"/>
      <c r="H489" s="407"/>
      <c r="I489" s="408" t="s">
        <v>437</v>
      </c>
      <c r="J489" s="409" t="str">
        <f t="shared" si="50"/>
        <v>A=(Ancho x Largo)* Cant</v>
      </c>
      <c r="K489" s="410" t="str">
        <f>+K478</f>
        <v>M2</v>
      </c>
      <c r="L489" s="411"/>
      <c r="M489" s="459"/>
      <c r="N489" s="457"/>
      <c r="O489" s="457"/>
      <c r="P489" s="462"/>
      <c r="Q489" s="460"/>
      <c r="R489" s="460"/>
      <c r="S489" s="414">
        <f>+HLOOKUP(A489,[238]Hoja1!$2:$78,55,FALSE)</f>
        <v>0</v>
      </c>
      <c r="U489" s="383">
        <f t="shared" si="55"/>
        <v>0</v>
      </c>
      <c r="V489" s="383">
        <f t="shared" si="56"/>
        <v>0</v>
      </c>
      <c r="W489" s="461">
        <v>0.2</v>
      </c>
      <c r="X489" s="458">
        <f t="shared" si="57"/>
        <v>0</v>
      </c>
      <c r="Y489" s="471">
        <f t="shared" si="51"/>
        <v>0</v>
      </c>
    </row>
    <row r="490" spans="1:25" ht="25.5">
      <c r="A490" s="383">
        <v>27</v>
      </c>
      <c r="C490" s="406"/>
      <c r="D490" s="407"/>
      <c r="E490" s="407"/>
      <c r="F490" s="407"/>
      <c r="G490" s="407"/>
      <c r="H490" s="407"/>
      <c r="I490" s="408" t="s">
        <v>438</v>
      </c>
      <c r="J490" s="409" t="str">
        <f t="shared" si="50"/>
        <v>A=(Ancho x Largo)* Cant</v>
      </c>
      <c r="K490" s="410" t="str">
        <f t="shared" ref="K490:K498" si="74">+K489</f>
        <v>M2</v>
      </c>
      <c r="L490" s="411">
        <f t="shared" si="52"/>
        <v>22.644600000000001</v>
      </c>
      <c r="M490" s="459"/>
      <c r="N490" s="457"/>
      <c r="O490" s="457">
        <f t="shared" ref="O490" si="75">+V490/P490</f>
        <v>8.5451320754716971</v>
      </c>
      <c r="P490" s="462">
        <f t="shared" ref="P490" si="76">+W490</f>
        <v>2.6500000000000004</v>
      </c>
      <c r="Q490" s="460"/>
      <c r="R490" s="460">
        <v>2</v>
      </c>
      <c r="S490" s="414">
        <f>+HLOOKUP(A490,[238]Hoja1!$2:$78,55,FALSE)</f>
        <v>45.289200000000001</v>
      </c>
      <c r="U490" s="383">
        <f t="shared" si="55"/>
        <v>45.289200000000001</v>
      </c>
      <c r="V490" s="383">
        <f t="shared" si="56"/>
        <v>22.644600000000001</v>
      </c>
      <c r="W490" s="461">
        <v>2.6500000000000004</v>
      </c>
      <c r="X490" s="458">
        <f t="shared" si="57"/>
        <v>0</v>
      </c>
      <c r="Y490" s="471">
        <f t="shared" si="51"/>
        <v>-22.644600000000001</v>
      </c>
    </row>
    <row r="491" spans="1:25" ht="25.5">
      <c r="A491" s="383">
        <v>28</v>
      </c>
      <c r="C491" s="406"/>
      <c r="D491" s="440"/>
      <c r="E491" s="407"/>
      <c r="F491" s="407"/>
      <c r="G491" s="407"/>
      <c r="H491" s="437"/>
      <c r="I491" s="408" t="s">
        <v>439</v>
      </c>
      <c r="J491" s="409" t="str">
        <f t="shared" si="50"/>
        <v>A=(Ancho x Largo)* Cant</v>
      </c>
      <c r="K491" s="410" t="str">
        <f t="shared" si="74"/>
        <v>M2</v>
      </c>
      <c r="L491" s="411"/>
      <c r="M491" s="459"/>
      <c r="N491" s="457"/>
      <c r="O491" s="457"/>
      <c r="P491" s="462"/>
      <c r="Q491" s="460"/>
      <c r="R491" s="460"/>
      <c r="S491" s="414">
        <f>+HLOOKUP(A491,[238]Hoja1!$2:$78,55,FALSE)</f>
        <v>0</v>
      </c>
      <c r="U491" s="383">
        <f t="shared" si="55"/>
        <v>0</v>
      </c>
      <c r="V491" s="383">
        <f t="shared" si="56"/>
        <v>0</v>
      </c>
      <c r="W491" s="461">
        <v>0.2</v>
      </c>
      <c r="X491" s="458">
        <f t="shared" si="57"/>
        <v>0</v>
      </c>
      <c r="Y491" s="471">
        <f t="shared" si="51"/>
        <v>0</v>
      </c>
    </row>
    <row r="492" spans="1:25" ht="25.5">
      <c r="A492" s="383">
        <v>29</v>
      </c>
      <c r="C492" s="406"/>
      <c r="D492" s="407"/>
      <c r="E492" s="407"/>
      <c r="F492" s="407"/>
      <c r="G492" s="407"/>
      <c r="H492" s="407"/>
      <c r="I492" s="408" t="s">
        <v>440</v>
      </c>
      <c r="J492" s="409" t="str">
        <f t="shared" si="50"/>
        <v>A=(Ancho x Largo)* Cant</v>
      </c>
      <c r="K492" s="410" t="str">
        <f t="shared" si="74"/>
        <v>M2</v>
      </c>
      <c r="L492" s="411">
        <f t="shared" si="52"/>
        <v>31.954349999999991</v>
      </c>
      <c r="M492" s="459"/>
      <c r="N492" s="457"/>
      <c r="O492" s="457">
        <f t="shared" ref="O492:O493" si="77">+V492/P492</f>
        <v>10.651449999999997</v>
      </c>
      <c r="P492" s="462">
        <v>3</v>
      </c>
      <c r="Q492" s="460"/>
      <c r="R492" s="460">
        <v>2</v>
      </c>
      <c r="S492" s="414">
        <f>+HLOOKUP(A492,[238]Hoja1!$2:$78,55,FALSE)</f>
        <v>63.908699999999982</v>
      </c>
      <c r="U492" s="383">
        <f t="shared" si="55"/>
        <v>63.908699999999982</v>
      </c>
      <c r="V492" s="383">
        <f t="shared" si="56"/>
        <v>31.954349999999991</v>
      </c>
      <c r="W492" s="461">
        <v>0.2</v>
      </c>
      <c r="X492" s="458">
        <f t="shared" si="57"/>
        <v>0</v>
      </c>
      <c r="Y492" s="471">
        <f t="shared" si="51"/>
        <v>-31.954349999999991</v>
      </c>
    </row>
    <row r="493" spans="1:25" ht="25.5">
      <c r="A493" s="383">
        <v>30</v>
      </c>
      <c r="C493" s="406"/>
      <c r="D493" s="407"/>
      <c r="E493" s="407"/>
      <c r="F493" s="407"/>
      <c r="G493" s="407"/>
      <c r="H493" s="407"/>
      <c r="I493" s="408" t="s">
        <v>441</v>
      </c>
      <c r="J493" s="409" t="str">
        <f t="shared" si="50"/>
        <v>A=(Ancho x Largo)* Cant</v>
      </c>
      <c r="K493" s="410" t="str">
        <f t="shared" si="74"/>
        <v>M2</v>
      </c>
      <c r="L493" s="411">
        <f t="shared" si="52"/>
        <v>35.6</v>
      </c>
      <c r="M493" s="459"/>
      <c r="N493" s="457"/>
      <c r="O493" s="457">
        <f t="shared" si="77"/>
        <v>12.067796610169491</v>
      </c>
      <c r="P493" s="462">
        <v>2.95</v>
      </c>
      <c r="Q493" s="460"/>
      <c r="R493" s="460">
        <v>2</v>
      </c>
      <c r="S493" s="414">
        <f>+HLOOKUP(A493,[238]Hoja1!$2:$78,55,FALSE)</f>
        <v>71.2</v>
      </c>
      <c r="U493" s="383">
        <f t="shared" si="55"/>
        <v>71.2</v>
      </c>
      <c r="V493" s="383">
        <f t="shared" si="56"/>
        <v>35.6</v>
      </c>
      <c r="W493" s="461">
        <v>3.2</v>
      </c>
      <c r="X493" s="458">
        <f t="shared" si="57"/>
        <v>0</v>
      </c>
      <c r="Y493" s="471">
        <f t="shared" si="51"/>
        <v>-35.6</v>
      </c>
    </row>
    <row r="494" spans="1:25" ht="25.5">
      <c r="A494" s="383">
        <v>31</v>
      </c>
      <c r="C494" s="406"/>
      <c r="D494" s="407"/>
      <c r="E494" s="407"/>
      <c r="F494" s="407"/>
      <c r="G494" s="407"/>
      <c r="H494" s="407"/>
      <c r="I494" s="408" t="s">
        <v>442</v>
      </c>
      <c r="J494" s="409" t="str">
        <f t="shared" si="50"/>
        <v>A=(Ancho x Largo)* Cant</v>
      </c>
      <c r="K494" s="410" t="str">
        <f t="shared" si="74"/>
        <v>M2</v>
      </c>
      <c r="L494" s="411"/>
      <c r="M494" s="459"/>
      <c r="N494" s="457"/>
      <c r="O494" s="457"/>
      <c r="P494" s="462"/>
      <c r="Q494" s="460"/>
      <c r="R494" s="460"/>
      <c r="S494" s="414">
        <f>+HLOOKUP(A494,[238]Hoja1!$2:$78,55,FALSE)</f>
        <v>0</v>
      </c>
      <c r="U494" s="383">
        <f t="shared" si="55"/>
        <v>0</v>
      </c>
      <c r="V494" s="383">
        <f t="shared" si="56"/>
        <v>0</v>
      </c>
      <c r="W494" s="461">
        <v>0.2</v>
      </c>
      <c r="X494" s="458">
        <f t="shared" si="57"/>
        <v>0</v>
      </c>
      <c r="Y494" s="471">
        <f t="shared" si="51"/>
        <v>0</v>
      </c>
    </row>
    <row r="495" spans="1:25" ht="25.5">
      <c r="A495" s="383">
        <v>32</v>
      </c>
      <c r="C495" s="406"/>
      <c r="D495" s="407"/>
      <c r="E495" s="407"/>
      <c r="F495" s="407"/>
      <c r="G495" s="407"/>
      <c r="H495" s="407"/>
      <c r="I495" s="408" t="s">
        <v>443</v>
      </c>
      <c r="J495" s="409" t="str">
        <f t="shared" si="50"/>
        <v>A=(Ancho x Largo)* Cant</v>
      </c>
      <c r="K495" s="410" t="str">
        <f t="shared" si="74"/>
        <v>M2</v>
      </c>
      <c r="L495" s="411">
        <f t="shared" si="52"/>
        <v>25.134</v>
      </c>
      <c r="M495" s="459"/>
      <c r="N495" s="457"/>
      <c r="O495" s="457">
        <f t="shared" ref="O495" si="78">+V495/P495</f>
        <v>9.6669230769230765</v>
      </c>
      <c r="P495" s="462">
        <f t="shared" ref="P495" si="79">+W495</f>
        <v>2.6</v>
      </c>
      <c r="Q495" s="460"/>
      <c r="R495" s="460">
        <v>2</v>
      </c>
      <c r="S495" s="414">
        <f>+HLOOKUP(A495,[238]Hoja1!$2:$78,55,FALSE)</f>
        <v>50.268000000000001</v>
      </c>
      <c r="U495" s="383">
        <f t="shared" si="55"/>
        <v>50.268000000000001</v>
      </c>
      <c r="V495" s="383">
        <f t="shared" si="56"/>
        <v>25.134</v>
      </c>
      <c r="W495" s="461">
        <v>2.6</v>
      </c>
      <c r="X495" s="458">
        <f t="shared" si="57"/>
        <v>0</v>
      </c>
      <c r="Y495" s="471">
        <f t="shared" si="51"/>
        <v>-25.134</v>
      </c>
    </row>
    <row r="496" spans="1:25" ht="25.5">
      <c r="A496" s="383">
        <v>33</v>
      </c>
      <c r="C496" s="406"/>
      <c r="D496" s="407"/>
      <c r="E496" s="407"/>
      <c r="F496" s="407"/>
      <c r="G496" s="407"/>
      <c r="H496" s="407"/>
      <c r="I496" s="408" t="s">
        <v>444</v>
      </c>
      <c r="J496" s="409" t="str">
        <f t="shared" si="50"/>
        <v>A=(Ancho x Largo)* Cant</v>
      </c>
      <c r="K496" s="410" t="str">
        <f t="shared" si="74"/>
        <v>M2</v>
      </c>
      <c r="L496" s="411">
        <f t="shared" si="52"/>
        <v>0</v>
      </c>
      <c r="M496" s="459"/>
      <c r="N496" s="457"/>
      <c r="O496" s="457"/>
      <c r="P496" s="462"/>
      <c r="Q496" s="460"/>
      <c r="R496" s="460"/>
      <c r="S496" s="414">
        <f>+HLOOKUP(A496,[238]Hoja1!$2:$78,55,FALSE)</f>
        <v>0</v>
      </c>
      <c r="U496" s="383">
        <f t="shared" si="55"/>
        <v>0</v>
      </c>
      <c r="V496" s="383">
        <f t="shared" si="56"/>
        <v>0</v>
      </c>
      <c r="W496" s="461">
        <v>3.4000000000000004</v>
      </c>
      <c r="X496" s="458">
        <f t="shared" si="57"/>
        <v>0</v>
      </c>
      <c r="Y496" s="471">
        <f t="shared" si="51"/>
        <v>0</v>
      </c>
    </row>
    <row r="497" spans="1:25" ht="25.5">
      <c r="A497" s="383">
        <v>34</v>
      </c>
      <c r="C497" s="406"/>
      <c r="D497" s="407"/>
      <c r="E497" s="407"/>
      <c r="F497" s="407"/>
      <c r="G497" s="407"/>
      <c r="H497" s="407"/>
      <c r="I497" s="408" t="s">
        <v>445</v>
      </c>
      <c r="J497" s="409" t="str">
        <f t="shared" si="50"/>
        <v>A=(Ancho x Largo)* Cant</v>
      </c>
      <c r="K497" s="410" t="str">
        <f t="shared" si="74"/>
        <v>M2</v>
      </c>
      <c r="L497" s="411">
        <f t="shared" si="52"/>
        <v>25.237500000000004</v>
      </c>
      <c r="M497" s="459"/>
      <c r="N497" s="457"/>
      <c r="O497" s="457">
        <f t="shared" ref="O497" si="80">+V497/P497</f>
        <v>9.7067307692307701</v>
      </c>
      <c r="P497" s="462">
        <f t="shared" ref="P497" si="81">+W497</f>
        <v>2.6</v>
      </c>
      <c r="Q497" s="460"/>
      <c r="R497" s="460">
        <v>2</v>
      </c>
      <c r="S497" s="414">
        <f>+HLOOKUP(A497,[238]Hoja1!$2:$78,55,FALSE)</f>
        <v>50.475000000000001</v>
      </c>
      <c r="U497" s="383">
        <f t="shared" si="55"/>
        <v>50.475000000000009</v>
      </c>
      <c r="V497" s="383">
        <f t="shared" si="56"/>
        <v>25.237500000000001</v>
      </c>
      <c r="W497" s="461">
        <v>2.6</v>
      </c>
      <c r="X497" s="458">
        <f t="shared" si="57"/>
        <v>0</v>
      </c>
      <c r="Y497" s="471">
        <f t="shared" si="51"/>
        <v>-25.237500000000004</v>
      </c>
    </row>
    <row r="498" spans="1:25" ht="25.5">
      <c r="A498" s="383">
        <v>35</v>
      </c>
      <c r="C498" s="406"/>
      <c r="D498" s="440"/>
      <c r="E498" s="407"/>
      <c r="F498" s="407"/>
      <c r="G498" s="407"/>
      <c r="H498" s="437"/>
      <c r="I498" s="408" t="s">
        <v>446</v>
      </c>
      <c r="J498" s="409" t="str">
        <f t="shared" si="50"/>
        <v>A=(Ancho x Largo)* Cant</v>
      </c>
      <c r="K498" s="410" t="str">
        <f t="shared" si="74"/>
        <v>M2</v>
      </c>
      <c r="L498" s="411"/>
      <c r="M498" s="459"/>
      <c r="N498" s="457"/>
      <c r="O498" s="457"/>
      <c r="P498" s="462"/>
      <c r="Q498" s="460"/>
      <c r="R498" s="460"/>
      <c r="S498" s="414">
        <f>+HLOOKUP(A498,[238]Hoja1!$2:$78,55,FALSE)</f>
        <v>0</v>
      </c>
      <c r="U498" s="383">
        <f t="shared" si="55"/>
        <v>0</v>
      </c>
      <c r="V498" s="383">
        <f t="shared" si="56"/>
        <v>0</v>
      </c>
      <c r="W498" s="461">
        <v>0.2</v>
      </c>
      <c r="X498" s="458">
        <f t="shared" si="57"/>
        <v>0</v>
      </c>
      <c r="Y498" s="471">
        <f t="shared" si="51"/>
        <v>0</v>
      </c>
    </row>
    <row r="499" spans="1:25" ht="25.5">
      <c r="A499" s="383">
        <v>36</v>
      </c>
      <c r="C499" s="406"/>
      <c r="D499" s="407"/>
      <c r="E499" s="407"/>
      <c r="F499" s="407"/>
      <c r="G499" s="407"/>
      <c r="H499" s="407"/>
      <c r="I499" s="408" t="s">
        <v>447</v>
      </c>
      <c r="J499" s="409" t="str">
        <f t="shared" si="50"/>
        <v>A=(Ancho x Largo)* Cant</v>
      </c>
      <c r="K499" s="410" t="str">
        <f>+K488</f>
        <v>M2</v>
      </c>
      <c r="L499" s="411">
        <f t="shared" si="52"/>
        <v>21.704999999999998</v>
      </c>
      <c r="M499" s="459"/>
      <c r="N499" s="457"/>
      <c r="O499" s="457">
        <f t="shared" ref="O499" si="82">+V499/P499</f>
        <v>8.3480769230769223</v>
      </c>
      <c r="P499" s="462">
        <f t="shared" ref="P499" si="83">+W499</f>
        <v>2.6</v>
      </c>
      <c r="Q499" s="460"/>
      <c r="R499" s="460">
        <v>2</v>
      </c>
      <c r="S499" s="414">
        <f>+HLOOKUP(A499,[238]Hoja1!$2:$78,55,FALSE)</f>
        <v>43.41</v>
      </c>
      <c r="U499" s="383">
        <f t="shared" si="55"/>
        <v>43.41</v>
      </c>
      <c r="V499" s="383">
        <f t="shared" si="56"/>
        <v>21.704999999999998</v>
      </c>
      <c r="W499" s="461">
        <v>2.6</v>
      </c>
      <c r="X499" s="458">
        <f t="shared" si="57"/>
        <v>0</v>
      </c>
      <c r="Y499" s="471">
        <f t="shared" si="51"/>
        <v>-21.704999999999998</v>
      </c>
    </row>
    <row r="500" spans="1:25" ht="25.5">
      <c r="A500" s="383">
        <v>37</v>
      </c>
      <c r="C500" s="406"/>
      <c r="D500" s="407"/>
      <c r="E500" s="407"/>
      <c r="F500" s="407"/>
      <c r="G500" s="407"/>
      <c r="H500" s="407"/>
      <c r="I500" s="408" t="s">
        <v>448</v>
      </c>
      <c r="J500" s="409" t="str">
        <f t="shared" si="50"/>
        <v>A=(Ancho x Largo)* Cant</v>
      </c>
      <c r="K500" s="410" t="str">
        <f t="shared" ref="K500:K506" si="84">+K499</f>
        <v>M2</v>
      </c>
      <c r="L500" s="411">
        <f t="shared" si="52"/>
        <v>30.422499999999999</v>
      </c>
      <c r="M500" s="459"/>
      <c r="N500" s="457"/>
      <c r="O500" s="457">
        <f t="shared" ref="O500:O501" si="85">+V500/P500</f>
        <v>11.700961538461538</v>
      </c>
      <c r="P500" s="462">
        <f t="shared" ref="P500" si="86">+W500</f>
        <v>2.6</v>
      </c>
      <c r="Q500" s="460"/>
      <c r="R500" s="460">
        <v>2</v>
      </c>
      <c r="S500" s="414">
        <f>+HLOOKUP(A500,[238]Hoja1!$2:$78,55,FALSE)</f>
        <v>60.844999999999999</v>
      </c>
      <c r="U500" s="383">
        <f t="shared" si="55"/>
        <v>60.844999999999999</v>
      </c>
      <c r="V500" s="383">
        <f t="shared" si="56"/>
        <v>30.422499999999999</v>
      </c>
      <c r="W500" s="461">
        <v>2.6</v>
      </c>
      <c r="X500" s="458">
        <f>+N500*O500*P500*R500</f>
        <v>0</v>
      </c>
      <c r="Y500" s="471">
        <f t="shared" si="51"/>
        <v>-30.422499999999999</v>
      </c>
    </row>
    <row r="501" spans="1:25" ht="25.5">
      <c r="A501" s="383">
        <v>38</v>
      </c>
      <c r="C501" s="406"/>
      <c r="D501" s="440"/>
      <c r="E501" s="407"/>
      <c r="F501" s="407"/>
      <c r="G501" s="407"/>
      <c r="H501" s="437"/>
      <c r="I501" s="408" t="s">
        <v>449</v>
      </c>
      <c r="J501" s="409" t="str">
        <f t="shared" si="50"/>
        <v>A=(Ancho x Largo)* Cant</v>
      </c>
      <c r="K501" s="410" t="str">
        <f t="shared" si="84"/>
        <v>M2</v>
      </c>
      <c r="L501" s="411">
        <f t="shared" si="52"/>
        <v>62.957600000000014</v>
      </c>
      <c r="M501" s="459"/>
      <c r="N501" s="457"/>
      <c r="O501" s="457">
        <f t="shared" si="85"/>
        <v>19.674250000000004</v>
      </c>
      <c r="P501" s="462">
        <v>3.2</v>
      </c>
      <c r="Q501" s="460"/>
      <c r="R501" s="460">
        <v>2</v>
      </c>
      <c r="S501" s="414">
        <f>+HLOOKUP(A501,[238]Hoja1!$2:$78,55,FALSE)</f>
        <v>125.91520000000003</v>
      </c>
      <c r="U501" s="383">
        <f t="shared" si="55"/>
        <v>125.91520000000003</v>
      </c>
      <c r="V501" s="383">
        <f t="shared" si="56"/>
        <v>62.957600000000014</v>
      </c>
      <c r="W501" s="461">
        <v>0.2</v>
      </c>
      <c r="X501" s="458">
        <f t="shared" si="57"/>
        <v>0</v>
      </c>
      <c r="Y501" s="471">
        <f t="shared" si="51"/>
        <v>-62.957600000000014</v>
      </c>
    </row>
    <row r="502" spans="1:25" ht="25.5">
      <c r="A502" s="383">
        <v>39</v>
      </c>
      <c r="C502" s="406"/>
      <c r="D502" s="407"/>
      <c r="E502" s="407"/>
      <c r="F502" s="407"/>
      <c r="G502" s="407"/>
      <c r="H502" s="407"/>
      <c r="I502" s="408" t="s">
        <v>450</v>
      </c>
      <c r="J502" s="409" t="str">
        <f t="shared" si="50"/>
        <v>A=(Ancho x Largo)* Cant</v>
      </c>
      <c r="K502" s="410" t="str">
        <f t="shared" si="84"/>
        <v>M2</v>
      </c>
      <c r="L502" s="411"/>
      <c r="M502" s="459"/>
      <c r="N502" s="457"/>
      <c r="O502" s="457"/>
      <c r="P502" s="462"/>
      <c r="Q502" s="460"/>
      <c r="R502" s="460"/>
      <c r="S502" s="414">
        <f>+HLOOKUP(A502,[238]Hoja1!$2:$78,55,FALSE)</f>
        <v>0</v>
      </c>
      <c r="U502" s="383">
        <f t="shared" si="55"/>
        <v>0</v>
      </c>
      <c r="V502" s="383">
        <f t="shared" si="56"/>
        <v>0</v>
      </c>
      <c r="W502" s="461">
        <v>0.2</v>
      </c>
      <c r="X502" s="458">
        <f t="shared" si="57"/>
        <v>0</v>
      </c>
      <c r="Y502" s="471">
        <f t="shared" si="51"/>
        <v>0</v>
      </c>
    </row>
    <row r="503" spans="1:25" ht="25.5">
      <c r="A503" s="383">
        <v>40</v>
      </c>
      <c r="C503" s="406"/>
      <c r="D503" s="407"/>
      <c r="E503" s="407"/>
      <c r="F503" s="407"/>
      <c r="G503" s="407"/>
      <c r="H503" s="407"/>
      <c r="I503" s="408" t="s">
        <v>451</v>
      </c>
      <c r="J503" s="409" t="str">
        <f t="shared" si="50"/>
        <v>A=(Ancho x Largo)* Cant</v>
      </c>
      <c r="K503" s="410" t="str">
        <f t="shared" si="84"/>
        <v>M2</v>
      </c>
      <c r="L503" s="411">
        <f t="shared" si="52"/>
        <v>20.484000000000002</v>
      </c>
      <c r="M503" s="459"/>
      <c r="N503" s="457"/>
      <c r="O503" s="457">
        <f t="shared" ref="O503" si="87">+V503/P503</f>
        <v>6.9437288135593223</v>
      </c>
      <c r="P503" s="462">
        <v>2.95</v>
      </c>
      <c r="Q503" s="460"/>
      <c r="R503" s="460">
        <v>2</v>
      </c>
      <c r="S503" s="414">
        <f>+HLOOKUP(A503,[238]Hoja1!$2:$78,55,FALSE)</f>
        <v>40.968000000000004</v>
      </c>
      <c r="U503" s="383">
        <f t="shared" si="55"/>
        <v>40.968000000000004</v>
      </c>
      <c r="V503" s="383">
        <f t="shared" si="56"/>
        <v>20.484000000000002</v>
      </c>
      <c r="W503" s="461">
        <v>2.6</v>
      </c>
      <c r="X503" s="458">
        <f t="shared" si="57"/>
        <v>0</v>
      </c>
      <c r="Y503" s="471">
        <f t="shared" si="51"/>
        <v>-20.484000000000002</v>
      </c>
    </row>
    <row r="504" spans="1:25" ht="25.5">
      <c r="A504" s="383">
        <v>41</v>
      </c>
      <c r="C504" s="406"/>
      <c r="D504" s="407"/>
      <c r="E504" s="407"/>
      <c r="F504" s="407"/>
      <c r="G504" s="407"/>
      <c r="H504" s="407"/>
      <c r="I504" s="408" t="s">
        <v>452</v>
      </c>
      <c r="J504" s="409" t="str">
        <f t="shared" si="50"/>
        <v>A=(Ancho x Largo)* Cant</v>
      </c>
      <c r="K504" s="410" t="str">
        <f t="shared" si="84"/>
        <v>M2</v>
      </c>
      <c r="L504" s="411">
        <f t="shared" si="52"/>
        <v>18.881999999999998</v>
      </c>
      <c r="M504" s="459"/>
      <c r="N504" s="457"/>
      <c r="O504" s="457">
        <f t="shared" ref="O504" si="88">+V504/P504</f>
        <v>8.0348936170212752</v>
      </c>
      <c r="P504" s="462">
        <v>2.35</v>
      </c>
      <c r="Q504" s="460"/>
      <c r="R504" s="460">
        <v>2</v>
      </c>
      <c r="S504" s="414">
        <f>+HLOOKUP(A504,[238]Hoja1!$2:$78,55,FALSE)</f>
        <v>37.763999999999996</v>
      </c>
      <c r="U504" s="383">
        <f t="shared" si="55"/>
        <v>37.763999999999996</v>
      </c>
      <c r="V504" s="383">
        <f t="shared" si="56"/>
        <v>18.881999999999998</v>
      </c>
      <c r="W504" s="461">
        <v>2.6</v>
      </c>
      <c r="X504" s="458">
        <f t="shared" si="57"/>
        <v>0</v>
      </c>
      <c r="Y504" s="471">
        <f t="shared" si="51"/>
        <v>-18.881999999999998</v>
      </c>
    </row>
    <row r="505" spans="1:25" ht="25.5">
      <c r="A505" s="383">
        <v>42</v>
      </c>
      <c r="C505" s="406"/>
      <c r="D505" s="407"/>
      <c r="E505" s="407"/>
      <c r="F505" s="407"/>
      <c r="G505" s="407"/>
      <c r="H505" s="407"/>
      <c r="I505" s="408" t="s">
        <v>453</v>
      </c>
      <c r="J505" s="409" t="str">
        <f t="shared" si="50"/>
        <v>A=(Ancho x Largo)* Cant</v>
      </c>
      <c r="K505" s="410" t="str">
        <f t="shared" si="84"/>
        <v>M2</v>
      </c>
      <c r="L505" s="411">
        <f t="shared" si="52"/>
        <v>0</v>
      </c>
      <c r="M505" s="459"/>
      <c r="N505" s="457"/>
      <c r="O505" s="457">
        <f t="shared" ref="O505:O506" si="89">+S505/2.4</f>
        <v>0</v>
      </c>
      <c r="P505" s="462"/>
      <c r="Q505" s="460"/>
      <c r="R505" s="460"/>
      <c r="S505" s="414">
        <f>+HLOOKUP(A505,[238]Hoja1!$2:$78,55,FALSE)</f>
        <v>0</v>
      </c>
      <c r="U505" s="383">
        <f t="shared" si="55"/>
        <v>0</v>
      </c>
      <c r="V505" s="383">
        <f t="shared" si="56"/>
        <v>0</v>
      </c>
      <c r="W505" s="461">
        <v>0.2</v>
      </c>
      <c r="X505" s="458">
        <f t="shared" si="57"/>
        <v>0</v>
      </c>
      <c r="Y505" s="471">
        <f t="shared" si="51"/>
        <v>0</v>
      </c>
    </row>
    <row r="506" spans="1:25" ht="26.25" thickBot="1">
      <c r="A506" s="383">
        <v>43</v>
      </c>
      <c r="C506" s="406"/>
      <c r="D506" s="407"/>
      <c r="E506" s="407"/>
      <c r="F506" s="407"/>
      <c r="G506" s="407"/>
      <c r="H506" s="407"/>
      <c r="I506" s="408" t="s">
        <v>454</v>
      </c>
      <c r="J506" s="409" t="str">
        <f t="shared" si="50"/>
        <v>A=(Ancho x Largo)* Cant</v>
      </c>
      <c r="K506" s="410" t="str">
        <f t="shared" si="84"/>
        <v>M2</v>
      </c>
      <c r="L506" s="411">
        <f t="shared" si="52"/>
        <v>0</v>
      </c>
      <c r="M506" s="459"/>
      <c r="N506" s="457"/>
      <c r="O506" s="457">
        <f t="shared" si="89"/>
        <v>0</v>
      </c>
      <c r="P506" s="462"/>
      <c r="Q506" s="460"/>
      <c r="R506" s="460"/>
      <c r="S506" s="414">
        <f>+HLOOKUP(A506,[238]Hoja1!$2:$78,55,FALSE)</f>
        <v>0</v>
      </c>
      <c r="U506" s="383">
        <f t="shared" si="55"/>
        <v>0</v>
      </c>
      <c r="V506" s="383">
        <f t="shared" si="56"/>
        <v>0</v>
      </c>
      <c r="W506" s="461">
        <v>0.2</v>
      </c>
      <c r="X506" s="458">
        <f t="shared" si="57"/>
        <v>0</v>
      </c>
      <c r="Y506" s="471">
        <f t="shared" si="51"/>
        <v>0</v>
      </c>
    </row>
    <row r="507" spans="1:25">
      <c r="C507" s="384"/>
      <c r="D507" s="419"/>
      <c r="E507" s="420"/>
      <c r="F507" s="421"/>
      <c r="G507" s="421"/>
      <c r="H507" s="421"/>
      <c r="I507" s="421"/>
      <c r="J507" s="422"/>
      <c r="K507" s="421"/>
      <c r="L507" s="421"/>
      <c r="M507" s="421"/>
      <c r="N507" s="421"/>
      <c r="O507" s="421"/>
      <c r="P507" s="421"/>
      <c r="Q507" s="421"/>
      <c r="R507" s="422"/>
      <c r="S507" s="423"/>
    </row>
    <row r="508" spans="1:25">
      <c r="C508" s="396"/>
      <c r="D508" s="397"/>
      <c r="E508" s="424"/>
      <c r="F508" s="425"/>
      <c r="G508" s="425"/>
      <c r="H508" s="425"/>
      <c r="I508" s="425"/>
      <c r="J508" s="398"/>
      <c r="K508" s="425"/>
      <c r="L508" s="425"/>
      <c r="M508" s="397"/>
      <c r="N508" s="397"/>
      <c r="O508" s="562" t="s">
        <v>455</v>
      </c>
      <c r="P508" s="563"/>
      <c r="Q508" s="564"/>
      <c r="R508" s="426"/>
      <c r="S508" s="427">
        <f>ROUND(SUM(S464:S507),2)</f>
        <v>1589.42</v>
      </c>
    </row>
    <row r="509" spans="1:25">
      <c r="C509" s="396"/>
      <c r="D509" s="397"/>
      <c r="E509" s="424"/>
      <c r="F509" s="425"/>
      <c r="G509" s="425"/>
      <c r="H509" s="425"/>
      <c r="I509" s="425"/>
      <c r="J509" s="398"/>
      <c r="K509" s="425"/>
      <c r="L509" s="425"/>
      <c r="M509" s="428"/>
      <c r="N509" s="428"/>
      <c r="O509" s="429"/>
      <c r="P509" s="425"/>
      <c r="Q509" s="425"/>
      <c r="R509" s="430"/>
      <c r="S509" s="431"/>
    </row>
    <row r="510" spans="1:25">
      <c r="C510" s="565" t="e">
        <v>#REF!</v>
      </c>
      <c r="D510" s="566"/>
      <c r="E510" s="566"/>
      <c r="F510" s="566"/>
      <c r="G510" s="566"/>
      <c r="H510" s="566"/>
      <c r="I510" s="566"/>
      <c r="J510" s="566"/>
      <c r="K510" s="566"/>
      <c r="L510" s="566"/>
      <c r="M510" s="566"/>
      <c r="N510" s="567"/>
      <c r="O510" s="568" t="s">
        <v>422</v>
      </c>
      <c r="P510" s="568"/>
      <c r="Q510" s="568"/>
      <c r="R510" s="426"/>
      <c r="S510" s="427">
        <f>S508</f>
        <v>1589.42</v>
      </c>
    </row>
    <row r="511" spans="1:25">
      <c r="C511" s="396"/>
      <c r="D511" s="397"/>
      <c r="E511" s="424"/>
      <c r="F511" s="425"/>
      <c r="G511" s="425"/>
      <c r="H511" s="425"/>
      <c r="I511" s="425"/>
      <c r="J511" s="398"/>
      <c r="K511" s="425"/>
      <c r="L511" s="425"/>
      <c r="M511" s="428"/>
      <c r="N511" s="428"/>
      <c r="O511" s="429"/>
      <c r="P511" s="425"/>
      <c r="Q511" s="398"/>
      <c r="R511" s="398"/>
      <c r="S511" s="432"/>
    </row>
    <row r="512" spans="1:25">
      <c r="C512" s="396"/>
      <c r="D512" s="397"/>
      <c r="E512" s="424"/>
      <c r="F512" s="425"/>
      <c r="G512" s="425"/>
      <c r="H512" s="425"/>
      <c r="I512" s="425"/>
      <c r="J512" s="398"/>
      <c r="K512" s="425"/>
      <c r="L512" s="425"/>
      <c r="M512" s="428"/>
      <c r="N512" s="428"/>
      <c r="O512" s="429"/>
      <c r="P512" s="425"/>
      <c r="Q512" s="398"/>
      <c r="R512" s="398"/>
      <c r="S512" s="432"/>
    </row>
    <row r="513" spans="3:19">
      <c r="C513" s="569" t="s">
        <v>423</v>
      </c>
      <c r="D513" s="570"/>
      <c r="E513" s="570"/>
      <c r="F513" s="570"/>
      <c r="G513" s="570"/>
      <c r="H513" s="570"/>
      <c r="I513" s="570"/>
      <c r="J513" s="571"/>
      <c r="K513" s="433" t="s">
        <v>424</v>
      </c>
      <c r="L513" s="434"/>
      <c r="M513" s="434"/>
      <c r="N513" s="434"/>
      <c r="O513" s="434"/>
      <c r="P513" s="434"/>
      <c r="Q513" s="434"/>
      <c r="R513" s="434"/>
      <c r="S513" s="435"/>
    </row>
    <row r="514" spans="3:19">
      <c r="C514" s="542"/>
      <c r="D514" s="543"/>
      <c r="E514" s="543"/>
      <c r="F514" s="543"/>
      <c r="G514" s="436"/>
      <c r="H514" s="436"/>
      <c r="I514" s="436"/>
      <c r="J514" s="447"/>
      <c r="K514" s="436"/>
      <c r="L514" s="407"/>
      <c r="M514" s="407"/>
      <c r="N514" s="407"/>
      <c r="O514" s="407"/>
      <c r="P514" s="407"/>
      <c r="Q514" s="407"/>
      <c r="R514" s="407"/>
      <c r="S514" s="437"/>
    </row>
    <row r="515" spans="3:19">
      <c r="C515" s="542"/>
      <c r="D515" s="543"/>
      <c r="E515" s="543"/>
      <c r="F515" s="543"/>
      <c r="G515" s="436"/>
      <c r="H515" s="436"/>
      <c r="I515" s="436"/>
      <c r="J515" s="447"/>
      <c r="K515" s="436"/>
      <c r="L515" s="407"/>
      <c r="M515" s="407"/>
      <c r="N515" s="407"/>
      <c r="O515" s="407"/>
      <c r="P515" s="407"/>
      <c r="Q515" s="407"/>
      <c r="R515" s="407"/>
      <c r="S515" s="437"/>
    </row>
    <row r="516" spans="3:19">
      <c r="C516" s="542" t="s">
        <v>425</v>
      </c>
      <c r="D516" s="543"/>
      <c r="E516" s="543" t="s">
        <v>425</v>
      </c>
      <c r="F516" s="543"/>
      <c r="G516" s="543" t="s">
        <v>425</v>
      </c>
      <c r="H516" s="543"/>
      <c r="I516" s="543" t="s">
        <v>425</v>
      </c>
      <c r="J516" s="544"/>
      <c r="K516" s="545" t="s">
        <v>426</v>
      </c>
      <c r="L516" s="546"/>
      <c r="M516" s="546"/>
      <c r="N516" s="546"/>
      <c r="O516" s="546"/>
      <c r="P516" s="546"/>
      <c r="Q516" s="546"/>
      <c r="R516" s="546"/>
      <c r="S516" s="547"/>
    </row>
    <row r="517" spans="3:19">
      <c r="C517" s="548" t="str">
        <f>+[42]DATOS!D$8</f>
        <v>HELMER EDUARDO BECERRA SANTANDER</v>
      </c>
      <c r="D517" s="549"/>
      <c r="E517" s="549" t="s">
        <v>427</v>
      </c>
      <c r="F517" s="549"/>
      <c r="G517" s="549" t="s">
        <v>427</v>
      </c>
      <c r="H517" s="549"/>
      <c r="I517" s="549" t="s">
        <v>427</v>
      </c>
      <c r="J517" s="550"/>
      <c r="K517" s="551" t="str">
        <f>+[42]DATOS!D$11</f>
        <v>JESUS IVAN QUIÑONES RUEDA</v>
      </c>
      <c r="L517" s="549"/>
      <c r="M517" s="549"/>
      <c r="N517" s="549"/>
      <c r="O517" s="549"/>
      <c r="P517" s="549"/>
      <c r="Q517" s="549"/>
      <c r="R517" s="549"/>
      <c r="S517" s="552"/>
    </row>
    <row r="518" spans="3:19">
      <c r="C518" s="553" t="str">
        <f>+$C$72</f>
        <v>APOYO SEC. DE PLANEACION Y OBRAS PÚBLICAS</v>
      </c>
      <c r="D518" s="554"/>
      <c r="E518" s="554" t="s">
        <v>428</v>
      </c>
      <c r="F518" s="554"/>
      <c r="G518" s="554" t="s">
        <v>428</v>
      </c>
      <c r="H518" s="554"/>
      <c r="I518" s="554" t="s">
        <v>428</v>
      </c>
      <c r="J518" s="555"/>
      <c r="K518" s="556" t="str">
        <f>+$K$72</f>
        <v>SECRETARIO DE PLANEACION Y OBRAS PÚBLICAS</v>
      </c>
      <c r="L518" s="554"/>
      <c r="M518" s="554"/>
      <c r="N518" s="554"/>
      <c r="O518" s="554"/>
      <c r="P518" s="554"/>
      <c r="Q518" s="554"/>
      <c r="R518" s="554"/>
      <c r="S518" s="557"/>
    </row>
    <row r="519" spans="3:19">
      <c r="C519" s="406"/>
      <c r="D519" s="407"/>
      <c r="E519" s="407"/>
      <c r="F519" s="407"/>
      <c r="G519" s="407"/>
      <c r="H519" s="407"/>
      <c r="I519" s="407"/>
      <c r="J519" s="407"/>
      <c r="K519" s="407"/>
      <c r="L519" s="407"/>
      <c r="M519" s="407"/>
      <c r="N519" s="407"/>
      <c r="O519" s="407"/>
      <c r="P519" s="407"/>
      <c r="Q519" s="407"/>
      <c r="R519" s="407"/>
      <c r="S519" s="437"/>
    </row>
    <row r="520" spans="3:19" ht="111" customHeight="1" thickBot="1">
      <c r="C520" s="417"/>
      <c r="D520" s="418"/>
      <c r="E520" s="418"/>
      <c r="F520" s="418"/>
      <c r="G520" s="418"/>
      <c r="H520" s="418"/>
      <c r="I520" s="418"/>
      <c r="J520" s="418"/>
      <c r="K520" s="418"/>
      <c r="L520" s="418"/>
      <c r="M520" s="418"/>
      <c r="N520" s="418"/>
      <c r="O520" s="418"/>
      <c r="P520" s="418"/>
      <c r="Q520" s="418"/>
      <c r="R520" s="418"/>
      <c r="S520" s="438"/>
    </row>
    <row r="521" spans="3:19" ht="22.5" customHeight="1"/>
    <row r="522" spans="3:19" ht="13.5" thickBot="1"/>
    <row r="523" spans="3:19">
      <c r="C523" s="384"/>
      <c r="D523" s="385"/>
      <c r="E523" s="385"/>
      <c r="F523" s="385"/>
      <c r="G523" s="385"/>
      <c r="H523" s="385"/>
      <c r="I523" s="385"/>
      <c r="J523" s="445"/>
      <c r="K523" s="385"/>
      <c r="L523" s="385"/>
      <c r="M523" s="385"/>
      <c r="N523" s="385"/>
      <c r="O523" s="385"/>
      <c r="P523" s="385"/>
      <c r="Q523" s="385"/>
      <c r="R523" s="385"/>
      <c r="S523" s="386"/>
    </row>
    <row r="524" spans="3:19" ht="121.5" customHeight="1" thickBot="1">
      <c r="C524" s="387"/>
      <c r="D524" s="388"/>
      <c r="E524" s="388"/>
      <c r="F524" s="388"/>
      <c r="G524" s="388"/>
      <c r="H524" s="388"/>
      <c r="I524" s="388"/>
      <c r="J524" s="446"/>
      <c r="K524" s="388"/>
      <c r="L524" s="388"/>
      <c r="M524" s="388"/>
      <c r="N524" s="388"/>
      <c r="O524" s="388"/>
      <c r="P524" s="388"/>
      <c r="Q524" s="388"/>
      <c r="R524" s="388"/>
      <c r="S524" s="389"/>
    </row>
    <row r="525" spans="3:19">
      <c r="C525" s="592" t="str">
        <f>+[42]DATOS!C$7</f>
        <v>MEJORAMIENTO DE VIVIENDA CON ENFOQUE DIFERENCIAL PARA POBLACIÓN VULNERABLE EN EL MUNICIPIO DE CUBARÁ, BOYACÁ (2026).</v>
      </c>
      <c r="D525" s="593"/>
      <c r="E525" s="593"/>
      <c r="F525" s="593"/>
      <c r="G525" s="593"/>
      <c r="H525" s="593"/>
      <c r="I525" s="593"/>
      <c r="J525" s="593"/>
      <c r="K525" s="593"/>
      <c r="L525" s="593"/>
      <c r="M525" s="593"/>
      <c r="N525" s="593"/>
      <c r="O525" s="593"/>
      <c r="P525" s="593"/>
      <c r="Q525" s="593"/>
      <c r="R525" s="593"/>
      <c r="S525" s="594"/>
    </row>
    <row r="526" spans="3:19">
      <c r="C526" s="595"/>
      <c r="D526" s="596"/>
      <c r="E526" s="596"/>
      <c r="F526" s="596"/>
      <c r="G526" s="596"/>
      <c r="H526" s="596"/>
      <c r="I526" s="596"/>
      <c r="J526" s="596"/>
      <c r="K526" s="596"/>
      <c r="L526" s="596"/>
      <c r="M526" s="596"/>
      <c r="N526" s="596"/>
      <c r="O526" s="596"/>
      <c r="P526" s="596"/>
      <c r="Q526" s="596"/>
      <c r="R526" s="596"/>
      <c r="S526" s="597"/>
    </row>
    <row r="527" spans="3:19">
      <c r="C527" s="598" t="s">
        <v>371</v>
      </c>
      <c r="D527" s="599"/>
      <c r="E527" s="599"/>
      <c r="F527" s="599"/>
      <c r="G527" s="599"/>
      <c r="H527" s="599"/>
      <c r="I527" s="599"/>
      <c r="J527" s="599"/>
      <c r="K527" s="599"/>
      <c r="L527" s="599"/>
      <c r="M527" s="599"/>
      <c r="N527" s="599"/>
      <c r="O527" s="599"/>
      <c r="P527" s="599"/>
      <c r="Q527" s="599"/>
      <c r="R527" s="599"/>
      <c r="S527" s="600"/>
    </row>
    <row r="528" spans="3:19">
      <c r="C528" s="586" t="s">
        <v>372</v>
      </c>
      <c r="D528" s="587"/>
      <c r="E528" s="601" t="s">
        <v>373</v>
      </c>
      <c r="F528" s="601"/>
      <c r="G528" s="601"/>
      <c r="H528" s="601"/>
      <c r="I528" s="601"/>
      <c r="J528" s="601"/>
      <c r="K528" s="601"/>
      <c r="L528" s="601"/>
      <c r="M528" s="601"/>
      <c r="N528" s="601"/>
      <c r="O528" s="601"/>
      <c r="P528" s="601"/>
      <c r="Q528" s="601"/>
      <c r="R528" s="601"/>
      <c r="S528" s="602"/>
    </row>
    <row r="529" spans="1:25">
      <c r="C529" s="586" t="s">
        <v>374</v>
      </c>
      <c r="D529" s="587"/>
      <c r="E529" s="603" t="s">
        <v>375</v>
      </c>
      <c r="F529" s="604"/>
      <c r="G529" s="604"/>
      <c r="H529" s="604"/>
      <c r="I529" s="604"/>
      <c r="J529" s="604"/>
      <c r="K529" s="604"/>
      <c r="L529" s="604"/>
      <c r="M529" s="604"/>
      <c r="N529" s="604"/>
      <c r="O529" s="604"/>
      <c r="P529" s="604"/>
      <c r="Q529" s="604"/>
      <c r="R529" s="604"/>
      <c r="S529" s="605"/>
    </row>
    <row r="530" spans="1:25">
      <c r="C530" s="586" t="s">
        <v>376</v>
      </c>
      <c r="D530" s="587"/>
      <c r="E530" s="390">
        <f>+[42]DATOS!F$5</f>
        <v>46143</v>
      </c>
      <c r="F530" s="391"/>
      <c r="G530" s="391"/>
      <c r="H530" s="391"/>
      <c r="I530" s="391"/>
      <c r="J530" s="391"/>
      <c r="K530" s="568" t="s">
        <v>377</v>
      </c>
      <c r="L530" s="568"/>
      <c r="M530" s="588" t="s">
        <v>378</v>
      </c>
      <c r="N530" s="588"/>
      <c r="O530" s="588"/>
      <c r="P530" s="588"/>
      <c r="Q530" s="588"/>
      <c r="R530" s="588"/>
      <c r="S530" s="589"/>
    </row>
    <row r="531" spans="1:25" ht="25.5">
      <c r="C531" s="586" t="s">
        <v>379</v>
      </c>
      <c r="D531" s="587"/>
      <c r="E531" s="590" t="s">
        <v>380</v>
      </c>
      <c r="F531" s="591"/>
      <c r="G531" s="392">
        <f>+[42]DATOS!E$5</f>
        <v>2026</v>
      </c>
      <c r="H531" s="393" t="s">
        <v>381</v>
      </c>
      <c r="I531" s="394">
        <f>+[42]DATOS!E$5</f>
        <v>2026</v>
      </c>
      <c r="J531" s="395"/>
      <c r="K531" s="568" t="s">
        <v>382</v>
      </c>
      <c r="L531" s="568"/>
      <c r="M531" s="588" t="s">
        <v>383</v>
      </c>
      <c r="N531" s="588"/>
      <c r="O531" s="588"/>
      <c r="P531" s="588"/>
      <c r="Q531" s="588"/>
      <c r="R531" s="588"/>
      <c r="S531" s="589"/>
    </row>
    <row r="532" spans="1:25">
      <c r="C532" s="396"/>
      <c r="D532" s="397"/>
      <c r="E532" s="397"/>
      <c r="F532" s="398"/>
      <c r="G532" s="398"/>
      <c r="H532" s="398"/>
      <c r="I532" s="398"/>
      <c r="J532" s="398"/>
      <c r="K532" s="398"/>
      <c r="L532" s="398"/>
      <c r="M532" s="398"/>
      <c r="N532" s="398"/>
      <c r="O532" s="398"/>
      <c r="P532" s="398"/>
      <c r="Q532" s="398"/>
      <c r="R532" s="398"/>
      <c r="S532" s="399"/>
    </row>
    <row r="533" spans="1:25">
      <c r="C533" s="572" t="s">
        <v>384</v>
      </c>
      <c r="D533" s="573"/>
      <c r="E533" s="573"/>
      <c r="F533" s="573"/>
      <c r="G533" s="573"/>
      <c r="H533" s="573"/>
      <c r="I533" s="573"/>
      <c r="J533" s="573"/>
      <c r="K533" s="573"/>
      <c r="L533" s="573"/>
      <c r="M533" s="573"/>
      <c r="N533" s="573"/>
      <c r="O533" s="573"/>
      <c r="P533" s="573"/>
      <c r="Q533" s="573"/>
      <c r="R533" s="573"/>
      <c r="S533" s="574"/>
    </row>
    <row r="534" spans="1:25">
      <c r="C534" s="396"/>
      <c r="D534" s="397"/>
      <c r="E534" s="397"/>
      <c r="F534" s="398"/>
      <c r="G534" s="398"/>
      <c r="H534" s="398"/>
      <c r="I534" s="398"/>
      <c r="J534" s="398"/>
      <c r="K534" s="398"/>
      <c r="L534" s="398"/>
      <c r="M534" s="398"/>
      <c r="N534" s="398"/>
      <c r="O534" s="398"/>
      <c r="P534" s="398"/>
      <c r="Q534" s="398"/>
      <c r="R534" s="398"/>
      <c r="S534" s="399"/>
    </row>
    <row r="535" spans="1:25">
      <c r="C535" s="400" t="s">
        <v>385</v>
      </c>
      <c r="D535" s="575" t="s">
        <v>386</v>
      </c>
      <c r="E535" s="575"/>
      <c r="F535" s="576" t="s">
        <v>387</v>
      </c>
      <c r="G535" s="577"/>
      <c r="H535" s="577"/>
      <c r="I535" s="576" t="s">
        <v>388</v>
      </c>
      <c r="J535" s="576" t="s">
        <v>389</v>
      </c>
      <c r="K535" s="579"/>
      <c r="L535" s="581" t="s">
        <v>390</v>
      </c>
      <c r="M535" s="581"/>
      <c r="N535" s="581"/>
      <c r="O535" s="581"/>
      <c r="P535" s="581"/>
      <c r="Q535" s="581"/>
      <c r="R535" s="581" t="s">
        <v>391</v>
      </c>
      <c r="S535" s="582"/>
    </row>
    <row r="536" spans="1:25" ht="39" thickBot="1">
      <c r="C536" s="403">
        <f>+'PRESUPUESTO OFICIAL '!C71</f>
        <v>6.03</v>
      </c>
      <c r="D536" s="583" t="str">
        <f>+VLOOKUP(C536,'PRESUPUESTO OFICIAL '!$C$11:$H$103,2)</f>
        <v>ENCHAPE EN CERÁMICA PARA MURO</v>
      </c>
      <c r="E536" s="584"/>
      <c r="F536" s="585" t="str">
        <f>+VLOOKUP(C536,'PRESUPUESTO OFICIAL '!$C$11:$H$103,3)</f>
        <v>M2</v>
      </c>
      <c r="G536" s="585"/>
      <c r="H536" s="585"/>
      <c r="I536" s="610"/>
      <c r="J536" s="610"/>
      <c r="K536" s="611"/>
      <c r="L536" s="496" t="s">
        <v>392</v>
      </c>
      <c r="M536" s="496" t="s">
        <v>393</v>
      </c>
      <c r="N536" s="496" t="s">
        <v>394</v>
      </c>
      <c r="O536" s="496" t="s">
        <v>395</v>
      </c>
      <c r="P536" s="496" t="s">
        <v>396</v>
      </c>
      <c r="Q536" s="496" t="s">
        <v>397</v>
      </c>
      <c r="R536" s="496" t="s">
        <v>398</v>
      </c>
      <c r="S536" s="497" t="s">
        <v>399</v>
      </c>
      <c r="U536" s="404">
        <f>+C536</f>
        <v>6.03</v>
      </c>
      <c r="V536" s="405">
        <f>+S584</f>
        <v>174.89</v>
      </c>
    </row>
    <row r="537" spans="1:25">
      <c r="C537" s="406"/>
      <c r="D537" s="407"/>
      <c r="E537" s="407"/>
      <c r="F537" s="407"/>
      <c r="G537" s="407"/>
      <c r="H537" s="407"/>
      <c r="I537" s="606"/>
      <c r="J537" s="607"/>
      <c r="K537" s="608"/>
      <c r="L537" s="608"/>
      <c r="M537" s="608"/>
      <c r="N537" s="608"/>
      <c r="O537" s="608"/>
      <c r="P537" s="608"/>
      <c r="Q537" s="608"/>
      <c r="R537" s="608"/>
      <c r="S537" s="609"/>
    </row>
    <row r="538" spans="1:25" ht="25.5">
      <c r="A538" s="383">
        <v>1</v>
      </c>
      <c r="C538" s="406"/>
      <c r="D538" s="407"/>
      <c r="E538" s="407"/>
      <c r="F538" s="407"/>
      <c r="G538" s="407"/>
      <c r="H538" s="407"/>
      <c r="I538" s="408" t="s">
        <v>400</v>
      </c>
      <c r="J538" s="409" t="str">
        <f t="shared" ref="J538:J580" si="90">+VLOOKUP(K538,$AH$22:$AJ$58,2,)</f>
        <v>A=(Ancho x Largo)* Cant</v>
      </c>
      <c r="K538" s="410" t="str">
        <f>+F536</f>
        <v>M2</v>
      </c>
      <c r="L538" s="411"/>
      <c r="M538" s="459"/>
      <c r="N538" s="457"/>
      <c r="O538" s="457"/>
      <c r="P538" s="460"/>
      <c r="Q538" s="460"/>
      <c r="R538" s="460"/>
      <c r="S538" s="414">
        <f>+HLOOKUP(A538,[238]Hoja1!$2:$78,56,FALSE)</f>
        <v>0</v>
      </c>
      <c r="X538" s="458">
        <f>+N538*O538</f>
        <v>0</v>
      </c>
      <c r="Y538" s="471">
        <f t="shared" ref="Y538:Y551" si="91">+X538-Q538</f>
        <v>0</v>
      </c>
    </row>
    <row r="539" spans="1:25" ht="25.5">
      <c r="A539" s="383">
        <v>2</v>
      </c>
      <c r="C539" s="406"/>
      <c r="D539" s="407"/>
      <c r="E539" s="407"/>
      <c r="F539" s="407"/>
      <c r="G539" s="407"/>
      <c r="H539" s="407"/>
      <c r="I539" s="408" t="s">
        <v>401</v>
      </c>
      <c r="J539" s="409" t="str">
        <f t="shared" si="90"/>
        <v>A=(Ancho x Largo)* Cant</v>
      </c>
      <c r="K539" s="410" t="str">
        <f>+K538</f>
        <v>M2</v>
      </c>
      <c r="L539" s="411">
        <f>+O539*P539</f>
        <v>11.879999999999999</v>
      </c>
      <c r="M539" s="459"/>
      <c r="N539" s="457"/>
      <c r="O539" s="457">
        <f>+S539/P539</f>
        <v>6.6</v>
      </c>
      <c r="P539" s="495">
        <v>1.8</v>
      </c>
      <c r="Q539" s="460"/>
      <c r="R539" s="460">
        <v>1</v>
      </c>
      <c r="S539" s="414">
        <f>+HLOOKUP(A539,[238]Hoja1!$2:$78,56,FALSE)</f>
        <v>11.879999999999999</v>
      </c>
      <c r="U539" s="383">
        <f>+R539*P539*O539</f>
        <v>11.879999999999999</v>
      </c>
      <c r="V539" s="383">
        <f>+S539/2</f>
        <v>5.9399999999999995</v>
      </c>
      <c r="W539" s="461">
        <v>2.6500000000000004</v>
      </c>
      <c r="X539" s="458">
        <f>+N539*O539</f>
        <v>0</v>
      </c>
      <c r="Y539" s="471">
        <f t="shared" si="91"/>
        <v>0</v>
      </c>
    </row>
    <row r="540" spans="1:25" ht="25.5">
      <c r="A540" s="383">
        <v>3</v>
      </c>
      <c r="C540" s="406"/>
      <c r="D540" s="407"/>
      <c r="E540" s="407"/>
      <c r="F540" s="407"/>
      <c r="G540" s="407"/>
      <c r="H540" s="407"/>
      <c r="I540" s="408" t="s">
        <v>402</v>
      </c>
      <c r="J540" s="409" t="str">
        <f t="shared" si="90"/>
        <v>A=(Ancho x Largo)* Cant</v>
      </c>
      <c r="K540" s="410" t="str">
        <f>+K539</f>
        <v>M2</v>
      </c>
      <c r="L540" s="411">
        <f t="shared" ref="L540:L578" si="92">+O540*P540</f>
        <v>11.879999999999999</v>
      </c>
      <c r="M540" s="459"/>
      <c r="N540" s="457"/>
      <c r="O540" s="457">
        <f t="shared" ref="O540:O578" si="93">+S540/P540</f>
        <v>6.6</v>
      </c>
      <c r="P540" s="495">
        <v>1.8</v>
      </c>
      <c r="Q540" s="460"/>
      <c r="R540" s="460">
        <v>1</v>
      </c>
      <c r="S540" s="414">
        <f>+HLOOKUP(A540,[238]Hoja1!$2:$78,56,FALSE)</f>
        <v>11.879999999999999</v>
      </c>
      <c r="U540" s="383">
        <f t="shared" ref="U540:U580" si="94">+R540*P540*O540</f>
        <v>11.879999999999999</v>
      </c>
      <c r="V540" s="383">
        <f t="shared" ref="V540:V580" si="95">+S540/2</f>
        <v>5.9399999999999995</v>
      </c>
      <c r="W540" s="461">
        <v>2.6500000000000004</v>
      </c>
      <c r="X540" s="458">
        <f t="shared" ref="X540:X543" si="96">+N540*O540</f>
        <v>0</v>
      </c>
      <c r="Y540" s="471">
        <f t="shared" si="91"/>
        <v>0</v>
      </c>
    </row>
    <row r="541" spans="1:25" ht="25.5">
      <c r="A541" s="383">
        <v>4</v>
      </c>
      <c r="C541" s="406"/>
      <c r="D541" s="407"/>
      <c r="E541" s="407"/>
      <c r="F541" s="407"/>
      <c r="G541" s="407"/>
      <c r="H541" s="407"/>
      <c r="I541" s="408" t="s">
        <v>403</v>
      </c>
      <c r="J541" s="409" t="str">
        <f t="shared" si="90"/>
        <v>A=(Ancho x Largo)* Cant</v>
      </c>
      <c r="K541" s="410" t="str">
        <f>+K540</f>
        <v>M2</v>
      </c>
      <c r="L541" s="411">
        <f t="shared" si="92"/>
        <v>11.879999999999999</v>
      </c>
      <c r="M541" s="459"/>
      <c r="N541" s="457"/>
      <c r="O541" s="457">
        <f t="shared" si="93"/>
        <v>6.6</v>
      </c>
      <c r="P541" s="495">
        <v>1.8</v>
      </c>
      <c r="Q541" s="460"/>
      <c r="R541" s="460">
        <v>1</v>
      </c>
      <c r="S541" s="414">
        <f>+HLOOKUP(A541,[238]Hoja1!$2:$78,56,FALSE)</f>
        <v>11.879999999999999</v>
      </c>
      <c r="U541" s="383">
        <f t="shared" si="94"/>
        <v>11.879999999999999</v>
      </c>
      <c r="V541" s="383">
        <f t="shared" si="95"/>
        <v>5.9399999999999995</v>
      </c>
      <c r="W541" s="461">
        <v>2.6500000000000004</v>
      </c>
      <c r="X541" s="458">
        <f t="shared" si="96"/>
        <v>0</v>
      </c>
      <c r="Y541" s="471">
        <f t="shared" si="91"/>
        <v>0</v>
      </c>
    </row>
    <row r="542" spans="1:25" ht="25.5">
      <c r="A542" s="383">
        <v>5</v>
      </c>
      <c r="C542" s="406"/>
      <c r="D542" s="407"/>
      <c r="E542" s="407"/>
      <c r="F542" s="407"/>
      <c r="G542" s="407"/>
      <c r="H542" s="407"/>
      <c r="I542" s="408" t="s">
        <v>405</v>
      </c>
      <c r="J542" s="409" t="str">
        <f t="shared" si="90"/>
        <v>A=(Ancho x Largo)* Cant</v>
      </c>
      <c r="K542" s="410" t="str">
        <f>+K541</f>
        <v>M2</v>
      </c>
      <c r="L542" s="411">
        <f t="shared" si="92"/>
        <v>17.765999999999998</v>
      </c>
      <c r="M542" s="459"/>
      <c r="N542" s="457"/>
      <c r="O542" s="457">
        <f t="shared" si="93"/>
        <v>9.8699999999999992</v>
      </c>
      <c r="P542" s="495">
        <v>1.8</v>
      </c>
      <c r="Q542" s="460"/>
      <c r="R542" s="460">
        <v>1</v>
      </c>
      <c r="S542" s="414">
        <f>+HLOOKUP(A542,[238]Hoja1!$2:$78,56,FALSE)</f>
        <v>17.765999999999998</v>
      </c>
      <c r="U542" s="383">
        <f t="shared" si="94"/>
        <v>17.765999999999998</v>
      </c>
      <c r="V542" s="383">
        <f t="shared" si="95"/>
        <v>8.8829999999999991</v>
      </c>
      <c r="W542" s="461">
        <v>2.6500000000000004</v>
      </c>
      <c r="X542" s="458">
        <f t="shared" si="96"/>
        <v>0</v>
      </c>
      <c r="Y542" s="471">
        <f t="shared" si="91"/>
        <v>0</v>
      </c>
    </row>
    <row r="543" spans="1:25" ht="25.5">
      <c r="A543" s="383">
        <v>6</v>
      </c>
      <c r="C543" s="406"/>
      <c r="D543" s="407"/>
      <c r="E543" s="407"/>
      <c r="F543" s="407"/>
      <c r="G543" s="407"/>
      <c r="H543" s="407"/>
      <c r="I543" s="408" t="s">
        <v>407</v>
      </c>
      <c r="J543" s="409" t="str">
        <f t="shared" si="90"/>
        <v>A=(Ancho x Largo)* Cant</v>
      </c>
      <c r="K543" s="410" t="str">
        <f>+K542</f>
        <v>M2</v>
      </c>
      <c r="L543" s="411">
        <f t="shared" si="92"/>
        <v>1.01</v>
      </c>
      <c r="M543" s="459"/>
      <c r="N543" s="457"/>
      <c r="O543" s="457">
        <f t="shared" si="93"/>
        <v>1.01</v>
      </c>
      <c r="P543" s="495">
        <v>1</v>
      </c>
      <c r="Q543" s="460"/>
      <c r="R543" s="460">
        <v>1</v>
      </c>
      <c r="S543" s="414">
        <f>+HLOOKUP(A543,[238]Hoja1!$2:$78,56,FALSE)</f>
        <v>1.01</v>
      </c>
      <c r="U543" s="383">
        <f t="shared" si="94"/>
        <v>1.01</v>
      </c>
      <c r="V543" s="383">
        <f t="shared" si="95"/>
        <v>0.505</v>
      </c>
      <c r="W543" s="461">
        <v>3.2</v>
      </c>
      <c r="X543" s="458">
        <f t="shared" si="96"/>
        <v>0</v>
      </c>
      <c r="Y543" s="471">
        <f t="shared" si="91"/>
        <v>0</v>
      </c>
    </row>
    <row r="544" spans="1:25" ht="25.5">
      <c r="A544" s="383">
        <v>7</v>
      </c>
      <c r="C544" s="406"/>
      <c r="D544" s="407"/>
      <c r="E544" s="407"/>
      <c r="F544" s="407"/>
      <c r="G544" s="407"/>
      <c r="H544" s="407"/>
      <c r="I544" s="408" t="s">
        <v>409</v>
      </c>
      <c r="J544" s="409" t="str">
        <f t="shared" si="90"/>
        <v>A=(Ancho x Largo)* Cant</v>
      </c>
      <c r="K544" s="410" t="str">
        <f>+K538</f>
        <v>M2</v>
      </c>
      <c r="L544" s="411"/>
      <c r="M544" s="459"/>
      <c r="N544" s="457"/>
      <c r="O544" s="457"/>
      <c r="P544" s="495"/>
      <c r="Q544" s="460"/>
      <c r="R544" s="460"/>
      <c r="S544" s="414">
        <f>+HLOOKUP(A544,[238]Hoja1!$2:$78,56,FALSE)</f>
        <v>0</v>
      </c>
      <c r="U544" s="383">
        <f t="shared" si="94"/>
        <v>0</v>
      </c>
      <c r="V544" s="383">
        <f t="shared" si="95"/>
        <v>0</v>
      </c>
      <c r="W544" s="461">
        <v>0.2</v>
      </c>
      <c r="X544" s="458">
        <f>+N544*O544*P544*R544</f>
        <v>0</v>
      </c>
      <c r="Y544" s="471">
        <f t="shared" si="91"/>
        <v>0</v>
      </c>
    </row>
    <row r="545" spans="1:25" ht="25.5">
      <c r="A545" s="383">
        <v>8</v>
      </c>
      <c r="C545" s="406"/>
      <c r="D545" s="407"/>
      <c r="E545" s="407"/>
      <c r="F545" s="407"/>
      <c r="G545" s="407"/>
      <c r="H545" s="407"/>
      <c r="I545" s="408" t="s">
        <v>411</v>
      </c>
      <c r="J545" s="409" t="str">
        <f t="shared" si="90"/>
        <v>A=(Ancho x Largo)* Cant</v>
      </c>
      <c r="K545" s="410" t="str">
        <f>+K544</f>
        <v>M2</v>
      </c>
      <c r="L545" s="411"/>
      <c r="M545" s="459"/>
      <c r="N545" s="457"/>
      <c r="O545" s="457"/>
      <c r="P545" s="495"/>
      <c r="Q545" s="460"/>
      <c r="R545" s="460"/>
      <c r="S545" s="414">
        <f>+HLOOKUP(A545,[238]Hoja1!$2:$78,56,FALSE)</f>
        <v>0</v>
      </c>
      <c r="U545" s="383">
        <f t="shared" si="94"/>
        <v>0</v>
      </c>
      <c r="V545" s="383">
        <f t="shared" si="95"/>
        <v>0</v>
      </c>
      <c r="W545" s="461">
        <v>3.2</v>
      </c>
      <c r="X545" s="458">
        <f t="shared" ref="X545:X551" si="97">+N545*O545</f>
        <v>0</v>
      </c>
      <c r="Y545" s="471">
        <f t="shared" si="91"/>
        <v>0</v>
      </c>
    </row>
    <row r="546" spans="1:25" ht="25.5">
      <c r="A546" s="383">
        <v>9</v>
      </c>
      <c r="C546" s="406"/>
      <c r="D546" s="407"/>
      <c r="E546" s="407"/>
      <c r="F546" s="407"/>
      <c r="G546" s="407"/>
      <c r="H546" s="407"/>
      <c r="I546" s="408" t="s">
        <v>412</v>
      </c>
      <c r="J546" s="409" t="str">
        <f t="shared" si="90"/>
        <v>A=(Ancho x Largo)* Cant</v>
      </c>
      <c r="K546" s="410" t="str">
        <f>+K545</f>
        <v>M2</v>
      </c>
      <c r="L546" s="411">
        <f t="shared" si="92"/>
        <v>17.765999999999998</v>
      </c>
      <c r="M546" s="459"/>
      <c r="N546" s="457"/>
      <c r="O546" s="457">
        <f t="shared" si="93"/>
        <v>9.8699999999999992</v>
      </c>
      <c r="P546" s="495">
        <v>1.8</v>
      </c>
      <c r="Q546" s="460"/>
      <c r="R546" s="460">
        <v>1</v>
      </c>
      <c r="S546" s="414">
        <f>+HLOOKUP(A546,[238]Hoja1!$2:$78,56,FALSE)</f>
        <v>17.765999999999998</v>
      </c>
      <c r="U546" s="383">
        <f t="shared" si="94"/>
        <v>17.765999999999998</v>
      </c>
      <c r="V546" s="383">
        <f t="shared" si="95"/>
        <v>8.8829999999999991</v>
      </c>
      <c r="W546" s="461">
        <v>2.6500000000000004</v>
      </c>
      <c r="X546" s="458">
        <f t="shared" si="97"/>
        <v>0</v>
      </c>
      <c r="Y546" s="471">
        <f t="shared" si="91"/>
        <v>0</v>
      </c>
    </row>
    <row r="547" spans="1:25" ht="25.5">
      <c r="A547" s="383">
        <v>10</v>
      </c>
      <c r="C547" s="406"/>
      <c r="D547" s="407"/>
      <c r="E547" s="407"/>
      <c r="F547" s="407"/>
      <c r="G547" s="407"/>
      <c r="H547" s="407"/>
      <c r="I547" s="408" t="s">
        <v>413</v>
      </c>
      <c r="J547" s="409" t="str">
        <f t="shared" si="90"/>
        <v>A=(Ancho x Largo)* Cant</v>
      </c>
      <c r="K547" s="410" t="str">
        <f>+K546</f>
        <v>M2</v>
      </c>
      <c r="L547" s="411"/>
      <c r="M547" s="459"/>
      <c r="N547" s="457"/>
      <c r="O547" s="457"/>
      <c r="P547" s="495"/>
      <c r="Q547" s="460"/>
      <c r="R547" s="460"/>
      <c r="S547" s="414">
        <f>+HLOOKUP(A547,[238]Hoja1!$2:$78,56,FALSE)</f>
        <v>0</v>
      </c>
      <c r="U547" s="383">
        <f t="shared" si="94"/>
        <v>0</v>
      </c>
      <c r="V547" s="383">
        <f t="shared" si="95"/>
        <v>0</v>
      </c>
      <c r="W547" s="461">
        <v>0.2</v>
      </c>
      <c r="X547" s="458">
        <f t="shared" si="97"/>
        <v>0</v>
      </c>
      <c r="Y547" s="471">
        <f t="shared" si="91"/>
        <v>0</v>
      </c>
    </row>
    <row r="548" spans="1:25" ht="25.5">
      <c r="A548" s="383">
        <v>11</v>
      </c>
      <c r="C548" s="406"/>
      <c r="D548" s="407"/>
      <c r="E548" s="407"/>
      <c r="F548" s="407"/>
      <c r="G548" s="407"/>
      <c r="H548" s="407"/>
      <c r="I548" s="408" t="s">
        <v>414</v>
      </c>
      <c r="J548" s="409" t="str">
        <f t="shared" si="90"/>
        <v>A=(Ancho x Largo)* Cant</v>
      </c>
      <c r="K548" s="410" t="str">
        <f>+K547</f>
        <v>M2</v>
      </c>
      <c r="L548" s="411"/>
      <c r="M548" s="459"/>
      <c r="N548" s="457"/>
      <c r="O548" s="457"/>
      <c r="P548" s="495"/>
      <c r="Q548" s="460"/>
      <c r="R548" s="460"/>
      <c r="S548" s="414">
        <f>+HLOOKUP(A548,[238]Hoja1!$2:$78,56,FALSE)</f>
        <v>0</v>
      </c>
      <c r="U548" s="383">
        <f t="shared" si="94"/>
        <v>0</v>
      </c>
      <c r="V548" s="383">
        <f t="shared" si="95"/>
        <v>0</v>
      </c>
      <c r="W548" s="461">
        <v>0.2</v>
      </c>
      <c r="X548" s="458">
        <f t="shared" si="97"/>
        <v>0</v>
      </c>
      <c r="Y548" s="471">
        <f t="shared" si="91"/>
        <v>0</v>
      </c>
    </row>
    <row r="549" spans="1:25" ht="25.5">
      <c r="A549" s="383">
        <v>12</v>
      </c>
      <c r="C549" s="406"/>
      <c r="D549" s="407"/>
      <c r="E549" s="407"/>
      <c r="F549" s="407"/>
      <c r="G549" s="407"/>
      <c r="H549" s="407"/>
      <c r="I549" s="408" t="s">
        <v>415</v>
      </c>
      <c r="J549" s="409" t="str">
        <f t="shared" si="90"/>
        <v>A=(Ancho x Largo)* Cant</v>
      </c>
      <c r="K549" s="410" t="str">
        <f>+K543</f>
        <v>M2</v>
      </c>
      <c r="L549" s="411"/>
      <c r="M549" s="459"/>
      <c r="N549" s="457"/>
      <c r="O549" s="457"/>
      <c r="P549" s="495"/>
      <c r="Q549" s="460"/>
      <c r="R549" s="460"/>
      <c r="S549" s="414">
        <f>+HLOOKUP(A549,[238]Hoja1!$2:$78,56,FALSE)</f>
        <v>0</v>
      </c>
      <c r="U549" s="383">
        <f t="shared" si="94"/>
        <v>0</v>
      </c>
      <c r="V549" s="383">
        <f t="shared" si="95"/>
        <v>0</v>
      </c>
      <c r="W549" s="461">
        <v>0.2</v>
      </c>
      <c r="X549" s="458">
        <f t="shared" si="97"/>
        <v>0</v>
      </c>
      <c r="Y549" s="471">
        <f t="shared" si="91"/>
        <v>0</v>
      </c>
    </row>
    <row r="550" spans="1:25" ht="25.5">
      <c r="A550" s="383">
        <v>13</v>
      </c>
      <c r="C550" s="406"/>
      <c r="D550" s="407"/>
      <c r="E550" s="407"/>
      <c r="F550" s="407"/>
      <c r="G550" s="407"/>
      <c r="H550" s="407"/>
      <c r="I550" s="408" t="s">
        <v>416</v>
      </c>
      <c r="J550" s="409" t="str">
        <f t="shared" si="90"/>
        <v>A=(Ancho x Largo)* Cant</v>
      </c>
      <c r="K550" s="410" t="str">
        <f>+K545</f>
        <v>M2</v>
      </c>
      <c r="L550" s="411"/>
      <c r="M550" s="459"/>
      <c r="N550" s="457"/>
      <c r="O550" s="457"/>
      <c r="P550" s="495"/>
      <c r="Q550" s="460"/>
      <c r="R550" s="460"/>
      <c r="S550" s="414">
        <f>+HLOOKUP(A550,[238]Hoja1!$2:$78,56,FALSE)</f>
        <v>0</v>
      </c>
      <c r="U550" s="383">
        <f t="shared" si="94"/>
        <v>0</v>
      </c>
      <c r="V550" s="383">
        <f t="shared" si="95"/>
        <v>0</v>
      </c>
      <c r="W550" s="461">
        <v>0.2</v>
      </c>
      <c r="X550" s="458">
        <f t="shared" si="97"/>
        <v>0</v>
      </c>
      <c r="Y550" s="471">
        <f t="shared" si="91"/>
        <v>0</v>
      </c>
    </row>
    <row r="551" spans="1:25" ht="25.5">
      <c r="A551" s="383">
        <v>14</v>
      </c>
      <c r="C551" s="406"/>
      <c r="D551" s="407"/>
      <c r="E551" s="407"/>
      <c r="F551" s="407"/>
      <c r="G551" s="407"/>
      <c r="H551" s="407"/>
      <c r="I551" s="408" t="s">
        <v>417</v>
      </c>
      <c r="J551" s="409" t="str">
        <f t="shared" si="90"/>
        <v>A=(Ancho x Largo)* Cant</v>
      </c>
      <c r="K551" s="410" t="str">
        <f t="shared" ref="K551:K562" si="98">+K550</f>
        <v>M2</v>
      </c>
      <c r="L551" s="411">
        <f t="shared" si="92"/>
        <v>17.765999999999998</v>
      </c>
      <c r="M551" s="459"/>
      <c r="N551" s="457"/>
      <c r="O551" s="457">
        <f t="shared" si="93"/>
        <v>9.8699999999999992</v>
      </c>
      <c r="P551" s="495">
        <v>1.8</v>
      </c>
      <c r="Q551" s="460"/>
      <c r="R551" s="460">
        <v>1</v>
      </c>
      <c r="S551" s="414">
        <f>+HLOOKUP(A551,[238]Hoja1!$2:$78,56,FALSE)</f>
        <v>17.765999999999998</v>
      </c>
      <c r="U551" s="383">
        <f t="shared" si="94"/>
        <v>17.765999999999998</v>
      </c>
      <c r="V551" s="383">
        <f t="shared" si="95"/>
        <v>8.8829999999999991</v>
      </c>
      <c r="W551" s="461">
        <v>2.6500000000000004</v>
      </c>
      <c r="X551" s="458">
        <f t="shared" si="97"/>
        <v>0</v>
      </c>
      <c r="Y551" s="471">
        <f t="shared" si="91"/>
        <v>0</v>
      </c>
    </row>
    <row r="552" spans="1:25" ht="25.5">
      <c r="A552" s="383">
        <v>15</v>
      </c>
      <c r="C552" s="406"/>
      <c r="D552" s="407"/>
      <c r="E552" s="407"/>
      <c r="F552" s="407"/>
      <c r="G552" s="407"/>
      <c r="H552" s="407"/>
      <c r="I552" s="408" t="s">
        <v>418</v>
      </c>
      <c r="J552" s="409" t="str">
        <f t="shared" si="90"/>
        <v>A=(Ancho x Largo)* Cant</v>
      </c>
      <c r="K552" s="410" t="str">
        <f t="shared" si="98"/>
        <v>M2</v>
      </c>
      <c r="L552" s="411"/>
      <c r="M552" s="459"/>
      <c r="N552" s="457"/>
      <c r="O552" s="457"/>
      <c r="P552" s="495"/>
      <c r="Q552" s="460"/>
      <c r="R552" s="460"/>
      <c r="S552" s="414">
        <f>+HLOOKUP(A552,[238]Hoja1!$2:$78,56,FALSE)</f>
        <v>0</v>
      </c>
      <c r="U552" s="383">
        <f t="shared" si="94"/>
        <v>0</v>
      </c>
      <c r="V552" s="383">
        <f t="shared" si="95"/>
        <v>0</v>
      </c>
      <c r="W552" s="461">
        <v>2.6</v>
      </c>
      <c r="X552" s="458">
        <f>+N552*O552*P552</f>
        <v>0</v>
      </c>
      <c r="Y552" s="471">
        <f>+X552-Q552</f>
        <v>0</v>
      </c>
    </row>
    <row r="553" spans="1:25" ht="25.5">
      <c r="A553" s="383">
        <v>16</v>
      </c>
      <c r="C553" s="406"/>
      <c r="D553" s="407"/>
      <c r="E553" s="407"/>
      <c r="F553" s="407"/>
      <c r="G553" s="407"/>
      <c r="H553" s="407"/>
      <c r="I553" s="408" t="s">
        <v>419</v>
      </c>
      <c r="J553" s="409" t="str">
        <f t="shared" si="90"/>
        <v>A=(Ancho x Largo)* Cant</v>
      </c>
      <c r="K553" s="410" t="str">
        <f t="shared" si="98"/>
        <v>M2</v>
      </c>
      <c r="L553" s="411"/>
      <c r="M553" s="459"/>
      <c r="N553" s="457"/>
      <c r="O553" s="457"/>
      <c r="P553" s="495"/>
      <c r="Q553" s="460"/>
      <c r="R553" s="460"/>
      <c r="S553" s="414">
        <f>+HLOOKUP(A553,[238]Hoja1!$2:$78,56,FALSE)</f>
        <v>0</v>
      </c>
      <c r="U553" s="383">
        <f t="shared" si="94"/>
        <v>0</v>
      </c>
      <c r="V553" s="383">
        <f t="shared" si="95"/>
        <v>0</v>
      </c>
      <c r="W553" s="461">
        <v>3.2</v>
      </c>
      <c r="X553" s="458">
        <f>+N553*O553*P553</f>
        <v>0</v>
      </c>
      <c r="Y553" s="471">
        <f>+X553-Q553</f>
        <v>0</v>
      </c>
    </row>
    <row r="554" spans="1:25" ht="25.5">
      <c r="A554" s="383">
        <v>17</v>
      </c>
      <c r="C554" s="406"/>
      <c r="D554" s="407"/>
      <c r="E554" s="407"/>
      <c r="F554" s="407"/>
      <c r="G554" s="407"/>
      <c r="H554" s="407"/>
      <c r="I554" s="408" t="s">
        <v>420</v>
      </c>
      <c r="J554" s="409" t="str">
        <f t="shared" si="90"/>
        <v>A=(Ancho x Largo)* Cant</v>
      </c>
      <c r="K554" s="410" t="str">
        <f t="shared" si="98"/>
        <v>M2</v>
      </c>
      <c r="L554" s="411"/>
      <c r="M554" s="459"/>
      <c r="N554" s="457"/>
      <c r="O554" s="457"/>
      <c r="P554" s="495"/>
      <c r="Q554" s="460"/>
      <c r="R554" s="460"/>
      <c r="S554" s="414">
        <f>+HLOOKUP(A554,[238]Hoja1!$2:$78,56,FALSE)</f>
        <v>0</v>
      </c>
      <c r="U554" s="383">
        <f t="shared" si="94"/>
        <v>0</v>
      </c>
      <c r="V554" s="383">
        <f t="shared" si="95"/>
        <v>0</v>
      </c>
      <c r="W554" s="461">
        <v>0.2</v>
      </c>
      <c r="X554" s="458">
        <f t="shared" ref="X554:X571" si="99">+N554*O554*P554</f>
        <v>0</v>
      </c>
      <c r="Y554" s="471">
        <f t="shared" ref="Y554:Y571" si="100">+X554-Q554</f>
        <v>0</v>
      </c>
    </row>
    <row r="555" spans="1:25" ht="25.5">
      <c r="A555" s="383">
        <v>18</v>
      </c>
      <c r="C555" s="406"/>
      <c r="D555" s="407"/>
      <c r="E555" s="407"/>
      <c r="F555" s="407"/>
      <c r="G555" s="407"/>
      <c r="H555" s="407"/>
      <c r="I555" s="408" t="s">
        <v>429</v>
      </c>
      <c r="J555" s="409" t="str">
        <f t="shared" si="90"/>
        <v>A=(Ancho x Largo)* Cant</v>
      </c>
      <c r="K555" s="410" t="str">
        <f t="shared" si="98"/>
        <v>M2</v>
      </c>
      <c r="L555" s="411">
        <f t="shared" si="92"/>
        <v>1.01</v>
      </c>
      <c r="M555" s="459"/>
      <c r="N555" s="457"/>
      <c r="O555" s="457">
        <f t="shared" si="93"/>
        <v>1.01</v>
      </c>
      <c r="P555" s="495">
        <v>1</v>
      </c>
      <c r="Q555" s="460"/>
      <c r="R555" s="460">
        <v>1</v>
      </c>
      <c r="S555" s="414">
        <f>+HLOOKUP(A555,[238]Hoja1!$2:$78,56,FALSE)</f>
        <v>1.01</v>
      </c>
      <c r="U555" s="383">
        <f t="shared" si="94"/>
        <v>1.01</v>
      </c>
      <c r="V555" s="383">
        <f t="shared" si="95"/>
        <v>0.505</v>
      </c>
      <c r="W555" s="461">
        <v>2.6</v>
      </c>
      <c r="X555" s="458">
        <f t="shared" si="99"/>
        <v>0</v>
      </c>
      <c r="Y555" s="471">
        <f t="shared" si="100"/>
        <v>0</v>
      </c>
    </row>
    <row r="556" spans="1:25" ht="25.5">
      <c r="A556" s="383">
        <v>19</v>
      </c>
      <c r="C556" s="406"/>
      <c r="D556" s="407"/>
      <c r="E556" s="407"/>
      <c r="F556" s="407"/>
      <c r="G556" s="407"/>
      <c r="H556" s="407"/>
      <c r="I556" s="408" t="s">
        <v>430</v>
      </c>
      <c r="J556" s="409" t="str">
        <f t="shared" si="90"/>
        <v>A=(Ancho x Largo)* Cant</v>
      </c>
      <c r="K556" s="410" t="str">
        <f t="shared" si="98"/>
        <v>M2</v>
      </c>
      <c r="L556" s="411">
        <f t="shared" si="92"/>
        <v>17.765999999999998</v>
      </c>
      <c r="M556" s="459"/>
      <c r="N556" s="457"/>
      <c r="O556" s="457">
        <f t="shared" si="93"/>
        <v>9.8699999999999992</v>
      </c>
      <c r="P556" s="495">
        <v>1.8</v>
      </c>
      <c r="Q556" s="460"/>
      <c r="R556" s="460">
        <v>1</v>
      </c>
      <c r="S556" s="414">
        <f>+HLOOKUP(A556,[238]Hoja1!$2:$78,56,FALSE)</f>
        <v>17.765999999999998</v>
      </c>
      <c r="U556" s="383">
        <f t="shared" si="94"/>
        <v>17.765999999999998</v>
      </c>
      <c r="V556" s="383">
        <f t="shared" si="95"/>
        <v>8.8829999999999991</v>
      </c>
      <c r="W556" s="461">
        <v>2.6500000000000004</v>
      </c>
      <c r="X556" s="458">
        <f t="shared" si="99"/>
        <v>0</v>
      </c>
      <c r="Y556" s="471">
        <f t="shared" si="100"/>
        <v>0</v>
      </c>
    </row>
    <row r="557" spans="1:25" ht="25.5">
      <c r="A557" s="383">
        <v>20</v>
      </c>
      <c r="C557" s="406"/>
      <c r="D557" s="407"/>
      <c r="E557" s="407"/>
      <c r="F557" s="407"/>
      <c r="G557" s="407"/>
      <c r="H557" s="407"/>
      <c r="I557" s="408" t="s">
        <v>431</v>
      </c>
      <c r="J557" s="409" t="str">
        <f t="shared" si="90"/>
        <v>A=(Ancho x Largo)* Cant</v>
      </c>
      <c r="K557" s="410" t="str">
        <f t="shared" si="98"/>
        <v>M2</v>
      </c>
      <c r="L557" s="411"/>
      <c r="M557" s="459"/>
      <c r="N557" s="457"/>
      <c r="O557" s="457"/>
      <c r="P557" s="495"/>
      <c r="Q557" s="460"/>
      <c r="R557" s="460"/>
      <c r="S557" s="414">
        <f>+HLOOKUP(A557,[238]Hoja1!$2:$78,56,FALSE)</f>
        <v>0</v>
      </c>
      <c r="U557" s="383">
        <f t="shared" si="94"/>
        <v>0</v>
      </c>
      <c r="V557" s="383">
        <f t="shared" si="95"/>
        <v>0</v>
      </c>
      <c r="W557" s="461">
        <v>3.2</v>
      </c>
      <c r="X557" s="458">
        <f t="shared" si="99"/>
        <v>0</v>
      </c>
      <c r="Y557" s="471">
        <f t="shared" si="100"/>
        <v>0</v>
      </c>
    </row>
    <row r="558" spans="1:25" ht="25.5">
      <c r="A558" s="383">
        <v>21</v>
      </c>
      <c r="C558" s="406"/>
      <c r="D558" s="407"/>
      <c r="E558" s="407"/>
      <c r="F558" s="407"/>
      <c r="G558" s="407"/>
      <c r="H558" s="407"/>
      <c r="I558" s="408" t="s">
        <v>432</v>
      </c>
      <c r="J558" s="409" t="str">
        <f t="shared" si="90"/>
        <v>A=(Ancho x Largo)* Cant</v>
      </c>
      <c r="K558" s="410" t="str">
        <f t="shared" si="98"/>
        <v>M2</v>
      </c>
      <c r="L558" s="411"/>
      <c r="M558" s="459"/>
      <c r="N558" s="457"/>
      <c r="O558" s="457"/>
      <c r="P558" s="495"/>
      <c r="Q558" s="460"/>
      <c r="R558" s="460"/>
      <c r="S558" s="414">
        <f>+HLOOKUP(A558,[238]Hoja1!$2:$78,56,FALSE)</f>
        <v>0</v>
      </c>
      <c r="U558" s="383">
        <f t="shared" si="94"/>
        <v>0</v>
      </c>
      <c r="V558" s="383">
        <f t="shared" si="95"/>
        <v>0</v>
      </c>
      <c r="W558" s="461">
        <v>3.2</v>
      </c>
      <c r="X558" s="458">
        <f t="shared" si="99"/>
        <v>0</v>
      </c>
      <c r="Y558" s="471">
        <f t="shared" si="100"/>
        <v>0</v>
      </c>
    </row>
    <row r="559" spans="1:25" ht="25.5">
      <c r="A559" s="383">
        <v>22</v>
      </c>
      <c r="C559" s="406"/>
      <c r="D559" s="407"/>
      <c r="E559" s="407"/>
      <c r="F559" s="407"/>
      <c r="G559" s="407"/>
      <c r="H559" s="407"/>
      <c r="I559" s="408" t="s">
        <v>433</v>
      </c>
      <c r="J559" s="409" t="str">
        <f t="shared" si="90"/>
        <v>A=(Ancho x Largo)* Cant</v>
      </c>
      <c r="K559" s="410" t="str">
        <f t="shared" si="98"/>
        <v>M2</v>
      </c>
      <c r="L559" s="411">
        <f t="shared" si="92"/>
        <v>17.765999999999998</v>
      </c>
      <c r="M559" s="459"/>
      <c r="N559" s="457"/>
      <c r="O559" s="457">
        <f t="shared" si="93"/>
        <v>9.8699999999999992</v>
      </c>
      <c r="P559" s="495">
        <v>1.8</v>
      </c>
      <c r="Q559" s="460"/>
      <c r="R559" s="460">
        <v>1</v>
      </c>
      <c r="S559" s="414">
        <f>+HLOOKUP(A559,[238]Hoja1!$2:$78,56,FALSE)</f>
        <v>17.765999999999998</v>
      </c>
      <c r="U559" s="383">
        <f t="shared" si="94"/>
        <v>17.765999999999998</v>
      </c>
      <c r="V559" s="383">
        <f t="shared" si="95"/>
        <v>8.8829999999999991</v>
      </c>
      <c r="W559" s="461">
        <v>2.6500000000000004</v>
      </c>
      <c r="X559" s="458">
        <f t="shared" si="99"/>
        <v>0</v>
      </c>
      <c r="Y559" s="471">
        <f t="shared" si="100"/>
        <v>0</v>
      </c>
    </row>
    <row r="560" spans="1:25" ht="25.5">
      <c r="A560" s="383">
        <v>23</v>
      </c>
      <c r="C560" s="406"/>
      <c r="D560" s="407"/>
      <c r="E560" s="407"/>
      <c r="F560" s="407"/>
      <c r="G560" s="407"/>
      <c r="H560" s="407"/>
      <c r="I560" s="408" t="s">
        <v>434</v>
      </c>
      <c r="J560" s="409" t="str">
        <f t="shared" si="90"/>
        <v>A=(Ancho x Largo)* Cant</v>
      </c>
      <c r="K560" s="410" t="str">
        <f t="shared" si="98"/>
        <v>M2</v>
      </c>
      <c r="L560" s="411"/>
      <c r="M560" s="459"/>
      <c r="N560" s="457"/>
      <c r="O560" s="457"/>
      <c r="P560" s="495"/>
      <c r="Q560" s="460"/>
      <c r="R560" s="460"/>
      <c r="S560" s="414">
        <f>+HLOOKUP(A560,[238]Hoja1!$2:$78,56,FALSE)</f>
        <v>0</v>
      </c>
      <c r="U560" s="383">
        <f t="shared" si="94"/>
        <v>0</v>
      </c>
      <c r="V560" s="383">
        <f t="shared" si="95"/>
        <v>0</v>
      </c>
      <c r="W560" s="461">
        <v>0.2</v>
      </c>
      <c r="X560" s="458">
        <f t="shared" si="99"/>
        <v>0</v>
      </c>
      <c r="Y560" s="471">
        <f t="shared" si="100"/>
        <v>0</v>
      </c>
    </row>
    <row r="561" spans="1:25" ht="25.5">
      <c r="A561" s="383">
        <v>24</v>
      </c>
      <c r="C561" s="406"/>
      <c r="D561" s="407"/>
      <c r="E561" s="407"/>
      <c r="F561" s="407"/>
      <c r="G561" s="407"/>
      <c r="H561" s="407"/>
      <c r="I561" s="408" t="s">
        <v>435</v>
      </c>
      <c r="J561" s="409" t="str">
        <f t="shared" si="90"/>
        <v>A=(Ancho x Largo)* Cant</v>
      </c>
      <c r="K561" s="410" t="str">
        <f t="shared" si="98"/>
        <v>M2</v>
      </c>
      <c r="L561" s="411">
        <f t="shared" si="92"/>
        <v>11.800999999999998</v>
      </c>
      <c r="M561" s="459"/>
      <c r="N561" s="457"/>
      <c r="O561" s="457">
        <f t="shared" si="93"/>
        <v>6.5561111111111101</v>
      </c>
      <c r="P561" s="495">
        <v>1.8</v>
      </c>
      <c r="Q561" s="460"/>
      <c r="R561" s="460">
        <v>1</v>
      </c>
      <c r="S561" s="414">
        <f>+HLOOKUP(A561,[238]Hoja1!$2:$78,56,FALSE)</f>
        <v>11.800999999999998</v>
      </c>
      <c r="U561" s="383">
        <f t="shared" si="94"/>
        <v>11.800999999999998</v>
      </c>
      <c r="V561" s="383">
        <f t="shared" si="95"/>
        <v>5.9004999999999992</v>
      </c>
      <c r="W561" s="461">
        <v>0.2</v>
      </c>
      <c r="X561" s="458">
        <f t="shared" si="99"/>
        <v>0</v>
      </c>
      <c r="Y561" s="471">
        <f t="shared" si="100"/>
        <v>0</v>
      </c>
    </row>
    <row r="562" spans="1:25" ht="25.5">
      <c r="A562" s="383">
        <v>25</v>
      </c>
      <c r="C562" s="406"/>
      <c r="D562" s="407"/>
      <c r="E562" s="407"/>
      <c r="F562" s="407"/>
      <c r="G562" s="407"/>
      <c r="H562" s="407"/>
      <c r="I562" s="408" t="s">
        <v>436</v>
      </c>
      <c r="J562" s="409" t="str">
        <f t="shared" si="90"/>
        <v>A=(Ancho x Largo)* Cant</v>
      </c>
      <c r="K562" s="410" t="str">
        <f t="shared" si="98"/>
        <v>M2</v>
      </c>
      <c r="L562" s="411">
        <f t="shared" si="92"/>
        <v>3.09</v>
      </c>
      <c r="M562" s="459"/>
      <c r="N562" s="457"/>
      <c r="O562" s="457">
        <f t="shared" si="93"/>
        <v>1.7166666666666666</v>
      </c>
      <c r="P562" s="495">
        <v>1.8</v>
      </c>
      <c r="Q562" s="460"/>
      <c r="R562" s="460">
        <v>1</v>
      </c>
      <c r="S562" s="414">
        <f>+HLOOKUP(A562,[238]Hoja1!$2:$78,56,FALSE)</f>
        <v>3.09</v>
      </c>
      <c r="U562" s="383">
        <f t="shared" si="94"/>
        <v>3.09</v>
      </c>
      <c r="V562" s="383">
        <f t="shared" si="95"/>
        <v>1.5449999999999999</v>
      </c>
      <c r="W562" s="461">
        <v>2.6</v>
      </c>
      <c r="X562" s="458">
        <f t="shared" si="99"/>
        <v>0</v>
      </c>
      <c r="Y562" s="471">
        <f t="shared" si="100"/>
        <v>0</v>
      </c>
    </row>
    <row r="563" spans="1:25" ht="25.5">
      <c r="A563" s="383">
        <v>26</v>
      </c>
      <c r="C563" s="406"/>
      <c r="D563" s="407"/>
      <c r="E563" s="407"/>
      <c r="F563" s="407"/>
      <c r="G563" s="407"/>
      <c r="H563" s="407"/>
      <c r="I563" s="408" t="s">
        <v>437</v>
      </c>
      <c r="J563" s="409" t="str">
        <f t="shared" si="90"/>
        <v>A=(Ancho x Largo)* Cant</v>
      </c>
      <c r="K563" s="410" t="str">
        <f>+K552</f>
        <v>M2</v>
      </c>
      <c r="L563" s="411"/>
      <c r="M563" s="459"/>
      <c r="N563" s="457"/>
      <c r="O563" s="457"/>
      <c r="P563" s="495"/>
      <c r="Q563" s="460"/>
      <c r="R563" s="460"/>
      <c r="S563" s="414">
        <f>+HLOOKUP(A563,[238]Hoja1!$2:$78,56,FALSE)</f>
        <v>0</v>
      </c>
      <c r="U563" s="383">
        <f t="shared" si="94"/>
        <v>0</v>
      </c>
      <c r="V563" s="383">
        <f t="shared" si="95"/>
        <v>0</v>
      </c>
      <c r="W563" s="461">
        <v>0.2</v>
      </c>
      <c r="X563" s="458">
        <f t="shared" si="99"/>
        <v>0</v>
      </c>
      <c r="Y563" s="471">
        <f t="shared" si="100"/>
        <v>0</v>
      </c>
    </row>
    <row r="564" spans="1:25" ht="25.5">
      <c r="A564" s="383">
        <v>27</v>
      </c>
      <c r="C564" s="406"/>
      <c r="D564" s="407"/>
      <c r="E564" s="407"/>
      <c r="F564" s="407"/>
      <c r="G564" s="407"/>
      <c r="H564" s="407"/>
      <c r="I564" s="408" t="s">
        <v>438</v>
      </c>
      <c r="J564" s="409" t="str">
        <f t="shared" si="90"/>
        <v>A=(Ancho x Largo)* Cant</v>
      </c>
      <c r="K564" s="410" t="str">
        <f t="shared" ref="K564:K572" si="101">+K563</f>
        <v>M2</v>
      </c>
      <c r="L564" s="411">
        <f t="shared" si="92"/>
        <v>17.765999999999998</v>
      </c>
      <c r="M564" s="459"/>
      <c r="N564" s="457"/>
      <c r="O564" s="457">
        <f t="shared" si="93"/>
        <v>9.8699999999999992</v>
      </c>
      <c r="P564" s="495">
        <v>1.8</v>
      </c>
      <c r="Q564" s="460"/>
      <c r="R564" s="460">
        <v>1</v>
      </c>
      <c r="S564" s="414">
        <f>+HLOOKUP(A564,[238]Hoja1!$2:$78,56,FALSE)</f>
        <v>17.765999999999998</v>
      </c>
      <c r="U564" s="383">
        <f t="shared" si="94"/>
        <v>17.765999999999998</v>
      </c>
      <c r="V564" s="383">
        <f t="shared" si="95"/>
        <v>8.8829999999999991</v>
      </c>
      <c r="W564" s="461">
        <v>2.6500000000000004</v>
      </c>
      <c r="X564" s="458">
        <f t="shared" si="99"/>
        <v>0</v>
      </c>
      <c r="Y564" s="471">
        <f t="shared" si="100"/>
        <v>0</v>
      </c>
    </row>
    <row r="565" spans="1:25" ht="25.5">
      <c r="A565" s="383">
        <v>28</v>
      </c>
      <c r="C565" s="406"/>
      <c r="D565" s="440"/>
      <c r="E565" s="407"/>
      <c r="F565" s="407"/>
      <c r="G565" s="407"/>
      <c r="H565" s="437"/>
      <c r="I565" s="408" t="s">
        <v>439</v>
      </c>
      <c r="J565" s="409" t="str">
        <f t="shared" si="90"/>
        <v>A=(Ancho x Largo)* Cant</v>
      </c>
      <c r="K565" s="410" t="str">
        <f t="shared" si="101"/>
        <v>M2</v>
      </c>
      <c r="L565" s="411"/>
      <c r="M565" s="459"/>
      <c r="N565" s="457"/>
      <c r="O565" s="457"/>
      <c r="P565" s="495"/>
      <c r="Q565" s="460"/>
      <c r="R565" s="460"/>
      <c r="S565" s="414">
        <f>+HLOOKUP(A565,[238]Hoja1!$2:$78,56,FALSE)</f>
        <v>0</v>
      </c>
      <c r="U565" s="383">
        <f t="shared" si="94"/>
        <v>0</v>
      </c>
      <c r="V565" s="383">
        <f t="shared" si="95"/>
        <v>0</v>
      </c>
      <c r="W565" s="461">
        <v>0.2</v>
      </c>
      <c r="X565" s="458">
        <f t="shared" si="99"/>
        <v>0</v>
      </c>
      <c r="Y565" s="471">
        <f t="shared" si="100"/>
        <v>0</v>
      </c>
    </row>
    <row r="566" spans="1:25" ht="25.5">
      <c r="A566" s="383">
        <v>29</v>
      </c>
      <c r="C566" s="406"/>
      <c r="D566" s="407"/>
      <c r="E566" s="407"/>
      <c r="F566" s="407"/>
      <c r="G566" s="407"/>
      <c r="H566" s="407"/>
      <c r="I566" s="408" t="s">
        <v>440</v>
      </c>
      <c r="J566" s="409" t="str">
        <f t="shared" si="90"/>
        <v>A=(Ancho x Largo)* Cant</v>
      </c>
      <c r="K566" s="410" t="str">
        <f t="shared" si="101"/>
        <v>M2</v>
      </c>
      <c r="L566" s="411"/>
      <c r="M566" s="459"/>
      <c r="N566" s="457"/>
      <c r="O566" s="457"/>
      <c r="P566" s="495"/>
      <c r="Q566" s="460"/>
      <c r="R566" s="460"/>
      <c r="S566" s="414">
        <f>+HLOOKUP(A566,[238]Hoja1!$2:$78,56,FALSE)</f>
        <v>0</v>
      </c>
      <c r="U566" s="383">
        <f t="shared" si="94"/>
        <v>0</v>
      </c>
      <c r="V566" s="383">
        <f t="shared" si="95"/>
        <v>0</v>
      </c>
      <c r="W566" s="461">
        <v>0.2</v>
      </c>
      <c r="X566" s="458">
        <f t="shared" si="99"/>
        <v>0</v>
      </c>
      <c r="Y566" s="471">
        <f t="shared" si="100"/>
        <v>0</v>
      </c>
    </row>
    <row r="567" spans="1:25" ht="25.5">
      <c r="A567" s="383">
        <v>30</v>
      </c>
      <c r="C567" s="406"/>
      <c r="D567" s="407"/>
      <c r="E567" s="407"/>
      <c r="F567" s="407"/>
      <c r="G567" s="407"/>
      <c r="H567" s="407"/>
      <c r="I567" s="408" t="s">
        <v>441</v>
      </c>
      <c r="J567" s="409" t="str">
        <f t="shared" si="90"/>
        <v>A=(Ancho x Largo)* Cant</v>
      </c>
      <c r="K567" s="410" t="str">
        <f t="shared" si="101"/>
        <v>M2</v>
      </c>
      <c r="L567" s="411"/>
      <c r="M567" s="459"/>
      <c r="N567" s="457"/>
      <c r="O567" s="457"/>
      <c r="P567" s="495"/>
      <c r="Q567" s="460"/>
      <c r="R567" s="460"/>
      <c r="S567" s="414">
        <f>+HLOOKUP(A567,[238]Hoja1!$2:$78,56,FALSE)</f>
        <v>0</v>
      </c>
      <c r="U567" s="383">
        <f t="shared" si="94"/>
        <v>0</v>
      </c>
      <c r="V567" s="383">
        <f t="shared" si="95"/>
        <v>0</v>
      </c>
      <c r="W567" s="461">
        <v>3.2</v>
      </c>
      <c r="X567" s="458">
        <f t="shared" si="99"/>
        <v>0</v>
      </c>
      <c r="Y567" s="471">
        <f t="shared" si="100"/>
        <v>0</v>
      </c>
    </row>
    <row r="568" spans="1:25" ht="25.5">
      <c r="A568" s="383">
        <v>31</v>
      </c>
      <c r="C568" s="406"/>
      <c r="D568" s="407"/>
      <c r="E568" s="407"/>
      <c r="F568" s="407"/>
      <c r="G568" s="407"/>
      <c r="H568" s="407"/>
      <c r="I568" s="408" t="s">
        <v>442</v>
      </c>
      <c r="J568" s="409" t="str">
        <f t="shared" si="90"/>
        <v>A=(Ancho x Largo)* Cant</v>
      </c>
      <c r="K568" s="410" t="str">
        <f t="shared" si="101"/>
        <v>M2</v>
      </c>
      <c r="L568" s="411"/>
      <c r="M568" s="459"/>
      <c r="N568" s="457"/>
      <c r="O568" s="457"/>
      <c r="P568" s="495"/>
      <c r="Q568" s="460"/>
      <c r="R568" s="460"/>
      <c r="S568" s="414">
        <f>+HLOOKUP(A568,[238]Hoja1!$2:$78,56,FALSE)</f>
        <v>0</v>
      </c>
      <c r="U568" s="383">
        <f t="shared" si="94"/>
        <v>0</v>
      </c>
      <c r="V568" s="383">
        <f t="shared" si="95"/>
        <v>0</v>
      </c>
      <c r="W568" s="461">
        <v>0.2</v>
      </c>
      <c r="X568" s="458">
        <f t="shared" si="99"/>
        <v>0</v>
      </c>
      <c r="Y568" s="471">
        <f t="shared" si="100"/>
        <v>0</v>
      </c>
    </row>
    <row r="569" spans="1:25" ht="25.5">
      <c r="A569" s="383">
        <v>32</v>
      </c>
      <c r="C569" s="406"/>
      <c r="D569" s="407"/>
      <c r="E569" s="407"/>
      <c r="F569" s="407"/>
      <c r="G569" s="407"/>
      <c r="H569" s="407"/>
      <c r="I569" s="408" t="s">
        <v>443</v>
      </c>
      <c r="J569" s="409" t="str">
        <f t="shared" si="90"/>
        <v>A=(Ancho x Largo)* Cant</v>
      </c>
      <c r="K569" s="410" t="str">
        <f t="shared" si="101"/>
        <v>M2</v>
      </c>
      <c r="L569" s="411">
        <f t="shared" si="92"/>
        <v>1.01</v>
      </c>
      <c r="M569" s="459"/>
      <c r="N569" s="457"/>
      <c r="O569" s="457">
        <f t="shared" si="93"/>
        <v>0.56111111111111112</v>
      </c>
      <c r="P569" s="495">
        <v>1.8</v>
      </c>
      <c r="Q569" s="460"/>
      <c r="R569" s="460">
        <v>1</v>
      </c>
      <c r="S569" s="414">
        <f>+HLOOKUP(A569,[238]Hoja1!$2:$78,56,FALSE)</f>
        <v>1.01</v>
      </c>
      <c r="U569" s="383">
        <f t="shared" si="94"/>
        <v>1.01</v>
      </c>
      <c r="V569" s="383">
        <f t="shared" si="95"/>
        <v>0.505</v>
      </c>
      <c r="W569" s="461">
        <v>2.6</v>
      </c>
      <c r="X569" s="458">
        <f t="shared" si="99"/>
        <v>0</v>
      </c>
      <c r="Y569" s="471">
        <f t="shared" si="100"/>
        <v>0</v>
      </c>
    </row>
    <row r="570" spans="1:25" ht="25.5">
      <c r="A570" s="383">
        <v>33</v>
      </c>
      <c r="C570" s="406"/>
      <c r="D570" s="407"/>
      <c r="E570" s="407"/>
      <c r="F570" s="407"/>
      <c r="G570" s="407"/>
      <c r="H570" s="407"/>
      <c r="I570" s="408" t="s">
        <v>444</v>
      </c>
      <c r="J570" s="409" t="str">
        <f t="shared" si="90"/>
        <v>A=(Ancho x Largo)* Cant</v>
      </c>
      <c r="K570" s="410" t="str">
        <f t="shared" si="101"/>
        <v>M2</v>
      </c>
      <c r="L570" s="411"/>
      <c r="M570" s="459"/>
      <c r="N570" s="457"/>
      <c r="O570" s="457"/>
      <c r="P570" s="495"/>
      <c r="Q570" s="460"/>
      <c r="R570" s="460"/>
      <c r="S570" s="414">
        <f>+HLOOKUP(A570,[238]Hoja1!$2:$78,56,FALSE)</f>
        <v>0</v>
      </c>
      <c r="U570" s="383">
        <f t="shared" si="94"/>
        <v>0</v>
      </c>
      <c r="V570" s="383">
        <f t="shared" si="95"/>
        <v>0</v>
      </c>
      <c r="W570" s="461">
        <v>3.4000000000000004</v>
      </c>
      <c r="X570" s="458">
        <f t="shared" si="99"/>
        <v>0</v>
      </c>
      <c r="Y570" s="471">
        <f t="shared" si="100"/>
        <v>0</v>
      </c>
    </row>
    <row r="571" spans="1:25" ht="25.5">
      <c r="A571" s="383">
        <v>34</v>
      </c>
      <c r="C571" s="406"/>
      <c r="D571" s="407"/>
      <c r="E571" s="407"/>
      <c r="F571" s="407"/>
      <c r="G571" s="407"/>
      <c r="H571" s="407"/>
      <c r="I571" s="408" t="s">
        <v>445</v>
      </c>
      <c r="J571" s="409" t="str">
        <f t="shared" si="90"/>
        <v>A=(Ancho x Largo)* Cant</v>
      </c>
      <c r="K571" s="410" t="str">
        <f t="shared" si="101"/>
        <v>M2</v>
      </c>
      <c r="L571" s="411"/>
      <c r="M571" s="459"/>
      <c r="N571" s="457"/>
      <c r="O571" s="457"/>
      <c r="P571" s="495"/>
      <c r="Q571" s="460"/>
      <c r="R571" s="460"/>
      <c r="S571" s="414">
        <f>+HLOOKUP(A571,[238]Hoja1!$2:$78,56,FALSE)</f>
        <v>0</v>
      </c>
      <c r="U571" s="383">
        <f t="shared" si="94"/>
        <v>0</v>
      </c>
      <c r="V571" s="383">
        <f t="shared" si="95"/>
        <v>0</v>
      </c>
      <c r="W571" s="461">
        <v>2.6</v>
      </c>
      <c r="X571" s="458">
        <f t="shared" si="99"/>
        <v>0</v>
      </c>
      <c r="Y571" s="471">
        <f t="shared" si="100"/>
        <v>0</v>
      </c>
    </row>
    <row r="572" spans="1:25" ht="25.5">
      <c r="A572" s="383">
        <v>35</v>
      </c>
      <c r="C572" s="406"/>
      <c r="D572" s="440"/>
      <c r="E572" s="407"/>
      <c r="F572" s="407"/>
      <c r="G572" s="407"/>
      <c r="H572" s="437"/>
      <c r="I572" s="408" t="s">
        <v>446</v>
      </c>
      <c r="J572" s="409" t="str">
        <f t="shared" si="90"/>
        <v>A=(Ancho x Largo)* Cant</v>
      </c>
      <c r="K572" s="410" t="str">
        <f t="shared" si="101"/>
        <v>M2</v>
      </c>
      <c r="L572" s="411"/>
      <c r="M572" s="459"/>
      <c r="N572" s="457"/>
      <c r="O572" s="457"/>
      <c r="P572" s="495"/>
      <c r="Q572" s="460"/>
      <c r="R572" s="460"/>
      <c r="S572" s="414">
        <f>+HLOOKUP(A572,[238]Hoja1!$2:$78,56,FALSE)</f>
        <v>0</v>
      </c>
      <c r="U572" s="383">
        <f t="shared" si="94"/>
        <v>0</v>
      </c>
      <c r="V572" s="383">
        <f t="shared" si="95"/>
        <v>0</v>
      </c>
      <c r="W572" s="461">
        <v>0.2</v>
      </c>
      <c r="X572" s="458">
        <f>+N572*O572*P572</f>
        <v>0</v>
      </c>
      <c r="Y572" s="471">
        <f>+X572-Q572</f>
        <v>0</v>
      </c>
    </row>
    <row r="573" spans="1:25" ht="25.5">
      <c r="A573" s="383">
        <v>36</v>
      </c>
      <c r="C573" s="406"/>
      <c r="D573" s="407"/>
      <c r="E573" s="407"/>
      <c r="F573" s="407"/>
      <c r="G573" s="407"/>
      <c r="H573" s="407"/>
      <c r="I573" s="408" t="s">
        <v>447</v>
      </c>
      <c r="J573" s="409" t="str">
        <f t="shared" si="90"/>
        <v>A=(Ancho x Largo)* Cant</v>
      </c>
      <c r="K573" s="410" t="str">
        <f>+K562</f>
        <v>M2</v>
      </c>
      <c r="L573" s="411">
        <f t="shared" si="92"/>
        <v>1.01</v>
      </c>
      <c r="M573" s="459"/>
      <c r="N573" s="457"/>
      <c r="O573" s="457">
        <f t="shared" si="93"/>
        <v>0.56111111111111112</v>
      </c>
      <c r="P573" s="495">
        <v>1.8</v>
      </c>
      <c r="Q573" s="460"/>
      <c r="R573" s="460">
        <v>1</v>
      </c>
      <c r="S573" s="414">
        <f>+HLOOKUP(A573,[238]Hoja1!$2:$78,56,FALSE)</f>
        <v>1.01</v>
      </c>
      <c r="U573" s="383">
        <f t="shared" si="94"/>
        <v>1.01</v>
      </c>
      <c r="V573" s="383">
        <f t="shared" si="95"/>
        <v>0.505</v>
      </c>
      <c r="W573" s="461">
        <v>2.6</v>
      </c>
      <c r="X573" s="458">
        <f t="shared" ref="X573:X580" si="102">+N573*O573*P573</f>
        <v>0</v>
      </c>
      <c r="Y573" s="471">
        <f t="shared" ref="Y573:Y580" si="103">+X573-Q573</f>
        <v>0</v>
      </c>
    </row>
    <row r="574" spans="1:25" ht="25.5">
      <c r="A574" s="383">
        <v>37</v>
      </c>
      <c r="C574" s="406"/>
      <c r="D574" s="407"/>
      <c r="E574" s="407"/>
      <c r="F574" s="407"/>
      <c r="G574" s="407"/>
      <c r="H574" s="407"/>
      <c r="I574" s="408" t="s">
        <v>448</v>
      </c>
      <c r="J574" s="409" t="str">
        <f t="shared" si="90"/>
        <v>A=(Ancho x Largo)* Cant</v>
      </c>
      <c r="K574" s="410" t="str">
        <f t="shared" ref="K574:K580" si="104">+K573</f>
        <v>M2</v>
      </c>
      <c r="L574" s="411"/>
      <c r="M574" s="459"/>
      <c r="N574" s="457"/>
      <c r="O574" s="457"/>
      <c r="P574" s="495"/>
      <c r="Q574" s="460"/>
      <c r="R574" s="460"/>
      <c r="S574" s="414">
        <f>+HLOOKUP(A574,[238]Hoja1!$2:$78,56,FALSE)</f>
        <v>0</v>
      </c>
      <c r="U574" s="383">
        <f t="shared" si="94"/>
        <v>0</v>
      </c>
      <c r="V574" s="383">
        <f t="shared" si="95"/>
        <v>0</v>
      </c>
      <c r="W574" s="461">
        <v>2.6</v>
      </c>
      <c r="X574" s="458">
        <f t="shared" si="102"/>
        <v>0</v>
      </c>
      <c r="Y574" s="471">
        <f t="shared" si="103"/>
        <v>0</v>
      </c>
    </row>
    <row r="575" spans="1:25" ht="25.5">
      <c r="A575" s="383">
        <v>38</v>
      </c>
      <c r="C575" s="406"/>
      <c r="D575" s="440"/>
      <c r="E575" s="407"/>
      <c r="F575" s="407"/>
      <c r="G575" s="407"/>
      <c r="H575" s="437"/>
      <c r="I575" s="408" t="s">
        <v>449</v>
      </c>
      <c r="J575" s="409" t="str">
        <f t="shared" si="90"/>
        <v>A=(Ancho x Largo)* Cant</v>
      </c>
      <c r="K575" s="410" t="str">
        <f t="shared" si="104"/>
        <v>M2</v>
      </c>
      <c r="L575" s="411"/>
      <c r="M575" s="459"/>
      <c r="N575" s="457"/>
      <c r="O575" s="457"/>
      <c r="P575" s="495"/>
      <c r="Q575" s="460"/>
      <c r="R575" s="460"/>
      <c r="S575" s="414">
        <f>+HLOOKUP(A575,[238]Hoja1!$2:$78,56,FALSE)</f>
        <v>0</v>
      </c>
      <c r="U575" s="383">
        <f t="shared" si="94"/>
        <v>0</v>
      </c>
      <c r="V575" s="383">
        <f t="shared" si="95"/>
        <v>0</v>
      </c>
      <c r="W575" s="461">
        <v>0.2</v>
      </c>
      <c r="X575" s="458">
        <f t="shared" si="102"/>
        <v>0</v>
      </c>
      <c r="Y575" s="471">
        <f t="shared" si="103"/>
        <v>0</v>
      </c>
    </row>
    <row r="576" spans="1:25" ht="25.5">
      <c r="A576" s="383">
        <v>39</v>
      </c>
      <c r="C576" s="406"/>
      <c r="D576" s="407"/>
      <c r="E576" s="407"/>
      <c r="F576" s="407"/>
      <c r="G576" s="407"/>
      <c r="H576" s="407"/>
      <c r="I576" s="408" t="s">
        <v>450</v>
      </c>
      <c r="J576" s="409" t="str">
        <f t="shared" si="90"/>
        <v>A=(Ancho x Largo)* Cant</v>
      </c>
      <c r="K576" s="410" t="str">
        <f t="shared" si="104"/>
        <v>M2</v>
      </c>
      <c r="L576" s="411"/>
      <c r="M576" s="459"/>
      <c r="N576" s="457"/>
      <c r="O576" s="457"/>
      <c r="P576" s="495"/>
      <c r="Q576" s="460"/>
      <c r="R576" s="460"/>
      <c r="S576" s="414">
        <f>+HLOOKUP(A576,[238]Hoja1!$2:$78,56,FALSE)</f>
        <v>0</v>
      </c>
      <c r="U576" s="383">
        <f t="shared" si="94"/>
        <v>0</v>
      </c>
      <c r="V576" s="383">
        <f t="shared" si="95"/>
        <v>0</v>
      </c>
      <c r="W576" s="461">
        <v>0.2</v>
      </c>
      <c r="X576" s="458">
        <f t="shared" si="102"/>
        <v>0</v>
      </c>
      <c r="Y576" s="471">
        <f t="shared" si="103"/>
        <v>0</v>
      </c>
    </row>
    <row r="577" spans="1:25" ht="25.5">
      <c r="A577" s="383">
        <v>40</v>
      </c>
      <c r="C577" s="406"/>
      <c r="D577" s="407"/>
      <c r="E577" s="407"/>
      <c r="F577" s="407"/>
      <c r="G577" s="407"/>
      <c r="H577" s="407"/>
      <c r="I577" s="408" t="s">
        <v>451</v>
      </c>
      <c r="J577" s="409" t="str">
        <f t="shared" si="90"/>
        <v>A=(Ancho x Largo)* Cant</v>
      </c>
      <c r="K577" s="410" t="str">
        <f t="shared" si="104"/>
        <v>M2</v>
      </c>
      <c r="L577" s="411">
        <f t="shared" si="92"/>
        <v>1.01</v>
      </c>
      <c r="M577" s="459"/>
      <c r="N577" s="457"/>
      <c r="O577" s="457">
        <f t="shared" si="93"/>
        <v>1.01</v>
      </c>
      <c r="P577" s="495">
        <v>1</v>
      </c>
      <c r="Q577" s="460"/>
      <c r="R577" s="460">
        <v>1</v>
      </c>
      <c r="S577" s="414">
        <f>+HLOOKUP(A577,[238]Hoja1!$2:$78,56,FALSE)</f>
        <v>1.01</v>
      </c>
      <c r="U577" s="383">
        <f t="shared" si="94"/>
        <v>1.01</v>
      </c>
      <c r="V577" s="383">
        <f t="shared" si="95"/>
        <v>0.505</v>
      </c>
      <c r="W577" s="461">
        <v>2.6</v>
      </c>
      <c r="X577" s="458">
        <f t="shared" si="102"/>
        <v>0</v>
      </c>
      <c r="Y577" s="471">
        <f t="shared" si="103"/>
        <v>0</v>
      </c>
    </row>
    <row r="578" spans="1:25" ht="25.5">
      <c r="A578" s="383">
        <v>41</v>
      </c>
      <c r="C578" s="406"/>
      <c r="D578" s="407"/>
      <c r="E578" s="407"/>
      <c r="F578" s="407"/>
      <c r="G578" s="407"/>
      <c r="H578" s="407"/>
      <c r="I578" s="408" t="s">
        <v>452</v>
      </c>
      <c r="J578" s="409" t="str">
        <f t="shared" si="90"/>
        <v>A=(Ancho x Largo)* Cant</v>
      </c>
      <c r="K578" s="410" t="str">
        <f t="shared" si="104"/>
        <v>M2</v>
      </c>
      <c r="L578" s="411">
        <f t="shared" si="92"/>
        <v>12.716000000000001</v>
      </c>
      <c r="M578" s="459"/>
      <c r="N578" s="457"/>
      <c r="O578" s="457">
        <f t="shared" si="93"/>
        <v>7.48</v>
      </c>
      <c r="P578" s="495">
        <v>1.7</v>
      </c>
      <c r="Q578" s="460"/>
      <c r="R578" s="460">
        <v>1</v>
      </c>
      <c r="S578" s="414">
        <f>+HLOOKUP(A578,[238]Hoja1!$2:$78,56,FALSE)</f>
        <v>12.716000000000001</v>
      </c>
      <c r="U578" s="383">
        <f t="shared" si="94"/>
        <v>12.716000000000001</v>
      </c>
      <c r="V578" s="383">
        <f t="shared" si="95"/>
        <v>6.3580000000000005</v>
      </c>
      <c r="W578" s="461">
        <v>2.6</v>
      </c>
      <c r="X578" s="458">
        <f t="shared" si="102"/>
        <v>0</v>
      </c>
      <c r="Y578" s="471">
        <f t="shared" si="103"/>
        <v>0</v>
      </c>
    </row>
    <row r="579" spans="1:25" ht="25.5">
      <c r="A579" s="383">
        <v>42</v>
      </c>
      <c r="C579" s="406"/>
      <c r="D579" s="407"/>
      <c r="E579" s="407"/>
      <c r="F579" s="407"/>
      <c r="G579" s="407"/>
      <c r="H579" s="407"/>
      <c r="I579" s="408" t="s">
        <v>453</v>
      </c>
      <c r="J579" s="409" t="str">
        <f t="shared" si="90"/>
        <v>A=(Ancho x Largo)* Cant</v>
      </c>
      <c r="K579" s="410" t="str">
        <f t="shared" si="104"/>
        <v>M2</v>
      </c>
      <c r="L579" s="411"/>
      <c r="M579" s="459"/>
      <c r="N579" s="457"/>
      <c r="O579" s="457"/>
      <c r="P579" s="495"/>
      <c r="Q579" s="460"/>
      <c r="R579" s="460"/>
      <c r="S579" s="414">
        <f>+HLOOKUP(A579,[238]Hoja1!$2:$78,56,FALSE)</f>
        <v>0</v>
      </c>
      <c r="U579" s="383">
        <f t="shared" si="94"/>
        <v>0</v>
      </c>
      <c r="V579" s="383">
        <f t="shared" si="95"/>
        <v>0</v>
      </c>
      <c r="W579" s="461">
        <v>0.2</v>
      </c>
      <c r="X579" s="458">
        <f t="shared" si="102"/>
        <v>0</v>
      </c>
      <c r="Y579" s="471">
        <f t="shared" si="103"/>
        <v>0</v>
      </c>
    </row>
    <row r="580" spans="1:25" ht="26.25" thickBot="1">
      <c r="A580" s="383">
        <v>43</v>
      </c>
      <c r="C580" s="406"/>
      <c r="D580" s="407"/>
      <c r="E580" s="407"/>
      <c r="F580" s="407"/>
      <c r="G580" s="407"/>
      <c r="H580" s="407"/>
      <c r="I580" s="498" t="s">
        <v>454</v>
      </c>
      <c r="J580" s="499" t="str">
        <f t="shared" si="90"/>
        <v>A=(Ancho x Largo)* Cant</v>
      </c>
      <c r="K580" s="500" t="str">
        <f t="shared" si="104"/>
        <v>M2</v>
      </c>
      <c r="L580" s="501"/>
      <c r="M580" s="502"/>
      <c r="N580" s="503"/>
      <c r="O580" s="503"/>
      <c r="P580" s="504"/>
      <c r="Q580" s="505"/>
      <c r="R580" s="505"/>
      <c r="S580" s="506">
        <f>+HLOOKUP(A580,[238]Hoja1!$2:$78,56,FALSE)</f>
        <v>0</v>
      </c>
      <c r="U580" s="383">
        <f t="shared" si="94"/>
        <v>0</v>
      </c>
      <c r="V580" s="383">
        <f t="shared" si="95"/>
        <v>0</v>
      </c>
      <c r="W580" s="461">
        <v>0.2</v>
      </c>
      <c r="X580" s="458">
        <f t="shared" si="102"/>
        <v>0</v>
      </c>
      <c r="Y580" s="471">
        <f t="shared" si="103"/>
        <v>0</v>
      </c>
    </row>
    <row r="581" spans="1:25">
      <c r="C581" s="384"/>
      <c r="D581" s="419"/>
      <c r="E581" s="420"/>
      <c r="F581" s="421"/>
      <c r="G581" s="421"/>
      <c r="H581" s="421"/>
      <c r="I581" s="425"/>
      <c r="J581" s="398"/>
      <c r="K581" s="425"/>
      <c r="L581" s="425"/>
      <c r="M581" s="425"/>
      <c r="N581" s="425"/>
      <c r="O581" s="425"/>
      <c r="P581" s="425"/>
      <c r="Q581" s="425"/>
      <c r="R581" s="398"/>
      <c r="S581" s="399"/>
    </row>
    <row r="582" spans="1:25">
      <c r="C582" s="396"/>
      <c r="D582" s="397"/>
      <c r="E582" s="424"/>
      <c r="F582" s="425"/>
      <c r="G582" s="425"/>
      <c r="H582" s="425"/>
      <c r="I582" s="425"/>
      <c r="J582" s="398"/>
      <c r="K582" s="425"/>
      <c r="L582" s="425"/>
      <c r="M582" s="397"/>
      <c r="N582" s="397"/>
      <c r="O582" s="562" t="s">
        <v>455</v>
      </c>
      <c r="P582" s="563"/>
      <c r="Q582" s="564"/>
      <c r="R582" s="426"/>
      <c r="S582" s="427">
        <f>ROUND(SUM(S538:S581),2)</f>
        <v>174.89</v>
      </c>
    </row>
    <row r="583" spans="1:25">
      <c r="C583" s="396"/>
      <c r="D583" s="397"/>
      <c r="E583" s="424"/>
      <c r="F583" s="425"/>
      <c r="G583" s="425"/>
      <c r="H583" s="425"/>
      <c r="I583" s="425"/>
      <c r="J583" s="398"/>
      <c r="K583" s="425"/>
      <c r="L583" s="425"/>
      <c r="M583" s="428"/>
      <c r="N583" s="428"/>
      <c r="O583" s="429"/>
      <c r="P583" s="425"/>
      <c r="Q583" s="425"/>
      <c r="R583" s="430"/>
      <c r="S583" s="431"/>
    </row>
    <row r="584" spans="1:25">
      <c r="C584" s="565" t="e">
        <v>#REF!</v>
      </c>
      <c r="D584" s="566"/>
      <c r="E584" s="566"/>
      <c r="F584" s="566"/>
      <c r="G584" s="566"/>
      <c r="H584" s="566"/>
      <c r="I584" s="566"/>
      <c r="J584" s="566"/>
      <c r="K584" s="566"/>
      <c r="L584" s="566"/>
      <c r="M584" s="566"/>
      <c r="N584" s="567"/>
      <c r="O584" s="568" t="s">
        <v>422</v>
      </c>
      <c r="P584" s="568"/>
      <c r="Q584" s="568"/>
      <c r="R584" s="426"/>
      <c r="S584" s="427">
        <f>S582</f>
        <v>174.89</v>
      </c>
    </row>
    <row r="585" spans="1:25">
      <c r="C585" s="396"/>
      <c r="D585" s="397"/>
      <c r="E585" s="424"/>
      <c r="F585" s="425"/>
      <c r="G585" s="425"/>
      <c r="H585" s="425"/>
      <c r="I585" s="425"/>
      <c r="J585" s="398"/>
      <c r="K585" s="425"/>
      <c r="L585" s="425"/>
      <c r="M585" s="428"/>
      <c r="N585" s="428"/>
      <c r="O585" s="429"/>
      <c r="P585" s="425"/>
      <c r="Q585" s="398"/>
      <c r="R585" s="398"/>
      <c r="S585" s="432"/>
    </row>
    <row r="586" spans="1:25">
      <c r="C586" s="396"/>
      <c r="D586" s="397"/>
      <c r="E586" s="424"/>
      <c r="F586" s="425"/>
      <c r="G586" s="425"/>
      <c r="H586" s="425"/>
      <c r="I586" s="425"/>
      <c r="J586" s="398"/>
      <c r="K586" s="425"/>
      <c r="L586" s="425"/>
      <c r="M586" s="428"/>
      <c r="N586" s="428"/>
      <c r="O586" s="429"/>
      <c r="P586" s="425"/>
      <c r="Q586" s="398"/>
      <c r="R586" s="398"/>
      <c r="S586" s="432"/>
    </row>
    <row r="587" spans="1:25">
      <c r="C587" s="569" t="s">
        <v>423</v>
      </c>
      <c r="D587" s="570"/>
      <c r="E587" s="570"/>
      <c r="F587" s="570"/>
      <c r="G587" s="570"/>
      <c r="H587" s="570"/>
      <c r="I587" s="570"/>
      <c r="J587" s="571"/>
      <c r="K587" s="433" t="s">
        <v>424</v>
      </c>
      <c r="L587" s="434"/>
      <c r="M587" s="434"/>
      <c r="N587" s="434"/>
      <c r="O587" s="434"/>
      <c r="P587" s="434"/>
      <c r="Q587" s="434"/>
      <c r="R587" s="434"/>
      <c r="S587" s="435"/>
    </row>
    <row r="588" spans="1:25">
      <c r="C588" s="542"/>
      <c r="D588" s="543"/>
      <c r="E588" s="543"/>
      <c r="F588" s="543"/>
      <c r="G588" s="436"/>
      <c r="H588" s="436"/>
      <c r="I588" s="436"/>
      <c r="J588" s="447"/>
      <c r="K588" s="436"/>
      <c r="L588" s="407"/>
      <c r="M588" s="407"/>
      <c r="N588" s="407"/>
      <c r="O588" s="407"/>
      <c r="P588" s="407"/>
      <c r="Q588" s="407"/>
      <c r="R588" s="407"/>
      <c r="S588" s="437"/>
    </row>
    <row r="589" spans="1:25">
      <c r="C589" s="542"/>
      <c r="D589" s="543"/>
      <c r="E589" s="543"/>
      <c r="F589" s="543"/>
      <c r="G589" s="436"/>
      <c r="H589" s="436"/>
      <c r="I589" s="436"/>
      <c r="J589" s="447"/>
      <c r="K589" s="436"/>
      <c r="L589" s="407"/>
      <c r="M589" s="407"/>
      <c r="N589" s="407"/>
      <c r="O589" s="407"/>
      <c r="P589" s="407"/>
      <c r="Q589" s="407"/>
      <c r="R589" s="407"/>
      <c r="S589" s="437"/>
    </row>
    <row r="590" spans="1:25">
      <c r="C590" s="542" t="s">
        <v>425</v>
      </c>
      <c r="D590" s="543"/>
      <c r="E590" s="543" t="s">
        <v>425</v>
      </c>
      <c r="F590" s="543"/>
      <c r="G590" s="543" t="s">
        <v>425</v>
      </c>
      <c r="H590" s="543"/>
      <c r="I590" s="543" t="s">
        <v>425</v>
      </c>
      <c r="J590" s="544"/>
      <c r="K590" s="545" t="s">
        <v>426</v>
      </c>
      <c r="L590" s="546"/>
      <c r="M590" s="546"/>
      <c r="N590" s="546"/>
      <c r="O590" s="546"/>
      <c r="P590" s="546"/>
      <c r="Q590" s="546"/>
      <c r="R590" s="546"/>
      <c r="S590" s="547"/>
    </row>
    <row r="591" spans="1:25">
      <c r="C591" s="548" t="str">
        <f>+[42]DATOS!D$8</f>
        <v>HELMER EDUARDO BECERRA SANTANDER</v>
      </c>
      <c r="D591" s="549"/>
      <c r="E591" s="549" t="s">
        <v>427</v>
      </c>
      <c r="F591" s="549"/>
      <c r="G591" s="549" t="s">
        <v>427</v>
      </c>
      <c r="H591" s="549"/>
      <c r="I591" s="549" t="s">
        <v>427</v>
      </c>
      <c r="J591" s="550"/>
      <c r="K591" s="551" t="str">
        <f>+[42]DATOS!D$11</f>
        <v>JESUS IVAN QUIÑONES RUEDA</v>
      </c>
      <c r="L591" s="549"/>
      <c r="M591" s="549"/>
      <c r="N591" s="549"/>
      <c r="O591" s="549"/>
      <c r="P591" s="549"/>
      <c r="Q591" s="549"/>
      <c r="R591" s="549"/>
      <c r="S591" s="552"/>
    </row>
    <row r="592" spans="1:25">
      <c r="C592" s="553" t="str">
        <f>+$C$72</f>
        <v>APOYO SEC. DE PLANEACION Y OBRAS PÚBLICAS</v>
      </c>
      <c r="D592" s="554"/>
      <c r="E592" s="554" t="s">
        <v>428</v>
      </c>
      <c r="F592" s="554"/>
      <c r="G592" s="554" t="s">
        <v>428</v>
      </c>
      <c r="H592" s="554"/>
      <c r="I592" s="554" t="s">
        <v>428</v>
      </c>
      <c r="J592" s="555"/>
      <c r="K592" s="556" t="str">
        <f>+$K$72</f>
        <v>SECRETARIO DE PLANEACION Y OBRAS PÚBLICAS</v>
      </c>
      <c r="L592" s="554"/>
      <c r="M592" s="554"/>
      <c r="N592" s="554"/>
      <c r="O592" s="554"/>
      <c r="P592" s="554"/>
      <c r="Q592" s="554"/>
      <c r="R592" s="554"/>
      <c r="S592" s="557"/>
    </row>
    <row r="593" spans="3:19">
      <c r="C593" s="406"/>
      <c r="D593" s="407"/>
      <c r="E593" s="407"/>
      <c r="F593" s="407"/>
      <c r="G593" s="407"/>
      <c r="H593" s="407"/>
      <c r="I593" s="407"/>
      <c r="J593" s="407"/>
      <c r="K593" s="407"/>
      <c r="L593" s="407"/>
      <c r="M593" s="407"/>
      <c r="N593" s="407"/>
      <c r="O593" s="407"/>
      <c r="P593" s="407"/>
      <c r="Q593" s="407"/>
      <c r="R593" s="407"/>
      <c r="S593" s="437"/>
    </row>
    <row r="594" spans="3:19" ht="111" customHeight="1" thickBot="1">
      <c r="C594" s="417"/>
      <c r="D594" s="418"/>
      <c r="E594" s="418"/>
      <c r="F594" s="418"/>
      <c r="G594" s="418"/>
      <c r="H594" s="418"/>
      <c r="I594" s="418"/>
      <c r="J594" s="418"/>
      <c r="K594" s="418"/>
      <c r="L594" s="418"/>
      <c r="M594" s="418"/>
      <c r="N594" s="418"/>
      <c r="O594" s="418"/>
      <c r="P594" s="418"/>
      <c r="Q594" s="418"/>
      <c r="R594" s="418"/>
      <c r="S594" s="438"/>
    </row>
    <row r="595" spans="3:19" ht="22.5" customHeight="1"/>
    <row r="596" spans="3:19" ht="13.5" thickBot="1"/>
    <row r="597" spans="3:19">
      <c r="C597" s="384"/>
      <c r="D597" s="385"/>
      <c r="E597" s="385"/>
      <c r="F597" s="385"/>
      <c r="G597" s="385"/>
      <c r="H597" s="385"/>
      <c r="I597" s="385"/>
      <c r="J597" s="445"/>
      <c r="K597" s="385"/>
      <c r="L597" s="385"/>
      <c r="M597" s="385"/>
      <c r="N597" s="385"/>
      <c r="O597" s="385"/>
      <c r="P597" s="385"/>
      <c r="Q597" s="385"/>
      <c r="R597" s="385"/>
      <c r="S597" s="386"/>
    </row>
    <row r="598" spans="3:19" ht="121.5" customHeight="1" thickBot="1">
      <c r="C598" s="387"/>
      <c r="D598" s="388"/>
      <c r="E598" s="388"/>
      <c r="F598" s="388"/>
      <c r="G598" s="388"/>
      <c r="H598" s="388"/>
      <c r="I598" s="388"/>
      <c r="J598" s="446"/>
      <c r="K598" s="388"/>
      <c r="L598" s="388"/>
      <c r="M598" s="388"/>
      <c r="N598" s="388"/>
      <c r="O598" s="388"/>
      <c r="P598" s="388"/>
      <c r="Q598" s="388"/>
      <c r="R598" s="388"/>
      <c r="S598" s="389"/>
    </row>
    <row r="599" spans="3:19">
      <c r="C599" s="592" t="str">
        <f>+[42]DATOS!C$7</f>
        <v>MEJORAMIENTO DE VIVIENDA CON ENFOQUE DIFERENCIAL PARA POBLACIÓN VULNERABLE EN EL MUNICIPIO DE CUBARÁ, BOYACÁ (2026).</v>
      </c>
      <c r="D599" s="593"/>
      <c r="E599" s="593"/>
      <c r="F599" s="593"/>
      <c r="G599" s="593"/>
      <c r="H599" s="593"/>
      <c r="I599" s="593"/>
      <c r="J599" s="593"/>
      <c r="K599" s="593"/>
      <c r="L599" s="593"/>
      <c r="M599" s="593"/>
      <c r="N599" s="593"/>
      <c r="O599" s="593"/>
      <c r="P599" s="593"/>
      <c r="Q599" s="593"/>
      <c r="R599" s="593"/>
      <c r="S599" s="594"/>
    </row>
    <row r="600" spans="3:19">
      <c r="C600" s="595"/>
      <c r="D600" s="596"/>
      <c r="E600" s="596"/>
      <c r="F600" s="596"/>
      <c r="G600" s="596"/>
      <c r="H600" s="596"/>
      <c r="I600" s="596"/>
      <c r="J600" s="596"/>
      <c r="K600" s="596"/>
      <c r="L600" s="596"/>
      <c r="M600" s="596"/>
      <c r="N600" s="596"/>
      <c r="O600" s="596"/>
      <c r="P600" s="596"/>
      <c r="Q600" s="596"/>
      <c r="R600" s="596"/>
      <c r="S600" s="597"/>
    </row>
    <row r="601" spans="3:19">
      <c r="C601" s="598" t="s">
        <v>371</v>
      </c>
      <c r="D601" s="599"/>
      <c r="E601" s="599"/>
      <c r="F601" s="599"/>
      <c r="G601" s="599"/>
      <c r="H601" s="599"/>
      <c r="I601" s="599"/>
      <c r="J601" s="599"/>
      <c r="K601" s="599"/>
      <c r="L601" s="599"/>
      <c r="M601" s="599"/>
      <c r="N601" s="599"/>
      <c r="O601" s="599"/>
      <c r="P601" s="599"/>
      <c r="Q601" s="599"/>
      <c r="R601" s="599"/>
      <c r="S601" s="600"/>
    </row>
    <row r="602" spans="3:19">
      <c r="C602" s="586" t="s">
        <v>372</v>
      </c>
      <c r="D602" s="587"/>
      <c r="E602" s="601" t="s">
        <v>373</v>
      </c>
      <c r="F602" s="601"/>
      <c r="G602" s="601"/>
      <c r="H602" s="601"/>
      <c r="I602" s="601"/>
      <c r="J602" s="601"/>
      <c r="K602" s="601"/>
      <c r="L602" s="601"/>
      <c r="M602" s="601"/>
      <c r="N602" s="601"/>
      <c r="O602" s="601"/>
      <c r="P602" s="601"/>
      <c r="Q602" s="601"/>
      <c r="R602" s="601"/>
      <c r="S602" s="602"/>
    </row>
    <row r="603" spans="3:19">
      <c r="C603" s="586" t="s">
        <v>374</v>
      </c>
      <c r="D603" s="587"/>
      <c r="E603" s="603" t="s">
        <v>375</v>
      </c>
      <c r="F603" s="604"/>
      <c r="G603" s="604"/>
      <c r="H603" s="604"/>
      <c r="I603" s="604"/>
      <c r="J603" s="604"/>
      <c r="K603" s="604"/>
      <c r="L603" s="604"/>
      <c r="M603" s="604"/>
      <c r="N603" s="604"/>
      <c r="O603" s="604"/>
      <c r="P603" s="604"/>
      <c r="Q603" s="604"/>
      <c r="R603" s="604"/>
      <c r="S603" s="605"/>
    </row>
    <row r="604" spans="3:19">
      <c r="C604" s="586" t="s">
        <v>376</v>
      </c>
      <c r="D604" s="587"/>
      <c r="E604" s="390">
        <f>+[42]DATOS!F$5</f>
        <v>46143</v>
      </c>
      <c r="F604" s="391"/>
      <c r="G604" s="391"/>
      <c r="H604" s="391"/>
      <c r="I604" s="391"/>
      <c r="J604" s="391"/>
      <c r="K604" s="568" t="s">
        <v>377</v>
      </c>
      <c r="L604" s="568"/>
      <c r="M604" s="588" t="s">
        <v>378</v>
      </c>
      <c r="N604" s="588"/>
      <c r="O604" s="588"/>
      <c r="P604" s="588"/>
      <c r="Q604" s="588"/>
      <c r="R604" s="588"/>
      <c r="S604" s="589"/>
    </row>
    <row r="605" spans="3:19" ht="25.5">
      <c r="C605" s="586" t="s">
        <v>379</v>
      </c>
      <c r="D605" s="587"/>
      <c r="E605" s="590" t="s">
        <v>380</v>
      </c>
      <c r="F605" s="591"/>
      <c r="G605" s="392">
        <f>+[42]DATOS!E$5</f>
        <v>2026</v>
      </c>
      <c r="H605" s="393" t="s">
        <v>381</v>
      </c>
      <c r="I605" s="394">
        <f>+[42]DATOS!E$5</f>
        <v>2026</v>
      </c>
      <c r="J605" s="395"/>
      <c r="K605" s="568" t="s">
        <v>382</v>
      </c>
      <c r="L605" s="568"/>
      <c r="M605" s="588" t="s">
        <v>383</v>
      </c>
      <c r="N605" s="588"/>
      <c r="O605" s="588"/>
      <c r="P605" s="588"/>
      <c r="Q605" s="588"/>
      <c r="R605" s="588"/>
      <c r="S605" s="589"/>
    </row>
    <row r="606" spans="3:19">
      <c r="C606" s="396"/>
      <c r="D606" s="397"/>
      <c r="E606" s="397"/>
      <c r="F606" s="398"/>
      <c r="G606" s="398"/>
      <c r="H606" s="398"/>
      <c r="I606" s="398"/>
      <c r="J606" s="398"/>
      <c r="K606" s="398"/>
      <c r="L606" s="398"/>
      <c r="M606" s="398"/>
      <c r="N606" s="398"/>
      <c r="O606" s="398"/>
      <c r="P606" s="398"/>
      <c r="Q606" s="398"/>
      <c r="R606" s="398"/>
      <c r="S606" s="399"/>
    </row>
    <row r="607" spans="3:19">
      <c r="C607" s="572" t="s">
        <v>384</v>
      </c>
      <c r="D607" s="573"/>
      <c r="E607" s="573"/>
      <c r="F607" s="573"/>
      <c r="G607" s="573"/>
      <c r="H607" s="573"/>
      <c r="I607" s="573"/>
      <c r="J607" s="573"/>
      <c r="K607" s="573"/>
      <c r="L607" s="573"/>
      <c r="M607" s="573"/>
      <c r="N607" s="573"/>
      <c r="O607" s="573"/>
      <c r="P607" s="573"/>
      <c r="Q607" s="573"/>
      <c r="R607" s="573"/>
      <c r="S607" s="574"/>
    </row>
    <row r="608" spans="3:19">
      <c r="C608" s="396"/>
      <c r="D608" s="397"/>
      <c r="E608" s="397"/>
      <c r="F608" s="398"/>
      <c r="G608" s="398"/>
      <c r="H608" s="398"/>
      <c r="I608" s="398"/>
      <c r="J608" s="398"/>
      <c r="K608" s="398"/>
      <c r="L608" s="398"/>
      <c r="M608" s="398"/>
      <c r="N608" s="398"/>
      <c r="O608" s="398"/>
      <c r="P608" s="398"/>
      <c r="Q608" s="398"/>
      <c r="R608" s="398"/>
      <c r="S608" s="399"/>
    </row>
    <row r="609" spans="1:25">
      <c r="C609" s="400" t="s">
        <v>385</v>
      </c>
      <c r="D609" s="575" t="s">
        <v>386</v>
      </c>
      <c r="E609" s="575"/>
      <c r="F609" s="576" t="s">
        <v>387</v>
      </c>
      <c r="G609" s="577"/>
      <c r="H609" s="577"/>
      <c r="I609" s="576" t="s">
        <v>388</v>
      </c>
      <c r="J609" s="576" t="s">
        <v>389</v>
      </c>
      <c r="K609" s="579"/>
      <c r="L609" s="581" t="s">
        <v>390</v>
      </c>
      <c r="M609" s="581"/>
      <c r="N609" s="581"/>
      <c r="O609" s="581"/>
      <c r="P609" s="581"/>
      <c r="Q609" s="581"/>
      <c r="R609" s="581" t="s">
        <v>391</v>
      </c>
      <c r="S609" s="582"/>
    </row>
    <row r="610" spans="1:25" ht="38.25">
      <c r="C610" s="403">
        <f>+'PRESUPUESTO OFICIAL '!C72</f>
        <v>6.04</v>
      </c>
      <c r="D610" s="583" t="str">
        <f>+VLOOKUP(C610,'PRESUPUESTO OFICIAL '!$C$11:$H$103,2)</f>
        <v>SUMINISTRO E INSTALACIÓN DE VINILO TIPO I SOBRE PAÑETE O ESTUCO A TRES MANOS (INTERIORES)</v>
      </c>
      <c r="E610" s="584"/>
      <c r="F610" s="585" t="str">
        <f>+VLOOKUP(C610,'PRESUPUESTO OFICIAL '!$C$11:$H$103,3)</f>
        <v>M2</v>
      </c>
      <c r="G610" s="585"/>
      <c r="H610" s="585"/>
      <c r="I610" s="578"/>
      <c r="J610" s="578"/>
      <c r="K610" s="580"/>
      <c r="L610" s="401" t="s">
        <v>392</v>
      </c>
      <c r="M610" s="401" t="s">
        <v>393</v>
      </c>
      <c r="N610" s="401" t="s">
        <v>394</v>
      </c>
      <c r="O610" s="401" t="s">
        <v>395</v>
      </c>
      <c r="P610" s="401" t="s">
        <v>396</v>
      </c>
      <c r="Q610" s="401" t="s">
        <v>397</v>
      </c>
      <c r="R610" s="401" t="s">
        <v>398</v>
      </c>
      <c r="S610" s="402" t="s">
        <v>399</v>
      </c>
      <c r="U610" s="404">
        <f>+C610</f>
        <v>6.04</v>
      </c>
      <c r="V610" s="405">
        <f>+S658</f>
        <v>775.21</v>
      </c>
    </row>
    <row r="611" spans="1:25">
      <c r="C611" s="406"/>
      <c r="D611" s="407"/>
      <c r="E611" s="407"/>
      <c r="F611" s="407"/>
      <c r="G611" s="407"/>
      <c r="H611" s="407"/>
      <c r="I611" s="558"/>
      <c r="J611" s="559"/>
      <c r="K611" s="560"/>
      <c r="L611" s="560"/>
      <c r="M611" s="560"/>
      <c r="N611" s="560"/>
      <c r="O611" s="560"/>
      <c r="P611" s="560"/>
      <c r="Q611" s="560"/>
      <c r="R611" s="560"/>
      <c r="S611" s="561"/>
    </row>
    <row r="612" spans="1:25" ht="25.5">
      <c r="A612" s="383">
        <v>1</v>
      </c>
      <c r="C612" s="406"/>
      <c r="D612" s="407"/>
      <c r="E612" s="407"/>
      <c r="F612" s="407"/>
      <c r="G612" s="407"/>
      <c r="H612" s="407"/>
      <c r="I612" s="408" t="s">
        <v>400</v>
      </c>
      <c r="J612" s="409" t="str">
        <f t="shared" ref="J612:J654" si="105">+VLOOKUP(K612,$AH$22:$AJ$58,2,)</f>
        <v>A=(Ancho x Largo)* Cant</v>
      </c>
      <c r="K612" s="410" t="str">
        <f>+F610</f>
        <v>M2</v>
      </c>
      <c r="L612" s="411"/>
      <c r="M612" s="459"/>
      <c r="N612" s="457"/>
      <c r="O612" s="457"/>
      <c r="P612" s="460"/>
      <c r="Q612" s="460"/>
      <c r="R612" s="460"/>
      <c r="S612" s="414">
        <f>+HLOOKUP(A612,[238]Hoja1!$2:$78,57,FALSE)</f>
        <v>0</v>
      </c>
      <c r="V612" s="383">
        <f>+S612/2</f>
        <v>0</v>
      </c>
      <c r="W612" s="461">
        <v>0.2</v>
      </c>
      <c r="X612" s="458">
        <f>+N612*O612</f>
        <v>0</v>
      </c>
      <c r="Y612" s="471">
        <f t="shared" ref="Y612" si="106">+X612-Q612</f>
        <v>0</v>
      </c>
    </row>
    <row r="613" spans="1:25" ht="25.5">
      <c r="A613" s="383">
        <v>2</v>
      </c>
      <c r="C613" s="406"/>
      <c r="D613" s="407"/>
      <c r="E613" s="407"/>
      <c r="F613" s="407"/>
      <c r="G613" s="407"/>
      <c r="H613" s="407"/>
      <c r="I613" s="408" t="s">
        <v>401</v>
      </c>
      <c r="J613" s="409" t="str">
        <f t="shared" si="105"/>
        <v>A=(Ancho x Largo)* Cant</v>
      </c>
      <c r="K613" s="410" t="str">
        <f>+K612</f>
        <v>M2</v>
      </c>
      <c r="L613" s="411">
        <f>+O613*P613</f>
        <v>10.764600000000002</v>
      </c>
      <c r="M613" s="459"/>
      <c r="N613" s="457"/>
      <c r="O613" s="457">
        <f>+S613/P613</f>
        <v>12.664235294117649</v>
      </c>
      <c r="P613" s="495">
        <v>0.85</v>
      </c>
      <c r="Q613" s="460"/>
      <c r="R613" s="460">
        <v>1</v>
      </c>
      <c r="S613" s="414">
        <f>+HLOOKUP(A613,[238]Hoja1!$2:$78,57,FALSE)</f>
        <v>10.764600000000002</v>
      </c>
      <c r="U613" s="383">
        <f>+R613*P613*O613</f>
        <v>10.764600000000002</v>
      </c>
      <c r="V613" s="383">
        <f>+S613/2</f>
        <v>5.3823000000000008</v>
      </c>
      <c r="W613" s="461">
        <v>2.6500000000000004</v>
      </c>
      <c r="X613" s="458">
        <f>+N613*O613</f>
        <v>0</v>
      </c>
      <c r="Y613" s="471">
        <f t="shared" ref="Y613:Y644" si="107">+X613-L613</f>
        <v>-10.764600000000002</v>
      </c>
    </row>
    <row r="614" spans="1:25" ht="25.5">
      <c r="A614" s="383">
        <v>3</v>
      </c>
      <c r="C614" s="406"/>
      <c r="D614" s="407"/>
      <c r="E614" s="407"/>
      <c r="F614" s="407"/>
      <c r="G614" s="407"/>
      <c r="H614" s="407"/>
      <c r="I614" s="408" t="s">
        <v>402</v>
      </c>
      <c r="J614" s="409" t="str">
        <f t="shared" si="105"/>
        <v>A=(Ancho x Largo)* Cant</v>
      </c>
      <c r="K614" s="410" t="str">
        <f>+K613</f>
        <v>M2</v>
      </c>
      <c r="L614" s="411">
        <f t="shared" ref="L614:L617" si="108">+O614*P614</f>
        <v>10.764600000000002</v>
      </c>
      <c r="M614" s="459"/>
      <c r="N614" s="457"/>
      <c r="O614" s="457">
        <f t="shared" ref="O614:O620" si="109">+S614/P614</f>
        <v>12.664235294117649</v>
      </c>
      <c r="P614" s="495">
        <v>0.85</v>
      </c>
      <c r="Q614" s="460"/>
      <c r="R614" s="460">
        <v>1</v>
      </c>
      <c r="S614" s="414">
        <f>+HLOOKUP(A614,[238]Hoja1!$2:$78,57,FALSE)</f>
        <v>10.764600000000002</v>
      </c>
      <c r="U614" s="383">
        <f t="shared" ref="U614:U654" si="110">+R614*P614*O614</f>
        <v>10.764600000000002</v>
      </c>
      <c r="V614" s="383">
        <f t="shared" ref="V614:V654" si="111">+S614/2</f>
        <v>5.3823000000000008</v>
      </c>
      <c r="W614" s="461">
        <v>2.6500000000000004</v>
      </c>
      <c r="X614" s="458">
        <f t="shared" ref="X614:X617" si="112">+N614*O614</f>
        <v>0</v>
      </c>
      <c r="Y614" s="471">
        <f t="shared" si="107"/>
        <v>-10.764600000000002</v>
      </c>
    </row>
    <row r="615" spans="1:25" ht="25.5">
      <c r="A615" s="383">
        <v>4</v>
      </c>
      <c r="C615" s="406"/>
      <c r="D615" s="407"/>
      <c r="E615" s="407"/>
      <c r="F615" s="407"/>
      <c r="G615" s="407"/>
      <c r="H615" s="407"/>
      <c r="I615" s="408" t="s">
        <v>403</v>
      </c>
      <c r="J615" s="409" t="str">
        <f t="shared" si="105"/>
        <v>A=(Ancho x Largo)* Cant</v>
      </c>
      <c r="K615" s="410" t="str">
        <f>+K614</f>
        <v>M2</v>
      </c>
      <c r="L615" s="411">
        <f t="shared" si="108"/>
        <v>10.764600000000002</v>
      </c>
      <c r="M615" s="459"/>
      <c r="N615" s="457"/>
      <c r="O615" s="457">
        <f t="shared" si="109"/>
        <v>12.664235294117649</v>
      </c>
      <c r="P615" s="495">
        <v>0.85</v>
      </c>
      <c r="Q615" s="460"/>
      <c r="R615" s="460">
        <v>1</v>
      </c>
      <c r="S615" s="414">
        <f>+HLOOKUP(A615,[238]Hoja1!$2:$78,57,FALSE)</f>
        <v>10.764600000000002</v>
      </c>
      <c r="U615" s="383">
        <f t="shared" si="110"/>
        <v>10.764600000000002</v>
      </c>
      <c r="V615" s="383">
        <f t="shared" si="111"/>
        <v>5.3823000000000008</v>
      </c>
      <c r="W615" s="461">
        <v>2.6500000000000004</v>
      </c>
      <c r="X615" s="458">
        <f t="shared" si="112"/>
        <v>0</v>
      </c>
      <c r="Y615" s="471">
        <f t="shared" si="107"/>
        <v>-10.764600000000002</v>
      </c>
    </row>
    <row r="616" spans="1:25" ht="25.5">
      <c r="A616" s="383">
        <v>5</v>
      </c>
      <c r="C616" s="406"/>
      <c r="D616" s="407"/>
      <c r="E616" s="407"/>
      <c r="F616" s="407"/>
      <c r="G616" s="407"/>
      <c r="H616" s="407"/>
      <c r="I616" s="408" t="s">
        <v>405</v>
      </c>
      <c r="J616" s="409" t="str">
        <f t="shared" si="105"/>
        <v>A=(Ancho x Largo)* Cant</v>
      </c>
      <c r="K616" s="410" t="str">
        <f>+K615</f>
        <v>M2</v>
      </c>
      <c r="L616" s="411">
        <f t="shared" si="108"/>
        <v>4.8786000000000023</v>
      </c>
      <c r="M616" s="459"/>
      <c r="N616" s="457"/>
      <c r="O616" s="457">
        <f t="shared" si="109"/>
        <v>5.7395294117647087</v>
      </c>
      <c r="P616" s="495">
        <v>0.85</v>
      </c>
      <c r="Q616" s="460"/>
      <c r="R616" s="460">
        <v>1</v>
      </c>
      <c r="S616" s="414">
        <f>+HLOOKUP(A616,[238]Hoja1!$2:$78,57,FALSE)</f>
        <v>4.8786000000000023</v>
      </c>
      <c r="U616" s="383">
        <f t="shared" si="110"/>
        <v>4.8786000000000023</v>
      </c>
      <c r="V616" s="383">
        <f t="shared" si="111"/>
        <v>2.4393000000000011</v>
      </c>
      <c r="W616" s="461">
        <v>2.6500000000000004</v>
      </c>
      <c r="X616" s="458">
        <f t="shared" si="112"/>
        <v>0</v>
      </c>
      <c r="Y616" s="471">
        <f t="shared" si="107"/>
        <v>-4.8786000000000023</v>
      </c>
    </row>
    <row r="617" spans="1:25" ht="25.5">
      <c r="A617" s="383">
        <v>6</v>
      </c>
      <c r="C617" s="406"/>
      <c r="D617" s="407"/>
      <c r="E617" s="407"/>
      <c r="F617" s="407"/>
      <c r="G617" s="407"/>
      <c r="H617" s="407"/>
      <c r="I617" s="408" t="s">
        <v>407</v>
      </c>
      <c r="J617" s="409" t="str">
        <f t="shared" si="105"/>
        <v>A=(Ancho x Largo)* Cant</v>
      </c>
      <c r="K617" s="410" t="str">
        <f>+K616</f>
        <v>M2</v>
      </c>
      <c r="L617" s="411">
        <f t="shared" si="108"/>
        <v>19.474</v>
      </c>
      <c r="M617" s="459"/>
      <c r="N617" s="457"/>
      <c r="O617" s="457">
        <f t="shared" si="109"/>
        <v>7.49</v>
      </c>
      <c r="P617" s="495">
        <v>2.6</v>
      </c>
      <c r="Q617" s="460"/>
      <c r="R617" s="460">
        <v>1</v>
      </c>
      <c r="S617" s="414">
        <f>+HLOOKUP(A617,[238]Hoja1!$2:$78,57,FALSE)</f>
        <v>19.474</v>
      </c>
      <c r="U617" s="383">
        <f t="shared" si="110"/>
        <v>19.474</v>
      </c>
      <c r="V617" s="383">
        <f t="shared" si="111"/>
        <v>9.7370000000000001</v>
      </c>
      <c r="W617" s="461">
        <v>3.2</v>
      </c>
      <c r="X617" s="458">
        <f t="shared" si="112"/>
        <v>0</v>
      </c>
      <c r="Y617" s="471">
        <f t="shared" si="107"/>
        <v>-19.474</v>
      </c>
    </row>
    <row r="618" spans="1:25" ht="25.5">
      <c r="A618" s="383">
        <v>7</v>
      </c>
      <c r="C618" s="406"/>
      <c r="D618" s="407"/>
      <c r="E618" s="407"/>
      <c r="F618" s="407"/>
      <c r="G618" s="407"/>
      <c r="H618" s="407"/>
      <c r="I618" s="408" t="s">
        <v>409</v>
      </c>
      <c r="J618" s="409" t="str">
        <f t="shared" si="105"/>
        <v>A=(Ancho x Largo)* Cant</v>
      </c>
      <c r="K618" s="410" t="str">
        <f>+K612</f>
        <v>M2</v>
      </c>
      <c r="L618" s="411"/>
      <c r="M618" s="459"/>
      <c r="N618" s="457"/>
      <c r="O618" s="457"/>
      <c r="P618" s="495"/>
      <c r="Q618" s="460"/>
      <c r="R618" s="460"/>
      <c r="S618" s="414">
        <f>+HLOOKUP(A618,[238]Hoja1!$2:$78,57,FALSE)</f>
        <v>0</v>
      </c>
      <c r="U618" s="383">
        <f t="shared" si="110"/>
        <v>0</v>
      </c>
      <c r="V618" s="383">
        <f t="shared" si="111"/>
        <v>0</v>
      </c>
      <c r="W618" s="461">
        <v>0.2</v>
      </c>
      <c r="X618" s="458">
        <f>+N618*O618*P618*R618</f>
        <v>0</v>
      </c>
      <c r="Y618" s="471">
        <f t="shared" si="107"/>
        <v>0</v>
      </c>
    </row>
    <row r="619" spans="1:25" ht="25.5">
      <c r="A619" s="383">
        <v>8</v>
      </c>
      <c r="C619" s="406"/>
      <c r="D619" s="407"/>
      <c r="E619" s="407"/>
      <c r="F619" s="407"/>
      <c r="G619" s="407"/>
      <c r="H619" s="407"/>
      <c r="I619" s="408" t="s">
        <v>411</v>
      </c>
      <c r="J619" s="409" t="str">
        <f t="shared" si="105"/>
        <v>A=(Ancho x Largo)* Cant</v>
      </c>
      <c r="K619" s="410" t="str">
        <f>+K618</f>
        <v>M2</v>
      </c>
      <c r="L619" s="411">
        <f t="shared" ref="L619:L620" si="113">+O619*P619</f>
        <v>35.6</v>
      </c>
      <c r="M619" s="459"/>
      <c r="N619" s="457"/>
      <c r="O619" s="457">
        <f t="shared" si="109"/>
        <v>12.067796610169491</v>
      </c>
      <c r="P619" s="495">
        <v>2.95</v>
      </c>
      <c r="Q619" s="460"/>
      <c r="R619" s="460">
        <v>1</v>
      </c>
      <c r="S619" s="414">
        <f>+HLOOKUP(A619,[238]Hoja1!$2:$78,57,FALSE)</f>
        <v>35.6</v>
      </c>
      <c r="U619" s="383">
        <f t="shared" si="110"/>
        <v>35.6</v>
      </c>
      <c r="V619" s="383">
        <f t="shared" si="111"/>
        <v>17.8</v>
      </c>
      <c r="W619" s="461">
        <v>3.2</v>
      </c>
      <c r="X619" s="458">
        <f t="shared" ref="X619:X625" si="114">+N619*O619</f>
        <v>0</v>
      </c>
      <c r="Y619" s="471">
        <f t="shared" si="107"/>
        <v>-35.6</v>
      </c>
    </row>
    <row r="620" spans="1:25" ht="25.5">
      <c r="A620" s="383">
        <v>9</v>
      </c>
      <c r="C620" s="406"/>
      <c r="D620" s="407"/>
      <c r="E620" s="407"/>
      <c r="F620" s="407"/>
      <c r="G620" s="407"/>
      <c r="H620" s="407"/>
      <c r="I620" s="408" t="s">
        <v>412</v>
      </c>
      <c r="J620" s="409" t="str">
        <f t="shared" si="105"/>
        <v>A=(Ancho x Largo)* Cant</v>
      </c>
      <c r="K620" s="410" t="str">
        <f>+K619</f>
        <v>M2</v>
      </c>
      <c r="L620" s="411">
        <f t="shared" si="113"/>
        <v>4.8786000000000023</v>
      </c>
      <c r="M620" s="459"/>
      <c r="N620" s="457"/>
      <c r="O620" s="457">
        <f t="shared" si="109"/>
        <v>5.7395294117647087</v>
      </c>
      <c r="P620" s="495">
        <v>0.85</v>
      </c>
      <c r="Q620" s="460"/>
      <c r="R620" s="460">
        <v>1</v>
      </c>
      <c r="S620" s="414">
        <f>+HLOOKUP(A620,[238]Hoja1!$2:$78,57,FALSE)</f>
        <v>4.8786000000000023</v>
      </c>
      <c r="U620" s="383">
        <f t="shared" si="110"/>
        <v>4.8786000000000023</v>
      </c>
      <c r="V620" s="383">
        <f t="shared" si="111"/>
        <v>2.4393000000000011</v>
      </c>
      <c r="W620" s="461">
        <v>2.6500000000000004</v>
      </c>
      <c r="X620" s="458">
        <f t="shared" si="114"/>
        <v>0</v>
      </c>
      <c r="Y620" s="471">
        <f t="shared" si="107"/>
        <v>-4.8786000000000023</v>
      </c>
    </row>
    <row r="621" spans="1:25" ht="25.5">
      <c r="A621" s="383">
        <v>10</v>
      </c>
      <c r="C621" s="406"/>
      <c r="D621" s="407"/>
      <c r="E621" s="407"/>
      <c r="F621" s="407"/>
      <c r="G621" s="407"/>
      <c r="H621" s="407"/>
      <c r="I621" s="408" t="s">
        <v>413</v>
      </c>
      <c r="J621" s="409" t="str">
        <f t="shared" si="105"/>
        <v>A=(Ancho x Largo)* Cant</v>
      </c>
      <c r="K621" s="410" t="str">
        <f>+K620</f>
        <v>M2</v>
      </c>
      <c r="L621" s="411"/>
      <c r="M621" s="459"/>
      <c r="N621" s="457"/>
      <c r="O621" s="457"/>
      <c r="P621" s="495"/>
      <c r="Q621" s="460"/>
      <c r="R621" s="460"/>
      <c r="S621" s="414">
        <f>+HLOOKUP(A621,[238]Hoja1!$2:$78,57,FALSE)</f>
        <v>0</v>
      </c>
      <c r="U621" s="383">
        <f t="shared" si="110"/>
        <v>0</v>
      </c>
      <c r="V621" s="383">
        <f t="shared" si="111"/>
        <v>0</v>
      </c>
      <c r="W621" s="461">
        <v>0.2</v>
      </c>
      <c r="X621" s="458">
        <f t="shared" si="114"/>
        <v>0</v>
      </c>
      <c r="Y621" s="471">
        <f t="shared" si="107"/>
        <v>0</v>
      </c>
    </row>
    <row r="622" spans="1:25" ht="25.5">
      <c r="A622" s="383">
        <v>11</v>
      </c>
      <c r="C622" s="406"/>
      <c r="D622" s="407"/>
      <c r="E622" s="407"/>
      <c r="F622" s="407"/>
      <c r="G622" s="407"/>
      <c r="H622" s="407"/>
      <c r="I622" s="408" t="s">
        <v>414</v>
      </c>
      <c r="J622" s="409" t="str">
        <f t="shared" si="105"/>
        <v>A=(Ancho x Largo)* Cant</v>
      </c>
      <c r="K622" s="410" t="str">
        <f>+K621</f>
        <v>M2</v>
      </c>
      <c r="L622" s="411"/>
      <c r="M622" s="459"/>
      <c r="N622" s="457"/>
      <c r="O622" s="457"/>
      <c r="P622" s="495"/>
      <c r="Q622" s="460"/>
      <c r="R622" s="460"/>
      <c r="S622" s="414">
        <f>+HLOOKUP(A622,[238]Hoja1!$2:$78,57,FALSE)</f>
        <v>0</v>
      </c>
      <c r="U622" s="383">
        <f t="shared" si="110"/>
        <v>0</v>
      </c>
      <c r="V622" s="383">
        <f t="shared" si="111"/>
        <v>0</v>
      </c>
      <c r="W622" s="461">
        <v>0.2</v>
      </c>
      <c r="X622" s="458">
        <f t="shared" si="114"/>
        <v>0</v>
      </c>
      <c r="Y622" s="471">
        <f t="shared" si="107"/>
        <v>0</v>
      </c>
    </row>
    <row r="623" spans="1:25" ht="25.5">
      <c r="A623" s="383">
        <v>12</v>
      </c>
      <c r="C623" s="406"/>
      <c r="D623" s="407"/>
      <c r="E623" s="407"/>
      <c r="F623" s="407"/>
      <c r="G623" s="407"/>
      <c r="H623" s="407"/>
      <c r="I623" s="408" t="s">
        <v>415</v>
      </c>
      <c r="J623" s="409" t="str">
        <f t="shared" si="105"/>
        <v>A=(Ancho x Largo)* Cant</v>
      </c>
      <c r="K623" s="410" t="str">
        <f>+K617</f>
        <v>M2</v>
      </c>
      <c r="L623" s="411"/>
      <c r="M623" s="459"/>
      <c r="N623" s="457"/>
      <c r="O623" s="457"/>
      <c r="P623" s="495"/>
      <c r="Q623" s="460"/>
      <c r="R623" s="460"/>
      <c r="S623" s="414">
        <f>+HLOOKUP(A623,[238]Hoja1!$2:$78,57,FALSE)</f>
        <v>0</v>
      </c>
      <c r="U623" s="383">
        <f t="shared" si="110"/>
        <v>0</v>
      </c>
      <c r="V623" s="383">
        <f t="shared" si="111"/>
        <v>0</v>
      </c>
      <c r="W623" s="461">
        <v>0.2</v>
      </c>
      <c r="X623" s="458">
        <f t="shared" si="114"/>
        <v>0</v>
      </c>
      <c r="Y623" s="471">
        <f t="shared" si="107"/>
        <v>0</v>
      </c>
    </row>
    <row r="624" spans="1:25" ht="25.5">
      <c r="A624" s="383">
        <v>13</v>
      </c>
      <c r="C624" s="406"/>
      <c r="D624" s="407"/>
      <c r="E624" s="407"/>
      <c r="F624" s="407"/>
      <c r="G624" s="407"/>
      <c r="H624" s="407"/>
      <c r="I624" s="408" t="s">
        <v>416</v>
      </c>
      <c r="J624" s="409" t="str">
        <f t="shared" si="105"/>
        <v>A=(Ancho x Largo)* Cant</v>
      </c>
      <c r="K624" s="410" t="str">
        <f>+K619</f>
        <v>M2</v>
      </c>
      <c r="L624" s="411"/>
      <c r="M624" s="459"/>
      <c r="N624" s="457"/>
      <c r="O624" s="457"/>
      <c r="P624" s="495"/>
      <c r="Q624" s="460"/>
      <c r="R624" s="460"/>
      <c r="S624" s="414">
        <f>+HLOOKUP(A624,[238]Hoja1!$2:$78,57,FALSE)</f>
        <v>0</v>
      </c>
      <c r="U624" s="383">
        <f t="shared" si="110"/>
        <v>0</v>
      </c>
      <c r="V624" s="383">
        <f t="shared" si="111"/>
        <v>0</v>
      </c>
      <c r="W624" s="461">
        <v>0.2</v>
      </c>
      <c r="X624" s="458">
        <f t="shared" si="114"/>
        <v>0</v>
      </c>
      <c r="Y624" s="471">
        <f t="shared" si="107"/>
        <v>0</v>
      </c>
    </row>
    <row r="625" spans="1:25" ht="25.5">
      <c r="A625" s="383">
        <v>14</v>
      </c>
      <c r="C625" s="406"/>
      <c r="D625" s="407"/>
      <c r="E625" s="407"/>
      <c r="F625" s="407"/>
      <c r="G625" s="407"/>
      <c r="H625" s="407"/>
      <c r="I625" s="408" t="s">
        <v>417</v>
      </c>
      <c r="J625" s="409" t="str">
        <f t="shared" si="105"/>
        <v>A=(Ancho x Largo)* Cant</v>
      </c>
      <c r="K625" s="410" t="str">
        <f t="shared" ref="K625:K636" si="115">+K624</f>
        <v>M2</v>
      </c>
      <c r="L625" s="411">
        <f t="shared" ref="L625:L627" si="116">+O625*P625</f>
        <v>4.8786000000000023</v>
      </c>
      <c r="M625" s="459"/>
      <c r="N625" s="457"/>
      <c r="O625" s="457">
        <f t="shared" ref="O625:O633" si="117">+S625/P625</f>
        <v>5.7395294117647087</v>
      </c>
      <c r="P625" s="495">
        <v>0.85</v>
      </c>
      <c r="Q625" s="460"/>
      <c r="R625" s="460">
        <v>1</v>
      </c>
      <c r="S625" s="414">
        <f>+HLOOKUP(A625,[238]Hoja1!$2:$78,57,FALSE)</f>
        <v>4.8786000000000023</v>
      </c>
      <c r="U625" s="383">
        <f t="shared" si="110"/>
        <v>4.8786000000000023</v>
      </c>
      <c r="V625" s="383">
        <f t="shared" si="111"/>
        <v>2.4393000000000011</v>
      </c>
      <c r="W625" s="461">
        <v>2.6500000000000004</v>
      </c>
      <c r="X625" s="458">
        <f t="shared" si="114"/>
        <v>0</v>
      </c>
      <c r="Y625" s="471">
        <f t="shared" si="107"/>
        <v>-4.8786000000000023</v>
      </c>
    </row>
    <row r="626" spans="1:25" ht="25.5">
      <c r="A626" s="383">
        <v>15</v>
      </c>
      <c r="C626" s="406"/>
      <c r="D626" s="407"/>
      <c r="E626" s="407"/>
      <c r="F626" s="407"/>
      <c r="G626" s="407"/>
      <c r="H626" s="407"/>
      <c r="I626" s="408" t="s">
        <v>418</v>
      </c>
      <c r="J626" s="409" t="str">
        <f t="shared" si="105"/>
        <v>A=(Ancho x Largo)* Cant</v>
      </c>
      <c r="K626" s="410" t="str">
        <f t="shared" si="115"/>
        <v>M2</v>
      </c>
      <c r="L626" s="411">
        <f t="shared" si="116"/>
        <v>17.12</v>
      </c>
      <c r="M626" s="459"/>
      <c r="N626" s="457"/>
      <c r="O626" s="457">
        <f t="shared" si="117"/>
        <v>6.5846153846153852</v>
      </c>
      <c r="P626" s="495">
        <f t="shared" ref="P626:P627" si="118">+W626</f>
        <v>2.6</v>
      </c>
      <c r="Q626" s="460"/>
      <c r="R626" s="460">
        <v>1</v>
      </c>
      <c r="S626" s="414">
        <f>+HLOOKUP(A626,[238]Hoja1!$2:$78,57,FALSE)</f>
        <v>17.12</v>
      </c>
      <c r="U626" s="383">
        <f t="shared" si="110"/>
        <v>17.12</v>
      </c>
      <c r="V626" s="383">
        <f t="shared" si="111"/>
        <v>8.56</v>
      </c>
      <c r="W626" s="461">
        <v>2.6</v>
      </c>
      <c r="X626" s="458">
        <f>+N626*O626*P626</f>
        <v>0</v>
      </c>
      <c r="Y626" s="471">
        <f t="shared" si="107"/>
        <v>-17.12</v>
      </c>
    </row>
    <row r="627" spans="1:25" ht="25.5">
      <c r="A627" s="383">
        <v>16</v>
      </c>
      <c r="C627" s="406"/>
      <c r="D627" s="407"/>
      <c r="E627" s="407"/>
      <c r="F627" s="407"/>
      <c r="G627" s="407"/>
      <c r="H627" s="407"/>
      <c r="I627" s="408" t="s">
        <v>419</v>
      </c>
      <c r="J627" s="409" t="str">
        <f t="shared" si="105"/>
        <v>A=(Ancho x Largo)* Cant</v>
      </c>
      <c r="K627" s="410" t="str">
        <f t="shared" si="115"/>
        <v>M2</v>
      </c>
      <c r="L627" s="411">
        <f t="shared" si="116"/>
        <v>42.174999999999997</v>
      </c>
      <c r="M627" s="459"/>
      <c r="N627" s="457"/>
      <c r="O627" s="457">
        <f t="shared" si="117"/>
        <v>13.179687499999998</v>
      </c>
      <c r="P627" s="495">
        <f t="shared" si="118"/>
        <v>3.2</v>
      </c>
      <c r="Q627" s="460"/>
      <c r="R627" s="460">
        <v>1</v>
      </c>
      <c r="S627" s="414">
        <f>+HLOOKUP(A627,[238]Hoja1!$2:$78,57,FALSE)</f>
        <v>42.174999999999997</v>
      </c>
      <c r="U627" s="383">
        <f t="shared" si="110"/>
        <v>42.174999999999997</v>
      </c>
      <c r="V627" s="383">
        <f t="shared" si="111"/>
        <v>21.087499999999999</v>
      </c>
      <c r="W627" s="461">
        <v>3.2</v>
      </c>
      <c r="X627" s="458">
        <f>+N627*O627*P627</f>
        <v>0</v>
      </c>
      <c r="Y627" s="471">
        <f t="shared" si="107"/>
        <v>-42.174999999999997</v>
      </c>
    </row>
    <row r="628" spans="1:25" ht="25.5">
      <c r="A628" s="383">
        <v>17</v>
      </c>
      <c r="C628" s="406"/>
      <c r="D628" s="407"/>
      <c r="E628" s="407"/>
      <c r="F628" s="407"/>
      <c r="G628" s="407"/>
      <c r="H628" s="407"/>
      <c r="I628" s="408" t="s">
        <v>420</v>
      </c>
      <c r="J628" s="409" t="str">
        <f t="shared" si="105"/>
        <v>A=(Ancho x Largo)* Cant</v>
      </c>
      <c r="K628" s="410" t="str">
        <f t="shared" si="115"/>
        <v>M2</v>
      </c>
      <c r="L628" s="411"/>
      <c r="M628" s="459"/>
      <c r="N628" s="457"/>
      <c r="O628" s="457"/>
      <c r="P628" s="495"/>
      <c r="Q628" s="460"/>
      <c r="R628" s="460"/>
      <c r="S628" s="414">
        <f>+HLOOKUP(A628,[238]Hoja1!$2:$78,57,FALSE)</f>
        <v>0</v>
      </c>
      <c r="U628" s="383">
        <f t="shared" si="110"/>
        <v>0</v>
      </c>
      <c r="V628" s="383">
        <f t="shared" si="111"/>
        <v>0</v>
      </c>
      <c r="W628" s="461">
        <v>0.2</v>
      </c>
      <c r="X628" s="458">
        <f t="shared" ref="X628:X644" si="119">+N628*O628*P628</f>
        <v>0</v>
      </c>
      <c r="Y628" s="471">
        <f t="shared" si="107"/>
        <v>0</v>
      </c>
    </row>
    <row r="629" spans="1:25" ht="25.5">
      <c r="A629" s="383">
        <v>18</v>
      </c>
      <c r="C629" s="406"/>
      <c r="D629" s="407"/>
      <c r="E629" s="407"/>
      <c r="F629" s="407"/>
      <c r="G629" s="407"/>
      <c r="H629" s="407"/>
      <c r="I629" s="408" t="s">
        <v>429</v>
      </c>
      <c r="J629" s="409" t="str">
        <f t="shared" si="105"/>
        <v>A=(Ancho x Largo)* Cant</v>
      </c>
      <c r="K629" s="410" t="str">
        <f t="shared" si="115"/>
        <v>M2</v>
      </c>
      <c r="L629" s="411">
        <f t="shared" ref="L629:L633" si="120">+O629*P629</f>
        <v>22.784000000000002</v>
      </c>
      <c r="M629" s="459"/>
      <c r="N629" s="457"/>
      <c r="O629" s="457">
        <f t="shared" si="117"/>
        <v>8.7630769230769232</v>
      </c>
      <c r="P629" s="495">
        <f t="shared" ref="P629:P632" si="121">+W629</f>
        <v>2.6</v>
      </c>
      <c r="Q629" s="460"/>
      <c r="R629" s="460">
        <v>1</v>
      </c>
      <c r="S629" s="414">
        <f>+HLOOKUP(A629,[238]Hoja1!$2:$78,57,FALSE)</f>
        <v>22.783999999999999</v>
      </c>
      <c r="U629" s="383">
        <f t="shared" si="110"/>
        <v>22.784000000000002</v>
      </c>
      <c r="V629" s="383">
        <f t="shared" si="111"/>
        <v>11.391999999999999</v>
      </c>
      <c r="W629" s="461">
        <v>2.6</v>
      </c>
      <c r="X629" s="458">
        <f t="shared" si="119"/>
        <v>0</v>
      </c>
      <c r="Y629" s="471">
        <f t="shared" si="107"/>
        <v>-22.784000000000002</v>
      </c>
    </row>
    <row r="630" spans="1:25" ht="25.5">
      <c r="A630" s="383">
        <v>19</v>
      </c>
      <c r="C630" s="406"/>
      <c r="D630" s="407"/>
      <c r="E630" s="407"/>
      <c r="F630" s="407"/>
      <c r="G630" s="407"/>
      <c r="H630" s="407"/>
      <c r="I630" s="408" t="s">
        <v>430</v>
      </c>
      <c r="J630" s="409" t="str">
        <f t="shared" si="105"/>
        <v>A=(Ancho x Largo)* Cant</v>
      </c>
      <c r="K630" s="410" t="str">
        <f t="shared" si="115"/>
        <v>M2</v>
      </c>
      <c r="L630" s="411">
        <f t="shared" si="120"/>
        <v>4.8786000000000023</v>
      </c>
      <c r="M630" s="459"/>
      <c r="N630" s="457"/>
      <c r="O630" s="457">
        <f t="shared" si="117"/>
        <v>5.7395294117647087</v>
      </c>
      <c r="P630" s="495">
        <v>0.85</v>
      </c>
      <c r="Q630" s="460"/>
      <c r="R630" s="460">
        <v>1</v>
      </c>
      <c r="S630" s="414">
        <f>+HLOOKUP(A630,[238]Hoja1!$2:$78,57,FALSE)</f>
        <v>4.8786000000000023</v>
      </c>
      <c r="U630" s="383">
        <f t="shared" si="110"/>
        <v>4.8786000000000023</v>
      </c>
      <c r="V630" s="383">
        <f t="shared" si="111"/>
        <v>2.4393000000000011</v>
      </c>
      <c r="W630" s="461">
        <v>2.6500000000000004</v>
      </c>
      <c r="X630" s="458">
        <f t="shared" si="119"/>
        <v>0</v>
      </c>
      <c r="Y630" s="471">
        <f t="shared" si="107"/>
        <v>-4.8786000000000023</v>
      </c>
    </row>
    <row r="631" spans="1:25" ht="25.5">
      <c r="A631" s="383">
        <v>20</v>
      </c>
      <c r="C631" s="406"/>
      <c r="D631" s="407"/>
      <c r="E631" s="407"/>
      <c r="F631" s="407"/>
      <c r="G631" s="407"/>
      <c r="H631" s="407"/>
      <c r="I631" s="408" t="s">
        <v>431</v>
      </c>
      <c r="J631" s="409" t="str">
        <f t="shared" si="105"/>
        <v>A=(Ancho x Largo)* Cant</v>
      </c>
      <c r="K631" s="410" t="str">
        <f t="shared" si="115"/>
        <v>M2</v>
      </c>
      <c r="L631" s="411">
        <f t="shared" si="120"/>
        <v>35.6</v>
      </c>
      <c r="M631" s="459"/>
      <c r="N631" s="457"/>
      <c r="O631" s="457">
        <f t="shared" si="117"/>
        <v>12.067796610169491</v>
      </c>
      <c r="P631" s="495">
        <v>2.95</v>
      </c>
      <c r="Q631" s="460"/>
      <c r="R631" s="460">
        <v>1</v>
      </c>
      <c r="S631" s="414">
        <f>+HLOOKUP(A631,[238]Hoja1!$2:$78,57,FALSE)</f>
        <v>35.6</v>
      </c>
      <c r="U631" s="383">
        <f t="shared" si="110"/>
        <v>35.6</v>
      </c>
      <c r="V631" s="383">
        <f t="shared" si="111"/>
        <v>17.8</v>
      </c>
      <c r="W631" s="461">
        <v>3.2</v>
      </c>
      <c r="X631" s="458">
        <f t="shared" si="119"/>
        <v>0</v>
      </c>
      <c r="Y631" s="471">
        <f t="shared" si="107"/>
        <v>-35.6</v>
      </c>
    </row>
    <row r="632" spans="1:25" ht="25.5">
      <c r="A632" s="383">
        <v>21</v>
      </c>
      <c r="C632" s="406"/>
      <c r="D632" s="407"/>
      <c r="E632" s="407"/>
      <c r="F632" s="407"/>
      <c r="G632" s="407"/>
      <c r="H632" s="407"/>
      <c r="I632" s="408" t="s">
        <v>432</v>
      </c>
      <c r="J632" s="409" t="str">
        <f t="shared" si="105"/>
        <v>A=(Ancho x Largo)* Cant</v>
      </c>
      <c r="K632" s="410" t="str">
        <f t="shared" si="115"/>
        <v>M2</v>
      </c>
      <c r="L632" s="411">
        <f t="shared" si="120"/>
        <v>43.78</v>
      </c>
      <c r="M632" s="459"/>
      <c r="N632" s="457"/>
      <c r="O632" s="457">
        <f t="shared" si="117"/>
        <v>13.68125</v>
      </c>
      <c r="P632" s="495">
        <f t="shared" si="121"/>
        <v>3.2</v>
      </c>
      <c r="Q632" s="460"/>
      <c r="R632" s="460">
        <v>1</v>
      </c>
      <c r="S632" s="414">
        <f>+HLOOKUP(A632,[238]Hoja1!$2:$78,57,FALSE)</f>
        <v>43.78</v>
      </c>
      <c r="U632" s="383">
        <f t="shared" si="110"/>
        <v>43.78</v>
      </c>
      <c r="V632" s="383">
        <f t="shared" si="111"/>
        <v>21.89</v>
      </c>
      <c r="W632" s="461">
        <v>3.2</v>
      </c>
      <c r="X632" s="458">
        <f t="shared" si="119"/>
        <v>0</v>
      </c>
      <c r="Y632" s="471">
        <f t="shared" si="107"/>
        <v>-43.78</v>
      </c>
    </row>
    <row r="633" spans="1:25" ht="25.5">
      <c r="A633" s="383">
        <v>22</v>
      </c>
      <c r="C633" s="406"/>
      <c r="D633" s="407"/>
      <c r="E633" s="407"/>
      <c r="F633" s="407"/>
      <c r="G633" s="407"/>
      <c r="H633" s="407"/>
      <c r="I633" s="408" t="s">
        <v>433</v>
      </c>
      <c r="J633" s="409" t="str">
        <f t="shared" si="105"/>
        <v>A=(Ancho x Largo)* Cant</v>
      </c>
      <c r="K633" s="410" t="str">
        <f t="shared" si="115"/>
        <v>M2</v>
      </c>
      <c r="L633" s="411">
        <f t="shared" si="120"/>
        <v>4.8786000000000023</v>
      </c>
      <c r="M633" s="459"/>
      <c r="N633" s="457"/>
      <c r="O633" s="457">
        <f t="shared" si="117"/>
        <v>5.7395294117647087</v>
      </c>
      <c r="P633" s="495">
        <v>0.85</v>
      </c>
      <c r="Q633" s="460"/>
      <c r="R633" s="460">
        <v>1</v>
      </c>
      <c r="S633" s="414">
        <f>+HLOOKUP(A633,[238]Hoja1!$2:$78,57,FALSE)</f>
        <v>4.8786000000000023</v>
      </c>
      <c r="U633" s="383">
        <f t="shared" si="110"/>
        <v>4.8786000000000023</v>
      </c>
      <c r="V633" s="383">
        <f t="shared" si="111"/>
        <v>2.4393000000000011</v>
      </c>
      <c r="W633" s="461">
        <v>2.6500000000000004</v>
      </c>
      <c r="X633" s="458">
        <f t="shared" si="119"/>
        <v>0</v>
      </c>
      <c r="Y633" s="471">
        <f t="shared" si="107"/>
        <v>-4.8786000000000023</v>
      </c>
    </row>
    <row r="634" spans="1:25" ht="25.5">
      <c r="A634" s="383">
        <v>23</v>
      </c>
      <c r="C634" s="406"/>
      <c r="D634" s="407"/>
      <c r="E634" s="407"/>
      <c r="F634" s="407"/>
      <c r="G634" s="407"/>
      <c r="H634" s="407"/>
      <c r="I634" s="408" t="s">
        <v>434</v>
      </c>
      <c r="J634" s="409" t="str">
        <f t="shared" si="105"/>
        <v>A=(Ancho x Largo)* Cant</v>
      </c>
      <c r="K634" s="410" t="str">
        <f t="shared" si="115"/>
        <v>M2</v>
      </c>
      <c r="L634" s="411"/>
      <c r="M634" s="459"/>
      <c r="N634" s="457"/>
      <c r="O634" s="457"/>
      <c r="P634" s="495"/>
      <c r="Q634" s="460"/>
      <c r="R634" s="460"/>
      <c r="S634" s="414">
        <f>+HLOOKUP(A634,[238]Hoja1!$2:$78,57,FALSE)</f>
        <v>0</v>
      </c>
      <c r="U634" s="383">
        <f t="shared" si="110"/>
        <v>0</v>
      </c>
      <c r="V634" s="383">
        <f t="shared" si="111"/>
        <v>0</v>
      </c>
      <c r="W634" s="461">
        <v>0.2</v>
      </c>
      <c r="X634" s="458">
        <f t="shared" si="119"/>
        <v>0</v>
      </c>
      <c r="Y634" s="471">
        <f t="shared" si="107"/>
        <v>0</v>
      </c>
    </row>
    <row r="635" spans="1:25" ht="25.5">
      <c r="A635" s="383">
        <v>24</v>
      </c>
      <c r="C635" s="406"/>
      <c r="D635" s="407"/>
      <c r="E635" s="407"/>
      <c r="F635" s="407"/>
      <c r="G635" s="407"/>
      <c r="H635" s="407"/>
      <c r="I635" s="408" t="s">
        <v>435</v>
      </c>
      <c r="J635" s="409" t="str">
        <f t="shared" si="105"/>
        <v>A=(Ancho x Largo)* Cant</v>
      </c>
      <c r="K635" s="410" t="str">
        <f t="shared" si="115"/>
        <v>M2</v>
      </c>
      <c r="L635" s="411"/>
      <c r="M635" s="459"/>
      <c r="N635" s="457"/>
      <c r="O635" s="457"/>
      <c r="P635" s="495"/>
      <c r="Q635" s="460"/>
      <c r="R635" s="460"/>
      <c r="S635" s="414">
        <f>+HLOOKUP(A635,[238]Hoja1!$2:$78,57,FALSE)</f>
        <v>0</v>
      </c>
      <c r="U635" s="383">
        <f t="shared" si="110"/>
        <v>0</v>
      </c>
      <c r="V635" s="383">
        <f t="shared" si="111"/>
        <v>0</v>
      </c>
      <c r="W635" s="461">
        <v>0.2</v>
      </c>
      <c r="X635" s="458">
        <f t="shared" si="119"/>
        <v>0</v>
      </c>
      <c r="Y635" s="471">
        <f t="shared" si="107"/>
        <v>0</v>
      </c>
    </row>
    <row r="636" spans="1:25" ht="25.5">
      <c r="A636" s="383">
        <v>25</v>
      </c>
      <c r="C636" s="406"/>
      <c r="D636" s="407"/>
      <c r="E636" s="407"/>
      <c r="F636" s="407"/>
      <c r="G636" s="407"/>
      <c r="H636" s="407"/>
      <c r="I636" s="408" t="s">
        <v>436</v>
      </c>
      <c r="J636" s="409" t="str">
        <f t="shared" si="105"/>
        <v>A=(Ancho x Largo)* Cant</v>
      </c>
      <c r="K636" s="410" t="str">
        <f t="shared" si="115"/>
        <v>M2</v>
      </c>
      <c r="L636" s="411">
        <f t="shared" ref="L636" si="122">+O636*P636</f>
        <v>42.52000000000001</v>
      </c>
      <c r="M636" s="459"/>
      <c r="N636" s="457"/>
      <c r="O636" s="457">
        <f t="shared" ref="O636" si="123">+S636/P636</f>
        <v>16.353846153846156</v>
      </c>
      <c r="P636" s="495">
        <f t="shared" ref="P636" si="124">+W636</f>
        <v>2.6</v>
      </c>
      <c r="Q636" s="460"/>
      <c r="R636" s="460">
        <v>1</v>
      </c>
      <c r="S636" s="414">
        <f>+HLOOKUP(A636,[238]Hoja1!$2:$78,57,FALSE)</f>
        <v>42.52</v>
      </c>
      <c r="U636" s="383">
        <f t="shared" si="110"/>
        <v>42.52000000000001</v>
      </c>
      <c r="V636" s="383">
        <f t="shared" si="111"/>
        <v>21.26</v>
      </c>
      <c r="W636" s="461">
        <v>2.6</v>
      </c>
      <c r="X636" s="458">
        <f t="shared" si="119"/>
        <v>0</v>
      </c>
      <c r="Y636" s="471">
        <f t="shared" si="107"/>
        <v>-42.52000000000001</v>
      </c>
    </row>
    <row r="637" spans="1:25" ht="25.5">
      <c r="A637" s="383">
        <v>26</v>
      </c>
      <c r="C637" s="406"/>
      <c r="D637" s="407"/>
      <c r="E637" s="407"/>
      <c r="F637" s="407"/>
      <c r="G637" s="407"/>
      <c r="H637" s="407"/>
      <c r="I637" s="408" t="s">
        <v>437</v>
      </c>
      <c r="J637" s="409" t="str">
        <f t="shared" si="105"/>
        <v>A=(Ancho x Largo)* Cant</v>
      </c>
      <c r="K637" s="410" t="str">
        <f>+K626</f>
        <v>M2</v>
      </c>
      <c r="L637" s="411"/>
      <c r="M637" s="459"/>
      <c r="N637" s="457"/>
      <c r="O637" s="457"/>
      <c r="P637" s="495"/>
      <c r="Q637" s="460"/>
      <c r="R637" s="460"/>
      <c r="S637" s="414">
        <f>+HLOOKUP(A637,[238]Hoja1!$2:$78,57,FALSE)</f>
        <v>0</v>
      </c>
      <c r="U637" s="383">
        <f t="shared" si="110"/>
        <v>0</v>
      </c>
      <c r="V637" s="383">
        <f t="shared" si="111"/>
        <v>0</v>
      </c>
      <c r="W637" s="461">
        <v>0.2</v>
      </c>
      <c r="X637" s="458">
        <f t="shared" si="119"/>
        <v>0</v>
      </c>
      <c r="Y637" s="471">
        <f t="shared" si="107"/>
        <v>0</v>
      </c>
    </row>
    <row r="638" spans="1:25" ht="25.5">
      <c r="A638" s="383">
        <v>27</v>
      </c>
      <c r="C638" s="406"/>
      <c r="D638" s="407"/>
      <c r="E638" s="407"/>
      <c r="F638" s="407"/>
      <c r="G638" s="407"/>
      <c r="H638" s="407"/>
      <c r="I638" s="408" t="s">
        <v>438</v>
      </c>
      <c r="J638" s="409" t="str">
        <f t="shared" si="105"/>
        <v>A=(Ancho x Largo)* Cant</v>
      </c>
      <c r="K638" s="410" t="str">
        <f t="shared" ref="K638:K646" si="125">+K637</f>
        <v>M2</v>
      </c>
      <c r="L638" s="411">
        <f t="shared" ref="L638" si="126">+O638*P638</f>
        <v>4.8786000000000023</v>
      </c>
      <c r="M638" s="459"/>
      <c r="N638" s="457"/>
      <c r="O638" s="457">
        <f t="shared" ref="O638:O652" si="127">+S638/P638</f>
        <v>5.7395294117647087</v>
      </c>
      <c r="P638" s="495">
        <v>0.85</v>
      </c>
      <c r="Q638" s="460"/>
      <c r="R638" s="460">
        <v>1</v>
      </c>
      <c r="S638" s="414">
        <f>+HLOOKUP(A638,[238]Hoja1!$2:$78,57,FALSE)</f>
        <v>4.8786000000000023</v>
      </c>
      <c r="U638" s="383">
        <f t="shared" si="110"/>
        <v>4.8786000000000023</v>
      </c>
      <c r="V638" s="383">
        <f t="shared" si="111"/>
        <v>2.4393000000000011</v>
      </c>
      <c r="W638" s="461">
        <v>2.6500000000000004</v>
      </c>
      <c r="X638" s="458">
        <f t="shared" si="119"/>
        <v>0</v>
      </c>
      <c r="Y638" s="471">
        <f t="shared" si="107"/>
        <v>-4.8786000000000023</v>
      </c>
    </row>
    <row r="639" spans="1:25" ht="25.5">
      <c r="A639" s="383">
        <v>28</v>
      </c>
      <c r="C639" s="406"/>
      <c r="D639" s="440"/>
      <c r="E639" s="407"/>
      <c r="F639" s="407"/>
      <c r="G639" s="407"/>
      <c r="H639" s="437"/>
      <c r="I639" s="408" t="s">
        <v>439</v>
      </c>
      <c r="J639" s="409" t="str">
        <f t="shared" si="105"/>
        <v>A=(Ancho x Largo)* Cant</v>
      </c>
      <c r="K639" s="410" t="str">
        <f t="shared" si="125"/>
        <v>M2</v>
      </c>
      <c r="L639" s="411"/>
      <c r="M639" s="459"/>
      <c r="N639" s="457"/>
      <c r="O639" s="457"/>
      <c r="P639" s="495"/>
      <c r="Q639" s="460"/>
      <c r="R639" s="460"/>
      <c r="S639" s="414">
        <f>+HLOOKUP(A639,[238]Hoja1!$2:$78,57,FALSE)</f>
        <v>0</v>
      </c>
      <c r="U639" s="383">
        <f t="shared" si="110"/>
        <v>0</v>
      </c>
      <c r="V639" s="383">
        <f t="shared" si="111"/>
        <v>0</v>
      </c>
      <c r="W639" s="461">
        <v>0.2</v>
      </c>
      <c r="X639" s="458">
        <f t="shared" si="119"/>
        <v>0</v>
      </c>
      <c r="Y639" s="471">
        <f t="shared" si="107"/>
        <v>0</v>
      </c>
    </row>
    <row r="640" spans="1:25" ht="25.5">
      <c r="A640" s="383">
        <v>29</v>
      </c>
      <c r="C640" s="406"/>
      <c r="D640" s="407"/>
      <c r="E640" s="407"/>
      <c r="F640" s="407"/>
      <c r="G640" s="407"/>
      <c r="H640" s="407"/>
      <c r="I640" s="408" t="s">
        <v>440</v>
      </c>
      <c r="J640" s="409" t="str">
        <f t="shared" si="105"/>
        <v>A=(Ancho x Largo)* Cant</v>
      </c>
      <c r="K640" s="410" t="str">
        <f t="shared" si="125"/>
        <v>M2</v>
      </c>
      <c r="L640" s="411">
        <f t="shared" ref="L640:L641" si="128">+O640*P640</f>
        <v>63.908699999999982</v>
      </c>
      <c r="M640" s="459"/>
      <c r="N640" s="457"/>
      <c r="O640" s="457">
        <f t="shared" si="127"/>
        <v>21.302899999999994</v>
      </c>
      <c r="P640" s="495">
        <v>3</v>
      </c>
      <c r="Q640" s="460"/>
      <c r="R640" s="460">
        <v>1</v>
      </c>
      <c r="S640" s="414">
        <f>+HLOOKUP(A640,[238]Hoja1!$2:$78,57,FALSE)</f>
        <v>63.908699999999982</v>
      </c>
      <c r="U640" s="383">
        <f t="shared" si="110"/>
        <v>63.908699999999982</v>
      </c>
      <c r="V640" s="383">
        <f t="shared" si="111"/>
        <v>31.954349999999991</v>
      </c>
      <c r="W640" s="461">
        <v>0.2</v>
      </c>
      <c r="X640" s="458">
        <f t="shared" si="119"/>
        <v>0</v>
      </c>
      <c r="Y640" s="471">
        <f t="shared" si="107"/>
        <v>-63.908699999999982</v>
      </c>
    </row>
    <row r="641" spans="1:25" ht="25.5">
      <c r="A641" s="383">
        <v>30</v>
      </c>
      <c r="C641" s="406"/>
      <c r="D641" s="407"/>
      <c r="E641" s="407"/>
      <c r="F641" s="407"/>
      <c r="G641" s="407"/>
      <c r="H641" s="407"/>
      <c r="I641" s="408" t="s">
        <v>441</v>
      </c>
      <c r="J641" s="409" t="str">
        <f t="shared" si="105"/>
        <v>A=(Ancho x Largo)* Cant</v>
      </c>
      <c r="K641" s="410" t="str">
        <f t="shared" si="125"/>
        <v>M2</v>
      </c>
      <c r="L641" s="411">
        <f t="shared" si="128"/>
        <v>35.6</v>
      </c>
      <c r="M641" s="459"/>
      <c r="N641" s="457"/>
      <c r="O641" s="457">
        <f t="shared" si="127"/>
        <v>12.067796610169491</v>
      </c>
      <c r="P641" s="495">
        <v>2.95</v>
      </c>
      <c r="Q641" s="460"/>
      <c r="R641" s="460">
        <v>1</v>
      </c>
      <c r="S641" s="414">
        <f>+HLOOKUP(A641,[238]Hoja1!$2:$78,57,FALSE)</f>
        <v>35.6</v>
      </c>
      <c r="U641" s="383">
        <f t="shared" si="110"/>
        <v>35.6</v>
      </c>
      <c r="V641" s="383">
        <f t="shared" si="111"/>
        <v>17.8</v>
      </c>
      <c r="W641" s="461">
        <v>3.2</v>
      </c>
      <c r="X641" s="458">
        <f t="shared" si="119"/>
        <v>0</v>
      </c>
      <c r="Y641" s="471">
        <f t="shared" si="107"/>
        <v>-35.6</v>
      </c>
    </row>
    <row r="642" spans="1:25" ht="25.5">
      <c r="A642" s="383">
        <v>31</v>
      </c>
      <c r="C642" s="406"/>
      <c r="D642" s="407"/>
      <c r="E642" s="407"/>
      <c r="F642" s="407"/>
      <c r="G642" s="407"/>
      <c r="H642" s="407"/>
      <c r="I642" s="408" t="s">
        <v>442</v>
      </c>
      <c r="J642" s="409" t="str">
        <f t="shared" si="105"/>
        <v>A=(Ancho x Largo)* Cant</v>
      </c>
      <c r="K642" s="410" t="str">
        <f t="shared" si="125"/>
        <v>M2</v>
      </c>
      <c r="L642" s="411"/>
      <c r="M642" s="459"/>
      <c r="N642" s="457"/>
      <c r="O642" s="457"/>
      <c r="P642" s="495"/>
      <c r="Q642" s="460"/>
      <c r="R642" s="460"/>
      <c r="S642" s="414">
        <f>+HLOOKUP(A642,[238]Hoja1!$2:$78,57,FALSE)</f>
        <v>0</v>
      </c>
      <c r="U642" s="383">
        <f t="shared" si="110"/>
        <v>0</v>
      </c>
      <c r="V642" s="383">
        <f t="shared" si="111"/>
        <v>0</v>
      </c>
      <c r="W642" s="461">
        <v>0.2</v>
      </c>
      <c r="X642" s="458">
        <f t="shared" si="119"/>
        <v>0</v>
      </c>
      <c r="Y642" s="471">
        <f t="shared" si="107"/>
        <v>0</v>
      </c>
    </row>
    <row r="643" spans="1:25" ht="25.5">
      <c r="A643" s="383">
        <v>32</v>
      </c>
      <c r="C643" s="406"/>
      <c r="D643" s="407"/>
      <c r="E643" s="407"/>
      <c r="F643" s="407"/>
      <c r="G643" s="407"/>
      <c r="H643" s="407"/>
      <c r="I643" s="408" t="s">
        <v>443</v>
      </c>
      <c r="J643" s="409" t="str">
        <f t="shared" si="105"/>
        <v>A=(Ancho x Largo)* Cant</v>
      </c>
      <c r="K643" s="410" t="str">
        <f t="shared" si="125"/>
        <v>M2</v>
      </c>
      <c r="L643" s="411">
        <f t="shared" ref="L643:L645" si="129">+O643*P643</f>
        <v>28.774000000000001</v>
      </c>
      <c r="M643" s="459"/>
      <c r="N643" s="457"/>
      <c r="O643" s="457">
        <f t="shared" si="127"/>
        <v>11.066923076923077</v>
      </c>
      <c r="P643" s="495">
        <f t="shared" ref="P643" si="130">+W643</f>
        <v>2.6</v>
      </c>
      <c r="Q643" s="460"/>
      <c r="R643" s="460">
        <v>1</v>
      </c>
      <c r="S643" s="414">
        <f>+HLOOKUP(A643,[238]Hoja1!$2:$78,57,FALSE)</f>
        <v>28.774000000000001</v>
      </c>
      <c r="U643" s="383">
        <f t="shared" si="110"/>
        <v>28.774000000000001</v>
      </c>
      <c r="V643" s="383">
        <f t="shared" si="111"/>
        <v>14.387</v>
      </c>
      <c r="W643" s="461">
        <v>2.6</v>
      </c>
      <c r="X643" s="458">
        <f t="shared" si="119"/>
        <v>0</v>
      </c>
      <c r="Y643" s="471">
        <f t="shared" si="107"/>
        <v>-28.774000000000001</v>
      </c>
    </row>
    <row r="644" spans="1:25" ht="25.5">
      <c r="A644" s="383">
        <v>33</v>
      </c>
      <c r="C644" s="406"/>
      <c r="D644" s="407"/>
      <c r="E644" s="407"/>
      <c r="F644" s="407"/>
      <c r="G644" s="407"/>
      <c r="H644" s="407"/>
      <c r="I644" s="408" t="s">
        <v>444</v>
      </c>
      <c r="J644" s="409" t="str">
        <f t="shared" si="105"/>
        <v>A=(Ancho x Largo)* Cant</v>
      </c>
      <c r="K644" s="410" t="str">
        <f t="shared" si="125"/>
        <v>M2</v>
      </c>
      <c r="L644" s="411">
        <f t="shared" si="129"/>
        <v>0</v>
      </c>
      <c r="M644" s="459"/>
      <c r="N644" s="457"/>
      <c r="O644" s="457"/>
      <c r="P644" s="495"/>
      <c r="Q644" s="460"/>
      <c r="R644" s="460"/>
      <c r="S644" s="414">
        <f>+HLOOKUP(A644,[238]Hoja1!$2:$78,57,FALSE)</f>
        <v>0</v>
      </c>
      <c r="U644" s="383">
        <f t="shared" si="110"/>
        <v>0</v>
      </c>
      <c r="V644" s="383">
        <f t="shared" si="111"/>
        <v>0</v>
      </c>
      <c r="W644" s="461">
        <v>3.4000000000000004</v>
      </c>
      <c r="X644" s="458">
        <f t="shared" si="119"/>
        <v>0</v>
      </c>
      <c r="Y644" s="471">
        <f t="shared" si="107"/>
        <v>0</v>
      </c>
    </row>
    <row r="645" spans="1:25" ht="25.5">
      <c r="A645" s="383">
        <v>34</v>
      </c>
      <c r="C645" s="406"/>
      <c r="D645" s="407"/>
      <c r="E645" s="407"/>
      <c r="F645" s="407"/>
      <c r="G645" s="407"/>
      <c r="H645" s="407"/>
      <c r="I645" s="408" t="s">
        <v>445</v>
      </c>
      <c r="J645" s="409" t="str">
        <f t="shared" si="105"/>
        <v>A=(Ancho x Largo)* Cant</v>
      </c>
      <c r="K645" s="410" t="str">
        <f t="shared" si="125"/>
        <v>M2</v>
      </c>
      <c r="L645" s="411">
        <f t="shared" si="129"/>
        <v>91.47</v>
      </c>
      <c r="M645" s="459"/>
      <c r="N645" s="457"/>
      <c r="O645" s="457">
        <f t="shared" si="127"/>
        <v>35.180769230769229</v>
      </c>
      <c r="P645" s="495">
        <f t="shared" ref="P645" si="131">+W645</f>
        <v>2.6</v>
      </c>
      <c r="Q645" s="460"/>
      <c r="R645" s="460">
        <v>1</v>
      </c>
      <c r="S645" s="414">
        <f>+HLOOKUP(A645,[238]Hoja1!$2:$78,57,FALSE)</f>
        <v>91.47</v>
      </c>
      <c r="U645" s="383">
        <f t="shared" si="110"/>
        <v>91.47</v>
      </c>
      <c r="V645" s="383">
        <f t="shared" si="111"/>
        <v>45.734999999999999</v>
      </c>
      <c r="W645" s="461">
        <v>2.6</v>
      </c>
      <c r="X645" s="458">
        <f>+N645*O645</f>
        <v>0</v>
      </c>
      <c r="Y645" s="471">
        <f>+X645-L645</f>
        <v>-91.47</v>
      </c>
    </row>
    <row r="646" spans="1:25" ht="25.5">
      <c r="A646" s="383">
        <v>35</v>
      </c>
      <c r="C646" s="406"/>
      <c r="D646" s="440"/>
      <c r="E646" s="407"/>
      <c r="F646" s="407"/>
      <c r="G646" s="407"/>
      <c r="H646" s="437"/>
      <c r="I646" s="408" t="s">
        <v>446</v>
      </c>
      <c r="J646" s="409" t="str">
        <f t="shared" si="105"/>
        <v>A=(Ancho x Largo)* Cant</v>
      </c>
      <c r="K646" s="410" t="str">
        <f t="shared" si="125"/>
        <v>M2</v>
      </c>
      <c r="L646" s="411"/>
      <c r="M646" s="459"/>
      <c r="N646" s="457"/>
      <c r="O646" s="457"/>
      <c r="P646" s="495"/>
      <c r="Q646" s="460"/>
      <c r="R646" s="460"/>
      <c r="S646" s="414">
        <f>+HLOOKUP(A646,[238]Hoja1!$2:$78,57,FALSE)</f>
        <v>0</v>
      </c>
      <c r="U646" s="383">
        <f t="shared" si="110"/>
        <v>0</v>
      </c>
      <c r="V646" s="383">
        <f t="shared" si="111"/>
        <v>0</v>
      </c>
      <c r="W646" s="461">
        <v>0.2</v>
      </c>
      <c r="X646" s="458">
        <f>+N646*O646*P646</f>
        <v>0</v>
      </c>
      <c r="Y646" s="471">
        <f t="shared" ref="Y646:Y654" si="132">+X646-L646</f>
        <v>0</v>
      </c>
    </row>
    <row r="647" spans="1:25" ht="25.5">
      <c r="A647" s="383">
        <v>36</v>
      </c>
      <c r="C647" s="406"/>
      <c r="D647" s="407"/>
      <c r="E647" s="407"/>
      <c r="F647" s="407"/>
      <c r="G647" s="407"/>
      <c r="H647" s="407"/>
      <c r="I647" s="408" t="s">
        <v>447</v>
      </c>
      <c r="J647" s="409" t="str">
        <f t="shared" si="105"/>
        <v>A=(Ancho x Largo)* Cant</v>
      </c>
      <c r="K647" s="410" t="str">
        <f>+K636</f>
        <v>M2</v>
      </c>
      <c r="L647" s="411">
        <f t="shared" ref="L647:L649" si="133">+O647*P647</f>
        <v>22.784000000000002</v>
      </c>
      <c r="M647" s="459"/>
      <c r="N647" s="457"/>
      <c r="O647" s="457">
        <f t="shared" si="127"/>
        <v>8.7630769230769232</v>
      </c>
      <c r="P647" s="495">
        <f t="shared" ref="P647:P648" si="134">+W647</f>
        <v>2.6</v>
      </c>
      <c r="Q647" s="460"/>
      <c r="R647" s="460">
        <v>1</v>
      </c>
      <c r="S647" s="414">
        <f>+HLOOKUP(A647,[238]Hoja1!$2:$78,57,FALSE)</f>
        <v>22.783999999999999</v>
      </c>
      <c r="U647" s="383">
        <f t="shared" si="110"/>
        <v>22.784000000000002</v>
      </c>
      <c r="V647" s="383">
        <f t="shared" si="111"/>
        <v>11.391999999999999</v>
      </c>
      <c r="W647" s="461">
        <v>2.6</v>
      </c>
      <c r="X647" s="458">
        <f t="shared" ref="X647:X654" si="135">+N647*O647*P647</f>
        <v>0</v>
      </c>
      <c r="Y647" s="471">
        <f t="shared" si="132"/>
        <v>-22.784000000000002</v>
      </c>
    </row>
    <row r="648" spans="1:25" ht="25.5">
      <c r="A648" s="383">
        <v>37</v>
      </c>
      <c r="C648" s="406"/>
      <c r="D648" s="407"/>
      <c r="E648" s="407"/>
      <c r="F648" s="407"/>
      <c r="G648" s="407"/>
      <c r="H648" s="407"/>
      <c r="I648" s="408" t="s">
        <v>448</v>
      </c>
      <c r="J648" s="409" t="str">
        <f t="shared" si="105"/>
        <v>A=(Ancho x Largo)* Cant</v>
      </c>
      <c r="K648" s="410" t="str">
        <f t="shared" ref="K648:K654" si="136">+K647</f>
        <v>M2</v>
      </c>
      <c r="L648" s="411">
        <f t="shared" si="133"/>
        <v>60.844999999999999</v>
      </c>
      <c r="M648" s="459"/>
      <c r="N648" s="457"/>
      <c r="O648" s="457">
        <f t="shared" si="127"/>
        <v>23.401923076923076</v>
      </c>
      <c r="P648" s="495">
        <f t="shared" si="134"/>
        <v>2.6</v>
      </c>
      <c r="Q648" s="460"/>
      <c r="R648" s="460">
        <v>1</v>
      </c>
      <c r="S648" s="414">
        <f>+HLOOKUP(A648,[238]Hoja1!$2:$78,57,FALSE)</f>
        <v>60.844999999999999</v>
      </c>
      <c r="U648" s="383">
        <f t="shared" si="110"/>
        <v>60.844999999999999</v>
      </c>
      <c r="V648" s="383">
        <f t="shared" si="111"/>
        <v>30.422499999999999</v>
      </c>
      <c r="W648" s="461">
        <v>2.6</v>
      </c>
      <c r="X648" s="458">
        <f t="shared" si="135"/>
        <v>0</v>
      </c>
      <c r="Y648" s="471">
        <f t="shared" si="132"/>
        <v>-60.844999999999999</v>
      </c>
    </row>
    <row r="649" spans="1:25" ht="25.5">
      <c r="A649" s="383">
        <v>38</v>
      </c>
      <c r="C649" s="406"/>
      <c r="D649" s="440"/>
      <c r="E649" s="407"/>
      <c r="F649" s="407"/>
      <c r="G649" s="407"/>
      <c r="H649" s="437"/>
      <c r="I649" s="408" t="s">
        <v>449</v>
      </c>
      <c r="J649" s="409" t="str">
        <f t="shared" si="105"/>
        <v>A=(Ancho x Largo)* Cant</v>
      </c>
      <c r="K649" s="410" t="str">
        <f t="shared" si="136"/>
        <v>M2</v>
      </c>
      <c r="L649" s="411">
        <f t="shared" si="133"/>
        <v>125.91520000000003</v>
      </c>
      <c r="M649" s="459"/>
      <c r="N649" s="457"/>
      <c r="O649" s="457">
        <f t="shared" si="127"/>
        <v>39.348500000000008</v>
      </c>
      <c r="P649" s="495">
        <v>3.2</v>
      </c>
      <c r="Q649" s="460"/>
      <c r="R649" s="460">
        <v>1</v>
      </c>
      <c r="S649" s="414">
        <f>+HLOOKUP(A649,[238]Hoja1!$2:$78,57,FALSE)</f>
        <v>125.91520000000003</v>
      </c>
      <c r="U649" s="383">
        <f t="shared" si="110"/>
        <v>125.91520000000003</v>
      </c>
      <c r="V649" s="383">
        <f t="shared" si="111"/>
        <v>62.957600000000014</v>
      </c>
      <c r="W649" s="461">
        <v>0.2</v>
      </c>
      <c r="X649" s="458">
        <f t="shared" si="135"/>
        <v>0</v>
      </c>
      <c r="Y649" s="471">
        <f t="shared" si="132"/>
        <v>-125.91520000000003</v>
      </c>
    </row>
    <row r="650" spans="1:25" ht="25.5">
      <c r="A650" s="383">
        <v>39</v>
      </c>
      <c r="C650" s="406"/>
      <c r="D650" s="407"/>
      <c r="E650" s="407"/>
      <c r="F650" s="407"/>
      <c r="G650" s="407"/>
      <c r="H650" s="407"/>
      <c r="I650" s="408" t="s">
        <v>450</v>
      </c>
      <c r="J650" s="409" t="str">
        <f t="shared" si="105"/>
        <v>A=(Ancho x Largo)* Cant</v>
      </c>
      <c r="K650" s="410" t="str">
        <f t="shared" si="136"/>
        <v>M2</v>
      </c>
      <c r="L650" s="411"/>
      <c r="M650" s="459"/>
      <c r="N650" s="457"/>
      <c r="O650" s="457"/>
      <c r="P650" s="495"/>
      <c r="Q650" s="460"/>
      <c r="R650" s="460"/>
      <c r="S650" s="414">
        <f>+HLOOKUP(A650,[238]Hoja1!$2:$78,57,FALSE)</f>
        <v>0</v>
      </c>
      <c r="U650" s="383">
        <f t="shared" si="110"/>
        <v>0</v>
      </c>
      <c r="V650" s="383">
        <f t="shared" si="111"/>
        <v>0</v>
      </c>
      <c r="W650" s="461">
        <v>0.2</v>
      </c>
      <c r="X650" s="458">
        <f t="shared" si="135"/>
        <v>0</v>
      </c>
      <c r="Y650" s="471">
        <f t="shared" si="132"/>
        <v>0</v>
      </c>
    </row>
    <row r="651" spans="1:25" ht="25.5">
      <c r="A651" s="383">
        <v>40</v>
      </c>
      <c r="C651" s="406"/>
      <c r="D651" s="407"/>
      <c r="E651" s="407"/>
      <c r="F651" s="407"/>
      <c r="G651" s="407"/>
      <c r="H651" s="407"/>
      <c r="I651" s="408" t="s">
        <v>451</v>
      </c>
      <c r="J651" s="409" t="str">
        <f t="shared" si="105"/>
        <v>A=(Ancho x Largo)* Cant</v>
      </c>
      <c r="K651" s="410" t="str">
        <f t="shared" si="136"/>
        <v>M2</v>
      </c>
      <c r="L651" s="411">
        <f t="shared" ref="L651:L652" si="137">+O651*P651</f>
        <v>19.474</v>
      </c>
      <c r="M651" s="459"/>
      <c r="N651" s="457"/>
      <c r="O651" s="457">
        <f t="shared" si="127"/>
        <v>6.5790540540540539</v>
      </c>
      <c r="P651" s="495">
        <v>2.96</v>
      </c>
      <c r="Q651" s="460"/>
      <c r="R651" s="460">
        <v>1</v>
      </c>
      <c r="S651" s="414">
        <f>+HLOOKUP(A651,[238]Hoja1!$2:$78,57,FALSE)</f>
        <v>19.474</v>
      </c>
      <c r="U651" s="383">
        <f t="shared" si="110"/>
        <v>19.474</v>
      </c>
      <c r="V651" s="383">
        <f t="shared" si="111"/>
        <v>9.7370000000000001</v>
      </c>
      <c r="W651" s="461">
        <v>2.6</v>
      </c>
      <c r="X651" s="458">
        <f t="shared" si="135"/>
        <v>0</v>
      </c>
      <c r="Y651" s="471">
        <f t="shared" si="132"/>
        <v>-19.474</v>
      </c>
    </row>
    <row r="652" spans="1:25" ht="25.5">
      <c r="A652" s="383">
        <v>41</v>
      </c>
      <c r="C652" s="406"/>
      <c r="D652" s="407"/>
      <c r="E652" s="407"/>
      <c r="F652" s="407"/>
      <c r="G652" s="407"/>
      <c r="H652" s="407"/>
      <c r="I652" s="408" t="s">
        <v>452</v>
      </c>
      <c r="J652" s="409" t="str">
        <f t="shared" si="105"/>
        <v>A=(Ancho x Largo)* Cant</v>
      </c>
      <c r="K652" s="410" t="str">
        <f t="shared" si="136"/>
        <v>M2</v>
      </c>
      <c r="L652" s="411">
        <f t="shared" si="137"/>
        <v>5.8159999999999998</v>
      </c>
      <c r="M652" s="459"/>
      <c r="N652" s="457"/>
      <c r="O652" s="457">
        <f t="shared" si="127"/>
        <v>8.9476923076923054</v>
      </c>
      <c r="P652" s="495">
        <f>2.35-1.7</f>
        <v>0.65000000000000013</v>
      </c>
      <c r="Q652" s="460"/>
      <c r="R652" s="460">
        <v>1</v>
      </c>
      <c r="S652" s="414">
        <f>+HLOOKUP(A652,[238]Hoja1!$2:$78,57,FALSE)</f>
        <v>5.8159999999999998</v>
      </c>
      <c r="U652" s="383">
        <f t="shared" si="110"/>
        <v>5.8159999999999998</v>
      </c>
      <c r="V652" s="383">
        <f t="shared" si="111"/>
        <v>2.9079999999999999</v>
      </c>
      <c r="W652" s="461">
        <v>2.6</v>
      </c>
      <c r="X652" s="458">
        <f t="shared" si="135"/>
        <v>0</v>
      </c>
      <c r="Y652" s="471">
        <f t="shared" si="132"/>
        <v>-5.8159999999999998</v>
      </c>
    </row>
    <row r="653" spans="1:25" ht="25.5">
      <c r="A653" s="383">
        <v>42</v>
      </c>
      <c r="C653" s="406"/>
      <c r="D653" s="407"/>
      <c r="E653" s="407"/>
      <c r="F653" s="407"/>
      <c r="G653" s="407"/>
      <c r="H653" s="407"/>
      <c r="I653" s="408" t="s">
        <v>453</v>
      </c>
      <c r="J653" s="409" t="str">
        <f t="shared" si="105"/>
        <v>A=(Ancho x Largo)* Cant</v>
      </c>
      <c r="K653" s="410" t="str">
        <f t="shared" si="136"/>
        <v>M2</v>
      </c>
      <c r="L653" s="411"/>
      <c r="M653" s="459"/>
      <c r="N653" s="457"/>
      <c r="O653" s="457"/>
      <c r="P653" s="495"/>
      <c r="Q653" s="460"/>
      <c r="R653" s="460"/>
      <c r="S653" s="414">
        <f>+HLOOKUP(A653,[238]Hoja1!$2:$78,57,FALSE)</f>
        <v>0</v>
      </c>
      <c r="U653" s="383">
        <f t="shared" si="110"/>
        <v>0</v>
      </c>
      <c r="V653" s="383">
        <f t="shared" si="111"/>
        <v>0</v>
      </c>
      <c r="W653" s="461">
        <v>0.2</v>
      </c>
      <c r="X653" s="458">
        <f t="shared" si="135"/>
        <v>0</v>
      </c>
      <c r="Y653" s="471">
        <f t="shared" si="132"/>
        <v>0</v>
      </c>
    </row>
    <row r="654" spans="1:25" ht="26.25" thickBot="1">
      <c r="A654" s="383">
        <v>43</v>
      </c>
      <c r="C654" s="406"/>
      <c r="D654" s="407"/>
      <c r="E654" s="407"/>
      <c r="F654" s="407"/>
      <c r="G654" s="407"/>
      <c r="H654" s="407"/>
      <c r="I654" s="408" t="s">
        <v>454</v>
      </c>
      <c r="J654" s="409" t="str">
        <f t="shared" si="105"/>
        <v>A=(Ancho x Largo)* Cant</v>
      </c>
      <c r="K654" s="410" t="str">
        <f t="shared" si="136"/>
        <v>M2</v>
      </c>
      <c r="L654" s="411"/>
      <c r="M654" s="459"/>
      <c r="N654" s="457"/>
      <c r="O654" s="457"/>
      <c r="P654" s="462"/>
      <c r="Q654" s="460"/>
      <c r="R654" s="460"/>
      <c r="S654" s="414">
        <f>+HLOOKUP(A654,[238]Hoja1!$2:$78,57,FALSE)</f>
        <v>0</v>
      </c>
      <c r="U654" s="383">
        <f t="shared" si="110"/>
        <v>0</v>
      </c>
      <c r="V654" s="383">
        <f t="shared" si="111"/>
        <v>0</v>
      </c>
      <c r="W654" s="461">
        <v>0.2</v>
      </c>
      <c r="X654" s="458">
        <f t="shared" si="135"/>
        <v>0</v>
      </c>
      <c r="Y654" s="471">
        <f t="shared" si="132"/>
        <v>0</v>
      </c>
    </row>
    <row r="655" spans="1:25">
      <c r="C655" s="384"/>
      <c r="D655" s="419"/>
      <c r="E655" s="420"/>
      <c r="F655" s="421"/>
      <c r="G655" s="421"/>
      <c r="H655" s="421"/>
      <c r="I655" s="421"/>
      <c r="J655" s="422"/>
      <c r="K655" s="421"/>
      <c r="L655" s="421"/>
      <c r="M655" s="421"/>
      <c r="N655" s="421"/>
      <c r="O655" s="421"/>
      <c r="P655" s="421"/>
      <c r="Q655" s="421"/>
      <c r="R655" s="422"/>
      <c r="S655" s="423"/>
    </row>
    <row r="656" spans="1:25">
      <c r="C656" s="396"/>
      <c r="D656" s="397"/>
      <c r="E656" s="424"/>
      <c r="F656" s="425"/>
      <c r="G656" s="425"/>
      <c r="H656" s="425"/>
      <c r="I656" s="425"/>
      <c r="J656" s="398"/>
      <c r="K656" s="425"/>
      <c r="L656" s="425"/>
      <c r="M656" s="397"/>
      <c r="N656" s="397"/>
      <c r="O656" s="562" t="s">
        <v>455</v>
      </c>
      <c r="P656" s="563"/>
      <c r="Q656" s="564"/>
      <c r="R656" s="426"/>
      <c r="S656" s="427">
        <f>ROUND(SUM(S612:S655),2)</f>
        <v>775.21</v>
      </c>
    </row>
    <row r="657" spans="3:19">
      <c r="C657" s="396"/>
      <c r="D657" s="397"/>
      <c r="E657" s="424"/>
      <c r="F657" s="425"/>
      <c r="G657" s="425"/>
      <c r="H657" s="425"/>
      <c r="I657" s="425"/>
      <c r="J657" s="398"/>
      <c r="K657" s="425"/>
      <c r="L657" s="425"/>
      <c r="M657" s="428"/>
      <c r="N657" s="428"/>
      <c r="O657" s="429"/>
      <c r="P657" s="425"/>
      <c r="Q657" s="425"/>
      <c r="R657" s="430"/>
      <c r="S657" s="431"/>
    </row>
    <row r="658" spans="3:19">
      <c r="C658" s="565" t="e">
        <v>#REF!</v>
      </c>
      <c r="D658" s="566"/>
      <c r="E658" s="566"/>
      <c r="F658" s="566"/>
      <c r="G658" s="566"/>
      <c r="H658" s="566"/>
      <c r="I658" s="566"/>
      <c r="J658" s="566"/>
      <c r="K658" s="566"/>
      <c r="L658" s="566"/>
      <c r="M658" s="566"/>
      <c r="N658" s="567"/>
      <c r="O658" s="568" t="s">
        <v>422</v>
      </c>
      <c r="P658" s="568"/>
      <c r="Q658" s="568"/>
      <c r="R658" s="426"/>
      <c r="S658" s="427">
        <f>S656</f>
        <v>775.21</v>
      </c>
    </row>
    <row r="659" spans="3:19">
      <c r="C659" s="396"/>
      <c r="D659" s="397"/>
      <c r="E659" s="424"/>
      <c r="F659" s="425"/>
      <c r="G659" s="425"/>
      <c r="H659" s="425"/>
      <c r="I659" s="425"/>
      <c r="J659" s="398"/>
      <c r="K659" s="425"/>
      <c r="L659" s="425"/>
      <c r="M659" s="428"/>
      <c r="N659" s="428"/>
      <c r="O659" s="429"/>
      <c r="P659" s="425"/>
      <c r="Q659" s="398"/>
      <c r="R659" s="398"/>
      <c r="S659" s="432"/>
    </row>
    <row r="660" spans="3:19">
      <c r="C660" s="396"/>
      <c r="D660" s="397"/>
      <c r="E660" s="424"/>
      <c r="F660" s="425"/>
      <c r="G660" s="425"/>
      <c r="H660" s="425"/>
      <c r="I660" s="425"/>
      <c r="J660" s="398"/>
      <c r="K660" s="425"/>
      <c r="L660" s="425"/>
      <c r="M660" s="428"/>
      <c r="N660" s="428"/>
      <c r="O660" s="429"/>
      <c r="P660" s="425"/>
      <c r="Q660" s="398"/>
      <c r="R660" s="398"/>
      <c r="S660" s="432"/>
    </row>
    <row r="661" spans="3:19">
      <c r="C661" s="569" t="s">
        <v>423</v>
      </c>
      <c r="D661" s="570"/>
      <c r="E661" s="570"/>
      <c r="F661" s="570"/>
      <c r="G661" s="570"/>
      <c r="H661" s="570"/>
      <c r="I661" s="570"/>
      <c r="J661" s="571"/>
      <c r="K661" s="433" t="s">
        <v>424</v>
      </c>
      <c r="L661" s="434"/>
      <c r="M661" s="434"/>
      <c r="N661" s="434"/>
      <c r="O661" s="434"/>
      <c r="P661" s="434"/>
      <c r="Q661" s="434"/>
      <c r="R661" s="434"/>
      <c r="S661" s="435"/>
    </row>
    <row r="662" spans="3:19">
      <c r="C662" s="542"/>
      <c r="D662" s="543"/>
      <c r="E662" s="543"/>
      <c r="F662" s="543"/>
      <c r="G662" s="436"/>
      <c r="H662" s="436"/>
      <c r="I662" s="436"/>
      <c r="J662" s="447"/>
      <c r="K662" s="436"/>
      <c r="L662" s="407"/>
      <c r="M662" s="407"/>
      <c r="N662" s="407"/>
      <c r="O662" s="407"/>
      <c r="P662" s="407"/>
      <c r="Q662" s="407"/>
      <c r="R662" s="407"/>
      <c r="S662" s="437"/>
    </row>
    <row r="663" spans="3:19">
      <c r="C663" s="542"/>
      <c r="D663" s="543"/>
      <c r="E663" s="543"/>
      <c r="F663" s="543"/>
      <c r="G663" s="436"/>
      <c r="H663" s="436"/>
      <c r="I663" s="436"/>
      <c r="J663" s="447"/>
      <c r="K663" s="436"/>
      <c r="L663" s="407"/>
      <c r="M663" s="407"/>
      <c r="N663" s="407"/>
      <c r="O663" s="407"/>
      <c r="P663" s="407"/>
      <c r="Q663" s="407"/>
      <c r="R663" s="407"/>
      <c r="S663" s="437"/>
    </row>
    <row r="664" spans="3:19">
      <c r="C664" s="542" t="s">
        <v>425</v>
      </c>
      <c r="D664" s="543"/>
      <c r="E664" s="543" t="s">
        <v>425</v>
      </c>
      <c r="F664" s="543"/>
      <c r="G664" s="543" t="s">
        <v>425</v>
      </c>
      <c r="H664" s="543"/>
      <c r="I664" s="543" t="s">
        <v>425</v>
      </c>
      <c r="J664" s="544"/>
      <c r="K664" s="545" t="s">
        <v>426</v>
      </c>
      <c r="L664" s="546"/>
      <c r="M664" s="546"/>
      <c r="N664" s="546"/>
      <c r="O664" s="546"/>
      <c r="P664" s="546"/>
      <c r="Q664" s="546"/>
      <c r="R664" s="546"/>
      <c r="S664" s="547"/>
    </row>
    <row r="665" spans="3:19">
      <c r="C665" s="548" t="str">
        <f>+[42]DATOS!D$8</f>
        <v>HELMER EDUARDO BECERRA SANTANDER</v>
      </c>
      <c r="D665" s="549"/>
      <c r="E665" s="549" t="s">
        <v>427</v>
      </c>
      <c r="F665" s="549"/>
      <c r="G665" s="549" t="s">
        <v>427</v>
      </c>
      <c r="H665" s="549"/>
      <c r="I665" s="549" t="s">
        <v>427</v>
      </c>
      <c r="J665" s="550"/>
      <c r="K665" s="551" t="str">
        <f>+[42]DATOS!D$11</f>
        <v>JESUS IVAN QUIÑONES RUEDA</v>
      </c>
      <c r="L665" s="549"/>
      <c r="M665" s="549"/>
      <c r="N665" s="549"/>
      <c r="O665" s="549"/>
      <c r="P665" s="549"/>
      <c r="Q665" s="549"/>
      <c r="R665" s="549"/>
      <c r="S665" s="552"/>
    </row>
    <row r="666" spans="3:19">
      <c r="C666" s="553" t="str">
        <f>+$C$72</f>
        <v>APOYO SEC. DE PLANEACION Y OBRAS PÚBLICAS</v>
      </c>
      <c r="D666" s="554"/>
      <c r="E666" s="554" t="s">
        <v>428</v>
      </c>
      <c r="F666" s="554"/>
      <c r="G666" s="554" t="s">
        <v>428</v>
      </c>
      <c r="H666" s="554"/>
      <c r="I666" s="554" t="s">
        <v>428</v>
      </c>
      <c r="J666" s="555"/>
      <c r="K666" s="556" t="str">
        <f>+$K$72</f>
        <v>SECRETARIO DE PLANEACION Y OBRAS PÚBLICAS</v>
      </c>
      <c r="L666" s="554"/>
      <c r="M666" s="554"/>
      <c r="N666" s="554"/>
      <c r="O666" s="554"/>
      <c r="P666" s="554"/>
      <c r="Q666" s="554"/>
      <c r="R666" s="554"/>
      <c r="S666" s="557"/>
    </row>
    <row r="667" spans="3:19">
      <c r="C667" s="406"/>
      <c r="D667" s="407"/>
      <c r="E667" s="407"/>
      <c r="F667" s="407"/>
      <c r="G667" s="407"/>
      <c r="H667" s="407"/>
      <c r="I667" s="407"/>
      <c r="J667" s="407"/>
      <c r="K667" s="407"/>
      <c r="L667" s="407"/>
      <c r="M667" s="407"/>
      <c r="N667" s="407"/>
      <c r="O667" s="407"/>
      <c r="P667" s="407"/>
      <c r="Q667" s="407"/>
      <c r="R667" s="407"/>
      <c r="S667" s="437"/>
    </row>
    <row r="668" spans="3:19" ht="111" customHeight="1" thickBot="1">
      <c r="C668" s="417"/>
      <c r="D668" s="418"/>
      <c r="E668" s="418"/>
      <c r="F668" s="418"/>
      <c r="G668" s="418"/>
      <c r="H668" s="418"/>
      <c r="I668" s="418"/>
      <c r="J668" s="418"/>
      <c r="K668" s="418"/>
      <c r="L668" s="418"/>
      <c r="M668" s="418"/>
      <c r="N668" s="418"/>
      <c r="O668" s="418"/>
      <c r="P668" s="418"/>
      <c r="Q668" s="418"/>
      <c r="R668" s="418"/>
      <c r="S668" s="438"/>
    </row>
    <row r="669" spans="3:19" ht="22.5" customHeight="1"/>
    <row r="670" spans="3:19" ht="13.5" thickBot="1"/>
    <row r="671" spans="3:19">
      <c r="C671" s="384"/>
      <c r="D671" s="385"/>
      <c r="E671" s="385"/>
      <c r="F671" s="385"/>
      <c r="G671" s="385"/>
      <c r="H671" s="385"/>
      <c r="I671" s="385"/>
      <c r="J671" s="445"/>
      <c r="K671" s="385"/>
      <c r="L671" s="385"/>
      <c r="M671" s="385"/>
      <c r="N671" s="385"/>
      <c r="O671" s="385"/>
      <c r="P671" s="385"/>
      <c r="Q671" s="385"/>
      <c r="R671" s="385"/>
      <c r="S671" s="386"/>
    </row>
    <row r="672" spans="3:19" ht="121.5" customHeight="1" thickBot="1">
      <c r="C672" s="387"/>
      <c r="D672" s="388"/>
      <c r="E672" s="388"/>
      <c r="F672" s="388"/>
      <c r="G672" s="388"/>
      <c r="H672" s="388"/>
      <c r="I672" s="388"/>
      <c r="J672" s="446"/>
      <c r="K672" s="388"/>
      <c r="L672" s="388"/>
      <c r="M672" s="388"/>
      <c r="N672" s="388"/>
      <c r="O672" s="388"/>
      <c r="P672" s="388"/>
      <c r="Q672" s="388"/>
      <c r="R672" s="388"/>
      <c r="S672" s="389"/>
    </row>
    <row r="673" spans="1:25">
      <c r="C673" s="592" t="str">
        <f>+[42]DATOS!C$7</f>
        <v>MEJORAMIENTO DE VIVIENDA CON ENFOQUE DIFERENCIAL PARA POBLACIÓN VULNERABLE EN EL MUNICIPIO DE CUBARÁ, BOYACÁ (2026).</v>
      </c>
      <c r="D673" s="593"/>
      <c r="E673" s="593"/>
      <c r="F673" s="593"/>
      <c r="G673" s="593"/>
      <c r="H673" s="593"/>
      <c r="I673" s="593"/>
      <c r="J673" s="593"/>
      <c r="K673" s="593"/>
      <c r="L673" s="593"/>
      <c r="M673" s="593"/>
      <c r="N673" s="593"/>
      <c r="O673" s="593"/>
      <c r="P673" s="593"/>
      <c r="Q673" s="593"/>
      <c r="R673" s="593"/>
      <c r="S673" s="594"/>
    </row>
    <row r="674" spans="1:25">
      <c r="C674" s="595"/>
      <c r="D674" s="596"/>
      <c r="E674" s="596"/>
      <c r="F674" s="596"/>
      <c r="G674" s="596"/>
      <c r="H674" s="596"/>
      <c r="I674" s="596"/>
      <c r="J674" s="596"/>
      <c r="K674" s="596"/>
      <c r="L674" s="596"/>
      <c r="M674" s="596"/>
      <c r="N674" s="596"/>
      <c r="O674" s="596"/>
      <c r="P674" s="596"/>
      <c r="Q674" s="596"/>
      <c r="R674" s="596"/>
      <c r="S674" s="597"/>
    </row>
    <row r="675" spans="1:25">
      <c r="C675" s="598" t="s">
        <v>371</v>
      </c>
      <c r="D675" s="599"/>
      <c r="E675" s="599"/>
      <c r="F675" s="599"/>
      <c r="G675" s="599"/>
      <c r="H675" s="599"/>
      <c r="I675" s="599"/>
      <c r="J675" s="599"/>
      <c r="K675" s="599"/>
      <c r="L675" s="599"/>
      <c r="M675" s="599"/>
      <c r="N675" s="599"/>
      <c r="O675" s="599"/>
      <c r="P675" s="599"/>
      <c r="Q675" s="599"/>
      <c r="R675" s="599"/>
      <c r="S675" s="600"/>
    </row>
    <row r="676" spans="1:25">
      <c r="C676" s="586" t="s">
        <v>372</v>
      </c>
      <c r="D676" s="587"/>
      <c r="E676" s="601" t="s">
        <v>373</v>
      </c>
      <c r="F676" s="601"/>
      <c r="G676" s="601"/>
      <c r="H676" s="601"/>
      <c r="I676" s="601"/>
      <c r="J676" s="601"/>
      <c r="K676" s="601"/>
      <c r="L676" s="601"/>
      <c r="M676" s="601"/>
      <c r="N676" s="601"/>
      <c r="O676" s="601"/>
      <c r="P676" s="601"/>
      <c r="Q676" s="601"/>
      <c r="R676" s="601"/>
      <c r="S676" s="602"/>
    </row>
    <row r="677" spans="1:25">
      <c r="C677" s="586" t="s">
        <v>374</v>
      </c>
      <c r="D677" s="587"/>
      <c r="E677" s="603" t="s">
        <v>375</v>
      </c>
      <c r="F677" s="604"/>
      <c r="G677" s="604"/>
      <c r="H677" s="604"/>
      <c r="I677" s="604"/>
      <c r="J677" s="604"/>
      <c r="K677" s="604"/>
      <c r="L677" s="604"/>
      <c r="M677" s="604"/>
      <c r="N677" s="604"/>
      <c r="O677" s="604"/>
      <c r="P677" s="604"/>
      <c r="Q677" s="604"/>
      <c r="R677" s="604"/>
      <c r="S677" s="605"/>
    </row>
    <row r="678" spans="1:25">
      <c r="C678" s="586" t="s">
        <v>376</v>
      </c>
      <c r="D678" s="587"/>
      <c r="E678" s="390">
        <f>+[42]DATOS!F$5</f>
        <v>46143</v>
      </c>
      <c r="F678" s="391"/>
      <c r="G678" s="391"/>
      <c r="H678" s="391"/>
      <c r="I678" s="391"/>
      <c r="J678" s="391"/>
      <c r="K678" s="568" t="s">
        <v>377</v>
      </c>
      <c r="L678" s="568"/>
      <c r="M678" s="588" t="s">
        <v>378</v>
      </c>
      <c r="N678" s="588"/>
      <c r="O678" s="588"/>
      <c r="P678" s="588"/>
      <c r="Q678" s="588"/>
      <c r="R678" s="588"/>
      <c r="S678" s="589"/>
    </row>
    <row r="679" spans="1:25" ht="25.5">
      <c r="C679" s="586" t="s">
        <v>379</v>
      </c>
      <c r="D679" s="587"/>
      <c r="E679" s="590" t="s">
        <v>380</v>
      </c>
      <c r="F679" s="591"/>
      <c r="G679" s="392">
        <f>+[42]DATOS!E$5</f>
        <v>2026</v>
      </c>
      <c r="H679" s="393" t="s">
        <v>381</v>
      </c>
      <c r="I679" s="394">
        <f>+[42]DATOS!E$5</f>
        <v>2026</v>
      </c>
      <c r="J679" s="395"/>
      <c r="K679" s="568" t="s">
        <v>382</v>
      </c>
      <c r="L679" s="568"/>
      <c r="M679" s="588" t="s">
        <v>383</v>
      </c>
      <c r="N679" s="588"/>
      <c r="O679" s="588"/>
      <c r="P679" s="588"/>
      <c r="Q679" s="588"/>
      <c r="R679" s="588"/>
      <c r="S679" s="589"/>
    </row>
    <row r="680" spans="1:25">
      <c r="C680" s="396"/>
      <c r="D680" s="397"/>
      <c r="E680" s="397"/>
      <c r="F680" s="398"/>
      <c r="G680" s="398"/>
      <c r="H680" s="398"/>
      <c r="I680" s="398"/>
      <c r="J680" s="398"/>
      <c r="K680" s="398"/>
      <c r="L680" s="398"/>
      <c r="M680" s="398"/>
      <c r="N680" s="398"/>
      <c r="O680" s="398"/>
      <c r="P680" s="398"/>
      <c r="Q680" s="398"/>
      <c r="R680" s="398"/>
      <c r="S680" s="399"/>
    </row>
    <row r="681" spans="1:25">
      <c r="C681" s="572" t="s">
        <v>384</v>
      </c>
      <c r="D681" s="573"/>
      <c r="E681" s="573"/>
      <c r="F681" s="573"/>
      <c r="G681" s="573"/>
      <c r="H681" s="573"/>
      <c r="I681" s="573"/>
      <c r="J681" s="573"/>
      <c r="K681" s="573"/>
      <c r="L681" s="573"/>
      <c r="M681" s="573"/>
      <c r="N681" s="573"/>
      <c r="O681" s="573"/>
      <c r="P681" s="573"/>
      <c r="Q681" s="573"/>
      <c r="R681" s="573"/>
      <c r="S681" s="574"/>
    </row>
    <row r="682" spans="1:25">
      <c r="C682" s="396"/>
      <c r="D682" s="397"/>
      <c r="E682" s="397"/>
      <c r="F682" s="398"/>
      <c r="G682" s="398"/>
      <c r="H682" s="398"/>
      <c r="I682" s="398"/>
      <c r="J682" s="398"/>
      <c r="K682" s="398"/>
      <c r="L682" s="398"/>
      <c r="M682" s="398"/>
      <c r="N682" s="398"/>
      <c r="O682" s="398"/>
      <c r="P682" s="398"/>
      <c r="Q682" s="398"/>
      <c r="R682" s="398"/>
      <c r="S682" s="399"/>
    </row>
    <row r="683" spans="1:25">
      <c r="C683" s="400" t="s">
        <v>385</v>
      </c>
      <c r="D683" s="575" t="s">
        <v>386</v>
      </c>
      <c r="E683" s="575"/>
      <c r="F683" s="576" t="s">
        <v>387</v>
      </c>
      <c r="G683" s="577"/>
      <c r="H683" s="577"/>
      <c r="I683" s="576" t="s">
        <v>388</v>
      </c>
      <c r="J683" s="576" t="s">
        <v>389</v>
      </c>
      <c r="K683" s="579"/>
      <c r="L683" s="581" t="s">
        <v>390</v>
      </c>
      <c r="M683" s="581"/>
      <c r="N683" s="581"/>
      <c r="O683" s="581"/>
      <c r="P683" s="581"/>
      <c r="Q683" s="581"/>
      <c r="R683" s="581" t="s">
        <v>391</v>
      </c>
      <c r="S683" s="582"/>
    </row>
    <row r="684" spans="1:25" ht="38.25">
      <c r="C684" s="403">
        <f>+'PRESUPUESTO OFICIAL '!C73</f>
        <v>6.05</v>
      </c>
      <c r="D684" s="583" t="str">
        <f>+VLOOKUP(C684,'PRESUPUESTO OFICIAL '!$C$11:$H$103,2)</f>
        <v>SUMINISTRO E INSTALACIÓN DE PINTURA KORAZA O SIMILAR PARA FACHADAS TRES MANOS (EXTERIORES)</v>
      </c>
      <c r="E684" s="584"/>
      <c r="F684" s="585" t="str">
        <f>+VLOOKUP(C684,'PRESUPUESTO OFICIAL '!$C$11:$H$103,3)</f>
        <v>M2</v>
      </c>
      <c r="G684" s="585"/>
      <c r="H684" s="585"/>
      <c r="I684" s="578"/>
      <c r="J684" s="578"/>
      <c r="K684" s="580"/>
      <c r="L684" s="401" t="s">
        <v>392</v>
      </c>
      <c r="M684" s="401" t="s">
        <v>393</v>
      </c>
      <c r="N684" s="401" t="s">
        <v>394</v>
      </c>
      <c r="O684" s="401" t="s">
        <v>395</v>
      </c>
      <c r="P684" s="401" t="s">
        <v>396</v>
      </c>
      <c r="Q684" s="401" t="s">
        <v>397</v>
      </c>
      <c r="R684" s="401" t="s">
        <v>398</v>
      </c>
      <c r="S684" s="402" t="s">
        <v>399</v>
      </c>
      <c r="U684" s="404">
        <f>+C684</f>
        <v>6.05</v>
      </c>
      <c r="V684" s="405">
        <f>+S732</f>
        <v>477.77</v>
      </c>
    </row>
    <row r="685" spans="1:25">
      <c r="C685" s="406"/>
      <c r="D685" s="407"/>
      <c r="E685" s="407"/>
      <c r="F685" s="407"/>
      <c r="G685" s="407"/>
      <c r="H685" s="407"/>
      <c r="I685" s="558"/>
      <c r="J685" s="559"/>
      <c r="K685" s="560"/>
      <c r="L685" s="560"/>
      <c r="M685" s="560"/>
      <c r="N685" s="560"/>
      <c r="O685" s="560"/>
      <c r="P685" s="560"/>
      <c r="Q685" s="560"/>
      <c r="R685" s="560"/>
      <c r="S685" s="561"/>
    </row>
    <row r="686" spans="1:25" ht="25.5">
      <c r="A686" s="383">
        <v>1</v>
      </c>
      <c r="C686" s="406"/>
      <c r="D686" s="407"/>
      <c r="E686" s="407"/>
      <c r="F686" s="407"/>
      <c r="G686" s="407"/>
      <c r="H686" s="407"/>
      <c r="I686" s="408" t="s">
        <v>400</v>
      </c>
      <c r="J686" s="409" t="str">
        <f t="shared" ref="J686:J728" si="138">+VLOOKUP(K686,$AH$22:$AJ$58,2,)</f>
        <v>A=(Ancho x Largo)* Cant</v>
      </c>
      <c r="K686" s="410" t="str">
        <f>+F684</f>
        <v>M2</v>
      </c>
      <c r="L686" s="411"/>
      <c r="M686" s="459"/>
      <c r="N686" s="457"/>
      <c r="O686" s="457"/>
      <c r="P686" s="460"/>
      <c r="Q686" s="460"/>
      <c r="R686" s="460"/>
      <c r="S686" s="414">
        <f>+HLOOKUP(A686,[238]Hoja1!$2:$78,58,FALSE)</f>
        <v>0</v>
      </c>
      <c r="X686" s="458">
        <f>+N686*O686</f>
        <v>0</v>
      </c>
      <c r="Y686" s="471">
        <f t="shared" ref="Y686" si="139">+X686-Q686</f>
        <v>0</v>
      </c>
    </row>
    <row r="687" spans="1:25" ht="25.5">
      <c r="A687" s="383">
        <v>2</v>
      </c>
      <c r="C687" s="406"/>
      <c r="D687" s="407"/>
      <c r="E687" s="407"/>
      <c r="F687" s="407"/>
      <c r="G687" s="407"/>
      <c r="H687" s="407"/>
      <c r="I687" s="408" t="s">
        <v>401</v>
      </c>
      <c r="J687" s="409" t="str">
        <f t="shared" si="138"/>
        <v>A=(Ancho x Largo)* Cant</v>
      </c>
      <c r="K687" s="410" t="str">
        <f>+K686</f>
        <v>M2</v>
      </c>
      <c r="L687" s="411">
        <f>+O687*P687</f>
        <v>22.644600000000001</v>
      </c>
      <c r="M687" s="459"/>
      <c r="N687" s="457"/>
      <c r="O687" s="457">
        <f>+S687/P687</f>
        <v>8.5451320754716971</v>
      </c>
      <c r="P687" s="462">
        <f>+P465</f>
        <v>2.6500000000000004</v>
      </c>
      <c r="Q687" s="460"/>
      <c r="R687" s="460">
        <v>1</v>
      </c>
      <c r="S687" s="414">
        <f>+HLOOKUP(A687,[238]Hoja1!$2:$78,58,FALSE)</f>
        <v>22.644600000000001</v>
      </c>
      <c r="X687" s="458">
        <f>+N687*O687</f>
        <v>0</v>
      </c>
      <c r="Y687" s="471">
        <f t="shared" ref="Y687:Y718" si="140">+X687-L687</f>
        <v>-22.644600000000001</v>
      </c>
    </row>
    <row r="688" spans="1:25" ht="25.5">
      <c r="A688" s="383">
        <v>3</v>
      </c>
      <c r="C688" s="406"/>
      <c r="D688" s="407"/>
      <c r="E688" s="407"/>
      <c r="F688" s="407"/>
      <c r="G688" s="407"/>
      <c r="H688" s="407"/>
      <c r="I688" s="408" t="s">
        <v>402</v>
      </c>
      <c r="J688" s="409" t="str">
        <f t="shared" si="138"/>
        <v>A=(Ancho x Largo)* Cant</v>
      </c>
      <c r="K688" s="410" t="str">
        <f>+K687</f>
        <v>M2</v>
      </c>
      <c r="L688" s="411">
        <f t="shared" ref="L688:L691" si="141">+O688*P688</f>
        <v>22.644600000000001</v>
      </c>
      <c r="M688" s="459"/>
      <c r="N688" s="457"/>
      <c r="O688" s="457">
        <f t="shared" ref="O688:O726" si="142">+S688/P688</f>
        <v>8.5451320754716971</v>
      </c>
      <c r="P688" s="462">
        <f t="shared" ref="P688:P726" si="143">+P466</f>
        <v>2.6500000000000004</v>
      </c>
      <c r="Q688" s="460"/>
      <c r="R688" s="460">
        <v>1</v>
      </c>
      <c r="S688" s="414">
        <f>+HLOOKUP(A688,[238]Hoja1!$2:$78,58,FALSE)</f>
        <v>22.644600000000001</v>
      </c>
      <c r="X688" s="458">
        <f t="shared" ref="X688:X691" si="144">+N688*O688</f>
        <v>0</v>
      </c>
      <c r="Y688" s="471">
        <f t="shared" si="140"/>
        <v>-22.644600000000001</v>
      </c>
    </row>
    <row r="689" spans="1:25" ht="25.5">
      <c r="A689" s="383">
        <v>4</v>
      </c>
      <c r="C689" s="406"/>
      <c r="D689" s="407"/>
      <c r="E689" s="407"/>
      <c r="F689" s="407"/>
      <c r="G689" s="407"/>
      <c r="H689" s="407"/>
      <c r="I689" s="408" t="s">
        <v>403</v>
      </c>
      <c r="J689" s="409" t="str">
        <f t="shared" si="138"/>
        <v>A=(Ancho x Largo)* Cant</v>
      </c>
      <c r="K689" s="410" t="str">
        <f>+K688</f>
        <v>M2</v>
      </c>
      <c r="L689" s="411">
        <f t="shared" si="141"/>
        <v>22.644600000000001</v>
      </c>
      <c r="M689" s="459"/>
      <c r="N689" s="457"/>
      <c r="O689" s="457">
        <f t="shared" si="142"/>
        <v>8.5451320754716971</v>
      </c>
      <c r="P689" s="462">
        <f t="shared" si="143"/>
        <v>2.6500000000000004</v>
      </c>
      <c r="Q689" s="460"/>
      <c r="R689" s="460">
        <v>1</v>
      </c>
      <c r="S689" s="414">
        <f>+HLOOKUP(A689,[238]Hoja1!$2:$78,58,FALSE)</f>
        <v>22.644600000000001</v>
      </c>
      <c r="X689" s="458">
        <f t="shared" si="144"/>
        <v>0</v>
      </c>
      <c r="Y689" s="471">
        <f t="shared" si="140"/>
        <v>-22.644600000000001</v>
      </c>
    </row>
    <row r="690" spans="1:25" ht="25.5">
      <c r="A690" s="383">
        <v>5</v>
      </c>
      <c r="C690" s="406"/>
      <c r="D690" s="407"/>
      <c r="E690" s="407"/>
      <c r="F690" s="407"/>
      <c r="G690" s="407"/>
      <c r="H690" s="407"/>
      <c r="I690" s="408" t="s">
        <v>405</v>
      </c>
      <c r="J690" s="409" t="str">
        <f t="shared" si="138"/>
        <v>A=(Ancho x Largo)* Cant</v>
      </c>
      <c r="K690" s="410" t="str">
        <f>+K689</f>
        <v>M2</v>
      </c>
      <c r="L690" s="411">
        <f t="shared" si="141"/>
        <v>22.644600000000001</v>
      </c>
      <c r="M690" s="459"/>
      <c r="N690" s="457"/>
      <c r="O690" s="457">
        <f t="shared" si="142"/>
        <v>8.5451320754716971</v>
      </c>
      <c r="P690" s="462">
        <f t="shared" si="143"/>
        <v>2.6500000000000004</v>
      </c>
      <c r="Q690" s="460"/>
      <c r="R690" s="460">
        <v>1</v>
      </c>
      <c r="S690" s="414">
        <f>+HLOOKUP(A690,[238]Hoja1!$2:$78,58,FALSE)</f>
        <v>22.644600000000001</v>
      </c>
      <c r="X690" s="458">
        <f t="shared" si="144"/>
        <v>0</v>
      </c>
      <c r="Y690" s="471">
        <f t="shared" si="140"/>
        <v>-22.644600000000001</v>
      </c>
    </row>
    <row r="691" spans="1:25" ht="25.5">
      <c r="A691" s="383">
        <v>6</v>
      </c>
      <c r="C691" s="406"/>
      <c r="D691" s="407"/>
      <c r="E691" s="407"/>
      <c r="F691" s="407"/>
      <c r="G691" s="407"/>
      <c r="H691" s="407"/>
      <c r="I691" s="408" t="s">
        <v>407</v>
      </c>
      <c r="J691" s="409" t="str">
        <f t="shared" si="138"/>
        <v>A=(Ancho x Largo)* Cant</v>
      </c>
      <c r="K691" s="410" t="str">
        <f>+K690</f>
        <v>M2</v>
      </c>
      <c r="L691" s="411">
        <f t="shared" si="141"/>
        <v>20.484000000000002</v>
      </c>
      <c r="M691" s="459"/>
      <c r="N691" s="457"/>
      <c r="O691" s="457">
        <f t="shared" si="142"/>
        <v>6.9437288135593223</v>
      </c>
      <c r="P691" s="462">
        <f t="shared" si="143"/>
        <v>2.95</v>
      </c>
      <c r="Q691" s="460"/>
      <c r="R691" s="460">
        <v>1</v>
      </c>
      <c r="S691" s="414">
        <f>+HLOOKUP(A691,[238]Hoja1!$2:$78,58,FALSE)</f>
        <v>20.484000000000002</v>
      </c>
      <c r="X691" s="458">
        <f t="shared" si="144"/>
        <v>0</v>
      </c>
      <c r="Y691" s="471">
        <f t="shared" si="140"/>
        <v>-20.484000000000002</v>
      </c>
    </row>
    <row r="692" spans="1:25" ht="25.5">
      <c r="A692" s="383">
        <v>7</v>
      </c>
      <c r="C692" s="406"/>
      <c r="D692" s="407"/>
      <c r="E692" s="407"/>
      <c r="F692" s="407"/>
      <c r="G692" s="407"/>
      <c r="H692" s="407"/>
      <c r="I692" s="408" t="s">
        <v>409</v>
      </c>
      <c r="J692" s="409" t="str">
        <f t="shared" si="138"/>
        <v>A=(Ancho x Largo)* Cant</v>
      </c>
      <c r="K692" s="410" t="str">
        <f>+K686</f>
        <v>M2</v>
      </c>
      <c r="L692" s="411"/>
      <c r="M692" s="459"/>
      <c r="N692" s="457"/>
      <c r="O692" s="457"/>
      <c r="P692" s="462"/>
      <c r="Q692" s="460"/>
      <c r="R692" s="460"/>
      <c r="S692" s="414">
        <f>+HLOOKUP(A692,[238]Hoja1!$2:$78,58,FALSE)</f>
        <v>0</v>
      </c>
      <c r="X692" s="458">
        <f>+N692*O692*P692*R692</f>
        <v>0</v>
      </c>
      <c r="Y692" s="471">
        <f t="shared" si="140"/>
        <v>0</v>
      </c>
    </row>
    <row r="693" spans="1:25" ht="25.5">
      <c r="A693" s="383">
        <v>8</v>
      </c>
      <c r="C693" s="406"/>
      <c r="D693" s="407"/>
      <c r="E693" s="407"/>
      <c r="F693" s="407"/>
      <c r="G693" s="407"/>
      <c r="H693" s="407"/>
      <c r="I693" s="408" t="s">
        <v>411</v>
      </c>
      <c r="J693" s="409" t="str">
        <f t="shared" si="138"/>
        <v>A=(Ancho x Largo)* Cant</v>
      </c>
      <c r="K693" s="410" t="str">
        <f>+K692</f>
        <v>M2</v>
      </c>
      <c r="L693" s="411">
        <f t="shared" ref="L693:L694" si="145">+O693*P693</f>
        <v>35.6</v>
      </c>
      <c r="M693" s="459"/>
      <c r="N693" s="457"/>
      <c r="O693" s="457">
        <f t="shared" si="142"/>
        <v>12.067796610169491</v>
      </c>
      <c r="P693" s="462">
        <f t="shared" si="143"/>
        <v>2.95</v>
      </c>
      <c r="Q693" s="460"/>
      <c r="R693" s="460">
        <v>1</v>
      </c>
      <c r="S693" s="414">
        <f>+HLOOKUP(A693,[238]Hoja1!$2:$78,58,FALSE)</f>
        <v>35.6</v>
      </c>
      <c r="X693" s="458">
        <f t="shared" ref="X693:X699" si="146">+N693*O693</f>
        <v>0</v>
      </c>
      <c r="Y693" s="471">
        <f t="shared" si="140"/>
        <v>-35.6</v>
      </c>
    </row>
    <row r="694" spans="1:25" ht="25.5">
      <c r="A694" s="383">
        <v>9</v>
      </c>
      <c r="C694" s="406"/>
      <c r="D694" s="407"/>
      <c r="E694" s="407"/>
      <c r="F694" s="407"/>
      <c r="G694" s="407"/>
      <c r="H694" s="407"/>
      <c r="I694" s="408" t="s">
        <v>412</v>
      </c>
      <c r="J694" s="409" t="str">
        <f t="shared" si="138"/>
        <v>A=(Ancho x Largo)* Cant</v>
      </c>
      <c r="K694" s="410" t="str">
        <f>+K693</f>
        <v>M2</v>
      </c>
      <c r="L694" s="411">
        <f t="shared" si="145"/>
        <v>22.644600000000001</v>
      </c>
      <c r="M694" s="459"/>
      <c r="N694" s="457"/>
      <c r="O694" s="457">
        <f t="shared" si="142"/>
        <v>8.5451320754716971</v>
      </c>
      <c r="P694" s="462">
        <f t="shared" si="143"/>
        <v>2.6500000000000004</v>
      </c>
      <c r="Q694" s="460"/>
      <c r="R694" s="460">
        <v>1</v>
      </c>
      <c r="S694" s="414">
        <f>+HLOOKUP(A694,[238]Hoja1!$2:$78,58,FALSE)</f>
        <v>22.644600000000001</v>
      </c>
      <c r="X694" s="458">
        <f t="shared" si="146"/>
        <v>0</v>
      </c>
      <c r="Y694" s="471">
        <f t="shared" si="140"/>
        <v>-22.644600000000001</v>
      </c>
    </row>
    <row r="695" spans="1:25" ht="25.5">
      <c r="A695" s="383">
        <v>10</v>
      </c>
      <c r="C695" s="406"/>
      <c r="D695" s="407"/>
      <c r="E695" s="407"/>
      <c r="F695" s="407"/>
      <c r="G695" s="407"/>
      <c r="H695" s="407"/>
      <c r="I695" s="408" t="s">
        <v>413</v>
      </c>
      <c r="J695" s="409" t="str">
        <f t="shared" si="138"/>
        <v>A=(Ancho x Largo)* Cant</v>
      </c>
      <c r="K695" s="410" t="str">
        <f>+K694</f>
        <v>M2</v>
      </c>
      <c r="L695" s="411"/>
      <c r="M695" s="459"/>
      <c r="N695" s="457"/>
      <c r="O695" s="457"/>
      <c r="P695" s="462"/>
      <c r="Q695" s="460"/>
      <c r="R695" s="460"/>
      <c r="S695" s="414">
        <f>+HLOOKUP(A695,[238]Hoja1!$2:$78,58,FALSE)</f>
        <v>0</v>
      </c>
      <c r="X695" s="458">
        <f t="shared" si="146"/>
        <v>0</v>
      </c>
      <c r="Y695" s="471">
        <f t="shared" si="140"/>
        <v>0</v>
      </c>
    </row>
    <row r="696" spans="1:25" ht="25.5">
      <c r="A696" s="383">
        <v>11</v>
      </c>
      <c r="C696" s="406"/>
      <c r="D696" s="407"/>
      <c r="E696" s="407"/>
      <c r="F696" s="407"/>
      <c r="G696" s="407"/>
      <c r="H696" s="407"/>
      <c r="I696" s="408" t="s">
        <v>414</v>
      </c>
      <c r="J696" s="409" t="str">
        <f t="shared" si="138"/>
        <v>A=(Ancho x Largo)* Cant</v>
      </c>
      <c r="K696" s="410" t="str">
        <f>+K695</f>
        <v>M2</v>
      </c>
      <c r="L696" s="411"/>
      <c r="M696" s="459"/>
      <c r="N696" s="457"/>
      <c r="O696" s="457"/>
      <c r="P696" s="495"/>
      <c r="Q696" s="460"/>
      <c r="R696" s="460"/>
      <c r="S696" s="414">
        <f>+HLOOKUP(A696,[238]Hoja1!$2:$78,58,FALSE)</f>
        <v>0</v>
      </c>
      <c r="X696" s="458">
        <f t="shared" si="146"/>
        <v>0</v>
      </c>
      <c r="Y696" s="471">
        <f t="shared" si="140"/>
        <v>0</v>
      </c>
    </row>
    <row r="697" spans="1:25" ht="25.5">
      <c r="A697" s="383">
        <v>12</v>
      </c>
      <c r="C697" s="406"/>
      <c r="D697" s="407"/>
      <c r="E697" s="407"/>
      <c r="F697" s="407"/>
      <c r="G697" s="407"/>
      <c r="H697" s="407"/>
      <c r="I697" s="408" t="s">
        <v>415</v>
      </c>
      <c r="J697" s="409" t="str">
        <f t="shared" si="138"/>
        <v>A=(Ancho x Largo)* Cant</v>
      </c>
      <c r="K697" s="410" t="str">
        <f>+K691</f>
        <v>M2</v>
      </c>
      <c r="L697" s="411"/>
      <c r="M697" s="459"/>
      <c r="N697" s="457"/>
      <c r="O697" s="457"/>
      <c r="P697" s="495"/>
      <c r="Q697" s="460"/>
      <c r="R697" s="460"/>
      <c r="S697" s="414">
        <f>+HLOOKUP(A697,[238]Hoja1!$2:$78,58,FALSE)</f>
        <v>0</v>
      </c>
      <c r="X697" s="458">
        <f t="shared" si="146"/>
        <v>0</v>
      </c>
      <c r="Y697" s="471">
        <f t="shared" si="140"/>
        <v>0</v>
      </c>
    </row>
    <row r="698" spans="1:25" ht="25.5">
      <c r="A698" s="383">
        <v>13</v>
      </c>
      <c r="C698" s="406"/>
      <c r="D698" s="407"/>
      <c r="E698" s="407"/>
      <c r="F698" s="407"/>
      <c r="G698" s="407"/>
      <c r="H698" s="407"/>
      <c r="I698" s="408" t="s">
        <v>416</v>
      </c>
      <c r="J698" s="409" t="str">
        <f t="shared" si="138"/>
        <v>A=(Ancho x Largo)* Cant</v>
      </c>
      <c r="K698" s="410" t="str">
        <f>+K693</f>
        <v>M2</v>
      </c>
      <c r="L698" s="411"/>
      <c r="M698" s="459"/>
      <c r="N698" s="457"/>
      <c r="O698" s="457"/>
      <c r="P698" s="495"/>
      <c r="Q698" s="460"/>
      <c r="R698" s="460"/>
      <c r="S698" s="414">
        <f>+HLOOKUP(A698,[238]Hoja1!$2:$78,58,FALSE)</f>
        <v>0</v>
      </c>
      <c r="X698" s="458">
        <f t="shared" si="146"/>
        <v>0</v>
      </c>
      <c r="Y698" s="471">
        <f t="shared" si="140"/>
        <v>0</v>
      </c>
    </row>
    <row r="699" spans="1:25" ht="25.5">
      <c r="A699" s="383">
        <v>14</v>
      </c>
      <c r="C699" s="406"/>
      <c r="D699" s="407"/>
      <c r="E699" s="407"/>
      <c r="F699" s="407"/>
      <c r="G699" s="407"/>
      <c r="H699" s="407"/>
      <c r="I699" s="408" t="s">
        <v>417</v>
      </c>
      <c r="J699" s="409" t="str">
        <f t="shared" si="138"/>
        <v>A=(Ancho x Largo)* Cant</v>
      </c>
      <c r="K699" s="410" t="str">
        <f t="shared" ref="K699:K710" si="147">+K698</f>
        <v>M2</v>
      </c>
      <c r="L699" s="411">
        <f t="shared" ref="L699:L701" si="148">+O699*P699</f>
        <v>22.644600000000001</v>
      </c>
      <c r="M699" s="459"/>
      <c r="N699" s="457"/>
      <c r="O699" s="457">
        <f t="shared" si="142"/>
        <v>8.5451320754716971</v>
      </c>
      <c r="P699" s="495">
        <f t="shared" si="143"/>
        <v>2.6500000000000004</v>
      </c>
      <c r="Q699" s="460"/>
      <c r="R699" s="460">
        <v>1</v>
      </c>
      <c r="S699" s="414">
        <f>+HLOOKUP(A699,[238]Hoja1!$2:$78,58,FALSE)</f>
        <v>22.644600000000001</v>
      </c>
      <c r="X699" s="458">
        <f t="shared" si="146"/>
        <v>0</v>
      </c>
      <c r="Y699" s="471">
        <f t="shared" si="140"/>
        <v>-22.644600000000001</v>
      </c>
    </row>
    <row r="700" spans="1:25" ht="25.5">
      <c r="A700" s="383">
        <v>15</v>
      </c>
      <c r="C700" s="406"/>
      <c r="D700" s="407"/>
      <c r="E700" s="407"/>
      <c r="F700" s="407"/>
      <c r="G700" s="407"/>
      <c r="H700" s="407"/>
      <c r="I700" s="408" t="s">
        <v>418</v>
      </c>
      <c r="J700" s="409" t="str">
        <f t="shared" si="138"/>
        <v>A=(Ancho x Largo)* Cant</v>
      </c>
      <c r="K700" s="410" t="str">
        <f t="shared" si="147"/>
        <v>M2</v>
      </c>
      <c r="L700" s="411"/>
      <c r="M700" s="459"/>
      <c r="N700" s="457"/>
      <c r="O700" s="457"/>
      <c r="P700" s="495"/>
      <c r="Q700" s="460"/>
      <c r="R700" s="460"/>
      <c r="S700" s="414">
        <f>+HLOOKUP(A700,[238]Hoja1!$2:$78,58,FALSE)</f>
        <v>0</v>
      </c>
      <c r="X700" s="458">
        <f>+N700*O700*P700</f>
        <v>0</v>
      </c>
      <c r="Y700" s="471">
        <f t="shared" si="140"/>
        <v>0</v>
      </c>
    </row>
    <row r="701" spans="1:25" ht="25.5">
      <c r="A701" s="383">
        <v>16</v>
      </c>
      <c r="C701" s="406"/>
      <c r="D701" s="407"/>
      <c r="E701" s="407"/>
      <c r="F701" s="407"/>
      <c r="G701" s="407"/>
      <c r="H701" s="407"/>
      <c r="I701" s="408" t="s">
        <v>419</v>
      </c>
      <c r="J701" s="409" t="str">
        <f t="shared" si="138"/>
        <v>A=(Ancho x Largo)* Cant</v>
      </c>
      <c r="K701" s="410" t="str">
        <f t="shared" si="147"/>
        <v>M2</v>
      </c>
      <c r="L701" s="411">
        <f t="shared" si="148"/>
        <v>42.174999999999997</v>
      </c>
      <c r="M701" s="459"/>
      <c r="N701" s="457"/>
      <c r="O701" s="457">
        <f t="shared" si="142"/>
        <v>13.179687499999998</v>
      </c>
      <c r="P701" s="495">
        <f t="shared" si="143"/>
        <v>3.2</v>
      </c>
      <c r="Q701" s="460"/>
      <c r="R701" s="460">
        <v>1</v>
      </c>
      <c r="S701" s="414">
        <f>+HLOOKUP(A701,[238]Hoja1!$2:$78,58,FALSE)</f>
        <v>42.174999999999997</v>
      </c>
      <c r="X701" s="458">
        <f>+N701*O701*P701</f>
        <v>0</v>
      </c>
      <c r="Y701" s="471">
        <f t="shared" si="140"/>
        <v>-42.174999999999997</v>
      </c>
    </row>
    <row r="702" spans="1:25" ht="25.5">
      <c r="A702" s="383">
        <v>17</v>
      </c>
      <c r="C702" s="406"/>
      <c r="D702" s="407"/>
      <c r="E702" s="407"/>
      <c r="F702" s="407"/>
      <c r="G702" s="407"/>
      <c r="H702" s="407"/>
      <c r="I702" s="408" t="s">
        <v>420</v>
      </c>
      <c r="J702" s="409" t="str">
        <f t="shared" si="138"/>
        <v>A=(Ancho x Largo)* Cant</v>
      </c>
      <c r="K702" s="410" t="str">
        <f t="shared" si="147"/>
        <v>M2</v>
      </c>
      <c r="L702" s="411"/>
      <c r="M702" s="459"/>
      <c r="N702" s="457"/>
      <c r="O702" s="457"/>
      <c r="P702" s="495"/>
      <c r="Q702" s="460"/>
      <c r="R702" s="460"/>
      <c r="S702" s="414">
        <f>+HLOOKUP(A702,[238]Hoja1!$2:$78,58,FALSE)</f>
        <v>0</v>
      </c>
      <c r="X702" s="458">
        <f t="shared" ref="X702:X718" si="149">+N702*O702*P702</f>
        <v>0</v>
      </c>
      <c r="Y702" s="471">
        <f t="shared" si="140"/>
        <v>0</v>
      </c>
    </row>
    <row r="703" spans="1:25" ht="25.5">
      <c r="A703" s="383">
        <v>18</v>
      </c>
      <c r="C703" s="406"/>
      <c r="D703" s="407"/>
      <c r="E703" s="407"/>
      <c r="F703" s="407"/>
      <c r="G703" s="407"/>
      <c r="H703" s="407"/>
      <c r="I703" s="408" t="s">
        <v>429</v>
      </c>
      <c r="J703" s="409" t="str">
        <f t="shared" si="138"/>
        <v>A=(Ancho x Largo)* Cant</v>
      </c>
      <c r="K703" s="410" t="str">
        <f t="shared" si="147"/>
        <v>M2</v>
      </c>
      <c r="L703" s="411">
        <f t="shared" ref="L703:L707" si="150">+O703*P703</f>
        <v>23.794000000000004</v>
      </c>
      <c r="M703" s="459"/>
      <c r="N703" s="457"/>
      <c r="O703" s="457">
        <f t="shared" si="142"/>
        <v>9.151538461538463</v>
      </c>
      <c r="P703" s="495">
        <f t="shared" si="143"/>
        <v>2.6</v>
      </c>
      <c r="Q703" s="460"/>
      <c r="R703" s="460">
        <v>1</v>
      </c>
      <c r="S703" s="414">
        <f>+HLOOKUP(A703,[238]Hoja1!$2:$78,58,FALSE)</f>
        <v>23.794000000000004</v>
      </c>
      <c r="X703" s="458">
        <f t="shared" si="149"/>
        <v>0</v>
      </c>
      <c r="Y703" s="471">
        <f t="shared" si="140"/>
        <v>-23.794000000000004</v>
      </c>
    </row>
    <row r="704" spans="1:25" ht="25.5">
      <c r="A704" s="383">
        <v>19</v>
      </c>
      <c r="C704" s="406"/>
      <c r="D704" s="407"/>
      <c r="E704" s="407"/>
      <c r="F704" s="407"/>
      <c r="G704" s="407"/>
      <c r="H704" s="407"/>
      <c r="I704" s="408" t="s">
        <v>430</v>
      </c>
      <c r="J704" s="409" t="str">
        <f t="shared" si="138"/>
        <v>A=(Ancho x Largo)* Cant</v>
      </c>
      <c r="K704" s="410" t="str">
        <f t="shared" si="147"/>
        <v>M2</v>
      </c>
      <c r="L704" s="411">
        <f t="shared" si="150"/>
        <v>22.644600000000001</v>
      </c>
      <c r="M704" s="459"/>
      <c r="N704" s="457"/>
      <c r="O704" s="457">
        <f t="shared" si="142"/>
        <v>8.5451320754716971</v>
      </c>
      <c r="P704" s="495">
        <f t="shared" si="143"/>
        <v>2.6500000000000004</v>
      </c>
      <c r="Q704" s="460"/>
      <c r="R704" s="460">
        <v>1</v>
      </c>
      <c r="S704" s="414">
        <f>+HLOOKUP(A704,[238]Hoja1!$2:$78,58,FALSE)</f>
        <v>22.644600000000001</v>
      </c>
      <c r="X704" s="458">
        <f t="shared" si="149"/>
        <v>0</v>
      </c>
      <c r="Y704" s="471">
        <f t="shared" si="140"/>
        <v>-22.644600000000001</v>
      </c>
    </row>
    <row r="705" spans="1:25" ht="25.5">
      <c r="A705" s="383">
        <v>20</v>
      </c>
      <c r="C705" s="406"/>
      <c r="D705" s="407"/>
      <c r="E705" s="407"/>
      <c r="F705" s="407"/>
      <c r="G705" s="407"/>
      <c r="H705" s="407"/>
      <c r="I705" s="408" t="s">
        <v>431</v>
      </c>
      <c r="J705" s="409" t="str">
        <f t="shared" si="138"/>
        <v>A=(Ancho x Largo)* Cant</v>
      </c>
      <c r="K705" s="410" t="str">
        <f t="shared" si="147"/>
        <v>M2</v>
      </c>
      <c r="L705" s="411">
        <f t="shared" si="150"/>
        <v>35.6</v>
      </c>
      <c r="M705" s="459"/>
      <c r="N705" s="457"/>
      <c r="O705" s="457">
        <f t="shared" si="142"/>
        <v>12.067796610169491</v>
      </c>
      <c r="P705" s="495">
        <f t="shared" si="143"/>
        <v>2.95</v>
      </c>
      <c r="Q705" s="460"/>
      <c r="R705" s="460">
        <v>1</v>
      </c>
      <c r="S705" s="414">
        <f>+HLOOKUP(A705,[238]Hoja1!$2:$78,58,FALSE)</f>
        <v>35.6</v>
      </c>
      <c r="X705" s="458">
        <f t="shared" si="149"/>
        <v>0</v>
      </c>
      <c r="Y705" s="471">
        <f t="shared" si="140"/>
        <v>-35.6</v>
      </c>
    </row>
    <row r="706" spans="1:25" ht="25.5">
      <c r="A706" s="383">
        <v>21</v>
      </c>
      <c r="C706" s="406"/>
      <c r="D706" s="407"/>
      <c r="E706" s="407"/>
      <c r="F706" s="407"/>
      <c r="G706" s="407"/>
      <c r="H706" s="407"/>
      <c r="I706" s="408" t="s">
        <v>432</v>
      </c>
      <c r="J706" s="409" t="str">
        <f t="shared" si="138"/>
        <v>A=(Ancho x Largo)* Cant</v>
      </c>
      <c r="K706" s="410" t="str">
        <f t="shared" si="147"/>
        <v>M2</v>
      </c>
      <c r="L706" s="411"/>
      <c r="M706" s="459"/>
      <c r="N706" s="457"/>
      <c r="O706" s="457"/>
      <c r="P706" s="495"/>
      <c r="Q706" s="460"/>
      <c r="R706" s="460"/>
      <c r="S706" s="414">
        <f>+HLOOKUP(A706,[238]Hoja1!$2:$78,58,FALSE)</f>
        <v>0</v>
      </c>
      <c r="X706" s="458">
        <f t="shared" si="149"/>
        <v>0</v>
      </c>
      <c r="Y706" s="471">
        <f t="shared" si="140"/>
        <v>0</v>
      </c>
    </row>
    <row r="707" spans="1:25" ht="25.5">
      <c r="A707" s="383">
        <v>22</v>
      </c>
      <c r="C707" s="406"/>
      <c r="D707" s="407"/>
      <c r="E707" s="407"/>
      <c r="F707" s="407"/>
      <c r="G707" s="407"/>
      <c r="H707" s="407"/>
      <c r="I707" s="408" t="s">
        <v>433</v>
      </c>
      <c r="J707" s="409" t="str">
        <f t="shared" si="138"/>
        <v>A=(Ancho x Largo)* Cant</v>
      </c>
      <c r="K707" s="410" t="str">
        <f t="shared" si="147"/>
        <v>M2</v>
      </c>
      <c r="L707" s="411">
        <f t="shared" si="150"/>
        <v>22.644600000000001</v>
      </c>
      <c r="M707" s="459"/>
      <c r="N707" s="457"/>
      <c r="O707" s="457">
        <f t="shared" si="142"/>
        <v>8.5451320754716971</v>
      </c>
      <c r="P707" s="495">
        <f t="shared" si="143"/>
        <v>2.6500000000000004</v>
      </c>
      <c r="Q707" s="460"/>
      <c r="R707" s="460">
        <v>1</v>
      </c>
      <c r="S707" s="414">
        <f>+HLOOKUP(A707,[238]Hoja1!$2:$78,58,FALSE)</f>
        <v>22.644600000000001</v>
      </c>
      <c r="X707" s="458">
        <f t="shared" si="149"/>
        <v>0</v>
      </c>
      <c r="Y707" s="471">
        <f t="shared" si="140"/>
        <v>-22.644600000000001</v>
      </c>
    </row>
    <row r="708" spans="1:25" ht="25.5">
      <c r="A708" s="383">
        <v>23</v>
      </c>
      <c r="C708" s="406"/>
      <c r="D708" s="407"/>
      <c r="E708" s="407"/>
      <c r="F708" s="407"/>
      <c r="G708" s="407"/>
      <c r="H708" s="407"/>
      <c r="I708" s="408" t="s">
        <v>434</v>
      </c>
      <c r="J708" s="409" t="str">
        <f t="shared" si="138"/>
        <v>A=(Ancho x Largo)* Cant</v>
      </c>
      <c r="K708" s="410" t="str">
        <f t="shared" si="147"/>
        <v>M2</v>
      </c>
      <c r="L708" s="411"/>
      <c r="M708" s="459"/>
      <c r="N708" s="457"/>
      <c r="O708" s="457"/>
      <c r="P708" s="495"/>
      <c r="Q708" s="460"/>
      <c r="R708" s="460"/>
      <c r="S708" s="414">
        <f>+HLOOKUP(A708,[238]Hoja1!$2:$78,58,FALSE)</f>
        <v>0</v>
      </c>
      <c r="X708" s="458">
        <f t="shared" si="149"/>
        <v>0</v>
      </c>
      <c r="Y708" s="471">
        <f t="shared" si="140"/>
        <v>0</v>
      </c>
    </row>
    <row r="709" spans="1:25" ht="25.5">
      <c r="A709" s="383">
        <v>24</v>
      </c>
      <c r="C709" s="406"/>
      <c r="D709" s="407"/>
      <c r="E709" s="407"/>
      <c r="F709" s="407"/>
      <c r="G709" s="407"/>
      <c r="H709" s="407"/>
      <c r="I709" s="408" t="s">
        <v>435</v>
      </c>
      <c r="J709" s="409" t="str">
        <f t="shared" si="138"/>
        <v>A=(Ancho x Largo)* Cant</v>
      </c>
      <c r="K709" s="410" t="str">
        <f t="shared" si="147"/>
        <v>M2</v>
      </c>
      <c r="L709" s="411"/>
      <c r="M709" s="459"/>
      <c r="N709" s="457"/>
      <c r="O709" s="457"/>
      <c r="P709" s="495"/>
      <c r="Q709" s="460"/>
      <c r="R709" s="460"/>
      <c r="S709" s="414">
        <f>+HLOOKUP(A709,[238]Hoja1!$2:$78,58,FALSE)</f>
        <v>0</v>
      </c>
      <c r="X709" s="458">
        <f t="shared" si="149"/>
        <v>0</v>
      </c>
      <c r="Y709" s="471">
        <f t="shared" si="140"/>
        <v>0</v>
      </c>
    </row>
    <row r="710" spans="1:25" ht="25.5">
      <c r="A710" s="383">
        <v>25</v>
      </c>
      <c r="C710" s="406"/>
      <c r="D710" s="407"/>
      <c r="E710" s="407"/>
      <c r="F710" s="407"/>
      <c r="G710" s="407"/>
      <c r="H710" s="407"/>
      <c r="I710" s="408" t="s">
        <v>436</v>
      </c>
      <c r="J710" s="409" t="str">
        <f t="shared" si="138"/>
        <v>A=(Ancho x Largo)* Cant</v>
      </c>
      <c r="K710" s="410" t="str">
        <f t="shared" si="147"/>
        <v>M2</v>
      </c>
      <c r="L710" s="411"/>
      <c r="M710" s="459"/>
      <c r="N710" s="457"/>
      <c r="O710" s="457"/>
      <c r="P710" s="495"/>
      <c r="Q710" s="460"/>
      <c r="R710" s="460"/>
      <c r="S710" s="414">
        <f>+HLOOKUP(A710,[238]Hoja1!$2:$78,58,FALSE)</f>
        <v>0</v>
      </c>
      <c r="X710" s="458">
        <f t="shared" si="149"/>
        <v>0</v>
      </c>
      <c r="Y710" s="471">
        <f t="shared" si="140"/>
        <v>0</v>
      </c>
    </row>
    <row r="711" spans="1:25" ht="25.5">
      <c r="A711" s="383">
        <v>26</v>
      </c>
      <c r="C711" s="406"/>
      <c r="D711" s="407"/>
      <c r="E711" s="407"/>
      <c r="F711" s="407"/>
      <c r="G711" s="407"/>
      <c r="H711" s="407"/>
      <c r="I711" s="408" t="s">
        <v>437</v>
      </c>
      <c r="J711" s="409" t="str">
        <f t="shared" si="138"/>
        <v>A=(Ancho x Largo)* Cant</v>
      </c>
      <c r="K711" s="410" t="str">
        <f>+K700</f>
        <v>M2</v>
      </c>
      <c r="L711" s="411"/>
      <c r="M711" s="459"/>
      <c r="N711" s="457"/>
      <c r="O711" s="457"/>
      <c r="P711" s="495"/>
      <c r="Q711" s="460"/>
      <c r="R711" s="460"/>
      <c r="S711" s="414">
        <f>+HLOOKUP(A711,[238]Hoja1!$2:$78,58,FALSE)</f>
        <v>0</v>
      </c>
      <c r="X711" s="458">
        <f t="shared" si="149"/>
        <v>0</v>
      </c>
      <c r="Y711" s="471">
        <f t="shared" si="140"/>
        <v>0</v>
      </c>
    </row>
    <row r="712" spans="1:25" ht="25.5">
      <c r="A712" s="383">
        <v>27</v>
      </c>
      <c r="C712" s="406"/>
      <c r="D712" s="407"/>
      <c r="E712" s="407"/>
      <c r="F712" s="407"/>
      <c r="G712" s="407"/>
      <c r="H712" s="407"/>
      <c r="I712" s="408" t="s">
        <v>438</v>
      </c>
      <c r="J712" s="409" t="str">
        <f t="shared" si="138"/>
        <v>A=(Ancho x Largo)* Cant</v>
      </c>
      <c r="K712" s="410" t="str">
        <f t="shared" ref="K712:K720" si="151">+K711</f>
        <v>M2</v>
      </c>
      <c r="L712" s="411">
        <f t="shared" ref="L712" si="152">+O712*P712</f>
        <v>22.644600000000001</v>
      </c>
      <c r="M712" s="459"/>
      <c r="N712" s="457"/>
      <c r="O712" s="457">
        <f t="shared" si="142"/>
        <v>8.5451320754716971</v>
      </c>
      <c r="P712" s="495">
        <f t="shared" si="143"/>
        <v>2.6500000000000004</v>
      </c>
      <c r="Q712" s="460"/>
      <c r="R712" s="460">
        <v>1</v>
      </c>
      <c r="S712" s="414">
        <f>+HLOOKUP(A712,[238]Hoja1!$2:$78,58,FALSE)</f>
        <v>22.644600000000001</v>
      </c>
      <c r="X712" s="458">
        <f t="shared" si="149"/>
        <v>0</v>
      </c>
      <c r="Y712" s="471">
        <f t="shared" si="140"/>
        <v>-22.644600000000001</v>
      </c>
    </row>
    <row r="713" spans="1:25" ht="25.5">
      <c r="A713" s="383">
        <v>28</v>
      </c>
      <c r="C713" s="406"/>
      <c r="D713" s="440"/>
      <c r="E713" s="407"/>
      <c r="F713" s="407"/>
      <c r="G713" s="407"/>
      <c r="H713" s="437"/>
      <c r="I713" s="408" t="s">
        <v>439</v>
      </c>
      <c r="J713" s="409" t="str">
        <f t="shared" si="138"/>
        <v>A=(Ancho x Largo)* Cant</v>
      </c>
      <c r="K713" s="410" t="str">
        <f t="shared" si="151"/>
        <v>M2</v>
      </c>
      <c r="L713" s="411"/>
      <c r="M713" s="459"/>
      <c r="N713" s="457"/>
      <c r="O713" s="457"/>
      <c r="P713" s="495"/>
      <c r="Q713" s="460"/>
      <c r="R713" s="460"/>
      <c r="S713" s="414">
        <f>+HLOOKUP(A713,[238]Hoja1!$2:$78,58,FALSE)</f>
        <v>0</v>
      </c>
      <c r="X713" s="458">
        <f t="shared" si="149"/>
        <v>0</v>
      </c>
      <c r="Y713" s="471">
        <f t="shared" si="140"/>
        <v>0</v>
      </c>
    </row>
    <row r="714" spans="1:25" ht="25.5">
      <c r="A714" s="383">
        <v>29</v>
      </c>
      <c r="C714" s="406"/>
      <c r="D714" s="407"/>
      <c r="E714" s="407"/>
      <c r="F714" s="407"/>
      <c r="G714" s="407"/>
      <c r="H714" s="407"/>
      <c r="I714" s="408" t="s">
        <v>440</v>
      </c>
      <c r="J714" s="409" t="str">
        <f t="shared" si="138"/>
        <v>A=(Ancho x Largo)* Cant</v>
      </c>
      <c r="K714" s="410" t="str">
        <f t="shared" si="151"/>
        <v>M2</v>
      </c>
      <c r="L714" s="411"/>
      <c r="M714" s="459"/>
      <c r="N714" s="457"/>
      <c r="O714" s="457"/>
      <c r="P714" s="495"/>
      <c r="Q714" s="460"/>
      <c r="R714" s="460"/>
      <c r="S714" s="414">
        <f>+HLOOKUP(A714,[238]Hoja1!$2:$78,58,FALSE)</f>
        <v>0</v>
      </c>
      <c r="X714" s="458">
        <f t="shared" si="149"/>
        <v>0</v>
      </c>
      <c r="Y714" s="471">
        <f t="shared" si="140"/>
        <v>0</v>
      </c>
    </row>
    <row r="715" spans="1:25" ht="25.5">
      <c r="A715" s="383">
        <v>30</v>
      </c>
      <c r="C715" s="406"/>
      <c r="D715" s="407"/>
      <c r="E715" s="407"/>
      <c r="F715" s="407"/>
      <c r="G715" s="407"/>
      <c r="H715" s="407"/>
      <c r="I715" s="408" t="s">
        <v>441</v>
      </c>
      <c r="J715" s="409" t="str">
        <f t="shared" si="138"/>
        <v>A=(Ancho x Largo)* Cant</v>
      </c>
      <c r="K715" s="410" t="str">
        <f t="shared" si="151"/>
        <v>M2</v>
      </c>
      <c r="L715" s="411">
        <f t="shared" ref="L715" si="153">+O715*P715</f>
        <v>35.6</v>
      </c>
      <c r="M715" s="459"/>
      <c r="N715" s="457"/>
      <c r="O715" s="457">
        <f t="shared" si="142"/>
        <v>12.067796610169491</v>
      </c>
      <c r="P715" s="495">
        <f t="shared" si="143"/>
        <v>2.95</v>
      </c>
      <c r="Q715" s="460"/>
      <c r="R715" s="460">
        <v>1</v>
      </c>
      <c r="S715" s="414">
        <f>+HLOOKUP(A715,[238]Hoja1!$2:$78,58,FALSE)</f>
        <v>35.6</v>
      </c>
      <c r="X715" s="458">
        <f t="shared" si="149"/>
        <v>0</v>
      </c>
      <c r="Y715" s="471">
        <f t="shared" si="140"/>
        <v>-35.6</v>
      </c>
    </row>
    <row r="716" spans="1:25" ht="25.5">
      <c r="A716" s="383">
        <v>31</v>
      </c>
      <c r="C716" s="406"/>
      <c r="D716" s="407"/>
      <c r="E716" s="407"/>
      <c r="F716" s="407"/>
      <c r="G716" s="407"/>
      <c r="H716" s="407"/>
      <c r="I716" s="408" t="s">
        <v>442</v>
      </c>
      <c r="J716" s="409" t="str">
        <f t="shared" si="138"/>
        <v>A=(Ancho x Largo)* Cant</v>
      </c>
      <c r="K716" s="410" t="str">
        <f t="shared" si="151"/>
        <v>M2</v>
      </c>
      <c r="L716" s="411"/>
      <c r="M716" s="459"/>
      <c r="N716" s="457"/>
      <c r="O716" s="457"/>
      <c r="P716" s="495"/>
      <c r="Q716" s="460"/>
      <c r="R716" s="460"/>
      <c r="S716" s="414">
        <f>+HLOOKUP(A716,[238]Hoja1!$2:$78,58,FALSE)</f>
        <v>0</v>
      </c>
      <c r="X716" s="458">
        <f t="shared" si="149"/>
        <v>0</v>
      </c>
      <c r="Y716" s="471">
        <f t="shared" si="140"/>
        <v>0</v>
      </c>
    </row>
    <row r="717" spans="1:25" ht="25.5">
      <c r="A717" s="383">
        <v>32</v>
      </c>
      <c r="C717" s="406"/>
      <c r="D717" s="407"/>
      <c r="E717" s="407"/>
      <c r="F717" s="407"/>
      <c r="G717" s="407"/>
      <c r="H717" s="407"/>
      <c r="I717" s="408" t="s">
        <v>443</v>
      </c>
      <c r="J717" s="409" t="str">
        <f t="shared" si="138"/>
        <v>A=(Ancho x Largo)* Cant</v>
      </c>
      <c r="K717" s="410" t="str">
        <f t="shared" si="151"/>
        <v>M2</v>
      </c>
      <c r="L717" s="411">
        <f t="shared" ref="L717" si="154">+O717*P717</f>
        <v>20.484000000000002</v>
      </c>
      <c r="M717" s="459"/>
      <c r="N717" s="457"/>
      <c r="O717" s="457">
        <f t="shared" si="142"/>
        <v>7.8784615384615391</v>
      </c>
      <c r="P717" s="495">
        <f t="shared" si="143"/>
        <v>2.6</v>
      </c>
      <c r="Q717" s="460"/>
      <c r="R717" s="460">
        <v>1</v>
      </c>
      <c r="S717" s="414">
        <f>+HLOOKUP(A717,[238]Hoja1!$2:$78,58,FALSE)</f>
        <v>20.484000000000002</v>
      </c>
      <c r="X717" s="458">
        <f t="shared" si="149"/>
        <v>0</v>
      </c>
      <c r="Y717" s="471">
        <f t="shared" si="140"/>
        <v>-20.484000000000002</v>
      </c>
    </row>
    <row r="718" spans="1:25" ht="25.5">
      <c r="A718" s="383">
        <v>33</v>
      </c>
      <c r="C718" s="406"/>
      <c r="D718" s="407"/>
      <c r="E718" s="407"/>
      <c r="F718" s="407"/>
      <c r="G718" s="407"/>
      <c r="H718" s="407"/>
      <c r="I718" s="408" t="s">
        <v>444</v>
      </c>
      <c r="J718" s="409" t="str">
        <f t="shared" si="138"/>
        <v>A=(Ancho x Largo)* Cant</v>
      </c>
      <c r="K718" s="410" t="str">
        <f t="shared" si="151"/>
        <v>M2</v>
      </c>
      <c r="L718" s="411"/>
      <c r="M718" s="459"/>
      <c r="N718" s="457"/>
      <c r="O718" s="457"/>
      <c r="P718" s="495"/>
      <c r="Q718" s="460"/>
      <c r="R718" s="460"/>
      <c r="S718" s="414">
        <f>+HLOOKUP(A718,[238]Hoja1!$2:$78,58,FALSE)</f>
        <v>0</v>
      </c>
      <c r="X718" s="458">
        <f t="shared" si="149"/>
        <v>0</v>
      </c>
      <c r="Y718" s="471">
        <f t="shared" si="140"/>
        <v>0</v>
      </c>
    </row>
    <row r="719" spans="1:25" ht="25.5">
      <c r="A719" s="383">
        <v>34</v>
      </c>
      <c r="C719" s="406"/>
      <c r="D719" s="407"/>
      <c r="E719" s="407"/>
      <c r="F719" s="407"/>
      <c r="G719" s="407"/>
      <c r="H719" s="407"/>
      <c r="I719" s="408" t="s">
        <v>445</v>
      </c>
      <c r="J719" s="409" t="str">
        <f t="shared" si="138"/>
        <v>A=(Ancho x Largo)* Cant</v>
      </c>
      <c r="K719" s="410" t="str">
        <f t="shared" si="151"/>
        <v>M2</v>
      </c>
      <c r="L719" s="411"/>
      <c r="M719" s="459"/>
      <c r="N719" s="457"/>
      <c r="O719" s="457"/>
      <c r="P719" s="495"/>
      <c r="Q719" s="460"/>
      <c r="R719" s="460"/>
      <c r="S719" s="414">
        <f>+HLOOKUP(A719,[238]Hoja1!$2:$78,58,FALSE)</f>
        <v>0</v>
      </c>
      <c r="X719" s="458">
        <f>+N719*O719</f>
        <v>0</v>
      </c>
      <c r="Y719" s="471">
        <f>+X719-L719</f>
        <v>0</v>
      </c>
    </row>
    <row r="720" spans="1:25" ht="25.5">
      <c r="A720" s="383">
        <v>35</v>
      </c>
      <c r="C720" s="406"/>
      <c r="D720" s="440"/>
      <c r="E720" s="407"/>
      <c r="F720" s="407"/>
      <c r="G720" s="407"/>
      <c r="H720" s="437"/>
      <c r="I720" s="408" t="s">
        <v>446</v>
      </c>
      <c r="J720" s="409" t="str">
        <f t="shared" si="138"/>
        <v>A=(Ancho x Largo)* Cant</v>
      </c>
      <c r="K720" s="410" t="str">
        <f t="shared" si="151"/>
        <v>M2</v>
      </c>
      <c r="L720" s="411"/>
      <c r="M720" s="459"/>
      <c r="N720" s="457"/>
      <c r="O720" s="457"/>
      <c r="P720" s="495"/>
      <c r="Q720" s="460"/>
      <c r="R720" s="460"/>
      <c r="S720" s="414">
        <f>+HLOOKUP(A720,[238]Hoja1!$2:$78,58,FALSE)</f>
        <v>0</v>
      </c>
      <c r="X720" s="458">
        <f>+N720*O720*P720</f>
        <v>0</v>
      </c>
      <c r="Y720" s="471">
        <f t="shared" ref="Y720:Y728" si="155">+X720-L720</f>
        <v>0</v>
      </c>
    </row>
    <row r="721" spans="1:25" ht="25.5">
      <c r="A721" s="383">
        <v>36</v>
      </c>
      <c r="C721" s="406"/>
      <c r="D721" s="407"/>
      <c r="E721" s="407"/>
      <c r="F721" s="407"/>
      <c r="G721" s="407"/>
      <c r="H721" s="407"/>
      <c r="I721" s="408" t="s">
        <v>447</v>
      </c>
      <c r="J721" s="409" t="str">
        <f t="shared" si="138"/>
        <v>A=(Ancho x Largo)* Cant</v>
      </c>
      <c r="K721" s="410" t="str">
        <f>+K710</f>
        <v>M2</v>
      </c>
      <c r="L721" s="411">
        <f t="shared" ref="L721" si="156">+O721*P721</f>
        <v>23.794000000000004</v>
      </c>
      <c r="M721" s="459"/>
      <c r="N721" s="457"/>
      <c r="O721" s="457">
        <f t="shared" si="142"/>
        <v>9.151538461538463</v>
      </c>
      <c r="P721" s="495">
        <f t="shared" si="143"/>
        <v>2.6</v>
      </c>
      <c r="Q721" s="460"/>
      <c r="R721" s="460">
        <v>1</v>
      </c>
      <c r="S721" s="414">
        <f>+HLOOKUP(A721,[238]Hoja1!$2:$78,58,FALSE)</f>
        <v>23.794000000000004</v>
      </c>
      <c r="X721" s="458">
        <f t="shared" ref="X721:X728" si="157">+N721*O721*P721</f>
        <v>0</v>
      </c>
      <c r="Y721" s="471">
        <f t="shared" si="155"/>
        <v>-23.794000000000004</v>
      </c>
    </row>
    <row r="722" spans="1:25" ht="25.5">
      <c r="A722" s="383">
        <v>37</v>
      </c>
      <c r="C722" s="406"/>
      <c r="D722" s="407"/>
      <c r="E722" s="407"/>
      <c r="F722" s="407"/>
      <c r="G722" s="407"/>
      <c r="H722" s="407"/>
      <c r="I722" s="408" t="s">
        <v>448</v>
      </c>
      <c r="J722" s="409" t="str">
        <f t="shared" si="138"/>
        <v>A=(Ancho x Largo)* Cant</v>
      </c>
      <c r="K722" s="410" t="str">
        <f t="shared" ref="K722:K728" si="158">+K721</f>
        <v>M2</v>
      </c>
      <c r="L722" s="411"/>
      <c r="M722" s="459"/>
      <c r="N722" s="457"/>
      <c r="O722" s="457"/>
      <c r="P722" s="495"/>
      <c r="Q722" s="460"/>
      <c r="R722" s="460"/>
      <c r="S722" s="414">
        <f>+HLOOKUP(A722,[238]Hoja1!$2:$78,58,FALSE)</f>
        <v>0</v>
      </c>
      <c r="X722" s="458">
        <f t="shared" si="157"/>
        <v>0</v>
      </c>
      <c r="Y722" s="471">
        <f t="shared" si="155"/>
        <v>0</v>
      </c>
    </row>
    <row r="723" spans="1:25" ht="25.5">
      <c r="A723" s="383">
        <v>38</v>
      </c>
      <c r="C723" s="406"/>
      <c r="D723" s="440"/>
      <c r="E723" s="407"/>
      <c r="F723" s="407"/>
      <c r="G723" s="407"/>
      <c r="H723" s="437"/>
      <c r="I723" s="408" t="s">
        <v>449</v>
      </c>
      <c r="J723" s="409" t="str">
        <f t="shared" si="138"/>
        <v>A=(Ancho x Largo)* Cant</v>
      </c>
      <c r="K723" s="410" t="str">
        <f t="shared" si="158"/>
        <v>M2</v>
      </c>
      <c r="L723" s="411"/>
      <c r="M723" s="459"/>
      <c r="N723" s="457"/>
      <c r="O723" s="457"/>
      <c r="P723" s="495"/>
      <c r="Q723" s="460"/>
      <c r="R723" s="460"/>
      <c r="S723" s="414">
        <f>+HLOOKUP(A723,[238]Hoja1!$2:$78,58,FALSE)</f>
        <v>0</v>
      </c>
      <c r="X723" s="458">
        <f t="shared" si="157"/>
        <v>0</v>
      </c>
      <c r="Y723" s="471">
        <f t="shared" si="155"/>
        <v>0</v>
      </c>
    </row>
    <row r="724" spans="1:25" ht="25.5">
      <c r="A724" s="383">
        <v>39</v>
      </c>
      <c r="C724" s="406"/>
      <c r="D724" s="407"/>
      <c r="E724" s="407"/>
      <c r="F724" s="407"/>
      <c r="G724" s="407"/>
      <c r="H724" s="407"/>
      <c r="I724" s="408" t="s">
        <v>450</v>
      </c>
      <c r="J724" s="409" t="str">
        <f t="shared" si="138"/>
        <v>A=(Ancho x Largo)* Cant</v>
      </c>
      <c r="K724" s="410" t="str">
        <f t="shared" si="158"/>
        <v>M2</v>
      </c>
      <c r="L724" s="411"/>
      <c r="M724" s="459"/>
      <c r="N724" s="457"/>
      <c r="O724" s="457"/>
      <c r="P724" s="495"/>
      <c r="Q724" s="460"/>
      <c r="R724" s="460"/>
      <c r="S724" s="414">
        <f>+HLOOKUP(A724,[238]Hoja1!$2:$78,58,FALSE)</f>
        <v>0</v>
      </c>
      <c r="X724" s="458">
        <f t="shared" si="157"/>
        <v>0</v>
      </c>
      <c r="Y724" s="471">
        <f t="shared" si="155"/>
        <v>0</v>
      </c>
    </row>
    <row r="725" spans="1:25" ht="25.5">
      <c r="A725" s="383">
        <v>40</v>
      </c>
      <c r="C725" s="406"/>
      <c r="D725" s="407"/>
      <c r="E725" s="407"/>
      <c r="F725" s="407"/>
      <c r="G725" s="407"/>
      <c r="H725" s="407"/>
      <c r="I725" s="408" t="s">
        <v>451</v>
      </c>
      <c r="J725" s="409" t="str">
        <f t="shared" si="138"/>
        <v>A=(Ancho x Largo)* Cant</v>
      </c>
      <c r="K725" s="410" t="str">
        <f t="shared" si="158"/>
        <v>M2</v>
      </c>
      <c r="L725" s="411">
        <f t="shared" ref="L725:L726" si="159">+O725*P725</f>
        <v>20.484000000000002</v>
      </c>
      <c r="M725" s="459"/>
      <c r="N725" s="457"/>
      <c r="O725" s="457">
        <f t="shared" si="142"/>
        <v>6.9437288135593223</v>
      </c>
      <c r="P725" s="495">
        <f t="shared" si="143"/>
        <v>2.95</v>
      </c>
      <c r="Q725" s="460"/>
      <c r="R725" s="460">
        <v>1</v>
      </c>
      <c r="S725" s="414">
        <f>+HLOOKUP(A725,[238]Hoja1!$2:$78,58,FALSE)</f>
        <v>20.484000000000002</v>
      </c>
      <c r="X725" s="458">
        <f t="shared" si="157"/>
        <v>0</v>
      </c>
      <c r="Y725" s="471">
        <f t="shared" si="155"/>
        <v>-20.484000000000002</v>
      </c>
    </row>
    <row r="726" spans="1:25" ht="25.5">
      <c r="A726" s="383">
        <v>41</v>
      </c>
      <c r="C726" s="406"/>
      <c r="D726" s="407"/>
      <c r="E726" s="407"/>
      <c r="F726" s="407"/>
      <c r="G726" s="407"/>
      <c r="H726" s="407"/>
      <c r="I726" s="408" t="s">
        <v>452</v>
      </c>
      <c r="J726" s="409" t="str">
        <f t="shared" si="138"/>
        <v>A=(Ancho x Largo)* Cant</v>
      </c>
      <c r="K726" s="410" t="str">
        <f t="shared" si="158"/>
        <v>M2</v>
      </c>
      <c r="L726" s="411">
        <f t="shared" si="159"/>
        <v>15.95</v>
      </c>
      <c r="M726" s="459"/>
      <c r="N726" s="457"/>
      <c r="O726" s="457">
        <f t="shared" si="142"/>
        <v>6.787234042553191</v>
      </c>
      <c r="P726" s="495">
        <f t="shared" si="143"/>
        <v>2.35</v>
      </c>
      <c r="Q726" s="460"/>
      <c r="R726" s="460">
        <v>1</v>
      </c>
      <c r="S726" s="414">
        <f>+HLOOKUP(A726,[238]Hoja1!$2:$78,58,FALSE)</f>
        <v>15.95</v>
      </c>
      <c r="X726" s="458">
        <f t="shared" si="157"/>
        <v>0</v>
      </c>
      <c r="Y726" s="471">
        <f t="shared" si="155"/>
        <v>-15.95</v>
      </c>
    </row>
    <row r="727" spans="1:25" ht="25.5">
      <c r="A727" s="383">
        <v>42</v>
      </c>
      <c r="C727" s="406"/>
      <c r="D727" s="407"/>
      <c r="E727" s="407"/>
      <c r="F727" s="407"/>
      <c r="G727" s="407"/>
      <c r="H727" s="407"/>
      <c r="I727" s="408" t="s">
        <v>453</v>
      </c>
      <c r="J727" s="409" t="str">
        <f t="shared" si="138"/>
        <v>A=(Ancho x Largo)* Cant</v>
      </c>
      <c r="K727" s="410" t="str">
        <f t="shared" si="158"/>
        <v>M2</v>
      </c>
      <c r="L727" s="411"/>
      <c r="M727" s="459"/>
      <c r="N727" s="457"/>
      <c r="O727" s="457"/>
      <c r="P727" s="495"/>
      <c r="Q727" s="460"/>
      <c r="R727" s="460"/>
      <c r="S727" s="414">
        <f>+HLOOKUP(A727,[238]Hoja1!$2:$78,58,FALSE)</f>
        <v>0</v>
      </c>
      <c r="X727" s="458">
        <f t="shared" si="157"/>
        <v>0</v>
      </c>
      <c r="Y727" s="471">
        <f t="shared" si="155"/>
        <v>0</v>
      </c>
    </row>
    <row r="728" spans="1:25" ht="26.25" thickBot="1">
      <c r="A728" s="383">
        <v>43</v>
      </c>
      <c r="C728" s="406"/>
      <c r="D728" s="407"/>
      <c r="E728" s="407"/>
      <c r="F728" s="407"/>
      <c r="G728" s="407"/>
      <c r="H728" s="407"/>
      <c r="I728" s="408" t="s">
        <v>454</v>
      </c>
      <c r="J728" s="409" t="str">
        <f t="shared" si="138"/>
        <v>A=(Ancho x Largo)* Cant</v>
      </c>
      <c r="K728" s="410" t="str">
        <f t="shared" si="158"/>
        <v>M2</v>
      </c>
      <c r="L728" s="411"/>
      <c r="M728" s="459"/>
      <c r="N728" s="457"/>
      <c r="O728" s="457"/>
      <c r="P728" s="462"/>
      <c r="Q728" s="460"/>
      <c r="R728" s="460"/>
      <c r="S728" s="414">
        <f>+HLOOKUP(A728,[238]Hoja1!$2:$78,58,FALSE)</f>
        <v>0</v>
      </c>
      <c r="X728" s="458">
        <f t="shared" si="157"/>
        <v>0</v>
      </c>
      <c r="Y728" s="471">
        <f t="shared" si="155"/>
        <v>0</v>
      </c>
    </row>
    <row r="729" spans="1:25">
      <c r="C729" s="384"/>
      <c r="D729" s="419"/>
      <c r="E729" s="420"/>
      <c r="F729" s="421"/>
      <c r="G729" s="421"/>
      <c r="H729" s="421"/>
      <c r="I729" s="421"/>
      <c r="J729" s="422"/>
      <c r="K729" s="421"/>
      <c r="L729" s="421"/>
      <c r="M729" s="421"/>
      <c r="N729" s="421"/>
      <c r="O729" s="421"/>
      <c r="P729" s="421"/>
      <c r="Q729" s="421"/>
      <c r="R729" s="422"/>
      <c r="S729" s="423"/>
    </row>
    <row r="730" spans="1:25">
      <c r="C730" s="396"/>
      <c r="D730" s="397"/>
      <c r="E730" s="424"/>
      <c r="F730" s="425"/>
      <c r="G730" s="425"/>
      <c r="H730" s="425"/>
      <c r="I730" s="425"/>
      <c r="J730" s="398"/>
      <c r="K730" s="425"/>
      <c r="L730" s="425"/>
      <c r="M730" s="397"/>
      <c r="N730" s="397"/>
      <c r="O730" s="562" t="s">
        <v>455</v>
      </c>
      <c r="P730" s="563"/>
      <c r="Q730" s="564"/>
      <c r="R730" s="426"/>
      <c r="S730" s="427">
        <f>ROUND(SUM(S686:S729),2)</f>
        <v>477.77</v>
      </c>
    </row>
    <row r="731" spans="1:25">
      <c r="C731" s="396"/>
      <c r="D731" s="397"/>
      <c r="E731" s="424"/>
      <c r="F731" s="425"/>
      <c r="G731" s="425"/>
      <c r="H731" s="425"/>
      <c r="I731" s="425"/>
      <c r="J731" s="398"/>
      <c r="K731" s="425"/>
      <c r="L731" s="425"/>
      <c r="M731" s="428"/>
      <c r="N731" s="428"/>
      <c r="O731" s="429"/>
      <c r="P731" s="425"/>
      <c r="Q731" s="425"/>
      <c r="R731" s="430"/>
      <c r="S731" s="431"/>
    </row>
    <row r="732" spans="1:25">
      <c r="C732" s="565" t="e">
        <v>#REF!</v>
      </c>
      <c r="D732" s="566"/>
      <c r="E732" s="566"/>
      <c r="F732" s="566"/>
      <c r="G732" s="566"/>
      <c r="H732" s="566"/>
      <c r="I732" s="566"/>
      <c r="J732" s="566"/>
      <c r="K732" s="566"/>
      <c r="L732" s="566"/>
      <c r="M732" s="566"/>
      <c r="N732" s="567"/>
      <c r="O732" s="568" t="s">
        <v>422</v>
      </c>
      <c r="P732" s="568"/>
      <c r="Q732" s="568"/>
      <c r="R732" s="426"/>
      <c r="S732" s="427">
        <f>S730</f>
        <v>477.77</v>
      </c>
    </row>
    <row r="733" spans="1:25">
      <c r="C733" s="396"/>
      <c r="D733" s="397"/>
      <c r="E733" s="424"/>
      <c r="F733" s="425"/>
      <c r="G733" s="425"/>
      <c r="H733" s="425"/>
      <c r="I733" s="425"/>
      <c r="J733" s="398"/>
      <c r="K733" s="425"/>
      <c r="L733" s="425"/>
      <c r="M733" s="428"/>
      <c r="N733" s="428"/>
      <c r="O733" s="429"/>
      <c r="P733" s="425"/>
      <c r="Q733" s="398"/>
      <c r="R733" s="398"/>
      <c r="S733" s="432"/>
    </row>
    <row r="734" spans="1:25">
      <c r="C734" s="396"/>
      <c r="D734" s="397"/>
      <c r="E734" s="424"/>
      <c r="F734" s="425"/>
      <c r="G734" s="425"/>
      <c r="H734" s="425"/>
      <c r="I734" s="425"/>
      <c r="J734" s="398"/>
      <c r="K734" s="425"/>
      <c r="L734" s="425"/>
      <c r="M734" s="428"/>
      <c r="N734" s="428"/>
      <c r="O734" s="429"/>
      <c r="P734" s="425"/>
      <c r="Q734" s="398"/>
      <c r="R734" s="398"/>
      <c r="S734" s="432"/>
    </row>
    <row r="735" spans="1:25">
      <c r="C735" s="569" t="s">
        <v>423</v>
      </c>
      <c r="D735" s="570"/>
      <c r="E735" s="570"/>
      <c r="F735" s="570"/>
      <c r="G735" s="570"/>
      <c r="H735" s="570"/>
      <c r="I735" s="570"/>
      <c r="J735" s="571"/>
      <c r="K735" s="433" t="s">
        <v>424</v>
      </c>
      <c r="L735" s="434"/>
      <c r="M735" s="434"/>
      <c r="N735" s="434"/>
      <c r="O735" s="434"/>
      <c r="P735" s="434"/>
      <c r="Q735" s="434"/>
      <c r="R735" s="434"/>
      <c r="S735" s="435"/>
    </row>
    <row r="736" spans="1:25">
      <c r="C736" s="542"/>
      <c r="D736" s="543"/>
      <c r="E736" s="543"/>
      <c r="F736" s="543"/>
      <c r="G736" s="436"/>
      <c r="H736" s="436"/>
      <c r="I736" s="436"/>
      <c r="J736" s="447"/>
      <c r="K736" s="436"/>
      <c r="L736" s="407"/>
      <c r="M736" s="407"/>
      <c r="N736" s="407"/>
      <c r="O736" s="407"/>
      <c r="P736" s="407"/>
      <c r="Q736" s="407"/>
      <c r="R736" s="407"/>
      <c r="S736" s="437"/>
    </row>
    <row r="737" spans="3:19">
      <c r="C737" s="542"/>
      <c r="D737" s="543"/>
      <c r="E737" s="543"/>
      <c r="F737" s="543"/>
      <c r="G737" s="436"/>
      <c r="H737" s="436"/>
      <c r="I737" s="436"/>
      <c r="J737" s="447"/>
      <c r="K737" s="436"/>
      <c r="L737" s="407"/>
      <c r="M737" s="407"/>
      <c r="N737" s="407"/>
      <c r="O737" s="407"/>
      <c r="P737" s="407"/>
      <c r="Q737" s="407"/>
      <c r="R737" s="407"/>
      <c r="S737" s="437"/>
    </row>
    <row r="738" spans="3:19">
      <c r="C738" s="542" t="s">
        <v>425</v>
      </c>
      <c r="D738" s="543"/>
      <c r="E738" s="543" t="s">
        <v>425</v>
      </c>
      <c r="F738" s="543"/>
      <c r="G738" s="543" t="s">
        <v>425</v>
      </c>
      <c r="H738" s="543"/>
      <c r="I738" s="543" t="s">
        <v>425</v>
      </c>
      <c r="J738" s="544"/>
      <c r="K738" s="545" t="s">
        <v>426</v>
      </c>
      <c r="L738" s="546"/>
      <c r="M738" s="546"/>
      <c r="N738" s="546"/>
      <c r="O738" s="546"/>
      <c r="P738" s="546"/>
      <c r="Q738" s="546"/>
      <c r="R738" s="546"/>
      <c r="S738" s="547"/>
    </row>
    <row r="739" spans="3:19">
      <c r="C739" s="548" t="str">
        <f>+[42]DATOS!D$8</f>
        <v>HELMER EDUARDO BECERRA SANTANDER</v>
      </c>
      <c r="D739" s="549"/>
      <c r="E739" s="549" t="s">
        <v>427</v>
      </c>
      <c r="F739" s="549"/>
      <c r="G739" s="549" t="s">
        <v>427</v>
      </c>
      <c r="H739" s="549"/>
      <c r="I739" s="549" t="s">
        <v>427</v>
      </c>
      <c r="J739" s="550"/>
      <c r="K739" s="551" t="str">
        <f>+[42]DATOS!D$11</f>
        <v>JESUS IVAN QUIÑONES RUEDA</v>
      </c>
      <c r="L739" s="549"/>
      <c r="M739" s="549"/>
      <c r="N739" s="549"/>
      <c r="O739" s="549"/>
      <c r="P739" s="549"/>
      <c r="Q739" s="549"/>
      <c r="R739" s="549"/>
      <c r="S739" s="552"/>
    </row>
    <row r="740" spans="3:19">
      <c r="C740" s="553" t="str">
        <f>+$C$72</f>
        <v>APOYO SEC. DE PLANEACION Y OBRAS PÚBLICAS</v>
      </c>
      <c r="D740" s="554"/>
      <c r="E740" s="554" t="s">
        <v>428</v>
      </c>
      <c r="F740" s="554"/>
      <c r="G740" s="554" t="s">
        <v>428</v>
      </c>
      <c r="H740" s="554"/>
      <c r="I740" s="554" t="s">
        <v>428</v>
      </c>
      <c r="J740" s="555"/>
      <c r="K740" s="556" t="str">
        <f>+$K$72</f>
        <v>SECRETARIO DE PLANEACION Y OBRAS PÚBLICAS</v>
      </c>
      <c r="L740" s="554"/>
      <c r="M740" s="554"/>
      <c r="N740" s="554"/>
      <c r="O740" s="554"/>
      <c r="P740" s="554"/>
      <c r="Q740" s="554"/>
      <c r="R740" s="554"/>
      <c r="S740" s="557"/>
    </row>
    <row r="741" spans="3:19">
      <c r="C741" s="406"/>
      <c r="D741" s="407"/>
      <c r="E741" s="407"/>
      <c r="F741" s="407"/>
      <c r="G741" s="407"/>
      <c r="H741" s="407"/>
      <c r="I741" s="407"/>
      <c r="J741" s="407"/>
      <c r="K741" s="407"/>
      <c r="L741" s="407"/>
      <c r="M741" s="407"/>
      <c r="N741" s="407"/>
      <c r="O741" s="407"/>
      <c r="P741" s="407"/>
      <c r="Q741" s="407"/>
      <c r="R741" s="407"/>
      <c r="S741" s="437"/>
    </row>
    <row r="742" spans="3:19" ht="111" customHeight="1" thickBot="1">
      <c r="C742" s="417"/>
      <c r="D742" s="418"/>
      <c r="E742" s="418"/>
      <c r="F742" s="418"/>
      <c r="G742" s="418"/>
      <c r="H742" s="418"/>
      <c r="I742" s="418"/>
      <c r="J742" s="418"/>
      <c r="K742" s="418"/>
      <c r="L742" s="418"/>
      <c r="M742" s="418"/>
      <c r="N742" s="418"/>
      <c r="O742" s="418"/>
      <c r="P742" s="418"/>
      <c r="Q742" s="418"/>
      <c r="R742" s="418"/>
      <c r="S742" s="438"/>
    </row>
    <row r="743" spans="3:19" ht="22.5" customHeight="1"/>
    <row r="744" spans="3:19" ht="13.5" thickBot="1"/>
    <row r="745" spans="3:19">
      <c r="C745" s="384"/>
      <c r="D745" s="385"/>
      <c r="E745" s="385"/>
      <c r="F745" s="385"/>
      <c r="G745" s="385"/>
      <c r="H745" s="385"/>
      <c r="I745" s="385"/>
      <c r="J745" s="445"/>
      <c r="K745" s="385"/>
      <c r="L745" s="385"/>
      <c r="M745" s="385"/>
      <c r="N745" s="385"/>
      <c r="O745" s="385"/>
      <c r="P745" s="385"/>
      <c r="Q745" s="385"/>
      <c r="R745" s="385"/>
      <c r="S745" s="386"/>
    </row>
    <row r="746" spans="3:19" ht="121.5" customHeight="1" thickBot="1">
      <c r="C746" s="387"/>
      <c r="D746" s="388"/>
      <c r="E746" s="388"/>
      <c r="F746" s="388"/>
      <c r="G746" s="388"/>
      <c r="H746" s="388"/>
      <c r="I746" s="388"/>
      <c r="J746" s="446"/>
      <c r="K746" s="388"/>
      <c r="L746" s="388"/>
      <c r="M746" s="388"/>
      <c r="N746" s="388"/>
      <c r="O746" s="388"/>
      <c r="P746" s="388"/>
      <c r="Q746" s="388"/>
      <c r="R746" s="388"/>
      <c r="S746" s="389"/>
    </row>
    <row r="747" spans="3:19">
      <c r="C747" s="592" t="str">
        <f>+[42]DATOS!C$7</f>
        <v>MEJORAMIENTO DE VIVIENDA CON ENFOQUE DIFERENCIAL PARA POBLACIÓN VULNERABLE EN EL MUNICIPIO DE CUBARÁ, BOYACÁ (2026).</v>
      </c>
      <c r="D747" s="593"/>
      <c r="E747" s="593"/>
      <c r="F747" s="593"/>
      <c r="G747" s="593"/>
      <c r="H747" s="593"/>
      <c r="I747" s="593"/>
      <c r="J747" s="593"/>
      <c r="K747" s="593"/>
      <c r="L747" s="593"/>
      <c r="M747" s="593"/>
      <c r="N747" s="593"/>
      <c r="O747" s="593"/>
      <c r="P747" s="593"/>
      <c r="Q747" s="593"/>
      <c r="R747" s="593"/>
      <c r="S747" s="594"/>
    </row>
    <row r="748" spans="3:19">
      <c r="C748" s="595"/>
      <c r="D748" s="596"/>
      <c r="E748" s="596"/>
      <c r="F748" s="596"/>
      <c r="G748" s="596"/>
      <c r="H748" s="596"/>
      <c r="I748" s="596"/>
      <c r="J748" s="596"/>
      <c r="K748" s="596"/>
      <c r="L748" s="596"/>
      <c r="M748" s="596"/>
      <c r="N748" s="596"/>
      <c r="O748" s="596"/>
      <c r="P748" s="596"/>
      <c r="Q748" s="596"/>
      <c r="R748" s="596"/>
      <c r="S748" s="597"/>
    </row>
    <row r="749" spans="3:19">
      <c r="C749" s="598" t="s">
        <v>371</v>
      </c>
      <c r="D749" s="599"/>
      <c r="E749" s="599"/>
      <c r="F749" s="599"/>
      <c r="G749" s="599"/>
      <c r="H749" s="599"/>
      <c r="I749" s="599"/>
      <c r="J749" s="599"/>
      <c r="K749" s="599"/>
      <c r="L749" s="599"/>
      <c r="M749" s="599"/>
      <c r="N749" s="599"/>
      <c r="O749" s="599"/>
      <c r="P749" s="599"/>
      <c r="Q749" s="599"/>
      <c r="R749" s="599"/>
      <c r="S749" s="600"/>
    </row>
    <row r="750" spans="3:19">
      <c r="C750" s="586" t="s">
        <v>372</v>
      </c>
      <c r="D750" s="587"/>
      <c r="E750" s="601" t="s">
        <v>373</v>
      </c>
      <c r="F750" s="601"/>
      <c r="G750" s="601"/>
      <c r="H750" s="601"/>
      <c r="I750" s="601"/>
      <c r="J750" s="601"/>
      <c r="K750" s="601"/>
      <c r="L750" s="601"/>
      <c r="M750" s="601"/>
      <c r="N750" s="601"/>
      <c r="O750" s="601"/>
      <c r="P750" s="601"/>
      <c r="Q750" s="601"/>
      <c r="R750" s="601"/>
      <c r="S750" s="602"/>
    </row>
    <row r="751" spans="3:19">
      <c r="C751" s="586" t="s">
        <v>374</v>
      </c>
      <c r="D751" s="587"/>
      <c r="E751" s="603" t="s">
        <v>375</v>
      </c>
      <c r="F751" s="604"/>
      <c r="G751" s="604"/>
      <c r="H751" s="604"/>
      <c r="I751" s="604"/>
      <c r="J751" s="604"/>
      <c r="K751" s="604"/>
      <c r="L751" s="604"/>
      <c r="M751" s="604"/>
      <c r="N751" s="604"/>
      <c r="O751" s="604"/>
      <c r="P751" s="604"/>
      <c r="Q751" s="604"/>
      <c r="R751" s="604"/>
      <c r="S751" s="605"/>
    </row>
    <row r="752" spans="3:19">
      <c r="C752" s="586" t="s">
        <v>376</v>
      </c>
      <c r="D752" s="587"/>
      <c r="E752" s="390">
        <f>+[42]DATOS!F$5</f>
        <v>46143</v>
      </c>
      <c r="F752" s="391"/>
      <c r="G752" s="391"/>
      <c r="H752" s="391"/>
      <c r="I752" s="391"/>
      <c r="J752" s="391"/>
      <c r="K752" s="568" t="s">
        <v>377</v>
      </c>
      <c r="L752" s="568"/>
      <c r="M752" s="588" t="s">
        <v>378</v>
      </c>
      <c r="N752" s="588"/>
      <c r="O752" s="588"/>
      <c r="P752" s="588"/>
      <c r="Q752" s="588"/>
      <c r="R752" s="588"/>
      <c r="S752" s="589"/>
    </row>
    <row r="753" spans="1:25" ht="25.5">
      <c r="C753" s="586" t="s">
        <v>379</v>
      </c>
      <c r="D753" s="587"/>
      <c r="E753" s="590" t="s">
        <v>380</v>
      </c>
      <c r="F753" s="591"/>
      <c r="G753" s="392">
        <f>+[42]DATOS!E$5</f>
        <v>2026</v>
      </c>
      <c r="H753" s="393" t="s">
        <v>381</v>
      </c>
      <c r="I753" s="394">
        <f>+[42]DATOS!E$5</f>
        <v>2026</v>
      </c>
      <c r="J753" s="395"/>
      <c r="K753" s="568" t="s">
        <v>382</v>
      </c>
      <c r="L753" s="568"/>
      <c r="M753" s="588" t="s">
        <v>383</v>
      </c>
      <c r="N753" s="588"/>
      <c r="O753" s="588"/>
      <c r="P753" s="588"/>
      <c r="Q753" s="588"/>
      <c r="R753" s="588"/>
      <c r="S753" s="589"/>
    </row>
    <row r="754" spans="1:25">
      <c r="C754" s="396"/>
      <c r="D754" s="397"/>
      <c r="E754" s="397"/>
      <c r="F754" s="398"/>
      <c r="G754" s="398"/>
      <c r="H754" s="398"/>
      <c r="I754" s="398"/>
      <c r="J754" s="398"/>
      <c r="K754" s="398"/>
      <c r="L754" s="398"/>
      <c r="M754" s="398"/>
      <c r="N754" s="398"/>
      <c r="O754" s="398"/>
      <c r="P754" s="398"/>
      <c r="Q754" s="398"/>
      <c r="R754" s="398"/>
      <c r="S754" s="399"/>
    </row>
    <row r="755" spans="1:25">
      <c r="C755" s="572" t="s">
        <v>384</v>
      </c>
      <c r="D755" s="573"/>
      <c r="E755" s="573"/>
      <c r="F755" s="573"/>
      <c r="G755" s="573"/>
      <c r="H755" s="573"/>
      <c r="I755" s="573"/>
      <c r="J755" s="573"/>
      <c r="K755" s="573"/>
      <c r="L755" s="573"/>
      <c r="M755" s="573"/>
      <c r="N755" s="573"/>
      <c r="O755" s="573"/>
      <c r="P755" s="573"/>
      <c r="Q755" s="573"/>
      <c r="R755" s="573"/>
      <c r="S755" s="574"/>
    </row>
    <row r="756" spans="1:25">
      <c r="C756" s="396"/>
      <c r="D756" s="397"/>
      <c r="E756" s="397"/>
      <c r="F756" s="398"/>
      <c r="G756" s="398"/>
      <c r="H756" s="398"/>
      <c r="I756" s="398"/>
      <c r="J756" s="398"/>
      <c r="K756" s="398"/>
      <c r="L756" s="398"/>
      <c r="M756" s="398"/>
      <c r="N756" s="398"/>
      <c r="O756" s="398"/>
      <c r="P756" s="398"/>
      <c r="Q756" s="398"/>
      <c r="R756" s="398"/>
      <c r="S756" s="399"/>
    </row>
    <row r="757" spans="1:25">
      <c r="C757" s="400" t="s">
        <v>385</v>
      </c>
      <c r="D757" s="575" t="s">
        <v>386</v>
      </c>
      <c r="E757" s="575"/>
      <c r="F757" s="576" t="s">
        <v>387</v>
      </c>
      <c r="G757" s="577"/>
      <c r="H757" s="577"/>
      <c r="I757" s="576" t="s">
        <v>388</v>
      </c>
      <c r="J757" s="576" t="s">
        <v>389</v>
      </c>
      <c r="K757" s="579"/>
      <c r="L757" s="581" t="s">
        <v>390</v>
      </c>
      <c r="M757" s="581"/>
      <c r="N757" s="581"/>
      <c r="O757" s="581"/>
      <c r="P757" s="581"/>
      <c r="Q757" s="581"/>
      <c r="R757" s="581" t="s">
        <v>391</v>
      </c>
      <c r="S757" s="582"/>
    </row>
    <row r="758" spans="1:25" ht="38.25">
      <c r="C758" s="403">
        <f>+'PRESUPUESTO OFICIAL '!C74</f>
        <v>6.06</v>
      </c>
      <c r="D758" s="583" t="str">
        <f>+VLOOKUP(C758,'PRESUPUESTO OFICIAL '!$C$11:$H$103,2)</f>
        <v>ENCHAPE EN CERÁMICA PARA PISO</v>
      </c>
      <c r="E758" s="584"/>
      <c r="F758" s="585" t="str">
        <f>+VLOOKUP(C758,'PRESUPUESTO OFICIAL '!$C$11:$H$103,3)</f>
        <v>M2</v>
      </c>
      <c r="G758" s="585"/>
      <c r="H758" s="585"/>
      <c r="I758" s="578"/>
      <c r="J758" s="578"/>
      <c r="K758" s="580"/>
      <c r="L758" s="401" t="s">
        <v>392</v>
      </c>
      <c r="M758" s="401" t="s">
        <v>393</v>
      </c>
      <c r="N758" s="401" t="s">
        <v>394</v>
      </c>
      <c r="O758" s="401" t="s">
        <v>395</v>
      </c>
      <c r="P758" s="401" t="s">
        <v>396</v>
      </c>
      <c r="Q758" s="401" t="s">
        <v>397</v>
      </c>
      <c r="R758" s="401" t="s">
        <v>398</v>
      </c>
      <c r="S758" s="402" t="s">
        <v>399</v>
      </c>
      <c r="U758" s="404">
        <f>+C758</f>
        <v>6.06</v>
      </c>
      <c r="V758" s="405">
        <f>+S806</f>
        <v>172.14</v>
      </c>
    </row>
    <row r="759" spans="1:25">
      <c r="C759" s="406"/>
      <c r="D759" s="407"/>
      <c r="E759" s="407"/>
      <c r="F759" s="407"/>
      <c r="G759" s="407"/>
      <c r="H759" s="407"/>
      <c r="I759" s="558"/>
      <c r="J759" s="559"/>
      <c r="K759" s="560"/>
      <c r="L759" s="560"/>
      <c r="M759" s="560"/>
      <c r="N759" s="560"/>
      <c r="O759" s="560"/>
      <c r="P759" s="560"/>
      <c r="Q759" s="560"/>
      <c r="R759" s="560"/>
      <c r="S759" s="561"/>
    </row>
    <row r="760" spans="1:25" ht="25.5">
      <c r="A760" s="383">
        <v>1</v>
      </c>
      <c r="C760" s="406"/>
      <c r="D760" s="407"/>
      <c r="E760" s="407"/>
      <c r="F760" s="407"/>
      <c r="G760" s="407"/>
      <c r="H760" s="407"/>
      <c r="I760" s="408" t="s">
        <v>400</v>
      </c>
      <c r="J760" s="409" t="str">
        <f t="shared" ref="J760:J802" si="160">+VLOOKUP(K760,$AH$22:$AJ$58,2,)</f>
        <v>A=(Ancho x Largo)* Cant</v>
      </c>
      <c r="K760" s="410" t="str">
        <f>+F758</f>
        <v>M2</v>
      </c>
      <c r="L760" s="411"/>
      <c r="M760" s="412"/>
      <c r="N760" s="442"/>
      <c r="O760" s="442"/>
      <c r="P760" s="413"/>
      <c r="Q760" s="411"/>
      <c r="R760" s="413"/>
      <c r="S760" s="414">
        <f>+HLOOKUP(A760,[238]Hoja1!$2:$78,59,FALSE)</f>
        <v>0</v>
      </c>
      <c r="X760" s="458">
        <f t="shared" ref="X760:X776" si="161">+N760*O760</f>
        <v>0</v>
      </c>
      <c r="Y760" s="471">
        <f t="shared" ref="Y760:Y802" si="162">+X760-L760</f>
        <v>0</v>
      </c>
    </row>
    <row r="761" spans="1:25" ht="25.5">
      <c r="A761" s="383">
        <v>2</v>
      </c>
      <c r="C761" s="406"/>
      <c r="D761" s="407"/>
      <c r="E761" s="407"/>
      <c r="F761" s="407"/>
      <c r="G761" s="407"/>
      <c r="H761" s="407"/>
      <c r="I761" s="408" t="s">
        <v>401</v>
      </c>
      <c r="J761" s="409" t="str">
        <f t="shared" si="160"/>
        <v>A=(Ancho x Largo)* Cant</v>
      </c>
      <c r="K761" s="410" t="str">
        <f>+K760</f>
        <v>M2</v>
      </c>
      <c r="L761" s="411">
        <f>+N761*O761</f>
        <v>3</v>
      </c>
      <c r="M761" s="412"/>
      <c r="N761" s="442">
        <f>+S761/2.5</f>
        <v>1.2</v>
      </c>
      <c r="O761" s="442">
        <v>2.5</v>
      </c>
      <c r="P761" s="413"/>
      <c r="Q761" s="411"/>
      <c r="R761" s="413">
        <v>1</v>
      </c>
      <c r="S761" s="414">
        <f>+HLOOKUP(A761,[238]Hoja1!$2:$78,59,FALSE)</f>
        <v>3</v>
      </c>
      <c r="X761" s="458">
        <f t="shared" si="161"/>
        <v>3</v>
      </c>
      <c r="Y761" s="471">
        <f t="shared" si="162"/>
        <v>0</v>
      </c>
    </row>
    <row r="762" spans="1:25" ht="25.5">
      <c r="A762" s="383">
        <v>3</v>
      </c>
      <c r="C762" s="406"/>
      <c r="D762" s="407"/>
      <c r="E762" s="407"/>
      <c r="F762" s="407"/>
      <c r="G762" s="407"/>
      <c r="H762" s="407"/>
      <c r="I762" s="408" t="s">
        <v>402</v>
      </c>
      <c r="J762" s="409" t="str">
        <f t="shared" si="160"/>
        <v>A=(Ancho x Largo)* Cant</v>
      </c>
      <c r="K762" s="410" t="str">
        <f>+K761</f>
        <v>M2</v>
      </c>
      <c r="L762" s="411">
        <f t="shared" ref="L762:L768" si="163">+N762*O762</f>
        <v>3</v>
      </c>
      <c r="M762" s="412"/>
      <c r="N762" s="442">
        <f t="shared" ref="N762:N764" si="164">+S762/2.5</f>
        <v>1.2</v>
      </c>
      <c r="O762" s="442">
        <v>2.5</v>
      </c>
      <c r="P762" s="413"/>
      <c r="Q762" s="411"/>
      <c r="R762" s="413">
        <v>1</v>
      </c>
      <c r="S762" s="414">
        <f>+HLOOKUP(A762,[238]Hoja1!$2:$78,59,FALSE)</f>
        <v>3</v>
      </c>
      <c r="X762" s="458">
        <f t="shared" si="161"/>
        <v>3</v>
      </c>
      <c r="Y762" s="471">
        <f t="shared" si="162"/>
        <v>0</v>
      </c>
    </row>
    <row r="763" spans="1:25" ht="25.5">
      <c r="A763" s="383">
        <v>4</v>
      </c>
      <c r="C763" s="406"/>
      <c r="D763" s="407"/>
      <c r="E763" s="407"/>
      <c r="F763" s="407"/>
      <c r="G763" s="407"/>
      <c r="H763" s="407"/>
      <c r="I763" s="408" t="s">
        <v>403</v>
      </c>
      <c r="J763" s="409" t="str">
        <f t="shared" si="160"/>
        <v>A=(Ancho x Largo)* Cant</v>
      </c>
      <c r="K763" s="410" t="str">
        <f>+K762</f>
        <v>M2</v>
      </c>
      <c r="L763" s="411">
        <f t="shared" si="163"/>
        <v>3</v>
      </c>
      <c r="M763" s="412"/>
      <c r="N763" s="442">
        <f t="shared" si="164"/>
        <v>1.2</v>
      </c>
      <c r="O763" s="442">
        <v>2.5</v>
      </c>
      <c r="P763" s="413"/>
      <c r="Q763" s="411"/>
      <c r="R763" s="413">
        <v>1</v>
      </c>
      <c r="S763" s="414">
        <f>+HLOOKUP(A763,[238]Hoja1!$2:$78,59,FALSE)</f>
        <v>3</v>
      </c>
      <c r="X763" s="458">
        <f t="shared" si="161"/>
        <v>3</v>
      </c>
      <c r="Y763" s="471">
        <f t="shared" si="162"/>
        <v>0</v>
      </c>
    </row>
    <row r="764" spans="1:25" ht="25.5">
      <c r="A764" s="383">
        <v>5</v>
      </c>
      <c r="C764" s="406"/>
      <c r="D764" s="407"/>
      <c r="E764" s="407"/>
      <c r="F764" s="407"/>
      <c r="G764" s="407"/>
      <c r="H764" s="407"/>
      <c r="I764" s="408" t="s">
        <v>405</v>
      </c>
      <c r="J764" s="409" t="str">
        <f t="shared" si="160"/>
        <v>A=(Ancho x Largo)* Cant</v>
      </c>
      <c r="K764" s="410" t="str">
        <f>+K763</f>
        <v>M2</v>
      </c>
      <c r="L764" s="411">
        <f t="shared" si="163"/>
        <v>3</v>
      </c>
      <c r="M764" s="412"/>
      <c r="N764" s="442">
        <f t="shared" si="164"/>
        <v>1.2</v>
      </c>
      <c r="O764" s="442">
        <v>2.5</v>
      </c>
      <c r="P764" s="413"/>
      <c r="Q764" s="411"/>
      <c r="R764" s="413">
        <v>1</v>
      </c>
      <c r="S764" s="414">
        <f>+HLOOKUP(A764,[238]Hoja1!$2:$78,59,FALSE)</f>
        <v>3</v>
      </c>
      <c r="X764" s="458">
        <f t="shared" si="161"/>
        <v>3</v>
      </c>
      <c r="Y764" s="471">
        <f t="shared" si="162"/>
        <v>0</v>
      </c>
    </row>
    <row r="765" spans="1:25" ht="25.5">
      <c r="A765" s="383">
        <v>6</v>
      </c>
      <c r="C765" s="406"/>
      <c r="D765" s="407"/>
      <c r="E765" s="407"/>
      <c r="F765" s="407"/>
      <c r="G765" s="407"/>
      <c r="H765" s="407"/>
      <c r="I765" s="408" t="s">
        <v>407</v>
      </c>
      <c r="J765" s="409" t="str">
        <f t="shared" si="160"/>
        <v>A=(Ancho x Largo)* Cant</v>
      </c>
      <c r="K765" s="410" t="str">
        <f>+K764</f>
        <v>M2</v>
      </c>
      <c r="L765" s="411">
        <f t="shared" si="163"/>
        <v>4.75</v>
      </c>
      <c r="M765" s="412"/>
      <c r="N765" s="442">
        <f>+S765/2.8</f>
        <v>1.6964285714285716</v>
      </c>
      <c r="O765" s="442">
        <v>2.8</v>
      </c>
      <c r="P765" s="413"/>
      <c r="Q765" s="411"/>
      <c r="R765" s="413">
        <v>1</v>
      </c>
      <c r="S765" s="414">
        <f>+HLOOKUP(A765,[238]Hoja1!$2:$78,59,FALSE)</f>
        <v>4.75</v>
      </c>
      <c r="X765" s="458">
        <f t="shared" si="161"/>
        <v>4.75</v>
      </c>
      <c r="Y765" s="471">
        <f t="shared" si="162"/>
        <v>0</v>
      </c>
    </row>
    <row r="766" spans="1:25" ht="25.5">
      <c r="A766" s="383">
        <v>7</v>
      </c>
      <c r="C766" s="406"/>
      <c r="D766" s="407"/>
      <c r="E766" s="407"/>
      <c r="F766" s="407"/>
      <c r="G766" s="407"/>
      <c r="H766" s="407"/>
      <c r="I766" s="408" t="s">
        <v>409</v>
      </c>
      <c r="J766" s="409" t="str">
        <f t="shared" si="160"/>
        <v>A=(Ancho x Largo)* Cant</v>
      </c>
      <c r="K766" s="410" t="str">
        <f>+K760</f>
        <v>M2</v>
      </c>
      <c r="L766" s="411"/>
      <c r="M766" s="412"/>
      <c r="N766" s="442"/>
      <c r="O766" s="442"/>
      <c r="P766" s="413"/>
      <c r="Q766" s="411"/>
      <c r="R766" s="413"/>
      <c r="S766" s="414">
        <f>+HLOOKUP(A766,[238]Hoja1!$2:$78,59,FALSE)</f>
        <v>0</v>
      </c>
      <c r="X766" s="458">
        <f t="shared" si="161"/>
        <v>0</v>
      </c>
      <c r="Y766" s="471">
        <f t="shared" si="162"/>
        <v>0</v>
      </c>
    </row>
    <row r="767" spans="1:25" ht="25.5">
      <c r="A767" s="383">
        <v>8</v>
      </c>
      <c r="C767" s="406"/>
      <c r="D767" s="407"/>
      <c r="E767" s="407"/>
      <c r="F767" s="407"/>
      <c r="G767" s="407"/>
      <c r="H767" s="407"/>
      <c r="I767" s="408" t="s">
        <v>411</v>
      </c>
      <c r="J767" s="409" t="str">
        <f t="shared" si="160"/>
        <v>A=(Ancho x Largo)* Cant</v>
      </c>
      <c r="K767" s="410" t="str">
        <f>+K766</f>
        <v>M2</v>
      </c>
      <c r="L767" s="411">
        <f t="shared" si="163"/>
        <v>8.5</v>
      </c>
      <c r="M767" s="412"/>
      <c r="N767" s="442">
        <f>+S767/O767</f>
        <v>2.8813559322033897</v>
      </c>
      <c r="O767" s="442">
        <v>2.95</v>
      </c>
      <c r="P767" s="413"/>
      <c r="Q767" s="411"/>
      <c r="R767" s="413">
        <v>1</v>
      </c>
      <c r="S767" s="414">
        <f>+HLOOKUP(A767,[238]Hoja1!$2:$78,59,FALSE)</f>
        <v>8.5</v>
      </c>
      <c r="X767" s="458">
        <f t="shared" si="161"/>
        <v>8.5</v>
      </c>
      <c r="Y767" s="471">
        <f t="shared" si="162"/>
        <v>0</v>
      </c>
    </row>
    <row r="768" spans="1:25" ht="25.5">
      <c r="A768" s="383">
        <v>9</v>
      </c>
      <c r="C768" s="406"/>
      <c r="D768" s="407"/>
      <c r="E768" s="407"/>
      <c r="F768" s="407"/>
      <c r="G768" s="407"/>
      <c r="H768" s="407"/>
      <c r="I768" s="408" t="s">
        <v>412</v>
      </c>
      <c r="J768" s="409" t="str">
        <f t="shared" si="160"/>
        <v>A=(Ancho x Largo)* Cant</v>
      </c>
      <c r="K768" s="410" t="str">
        <f>+K767</f>
        <v>M2</v>
      </c>
      <c r="L768" s="411">
        <f t="shared" si="163"/>
        <v>3</v>
      </c>
      <c r="M768" s="412"/>
      <c r="N768" s="442">
        <f t="shared" ref="N768" si="165">+S768/2.5</f>
        <v>1.2</v>
      </c>
      <c r="O768" s="442">
        <v>2.5</v>
      </c>
      <c r="P768" s="412"/>
      <c r="Q768" s="411"/>
      <c r="R768" s="413">
        <v>1</v>
      </c>
      <c r="S768" s="414">
        <f>+HLOOKUP(A768,[238]Hoja1!$2:$78,59,FALSE)</f>
        <v>3</v>
      </c>
      <c r="X768" s="458">
        <f t="shared" si="161"/>
        <v>3</v>
      </c>
      <c r="Y768" s="471">
        <f t="shared" si="162"/>
        <v>0</v>
      </c>
    </row>
    <row r="769" spans="1:25" ht="25.5">
      <c r="A769" s="383">
        <v>10</v>
      </c>
      <c r="C769" s="406"/>
      <c r="D769" s="407"/>
      <c r="E769" s="407"/>
      <c r="F769" s="407"/>
      <c r="G769" s="407"/>
      <c r="H769" s="407"/>
      <c r="I769" s="408" t="s">
        <v>413</v>
      </c>
      <c r="J769" s="409" t="str">
        <f t="shared" si="160"/>
        <v>A=(Ancho x Largo)* Cant</v>
      </c>
      <c r="K769" s="410" t="str">
        <f>+K768</f>
        <v>M2</v>
      </c>
      <c r="L769" s="411"/>
      <c r="M769" s="412"/>
      <c r="N769" s="441"/>
      <c r="O769" s="441"/>
      <c r="P769" s="412"/>
      <c r="Q769" s="411"/>
      <c r="R769" s="413"/>
      <c r="S769" s="414">
        <f>+HLOOKUP(A769,[238]Hoja1!$2:$78,59,FALSE)</f>
        <v>0</v>
      </c>
      <c r="X769" s="458">
        <f t="shared" si="161"/>
        <v>0</v>
      </c>
      <c r="Y769" s="471">
        <f t="shared" si="162"/>
        <v>0</v>
      </c>
    </row>
    <row r="770" spans="1:25" ht="25.5">
      <c r="A770" s="383">
        <v>11</v>
      </c>
      <c r="C770" s="406"/>
      <c r="D770" s="407"/>
      <c r="E770" s="407"/>
      <c r="F770" s="407"/>
      <c r="G770" s="407"/>
      <c r="H770" s="407"/>
      <c r="I770" s="408" t="s">
        <v>414</v>
      </c>
      <c r="J770" s="409" t="str">
        <f t="shared" si="160"/>
        <v>A=(Ancho x Largo)* Cant</v>
      </c>
      <c r="K770" s="410" t="str">
        <f>+K769</f>
        <v>M2</v>
      </c>
      <c r="L770" s="411"/>
      <c r="M770" s="412"/>
      <c r="N770" s="443"/>
      <c r="O770" s="443"/>
      <c r="P770" s="412"/>
      <c r="Q770" s="411"/>
      <c r="R770" s="413"/>
      <c r="S770" s="414">
        <f>+HLOOKUP(A770,[238]Hoja1!$2:$78,59,FALSE)</f>
        <v>0</v>
      </c>
      <c r="X770" s="458">
        <f t="shared" si="161"/>
        <v>0</v>
      </c>
      <c r="Y770" s="471">
        <f t="shared" si="162"/>
        <v>0</v>
      </c>
    </row>
    <row r="771" spans="1:25" ht="25.5">
      <c r="A771" s="383">
        <v>12</v>
      </c>
      <c r="C771" s="406"/>
      <c r="D771" s="407"/>
      <c r="E771" s="407"/>
      <c r="F771" s="407"/>
      <c r="G771" s="407"/>
      <c r="H771" s="407"/>
      <c r="I771" s="408" t="s">
        <v>415</v>
      </c>
      <c r="J771" s="409" t="str">
        <f t="shared" si="160"/>
        <v>A=(Ancho x Largo)* Cant</v>
      </c>
      <c r="K771" s="410" t="str">
        <f>+K765</f>
        <v>M2</v>
      </c>
      <c r="L771" s="411">
        <f t="shared" ref="L771" si="166">+N771*O771</f>
        <v>19.884999999999998</v>
      </c>
      <c r="M771" s="412"/>
      <c r="N771" s="442">
        <v>4.0999999999999996</v>
      </c>
      <c r="O771" s="442">
        <f>+S771/N771</f>
        <v>4.8499999999999996</v>
      </c>
      <c r="P771" s="413"/>
      <c r="Q771" s="411"/>
      <c r="R771" s="413">
        <v>1</v>
      </c>
      <c r="S771" s="414">
        <f>+HLOOKUP(A771,[238]Hoja1!$2:$78,59,FALSE)</f>
        <v>19.884999999999998</v>
      </c>
      <c r="X771" s="458">
        <f t="shared" si="161"/>
        <v>19.884999999999998</v>
      </c>
      <c r="Y771" s="471">
        <f t="shared" si="162"/>
        <v>0</v>
      </c>
    </row>
    <row r="772" spans="1:25" ht="25.5">
      <c r="A772" s="383">
        <v>13</v>
      </c>
      <c r="C772" s="406"/>
      <c r="D772" s="407"/>
      <c r="E772" s="407"/>
      <c r="F772" s="407"/>
      <c r="G772" s="407"/>
      <c r="H772" s="407"/>
      <c r="I772" s="408" t="s">
        <v>416</v>
      </c>
      <c r="J772" s="409" t="str">
        <f t="shared" si="160"/>
        <v>A=(Ancho x Largo)* Cant</v>
      </c>
      <c r="K772" s="410" t="str">
        <f>+K767</f>
        <v>M2</v>
      </c>
      <c r="L772" s="411"/>
      <c r="M772" s="412"/>
      <c r="N772" s="442"/>
      <c r="O772" s="442"/>
      <c r="P772" s="413"/>
      <c r="Q772" s="411"/>
      <c r="R772" s="413"/>
      <c r="S772" s="414">
        <f>+HLOOKUP(A772,[238]Hoja1!$2:$78,59,FALSE)</f>
        <v>0</v>
      </c>
      <c r="X772" s="458">
        <f t="shared" si="161"/>
        <v>0</v>
      </c>
      <c r="Y772" s="471">
        <f t="shared" si="162"/>
        <v>0</v>
      </c>
    </row>
    <row r="773" spans="1:25" ht="25.5">
      <c r="A773" s="383">
        <v>14</v>
      </c>
      <c r="C773" s="406"/>
      <c r="D773" s="407"/>
      <c r="E773" s="407"/>
      <c r="F773" s="407"/>
      <c r="G773" s="407"/>
      <c r="H773" s="407"/>
      <c r="I773" s="408" t="s">
        <v>417</v>
      </c>
      <c r="J773" s="409" t="str">
        <f t="shared" si="160"/>
        <v>A=(Ancho x Largo)* Cant</v>
      </c>
      <c r="K773" s="410" t="str">
        <f t="shared" ref="K773:K784" si="167">+K772</f>
        <v>M2</v>
      </c>
      <c r="L773" s="411">
        <f t="shared" ref="L773:L786" si="168">+N773*O773</f>
        <v>3</v>
      </c>
      <c r="M773" s="412"/>
      <c r="N773" s="442">
        <f t="shared" ref="N773" si="169">+S773/2.5</f>
        <v>1.2</v>
      </c>
      <c r="O773" s="442">
        <v>2.5</v>
      </c>
      <c r="P773" s="412"/>
      <c r="Q773" s="411"/>
      <c r="R773" s="413">
        <v>1</v>
      </c>
      <c r="S773" s="414">
        <f>+HLOOKUP(A773,[238]Hoja1!$2:$78,59,FALSE)</f>
        <v>3</v>
      </c>
      <c r="X773" s="458">
        <f t="shared" si="161"/>
        <v>3</v>
      </c>
      <c r="Y773" s="471">
        <f t="shared" si="162"/>
        <v>0</v>
      </c>
    </row>
    <row r="774" spans="1:25" ht="25.5">
      <c r="A774" s="383">
        <v>15</v>
      </c>
      <c r="C774" s="406"/>
      <c r="D774" s="407"/>
      <c r="E774" s="407"/>
      <c r="F774" s="407"/>
      <c r="G774" s="407"/>
      <c r="H774" s="407"/>
      <c r="I774" s="408" t="s">
        <v>418</v>
      </c>
      <c r="J774" s="409" t="str">
        <f t="shared" si="160"/>
        <v>A=(Ancho x Largo)* Cant</v>
      </c>
      <c r="K774" s="410" t="str">
        <f t="shared" si="167"/>
        <v>M2</v>
      </c>
      <c r="L774" s="411"/>
      <c r="M774" s="412"/>
      <c r="N774" s="442"/>
      <c r="O774" s="442"/>
      <c r="P774" s="449"/>
      <c r="Q774" s="411"/>
      <c r="R774" s="413"/>
      <c r="S774" s="414">
        <f>+HLOOKUP(A774,[238]Hoja1!$2:$78,59,FALSE)</f>
        <v>0</v>
      </c>
      <c r="X774" s="458">
        <f t="shared" si="161"/>
        <v>0</v>
      </c>
      <c r="Y774" s="471">
        <f t="shared" si="162"/>
        <v>0</v>
      </c>
    </row>
    <row r="775" spans="1:25" ht="25.5">
      <c r="A775" s="383">
        <v>16</v>
      </c>
      <c r="C775" s="406"/>
      <c r="D775" s="407"/>
      <c r="E775" s="407"/>
      <c r="F775" s="407"/>
      <c r="G775" s="407"/>
      <c r="H775" s="407"/>
      <c r="I775" s="408" t="s">
        <v>419</v>
      </c>
      <c r="J775" s="409" t="str">
        <f t="shared" si="160"/>
        <v>A=(Ancho x Largo)* Cant</v>
      </c>
      <c r="K775" s="410" t="str">
        <f t="shared" si="167"/>
        <v>M2</v>
      </c>
      <c r="L775" s="411">
        <f t="shared" si="168"/>
        <v>14.13</v>
      </c>
      <c r="M775" s="412"/>
      <c r="N775" s="442">
        <f>+S775/3.09</f>
        <v>4.5728155339805827</v>
      </c>
      <c r="O775" s="442">
        <v>3.09</v>
      </c>
      <c r="P775" s="449"/>
      <c r="Q775" s="411"/>
      <c r="R775" s="413">
        <v>1</v>
      </c>
      <c r="S775" s="414">
        <f>+HLOOKUP(A775,[238]Hoja1!$2:$78,59,FALSE)</f>
        <v>14.13</v>
      </c>
      <c r="X775" s="458">
        <f t="shared" si="161"/>
        <v>14.13</v>
      </c>
      <c r="Y775" s="471">
        <f t="shared" si="162"/>
        <v>0</v>
      </c>
    </row>
    <row r="776" spans="1:25" ht="25.5">
      <c r="A776" s="383">
        <v>17</v>
      </c>
      <c r="C776" s="406"/>
      <c r="D776" s="407"/>
      <c r="E776" s="407"/>
      <c r="F776" s="407"/>
      <c r="G776" s="407"/>
      <c r="H776" s="407"/>
      <c r="I776" s="408" t="s">
        <v>420</v>
      </c>
      <c r="J776" s="409" t="str">
        <f t="shared" si="160"/>
        <v>A=(Ancho x Largo)* Cant</v>
      </c>
      <c r="K776" s="410" t="str">
        <f t="shared" si="167"/>
        <v>M2</v>
      </c>
      <c r="L776" s="411"/>
      <c r="M776" s="412"/>
      <c r="N776" s="442"/>
      <c r="O776" s="442"/>
      <c r="P776" s="412"/>
      <c r="Q776" s="411"/>
      <c r="R776" s="413"/>
      <c r="S776" s="414">
        <f>+HLOOKUP(A776,[238]Hoja1!$2:$78,59,FALSE)</f>
        <v>0</v>
      </c>
      <c r="X776" s="458">
        <f t="shared" si="161"/>
        <v>0</v>
      </c>
      <c r="Y776" s="471">
        <f t="shared" si="162"/>
        <v>0</v>
      </c>
    </row>
    <row r="777" spans="1:25" ht="25.5">
      <c r="A777" s="383">
        <v>18</v>
      </c>
      <c r="C777" s="406"/>
      <c r="D777" s="407"/>
      <c r="E777" s="407"/>
      <c r="F777" s="407"/>
      <c r="G777" s="407"/>
      <c r="H777" s="407"/>
      <c r="I777" s="408" t="s">
        <v>429</v>
      </c>
      <c r="J777" s="409" t="str">
        <f t="shared" si="160"/>
        <v>A=(Ancho x Largo)* Cant</v>
      </c>
      <c r="K777" s="410" t="str">
        <f t="shared" si="167"/>
        <v>M2</v>
      </c>
      <c r="L777" s="411">
        <f t="shared" si="168"/>
        <v>4.75</v>
      </c>
      <c r="M777" s="412"/>
      <c r="N777" s="442">
        <f>+S777/2.8</f>
        <v>1.6964285714285716</v>
      </c>
      <c r="O777" s="442">
        <v>2.8</v>
      </c>
      <c r="P777" s="412"/>
      <c r="Q777" s="411"/>
      <c r="R777" s="413">
        <v>1</v>
      </c>
      <c r="S777" s="414">
        <f>+HLOOKUP(A777,[238]Hoja1!$2:$78,59,FALSE)</f>
        <v>4.75</v>
      </c>
      <c r="X777" s="458">
        <f>+N777*O777</f>
        <v>4.75</v>
      </c>
      <c r="Y777" s="471">
        <f t="shared" si="162"/>
        <v>0</v>
      </c>
    </row>
    <row r="778" spans="1:25" ht="25.5">
      <c r="A778" s="383">
        <v>19</v>
      </c>
      <c r="C778" s="406"/>
      <c r="D778" s="407"/>
      <c r="E778" s="407"/>
      <c r="F778" s="407"/>
      <c r="G778" s="407"/>
      <c r="H778" s="407"/>
      <c r="I778" s="408" t="s">
        <v>430</v>
      </c>
      <c r="J778" s="409" t="str">
        <f t="shared" si="160"/>
        <v>A=(Ancho x Largo)* Cant</v>
      </c>
      <c r="K778" s="410" t="str">
        <f t="shared" si="167"/>
        <v>M2</v>
      </c>
      <c r="L778" s="411">
        <f t="shared" si="168"/>
        <v>3</v>
      </c>
      <c r="M778" s="412"/>
      <c r="N778" s="442">
        <f t="shared" ref="N778" si="170">+S778/2.5</f>
        <v>1.2</v>
      </c>
      <c r="O778" s="442">
        <v>2.5</v>
      </c>
      <c r="P778" s="412"/>
      <c r="Q778" s="411"/>
      <c r="R778" s="413">
        <v>1</v>
      </c>
      <c r="S778" s="414">
        <f>+HLOOKUP(A778,[238]Hoja1!$2:$78,59,FALSE)</f>
        <v>3</v>
      </c>
      <c r="X778" s="458">
        <f t="shared" ref="X778:X802" si="171">+N778*O778</f>
        <v>3</v>
      </c>
      <c r="Y778" s="471">
        <f t="shared" si="162"/>
        <v>0</v>
      </c>
    </row>
    <row r="779" spans="1:25" ht="25.5">
      <c r="A779" s="383">
        <v>20</v>
      </c>
      <c r="C779" s="406"/>
      <c r="D779" s="407"/>
      <c r="E779" s="407"/>
      <c r="F779" s="407"/>
      <c r="G779" s="407"/>
      <c r="H779" s="407"/>
      <c r="I779" s="408" t="s">
        <v>431</v>
      </c>
      <c r="J779" s="409" t="str">
        <f t="shared" si="160"/>
        <v>A=(Ancho x Largo)* Cant</v>
      </c>
      <c r="K779" s="410" t="str">
        <f t="shared" si="167"/>
        <v>M2</v>
      </c>
      <c r="L779" s="411">
        <f t="shared" si="168"/>
        <v>8.5</v>
      </c>
      <c r="M779" s="412"/>
      <c r="N779" s="442">
        <f>+S779/3</f>
        <v>2.8333333333333335</v>
      </c>
      <c r="O779" s="442">
        <v>3</v>
      </c>
      <c r="P779" s="412"/>
      <c r="Q779" s="411"/>
      <c r="R779" s="413">
        <v>1</v>
      </c>
      <c r="S779" s="414">
        <f>+HLOOKUP(A779,[238]Hoja1!$2:$78,59,FALSE)</f>
        <v>8.5</v>
      </c>
      <c r="X779" s="458">
        <f t="shared" si="171"/>
        <v>8.5</v>
      </c>
      <c r="Y779" s="471">
        <f t="shared" si="162"/>
        <v>0</v>
      </c>
    </row>
    <row r="780" spans="1:25" ht="25.5">
      <c r="A780" s="383">
        <v>21</v>
      </c>
      <c r="C780" s="406"/>
      <c r="D780" s="407"/>
      <c r="E780" s="407"/>
      <c r="F780" s="407"/>
      <c r="G780" s="407"/>
      <c r="H780" s="407"/>
      <c r="I780" s="408" t="s">
        <v>432</v>
      </c>
      <c r="J780" s="409" t="str">
        <f t="shared" si="160"/>
        <v>A=(Ancho x Largo)* Cant</v>
      </c>
      <c r="K780" s="410" t="str">
        <f t="shared" si="167"/>
        <v>M2</v>
      </c>
      <c r="L780" s="411"/>
      <c r="M780" s="412"/>
      <c r="N780" s="442"/>
      <c r="O780" s="442"/>
      <c r="P780" s="412"/>
      <c r="Q780" s="411"/>
      <c r="R780" s="413"/>
      <c r="S780" s="414">
        <f>+HLOOKUP(A780,[238]Hoja1!$2:$78,59,FALSE)</f>
        <v>0</v>
      </c>
      <c r="X780" s="458">
        <f t="shared" si="171"/>
        <v>0</v>
      </c>
      <c r="Y780" s="471">
        <f t="shared" si="162"/>
        <v>0</v>
      </c>
    </row>
    <row r="781" spans="1:25" ht="25.5">
      <c r="A781" s="383">
        <v>22</v>
      </c>
      <c r="C781" s="406"/>
      <c r="D781" s="407"/>
      <c r="E781" s="407"/>
      <c r="F781" s="407"/>
      <c r="G781" s="407"/>
      <c r="H781" s="407"/>
      <c r="I781" s="408" t="s">
        <v>433</v>
      </c>
      <c r="J781" s="409" t="str">
        <f t="shared" si="160"/>
        <v>A=(Ancho x Largo)* Cant</v>
      </c>
      <c r="K781" s="410" t="str">
        <f t="shared" si="167"/>
        <v>M2</v>
      </c>
      <c r="L781" s="411">
        <f t="shared" si="168"/>
        <v>3</v>
      </c>
      <c r="M781" s="412"/>
      <c r="N781" s="442">
        <f t="shared" ref="N781" si="172">+S781/2.5</f>
        <v>1.2</v>
      </c>
      <c r="O781" s="442">
        <v>2.5</v>
      </c>
      <c r="P781" s="412"/>
      <c r="Q781" s="411"/>
      <c r="R781" s="413">
        <v>1</v>
      </c>
      <c r="S781" s="414">
        <f>+HLOOKUP(A781,[238]Hoja1!$2:$78,59,FALSE)</f>
        <v>3</v>
      </c>
      <c r="X781" s="458">
        <f t="shared" si="171"/>
        <v>3</v>
      </c>
      <c r="Y781" s="471">
        <f t="shared" si="162"/>
        <v>0</v>
      </c>
    </row>
    <row r="782" spans="1:25" ht="25.5">
      <c r="A782" s="383">
        <v>23</v>
      </c>
      <c r="C782" s="406"/>
      <c r="D782" s="407"/>
      <c r="E782" s="407"/>
      <c r="F782" s="407"/>
      <c r="G782" s="407"/>
      <c r="H782" s="407"/>
      <c r="I782" s="408" t="s">
        <v>434</v>
      </c>
      <c r="J782" s="409" t="str">
        <f t="shared" si="160"/>
        <v>A=(Ancho x Largo)* Cant</v>
      </c>
      <c r="K782" s="410" t="str">
        <f t="shared" si="167"/>
        <v>M2</v>
      </c>
      <c r="L782" s="411"/>
      <c r="M782" s="412"/>
      <c r="N782" s="441"/>
      <c r="O782" s="441"/>
      <c r="P782" s="412"/>
      <c r="Q782" s="411"/>
      <c r="R782" s="413"/>
      <c r="S782" s="414">
        <f>+HLOOKUP(A782,[238]Hoja1!$2:$78,59,FALSE)</f>
        <v>0</v>
      </c>
      <c r="X782" s="458">
        <f t="shared" si="171"/>
        <v>0</v>
      </c>
      <c r="Y782" s="471">
        <f t="shared" si="162"/>
        <v>0</v>
      </c>
    </row>
    <row r="783" spans="1:25" ht="25.5">
      <c r="A783" s="383">
        <v>24</v>
      </c>
      <c r="C783" s="406"/>
      <c r="D783" s="407"/>
      <c r="E783" s="407"/>
      <c r="F783" s="407"/>
      <c r="G783" s="407"/>
      <c r="H783" s="407"/>
      <c r="I783" s="408" t="s">
        <v>435</v>
      </c>
      <c r="J783" s="409" t="str">
        <f t="shared" si="160"/>
        <v>A=(Ancho x Largo)* Cant</v>
      </c>
      <c r="K783" s="410" t="str">
        <f t="shared" si="167"/>
        <v>M2</v>
      </c>
      <c r="L783" s="411">
        <f t="shared" si="168"/>
        <v>6.1749999999999989</v>
      </c>
      <c r="M783" s="412"/>
      <c r="N783" s="442">
        <v>2.5</v>
      </c>
      <c r="O783" s="442">
        <f>+S783/2.5</f>
        <v>2.4699999999999998</v>
      </c>
      <c r="P783" s="413"/>
      <c r="Q783" s="411"/>
      <c r="R783" s="413">
        <v>1</v>
      </c>
      <c r="S783" s="414">
        <f>+HLOOKUP(A783,[238]Hoja1!$2:$78,59,FALSE)</f>
        <v>6.1749999999999998</v>
      </c>
      <c r="X783" s="458">
        <f t="shared" si="171"/>
        <v>6.1749999999999989</v>
      </c>
      <c r="Y783" s="471">
        <f t="shared" si="162"/>
        <v>0</v>
      </c>
    </row>
    <row r="784" spans="1:25" ht="25.5">
      <c r="A784" s="383">
        <v>25</v>
      </c>
      <c r="C784" s="406"/>
      <c r="D784" s="407"/>
      <c r="E784" s="407"/>
      <c r="F784" s="407"/>
      <c r="G784" s="407"/>
      <c r="H784" s="407"/>
      <c r="I784" s="408" t="s">
        <v>436</v>
      </c>
      <c r="J784" s="409" t="str">
        <f t="shared" si="160"/>
        <v>A=(Ancho x Largo)* Cant</v>
      </c>
      <c r="K784" s="410" t="str">
        <f t="shared" si="167"/>
        <v>M2</v>
      </c>
      <c r="L784" s="411">
        <f t="shared" si="168"/>
        <v>6.15</v>
      </c>
      <c r="M784" s="412"/>
      <c r="N784" s="442">
        <f>+S784/2.25</f>
        <v>2.7333333333333334</v>
      </c>
      <c r="O784" s="442">
        <v>2.25</v>
      </c>
      <c r="P784" s="412"/>
      <c r="Q784" s="411"/>
      <c r="R784" s="413">
        <v>1</v>
      </c>
      <c r="S784" s="414">
        <f>+HLOOKUP(A784,[238]Hoja1!$2:$78,59,FALSE)</f>
        <v>6.15</v>
      </c>
      <c r="X784" s="458">
        <f t="shared" si="171"/>
        <v>6.15</v>
      </c>
      <c r="Y784" s="471">
        <f t="shared" si="162"/>
        <v>0</v>
      </c>
    </row>
    <row r="785" spans="1:25" ht="25.5">
      <c r="A785" s="383">
        <v>26</v>
      </c>
      <c r="C785" s="406"/>
      <c r="D785" s="407"/>
      <c r="E785" s="407"/>
      <c r="F785" s="407"/>
      <c r="G785" s="407"/>
      <c r="H785" s="407"/>
      <c r="I785" s="408" t="s">
        <v>437</v>
      </c>
      <c r="J785" s="409" t="str">
        <f t="shared" si="160"/>
        <v>A=(Ancho x Largo)* Cant</v>
      </c>
      <c r="K785" s="410" t="str">
        <f>+K774</f>
        <v>M2</v>
      </c>
      <c r="L785" s="411"/>
      <c r="M785" s="412"/>
      <c r="N785" s="442"/>
      <c r="O785" s="442"/>
      <c r="P785" s="412"/>
      <c r="Q785" s="411"/>
      <c r="R785" s="413"/>
      <c r="S785" s="414">
        <f>+HLOOKUP(A785,[238]Hoja1!$2:$78,59,FALSE)</f>
        <v>0</v>
      </c>
      <c r="X785" s="458">
        <f t="shared" si="171"/>
        <v>0</v>
      </c>
      <c r="Y785" s="471">
        <f t="shared" si="162"/>
        <v>0</v>
      </c>
    </row>
    <row r="786" spans="1:25" ht="25.5">
      <c r="A786" s="383">
        <v>27</v>
      </c>
      <c r="C786" s="406"/>
      <c r="D786" s="407"/>
      <c r="E786" s="407"/>
      <c r="F786" s="407"/>
      <c r="G786" s="407"/>
      <c r="H786" s="407"/>
      <c r="I786" s="408" t="s">
        <v>438</v>
      </c>
      <c r="J786" s="409" t="str">
        <f t="shared" si="160"/>
        <v>A=(Ancho x Largo)* Cant</v>
      </c>
      <c r="K786" s="410" t="str">
        <f t="shared" ref="K786:K794" si="173">+K785</f>
        <v>M2</v>
      </c>
      <c r="L786" s="411">
        <f t="shared" si="168"/>
        <v>3</v>
      </c>
      <c r="M786" s="412"/>
      <c r="N786" s="442">
        <f t="shared" ref="N786" si="174">+S786/2.5</f>
        <v>1.2</v>
      </c>
      <c r="O786" s="442">
        <v>2.5</v>
      </c>
      <c r="P786" s="412"/>
      <c r="Q786" s="411"/>
      <c r="R786" s="413">
        <v>1</v>
      </c>
      <c r="S786" s="414">
        <f>+HLOOKUP(A786,[238]Hoja1!$2:$78,59,FALSE)</f>
        <v>3</v>
      </c>
      <c r="X786" s="458">
        <f t="shared" si="171"/>
        <v>3</v>
      </c>
      <c r="Y786" s="471">
        <f t="shared" si="162"/>
        <v>0</v>
      </c>
    </row>
    <row r="787" spans="1:25" ht="25.5">
      <c r="A787" s="383">
        <v>28</v>
      </c>
      <c r="C787" s="406"/>
      <c r="D787" s="440"/>
      <c r="E787" s="407"/>
      <c r="F787" s="407"/>
      <c r="G787" s="407"/>
      <c r="H787" s="437"/>
      <c r="I787" s="408" t="s">
        <v>439</v>
      </c>
      <c r="J787" s="409" t="str">
        <f t="shared" si="160"/>
        <v>A=(Ancho x Largo)* Cant</v>
      </c>
      <c r="K787" s="410" t="str">
        <f t="shared" si="173"/>
        <v>M2</v>
      </c>
      <c r="L787" s="411"/>
      <c r="M787" s="412"/>
      <c r="N787" s="442"/>
      <c r="O787" s="442"/>
      <c r="P787" s="413"/>
      <c r="Q787" s="411"/>
      <c r="R787" s="413"/>
      <c r="S787" s="414">
        <f>+HLOOKUP(A787,[238]Hoja1!$2:$78,59,FALSE)</f>
        <v>0</v>
      </c>
      <c r="X787" s="458">
        <f t="shared" si="171"/>
        <v>0</v>
      </c>
      <c r="Y787" s="471">
        <f t="shared" si="162"/>
        <v>0</v>
      </c>
    </row>
    <row r="788" spans="1:25" ht="25.5">
      <c r="A788" s="383">
        <v>29</v>
      </c>
      <c r="C788" s="406"/>
      <c r="D788" s="407"/>
      <c r="E788" s="407"/>
      <c r="F788" s="407"/>
      <c r="G788" s="407"/>
      <c r="H788" s="407"/>
      <c r="I788" s="408" t="s">
        <v>440</v>
      </c>
      <c r="J788" s="409" t="str">
        <f t="shared" si="160"/>
        <v>A=(Ancho x Largo)* Cant</v>
      </c>
      <c r="K788" s="410" t="str">
        <f t="shared" si="173"/>
        <v>M2</v>
      </c>
      <c r="L788" s="411"/>
      <c r="M788" s="412"/>
      <c r="N788" s="443"/>
      <c r="O788" s="443"/>
      <c r="P788" s="412"/>
      <c r="Q788" s="411"/>
      <c r="R788" s="413"/>
      <c r="S788" s="414">
        <f>+HLOOKUP(A788,[238]Hoja1!$2:$78,59,FALSE)</f>
        <v>0</v>
      </c>
      <c r="X788" s="458">
        <f t="shared" si="171"/>
        <v>0</v>
      </c>
      <c r="Y788" s="471">
        <f t="shared" si="162"/>
        <v>0</v>
      </c>
    </row>
    <row r="789" spans="1:25" ht="25.5">
      <c r="A789" s="383">
        <v>30</v>
      </c>
      <c r="C789" s="406"/>
      <c r="D789" s="407"/>
      <c r="E789" s="407"/>
      <c r="F789" s="407"/>
      <c r="G789" s="407"/>
      <c r="H789" s="407"/>
      <c r="I789" s="408" t="s">
        <v>441</v>
      </c>
      <c r="J789" s="409" t="str">
        <f t="shared" si="160"/>
        <v>A=(Ancho x Largo)* Cant</v>
      </c>
      <c r="K789" s="410" t="str">
        <f t="shared" si="173"/>
        <v>M2</v>
      </c>
      <c r="L789" s="411">
        <f t="shared" ref="L789:L791" si="175">+N789*O789</f>
        <v>8.5</v>
      </c>
      <c r="M789" s="412"/>
      <c r="N789" s="442">
        <f>+S789/3</f>
        <v>2.8333333333333335</v>
      </c>
      <c r="O789" s="442">
        <v>3</v>
      </c>
      <c r="P789" s="412"/>
      <c r="Q789" s="411"/>
      <c r="R789" s="413">
        <v>1</v>
      </c>
      <c r="S789" s="414">
        <f>+HLOOKUP(A789,[238]Hoja1!$2:$78,59,FALSE)</f>
        <v>8.5</v>
      </c>
      <c r="X789" s="458">
        <f t="shared" si="171"/>
        <v>8.5</v>
      </c>
      <c r="Y789" s="471">
        <f t="shared" si="162"/>
        <v>0</v>
      </c>
    </row>
    <row r="790" spans="1:25" ht="25.5">
      <c r="A790" s="383">
        <v>31</v>
      </c>
      <c r="C790" s="406"/>
      <c r="D790" s="407"/>
      <c r="E790" s="407"/>
      <c r="F790" s="407"/>
      <c r="G790" s="407"/>
      <c r="H790" s="407"/>
      <c r="I790" s="408" t="s">
        <v>442</v>
      </c>
      <c r="J790" s="409" t="str">
        <f t="shared" si="160"/>
        <v>A=(Ancho x Largo)* Cant</v>
      </c>
      <c r="K790" s="410" t="str">
        <f t="shared" si="173"/>
        <v>M2</v>
      </c>
      <c r="L790" s="411"/>
      <c r="M790" s="412"/>
      <c r="N790" s="442"/>
      <c r="O790" s="442"/>
      <c r="P790" s="413"/>
      <c r="Q790" s="411"/>
      <c r="R790" s="413"/>
      <c r="S790" s="414">
        <f>+HLOOKUP(A790,[238]Hoja1!$2:$78,59,FALSE)</f>
        <v>0</v>
      </c>
      <c r="X790" s="458">
        <f t="shared" si="171"/>
        <v>0</v>
      </c>
      <c r="Y790" s="471">
        <f t="shared" si="162"/>
        <v>0</v>
      </c>
    </row>
    <row r="791" spans="1:25" ht="25.5">
      <c r="A791" s="383">
        <v>32</v>
      </c>
      <c r="C791" s="406"/>
      <c r="D791" s="407"/>
      <c r="E791" s="407"/>
      <c r="F791" s="407"/>
      <c r="G791" s="407"/>
      <c r="H791" s="407"/>
      <c r="I791" s="408" t="s">
        <v>443</v>
      </c>
      <c r="J791" s="409" t="str">
        <f t="shared" si="160"/>
        <v>A=(Ancho x Largo)* Cant</v>
      </c>
      <c r="K791" s="410" t="str">
        <f t="shared" si="173"/>
        <v>M2</v>
      </c>
      <c r="L791" s="411">
        <f t="shared" si="175"/>
        <v>4.75</v>
      </c>
      <c r="M791" s="412"/>
      <c r="N791" s="442">
        <f>+S791/2.8</f>
        <v>1.6964285714285716</v>
      </c>
      <c r="O791" s="442">
        <v>2.8</v>
      </c>
      <c r="P791" s="412"/>
      <c r="Q791" s="411"/>
      <c r="R791" s="413">
        <v>1</v>
      </c>
      <c r="S791" s="414">
        <f>+HLOOKUP(A791,[238]Hoja1!$2:$78,59,FALSE)</f>
        <v>4.75</v>
      </c>
      <c r="X791" s="458">
        <f t="shared" si="171"/>
        <v>4.75</v>
      </c>
      <c r="Y791" s="471">
        <f t="shared" si="162"/>
        <v>0</v>
      </c>
    </row>
    <row r="792" spans="1:25" ht="25.5">
      <c r="A792" s="383">
        <v>33</v>
      </c>
      <c r="C792" s="406"/>
      <c r="D792" s="407"/>
      <c r="E792" s="407"/>
      <c r="F792" s="407"/>
      <c r="G792" s="407"/>
      <c r="H792" s="407"/>
      <c r="I792" s="408" t="s">
        <v>444</v>
      </c>
      <c r="J792" s="409" t="str">
        <f t="shared" si="160"/>
        <v>A=(Ancho x Largo)* Cant</v>
      </c>
      <c r="K792" s="410" t="str">
        <f t="shared" si="173"/>
        <v>M2</v>
      </c>
      <c r="L792" s="411"/>
      <c r="M792" s="412"/>
      <c r="N792" s="442"/>
      <c r="O792" s="442"/>
      <c r="P792" s="412"/>
      <c r="Q792" s="411"/>
      <c r="R792" s="413"/>
      <c r="S792" s="414">
        <f>+HLOOKUP(A792,[238]Hoja1!$2:$78,59,FALSE)</f>
        <v>0</v>
      </c>
      <c r="X792" s="458">
        <f t="shared" si="171"/>
        <v>0</v>
      </c>
      <c r="Y792" s="471">
        <f t="shared" si="162"/>
        <v>0</v>
      </c>
    </row>
    <row r="793" spans="1:25" ht="25.5">
      <c r="A793" s="383">
        <v>34</v>
      </c>
      <c r="C793" s="406"/>
      <c r="D793" s="407"/>
      <c r="E793" s="407"/>
      <c r="F793" s="407"/>
      <c r="G793" s="407"/>
      <c r="H793" s="407"/>
      <c r="I793" s="408" t="s">
        <v>445</v>
      </c>
      <c r="J793" s="409" t="str">
        <f t="shared" si="160"/>
        <v>A=(Ancho x Largo)* Cant</v>
      </c>
      <c r="K793" s="410" t="str">
        <f t="shared" si="173"/>
        <v>M2</v>
      </c>
      <c r="L793" s="411"/>
      <c r="M793" s="412"/>
      <c r="N793" s="441"/>
      <c r="O793" s="441"/>
      <c r="P793" s="412"/>
      <c r="Q793" s="411"/>
      <c r="R793" s="413">
        <v>1</v>
      </c>
      <c r="S793" s="414">
        <f>+HLOOKUP(A793,[238]Hoja1!$2:$78,59,FALSE)</f>
        <v>33.722999999999999</v>
      </c>
      <c r="X793" s="458">
        <f t="shared" si="171"/>
        <v>0</v>
      </c>
      <c r="Y793" s="471">
        <f t="shared" si="162"/>
        <v>0</v>
      </c>
    </row>
    <row r="794" spans="1:25" ht="25.5">
      <c r="A794" s="383">
        <v>35</v>
      </c>
      <c r="C794" s="406"/>
      <c r="D794" s="440"/>
      <c r="E794" s="407"/>
      <c r="F794" s="407"/>
      <c r="G794" s="407"/>
      <c r="H794" s="437"/>
      <c r="I794" s="408" t="s">
        <v>446</v>
      </c>
      <c r="J794" s="409" t="str">
        <f t="shared" si="160"/>
        <v>A=(Ancho x Largo)* Cant</v>
      </c>
      <c r="K794" s="410" t="str">
        <f t="shared" si="173"/>
        <v>M2</v>
      </c>
      <c r="L794" s="411"/>
      <c r="M794" s="412"/>
      <c r="N794" s="442"/>
      <c r="O794" s="442"/>
      <c r="P794" s="413"/>
      <c r="Q794" s="411"/>
      <c r="R794" s="413"/>
      <c r="S794" s="414">
        <f>+HLOOKUP(A794,[238]Hoja1!$2:$78,59,FALSE)</f>
        <v>0</v>
      </c>
      <c r="X794" s="458">
        <f t="shared" si="171"/>
        <v>0</v>
      </c>
      <c r="Y794" s="471">
        <f t="shared" si="162"/>
        <v>0</v>
      </c>
    </row>
    <row r="795" spans="1:25" ht="25.5">
      <c r="A795" s="383">
        <v>36</v>
      </c>
      <c r="C795" s="406"/>
      <c r="D795" s="407"/>
      <c r="E795" s="407"/>
      <c r="F795" s="407"/>
      <c r="G795" s="407"/>
      <c r="H795" s="407"/>
      <c r="I795" s="408" t="s">
        <v>447</v>
      </c>
      <c r="J795" s="409" t="str">
        <f t="shared" si="160"/>
        <v>A=(Ancho x Largo)* Cant</v>
      </c>
      <c r="K795" s="410" t="str">
        <f>+K784</f>
        <v>M2</v>
      </c>
      <c r="L795" s="411">
        <f t="shared" ref="L795:L796" si="176">+N795*O795</f>
        <v>4.75</v>
      </c>
      <c r="M795" s="412"/>
      <c r="N795" s="442">
        <f>+S795/2.8</f>
        <v>1.6964285714285716</v>
      </c>
      <c r="O795" s="442">
        <v>2.8</v>
      </c>
      <c r="P795" s="412"/>
      <c r="Q795" s="411"/>
      <c r="R795" s="413">
        <v>1</v>
      </c>
      <c r="S795" s="414">
        <f>+HLOOKUP(A795,[238]Hoja1!$2:$78,59,FALSE)</f>
        <v>4.75</v>
      </c>
      <c r="X795" s="458">
        <f t="shared" si="171"/>
        <v>4.75</v>
      </c>
      <c r="Y795" s="471">
        <f t="shared" si="162"/>
        <v>0</v>
      </c>
    </row>
    <row r="796" spans="1:25" ht="25.5">
      <c r="A796" s="383">
        <v>37</v>
      </c>
      <c r="C796" s="406"/>
      <c r="D796" s="407"/>
      <c r="E796" s="407"/>
      <c r="F796" s="407"/>
      <c r="G796" s="407"/>
      <c r="H796" s="407"/>
      <c r="I796" s="408" t="s">
        <v>448</v>
      </c>
      <c r="J796" s="409" t="str">
        <f t="shared" si="160"/>
        <v>A=(Ancho x Largo)* Cant</v>
      </c>
      <c r="K796" s="410" t="str">
        <f t="shared" ref="K796:K802" si="177">+K795</f>
        <v>M2</v>
      </c>
      <c r="L796" s="411">
        <f t="shared" si="176"/>
        <v>6.9160000000000004</v>
      </c>
      <c r="M796" s="412"/>
      <c r="N796" s="442">
        <f>+S796/2.8</f>
        <v>2.4700000000000002</v>
      </c>
      <c r="O796" s="442">
        <v>2.8</v>
      </c>
      <c r="P796" s="449"/>
      <c r="Q796" s="411"/>
      <c r="R796" s="413">
        <v>1</v>
      </c>
      <c r="S796" s="414">
        <f>+HLOOKUP(A796,[238]Hoja1!$2:$78,59,FALSE)</f>
        <v>6.9160000000000004</v>
      </c>
      <c r="X796" s="458">
        <f t="shared" si="171"/>
        <v>6.9160000000000004</v>
      </c>
      <c r="Y796" s="471">
        <f t="shared" si="162"/>
        <v>0</v>
      </c>
    </row>
    <row r="797" spans="1:25" ht="25.5">
      <c r="A797" s="383">
        <v>38</v>
      </c>
      <c r="C797" s="406"/>
      <c r="D797" s="440"/>
      <c r="E797" s="407"/>
      <c r="F797" s="407"/>
      <c r="G797" s="407"/>
      <c r="H797" s="437"/>
      <c r="I797" s="408" t="s">
        <v>449</v>
      </c>
      <c r="J797" s="409" t="str">
        <f t="shared" si="160"/>
        <v>A=(Ancho x Largo)* Cant</v>
      </c>
      <c r="K797" s="410" t="str">
        <f t="shared" si="177"/>
        <v>M2</v>
      </c>
      <c r="L797" s="411"/>
      <c r="M797" s="412"/>
      <c r="N797" s="442"/>
      <c r="O797" s="442"/>
      <c r="P797" s="413"/>
      <c r="Q797" s="411"/>
      <c r="R797" s="413">
        <v>1</v>
      </c>
      <c r="S797" s="414">
        <f>+HLOOKUP(A797,[238]Hoja1!$2:$78,59,FALSE)</f>
        <v>6.25</v>
      </c>
      <c r="X797" s="458">
        <f t="shared" si="171"/>
        <v>0</v>
      </c>
      <c r="Y797" s="471">
        <f t="shared" si="162"/>
        <v>0</v>
      </c>
    </row>
    <row r="798" spans="1:25" ht="25.5">
      <c r="A798" s="383">
        <v>39</v>
      </c>
      <c r="C798" s="406"/>
      <c r="D798" s="407"/>
      <c r="E798" s="407"/>
      <c r="F798" s="407"/>
      <c r="G798" s="407"/>
      <c r="H798" s="407"/>
      <c r="I798" s="408" t="s">
        <v>450</v>
      </c>
      <c r="J798" s="409" t="str">
        <f t="shared" si="160"/>
        <v>A=(Ancho x Largo)* Cant</v>
      </c>
      <c r="K798" s="410" t="str">
        <f t="shared" si="177"/>
        <v>M2</v>
      </c>
      <c r="L798" s="411"/>
      <c r="M798" s="412"/>
      <c r="N798" s="441"/>
      <c r="O798" s="441"/>
      <c r="P798" s="412"/>
      <c r="Q798" s="411"/>
      <c r="R798" s="413"/>
      <c r="S798" s="414">
        <f>+HLOOKUP(A798,[238]Hoja1!$2:$78,59,FALSE)</f>
        <v>0</v>
      </c>
      <c r="X798" s="458">
        <f t="shared" si="171"/>
        <v>0</v>
      </c>
      <c r="Y798" s="471">
        <f t="shared" si="162"/>
        <v>0</v>
      </c>
    </row>
    <row r="799" spans="1:25" ht="25.5">
      <c r="A799" s="383">
        <v>40</v>
      </c>
      <c r="C799" s="406"/>
      <c r="D799" s="407"/>
      <c r="E799" s="407"/>
      <c r="F799" s="407"/>
      <c r="G799" s="407"/>
      <c r="H799" s="407"/>
      <c r="I799" s="408" t="s">
        <v>451</v>
      </c>
      <c r="J799" s="409" t="str">
        <f t="shared" si="160"/>
        <v>A=(Ancho x Largo)* Cant</v>
      </c>
      <c r="K799" s="410" t="str">
        <f t="shared" si="177"/>
        <v>M2</v>
      </c>
      <c r="L799" s="411">
        <f t="shared" ref="L799:L800" si="178">+N799*O799</f>
        <v>4.75</v>
      </c>
      <c r="M799" s="412"/>
      <c r="N799" s="442">
        <f>+S799/2.8</f>
        <v>1.6964285714285716</v>
      </c>
      <c r="O799" s="442">
        <v>2.8</v>
      </c>
      <c r="P799" s="412"/>
      <c r="Q799" s="411"/>
      <c r="R799" s="413">
        <v>1</v>
      </c>
      <c r="S799" s="414">
        <f>+HLOOKUP(A799,[238]Hoja1!$2:$78,59,FALSE)</f>
        <v>4.75</v>
      </c>
      <c r="X799" s="458">
        <f t="shared" si="171"/>
        <v>4.75</v>
      </c>
      <c r="Y799" s="471">
        <f t="shared" si="162"/>
        <v>0</v>
      </c>
    </row>
    <row r="800" spans="1:25" ht="25.5">
      <c r="A800" s="383">
        <v>41</v>
      </c>
      <c r="C800" s="406"/>
      <c r="D800" s="407"/>
      <c r="E800" s="407"/>
      <c r="F800" s="407"/>
      <c r="G800" s="407"/>
      <c r="H800" s="407"/>
      <c r="I800" s="408" t="s">
        <v>452</v>
      </c>
      <c r="J800" s="409" t="str">
        <f t="shared" si="160"/>
        <v>A=(Ancho x Largo)* Cant</v>
      </c>
      <c r="K800" s="410" t="str">
        <f t="shared" si="177"/>
        <v>M2</v>
      </c>
      <c r="L800" s="411">
        <f t="shared" si="178"/>
        <v>2.66</v>
      </c>
      <c r="M800" s="412"/>
      <c r="N800" s="442">
        <v>0.95</v>
      </c>
      <c r="O800" s="442">
        <f>+S800/0.95</f>
        <v>2.8000000000000003</v>
      </c>
      <c r="P800" s="413"/>
      <c r="Q800" s="411"/>
      <c r="R800" s="413">
        <v>1</v>
      </c>
      <c r="S800" s="414">
        <f>+HLOOKUP(A800,[238]Hoja1!$2:$78,59,FALSE)</f>
        <v>2.66</v>
      </c>
      <c r="X800" s="458">
        <f t="shared" si="171"/>
        <v>2.66</v>
      </c>
      <c r="Y800" s="471">
        <f t="shared" si="162"/>
        <v>0</v>
      </c>
    </row>
    <row r="801" spans="1:25" ht="25.5">
      <c r="A801" s="383">
        <v>42</v>
      </c>
      <c r="C801" s="406"/>
      <c r="D801" s="407"/>
      <c r="E801" s="407"/>
      <c r="F801" s="407"/>
      <c r="G801" s="407"/>
      <c r="H801" s="407"/>
      <c r="I801" s="408" t="s">
        <v>453</v>
      </c>
      <c r="J801" s="409" t="str">
        <f t="shared" si="160"/>
        <v>A=(Ancho x Largo)* Cant</v>
      </c>
      <c r="K801" s="410" t="str">
        <f t="shared" si="177"/>
        <v>M2</v>
      </c>
      <c r="L801" s="411"/>
      <c r="M801" s="412"/>
      <c r="N801" s="442"/>
      <c r="O801" s="442"/>
      <c r="P801" s="412"/>
      <c r="Q801" s="411"/>
      <c r="R801" s="413"/>
      <c r="S801" s="414">
        <f>+HLOOKUP(A801,[238]Hoja1!$2:$78,59,FALSE)</f>
        <v>0</v>
      </c>
      <c r="X801" s="458">
        <f t="shared" si="171"/>
        <v>0</v>
      </c>
      <c r="Y801" s="471">
        <f t="shared" si="162"/>
        <v>0</v>
      </c>
    </row>
    <row r="802" spans="1:25" ht="26.25" thickBot="1">
      <c r="A802" s="383">
        <v>43</v>
      </c>
      <c r="C802" s="406"/>
      <c r="D802" s="407"/>
      <c r="E802" s="407"/>
      <c r="F802" s="407"/>
      <c r="G802" s="407"/>
      <c r="H802" s="407"/>
      <c r="I802" s="408" t="s">
        <v>454</v>
      </c>
      <c r="J802" s="409" t="str">
        <f t="shared" si="160"/>
        <v>A=(Ancho x Largo)* Cant</v>
      </c>
      <c r="K802" s="410" t="str">
        <f t="shared" si="177"/>
        <v>M2</v>
      </c>
      <c r="L802" s="411"/>
      <c r="M802" s="412"/>
      <c r="N802" s="442"/>
      <c r="O802" s="442"/>
      <c r="P802" s="412"/>
      <c r="Q802" s="411"/>
      <c r="R802" s="413"/>
      <c r="S802" s="414">
        <f>+HLOOKUP(A802,[238]Hoja1!$2:$78,59,FALSE)</f>
        <v>0</v>
      </c>
      <c r="X802" s="458">
        <f t="shared" si="171"/>
        <v>0</v>
      </c>
      <c r="Y802" s="471">
        <f t="shared" si="162"/>
        <v>0</v>
      </c>
    </row>
    <row r="803" spans="1:25">
      <c r="C803" s="384"/>
      <c r="D803" s="419"/>
      <c r="E803" s="420"/>
      <c r="F803" s="421"/>
      <c r="G803" s="421"/>
      <c r="H803" s="421"/>
      <c r="I803" s="421"/>
      <c r="J803" s="422"/>
      <c r="K803" s="421"/>
      <c r="L803" s="421"/>
      <c r="M803" s="421"/>
      <c r="N803" s="421"/>
      <c r="O803" s="421"/>
      <c r="P803" s="421"/>
      <c r="Q803" s="421"/>
      <c r="R803" s="422"/>
      <c r="S803" s="423"/>
    </row>
    <row r="804" spans="1:25">
      <c r="C804" s="396"/>
      <c r="D804" s="397"/>
      <c r="E804" s="424"/>
      <c r="F804" s="425"/>
      <c r="G804" s="425"/>
      <c r="H804" s="425"/>
      <c r="I804" s="425"/>
      <c r="J804" s="398"/>
      <c r="K804" s="425"/>
      <c r="L804" s="425"/>
      <c r="M804" s="397"/>
      <c r="N804" s="397"/>
      <c r="O804" s="562" t="s">
        <v>455</v>
      </c>
      <c r="P804" s="563"/>
      <c r="Q804" s="564"/>
      <c r="R804" s="426"/>
      <c r="S804" s="427">
        <f>ROUND(SUM(S760:S803),2)</f>
        <v>172.14</v>
      </c>
    </row>
    <row r="805" spans="1:25">
      <c r="C805" s="396"/>
      <c r="D805" s="397"/>
      <c r="E805" s="424"/>
      <c r="F805" s="425"/>
      <c r="G805" s="425"/>
      <c r="H805" s="425"/>
      <c r="I805" s="425"/>
      <c r="J805" s="398"/>
      <c r="K805" s="425"/>
      <c r="L805" s="425"/>
      <c r="M805" s="428"/>
      <c r="N805" s="428"/>
      <c r="O805" s="429"/>
      <c r="P805" s="425"/>
      <c r="Q805" s="425"/>
      <c r="R805" s="430"/>
      <c r="S805" s="431"/>
    </row>
    <row r="806" spans="1:25">
      <c r="C806" s="565" t="e">
        <v>#REF!</v>
      </c>
      <c r="D806" s="566"/>
      <c r="E806" s="566"/>
      <c r="F806" s="566"/>
      <c r="G806" s="566"/>
      <c r="H806" s="566"/>
      <c r="I806" s="566"/>
      <c r="J806" s="566"/>
      <c r="K806" s="566"/>
      <c r="L806" s="566"/>
      <c r="M806" s="566"/>
      <c r="N806" s="567"/>
      <c r="O806" s="568" t="s">
        <v>422</v>
      </c>
      <c r="P806" s="568"/>
      <c r="Q806" s="568"/>
      <c r="R806" s="426"/>
      <c r="S806" s="427">
        <f>S804</f>
        <v>172.14</v>
      </c>
    </row>
    <row r="807" spans="1:25">
      <c r="C807" s="396"/>
      <c r="D807" s="397"/>
      <c r="E807" s="424"/>
      <c r="F807" s="425"/>
      <c r="G807" s="425"/>
      <c r="H807" s="425"/>
      <c r="I807" s="425"/>
      <c r="J807" s="398"/>
      <c r="K807" s="425"/>
      <c r="L807" s="425"/>
      <c r="M807" s="428"/>
      <c r="N807" s="428"/>
      <c r="O807" s="429"/>
      <c r="P807" s="425"/>
      <c r="Q807" s="398"/>
      <c r="R807" s="398"/>
      <c r="S807" s="432"/>
    </row>
    <row r="808" spans="1:25">
      <c r="C808" s="396"/>
      <c r="D808" s="397"/>
      <c r="E808" s="424"/>
      <c r="F808" s="425"/>
      <c r="G808" s="425"/>
      <c r="H808" s="425"/>
      <c r="I808" s="425"/>
      <c r="J808" s="398"/>
      <c r="K808" s="425"/>
      <c r="L808" s="425"/>
      <c r="M808" s="428"/>
      <c r="N808" s="428"/>
      <c r="O808" s="429"/>
      <c r="P808" s="425"/>
      <c r="Q808" s="398"/>
      <c r="R808" s="398"/>
      <c r="S808" s="432"/>
    </row>
    <row r="809" spans="1:25">
      <c r="C809" s="569" t="s">
        <v>423</v>
      </c>
      <c r="D809" s="570"/>
      <c r="E809" s="570"/>
      <c r="F809" s="570"/>
      <c r="G809" s="570"/>
      <c r="H809" s="570"/>
      <c r="I809" s="570"/>
      <c r="J809" s="571"/>
      <c r="K809" s="433" t="s">
        <v>424</v>
      </c>
      <c r="L809" s="434"/>
      <c r="M809" s="434"/>
      <c r="N809" s="434"/>
      <c r="O809" s="434"/>
      <c r="P809" s="434"/>
      <c r="Q809" s="434"/>
      <c r="R809" s="434"/>
      <c r="S809" s="435"/>
    </row>
    <row r="810" spans="1:25">
      <c r="C810" s="542"/>
      <c r="D810" s="543"/>
      <c r="E810" s="543"/>
      <c r="F810" s="543"/>
      <c r="G810" s="436"/>
      <c r="H810" s="436"/>
      <c r="I810" s="436"/>
      <c r="J810" s="447"/>
      <c r="K810" s="436"/>
      <c r="L810" s="407"/>
      <c r="M810" s="407"/>
      <c r="N810" s="407"/>
      <c r="O810" s="407"/>
      <c r="P810" s="407"/>
      <c r="Q810" s="407"/>
      <c r="R810" s="407"/>
      <c r="S810" s="437"/>
    </row>
    <row r="811" spans="1:25">
      <c r="C811" s="542"/>
      <c r="D811" s="543"/>
      <c r="E811" s="543"/>
      <c r="F811" s="543"/>
      <c r="G811" s="436"/>
      <c r="H811" s="436"/>
      <c r="I811" s="436"/>
      <c r="J811" s="447"/>
      <c r="K811" s="436"/>
      <c r="L811" s="407"/>
      <c r="M811" s="407"/>
      <c r="N811" s="407"/>
      <c r="O811" s="407"/>
      <c r="P811" s="407"/>
      <c r="Q811" s="407"/>
      <c r="R811" s="407"/>
      <c r="S811" s="437"/>
    </row>
    <row r="812" spans="1:25">
      <c r="C812" s="542" t="s">
        <v>425</v>
      </c>
      <c r="D812" s="543"/>
      <c r="E812" s="543" t="s">
        <v>425</v>
      </c>
      <c r="F812" s="543"/>
      <c r="G812" s="543" t="s">
        <v>425</v>
      </c>
      <c r="H812" s="543"/>
      <c r="I812" s="543" t="s">
        <v>425</v>
      </c>
      <c r="J812" s="544"/>
      <c r="K812" s="545" t="s">
        <v>426</v>
      </c>
      <c r="L812" s="546"/>
      <c r="M812" s="546"/>
      <c r="N812" s="546"/>
      <c r="O812" s="546"/>
      <c r="P812" s="546"/>
      <c r="Q812" s="546"/>
      <c r="R812" s="546"/>
      <c r="S812" s="547"/>
    </row>
    <row r="813" spans="1:25">
      <c r="C813" s="548" t="str">
        <f>+[42]DATOS!D$8</f>
        <v>HELMER EDUARDO BECERRA SANTANDER</v>
      </c>
      <c r="D813" s="549"/>
      <c r="E813" s="549" t="s">
        <v>427</v>
      </c>
      <c r="F813" s="549"/>
      <c r="G813" s="549" t="s">
        <v>427</v>
      </c>
      <c r="H813" s="549"/>
      <c r="I813" s="549" t="s">
        <v>427</v>
      </c>
      <c r="J813" s="550"/>
      <c r="K813" s="551" t="str">
        <f>+[42]DATOS!D$11</f>
        <v>JESUS IVAN QUIÑONES RUEDA</v>
      </c>
      <c r="L813" s="549"/>
      <c r="M813" s="549"/>
      <c r="N813" s="549"/>
      <c r="O813" s="549"/>
      <c r="P813" s="549"/>
      <c r="Q813" s="549"/>
      <c r="R813" s="549"/>
      <c r="S813" s="552"/>
    </row>
    <row r="814" spans="1:25">
      <c r="C814" s="553" t="str">
        <f>+$C$72</f>
        <v>APOYO SEC. DE PLANEACION Y OBRAS PÚBLICAS</v>
      </c>
      <c r="D814" s="554"/>
      <c r="E814" s="554" t="s">
        <v>428</v>
      </c>
      <c r="F814" s="554"/>
      <c r="G814" s="554" t="s">
        <v>428</v>
      </c>
      <c r="H814" s="554"/>
      <c r="I814" s="554" t="s">
        <v>428</v>
      </c>
      <c r="J814" s="555"/>
      <c r="K814" s="556" t="str">
        <f>+$K$72</f>
        <v>SECRETARIO DE PLANEACION Y OBRAS PÚBLICAS</v>
      </c>
      <c r="L814" s="554"/>
      <c r="M814" s="554"/>
      <c r="N814" s="554"/>
      <c r="O814" s="554"/>
      <c r="P814" s="554"/>
      <c r="Q814" s="554"/>
      <c r="R814" s="554"/>
      <c r="S814" s="557"/>
    </row>
    <row r="815" spans="1:25">
      <c r="C815" s="406"/>
      <c r="D815" s="407"/>
      <c r="E815" s="407"/>
      <c r="F815" s="407"/>
      <c r="G815" s="407"/>
      <c r="H815" s="407"/>
      <c r="I815" s="407"/>
      <c r="J815" s="407"/>
      <c r="K815" s="407"/>
      <c r="L815" s="407"/>
      <c r="M815" s="407"/>
      <c r="N815" s="407"/>
      <c r="O815" s="407"/>
      <c r="P815" s="407"/>
      <c r="Q815" s="407"/>
      <c r="R815" s="407"/>
      <c r="S815" s="437"/>
    </row>
    <row r="816" spans="1:25" ht="111" customHeight="1" thickBot="1">
      <c r="C816" s="417"/>
      <c r="D816" s="418"/>
      <c r="E816" s="418"/>
      <c r="F816" s="418"/>
      <c r="G816" s="418"/>
      <c r="H816" s="418"/>
      <c r="I816" s="418"/>
      <c r="J816" s="418"/>
      <c r="K816" s="418"/>
      <c r="L816" s="418"/>
      <c r="M816" s="418"/>
      <c r="N816" s="418"/>
      <c r="O816" s="418"/>
      <c r="P816" s="418"/>
      <c r="Q816" s="418"/>
      <c r="R816" s="418"/>
      <c r="S816" s="438"/>
    </row>
    <row r="817" spans="3:22" ht="22.5" customHeight="1"/>
    <row r="818" spans="3:22" ht="13.5" thickBot="1"/>
    <row r="819" spans="3:22">
      <c r="C819" s="384"/>
      <c r="D819" s="385"/>
      <c r="E819" s="385"/>
      <c r="F819" s="385"/>
      <c r="G819" s="385"/>
      <c r="H819" s="385"/>
      <c r="I819" s="385"/>
      <c r="J819" s="445"/>
      <c r="K819" s="385"/>
      <c r="L819" s="385"/>
      <c r="M819" s="385"/>
      <c r="N819" s="385"/>
      <c r="O819" s="385"/>
      <c r="P819" s="385"/>
      <c r="Q819" s="385"/>
      <c r="R819" s="385"/>
      <c r="S819" s="386"/>
    </row>
    <row r="820" spans="3:22" ht="121.5" customHeight="1" thickBot="1">
      <c r="C820" s="387"/>
      <c r="D820" s="388"/>
      <c r="E820" s="388"/>
      <c r="F820" s="388"/>
      <c r="G820" s="388"/>
      <c r="H820" s="388"/>
      <c r="I820" s="388"/>
      <c r="J820" s="446"/>
      <c r="K820" s="388"/>
      <c r="L820" s="388"/>
      <c r="M820" s="388"/>
      <c r="N820" s="388"/>
      <c r="O820" s="388"/>
      <c r="P820" s="388"/>
      <c r="Q820" s="388"/>
      <c r="R820" s="388"/>
      <c r="S820" s="389"/>
    </row>
    <row r="821" spans="3:22">
      <c r="C821" s="592" t="str">
        <f>+[42]DATOS!C$7</f>
        <v>MEJORAMIENTO DE VIVIENDA CON ENFOQUE DIFERENCIAL PARA POBLACIÓN VULNERABLE EN EL MUNICIPIO DE CUBARÁ, BOYACÁ (2026).</v>
      </c>
      <c r="D821" s="593"/>
      <c r="E821" s="593"/>
      <c r="F821" s="593"/>
      <c r="G821" s="593"/>
      <c r="H821" s="593"/>
      <c r="I821" s="593"/>
      <c r="J821" s="593"/>
      <c r="K821" s="593"/>
      <c r="L821" s="593"/>
      <c r="M821" s="593"/>
      <c r="N821" s="593"/>
      <c r="O821" s="593"/>
      <c r="P821" s="593"/>
      <c r="Q821" s="593"/>
      <c r="R821" s="593"/>
      <c r="S821" s="594"/>
    </row>
    <row r="822" spans="3:22">
      <c r="C822" s="595"/>
      <c r="D822" s="596"/>
      <c r="E822" s="596"/>
      <c r="F822" s="596"/>
      <c r="G822" s="596"/>
      <c r="H822" s="596"/>
      <c r="I822" s="596"/>
      <c r="J822" s="596"/>
      <c r="K822" s="596"/>
      <c r="L822" s="596"/>
      <c r="M822" s="596"/>
      <c r="N822" s="596"/>
      <c r="O822" s="596"/>
      <c r="P822" s="596"/>
      <c r="Q822" s="596"/>
      <c r="R822" s="596"/>
      <c r="S822" s="597"/>
    </row>
    <row r="823" spans="3:22">
      <c r="C823" s="598" t="s">
        <v>371</v>
      </c>
      <c r="D823" s="599"/>
      <c r="E823" s="599"/>
      <c r="F823" s="599"/>
      <c r="G823" s="599"/>
      <c r="H823" s="599"/>
      <c r="I823" s="599"/>
      <c r="J823" s="599"/>
      <c r="K823" s="599"/>
      <c r="L823" s="599"/>
      <c r="M823" s="599"/>
      <c r="N823" s="599"/>
      <c r="O823" s="599"/>
      <c r="P823" s="599"/>
      <c r="Q823" s="599"/>
      <c r="R823" s="599"/>
      <c r="S823" s="600"/>
    </row>
    <row r="824" spans="3:22">
      <c r="C824" s="586" t="s">
        <v>372</v>
      </c>
      <c r="D824" s="587"/>
      <c r="E824" s="601" t="s">
        <v>373</v>
      </c>
      <c r="F824" s="601"/>
      <c r="G824" s="601"/>
      <c r="H824" s="601"/>
      <c r="I824" s="601"/>
      <c r="J824" s="601"/>
      <c r="K824" s="601"/>
      <c r="L824" s="601"/>
      <c r="M824" s="601"/>
      <c r="N824" s="601"/>
      <c r="O824" s="601"/>
      <c r="P824" s="601"/>
      <c r="Q824" s="601"/>
      <c r="R824" s="601"/>
      <c r="S824" s="602"/>
    </row>
    <row r="825" spans="3:22">
      <c r="C825" s="586" t="s">
        <v>374</v>
      </c>
      <c r="D825" s="587"/>
      <c r="E825" s="603" t="s">
        <v>375</v>
      </c>
      <c r="F825" s="604"/>
      <c r="G825" s="604"/>
      <c r="H825" s="604"/>
      <c r="I825" s="604"/>
      <c r="J825" s="604"/>
      <c r="K825" s="604"/>
      <c r="L825" s="604"/>
      <c r="M825" s="604"/>
      <c r="N825" s="604"/>
      <c r="O825" s="604"/>
      <c r="P825" s="604"/>
      <c r="Q825" s="604"/>
      <c r="R825" s="604"/>
      <c r="S825" s="605"/>
    </row>
    <row r="826" spans="3:22">
      <c r="C826" s="586" t="s">
        <v>376</v>
      </c>
      <c r="D826" s="587"/>
      <c r="E826" s="390">
        <f>+[42]DATOS!F$5</f>
        <v>46143</v>
      </c>
      <c r="F826" s="391"/>
      <c r="G826" s="391"/>
      <c r="H826" s="391"/>
      <c r="I826" s="391"/>
      <c r="J826" s="391"/>
      <c r="K826" s="568" t="s">
        <v>377</v>
      </c>
      <c r="L826" s="568"/>
      <c r="M826" s="588" t="s">
        <v>378</v>
      </c>
      <c r="N826" s="588"/>
      <c r="O826" s="588"/>
      <c r="P826" s="588"/>
      <c r="Q826" s="588"/>
      <c r="R826" s="588"/>
      <c r="S826" s="589"/>
    </row>
    <row r="827" spans="3:22" ht="25.5">
      <c r="C827" s="586" t="s">
        <v>379</v>
      </c>
      <c r="D827" s="587"/>
      <c r="E827" s="590" t="s">
        <v>380</v>
      </c>
      <c r="F827" s="591"/>
      <c r="G827" s="392">
        <f>+[42]DATOS!E$5</f>
        <v>2026</v>
      </c>
      <c r="H827" s="393" t="s">
        <v>381</v>
      </c>
      <c r="I827" s="394">
        <f>+[42]DATOS!E$5</f>
        <v>2026</v>
      </c>
      <c r="J827" s="395"/>
      <c r="K827" s="568" t="s">
        <v>382</v>
      </c>
      <c r="L827" s="568"/>
      <c r="M827" s="588" t="s">
        <v>383</v>
      </c>
      <c r="N827" s="588"/>
      <c r="O827" s="588"/>
      <c r="P827" s="588"/>
      <c r="Q827" s="588"/>
      <c r="R827" s="588"/>
      <c r="S827" s="589"/>
    </row>
    <row r="828" spans="3:22">
      <c r="C828" s="396"/>
      <c r="D828" s="397"/>
      <c r="E828" s="397"/>
      <c r="F828" s="398"/>
      <c r="G828" s="398"/>
      <c r="H828" s="398"/>
      <c r="I828" s="398"/>
      <c r="J828" s="398"/>
      <c r="K828" s="398"/>
      <c r="L828" s="398"/>
      <c r="M828" s="398"/>
      <c r="N828" s="398"/>
      <c r="O828" s="398"/>
      <c r="P828" s="398"/>
      <c r="Q828" s="398"/>
      <c r="R828" s="398"/>
      <c r="S828" s="399"/>
    </row>
    <row r="829" spans="3:22">
      <c r="C829" s="572" t="s">
        <v>384</v>
      </c>
      <c r="D829" s="573"/>
      <c r="E829" s="573"/>
      <c r="F829" s="573"/>
      <c r="G829" s="573"/>
      <c r="H829" s="573"/>
      <c r="I829" s="573"/>
      <c r="J829" s="573"/>
      <c r="K829" s="573"/>
      <c r="L829" s="573"/>
      <c r="M829" s="573"/>
      <c r="N829" s="573"/>
      <c r="O829" s="573"/>
      <c r="P829" s="573"/>
      <c r="Q829" s="573"/>
      <c r="R829" s="573"/>
      <c r="S829" s="574"/>
    </row>
    <row r="830" spans="3:22">
      <c r="C830" s="396"/>
      <c r="D830" s="397"/>
      <c r="E830" s="397"/>
      <c r="F830" s="398"/>
      <c r="G830" s="398"/>
      <c r="H830" s="398"/>
      <c r="I830" s="398"/>
      <c r="J830" s="398"/>
      <c r="K830" s="398"/>
      <c r="L830" s="398"/>
      <c r="M830" s="398"/>
      <c r="N830" s="398"/>
      <c r="O830" s="398"/>
      <c r="P830" s="398"/>
      <c r="Q830" s="398"/>
      <c r="R830" s="398"/>
      <c r="S830" s="399"/>
    </row>
    <row r="831" spans="3:22">
      <c r="C831" s="400" t="s">
        <v>385</v>
      </c>
      <c r="D831" s="575" t="s">
        <v>386</v>
      </c>
      <c r="E831" s="575"/>
      <c r="F831" s="576" t="s">
        <v>387</v>
      </c>
      <c r="G831" s="577"/>
      <c r="H831" s="577"/>
      <c r="I831" s="576" t="s">
        <v>388</v>
      </c>
      <c r="J831" s="576" t="s">
        <v>389</v>
      </c>
      <c r="K831" s="579"/>
      <c r="L831" s="581" t="s">
        <v>390</v>
      </c>
      <c r="M831" s="581"/>
      <c r="N831" s="581"/>
      <c r="O831" s="581"/>
      <c r="P831" s="581"/>
      <c r="Q831" s="581"/>
      <c r="R831" s="581" t="s">
        <v>391</v>
      </c>
      <c r="S831" s="582"/>
    </row>
    <row r="832" spans="3:22" ht="38.25">
      <c r="C832" s="403">
        <f>+'PRESUPUESTO OFICIAL '!C75</f>
        <v>6.07</v>
      </c>
      <c r="D832" s="583" t="str">
        <f>+VLOOKUP(C832,'PRESUPUESTO OFICIAL '!$C$11:$H$103,2)</f>
        <v>ENCHAPE CERÁMICO EN MESÓN DE COCINA</v>
      </c>
      <c r="E832" s="584"/>
      <c r="F832" s="585" t="str">
        <f>+VLOOKUP(C832,'PRESUPUESTO OFICIAL '!$C$11:$H$103,3)</f>
        <v>M2</v>
      </c>
      <c r="G832" s="585"/>
      <c r="H832" s="585"/>
      <c r="I832" s="578"/>
      <c r="J832" s="578"/>
      <c r="K832" s="580"/>
      <c r="L832" s="401" t="s">
        <v>392</v>
      </c>
      <c r="M832" s="401" t="s">
        <v>393</v>
      </c>
      <c r="N832" s="401" t="s">
        <v>394</v>
      </c>
      <c r="O832" s="401" t="s">
        <v>395</v>
      </c>
      <c r="P832" s="401" t="s">
        <v>396</v>
      </c>
      <c r="Q832" s="401" t="s">
        <v>397</v>
      </c>
      <c r="R832" s="401" t="s">
        <v>398</v>
      </c>
      <c r="S832" s="402" t="s">
        <v>399</v>
      </c>
      <c r="U832" s="404">
        <f>+C832</f>
        <v>6.07</v>
      </c>
      <c r="V832" s="405">
        <f>+S880</f>
        <v>32.5</v>
      </c>
    </row>
    <row r="833" spans="1:25">
      <c r="C833" s="406"/>
      <c r="D833" s="407"/>
      <c r="E833" s="407"/>
      <c r="F833" s="407"/>
      <c r="G833" s="407"/>
      <c r="H833" s="407"/>
      <c r="I833" s="558"/>
      <c r="J833" s="559"/>
      <c r="K833" s="560"/>
      <c r="L833" s="560"/>
      <c r="M833" s="560"/>
      <c r="N833" s="560"/>
      <c r="O833" s="560"/>
      <c r="P833" s="560"/>
      <c r="Q833" s="560"/>
      <c r="R833" s="560"/>
      <c r="S833" s="561"/>
    </row>
    <row r="834" spans="1:25" ht="25.5">
      <c r="A834" s="383">
        <v>1</v>
      </c>
      <c r="C834" s="406"/>
      <c r="D834" s="407"/>
      <c r="E834" s="407"/>
      <c r="F834" s="407"/>
      <c r="G834" s="407"/>
      <c r="H834" s="407"/>
      <c r="I834" s="408" t="s">
        <v>400</v>
      </c>
      <c r="J834" s="409" t="str">
        <f t="shared" ref="J834:J876" si="179">+VLOOKUP(K834,$AH$22:$AJ$58,2,)</f>
        <v>A=(Ancho x Largo)* Cant</v>
      </c>
      <c r="K834" s="410" t="str">
        <f>+F832</f>
        <v>M2</v>
      </c>
      <c r="L834" s="411"/>
      <c r="M834" s="412"/>
      <c r="N834" s="442"/>
      <c r="O834" s="442"/>
      <c r="P834" s="413"/>
      <c r="Q834" s="411"/>
      <c r="R834" s="413"/>
      <c r="S834" s="414">
        <f>+HLOOKUP(A834,[238]Hoja1!$2:$78,60,FALSE)</f>
        <v>0</v>
      </c>
      <c r="X834" s="458">
        <f t="shared" ref="X834:X850" si="180">+N834*O834</f>
        <v>0</v>
      </c>
      <c r="Y834" s="471">
        <f t="shared" ref="Y834:Y876" si="181">+X834-L834</f>
        <v>0</v>
      </c>
    </row>
    <row r="835" spans="1:25" ht="25.5">
      <c r="A835" s="383">
        <v>2</v>
      </c>
      <c r="C835" s="406"/>
      <c r="D835" s="407"/>
      <c r="E835" s="407"/>
      <c r="F835" s="407"/>
      <c r="G835" s="407"/>
      <c r="H835" s="407"/>
      <c r="I835" s="408" t="s">
        <v>401</v>
      </c>
      <c r="J835" s="409" t="str">
        <f t="shared" si="179"/>
        <v>A=(Ancho x Largo)* Cant</v>
      </c>
      <c r="K835" s="410" t="str">
        <f>+K834</f>
        <v>M2</v>
      </c>
      <c r="L835" s="411"/>
      <c r="M835" s="412"/>
      <c r="N835" s="442"/>
      <c r="O835" s="442"/>
      <c r="P835" s="413"/>
      <c r="Q835" s="411"/>
      <c r="R835" s="413"/>
      <c r="S835" s="414">
        <f>+HLOOKUP(A835,[238]Hoja1!$2:$78,60,FALSE)</f>
        <v>0</v>
      </c>
      <c r="X835" s="458">
        <f t="shared" si="180"/>
        <v>0</v>
      </c>
      <c r="Y835" s="471">
        <f t="shared" si="181"/>
        <v>0</v>
      </c>
    </row>
    <row r="836" spans="1:25" ht="25.5">
      <c r="A836" s="383">
        <v>3</v>
      </c>
      <c r="C836" s="406"/>
      <c r="D836" s="407"/>
      <c r="E836" s="407"/>
      <c r="F836" s="407"/>
      <c r="G836" s="407"/>
      <c r="H836" s="407"/>
      <c r="I836" s="408" t="s">
        <v>402</v>
      </c>
      <c r="J836" s="409" t="str">
        <f t="shared" si="179"/>
        <v>A=(Ancho x Largo)* Cant</v>
      </c>
      <c r="K836" s="410" t="str">
        <f>+K835</f>
        <v>M2</v>
      </c>
      <c r="L836" s="411"/>
      <c r="M836" s="412"/>
      <c r="N836" s="442"/>
      <c r="O836" s="442"/>
      <c r="P836" s="413"/>
      <c r="Q836" s="411"/>
      <c r="R836" s="413"/>
      <c r="S836" s="414">
        <f>+HLOOKUP(A836,[238]Hoja1!$2:$78,60,FALSE)</f>
        <v>0</v>
      </c>
      <c r="X836" s="458">
        <f t="shared" si="180"/>
        <v>0</v>
      </c>
      <c r="Y836" s="471">
        <f t="shared" si="181"/>
        <v>0</v>
      </c>
    </row>
    <row r="837" spans="1:25" ht="25.5">
      <c r="A837" s="383">
        <v>4</v>
      </c>
      <c r="C837" s="406"/>
      <c r="D837" s="407"/>
      <c r="E837" s="407"/>
      <c r="F837" s="407"/>
      <c r="G837" s="407"/>
      <c r="H837" s="407"/>
      <c r="I837" s="408" t="s">
        <v>403</v>
      </c>
      <c r="J837" s="409" t="str">
        <f t="shared" si="179"/>
        <v>A=(Ancho x Largo)* Cant</v>
      </c>
      <c r="K837" s="410" t="str">
        <f>+K836</f>
        <v>M2</v>
      </c>
      <c r="L837" s="411"/>
      <c r="M837" s="412"/>
      <c r="N837" s="442"/>
      <c r="O837" s="442"/>
      <c r="P837" s="413"/>
      <c r="Q837" s="411"/>
      <c r="R837" s="413"/>
      <c r="S837" s="414">
        <f>+HLOOKUP(A837,[238]Hoja1!$2:$78,60,FALSE)</f>
        <v>0</v>
      </c>
      <c r="X837" s="458">
        <f t="shared" si="180"/>
        <v>0</v>
      </c>
      <c r="Y837" s="471">
        <f t="shared" si="181"/>
        <v>0</v>
      </c>
    </row>
    <row r="838" spans="1:25" ht="25.5">
      <c r="A838" s="383">
        <v>5</v>
      </c>
      <c r="C838" s="406"/>
      <c r="D838" s="407"/>
      <c r="E838" s="407"/>
      <c r="F838" s="407"/>
      <c r="G838" s="407"/>
      <c r="H838" s="407"/>
      <c r="I838" s="408" t="s">
        <v>405</v>
      </c>
      <c r="J838" s="409" t="str">
        <f t="shared" si="179"/>
        <v>A=(Ancho x Largo)* Cant</v>
      </c>
      <c r="K838" s="410" t="str">
        <f>+K837</f>
        <v>M2</v>
      </c>
      <c r="L838" s="411"/>
      <c r="M838" s="412"/>
      <c r="N838" s="442"/>
      <c r="O838" s="442"/>
      <c r="P838" s="413"/>
      <c r="Q838" s="411"/>
      <c r="R838" s="413"/>
      <c r="S838" s="414">
        <f>+HLOOKUP(A838,[238]Hoja1!$2:$78,60,FALSE)</f>
        <v>0</v>
      </c>
      <c r="X838" s="458">
        <f t="shared" si="180"/>
        <v>0</v>
      </c>
      <c r="Y838" s="471">
        <f t="shared" si="181"/>
        <v>0</v>
      </c>
    </row>
    <row r="839" spans="1:25" ht="25.5">
      <c r="A839" s="383">
        <v>6</v>
      </c>
      <c r="C839" s="406"/>
      <c r="D839" s="407"/>
      <c r="E839" s="407"/>
      <c r="F839" s="407"/>
      <c r="G839" s="407"/>
      <c r="H839" s="407"/>
      <c r="I839" s="408" t="s">
        <v>407</v>
      </c>
      <c r="J839" s="409" t="str">
        <f t="shared" si="179"/>
        <v>A=(Ancho x Largo)* Cant</v>
      </c>
      <c r="K839" s="410" t="str">
        <f>+K838</f>
        <v>M2</v>
      </c>
      <c r="L839" s="411">
        <f t="shared" ref="L839:L873" si="182">+N839*O839</f>
        <v>2.6</v>
      </c>
      <c r="M839" s="412"/>
      <c r="N839" s="442">
        <v>0.65</v>
      </c>
      <c r="O839" s="442">
        <f t="shared" ref="O839:O873" si="183">+S839/N839</f>
        <v>4</v>
      </c>
      <c r="P839" s="413"/>
      <c r="Q839" s="411"/>
      <c r="R839" s="413">
        <v>1</v>
      </c>
      <c r="S839" s="414">
        <f>+HLOOKUP(A839,[238]Hoja1!$2:$78,60,FALSE)</f>
        <v>2.6</v>
      </c>
      <c r="X839" s="458">
        <f t="shared" si="180"/>
        <v>2.6</v>
      </c>
      <c r="Y839" s="471">
        <f t="shared" si="181"/>
        <v>0</v>
      </c>
    </row>
    <row r="840" spans="1:25" ht="25.5">
      <c r="A840" s="383">
        <v>7</v>
      </c>
      <c r="C840" s="406"/>
      <c r="D840" s="407"/>
      <c r="E840" s="407"/>
      <c r="F840" s="407"/>
      <c r="G840" s="407"/>
      <c r="H840" s="407"/>
      <c r="I840" s="408" t="s">
        <v>409</v>
      </c>
      <c r="J840" s="409" t="str">
        <f t="shared" si="179"/>
        <v>A=(Ancho x Largo)* Cant</v>
      </c>
      <c r="K840" s="410" t="str">
        <f>+K834</f>
        <v>M2</v>
      </c>
      <c r="L840" s="411"/>
      <c r="M840" s="412"/>
      <c r="N840" s="442"/>
      <c r="O840" s="442"/>
      <c r="P840" s="413"/>
      <c r="Q840" s="411"/>
      <c r="R840" s="413"/>
      <c r="S840" s="414">
        <f>+HLOOKUP(A840,[238]Hoja1!$2:$78,60,FALSE)</f>
        <v>0</v>
      </c>
      <c r="X840" s="458">
        <f t="shared" si="180"/>
        <v>0</v>
      </c>
      <c r="Y840" s="471">
        <f t="shared" si="181"/>
        <v>0</v>
      </c>
    </row>
    <row r="841" spans="1:25" ht="25.5">
      <c r="A841" s="383">
        <v>8</v>
      </c>
      <c r="C841" s="406"/>
      <c r="D841" s="407"/>
      <c r="E841" s="407"/>
      <c r="F841" s="407"/>
      <c r="G841" s="407"/>
      <c r="H841" s="407"/>
      <c r="I841" s="408" t="s">
        <v>411</v>
      </c>
      <c r="J841" s="409" t="str">
        <f t="shared" si="179"/>
        <v>A=(Ancho x Largo)* Cant</v>
      </c>
      <c r="K841" s="410" t="str">
        <f>+K840</f>
        <v>M2</v>
      </c>
      <c r="L841" s="411"/>
      <c r="M841" s="412"/>
      <c r="N841" s="442"/>
      <c r="O841" s="442"/>
      <c r="P841" s="413"/>
      <c r="Q841" s="411"/>
      <c r="R841" s="413"/>
      <c r="S841" s="414">
        <f>+HLOOKUP(A841,[238]Hoja1!$2:$78,60,FALSE)</f>
        <v>0</v>
      </c>
      <c r="X841" s="458">
        <f t="shared" si="180"/>
        <v>0</v>
      </c>
      <c r="Y841" s="471">
        <f t="shared" si="181"/>
        <v>0</v>
      </c>
    </row>
    <row r="842" spans="1:25" ht="25.5">
      <c r="A842" s="383">
        <v>9</v>
      </c>
      <c r="C842" s="406"/>
      <c r="D842" s="407"/>
      <c r="E842" s="407"/>
      <c r="F842" s="407"/>
      <c r="G842" s="407"/>
      <c r="H842" s="407"/>
      <c r="I842" s="408" t="s">
        <v>412</v>
      </c>
      <c r="J842" s="409" t="str">
        <f t="shared" si="179"/>
        <v>A=(Ancho x Largo)* Cant</v>
      </c>
      <c r="K842" s="410" t="str">
        <f>+K841</f>
        <v>M2</v>
      </c>
      <c r="L842" s="411"/>
      <c r="M842" s="412"/>
      <c r="N842" s="442"/>
      <c r="O842" s="442"/>
      <c r="P842" s="412"/>
      <c r="Q842" s="411"/>
      <c r="R842" s="413"/>
      <c r="S842" s="414">
        <f>+HLOOKUP(A842,[238]Hoja1!$2:$78,60,FALSE)</f>
        <v>0</v>
      </c>
      <c r="X842" s="458">
        <f t="shared" si="180"/>
        <v>0</v>
      </c>
      <c r="Y842" s="471">
        <f t="shared" si="181"/>
        <v>0</v>
      </c>
    </row>
    <row r="843" spans="1:25" ht="25.5">
      <c r="A843" s="383">
        <v>10</v>
      </c>
      <c r="C843" s="406"/>
      <c r="D843" s="407"/>
      <c r="E843" s="407"/>
      <c r="F843" s="407"/>
      <c r="G843" s="407"/>
      <c r="H843" s="407"/>
      <c r="I843" s="408" t="s">
        <v>413</v>
      </c>
      <c r="J843" s="409" t="str">
        <f t="shared" si="179"/>
        <v>A=(Ancho x Largo)* Cant</v>
      </c>
      <c r="K843" s="410" t="str">
        <f>+K842</f>
        <v>M2</v>
      </c>
      <c r="L843" s="411"/>
      <c r="M843" s="412"/>
      <c r="N843" s="442"/>
      <c r="O843" s="442"/>
      <c r="P843" s="412"/>
      <c r="Q843" s="411"/>
      <c r="R843" s="413"/>
      <c r="S843" s="414">
        <f>+HLOOKUP(A843,[238]Hoja1!$2:$78,60,FALSE)</f>
        <v>0</v>
      </c>
      <c r="X843" s="458">
        <f t="shared" si="180"/>
        <v>0</v>
      </c>
      <c r="Y843" s="471">
        <f t="shared" si="181"/>
        <v>0</v>
      </c>
    </row>
    <row r="844" spans="1:25" ht="25.5">
      <c r="A844" s="383">
        <v>11</v>
      </c>
      <c r="C844" s="406"/>
      <c r="D844" s="407"/>
      <c r="E844" s="407"/>
      <c r="F844" s="407"/>
      <c r="G844" s="407"/>
      <c r="H844" s="407"/>
      <c r="I844" s="408" t="s">
        <v>414</v>
      </c>
      <c r="J844" s="409" t="str">
        <f t="shared" si="179"/>
        <v>A=(Ancho x Largo)* Cant</v>
      </c>
      <c r="K844" s="410" t="str">
        <f>+K843</f>
        <v>M2</v>
      </c>
      <c r="L844" s="411"/>
      <c r="M844" s="412"/>
      <c r="N844" s="442"/>
      <c r="O844" s="442"/>
      <c r="P844" s="412"/>
      <c r="Q844" s="411"/>
      <c r="R844" s="413"/>
      <c r="S844" s="414">
        <f>+HLOOKUP(A844,[238]Hoja1!$2:$78,60,FALSE)</f>
        <v>0</v>
      </c>
      <c r="X844" s="458">
        <f t="shared" si="180"/>
        <v>0</v>
      </c>
      <c r="Y844" s="471">
        <f t="shared" si="181"/>
        <v>0</v>
      </c>
    </row>
    <row r="845" spans="1:25" ht="25.5">
      <c r="A845" s="383">
        <v>12</v>
      </c>
      <c r="C845" s="406"/>
      <c r="D845" s="407"/>
      <c r="E845" s="407"/>
      <c r="F845" s="407"/>
      <c r="G845" s="407"/>
      <c r="H845" s="407"/>
      <c r="I845" s="408" t="s">
        <v>415</v>
      </c>
      <c r="J845" s="409" t="str">
        <f t="shared" si="179"/>
        <v>A=(Ancho x Largo)* Cant</v>
      </c>
      <c r="K845" s="410" t="str">
        <f>+K839</f>
        <v>M2</v>
      </c>
      <c r="L845" s="411"/>
      <c r="M845" s="412"/>
      <c r="N845" s="442"/>
      <c r="O845" s="442"/>
      <c r="P845" s="413"/>
      <c r="Q845" s="411"/>
      <c r="R845" s="413"/>
      <c r="S845" s="414">
        <f>+HLOOKUP(A845,[238]Hoja1!$2:$78,60,FALSE)</f>
        <v>0</v>
      </c>
      <c r="X845" s="458">
        <f t="shared" si="180"/>
        <v>0</v>
      </c>
      <c r="Y845" s="471">
        <f t="shared" si="181"/>
        <v>0</v>
      </c>
    </row>
    <row r="846" spans="1:25" ht="25.5">
      <c r="A846" s="383">
        <v>13</v>
      </c>
      <c r="C846" s="406"/>
      <c r="D846" s="407"/>
      <c r="E846" s="407"/>
      <c r="F846" s="407"/>
      <c r="G846" s="407"/>
      <c r="H846" s="407"/>
      <c r="I846" s="408" t="s">
        <v>416</v>
      </c>
      <c r="J846" s="409" t="str">
        <f t="shared" si="179"/>
        <v>A=(Ancho x Largo)* Cant</v>
      </c>
      <c r="K846" s="410" t="str">
        <f>+K841</f>
        <v>M2</v>
      </c>
      <c r="L846" s="411"/>
      <c r="M846" s="412"/>
      <c r="N846" s="442"/>
      <c r="O846" s="442"/>
      <c r="P846" s="413"/>
      <c r="Q846" s="411"/>
      <c r="R846" s="413"/>
      <c r="S846" s="414">
        <f>+HLOOKUP(A846,[238]Hoja1!$2:$78,60,FALSE)</f>
        <v>0</v>
      </c>
      <c r="X846" s="458">
        <f t="shared" si="180"/>
        <v>0</v>
      </c>
      <c r="Y846" s="471">
        <f t="shared" si="181"/>
        <v>0</v>
      </c>
    </row>
    <row r="847" spans="1:25" ht="25.5">
      <c r="A847" s="383">
        <v>14</v>
      </c>
      <c r="C847" s="406"/>
      <c r="D847" s="407"/>
      <c r="E847" s="407"/>
      <c r="F847" s="407"/>
      <c r="G847" s="407"/>
      <c r="H847" s="407"/>
      <c r="I847" s="408" t="s">
        <v>417</v>
      </c>
      <c r="J847" s="409" t="str">
        <f t="shared" si="179"/>
        <v>A=(Ancho x Largo)* Cant</v>
      </c>
      <c r="K847" s="410" t="str">
        <f t="shared" ref="K847:K858" si="184">+K846</f>
        <v>M2</v>
      </c>
      <c r="L847" s="411"/>
      <c r="M847" s="412"/>
      <c r="N847" s="442"/>
      <c r="O847" s="442"/>
      <c r="P847" s="412"/>
      <c r="Q847" s="411"/>
      <c r="R847" s="413"/>
      <c r="S847" s="414">
        <f>+HLOOKUP(A847,[238]Hoja1!$2:$78,60,FALSE)</f>
        <v>0</v>
      </c>
      <c r="X847" s="458">
        <f t="shared" si="180"/>
        <v>0</v>
      </c>
      <c r="Y847" s="471">
        <f t="shared" si="181"/>
        <v>0</v>
      </c>
    </row>
    <row r="848" spans="1:25" ht="25.5">
      <c r="A848" s="383">
        <v>15</v>
      </c>
      <c r="C848" s="406"/>
      <c r="D848" s="407"/>
      <c r="E848" s="407"/>
      <c r="F848" s="407"/>
      <c r="G848" s="407"/>
      <c r="H848" s="407"/>
      <c r="I848" s="408" t="s">
        <v>418</v>
      </c>
      <c r="J848" s="409" t="str">
        <f t="shared" si="179"/>
        <v>A=(Ancho x Largo)* Cant</v>
      </c>
      <c r="K848" s="410" t="str">
        <f t="shared" si="184"/>
        <v>M2</v>
      </c>
      <c r="L848" s="411"/>
      <c r="M848" s="412"/>
      <c r="N848" s="442"/>
      <c r="O848" s="442"/>
      <c r="P848" s="449"/>
      <c r="Q848" s="411"/>
      <c r="R848" s="413"/>
      <c r="S848" s="414">
        <f>+HLOOKUP(A848,[238]Hoja1!$2:$78,60,FALSE)</f>
        <v>0</v>
      </c>
      <c r="X848" s="458">
        <f t="shared" si="180"/>
        <v>0</v>
      </c>
      <c r="Y848" s="471">
        <f t="shared" si="181"/>
        <v>0</v>
      </c>
    </row>
    <row r="849" spans="1:25" ht="25.5">
      <c r="A849" s="383">
        <v>16</v>
      </c>
      <c r="C849" s="406"/>
      <c r="D849" s="407"/>
      <c r="E849" s="407"/>
      <c r="F849" s="407"/>
      <c r="G849" s="407"/>
      <c r="H849" s="407"/>
      <c r="I849" s="408" t="s">
        <v>419</v>
      </c>
      <c r="J849" s="409" t="str">
        <f t="shared" si="179"/>
        <v>A=(Ancho x Largo)* Cant</v>
      </c>
      <c r="K849" s="410" t="str">
        <f t="shared" si="184"/>
        <v>M2</v>
      </c>
      <c r="L849" s="411"/>
      <c r="M849" s="412"/>
      <c r="N849" s="442"/>
      <c r="O849" s="442"/>
      <c r="P849" s="449"/>
      <c r="Q849" s="411"/>
      <c r="R849" s="413"/>
      <c r="S849" s="414">
        <f>+HLOOKUP(A849,[238]Hoja1!$2:$78,60,FALSE)</f>
        <v>0</v>
      </c>
      <c r="X849" s="458">
        <f t="shared" si="180"/>
        <v>0</v>
      </c>
      <c r="Y849" s="471">
        <f t="shared" si="181"/>
        <v>0</v>
      </c>
    </row>
    <row r="850" spans="1:25" ht="25.5">
      <c r="A850" s="383">
        <v>17</v>
      </c>
      <c r="C850" s="406"/>
      <c r="D850" s="407"/>
      <c r="E850" s="407"/>
      <c r="F850" s="407"/>
      <c r="G850" s="407"/>
      <c r="H850" s="407"/>
      <c r="I850" s="408" t="s">
        <v>420</v>
      </c>
      <c r="J850" s="409" t="str">
        <f t="shared" si="179"/>
        <v>A=(Ancho x Largo)* Cant</v>
      </c>
      <c r="K850" s="410" t="str">
        <f t="shared" si="184"/>
        <v>M2</v>
      </c>
      <c r="L850" s="411"/>
      <c r="M850" s="412"/>
      <c r="N850" s="442"/>
      <c r="O850" s="442"/>
      <c r="P850" s="412"/>
      <c r="Q850" s="411"/>
      <c r="R850" s="413"/>
      <c r="S850" s="414">
        <f>+HLOOKUP(A850,[238]Hoja1!$2:$78,60,FALSE)</f>
        <v>0</v>
      </c>
      <c r="X850" s="458">
        <f t="shared" si="180"/>
        <v>0</v>
      </c>
      <c r="Y850" s="471">
        <f t="shared" si="181"/>
        <v>0</v>
      </c>
    </row>
    <row r="851" spans="1:25" ht="25.5">
      <c r="A851" s="383">
        <v>18</v>
      </c>
      <c r="C851" s="406"/>
      <c r="D851" s="407"/>
      <c r="E851" s="407"/>
      <c r="F851" s="407"/>
      <c r="G851" s="407"/>
      <c r="H851" s="407"/>
      <c r="I851" s="408" t="s">
        <v>429</v>
      </c>
      <c r="J851" s="409" t="str">
        <f t="shared" si="179"/>
        <v>A=(Ancho x Largo)* Cant</v>
      </c>
      <c r="K851" s="410" t="str">
        <f t="shared" si="184"/>
        <v>M2</v>
      </c>
      <c r="L851" s="411">
        <f t="shared" si="182"/>
        <v>2.6</v>
      </c>
      <c r="M851" s="412"/>
      <c r="N851" s="442">
        <v>0.65</v>
      </c>
      <c r="O851" s="442">
        <f t="shared" si="183"/>
        <v>4</v>
      </c>
      <c r="P851" s="412"/>
      <c r="Q851" s="411"/>
      <c r="R851" s="413">
        <v>1</v>
      </c>
      <c r="S851" s="414">
        <f>+HLOOKUP(A851,[238]Hoja1!$2:$78,60,FALSE)</f>
        <v>2.6</v>
      </c>
      <c r="X851" s="458">
        <f>+N851*O851</f>
        <v>2.6</v>
      </c>
      <c r="Y851" s="471">
        <f t="shared" si="181"/>
        <v>0</v>
      </c>
    </row>
    <row r="852" spans="1:25" ht="25.5">
      <c r="A852" s="383">
        <v>19</v>
      </c>
      <c r="C852" s="406"/>
      <c r="D852" s="407"/>
      <c r="E852" s="407"/>
      <c r="F852" s="407"/>
      <c r="G852" s="407"/>
      <c r="H852" s="407"/>
      <c r="I852" s="408" t="s">
        <v>430</v>
      </c>
      <c r="J852" s="409" t="str">
        <f t="shared" si="179"/>
        <v>A=(Ancho x Largo)* Cant</v>
      </c>
      <c r="K852" s="410" t="str">
        <f t="shared" si="184"/>
        <v>M2</v>
      </c>
      <c r="L852" s="411"/>
      <c r="M852" s="412"/>
      <c r="N852" s="442"/>
      <c r="O852" s="442"/>
      <c r="P852" s="412"/>
      <c r="Q852" s="411"/>
      <c r="R852" s="413"/>
      <c r="S852" s="414">
        <f>+HLOOKUP(A852,[238]Hoja1!$2:$78,60,FALSE)</f>
        <v>0</v>
      </c>
      <c r="X852" s="458">
        <f t="shared" ref="X852:X876" si="185">+N852*O852</f>
        <v>0</v>
      </c>
      <c r="Y852" s="471">
        <f t="shared" si="181"/>
        <v>0</v>
      </c>
    </row>
    <row r="853" spans="1:25" ht="25.5">
      <c r="A853" s="383">
        <v>20</v>
      </c>
      <c r="C853" s="406"/>
      <c r="D853" s="407"/>
      <c r="E853" s="407"/>
      <c r="F853" s="407"/>
      <c r="G853" s="407"/>
      <c r="H853" s="407"/>
      <c r="I853" s="408" t="s">
        <v>431</v>
      </c>
      <c r="J853" s="409" t="str">
        <f t="shared" si="179"/>
        <v>A=(Ancho x Largo)* Cant</v>
      </c>
      <c r="K853" s="410" t="str">
        <f t="shared" si="184"/>
        <v>M2</v>
      </c>
      <c r="L853" s="411"/>
      <c r="M853" s="412"/>
      <c r="N853" s="442"/>
      <c r="O853" s="442"/>
      <c r="P853" s="412"/>
      <c r="Q853" s="411"/>
      <c r="R853" s="413"/>
      <c r="S853" s="414">
        <f>+HLOOKUP(A853,[238]Hoja1!$2:$78,60,FALSE)</f>
        <v>0</v>
      </c>
      <c r="X853" s="458">
        <f t="shared" si="185"/>
        <v>0</v>
      </c>
      <c r="Y853" s="471">
        <f t="shared" si="181"/>
        <v>0</v>
      </c>
    </row>
    <row r="854" spans="1:25" ht="25.5">
      <c r="A854" s="383">
        <v>21</v>
      </c>
      <c r="C854" s="406"/>
      <c r="D854" s="407"/>
      <c r="E854" s="407"/>
      <c r="F854" s="407"/>
      <c r="G854" s="407"/>
      <c r="H854" s="407"/>
      <c r="I854" s="408" t="s">
        <v>432</v>
      </c>
      <c r="J854" s="409" t="str">
        <f t="shared" si="179"/>
        <v>A=(Ancho x Largo)* Cant</v>
      </c>
      <c r="K854" s="410" t="str">
        <f t="shared" si="184"/>
        <v>M2</v>
      </c>
      <c r="L854" s="411"/>
      <c r="M854" s="412"/>
      <c r="N854" s="442"/>
      <c r="O854" s="442"/>
      <c r="P854" s="412"/>
      <c r="Q854" s="411"/>
      <c r="R854" s="413"/>
      <c r="S854" s="414">
        <f>+HLOOKUP(A854,[238]Hoja1!$2:$78,60,FALSE)</f>
        <v>0</v>
      </c>
      <c r="X854" s="458">
        <f t="shared" si="185"/>
        <v>0</v>
      </c>
      <c r="Y854" s="471">
        <f t="shared" si="181"/>
        <v>0</v>
      </c>
    </row>
    <row r="855" spans="1:25" ht="25.5">
      <c r="A855" s="383">
        <v>22</v>
      </c>
      <c r="C855" s="406"/>
      <c r="D855" s="407"/>
      <c r="E855" s="407"/>
      <c r="F855" s="407"/>
      <c r="G855" s="407"/>
      <c r="H855" s="407"/>
      <c r="I855" s="408" t="s">
        <v>433</v>
      </c>
      <c r="J855" s="409" t="str">
        <f t="shared" si="179"/>
        <v>A=(Ancho x Largo)* Cant</v>
      </c>
      <c r="K855" s="410" t="str">
        <f t="shared" si="184"/>
        <v>M2</v>
      </c>
      <c r="L855" s="411"/>
      <c r="M855" s="412"/>
      <c r="N855" s="442"/>
      <c r="O855" s="442"/>
      <c r="P855" s="412"/>
      <c r="Q855" s="411"/>
      <c r="R855" s="413"/>
      <c r="S855" s="414">
        <f>+HLOOKUP(A855,[238]Hoja1!$2:$78,60,FALSE)</f>
        <v>0</v>
      </c>
      <c r="X855" s="458">
        <f t="shared" si="185"/>
        <v>0</v>
      </c>
      <c r="Y855" s="471">
        <f t="shared" si="181"/>
        <v>0</v>
      </c>
    </row>
    <row r="856" spans="1:25" ht="25.5">
      <c r="A856" s="383">
        <v>23</v>
      </c>
      <c r="C856" s="406"/>
      <c r="D856" s="407"/>
      <c r="E856" s="407"/>
      <c r="F856" s="407"/>
      <c r="G856" s="407"/>
      <c r="H856" s="407"/>
      <c r="I856" s="408" t="s">
        <v>434</v>
      </c>
      <c r="J856" s="409" t="str">
        <f t="shared" si="179"/>
        <v>A=(Ancho x Largo)* Cant</v>
      </c>
      <c r="K856" s="410" t="str">
        <f t="shared" si="184"/>
        <v>M2</v>
      </c>
      <c r="L856" s="411"/>
      <c r="M856" s="412"/>
      <c r="N856" s="442"/>
      <c r="O856" s="442"/>
      <c r="P856" s="412"/>
      <c r="Q856" s="411"/>
      <c r="R856" s="413"/>
      <c r="S856" s="414">
        <f>+HLOOKUP(A856,[238]Hoja1!$2:$78,60,FALSE)</f>
        <v>0</v>
      </c>
      <c r="X856" s="458">
        <f t="shared" si="185"/>
        <v>0</v>
      </c>
      <c r="Y856" s="471">
        <f t="shared" si="181"/>
        <v>0</v>
      </c>
    </row>
    <row r="857" spans="1:25" ht="25.5">
      <c r="A857" s="383">
        <v>24</v>
      </c>
      <c r="C857" s="406"/>
      <c r="D857" s="407"/>
      <c r="E857" s="407"/>
      <c r="F857" s="407"/>
      <c r="G857" s="407"/>
      <c r="H857" s="407"/>
      <c r="I857" s="408" t="s">
        <v>435</v>
      </c>
      <c r="J857" s="409" t="str">
        <f t="shared" si="179"/>
        <v>A=(Ancho x Largo)* Cant</v>
      </c>
      <c r="K857" s="410" t="str">
        <f t="shared" si="184"/>
        <v>M2</v>
      </c>
      <c r="L857" s="411">
        <f t="shared" si="182"/>
        <v>8.25</v>
      </c>
      <c r="M857" s="412"/>
      <c r="N857" s="442">
        <v>0.65</v>
      </c>
      <c r="O857" s="442">
        <f t="shared" si="183"/>
        <v>12.692307692307692</v>
      </c>
      <c r="P857" s="413"/>
      <c r="Q857" s="411"/>
      <c r="R857" s="413">
        <v>1</v>
      </c>
      <c r="S857" s="414">
        <f>+HLOOKUP(A857,[238]Hoja1!$2:$78,60,FALSE)</f>
        <v>8.25</v>
      </c>
      <c r="X857" s="458">
        <f t="shared" si="185"/>
        <v>8.25</v>
      </c>
      <c r="Y857" s="471">
        <f t="shared" si="181"/>
        <v>0</v>
      </c>
    </row>
    <row r="858" spans="1:25" ht="25.5">
      <c r="A858" s="383">
        <v>25</v>
      </c>
      <c r="C858" s="406"/>
      <c r="D858" s="407"/>
      <c r="E858" s="407"/>
      <c r="F858" s="407"/>
      <c r="G858" s="407"/>
      <c r="H858" s="407"/>
      <c r="I858" s="408" t="s">
        <v>436</v>
      </c>
      <c r="J858" s="409" t="str">
        <f t="shared" si="179"/>
        <v>A=(Ancho x Largo)* Cant</v>
      </c>
      <c r="K858" s="410" t="str">
        <f t="shared" si="184"/>
        <v>M2</v>
      </c>
      <c r="L858" s="411">
        <f t="shared" si="182"/>
        <v>7.49</v>
      </c>
      <c r="M858" s="412"/>
      <c r="N858" s="442">
        <v>0.65</v>
      </c>
      <c r="O858" s="442">
        <f t="shared" si="183"/>
        <v>11.523076923076923</v>
      </c>
      <c r="P858" s="412"/>
      <c r="Q858" s="411"/>
      <c r="R858" s="413">
        <v>1</v>
      </c>
      <c r="S858" s="414">
        <f>+HLOOKUP(A858,[238]Hoja1!$2:$78,60,FALSE)</f>
        <v>7.49</v>
      </c>
      <c r="X858" s="458">
        <f t="shared" si="185"/>
        <v>7.49</v>
      </c>
      <c r="Y858" s="471">
        <f t="shared" si="181"/>
        <v>0</v>
      </c>
    </row>
    <row r="859" spans="1:25" ht="25.5">
      <c r="A859" s="383">
        <v>26</v>
      </c>
      <c r="C859" s="406"/>
      <c r="D859" s="407"/>
      <c r="E859" s="407"/>
      <c r="F859" s="407"/>
      <c r="G859" s="407"/>
      <c r="H859" s="407"/>
      <c r="I859" s="408" t="s">
        <v>437</v>
      </c>
      <c r="J859" s="409" t="str">
        <f t="shared" si="179"/>
        <v>A=(Ancho x Largo)* Cant</v>
      </c>
      <c r="K859" s="410" t="str">
        <f>+K848</f>
        <v>M2</v>
      </c>
      <c r="L859" s="411"/>
      <c r="M859" s="412"/>
      <c r="N859" s="442"/>
      <c r="O859" s="442"/>
      <c r="P859" s="412"/>
      <c r="Q859" s="411"/>
      <c r="R859" s="413"/>
      <c r="S859" s="414">
        <f>+HLOOKUP(A859,[238]Hoja1!$2:$78,60,FALSE)</f>
        <v>0</v>
      </c>
      <c r="X859" s="458">
        <f t="shared" si="185"/>
        <v>0</v>
      </c>
      <c r="Y859" s="471">
        <f t="shared" si="181"/>
        <v>0</v>
      </c>
    </row>
    <row r="860" spans="1:25" ht="25.5">
      <c r="A860" s="383">
        <v>27</v>
      </c>
      <c r="C860" s="406"/>
      <c r="D860" s="407"/>
      <c r="E860" s="407"/>
      <c r="F860" s="407"/>
      <c r="G860" s="407"/>
      <c r="H860" s="407"/>
      <c r="I860" s="408" t="s">
        <v>438</v>
      </c>
      <c r="J860" s="409" t="str">
        <f t="shared" si="179"/>
        <v>A=(Ancho x Largo)* Cant</v>
      </c>
      <c r="K860" s="410" t="str">
        <f t="shared" ref="K860:K868" si="186">+K859</f>
        <v>M2</v>
      </c>
      <c r="L860" s="411"/>
      <c r="M860" s="412"/>
      <c r="N860" s="442"/>
      <c r="O860" s="442"/>
      <c r="P860" s="412"/>
      <c r="Q860" s="411"/>
      <c r="R860" s="413"/>
      <c r="S860" s="414">
        <f>+HLOOKUP(A860,[238]Hoja1!$2:$78,60,FALSE)</f>
        <v>0</v>
      </c>
      <c r="X860" s="458">
        <f t="shared" si="185"/>
        <v>0</v>
      </c>
      <c r="Y860" s="471">
        <f t="shared" si="181"/>
        <v>0</v>
      </c>
    </row>
    <row r="861" spans="1:25" ht="25.5">
      <c r="A861" s="383">
        <v>28</v>
      </c>
      <c r="C861" s="406"/>
      <c r="D861" s="440"/>
      <c r="E861" s="407"/>
      <c r="F861" s="407"/>
      <c r="G861" s="407"/>
      <c r="H861" s="437"/>
      <c r="I861" s="408" t="s">
        <v>439</v>
      </c>
      <c r="J861" s="409" t="str">
        <f t="shared" si="179"/>
        <v>A=(Ancho x Largo)* Cant</v>
      </c>
      <c r="K861" s="410" t="str">
        <f t="shared" si="186"/>
        <v>M2</v>
      </c>
      <c r="L861" s="411"/>
      <c r="M861" s="412"/>
      <c r="N861" s="442"/>
      <c r="O861" s="442"/>
      <c r="P861" s="413"/>
      <c r="Q861" s="411"/>
      <c r="R861" s="413"/>
      <c r="S861" s="414">
        <f>+HLOOKUP(A861,[238]Hoja1!$2:$78,60,FALSE)</f>
        <v>0</v>
      </c>
      <c r="X861" s="458">
        <f t="shared" si="185"/>
        <v>0</v>
      </c>
      <c r="Y861" s="471">
        <f t="shared" si="181"/>
        <v>0</v>
      </c>
    </row>
    <row r="862" spans="1:25" ht="25.5">
      <c r="A862" s="383">
        <v>29</v>
      </c>
      <c r="C862" s="406"/>
      <c r="D862" s="407"/>
      <c r="E862" s="407"/>
      <c r="F862" s="407"/>
      <c r="G862" s="407"/>
      <c r="H862" s="407"/>
      <c r="I862" s="408" t="s">
        <v>440</v>
      </c>
      <c r="J862" s="409" t="str">
        <f t="shared" si="179"/>
        <v>A=(Ancho x Largo)* Cant</v>
      </c>
      <c r="K862" s="410" t="str">
        <f t="shared" si="186"/>
        <v>M2</v>
      </c>
      <c r="L862" s="411"/>
      <c r="M862" s="463"/>
      <c r="N862" s="442"/>
      <c r="O862" s="442"/>
      <c r="P862" s="412"/>
      <c r="Q862" s="411"/>
      <c r="R862" s="413"/>
      <c r="S862" s="414">
        <f>+HLOOKUP(A862,[238]Hoja1!$2:$78,60,FALSE)</f>
        <v>0</v>
      </c>
      <c r="X862" s="458">
        <f t="shared" si="185"/>
        <v>0</v>
      </c>
      <c r="Y862" s="471">
        <f t="shared" si="181"/>
        <v>0</v>
      </c>
    </row>
    <row r="863" spans="1:25" ht="25.5">
      <c r="A863" s="383">
        <v>30</v>
      </c>
      <c r="C863" s="406"/>
      <c r="D863" s="407"/>
      <c r="E863" s="407"/>
      <c r="F863" s="407"/>
      <c r="G863" s="407"/>
      <c r="H863" s="407"/>
      <c r="I863" s="408" t="s">
        <v>441</v>
      </c>
      <c r="J863" s="409" t="str">
        <f t="shared" si="179"/>
        <v>A=(Ancho x Largo)* Cant</v>
      </c>
      <c r="K863" s="410" t="str">
        <f t="shared" si="186"/>
        <v>M2</v>
      </c>
      <c r="L863" s="411"/>
      <c r="M863" s="412"/>
      <c r="N863" s="442"/>
      <c r="O863" s="442"/>
      <c r="P863" s="412"/>
      <c r="Q863" s="411"/>
      <c r="R863" s="413"/>
      <c r="S863" s="414">
        <f>+HLOOKUP(A863,[238]Hoja1!$2:$78,60,FALSE)</f>
        <v>0</v>
      </c>
      <c r="X863" s="458">
        <f t="shared" si="185"/>
        <v>0</v>
      </c>
      <c r="Y863" s="471">
        <f t="shared" si="181"/>
        <v>0</v>
      </c>
    </row>
    <row r="864" spans="1:25" ht="25.5">
      <c r="A864" s="383">
        <v>31</v>
      </c>
      <c r="C864" s="406"/>
      <c r="D864" s="407"/>
      <c r="E864" s="407"/>
      <c r="F864" s="407"/>
      <c r="G864" s="407"/>
      <c r="H864" s="407"/>
      <c r="I864" s="408" t="s">
        <v>442</v>
      </c>
      <c r="J864" s="409" t="str">
        <f t="shared" si="179"/>
        <v>A=(Ancho x Largo)* Cant</v>
      </c>
      <c r="K864" s="410" t="str">
        <f t="shared" si="186"/>
        <v>M2</v>
      </c>
      <c r="L864" s="411"/>
      <c r="M864" s="412"/>
      <c r="N864" s="442"/>
      <c r="O864" s="442"/>
      <c r="P864" s="413"/>
      <c r="Q864" s="411"/>
      <c r="R864" s="413"/>
      <c r="S864" s="414">
        <f>+HLOOKUP(A864,[238]Hoja1!$2:$78,60,FALSE)</f>
        <v>0</v>
      </c>
      <c r="X864" s="458">
        <f t="shared" si="185"/>
        <v>0</v>
      </c>
      <c r="Y864" s="471">
        <f t="shared" si="181"/>
        <v>0</v>
      </c>
    </row>
    <row r="865" spans="1:25" ht="25.5">
      <c r="A865" s="383">
        <v>32</v>
      </c>
      <c r="C865" s="406"/>
      <c r="D865" s="407"/>
      <c r="E865" s="407"/>
      <c r="F865" s="407"/>
      <c r="G865" s="407"/>
      <c r="H865" s="407"/>
      <c r="I865" s="408" t="s">
        <v>443</v>
      </c>
      <c r="J865" s="409" t="str">
        <f t="shared" si="179"/>
        <v>A=(Ancho x Largo)* Cant</v>
      </c>
      <c r="K865" s="410" t="str">
        <f t="shared" si="186"/>
        <v>M2</v>
      </c>
      <c r="L865" s="411">
        <f t="shared" si="182"/>
        <v>2.6</v>
      </c>
      <c r="M865" s="412"/>
      <c r="N865" s="442">
        <v>0.65</v>
      </c>
      <c r="O865" s="442">
        <f t="shared" si="183"/>
        <v>4</v>
      </c>
      <c r="P865" s="412"/>
      <c r="Q865" s="411"/>
      <c r="R865" s="413">
        <v>1</v>
      </c>
      <c r="S865" s="414">
        <f>+HLOOKUP(A865,[238]Hoja1!$2:$78,60,FALSE)</f>
        <v>2.6</v>
      </c>
      <c r="X865" s="458">
        <f t="shared" si="185"/>
        <v>2.6</v>
      </c>
      <c r="Y865" s="471">
        <f t="shared" si="181"/>
        <v>0</v>
      </c>
    </row>
    <row r="866" spans="1:25" ht="25.5">
      <c r="A866" s="383">
        <v>33</v>
      </c>
      <c r="C866" s="406"/>
      <c r="D866" s="407"/>
      <c r="E866" s="407"/>
      <c r="F866" s="407"/>
      <c r="G866" s="407"/>
      <c r="H866" s="407"/>
      <c r="I866" s="408" t="s">
        <v>444</v>
      </c>
      <c r="J866" s="409" t="str">
        <f t="shared" si="179"/>
        <v>A=(Ancho x Largo)* Cant</v>
      </c>
      <c r="K866" s="410" t="str">
        <f t="shared" si="186"/>
        <v>M2</v>
      </c>
      <c r="L866" s="411"/>
      <c r="M866" s="412"/>
      <c r="N866" s="442"/>
      <c r="O866" s="442"/>
      <c r="P866" s="412"/>
      <c r="Q866" s="411"/>
      <c r="R866" s="413"/>
      <c r="S866" s="414">
        <f>+HLOOKUP(A866,[238]Hoja1!$2:$78,60,FALSE)</f>
        <v>0</v>
      </c>
      <c r="X866" s="458">
        <f t="shared" si="185"/>
        <v>0</v>
      </c>
      <c r="Y866" s="471">
        <f t="shared" si="181"/>
        <v>0</v>
      </c>
    </row>
    <row r="867" spans="1:25" ht="25.5">
      <c r="A867" s="383">
        <v>34</v>
      </c>
      <c r="C867" s="406"/>
      <c r="D867" s="407"/>
      <c r="E867" s="407"/>
      <c r="F867" s="407"/>
      <c r="G867" s="407"/>
      <c r="H867" s="407"/>
      <c r="I867" s="408" t="s">
        <v>445</v>
      </c>
      <c r="J867" s="409" t="str">
        <f t="shared" si="179"/>
        <v>A=(Ancho x Largo)* Cant</v>
      </c>
      <c r="K867" s="410" t="str">
        <f t="shared" si="186"/>
        <v>M2</v>
      </c>
      <c r="L867" s="411"/>
      <c r="M867" s="412"/>
      <c r="N867" s="442"/>
      <c r="O867" s="442"/>
      <c r="P867" s="412"/>
      <c r="Q867" s="411"/>
      <c r="R867" s="413"/>
      <c r="S867" s="414">
        <f>+HLOOKUP(A867,[238]Hoja1!$2:$78,60,FALSE)</f>
        <v>0</v>
      </c>
      <c r="X867" s="458">
        <f t="shared" si="185"/>
        <v>0</v>
      </c>
      <c r="Y867" s="471">
        <f t="shared" si="181"/>
        <v>0</v>
      </c>
    </row>
    <row r="868" spans="1:25" ht="25.5">
      <c r="A868" s="383">
        <v>35</v>
      </c>
      <c r="C868" s="406"/>
      <c r="D868" s="440"/>
      <c r="E868" s="407"/>
      <c r="F868" s="407"/>
      <c r="G868" s="407"/>
      <c r="H868" s="437"/>
      <c r="I868" s="408" t="s">
        <v>446</v>
      </c>
      <c r="J868" s="409" t="str">
        <f t="shared" si="179"/>
        <v>A=(Ancho x Largo)* Cant</v>
      </c>
      <c r="K868" s="410" t="str">
        <f t="shared" si="186"/>
        <v>M2</v>
      </c>
      <c r="L868" s="411"/>
      <c r="M868" s="412"/>
      <c r="N868" s="442"/>
      <c r="O868" s="442"/>
      <c r="P868" s="413"/>
      <c r="Q868" s="411"/>
      <c r="R868" s="413"/>
      <c r="S868" s="414">
        <f>+HLOOKUP(A868,[238]Hoja1!$2:$78,60,FALSE)</f>
        <v>0</v>
      </c>
      <c r="X868" s="458">
        <f t="shared" si="185"/>
        <v>0</v>
      </c>
      <c r="Y868" s="471">
        <f t="shared" si="181"/>
        <v>0</v>
      </c>
    </row>
    <row r="869" spans="1:25" ht="25.5">
      <c r="A869" s="383">
        <v>36</v>
      </c>
      <c r="C869" s="406"/>
      <c r="D869" s="407"/>
      <c r="E869" s="407"/>
      <c r="F869" s="407"/>
      <c r="G869" s="407"/>
      <c r="H869" s="407"/>
      <c r="I869" s="408" t="s">
        <v>447</v>
      </c>
      <c r="J869" s="409" t="str">
        <f t="shared" si="179"/>
        <v>A=(Ancho x Largo)* Cant</v>
      </c>
      <c r="K869" s="410" t="str">
        <f>+K858</f>
        <v>M2</v>
      </c>
      <c r="L869" s="411">
        <f t="shared" si="182"/>
        <v>2.6</v>
      </c>
      <c r="M869" s="412"/>
      <c r="N869" s="442">
        <v>0.65</v>
      </c>
      <c r="O869" s="442">
        <f t="shared" si="183"/>
        <v>4</v>
      </c>
      <c r="P869" s="412"/>
      <c r="Q869" s="411"/>
      <c r="R869" s="413">
        <v>1</v>
      </c>
      <c r="S869" s="414">
        <f>+HLOOKUP(A869,[238]Hoja1!$2:$78,60,FALSE)</f>
        <v>2.6</v>
      </c>
      <c r="X869" s="458">
        <f t="shared" si="185"/>
        <v>2.6</v>
      </c>
      <c r="Y869" s="471">
        <f t="shared" si="181"/>
        <v>0</v>
      </c>
    </row>
    <row r="870" spans="1:25" ht="25.5">
      <c r="A870" s="383">
        <v>37</v>
      </c>
      <c r="C870" s="406"/>
      <c r="D870" s="407"/>
      <c r="E870" s="407"/>
      <c r="F870" s="407"/>
      <c r="G870" s="407"/>
      <c r="H870" s="407"/>
      <c r="I870" s="408" t="s">
        <v>448</v>
      </c>
      <c r="J870" s="409" t="str">
        <f t="shared" si="179"/>
        <v>A=(Ancho x Largo)* Cant</v>
      </c>
      <c r="K870" s="410" t="str">
        <f t="shared" ref="K870:K876" si="187">+K869</f>
        <v>M2</v>
      </c>
      <c r="L870" s="411"/>
      <c r="M870" s="412"/>
      <c r="N870" s="442"/>
      <c r="O870" s="442"/>
      <c r="P870" s="449"/>
      <c r="Q870" s="411"/>
      <c r="R870" s="413"/>
      <c r="S870" s="414">
        <f>+HLOOKUP(A870,[238]Hoja1!$2:$78,60,FALSE)</f>
        <v>0</v>
      </c>
      <c r="X870" s="458">
        <f t="shared" si="185"/>
        <v>0</v>
      </c>
      <c r="Y870" s="471">
        <f t="shared" si="181"/>
        <v>0</v>
      </c>
    </row>
    <row r="871" spans="1:25" ht="25.5">
      <c r="A871" s="383">
        <v>38</v>
      </c>
      <c r="C871" s="406"/>
      <c r="D871" s="440"/>
      <c r="E871" s="407"/>
      <c r="F871" s="407"/>
      <c r="G871" s="407"/>
      <c r="H871" s="437"/>
      <c r="I871" s="408" t="s">
        <v>449</v>
      </c>
      <c r="J871" s="409" t="str">
        <f t="shared" si="179"/>
        <v>A=(Ancho x Largo)* Cant</v>
      </c>
      <c r="K871" s="410" t="str">
        <f t="shared" si="187"/>
        <v>M2</v>
      </c>
      <c r="L871" s="411">
        <f t="shared" si="182"/>
        <v>3.7600000000000002</v>
      </c>
      <c r="M871" s="412"/>
      <c r="N871" s="442">
        <v>0.65</v>
      </c>
      <c r="O871" s="442">
        <f t="shared" si="183"/>
        <v>5.7846153846153845</v>
      </c>
      <c r="P871" s="413"/>
      <c r="Q871" s="411"/>
      <c r="R871" s="413">
        <v>1</v>
      </c>
      <c r="S871" s="414">
        <f>+HLOOKUP(A871,[238]Hoja1!$2:$78,60,FALSE)</f>
        <v>3.7600000000000002</v>
      </c>
      <c r="X871" s="458">
        <f t="shared" si="185"/>
        <v>3.7600000000000002</v>
      </c>
      <c r="Y871" s="471">
        <f t="shared" si="181"/>
        <v>0</v>
      </c>
    </row>
    <row r="872" spans="1:25" ht="25.5">
      <c r="A872" s="383">
        <v>39</v>
      </c>
      <c r="C872" s="406"/>
      <c r="D872" s="407"/>
      <c r="E872" s="407"/>
      <c r="F872" s="407"/>
      <c r="G872" s="407"/>
      <c r="H872" s="407"/>
      <c r="I872" s="408" t="s">
        <v>450</v>
      </c>
      <c r="J872" s="409" t="str">
        <f t="shared" si="179"/>
        <v>A=(Ancho x Largo)* Cant</v>
      </c>
      <c r="K872" s="410" t="str">
        <f t="shared" si="187"/>
        <v>M2</v>
      </c>
      <c r="L872" s="411"/>
      <c r="M872" s="412"/>
      <c r="N872" s="442"/>
      <c r="O872" s="442"/>
      <c r="P872" s="412"/>
      <c r="Q872" s="411"/>
      <c r="R872" s="413"/>
      <c r="S872" s="414">
        <f>+HLOOKUP(A872,[238]Hoja1!$2:$78,60,FALSE)</f>
        <v>0</v>
      </c>
      <c r="X872" s="458">
        <f t="shared" si="185"/>
        <v>0</v>
      </c>
      <c r="Y872" s="471">
        <f t="shared" si="181"/>
        <v>0</v>
      </c>
    </row>
    <row r="873" spans="1:25" ht="25.5">
      <c r="A873" s="383">
        <v>40</v>
      </c>
      <c r="C873" s="406"/>
      <c r="D873" s="407"/>
      <c r="E873" s="407"/>
      <c r="F873" s="407"/>
      <c r="G873" s="407"/>
      <c r="H873" s="407"/>
      <c r="I873" s="408" t="s">
        <v>451</v>
      </c>
      <c r="J873" s="409" t="str">
        <f t="shared" si="179"/>
        <v>A=(Ancho x Largo)* Cant</v>
      </c>
      <c r="K873" s="410" t="str">
        <f t="shared" si="187"/>
        <v>M2</v>
      </c>
      <c r="L873" s="411">
        <f t="shared" si="182"/>
        <v>2.6</v>
      </c>
      <c r="M873" s="412"/>
      <c r="N873" s="442">
        <v>0.65</v>
      </c>
      <c r="O873" s="442">
        <f t="shared" si="183"/>
        <v>4</v>
      </c>
      <c r="P873" s="412"/>
      <c r="Q873" s="411"/>
      <c r="R873" s="413">
        <v>1</v>
      </c>
      <c r="S873" s="414">
        <f>+HLOOKUP(A873,[238]Hoja1!$2:$78,60,FALSE)</f>
        <v>2.6</v>
      </c>
      <c r="X873" s="458">
        <f t="shared" si="185"/>
        <v>2.6</v>
      </c>
      <c r="Y873" s="471">
        <f t="shared" si="181"/>
        <v>0</v>
      </c>
    </row>
    <row r="874" spans="1:25" ht="25.5">
      <c r="A874" s="383">
        <v>41</v>
      </c>
      <c r="C874" s="406"/>
      <c r="D874" s="407"/>
      <c r="E874" s="407"/>
      <c r="F874" s="407"/>
      <c r="G874" s="407"/>
      <c r="H874" s="407"/>
      <c r="I874" s="408" t="s">
        <v>452</v>
      </c>
      <c r="J874" s="409" t="str">
        <f t="shared" si="179"/>
        <v>A=(Ancho x Largo)* Cant</v>
      </c>
      <c r="K874" s="410" t="str">
        <f t="shared" si="187"/>
        <v>M2</v>
      </c>
      <c r="L874" s="411"/>
      <c r="M874" s="412"/>
      <c r="N874" s="442"/>
      <c r="O874" s="442"/>
      <c r="P874" s="413"/>
      <c r="Q874" s="411"/>
      <c r="R874" s="413"/>
      <c r="S874" s="414">
        <f>+HLOOKUP(A874,[238]Hoja1!$2:$78,60,FALSE)</f>
        <v>0</v>
      </c>
      <c r="X874" s="458">
        <f t="shared" si="185"/>
        <v>0</v>
      </c>
      <c r="Y874" s="471">
        <f t="shared" si="181"/>
        <v>0</v>
      </c>
    </row>
    <row r="875" spans="1:25" ht="25.5">
      <c r="A875" s="383">
        <v>42</v>
      </c>
      <c r="C875" s="406"/>
      <c r="D875" s="407"/>
      <c r="E875" s="407"/>
      <c r="F875" s="407"/>
      <c r="G875" s="407"/>
      <c r="H875" s="407"/>
      <c r="I875" s="408" t="s">
        <v>453</v>
      </c>
      <c r="J875" s="409" t="str">
        <f t="shared" si="179"/>
        <v>A=(Ancho x Largo)* Cant</v>
      </c>
      <c r="K875" s="410" t="str">
        <f t="shared" si="187"/>
        <v>M2</v>
      </c>
      <c r="L875" s="411"/>
      <c r="M875" s="412"/>
      <c r="N875" s="442"/>
      <c r="O875" s="442"/>
      <c r="P875" s="412"/>
      <c r="Q875" s="411"/>
      <c r="R875" s="413"/>
      <c r="S875" s="414">
        <f>+HLOOKUP(A875,[238]Hoja1!$2:$78,60,FALSE)</f>
        <v>0</v>
      </c>
      <c r="X875" s="458">
        <f t="shared" si="185"/>
        <v>0</v>
      </c>
      <c r="Y875" s="471">
        <f t="shared" si="181"/>
        <v>0</v>
      </c>
    </row>
    <row r="876" spans="1:25" ht="26.25" thickBot="1">
      <c r="A876" s="383">
        <v>43</v>
      </c>
      <c r="C876" s="406"/>
      <c r="D876" s="407"/>
      <c r="E876" s="407"/>
      <c r="F876" s="407"/>
      <c r="G876" s="407"/>
      <c r="H876" s="407"/>
      <c r="I876" s="408" t="s">
        <v>454</v>
      </c>
      <c r="J876" s="409" t="str">
        <f t="shared" si="179"/>
        <v>A=(Ancho x Largo)* Cant</v>
      </c>
      <c r="K876" s="410" t="str">
        <f t="shared" si="187"/>
        <v>M2</v>
      </c>
      <c r="L876" s="411"/>
      <c r="M876" s="412"/>
      <c r="N876" s="442"/>
      <c r="O876" s="442"/>
      <c r="P876" s="412"/>
      <c r="Q876" s="411"/>
      <c r="R876" s="413"/>
      <c r="S876" s="414">
        <f>+HLOOKUP(A876,[238]Hoja1!$2:$78,60,FALSE)</f>
        <v>0</v>
      </c>
      <c r="X876" s="458">
        <f t="shared" si="185"/>
        <v>0</v>
      </c>
      <c r="Y876" s="471">
        <f t="shared" si="181"/>
        <v>0</v>
      </c>
    </row>
    <row r="877" spans="1:25">
      <c r="C877" s="384"/>
      <c r="D877" s="419"/>
      <c r="E877" s="420"/>
      <c r="F877" s="421"/>
      <c r="G877" s="421"/>
      <c r="H877" s="421"/>
      <c r="I877" s="421"/>
      <c r="J877" s="422"/>
      <c r="K877" s="421"/>
      <c r="L877" s="421"/>
      <c r="M877" s="421"/>
      <c r="N877" s="421"/>
      <c r="O877" s="421"/>
      <c r="P877" s="421"/>
      <c r="Q877" s="421"/>
      <c r="R877" s="422"/>
      <c r="S877" s="423"/>
    </row>
    <row r="878" spans="1:25">
      <c r="C878" s="396"/>
      <c r="D878" s="397"/>
      <c r="E878" s="424"/>
      <c r="F878" s="425"/>
      <c r="G878" s="425"/>
      <c r="H878" s="425"/>
      <c r="I878" s="425"/>
      <c r="J878" s="398"/>
      <c r="K878" s="425"/>
      <c r="L878" s="425"/>
      <c r="M878" s="397"/>
      <c r="N878" s="397"/>
      <c r="O878" s="562" t="s">
        <v>455</v>
      </c>
      <c r="P878" s="563"/>
      <c r="Q878" s="564"/>
      <c r="R878" s="426"/>
      <c r="S878" s="427">
        <f>ROUND(SUM(S834:S877),2)</f>
        <v>32.5</v>
      </c>
    </row>
    <row r="879" spans="1:25">
      <c r="C879" s="396"/>
      <c r="D879" s="397"/>
      <c r="E879" s="424"/>
      <c r="F879" s="425"/>
      <c r="G879" s="425"/>
      <c r="H879" s="425"/>
      <c r="I879" s="425"/>
      <c r="J879" s="398"/>
      <c r="K879" s="425"/>
      <c r="L879" s="425"/>
      <c r="M879" s="428"/>
      <c r="N879" s="428"/>
      <c r="O879" s="429"/>
      <c r="P879" s="425"/>
      <c r="Q879" s="425"/>
      <c r="R879" s="430"/>
      <c r="S879" s="431"/>
    </row>
    <row r="880" spans="1:25">
      <c r="C880" s="565" t="e">
        <v>#REF!</v>
      </c>
      <c r="D880" s="566"/>
      <c r="E880" s="566"/>
      <c r="F880" s="566"/>
      <c r="G880" s="566"/>
      <c r="H880" s="566"/>
      <c r="I880" s="566"/>
      <c r="J880" s="566"/>
      <c r="K880" s="566"/>
      <c r="L880" s="566"/>
      <c r="M880" s="566"/>
      <c r="N880" s="567"/>
      <c r="O880" s="568" t="s">
        <v>422</v>
      </c>
      <c r="P880" s="568"/>
      <c r="Q880" s="568"/>
      <c r="R880" s="426"/>
      <c r="S880" s="427">
        <f>S878</f>
        <v>32.5</v>
      </c>
    </row>
    <row r="881" spans="3:19">
      <c r="C881" s="396"/>
      <c r="D881" s="397"/>
      <c r="E881" s="424"/>
      <c r="F881" s="425"/>
      <c r="G881" s="425"/>
      <c r="H881" s="425"/>
      <c r="I881" s="425"/>
      <c r="J881" s="398"/>
      <c r="K881" s="425"/>
      <c r="L881" s="425"/>
      <c r="M881" s="428"/>
      <c r="N881" s="428"/>
      <c r="O881" s="429"/>
      <c r="P881" s="425"/>
      <c r="Q881" s="398"/>
      <c r="R881" s="398"/>
      <c r="S881" s="432"/>
    </row>
    <row r="882" spans="3:19">
      <c r="C882" s="396"/>
      <c r="D882" s="397"/>
      <c r="E882" s="424"/>
      <c r="F882" s="425"/>
      <c r="G882" s="425"/>
      <c r="H882" s="425"/>
      <c r="I882" s="425"/>
      <c r="J882" s="398"/>
      <c r="K882" s="425"/>
      <c r="L882" s="425"/>
      <c r="M882" s="428"/>
      <c r="N882" s="428"/>
      <c r="O882" s="429"/>
      <c r="P882" s="425"/>
      <c r="Q882" s="398"/>
      <c r="R882" s="398"/>
      <c r="S882" s="432"/>
    </row>
    <row r="883" spans="3:19">
      <c r="C883" s="569" t="s">
        <v>423</v>
      </c>
      <c r="D883" s="570"/>
      <c r="E883" s="570"/>
      <c r="F883" s="570"/>
      <c r="G883" s="570"/>
      <c r="H883" s="570"/>
      <c r="I883" s="570"/>
      <c r="J883" s="571"/>
      <c r="K883" s="433" t="s">
        <v>424</v>
      </c>
      <c r="L883" s="434"/>
      <c r="M883" s="434"/>
      <c r="N883" s="434"/>
      <c r="O883" s="434"/>
      <c r="P883" s="434"/>
      <c r="Q883" s="434"/>
      <c r="R883" s="434"/>
      <c r="S883" s="435"/>
    </row>
    <row r="884" spans="3:19">
      <c r="C884" s="542"/>
      <c r="D884" s="543"/>
      <c r="E884" s="543"/>
      <c r="F884" s="543"/>
      <c r="G884" s="436"/>
      <c r="H884" s="436"/>
      <c r="I884" s="436"/>
      <c r="J884" s="447"/>
      <c r="K884" s="436"/>
      <c r="L884" s="407"/>
      <c r="M884" s="407"/>
      <c r="N884" s="407"/>
      <c r="O884" s="407"/>
      <c r="P884" s="407"/>
      <c r="Q884" s="407"/>
      <c r="R884" s="407"/>
      <c r="S884" s="437"/>
    </row>
    <row r="885" spans="3:19">
      <c r="C885" s="542"/>
      <c r="D885" s="543"/>
      <c r="E885" s="543"/>
      <c r="F885" s="543"/>
      <c r="G885" s="436"/>
      <c r="H885" s="436"/>
      <c r="I885" s="436"/>
      <c r="J885" s="447"/>
      <c r="K885" s="436"/>
      <c r="L885" s="407"/>
      <c r="M885" s="407"/>
      <c r="N885" s="407"/>
      <c r="O885" s="407"/>
      <c r="P885" s="407"/>
      <c r="Q885" s="407"/>
      <c r="R885" s="407"/>
      <c r="S885" s="437"/>
    </row>
    <row r="886" spans="3:19">
      <c r="C886" s="542" t="s">
        <v>425</v>
      </c>
      <c r="D886" s="543"/>
      <c r="E886" s="543" t="s">
        <v>425</v>
      </c>
      <c r="F886" s="543"/>
      <c r="G886" s="543" t="s">
        <v>425</v>
      </c>
      <c r="H886" s="543"/>
      <c r="I886" s="543" t="s">
        <v>425</v>
      </c>
      <c r="J886" s="544"/>
      <c r="K886" s="545" t="s">
        <v>426</v>
      </c>
      <c r="L886" s="546"/>
      <c r="M886" s="546"/>
      <c r="N886" s="546"/>
      <c r="O886" s="546"/>
      <c r="P886" s="546"/>
      <c r="Q886" s="546"/>
      <c r="R886" s="546"/>
      <c r="S886" s="547"/>
    </row>
    <row r="887" spans="3:19">
      <c r="C887" s="548" t="str">
        <f>+[42]DATOS!D$8</f>
        <v>HELMER EDUARDO BECERRA SANTANDER</v>
      </c>
      <c r="D887" s="549"/>
      <c r="E887" s="549" t="s">
        <v>427</v>
      </c>
      <c r="F887" s="549"/>
      <c r="G887" s="549" t="s">
        <v>427</v>
      </c>
      <c r="H887" s="549"/>
      <c r="I887" s="549" t="s">
        <v>427</v>
      </c>
      <c r="J887" s="550"/>
      <c r="K887" s="551" t="str">
        <f>+[42]DATOS!D$11</f>
        <v>JESUS IVAN QUIÑONES RUEDA</v>
      </c>
      <c r="L887" s="549"/>
      <c r="M887" s="549"/>
      <c r="N887" s="549"/>
      <c r="O887" s="549"/>
      <c r="P887" s="549"/>
      <c r="Q887" s="549"/>
      <c r="R887" s="549"/>
      <c r="S887" s="552"/>
    </row>
    <row r="888" spans="3:19">
      <c r="C888" s="553" t="str">
        <f>+$C$72</f>
        <v>APOYO SEC. DE PLANEACION Y OBRAS PÚBLICAS</v>
      </c>
      <c r="D888" s="554"/>
      <c r="E888" s="554" t="s">
        <v>428</v>
      </c>
      <c r="F888" s="554"/>
      <c r="G888" s="554" t="s">
        <v>428</v>
      </c>
      <c r="H888" s="554"/>
      <c r="I888" s="554" t="s">
        <v>428</v>
      </c>
      <c r="J888" s="555"/>
      <c r="K888" s="556" t="str">
        <f>+$K$72</f>
        <v>SECRETARIO DE PLANEACION Y OBRAS PÚBLICAS</v>
      </c>
      <c r="L888" s="554"/>
      <c r="M888" s="554"/>
      <c r="N888" s="554"/>
      <c r="O888" s="554"/>
      <c r="P888" s="554"/>
      <c r="Q888" s="554"/>
      <c r="R888" s="554"/>
      <c r="S888" s="557"/>
    </row>
    <row r="889" spans="3:19">
      <c r="C889" s="406"/>
      <c r="D889" s="407"/>
      <c r="E889" s="407"/>
      <c r="F889" s="407"/>
      <c r="G889" s="407"/>
      <c r="H889" s="407"/>
      <c r="I889" s="407"/>
      <c r="J889" s="407"/>
      <c r="K889" s="407"/>
      <c r="L889" s="407"/>
      <c r="M889" s="407"/>
      <c r="N889" s="407"/>
      <c r="O889" s="407"/>
      <c r="P889" s="407"/>
      <c r="Q889" s="407"/>
      <c r="R889" s="407"/>
      <c r="S889" s="437"/>
    </row>
    <row r="890" spans="3:19" ht="111" customHeight="1" thickBot="1">
      <c r="C890" s="417"/>
      <c r="D890" s="418"/>
      <c r="E890" s="418"/>
      <c r="F890" s="418"/>
      <c r="G890" s="418"/>
      <c r="H890" s="418"/>
      <c r="I890" s="418"/>
      <c r="J890" s="418"/>
      <c r="K890" s="418"/>
      <c r="L890" s="418"/>
      <c r="M890" s="418"/>
      <c r="N890" s="418"/>
      <c r="O890" s="418"/>
      <c r="P890" s="418"/>
      <c r="Q890" s="418"/>
      <c r="R890" s="418"/>
      <c r="S890" s="438"/>
    </row>
    <row r="891" spans="3:19" ht="22.5" customHeight="1"/>
    <row r="892" spans="3:19" ht="13.5" thickBot="1"/>
    <row r="893" spans="3:19">
      <c r="C893" s="384"/>
      <c r="D893" s="385"/>
      <c r="E893" s="385"/>
      <c r="F893" s="385"/>
      <c r="G893" s="385"/>
      <c r="H893" s="385"/>
      <c r="I893" s="385"/>
      <c r="J893" s="445"/>
      <c r="K893" s="385"/>
      <c r="L893" s="385"/>
      <c r="M893" s="385"/>
      <c r="N893" s="385"/>
      <c r="O893" s="385"/>
      <c r="P893" s="385"/>
      <c r="Q893" s="385"/>
      <c r="R893" s="385"/>
      <c r="S893" s="386"/>
    </row>
    <row r="894" spans="3:19" ht="121.5" customHeight="1" thickBot="1">
      <c r="C894" s="387"/>
      <c r="D894" s="388"/>
      <c r="E894" s="388"/>
      <c r="F894" s="388"/>
      <c r="G894" s="388"/>
      <c r="H894" s="388"/>
      <c r="I894" s="388"/>
      <c r="J894" s="446"/>
      <c r="K894" s="388"/>
      <c r="L894" s="388"/>
      <c r="M894" s="388"/>
      <c r="N894" s="388"/>
      <c r="O894" s="388"/>
      <c r="P894" s="388"/>
      <c r="Q894" s="388"/>
      <c r="R894" s="388"/>
      <c r="S894" s="389"/>
    </row>
    <row r="895" spans="3:19">
      <c r="C895" s="592" t="str">
        <f>+[42]DATOS!C$7</f>
        <v>MEJORAMIENTO DE VIVIENDA CON ENFOQUE DIFERENCIAL PARA POBLACIÓN VULNERABLE EN EL MUNICIPIO DE CUBARÁ, BOYACÁ (2026).</v>
      </c>
      <c r="D895" s="593"/>
      <c r="E895" s="593"/>
      <c r="F895" s="593"/>
      <c r="G895" s="593"/>
      <c r="H895" s="593"/>
      <c r="I895" s="593"/>
      <c r="J895" s="593"/>
      <c r="K895" s="593"/>
      <c r="L895" s="593"/>
      <c r="M895" s="593"/>
      <c r="N895" s="593"/>
      <c r="O895" s="593"/>
      <c r="P895" s="593"/>
      <c r="Q895" s="593"/>
      <c r="R895" s="593"/>
      <c r="S895" s="594"/>
    </row>
    <row r="896" spans="3:19">
      <c r="C896" s="595"/>
      <c r="D896" s="596"/>
      <c r="E896" s="596"/>
      <c r="F896" s="596"/>
      <c r="G896" s="596"/>
      <c r="H896" s="596"/>
      <c r="I896" s="596"/>
      <c r="J896" s="596"/>
      <c r="K896" s="596"/>
      <c r="L896" s="596"/>
      <c r="M896" s="596"/>
      <c r="N896" s="596"/>
      <c r="O896" s="596"/>
      <c r="P896" s="596"/>
      <c r="Q896" s="596"/>
      <c r="R896" s="596"/>
      <c r="S896" s="597"/>
    </row>
    <row r="897" spans="1:25">
      <c r="C897" s="598" t="s">
        <v>371</v>
      </c>
      <c r="D897" s="599"/>
      <c r="E897" s="599"/>
      <c r="F897" s="599"/>
      <c r="G897" s="599"/>
      <c r="H897" s="599"/>
      <c r="I897" s="599"/>
      <c r="J897" s="599"/>
      <c r="K897" s="599"/>
      <c r="L897" s="599"/>
      <c r="M897" s="599"/>
      <c r="N897" s="599"/>
      <c r="O897" s="599"/>
      <c r="P897" s="599"/>
      <c r="Q897" s="599"/>
      <c r="R897" s="599"/>
      <c r="S897" s="600"/>
    </row>
    <row r="898" spans="1:25">
      <c r="C898" s="586" t="s">
        <v>372</v>
      </c>
      <c r="D898" s="587"/>
      <c r="E898" s="601" t="s">
        <v>373</v>
      </c>
      <c r="F898" s="601"/>
      <c r="G898" s="601"/>
      <c r="H898" s="601"/>
      <c r="I898" s="601"/>
      <c r="J898" s="601"/>
      <c r="K898" s="601"/>
      <c r="L898" s="601"/>
      <c r="M898" s="601"/>
      <c r="N898" s="601"/>
      <c r="O898" s="601"/>
      <c r="P898" s="601"/>
      <c r="Q898" s="601"/>
      <c r="R898" s="601"/>
      <c r="S898" s="602"/>
    </row>
    <row r="899" spans="1:25">
      <c r="C899" s="586" t="s">
        <v>374</v>
      </c>
      <c r="D899" s="587"/>
      <c r="E899" s="603" t="s">
        <v>375</v>
      </c>
      <c r="F899" s="604"/>
      <c r="G899" s="604"/>
      <c r="H899" s="604"/>
      <c r="I899" s="604"/>
      <c r="J899" s="604"/>
      <c r="K899" s="604"/>
      <c r="L899" s="604"/>
      <c r="M899" s="604"/>
      <c r="N899" s="604"/>
      <c r="O899" s="604"/>
      <c r="P899" s="604"/>
      <c r="Q899" s="604"/>
      <c r="R899" s="604"/>
      <c r="S899" s="605"/>
    </row>
    <row r="900" spans="1:25">
      <c r="C900" s="586" t="s">
        <v>376</v>
      </c>
      <c r="D900" s="587"/>
      <c r="E900" s="390">
        <f>+[42]DATOS!F$5</f>
        <v>46143</v>
      </c>
      <c r="F900" s="391"/>
      <c r="G900" s="391"/>
      <c r="H900" s="391"/>
      <c r="I900" s="391"/>
      <c r="J900" s="391"/>
      <c r="K900" s="568" t="s">
        <v>377</v>
      </c>
      <c r="L900" s="568"/>
      <c r="M900" s="588" t="s">
        <v>378</v>
      </c>
      <c r="N900" s="588"/>
      <c r="O900" s="588"/>
      <c r="P900" s="588"/>
      <c r="Q900" s="588"/>
      <c r="R900" s="588"/>
      <c r="S900" s="589"/>
    </row>
    <row r="901" spans="1:25" ht="25.5">
      <c r="C901" s="586" t="s">
        <v>379</v>
      </c>
      <c r="D901" s="587"/>
      <c r="E901" s="590" t="s">
        <v>380</v>
      </c>
      <c r="F901" s="591"/>
      <c r="G901" s="392">
        <f>+[42]DATOS!E$5</f>
        <v>2026</v>
      </c>
      <c r="H901" s="393" t="s">
        <v>381</v>
      </c>
      <c r="I901" s="394">
        <f>+[42]DATOS!E$5</f>
        <v>2026</v>
      </c>
      <c r="J901" s="395"/>
      <c r="K901" s="568" t="s">
        <v>382</v>
      </c>
      <c r="L901" s="568"/>
      <c r="M901" s="588" t="s">
        <v>383</v>
      </c>
      <c r="N901" s="588"/>
      <c r="O901" s="588"/>
      <c r="P901" s="588"/>
      <c r="Q901" s="588"/>
      <c r="R901" s="588"/>
      <c r="S901" s="589"/>
    </row>
    <row r="902" spans="1:25">
      <c r="C902" s="396"/>
      <c r="D902" s="397"/>
      <c r="E902" s="397"/>
      <c r="F902" s="398"/>
      <c r="G902" s="398"/>
      <c r="H902" s="398"/>
      <c r="I902" s="398"/>
      <c r="J902" s="398"/>
      <c r="K902" s="398"/>
      <c r="L902" s="398"/>
      <c r="M902" s="398"/>
      <c r="N902" s="398"/>
      <c r="O902" s="398"/>
      <c r="P902" s="398"/>
      <c r="Q902" s="398"/>
      <c r="R902" s="398"/>
      <c r="S902" s="399"/>
    </row>
    <row r="903" spans="1:25">
      <c r="C903" s="572" t="s">
        <v>384</v>
      </c>
      <c r="D903" s="573"/>
      <c r="E903" s="573"/>
      <c r="F903" s="573"/>
      <c r="G903" s="573"/>
      <c r="H903" s="573"/>
      <c r="I903" s="573"/>
      <c r="J903" s="573"/>
      <c r="K903" s="573"/>
      <c r="L903" s="573"/>
      <c r="M903" s="573"/>
      <c r="N903" s="573"/>
      <c r="O903" s="573"/>
      <c r="P903" s="573"/>
      <c r="Q903" s="573"/>
      <c r="R903" s="573"/>
      <c r="S903" s="574"/>
    </row>
    <row r="904" spans="1:25">
      <c r="C904" s="396"/>
      <c r="D904" s="397"/>
      <c r="E904" s="397"/>
      <c r="F904" s="398"/>
      <c r="G904" s="398"/>
      <c r="H904" s="398"/>
      <c r="I904" s="398"/>
      <c r="J904" s="398"/>
      <c r="K904" s="398"/>
      <c r="L904" s="398"/>
      <c r="M904" s="398"/>
      <c r="N904" s="398"/>
      <c r="O904" s="398"/>
      <c r="P904" s="398"/>
      <c r="Q904" s="398"/>
      <c r="R904" s="398"/>
      <c r="S904" s="399"/>
    </row>
    <row r="905" spans="1:25">
      <c r="C905" s="400" t="s">
        <v>385</v>
      </c>
      <c r="D905" s="575" t="s">
        <v>386</v>
      </c>
      <c r="E905" s="575"/>
      <c r="F905" s="576" t="s">
        <v>387</v>
      </c>
      <c r="G905" s="577"/>
      <c r="H905" s="577"/>
      <c r="I905" s="576" t="s">
        <v>388</v>
      </c>
      <c r="J905" s="576" t="s">
        <v>389</v>
      </c>
      <c r="K905" s="579"/>
      <c r="L905" s="581" t="s">
        <v>390</v>
      </c>
      <c r="M905" s="581"/>
      <c r="N905" s="581"/>
      <c r="O905" s="581"/>
      <c r="P905" s="581"/>
      <c r="Q905" s="581"/>
      <c r="R905" s="581" t="s">
        <v>391</v>
      </c>
      <c r="S905" s="582"/>
    </row>
    <row r="906" spans="1:25" ht="38.25">
      <c r="C906" s="403">
        <f>+'PRESUPUESTO OFICIAL '!C76</f>
        <v>6.08</v>
      </c>
      <c r="D906" s="583" t="str">
        <f>+VLOOKUP(C906,'PRESUPUESTO OFICIAL '!$C$11:$H$103,2)</f>
        <v>GUARDA ESCOBA EN CERÁMICA E = 8.0 CM.</v>
      </c>
      <c r="E906" s="584"/>
      <c r="F906" s="585" t="str">
        <f>+VLOOKUP(C906,'PRESUPUESTO OFICIAL '!$C$11:$H$103,3)</f>
        <v>M</v>
      </c>
      <c r="G906" s="585"/>
      <c r="H906" s="585"/>
      <c r="I906" s="578"/>
      <c r="J906" s="578"/>
      <c r="K906" s="580"/>
      <c r="L906" s="401" t="s">
        <v>392</v>
      </c>
      <c r="M906" s="401" t="s">
        <v>459</v>
      </c>
      <c r="N906" s="401" t="s">
        <v>394</v>
      </c>
      <c r="O906" s="401" t="s">
        <v>395</v>
      </c>
      <c r="P906" s="401" t="s">
        <v>396</v>
      </c>
      <c r="Q906" s="401" t="s">
        <v>397</v>
      </c>
      <c r="R906" s="401" t="s">
        <v>398</v>
      </c>
      <c r="S906" s="402" t="s">
        <v>399</v>
      </c>
      <c r="U906" s="404">
        <f>+C906</f>
        <v>6.08</v>
      </c>
      <c r="V906" s="405">
        <f>+S954</f>
        <v>160.96</v>
      </c>
    </row>
    <row r="907" spans="1:25">
      <c r="C907" s="406"/>
      <c r="D907" s="407"/>
      <c r="E907" s="407"/>
      <c r="F907" s="407"/>
      <c r="G907" s="407"/>
      <c r="H907" s="407"/>
      <c r="I907" s="558"/>
      <c r="J907" s="559"/>
      <c r="K907" s="560"/>
      <c r="L907" s="560"/>
      <c r="M907" s="560"/>
      <c r="N907" s="560"/>
      <c r="O907" s="560"/>
      <c r="P907" s="560"/>
      <c r="Q907" s="560"/>
      <c r="R907" s="560"/>
      <c r="S907" s="561"/>
    </row>
    <row r="908" spans="1:25">
      <c r="A908" s="383">
        <v>1</v>
      </c>
      <c r="C908" s="406"/>
      <c r="D908" s="407"/>
      <c r="E908" s="407"/>
      <c r="F908" s="407"/>
      <c r="G908" s="407"/>
      <c r="H908" s="407"/>
      <c r="I908" s="408" t="s">
        <v>400</v>
      </c>
      <c r="J908" s="409" t="str">
        <f t="shared" ref="J908:J950" si="188">+VLOOKUP(K908,$AH$22:$AJ$58,2,)</f>
        <v>M=(Largo) x Cant</v>
      </c>
      <c r="K908" s="410" t="str">
        <f>+F906</f>
        <v>M</v>
      </c>
      <c r="L908" s="411"/>
      <c r="M908" s="456"/>
      <c r="N908" s="442"/>
      <c r="O908" s="442"/>
      <c r="P908" s="413"/>
      <c r="Q908" s="411"/>
      <c r="R908" s="413"/>
      <c r="S908" s="414">
        <f>+HLOOKUP(A908,[238]Hoja1!$2:$78,61,FALSE)</f>
        <v>0</v>
      </c>
      <c r="X908" s="458">
        <f t="shared" ref="X908:X913" si="189">+N908*O908*P908</f>
        <v>0</v>
      </c>
      <c r="Y908" s="471">
        <f t="shared" ref="Y908:Y913" si="190">+X908-Q908</f>
        <v>0</v>
      </c>
    </row>
    <row r="909" spans="1:25">
      <c r="A909" s="383">
        <v>2</v>
      </c>
      <c r="C909" s="406"/>
      <c r="D909" s="407"/>
      <c r="E909" s="407"/>
      <c r="F909" s="407"/>
      <c r="G909" s="407"/>
      <c r="H909" s="407"/>
      <c r="I909" s="408" t="s">
        <v>401</v>
      </c>
      <c r="J909" s="409" t="str">
        <f t="shared" si="188"/>
        <v>M=(Largo) x Cant</v>
      </c>
      <c r="K909" s="410" t="str">
        <f>+K908</f>
        <v>M</v>
      </c>
      <c r="L909" s="411"/>
      <c r="M909" s="456"/>
      <c r="N909" s="442"/>
      <c r="O909" s="442"/>
      <c r="P909" s="413"/>
      <c r="Q909" s="411"/>
      <c r="R909" s="413"/>
      <c r="S909" s="414">
        <f>+HLOOKUP(A909,[238]Hoja1!$2:$78,61,FALSE)</f>
        <v>0</v>
      </c>
      <c r="X909" s="458">
        <f t="shared" si="189"/>
        <v>0</v>
      </c>
      <c r="Y909" s="471">
        <f t="shared" si="190"/>
        <v>0</v>
      </c>
    </row>
    <row r="910" spans="1:25">
      <c r="A910" s="383">
        <v>3</v>
      </c>
      <c r="C910" s="406"/>
      <c r="D910" s="407"/>
      <c r="E910" s="407"/>
      <c r="F910" s="407"/>
      <c r="G910" s="407"/>
      <c r="H910" s="407"/>
      <c r="I910" s="408" t="s">
        <v>402</v>
      </c>
      <c r="J910" s="409" t="str">
        <f t="shared" si="188"/>
        <v>M=(Largo) x Cant</v>
      </c>
      <c r="K910" s="410" t="str">
        <f>+K909</f>
        <v>M</v>
      </c>
      <c r="L910" s="411"/>
      <c r="M910" s="456"/>
      <c r="N910" s="442"/>
      <c r="O910" s="442"/>
      <c r="P910" s="413"/>
      <c r="Q910" s="411"/>
      <c r="R910" s="413"/>
      <c r="S910" s="414">
        <f>+HLOOKUP(A910,[238]Hoja1!$2:$78,61,FALSE)</f>
        <v>0</v>
      </c>
      <c r="X910" s="458">
        <f t="shared" si="189"/>
        <v>0</v>
      </c>
      <c r="Y910" s="471">
        <f t="shared" si="190"/>
        <v>0</v>
      </c>
    </row>
    <row r="911" spans="1:25">
      <c r="A911" s="383">
        <v>4</v>
      </c>
      <c r="C911" s="406"/>
      <c r="D911" s="407"/>
      <c r="E911" s="407"/>
      <c r="F911" s="407"/>
      <c r="G911" s="407"/>
      <c r="H911" s="407"/>
      <c r="I911" s="408" t="s">
        <v>403</v>
      </c>
      <c r="J911" s="409" t="str">
        <f t="shared" si="188"/>
        <v>M=(Largo) x Cant</v>
      </c>
      <c r="K911" s="410" t="str">
        <f>+K910</f>
        <v>M</v>
      </c>
      <c r="L911" s="411"/>
      <c r="M911" s="456"/>
      <c r="N911" s="442"/>
      <c r="O911" s="442"/>
      <c r="P911" s="413"/>
      <c r="Q911" s="411"/>
      <c r="R911" s="413"/>
      <c r="S911" s="414">
        <f>+HLOOKUP(A911,[238]Hoja1!$2:$78,61,FALSE)</f>
        <v>0</v>
      </c>
      <c r="X911" s="458">
        <f t="shared" si="189"/>
        <v>0</v>
      </c>
      <c r="Y911" s="471">
        <f t="shared" si="190"/>
        <v>0</v>
      </c>
    </row>
    <row r="912" spans="1:25">
      <c r="A912" s="383">
        <v>5</v>
      </c>
      <c r="C912" s="406"/>
      <c r="D912" s="407"/>
      <c r="E912" s="407"/>
      <c r="F912" s="407"/>
      <c r="G912" s="407"/>
      <c r="H912" s="407"/>
      <c r="I912" s="408" t="s">
        <v>405</v>
      </c>
      <c r="J912" s="409" t="str">
        <f t="shared" si="188"/>
        <v>M=(Largo) x Cant</v>
      </c>
      <c r="K912" s="410" t="str">
        <f>+K911</f>
        <v>M</v>
      </c>
      <c r="L912" s="411"/>
      <c r="M912" s="456"/>
      <c r="N912" s="442"/>
      <c r="O912" s="442"/>
      <c r="P912" s="413"/>
      <c r="Q912" s="411"/>
      <c r="R912" s="413"/>
      <c r="S912" s="414">
        <f>+HLOOKUP(A912,[238]Hoja1!$2:$78,61,FALSE)</f>
        <v>0</v>
      </c>
      <c r="X912" s="458">
        <f t="shared" si="189"/>
        <v>0</v>
      </c>
      <c r="Y912" s="471">
        <f t="shared" si="190"/>
        <v>0</v>
      </c>
    </row>
    <row r="913" spans="1:25">
      <c r="A913" s="383">
        <v>6</v>
      </c>
      <c r="C913" s="406"/>
      <c r="D913" s="407"/>
      <c r="E913" s="407"/>
      <c r="F913" s="407"/>
      <c r="G913" s="407"/>
      <c r="H913" s="407"/>
      <c r="I913" s="408" t="s">
        <v>407</v>
      </c>
      <c r="J913" s="409" t="str">
        <f t="shared" si="188"/>
        <v>M=(Largo) x Cant</v>
      </c>
      <c r="K913" s="410" t="str">
        <f>+K912</f>
        <v>M</v>
      </c>
      <c r="L913" s="411"/>
      <c r="M913" s="456"/>
      <c r="N913" s="442"/>
      <c r="O913" s="442">
        <f t="shared" ref="O913:O947" si="191">+S913</f>
        <v>8.36</v>
      </c>
      <c r="P913" s="413"/>
      <c r="Q913" s="411"/>
      <c r="R913" s="413">
        <v>1</v>
      </c>
      <c r="S913" s="414">
        <f>+HLOOKUP(A913,[238]Hoja1!$2:$78,61,FALSE)</f>
        <v>8.36</v>
      </c>
      <c r="X913" s="458">
        <f t="shared" si="189"/>
        <v>0</v>
      </c>
      <c r="Y913" s="471">
        <f t="shared" si="190"/>
        <v>0</v>
      </c>
    </row>
    <row r="914" spans="1:25">
      <c r="A914" s="383">
        <v>7</v>
      </c>
      <c r="C914" s="406"/>
      <c r="D914" s="407"/>
      <c r="E914" s="407"/>
      <c r="F914" s="407"/>
      <c r="G914" s="407"/>
      <c r="H914" s="407"/>
      <c r="I914" s="408" t="s">
        <v>409</v>
      </c>
      <c r="J914" s="409" t="str">
        <f t="shared" si="188"/>
        <v>M=(Largo) x Cant</v>
      </c>
      <c r="K914" s="410" t="str">
        <f>+K908</f>
        <v>M</v>
      </c>
      <c r="L914" s="411"/>
      <c r="M914" s="456"/>
      <c r="N914" s="442"/>
      <c r="O914" s="442"/>
      <c r="P914" s="413"/>
      <c r="Q914" s="411"/>
      <c r="R914" s="413"/>
      <c r="S914" s="414">
        <f>+HLOOKUP(A914,[238]Hoja1!$2:$78,61,FALSE)</f>
        <v>0</v>
      </c>
      <c r="X914" s="458">
        <f>+N914*O914*P914</f>
        <v>0</v>
      </c>
      <c r="Y914" s="471">
        <f>+X914-Q914</f>
        <v>0</v>
      </c>
    </row>
    <row r="915" spans="1:25">
      <c r="A915" s="383">
        <v>8</v>
      </c>
      <c r="C915" s="406"/>
      <c r="D915" s="407"/>
      <c r="E915" s="407"/>
      <c r="F915" s="407"/>
      <c r="G915" s="407"/>
      <c r="H915" s="407"/>
      <c r="I915" s="408" t="s">
        <v>411</v>
      </c>
      <c r="J915" s="409" t="str">
        <f t="shared" si="188"/>
        <v>M=(Largo) x Cant</v>
      </c>
      <c r="K915" s="410" t="str">
        <f>+K914</f>
        <v>M</v>
      </c>
      <c r="L915" s="411"/>
      <c r="M915" s="456"/>
      <c r="N915" s="442"/>
      <c r="O915" s="442">
        <f t="shared" si="191"/>
        <v>10.86</v>
      </c>
      <c r="P915" s="413"/>
      <c r="Q915" s="411"/>
      <c r="R915" s="413">
        <v>1</v>
      </c>
      <c r="S915" s="414">
        <f>+HLOOKUP(A915,[238]Hoja1!$2:$78,61,FALSE)</f>
        <v>10.86</v>
      </c>
      <c r="X915" s="458">
        <f t="shared" ref="X915:X950" si="192">+N915*O915*P915</f>
        <v>0</v>
      </c>
      <c r="Y915" s="471">
        <f t="shared" ref="Y915:Y950" si="193">+X915-Q915</f>
        <v>0</v>
      </c>
    </row>
    <row r="916" spans="1:25">
      <c r="A916" s="383">
        <v>9</v>
      </c>
      <c r="C916" s="406"/>
      <c r="D916" s="407"/>
      <c r="E916" s="407"/>
      <c r="F916" s="407"/>
      <c r="G916" s="407"/>
      <c r="H916" s="407"/>
      <c r="I916" s="408" t="s">
        <v>412</v>
      </c>
      <c r="J916" s="409" t="str">
        <f t="shared" si="188"/>
        <v>M=(Largo) x Cant</v>
      </c>
      <c r="K916" s="410" t="str">
        <f>+K915</f>
        <v>M</v>
      </c>
      <c r="L916" s="411"/>
      <c r="M916" s="456"/>
      <c r="N916" s="442"/>
      <c r="O916" s="442"/>
      <c r="P916" s="412"/>
      <c r="Q916" s="411"/>
      <c r="R916" s="413"/>
      <c r="S916" s="414">
        <f>+HLOOKUP(A916,[238]Hoja1!$2:$78,61,FALSE)</f>
        <v>0</v>
      </c>
      <c r="X916" s="458">
        <f t="shared" si="192"/>
        <v>0</v>
      </c>
      <c r="Y916" s="471">
        <f t="shared" si="193"/>
        <v>0</v>
      </c>
    </row>
    <row r="917" spans="1:25">
      <c r="A917" s="383">
        <v>10</v>
      </c>
      <c r="C917" s="406"/>
      <c r="D917" s="407"/>
      <c r="E917" s="407"/>
      <c r="F917" s="407"/>
      <c r="G917" s="407"/>
      <c r="H917" s="407"/>
      <c r="I917" s="408" t="s">
        <v>413</v>
      </c>
      <c r="J917" s="409" t="str">
        <f t="shared" si="188"/>
        <v>M=(Largo) x Cant</v>
      </c>
      <c r="K917" s="410" t="str">
        <f>+K916</f>
        <v>M</v>
      </c>
      <c r="L917" s="411"/>
      <c r="M917" s="456"/>
      <c r="N917" s="441"/>
      <c r="O917" s="442"/>
      <c r="P917" s="412"/>
      <c r="Q917" s="411"/>
      <c r="R917" s="413"/>
      <c r="S917" s="414">
        <f>+HLOOKUP(A917,[238]Hoja1!$2:$78,61,FALSE)</f>
        <v>0</v>
      </c>
      <c r="X917" s="458">
        <f t="shared" si="192"/>
        <v>0</v>
      </c>
      <c r="Y917" s="471">
        <f t="shared" si="193"/>
        <v>0</v>
      </c>
    </row>
    <row r="918" spans="1:25">
      <c r="A918" s="383">
        <v>11</v>
      </c>
      <c r="C918" s="406"/>
      <c r="D918" s="407"/>
      <c r="E918" s="407"/>
      <c r="F918" s="407"/>
      <c r="G918" s="407"/>
      <c r="H918" s="407"/>
      <c r="I918" s="408" t="s">
        <v>414</v>
      </c>
      <c r="J918" s="409" t="str">
        <f t="shared" si="188"/>
        <v>M=(Largo) x Cant</v>
      </c>
      <c r="K918" s="410" t="str">
        <f>+K917</f>
        <v>M</v>
      </c>
      <c r="L918" s="411"/>
      <c r="M918" s="456"/>
      <c r="N918" s="443"/>
      <c r="O918" s="442"/>
      <c r="P918" s="412"/>
      <c r="Q918" s="411"/>
      <c r="R918" s="413"/>
      <c r="S918" s="414">
        <f>+HLOOKUP(A918,[238]Hoja1!$2:$78,61,FALSE)</f>
        <v>0</v>
      </c>
      <c r="X918" s="458">
        <f t="shared" si="192"/>
        <v>0</v>
      </c>
      <c r="Y918" s="471">
        <f t="shared" si="193"/>
        <v>0</v>
      </c>
    </row>
    <row r="919" spans="1:25">
      <c r="A919" s="383">
        <v>12</v>
      </c>
      <c r="C919" s="406"/>
      <c r="D919" s="407"/>
      <c r="E919" s="407"/>
      <c r="F919" s="407"/>
      <c r="G919" s="407"/>
      <c r="H919" s="407"/>
      <c r="I919" s="408" t="s">
        <v>415</v>
      </c>
      <c r="J919" s="409" t="str">
        <f t="shared" si="188"/>
        <v>M=(Largo) x Cant</v>
      </c>
      <c r="K919" s="410" t="str">
        <f>+K913</f>
        <v>M</v>
      </c>
      <c r="L919" s="411"/>
      <c r="M919" s="456"/>
      <c r="N919" s="442"/>
      <c r="O919" s="442">
        <f t="shared" si="191"/>
        <v>15.899999999999999</v>
      </c>
      <c r="P919" s="413"/>
      <c r="Q919" s="411"/>
      <c r="R919" s="413">
        <v>1</v>
      </c>
      <c r="S919" s="414">
        <f>+HLOOKUP(A919,[238]Hoja1!$2:$78,61,FALSE)</f>
        <v>15.899999999999999</v>
      </c>
      <c r="X919" s="458">
        <f t="shared" si="192"/>
        <v>0</v>
      </c>
      <c r="Y919" s="471">
        <f t="shared" si="193"/>
        <v>0</v>
      </c>
    </row>
    <row r="920" spans="1:25">
      <c r="A920" s="383">
        <v>13</v>
      </c>
      <c r="C920" s="406"/>
      <c r="D920" s="407"/>
      <c r="E920" s="407"/>
      <c r="F920" s="407"/>
      <c r="G920" s="407"/>
      <c r="H920" s="407"/>
      <c r="I920" s="408" t="s">
        <v>416</v>
      </c>
      <c r="J920" s="409" t="str">
        <f t="shared" si="188"/>
        <v>M=(Largo) x Cant</v>
      </c>
      <c r="K920" s="410" t="str">
        <f>+K915</f>
        <v>M</v>
      </c>
      <c r="L920" s="411"/>
      <c r="M920" s="456"/>
      <c r="N920" s="442"/>
      <c r="O920" s="442"/>
      <c r="P920" s="413"/>
      <c r="Q920" s="411"/>
      <c r="R920" s="413"/>
      <c r="S920" s="414">
        <f>+HLOOKUP(A920,[238]Hoja1!$2:$78,61,FALSE)</f>
        <v>0</v>
      </c>
      <c r="X920" s="458">
        <f t="shared" si="192"/>
        <v>0</v>
      </c>
      <c r="Y920" s="471">
        <f t="shared" si="193"/>
        <v>0</v>
      </c>
    </row>
    <row r="921" spans="1:25">
      <c r="A921" s="383">
        <v>14</v>
      </c>
      <c r="C921" s="406"/>
      <c r="D921" s="407"/>
      <c r="E921" s="407"/>
      <c r="F921" s="407"/>
      <c r="G921" s="407"/>
      <c r="H921" s="407"/>
      <c r="I921" s="408" t="s">
        <v>417</v>
      </c>
      <c r="J921" s="409" t="str">
        <f t="shared" si="188"/>
        <v>M=(Largo) x Cant</v>
      </c>
      <c r="K921" s="410" t="str">
        <f t="shared" ref="K921:K932" si="194">+K920</f>
        <v>M</v>
      </c>
      <c r="L921" s="411"/>
      <c r="M921" s="456"/>
      <c r="N921" s="442"/>
      <c r="O921" s="442"/>
      <c r="P921" s="412"/>
      <c r="Q921" s="411"/>
      <c r="R921" s="413"/>
      <c r="S921" s="414">
        <f>+HLOOKUP(A921,[238]Hoja1!$2:$78,61,FALSE)</f>
        <v>0</v>
      </c>
      <c r="X921" s="458">
        <f t="shared" si="192"/>
        <v>0</v>
      </c>
      <c r="Y921" s="471">
        <f t="shared" si="193"/>
        <v>0</v>
      </c>
    </row>
    <row r="922" spans="1:25">
      <c r="A922" s="383">
        <v>15</v>
      </c>
      <c r="C922" s="406"/>
      <c r="D922" s="407"/>
      <c r="E922" s="407"/>
      <c r="F922" s="407"/>
      <c r="G922" s="407"/>
      <c r="H922" s="407"/>
      <c r="I922" s="408" t="s">
        <v>418</v>
      </c>
      <c r="J922" s="409" t="str">
        <f t="shared" si="188"/>
        <v>M=(Largo) x Cant</v>
      </c>
      <c r="K922" s="410" t="str">
        <f t="shared" si="194"/>
        <v>M</v>
      </c>
      <c r="L922" s="411"/>
      <c r="M922" s="456"/>
      <c r="N922" s="442"/>
      <c r="O922" s="442"/>
      <c r="P922" s="449"/>
      <c r="Q922" s="411"/>
      <c r="R922" s="413"/>
      <c r="S922" s="414">
        <f>+HLOOKUP(A922,[238]Hoja1!$2:$78,61,FALSE)</f>
        <v>0</v>
      </c>
      <c r="X922" s="458">
        <f t="shared" si="192"/>
        <v>0</v>
      </c>
      <c r="Y922" s="471">
        <f t="shared" si="193"/>
        <v>0</v>
      </c>
    </row>
    <row r="923" spans="1:25">
      <c r="A923" s="383">
        <v>16</v>
      </c>
      <c r="C923" s="406"/>
      <c r="D923" s="407"/>
      <c r="E923" s="407"/>
      <c r="F923" s="407"/>
      <c r="G923" s="407"/>
      <c r="H923" s="407"/>
      <c r="I923" s="408" t="s">
        <v>419</v>
      </c>
      <c r="J923" s="409" t="str">
        <f t="shared" si="188"/>
        <v>M=(Largo) x Cant</v>
      </c>
      <c r="K923" s="410" t="str">
        <f t="shared" si="194"/>
        <v>M</v>
      </c>
      <c r="L923" s="411"/>
      <c r="M923" s="456"/>
      <c r="N923" s="442"/>
      <c r="O923" s="442">
        <f t="shared" si="191"/>
        <v>15.78</v>
      </c>
      <c r="P923" s="449"/>
      <c r="Q923" s="411"/>
      <c r="R923" s="413">
        <v>1</v>
      </c>
      <c r="S923" s="414">
        <f>+HLOOKUP(A923,[238]Hoja1!$2:$78,61,FALSE)</f>
        <v>15.78</v>
      </c>
      <c r="X923" s="458">
        <f t="shared" si="192"/>
        <v>0</v>
      </c>
      <c r="Y923" s="471">
        <f t="shared" si="193"/>
        <v>0</v>
      </c>
    </row>
    <row r="924" spans="1:25">
      <c r="A924" s="383">
        <v>17</v>
      </c>
      <c r="C924" s="406"/>
      <c r="D924" s="407"/>
      <c r="E924" s="407"/>
      <c r="F924" s="407"/>
      <c r="G924" s="407"/>
      <c r="H924" s="407"/>
      <c r="I924" s="408" t="s">
        <v>420</v>
      </c>
      <c r="J924" s="409" t="str">
        <f t="shared" si="188"/>
        <v>M=(Largo) x Cant</v>
      </c>
      <c r="K924" s="410" t="str">
        <f t="shared" si="194"/>
        <v>M</v>
      </c>
      <c r="L924" s="411"/>
      <c r="M924" s="456"/>
      <c r="N924" s="442"/>
      <c r="O924" s="442"/>
      <c r="P924" s="412"/>
      <c r="Q924" s="411"/>
      <c r="R924" s="413"/>
      <c r="S924" s="414">
        <f>+HLOOKUP(A924,[238]Hoja1!$2:$78,61,FALSE)</f>
        <v>0</v>
      </c>
      <c r="X924" s="458">
        <f t="shared" si="192"/>
        <v>0</v>
      </c>
      <c r="Y924" s="471">
        <f t="shared" si="193"/>
        <v>0</v>
      </c>
    </row>
    <row r="925" spans="1:25">
      <c r="A925" s="383">
        <v>18</v>
      </c>
      <c r="C925" s="406"/>
      <c r="D925" s="407"/>
      <c r="E925" s="407"/>
      <c r="F925" s="407"/>
      <c r="G925" s="407"/>
      <c r="H925" s="407"/>
      <c r="I925" s="408" t="s">
        <v>429</v>
      </c>
      <c r="J925" s="409" t="str">
        <f t="shared" si="188"/>
        <v>M=(Largo) x Cant</v>
      </c>
      <c r="K925" s="410" t="str">
        <f t="shared" si="194"/>
        <v>M</v>
      </c>
      <c r="L925" s="411"/>
      <c r="M925" s="456"/>
      <c r="N925" s="442"/>
      <c r="O925" s="442">
        <f t="shared" si="191"/>
        <v>8.36</v>
      </c>
      <c r="P925" s="412"/>
      <c r="Q925" s="411"/>
      <c r="R925" s="413">
        <v>1</v>
      </c>
      <c r="S925" s="414">
        <f>+HLOOKUP(A925,[238]Hoja1!$2:$78,61,FALSE)</f>
        <v>8.36</v>
      </c>
      <c r="X925" s="458">
        <f t="shared" si="192"/>
        <v>0</v>
      </c>
      <c r="Y925" s="471">
        <f t="shared" si="193"/>
        <v>0</v>
      </c>
    </row>
    <row r="926" spans="1:25">
      <c r="A926" s="383">
        <v>19</v>
      </c>
      <c r="C926" s="406"/>
      <c r="D926" s="407"/>
      <c r="E926" s="407"/>
      <c r="F926" s="407"/>
      <c r="G926" s="407"/>
      <c r="H926" s="407"/>
      <c r="I926" s="408" t="s">
        <v>430</v>
      </c>
      <c r="J926" s="409" t="str">
        <f t="shared" si="188"/>
        <v>M=(Largo) x Cant</v>
      </c>
      <c r="K926" s="410" t="str">
        <f t="shared" si="194"/>
        <v>M</v>
      </c>
      <c r="L926" s="411"/>
      <c r="M926" s="456"/>
      <c r="N926" s="442"/>
      <c r="O926" s="442"/>
      <c r="P926" s="412"/>
      <c r="Q926" s="411"/>
      <c r="R926" s="413"/>
      <c r="S926" s="414">
        <f>+HLOOKUP(A926,[238]Hoja1!$2:$78,61,FALSE)</f>
        <v>0</v>
      </c>
      <c r="X926" s="458">
        <f t="shared" si="192"/>
        <v>0</v>
      </c>
      <c r="Y926" s="471">
        <f t="shared" si="193"/>
        <v>0</v>
      </c>
    </row>
    <row r="927" spans="1:25">
      <c r="A927" s="383">
        <v>20</v>
      </c>
      <c r="C927" s="406"/>
      <c r="D927" s="407"/>
      <c r="E927" s="407"/>
      <c r="F927" s="407"/>
      <c r="G927" s="407"/>
      <c r="H927" s="407"/>
      <c r="I927" s="408" t="s">
        <v>431</v>
      </c>
      <c r="J927" s="409" t="str">
        <f t="shared" si="188"/>
        <v>M=(Largo) x Cant</v>
      </c>
      <c r="K927" s="410" t="str">
        <f t="shared" si="194"/>
        <v>M</v>
      </c>
      <c r="L927" s="411"/>
      <c r="M927" s="456"/>
      <c r="N927" s="442"/>
      <c r="O927" s="442">
        <f t="shared" si="191"/>
        <v>10.86</v>
      </c>
      <c r="P927" s="412"/>
      <c r="Q927" s="411"/>
      <c r="R927" s="413">
        <v>1</v>
      </c>
      <c r="S927" s="414">
        <f>+HLOOKUP(A927,[238]Hoja1!$2:$78,61,FALSE)</f>
        <v>10.86</v>
      </c>
      <c r="X927" s="458">
        <f t="shared" si="192"/>
        <v>0</v>
      </c>
      <c r="Y927" s="471">
        <f t="shared" si="193"/>
        <v>0</v>
      </c>
    </row>
    <row r="928" spans="1:25">
      <c r="A928" s="383">
        <v>21</v>
      </c>
      <c r="C928" s="406"/>
      <c r="D928" s="407"/>
      <c r="E928" s="407"/>
      <c r="F928" s="407"/>
      <c r="G928" s="407"/>
      <c r="H928" s="407"/>
      <c r="I928" s="408" t="s">
        <v>432</v>
      </c>
      <c r="J928" s="409" t="str">
        <f t="shared" si="188"/>
        <v>M=(Largo) x Cant</v>
      </c>
      <c r="K928" s="410" t="str">
        <f t="shared" si="194"/>
        <v>M</v>
      </c>
      <c r="L928" s="411"/>
      <c r="M928" s="456"/>
      <c r="N928" s="442"/>
      <c r="O928" s="442"/>
      <c r="P928" s="412"/>
      <c r="Q928" s="411"/>
      <c r="R928" s="413"/>
      <c r="S928" s="414">
        <f>+HLOOKUP(A928,[238]Hoja1!$2:$78,61,FALSE)</f>
        <v>0</v>
      </c>
      <c r="X928" s="458">
        <f t="shared" si="192"/>
        <v>0</v>
      </c>
      <c r="Y928" s="471">
        <f t="shared" si="193"/>
        <v>0</v>
      </c>
    </row>
    <row r="929" spans="1:25">
      <c r="A929" s="383">
        <v>22</v>
      </c>
      <c r="C929" s="406"/>
      <c r="D929" s="407"/>
      <c r="E929" s="407"/>
      <c r="F929" s="407"/>
      <c r="G929" s="407"/>
      <c r="H929" s="407"/>
      <c r="I929" s="408" t="s">
        <v>433</v>
      </c>
      <c r="J929" s="409" t="str">
        <f t="shared" si="188"/>
        <v>M=(Largo) x Cant</v>
      </c>
      <c r="K929" s="410" t="str">
        <f t="shared" si="194"/>
        <v>M</v>
      </c>
      <c r="L929" s="411"/>
      <c r="M929" s="456"/>
      <c r="N929" s="442"/>
      <c r="O929" s="442"/>
      <c r="P929" s="412"/>
      <c r="Q929" s="411"/>
      <c r="R929" s="413"/>
      <c r="S929" s="414">
        <f>+HLOOKUP(A929,[238]Hoja1!$2:$78,61,FALSE)</f>
        <v>0</v>
      </c>
      <c r="X929" s="458">
        <f t="shared" si="192"/>
        <v>0</v>
      </c>
      <c r="Y929" s="471">
        <f t="shared" si="193"/>
        <v>0</v>
      </c>
    </row>
    <row r="930" spans="1:25">
      <c r="A930" s="383">
        <v>23</v>
      </c>
      <c r="C930" s="406"/>
      <c r="D930" s="407"/>
      <c r="E930" s="407"/>
      <c r="F930" s="407"/>
      <c r="G930" s="407"/>
      <c r="H930" s="407"/>
      <c r="I930" s="408" t="s">
        <v>434</v>
      </c>
      <c r="J930" s="409" t="str">
        <f t="shared" si="188"/>
        <v>M=(Largo) x Cant</v>
      </c>
      <c r="K930" s="410" t="str">
        <f t="shared" si="194"/>
        <v>M</v>
      </c>
      <c r="L930" s="411"/>
      <c r="M930" s="456"/>
      <c r="N930" s="441"/>
      <c r="O930" s="442"/>
      <c r="P930" s="412"/>
      <c r="Q930" s="411"/>
      <c r="R930" s="413"/>
      <c r="S930" s="414">
        <f>+HLOOKUP(A930,[238]Hoja1!$2:$78,61,FALSE)</f>
        <v>0</v>
      </c>
      <c r="X930" s="458">
        <f t="shared" si="192"/>
        <v>0</v>
      </c>
      <c r="Y930" s="471">
        <f t="shared" si="193"/>
        <v>0</v>
      </c>
    </row>
    <row r="931" spans="1:25">
      <c r="A931" s="383">
        <v>24</v>
      </c>
      <c r="C931" s="406"/>
      <c r="D931" s="407"/>
      <c r="E931" s="407"/>
      <c r="F931" s="407"/>
      <c r="G931" s="407"/>
      <c r="H931" s="407"/>
      <c r="I931" s="408" t="s">
        <v>435</v>
      </c>
      <c r="J931" s="409" t="str">
        <f t="shared" si="188"/>
        <v>M=(Largo) x Cant</v>
      </c>
      <c r="K931" s="410" t="str">
        <f t="shared" si="194"/>
        <v>M</v>
      </c>
      <c r="L931" s="411"/>
      <c r="M931" s="456"/>
      <c r="N931" s="442"/>
      <c r="O931" s="442">
        <f t="shared" si="191"/>
        <v>6.9</v>
      </c>
      <c r="P931" s="413"/>
      <c r="Q931" s="411"/>
      <c r="R931" s="413">
        <v>1</v>
      </c>
      <c r="S931" s="414">
        <f>+HLOOKUP(A931,[238]Hoja1!$2:$78,61,FALSE)</f>
        <v>6.9</v>
      </c>
      <c r="X931" s="458">
        <f t="shared" si="192"/>
        <v>0</v>
      </c>
      <c r="Y931" s="471">
        <f t="shared" si="193"/>
        <v>0</v>
      </c>
    </row>
    <row r="932" spans="1:25">
      <c r="A932" s="383">
        <v>25</v>
      </c>
      <c r="C932" s="406"/>
      <c r="D932" s="407"/>
      <c r="E932" s="407"/>
      <c r="F932" s="407"/>
      <c r="G932" s="407"/>
      <c r="H932" s="407"/>
      <c r="I932" s="408" t="s">
        <v>436</v>
      </c>
      <c r="J932" s="409" t="str">
        <f t="shared" si="188"/>
        <v>M=(Largo) x Cant</v>
      </c>
      <c r="K932" s="410" t="str">
        <f t="shared" si="194"/>
        <v>M</v>
      </c>
      <c r="L932" s="411"/>
      <c r="M932" s="456"/>
      <c r="N932" s="442"/>
      <c r="O932" s="442">
        <f t="shared" si="191"/>
        <v>9.24</v>
      </c>
      <c r="P932" s="412"/>
      <c r="Q932" s="411"/>
      <c r="R932" s="413">
        <v>1</v>
      </c>
      <c r="S932" s="414">
        <f>+HLOOKUP(A932,[238]Hoja1!$2:$78,61,FALSE)</f>
        <v>9.24</v>
      </c>
      <c r="X932" s="458">
        <f t="shared" si="192"/>
        <v>0</v>
      </c>
      <c r="Y932" s="471">
        <f t="shared" si="193"/>
        <v>0</v>
      </c>
    </row>
    <row r="933" spans="1:25">
      <c r="A933" s="383">
        <v>26</v>
      </c>
      <c r="C933" s="406"/>
      <c r="D933" s="407"/>
      <c r="E933" s="407"/>
      <c r="F933" s="407"/>
      <c r="G933" s="407"/>
      <c r="H933" s="407"/>
      <c r="I933" s="408" t="s">
        <v>437</v>
      </c>
      <c r="J933" s="409" t="str">
        <f t="shared" si="188"/>
        <v>M=(Largo) x Cant</v>
      </c>
      <c r="K933" s="410" t="str">
        <f>+K922</f>
        <v>M</v>
      </c>
      <c r="L933" s="411"/>
      <c r="M933" s="456"/>
      <c r="N933" s="442"/>
      <c r="O933" s="442"/>
      <c r="P933" s="412"/>
      <c r="Q933" s="411"/>
      <c r="R933" s="413"/>
      <c r="S933" s="414">
        <f>+HLOOKUP(A933,[238]Hoja1!$2:$78,61,FALSE)</f>
        <v>0</v>
      </c>
      <c r="X933" s="458">
        <f t="shared" si="192"/>
        <v>0</v>
      </c>
      <c r="Y933" s="471">
        <f t="shared" si="193"/>
        <v>0</v>
      </c>
    </row>
    <row r="934" spans="1:25">
      <c r="A934" s="383">
        <v>27</v>
      </c>
      <c r="C934" s="406"/>
      <c r="D934" s="407"/>
      <c r="E934" s="407"/>
      <c r="F934" s="407"/>
      <c r="G934" s="407"/>
      <c r="H934" s="407"/>
      <c r="I934" s="408" t="s">
        <v>438</v>
      </c>
      <c r="J934" s="409" t="str">
        <f t="shared" si="188"/>
        <v>M=(Largo) x Cant</v>
      </c>
      <c r="K934" s="410" t="str">
        <f t="shared" ref="K934:K942" si="195">+K933</f>
        <v>M</v>
      </c>
      <c r="L934" s="411"/>
      <c r="M934" s="456"/>
      <c r="N934" s="442"/>
      <c r="O934" s="442"/>
      <c r="P934" s="412"/>
      <c r="Q934" s="411"/>
      <c r="R934" s="413"/>
      <c r="S934" s="414">
        <f>+HLOOKUP(A934,[238]Hoja1!$2:$78,61,FALSE)</f>
        <v>0</v>
      </c>
      <c r="X934" s="458">
        <f t="shared" si="192"/>
        <v>0</v>
      </c>
      <c r="Y934" s="471">
        <f t="shared" si="193"/>
        <v>0</v>
      </c>
    </row>
    <row r="935" spans="1:25">
      <c r="A935" s="383">
        <v>28</v>
      </c>
      <c r="C935" s="406"/>
      <c r="D935" s="440"/>
      <c r="E935" s="407"/>
      <c r="F935" s="407"/>
      <c r="G935" s="407"/>
      <c r="H935" s="437"/>
      <c r="I935" s="408" t="s">
        <v>439</v>
      </c>
      <c r="J935" s="409" t="str">
        <f t="shared" si="188"/>
        <v>M=(Largo) x Cant</v>
      </c>
      <c r="K935" s="410" t="str">
        <f t="shared" si="195"/>
        <v>M</v>
      </c>
      <c r="L935" s="411"/>
      <c r="M935" s="456"/>
      <c r="N935" s="442"/>
      <c r="O935" s="442"/>
      <c r="P935" s="413"/>
      <c r="Q935" s="411"/>
      <c r="R935" s="413"/>
      <c r="S935" s="414">
        <f>+HLOOKUP(A935,[238]Hoja1!$2:$78,61,FALSE)</f>
        <v>0</v>
      </c>
      <c r="X935" s="458">
        <f t="shared" si="192"/>
        <v>0</v>
      </c>
      <c r="Y935" s="471">
        <f t="shared" si="193"/>
        <v>0</v>
      </c>
    </row>
    <row r="936" spans="1:25">
      <c r="A936" s="383">
        <v>29</v>
      </c>
      <c r="C936" s="406"/>
      <c r="D936" s="407"/>
      <c r="E936" s="407"/>
      <c r="F936" s="407"/>
      <c r="G936" s="407"/>
      <c r="H936" s="407"/>
      <c r="I936" s="408" t="s">
        <v>440</v>
      </c>
      <c r="J936" s="409" t="str">
        <f t="shared" si="188"/>
        <v>M=(Largo) x Cant</v>
      </c>
      <c r="K936" s="410" t="str">
        <f t="shared" si="195"/>
        <v>M</v>
      </c>
      <c r="L936" s="411"/>
      <c r="M936" s="456"/>
      <c r="N936" s="443"/>
      <c r="O936" s="442"/>
      <c r="P936" s="412"/>
      <c r="Q936" s="411"/>
      <c r="R936" s="413"/>
      <c r="S936" s="414">
        <f>+HLOOKUP(A936,[238]Hoja1!$2:$78,61,FALSE)</f>
        <v>0</v>
      </c>
      <c r="X936" s="458">
        <f t="shared" si="192"/>
        <v>0</v>
      </c>
      <c r="Y936" s="471">
        <f t="shared" si="193"/>
        <v>0</v>
      </c>
    </row>
    <row r="937" spans="1:25">
      <c r="A937" s="383">
        <v>30</v>
      </c>
      <c r="C937" s="406"/>
      <c r="D937" s="407"/>
      <c r="E937" s="407"/>
      <c r="F937" s="407"/>
      <c r="G937" s="407"/>
      <c r="H937" s="407"/>
      <c r="I937" s="408" t="s">
        <v>441</v>
      </c>
      <c r="J937" s="409" t="str">
        <f t="shared" si="188"/>
        <v>M=(Largo) x Cant</v>
      </c>
      <c r="K937" s="410" t="str">
        <f t="shared" si="195"/>
        <v>M</v>
      </c>
      <c r="L937" s="411"/>
      <c r="M937" s="456"/>
      <c r="N937" s="442"/>
      <c r="O937" s="442">
        <f t="shared" si="191"/>
        <v>10.86</v>
      </c>
      <c r="P937" s="412"/>
      <c r="Q937" s="411"/>
      <c r="R937" s="413">
        <v>1</v>
      </c>
      <c r="S937" s="414">
        <f>+HLOOKUP(A937,[238]Hoja1!$2:$78,61,FALSE)</f>
        <v>10.86</v>
      </c>
      <c r="X937" s="458">
        <f t="shared" si="192"/>
        <v>0</v>
      </c>
      <c r="Y937" s="471">
        <f t="shared" si="193"/>
        <v>0</v>
      </c>
    </row>
    <row r="938" spans="1:25">
      <c r="A938" s="383">
        <v>31</v>
      </c>
      <c r="C938" s="406"/>
      <c r="D938" s="407"/>
      <c r="E938" s="407"/>
      <c r="F938" s="407"/>
      <c r="G938" s="407"/>
      <c r="H938" s="407"/>
      <c r="I938" s="408" t="s">
        <v>442</v>
      </c>
      <c r="J938" s="409" t="str">
        <f t="shared" si="188"/>
        <v>M=(Largo) x Cant</v>
      </c>
      <c r="K938" s="410" t="str">
        <f t="shared" si="195"/>
        <v>M</v>
      </c>
      <c r="L938" s="411"/>
      <c r="M938" s="456"/>
      <c r="N938" s="442"/>
      <c r="O938" s="442"/>
      <c r="P938" s="413"/>
      <c r="Q938" s="411"/>
      <c r="R938" s="413"/>
      <c r="S938" s="414">
        <f>+HLOOKUP(A938,[238]Hoja1!$2:$78,61,FALSE)</f>
        <v>0</v>
      </c>
      <c r="X938" s="458">
        <f t="shared" si="192"/>
        <v>0</v>
      </c>
      <c r="Y938" s="471">
        <f t="shared" si="193"/>
        <v>0</v>
      </c>
    </row>
    <row r="939" spans="1:25">
      <c r="A939" s="383">
        <v>32</v>
      </c>
      <c r="C939" s="406"/>
      <c r="D939" s="407"/>
      <c r="E939" s="407"/>
      <c r="F939" s="407"/>
      <c r="G939" s="407"/>
      <c r="H939" s="407"/>
      <c r="I939" s="408" t="s">
        <v>443</v>
      </c>
      <c r="J939" s="409" t="str">
        <f t="shared" si="188"/>
        <v>M=(Largo) x Cant</v>
      </c>
      <c r="K939" s="410" t="str">
        <f t="shared" si="195"/>
        <v>M</v>
      </c>
      <c r="L939" s="411"/>
      <c r="M939" s="456"/>
      <c r="N939" s="442"/>
      <c r="O939" s="442">
        <f t="shared" si="191"/>
        <v>8.36</v>
      </c>
      <c r="P939" s="412"/>
      <c r="Q939" s="411"/>
      <c r="R939" s="413">
        <v>1</v>
      </c>
      <c r="S939" s="414">
        <f>+HLOOKUP(A939,[238]Hoja1!$2:$78,61,FALSE)</f>
        <v>8.36</v>
      </c>
      <c r="X939" s="458">
        <f t="shared" si="192"/>
        <v>0</v>
      </c>
      <c r="Y939" s="471">
        <f t="shared" si="193"/>
        <v>0</v>
      </c>
    </row>
    <row r="940" spans="1:25">
      <c r="A940" s="383">
        <v>33</v>
      </c>
      <c r="C940" s="406"/>
      <c r="D940" s="407"/>
      <c r="E940" s="407"/>
      <c r="F940" s="407"/>
      <c r="G940" s="407"/>
      <c r="H940" s="407"/>
      <c r="I940" s="408" t="s">
        <v>444</v>
      </c>
      <c r="J940" s="409" t="str">
        <f t="shared" si="188"/>
        <v>M=(Largo) x Cant</v>
      </c>
      <c r="K940" s="410" t="str">
        <f t="shared" si="195"/>
        <v>M</v>
      </c>
      <c r="L940" s="411"/>
      <c r="M940" s="456"/>
      <c r="N940" s="442"/>
      <c r="O940" s="442"/>
      <c r="P940" s="412"/>
      <c r="Q940" s="411"/>
      <c r="R940" s="413"/>
      <c r="S940" s="414">
        <f>+HLOOKUP(A940,[238]Hoja1!$2:$78,61,FALSE)</f>
        <v>0</v>
      </c>
      <c r="X940" s="458">
        <f t="shared" si="192"/>
        <v>0</v>
      </c>
      <c r="Y940" s="471">
        <f t="shared" si="193"/>
        <v>0</v>
      </c>
    </row>
    <row r="941" spans="1:25">
      <c r="A941" s="383">
        <v>34</v>
      </c>
      <c r="C941" s="406"/>
      <c r="D941" s="407"/>
      <c r="E941" s="407"/>
      <c r="F941" s="407"/>
      <c r="G941" s="407"/>
      <c r="H941" s="407"/>
      <c r="I941" s="408" t="s">
        <v>445</v>
      </c>
      <c r="J941" s="409" t="str">
        <f t="shared" si="188"/>
        <v>M=(Largo) x Cant</v>
      </c>
      <c r="K941" s="410" t="str">
        <f t="shared" si="195"/>
        <v>M</v>
      </c>
      <c r="L941" s="411"/>
      <c r="M941" s="456"/>
      <c r="N941" s="441"/>
      <c r="O941" s="442">
        <f t="shared" si="191"/>
        <v>24.7</v>
      </c>
      <c r="P941" s="412"/>
      <c r="Q941" s="411"/>
      <c r="R941" s="413">
        <v>1</v>
      </c>
      <c r="S941" s="414">
        <f>+HLOOKUP(A941,[238]Hoja1!$2:$78,61,FALSE)</f>
        <v>24.7</v>
      </c>
      <c r="X941" s="458">
        <f t="shared" si="192"/>
        <v>0</v>
      </c>
      <c r="Y941" s="471">
        <f t="shared" si="193"/>
        <v>0</v>
      </c>
    </row>
    <row r="942" spans="1:25">
      <c r="A942" s="383">
        <v>35</v>
      </c>
      <c r="C942" s="406"/>
      <c r="D942" s="440"/>
      <c r="E942" s="407"/>
      <c r="F942" s="407"/>
      <c r="G942" s="407"/>
      <c r="H942" s="437"/>
      <c r="I942" s="408" t="s">
        <v>446</v>
      </c>
      <c r="J942" s="409" t="str">
        <f t="shared" si="188"/>
        <v>M=(Largo) x Cant</v>
      </c>
      <c r="K942" s="410" t="str">
        <f t="shared" si="195"/>
        <v>M</v>
      </c>
      <c r="L942" s="411"/>
      <c r="M942" s="456"/>
      <c r="N942" s="442"/>
      <c r="O942" s="442"/>
      <c r="P942" s="413"/>
      <c r="Q942" s="411"/>
      <c r="R942" s="413"/>
      <c r="S942" s="414">
        <f>+HLOOKUP(A942,[238]Hoja1!$2:$78,61,FALSE)</f>
        <v>0</v>
      </c>
      <c r="X942" s="458">
        <f t="shared" si="192"/>
        <v>0</v>
      </c>
      <c r="Y942" s="471">
        <f t="shared" si="193"/>
        <v>0</v>
      </c>
    </row>
    <row r="943" spans="1:25">
      <c r="A943" s="383">
        <v>36</v>
      </c>
      <c r="C943" s="406"/>
      <c r="D943" s="407"/>
      <c r="E943" s="407"/>
      <c r="F943" s="407"/>
      <c r="G943" s="407"/>
      <c r="H943" s="407"/>
      <c r="I943" s="408" t="s">
        <v>447</v>
      </c>
      <c r="J943" s="409" t="str">
        <f t="shared" si="188"/>
        <v>M=(Largo) x Cant</v>
      </c>
      <c r="K943" s="410" t="str">
        <f>+K932</f>
        <v>M</v>
      </c>
      <c r="L943" s="411"/>
      <c r="M943" s="456"/>
      <c r="N943" s="442"/>
      <c r="O943" s="442">
        <f t="shared" si="191"/>
        <v>8.36</v>
      </c>
      <c r="P943" s="412"/>
      <c r="Q943" s="411"/>
      <c r="R943" s="413">
        <v>1</v>
      </c>
      <c r="S943" s="414">
        <f>+HLOOKUP(A943,[238]Hoja1!$2:$78,61,FALSE)</f>
        <v>8.36</v>
      </c>
      <c r="X943" s="458">
        <f t="shared" si="192"/>
        <v>0</v>
      </c>
      <c r="Y943" s="471">
        <f t="shared" si="193"/>
        <v>0</v>
      </c>
    </row>
    <row r="944" spans="1:25">
      <c r="A944" s="383">
        <v>37</v>
      </c>
      <c r="C944" s="406"/>
      <c r="D944" s="407"/>
      <c r="E944" s="407"/>
      <c r="F944" s="407"/>
      <c r="G944" s="407"/>
      <c r="H944" s="407"/>
      <c r="I944" s="408" t="s">
        <v>448</v>
      </c>
      <c r="J944" s="409" t="str">
        <f t="shared" si="188"/>
        <v>M=(Largo) x Cant</v>
      </c>
      <c r="K944" s="410" t="str">
        <f t="shared" ref="K944:K950" si="196">+K943</f>
        <v>M</v>
      </c>
      <c r="L944" s="411"/>
      <c r="M944" s="456"/>
      <c r="N944" s="441"/>
      <c r="O944" s="442">
        <f t="shared" si="191"/>
        <v>9.66</v>
      </c>
      <c r="P944" s="449"/>
      <c r="Q944" s="411"/>
      <c r="R944" s="413">
        <v>1</v>
      </c>
      <c r="S944" s="414">
        <f>+HLOOKUP(A944,[238]Hoja1!$2:$78,61,FALSE)</f>
        <v>9.66</v>
      </c>
      <c r="X944" s="458">
        <f t="shared" si="192"/>
        <v>0</v>
      </c>
      <c r="Y944" s="471">
        <f t="shared" si="193"/>
        <v>0</v>
      </c>
    </row>
    <row r="945" spans="1:25">
      <c r="A945" s="383">
        <v>38</v>
      </c>
      <c r="C945" s="406"/>
      <c r="D945" s="440"/>
      <c r="E945" s="407"/>
      <c r="F945" s="407"/>
      <c r="G945" s="407"/>
      <c r="H945" s="437"/>
      <c r="I945" s="408" t="s">
        <v>449</v>
      </c>
      <c r="J945" s="409" t="str">
        <f t="shared" si="188"/>
        <v>M=(Largo) x Cant</v>
      </c>
      <c r="K945" s="410" t="str">
        <f t="shared" si="196"/>
        <v>M</v>
      </c>
      <c r="L945" s="411"/>
      <c r="M945" s="456"/>
      <c r="N945" s="442"/>
      <c r="O945" s="442">
        <f t="shared" si="191"/>
        <v>4.4000000000000004</v>
      </c>
      <c r="P945" s="413"/>
      <c r="Q945" s="411"/>
      <c r="R945" s="413">
        <v>1</v>
      </c>
      <c r="S945" s="414">
        <f>+HLOOKUP(A945,[238]Hoja1!$2:$78,61,FALSE)</f>
        <v>4.4000000000000004</v>
      </c>
      <c r="X945" s="458">
        <f t="shared" si="192"/>
        <v>0</v>
      </c>
      <c r="Y945" s="471">
        <f t="shared" si="193"/>
        <v>0</v>
      </c>
    </row>
    <row r="946" spans="1:25">
      <c r="A946" s="383">
        <v>39</v>
      </c>
      <c r="C946" s="406"/>
      <c r="D946" s="407"/>
      <c r="E946" s="407"/>
      <c r="F946" s="407"/>
      <c r="G946" s="407"/>
      <c r="H946" s="407"/>
      <c r="I946" s="408" t="s">
        <v>450</v>
      </c>
      <c r="J946" s="409" t="str">
        <f t="shared" si="188"/>
        <v>M=(Largo) x Cant</v>
      </c>
      <c r="K946" s="410" t="str">
        <f t="shared" si="196"/>
        <v>M</v>
      </c>
      <c r="L946" s="411"/>
      <c r="M946" s="456"/>
      <c r="N946" s="441"/>
      <c r="O946" s="442"/>
      <c r="P946" s="412"/>
      <c r="Q946" s="411"/>
      <c r="R946" s="413"/>
      <c r="S946" s="414">
        <f>+HLOOKUP(A946,[238]Hoja1!$2:$78,61,FALSE)</f>
        <v>0</v>
      </c>
      <c r="X946" s="458">
        <f t="shared" si="192"/>
        <v>0</v>
      </c>
      <c r="Y946" s="471">
        <f t="shared" si="193"/>
        <v>0</v>
      </c>
    </row>
    <row r="947" spans="1:25">
      <c r="A947" s="383">
        <v>40</v>
      </c>
      <c r="C947" s="406"/>
      <c r="D947" s="407"/>
      <c r="E947" s="407"/>
      <c r="F947" s="407"/>
      <c r="G947" s="407"/>
      <c r="H947" s="407"/>
      <c r="I947" s="408" t="s">
        <v>451</v>
      </c>
      <c r="J947" s="409" t="str">
        <f t="shared" si="188"/>
        <v>M=(Largo) x Cant</v>
      </c>
      <c r="K947" s="410" t="str">
        <f t="shared" si="196"/>
        <v>M</v>
      </c>
      <c r="L947" s="411"/>
      <c r="M947" s="456"/>
      <c r="N947" s="442"/>
      <c r="O947" s="442">
        <f t="shared" si="191"/>
        <v>8.36</v>
      </c>
      <c r="P947" s="412"/>
      <c r="Q947" s="411"/>
      <c r="R947" s="413">
        <v>1</v>
      </c>
      <c r="S947" s="414">
        <f>+HLOOKUP(A947,[238]Hoja1!$2:$78,61,FALSE)</f>
        <v>8.36</v>
      </c>
      <c r="X947" s="458">
        <f t="shared" si="192"/>
        <v>0</v>
      </c>
      <c r="Y947" s="471">
        <f t="shared" si="193"/>
        <v>0</v>
      </c>
    </row>
    <row r="948" spans="1:25">
      <c r="A948" s="383">
        <v>41</v>
      </c>
      <c r="C948" s="406"/>
      <c r="D948" s="407"/>
      <c r="E948" s="407"/>
      <c r="F948" s="407"/>
      <c r="G948" s="407"/>
      <c r="H948" s="407"/>
      <c r="I948" s="408" t="s">
        <v>452</v>
      </c>
      <c r="J948" s="409" t="str">
        <f t="shared" si="188"/>
        <v>M=(Largo) x Cant</v>
      </c>
      <c r="K948" s="410" t="str">
        <f t="shared" si="196"/>
        <v>M</v>
      </c>
      <c r="L948" s="411"/>
      <c r="M948" s="456"/>
      <c r="N948" s="442"/>
      <c r="O948" s="442"/>
      <c r="P948" s="413"/>
      <c r="Q948" s="411"/>
      <c r="R948" s="413"/>
      <c r="S948" s="414">
        <f>+HLOOKUP(A948,[238]Hoja1!$2:$78,61,FALSE)</f>
        <v>0</v>
      </c>
      <c r="X948" s="458">
        <f t="shared" si="192"/>
        <v>0</v>
      </c>
      <c r="Y948" s="471">
        <f t="shared" si="193"/>
        <v>0</v>
      </c>
    </row>
    <row r="949" spans="1:25">
      <c r="A949" s="383">
        <v>42</v>
      </c>
      <c r="C949" s="406"/>
      <c r="D949" s="407"/>
      <c r="E949" s="407"/>
      <c r="F949" s="407"/>
      <c r="G949" s="407"/>
      <c r="H949" s="407"/>
      <c r="I949" s="408" t="s">
        <v>453</v>
      </c>
      <c r="J949" s="409" t="str">
        <f t="shared" si="188"/>
        <v>M=(Largo) x Cant</v>
      </c>
      <c r="K949" s="410" t="str">
        <f t="shared" si="196"/>
        <v>M</v>
      </c>
      <c r="L949" s="411"/>
      <c r="M949" s="456"/>
      <c r="N949" s="442"/>
      <c r="O949" s="442"/>
      <c r="P949" s="412"/>
      <c r="Q949" s="411"/>
      <c r="R949" s="413"/>
      <c r="S949" s="414">
        <f>+HLOOKUP(A949,[238]Hoja1!$2:$78,61,FALSE)</f>
        <v>0</v>
      </c>
      <c r="X949" s="458">
        <f t="shared" si="192"/>
        <v>0</v>
      </c>
      <c r="Y949" s="471">
        <f t="shared" si="193"/>
        <v>0</v>
      </c>
    </row>
    <row r="950" spans="1:25" ht="13.5" thickBot="1">
      <c r="A950" s="383">
        <v>43</v>
      </c>
      <c r="C950" s="406"/>
      <c r="D950" s="407"/>
      <c r="E950" s="407"/>
      <c r="F950" s="407"/>
      <c r="G950" s="407"/>
      <c r="H950" s="407"/>
      <c r="I950" s="408" t="s">
        <v>454</v>
      </c>
      <c r="J950" s="409" t="str">
        <f t="shared" si="188"/>
        <v>M=(Largo) x Cant</v>
      </c>
      <c r="K950" s="410" t="str">
        <f t="shared" si="196"/>
        <v>M</v>
      </c>
      <c r="L950" s="411"/>
      <c r="M950" s="456"/>
      <c r="N950" s="442"/>
      <c r="O950" s="442"/>
      <c r="P950" s="412"/>
      <c r="Q950" s="411"/>
      <c r="R950" s="413"/>
      <c r="S950" s="414">
        <f>+HLOOKUP(A950,[238]Hoja1!$2:$78,61,FALSE)</f>
        <v>0</v>
      </c>
      <c r="X950" s="458">
        <f t="shared" si="192"/>
        <v>0</v>
      </c>
      <c r="Y950" s="471">
        <f t="shared" si="193"/>
        <v>0</v>
      </c>
    </row>
    <row r="951" spans="1:25">
      <c r="C951" s="384"/>
      <c r="D951" s="419"/>
      <c r="E951" s="420"/>
      <c r="F951" s="421"/>
      <c r="G951" s="421"/>
      <c r="H951" s="421"/>
      <c r="I951" s="421"/>
      <c r="J951" s="422"/>
      <c r="K951" s="421"/>
      <c r="L951" s="421"/>
      <c r="M951" s="421"/>
      <c r="N951" s="421"/>
      <c r="O951" s="421"/>
      <c r="P951" s="421"/>
      <c r="Q951" s="421"/>
      <c r="R951" s="422"/>
      <c r="S951" s="423"/>
    </row>
    <row r="952" spans="1:25">
      <c r="C952" s="396"/>
      <c r="D952" s="397"/>
      <c r="E952" s="424"/>
      <c r="F952" s="425"/>
      <c r="G952" s="425"/>
      <c r="H952" s="425"/>
      <c r="I952" s="425"/>
      <c r="J952" s="398"/>
      <c r="K952" s="425"/>
      <c r="L952" s="425"/>
      <c r="M952" s="397"/>
      <c r="N952" s="397"/>
      <c r="O952" s="562" t="s">
        <v>455</v>
      </c>
      <c r="P952" s="563"/>
      <c r="Q952" s="564"/>
      <c r="R952" s="426"/>
      <c r="S952" s="427">
        <f>ROUND(SUM(S908:S951),2)</f>
        <v>160.96</v>
      </c>
    </row>
    <row r="953" spans="1:25">
      <c r="C953" s="396"/>
      <c r="D953" s="397"/>
      <c r="E953" s="424"/>
      <c r="F953" s="425"/>
      <c r="G953" s="425"/>
      <c r="H953" s="425"/>
      <c r="I953" s="425"/>
      <c r="J953" s="398"/>
      <c r="K953" s="425"/>
      <c r="L953" s="425"/>
      <c r="M953" s="428"/>
      <c r="N953" s="428"/>
      <c r="O953" s="429"/>
      <c r="P953" s="425"/>
      <c r="Q953" s="425"/>
      <c r="R953" s="430"/>
      <c r="S953" s="431"/>
    </row>
    <row r="954" spans="1:25">
      <c r="C954" s="565" t="e">
        <v>#REF!</v>
      </c>
      <c r="D954" s="566"/>
      <c r="E954" s="566"/>
      <c r="F954" s="566"/>
      <c r="G954" s="566"/>
      <c r="H954" s="566"/>
      <c r="I954" s="566"/>
      <c r="J954" s="566"/>
      <c r="K954" s="566"/>
      <c r="L954" s="566"/>
      <c r="M954" s="566"/>
      <c r="N954" s="567"/>
      <c r="O954" s="568" t="s">
        <v>422</v>
      </c>
      <c r="P954" s="568"/>
      <c r="Q954" s="568"/>
      <c r="R954" s="426"/>
      <c r="S954" s="427">
        <f>S952</f>
        <v>160.96</v>
      </c>
    </row>
    <row r="955" spans="1:25">
      <c r="C955" s="396"/>
      <c r="D955" s="397"/>
      <c r="E955" s="424"/>
      <c r="F955" s="425"/>
      <c r="G955" s="425"/>
      <c r="H955" s="425"/>
      <c r="I955" s="425"/>
      <c r="J955" s="398"/>
      <c r="K955" s="425"/>
      <c r="L955" s="425"/>
      <c r="M955" s="428"/>
      <c r="N955" s="428"/>
      <c r="O955" s="429"/>
      <c r="P955" s="425"/>
      <c r="Q955" s="398"/>
      <c r="R955" s="398"/>
      <c r="S955" s="432"/>
    </row>
    <row r="956" spans="1:25">
      <c r="C956" s="396"/>
      <c r="D956" s="397"/>
      <c r="E956" s="424"/>
      <c r="F956" s="425"/>
      <c r="G956" s="425"/>
      <c r="H956" s="425"/>
      <c r="I956" s="425"/>
      <c r="J956" s="398"/>
      <c r="K956" s="425"/>
      <c r="L956" s="425"/>
      <c r="M956" s="428"/>
      <c r="N956" s="428"/>
      <c r="O956" s="429"/>
      <c r="P956" s="425"/>
      <c r="Q956" s="398"/>
      <c r="R956" s="398"/>
      <c r="S956" s="432"/>
    </row>
    <row r="957" spans="1:25">
      <c r="C957" s="569" t="s">
        <v>423</v>
      </c>
      <c r="D957" s="570"/>
      <c r="E957" s="570"/>
      <c r="F957" s="570"/>
      <c r="G957" s="570"/>
      <c r="H957" s="570"/>
      <c r="I957" s="570"/>
      <c r="J957" s="571"/>
      <c r="K957" s="433" t="s">
        <v>424</v>
      </c>
      <c r="L957" s="434"/>
      <c r="M957" s="434"/>
      <c r="N957" s="434"/>
      <c r="O957" s="434"/>
      <c r="P957" s="434"/>
      <c r="Q957" s="434"/>
      <c r="R957" s="434"/>
      <c r="S957" s="435"/>
    </row>
    <row r="958" spans="1:25">
      <c r="C958" s="542"/>
      <c r="D958" s="543"/>
      <c r="E958" s="543"/>
      <c r="F958" s="543"/>
      <c r="G958" s="436"/>
      <c r="H958" s="436"/>
      <c r="I958" s="436"/>
      <c r="J958" s="447"/>
      <c r="K958" s="436"/>
      <c r="L958" s="407"/>
      <c r="M958" s="407"/>
      <c r="N958" s="407"/>
      <c r="O958" s="407"/>
      <c r="P958" s="407"/>
      <c r="Q958" s="407"/>
      <c r="R958" s="407"/>
      <c r="S958" s="437"/>
    </row>
    <row r="959" spans="1:25">
      <c r="C959" s="542"/>
      <c r="D959" s="543"/>
      <c r="E959" s="543"/>
      <c r="F959" s="543"/>
      <c r="G959" s="436"/>
      <c r="H959" s="436"/>
      <c r="I959" s="436"/>
      <c r="J959" s="447"/>
      <c r="K959" s="436"/>
      <c r="L959" s="407"/>
      <c r="M959" s="407"/>
      <c r="N959" s="407"/>
      <c r="O959" s="407"/>
      <c r="P959" s="407"/>
      <c r="Q959" s="407"/>
      <c r="R959" s="407"/>
      <c r="S959" s="437"/>
    </row>
    <row r="960" spans="1:25">
      <c r="C960" s="542" t="s">
        <v>425</v>
      </c>
      <c r="D960" s="543"/>
      <c r="E960" s="543" t="s">
        <v>425</v>
      </c>
      <c r="F960" s="543"/>
      <c r="G960" s="543" t="s">
        <v>425</v>
      </c>
      <c r="H960" s="543"/>
      <c r="I960" s="543" t="s">
        <v>425</v>
      </c>
      <c r="J960" s="544"/>
      <c r="K960" s="545" t="s">
        <v>426</v>
      </c>
      <c r="L960" s="546"/>
      <c r="M960" s="546"/>
      <c r="N960" s="546"/>
      <c r="O960" s="546"/>
      <c r="P960" s="546"/>
      <c r="Q960" s="546"/>
      <c r="R960" s="546"/>
      <c r="S960" s="547"/>
    </row>
    <row r="961" spans="3:19">
      <c r="C961" s="548" t="str">
        <f>+[42]DATOS!D$8</f>
        <v>HELMER EDUARDO BECERRA SANTANDER</v>
      </c>
      <c r="D961" s="549"/>
      <c r="E961" s="549" t="s">
        <v>427</v>
      </c>
      <c r="F961" s="549"/>
      <c r="G961" s="549" t="s">
        <v>427</v>
      </c>
      <c r="H961" s="549"/>
      <c r="I961" s="549" t="s">
        <v>427</v>
      </c>
      <c r="J961" s="550"/>
      <c r="K961" s="551" t="str">
        <f>+[42]DATOS!D$11</f>
        <v>JESUS IVAN QUIÑONES RUEDA</v>
      </c>
      <c r="L961" s="549"/>
      <c r="M961" s="549"/>
      <c r="N961" s="549"/>
      <c r="O961" s="549"/>
      <c r="P961" s="549"/>
      <c r="Q961" s="549"/>
      <c r="R961" s="549"/>
      <c r="S961" s="552"/>
    </row>
    <row r="962" spans="3:19">
      <c r="C962" s="553" t="str">
        <f>+$C$72</f>
        <v>APOYO SEC. DE PLANEACION Y OBRAS PÚBLICAS</v>
      </c>
      <c r="D962" s="554"/>
      <c r="E962" s="554" t="s">
        <v>428</v>
      </c>
      <c r="F962" s="554"/>
      <c r="G962" s="554" t="s">
        <v>428</v>
      </c>
      <c r="H962" s="554"/>
      <c r="I962" s="554" t="s">
        <v>428</v>
      </c>
      <c r="J962" s="555"/>
      <c r="K962" s="556" t="str">
        <f>+$K$72</f>
        <v>SECRETARIO DE PLANEACION Y OBRAS PÚBLICAS</v>
      </c>
      <c r="L962" s="554"/>
      <c r="M962" s="554"/>
      <c r="N962" s="554"/>
      <c r="O962" s="554"/>
      <c r="P962" s="554"/>
      <c r="Q962" s="554"/>
      <c r="R962" s="554"/>
      <c r="S962" s="557"/>
    </row>
    <row r="963" spans="3:19">
      <c r="C963" s="406"/>
      <c r="D963" s="407"/>
      <c r="E963" s="407"/>
      <c r="F963" s="407"/>
      <c r="G963" s="407"/>
      <c r="H963" s="407"/>
      <c r="I963" s="407"/>
      <c r="J963" s="407"/>
      <c r="K963" s="407"/>
      <c r="L963" s="407"/>
      <c r="M963" s="407"/>
      <c r="N963" s="407"/>
      <c r="O963" s="407"/>
      <c r="P963" s="407"/>
      <c r="Q963" s="407"/>
      <c r="R963" s="407"/>
      <c r="S963" s="437"/>
    </row>
    <row r="964" spans="3:19" ht="111" customHeight="1" thickBot="1">
      <c r="C964" s="417"/>
      <c r="D964" s="418"/>
      <c r="E964" s="418"/>
      <c r="F964" s="418"/>
      <c r="G964" s="418"/>
      <c r="H964" s="418"/>
      <c r="I964" s="418"/>
      <c r="J964" s="418"/>
      <c r="K964" s="418"/>
      <c r="L964" s="418"/>
      <c r="M964" s="418"/>
      <c r="N964" s="418"/>
      <c r="O964" s="418"/>
      <c r="P964" s="418"/>
      <c r="Q964" s="418"/>
      <c r="R964" s="418"/>
      <c r="S964" s="438"/>
    </row>
    <row r="965" spans="3:19" ht="12" customHeight="1"/>
    <row r="966" spans="3:19" ht="13.5" thickBot="1"/>
    <row r="967" spans="3:19">
      <c r="C967" s="384"/>
      <c r="D967" s="385"/>
      <c r="E967" s="385"/>
      <c r="F967" s="385"/>
      <c r="G967" s="385"/>
      <c r="H967" s="385"/>
      <c r="I967" s="385"/>
      <c r="J967" s="445"/>
      <c r="K967" s="385"/>
      <c r="L967" s="385"/>
      <c r="M967" s="385"/>
      <c r="N967" s="385"/>
      <c r="O967" s="385"/>
      <c r="P967" s="385"/>
      <c r="Q967" s="385"/>
      <c r="R967" s="385"/>
      <c r="S967" s="386"/>
    </row>
    <row r="968" spans="3:19" ht="121.5" customHeight="1" thickBot="1">
      <c r="C968" s="387"/>
      <c r="D968" s="388"/>
      <c r="E968" s="388"/>
      <c r="F968" s="388"/>
      <c r="G968" s="388"/>
      <c r="H968" s="388"/>
      <c r="I968" s="388"/>
      <c r="J968" s="446"/>
      <c r="K968" s="388"/>
      <c r="L968" s="388"/>
      <c r="M968" s="388"/>
      <c r="N968" s="388"/>
      <c r="O968" s="388"/>
      <c r="P968" s="388"/>
      <c r="Q968" s="388"/>
      <c r="R968" s="388"/>
      <c r="S968" s="389"/>
    </row>
    <row r="969" spans="3:19">
      <c r="C969" s="592" t="str">
        <f>+[42]DATOS!C$7</f>
        <v>MEJORAMIENTO DE VIVIENDA CON ENFOQUE DIFERENCIAL PARA POBLACIÓN VULNERABLE EN EL MUNICIPIO DE CUBARÁ, BOYACÁ (2026).</v>
      </c>
      <c r="D969" s="593"/>
      <c r="E969" s="593"/>
      <c r="F969" s="593"/>
      <c r="G969" s="593"/>
      <c r="H969" s="593"/>
      <c r="I969" s="593"/>
      <c r="J969" s="593"/>
      <c r="K969" s="593"/>
      <c r="L969" s="593"/>
      <c r="M969" s="593"/>
      <c r="N969" s="593"/>
      <c r="O969" s="593"/>
      <c r="P969" s="593"/>
      <c r="Q969" s="593"/>
      <c r="R969" s="593"/>
      <c r="S969" s="594"/>
    </row>
    <row r="970" spans="3:19">
      <c r="C970" s="595"/>
      <c r="D970" s="596"/>
      <c r="E970" s="596"/>
      <c r="F970" s="596"/>
      <c r="G970" s="596"/>
      <c r="H970" s="596"/>
      <c r="I970" s="596"/>
      <c r="J970" s="596"/>
      <c r="K970" s="596"/>
      <c r="L970" s="596"/>
      <c r="M970" s="596"/>
      <c r="N970" s="596"/>
      <c r="O970" s="596"/>
      <c r="P970" s="596"/>
      <c r="Q970" s="596"/>
      <c r="R970" s="596"/>
      <c r="S970" s="597"/>
    </row>
    <row r="971" spans="3:19">
      <c r="C971" s="598" t="s">
        <v>371</v>
      </c>
      <c r="D971" s="599"/>
      <c r="E971" s="599"/>
      <c r="F971" s="599"/>
      <c r="G971" s="599"/>
      <c r="H971" s="599"/>
      <c r="I971" s="599"/>
      <c r="J971" s="599"/>
      <c r="K971" s="599"/>
      <c r="L971" s="599"/>
      <c r="M971" s="599"/>
      <c r="N971" s="599"/>
      <c r="O971" s="599"/>
      <c r="P971" s="599"/>
      <c r="Q971" s="599"/>
      <c r="R971" s="599"/>
      <c r="S971" s="600"/>
    </row>
    <row r="972" spans="3:19">
      <c r="C972" s="586" t="s">
        <v>372</v>
      </c>
      <c r="D972" s="587"/>
      <c r="E972" s="601" t="s">
        <v>373</v>
      </c>
      <c r="F972" s="601"/>
      <c r="G972" s="601"/>
      <c r="H972" s="601"/>
      <c r="I972" s="601"/>
      <c r="J972" s="601"/>
      <c r="K972" s="601"/>
      <c r="L972" s="601"/>
      <c r="M972" s="601"/>
      <c r="N972" s="601"/>
      <c r="O972" s="601"/>
      <c r="P972" s="601"/>
      <c r="Q972" s="601"/>
      <c r="R972" s="601"/>
      <c r="S972" s="602"/>
    </row>
    <row r="973" spans="3:19">
      <c r="C973" s="586" t="s">
        <v>374</v>
      </c>
      <c r="D973" s="587"/>
      <c r="E973" s="603" t="s">
        <v>375</v>
      </c>
      <c r="F973" s="604"/>
      <c r="G973" s="604"/>
      <c r="H973" s="604"/>
      <c r="I973" s="604"/>
      <c r="J973" s="604"/>
      <c r="K973" s="604"/>
      <c r="L973" s="604"/>
      <c r="M973" s="604"/>
      <c r="N973" s="604"/>
      <c r="O973" s="604"/>
      <c r="P973" s="604"/>
      <c r="Q973" s="604"/>
      <c r="R973" s="604"/>
      <c r="S973" s="605"/>
    </row>
    <row r="974" spans="3:19">
      <c r="C974" s="586" t="s">
        <v>376</v>
      </c>
      <c r="D974" s="587"/>
      <c r="E974" s="390">
        <f>+[42]DATOS!F$5</f>
        <v>46143</v>
      </c>
      <c r="F974" s="391"/>
      <c r="G974" s="391"/>
      <c r="H974" s="391"/>
      <c r="I974" s="391"/>
      <c r="J974" s="391"/>
      <c r="K974" s="568" t="s">
        <v>377</v>
      </c>
      <c r="L974" s="568"/>
      <c r="M974" s="588" t="s">
        <v>378</v>
      </c>
      <c r="N974" s="588"/>
      <c r="O974" s="588"/>
      <c r="P974" s="588"/>
      <c r="Q974" s="588"/>
      <c r="R974" s="588"/>
      <c r="S974" s="589"/>
    </row>
    <row r="975" spans="3:19" ht="25.5">
      <c r="C975" s="586" t="s">
        <v>379</v>
      </c>
      <c r="D975" s="587"/>
      <c r="E975" s="590" t="s">
        <v>380</v>
      </c>
      <c r="F975" s="591"/>
      <c r="G975" s="392">
        <f>+[42]DATOS!E$5</f>
        <v>2026</v>
      </c>
      <c r="H975" s="393" t="s">
        <v>381</v>
      </c>
      <c r="I975" s="394">
        <f>+[42]DATOS!E$5</f>
        <v>2026</v>
      </c>
      <c r="J975" s="395"/>
      <c r="K975" s="568" t="s">
        <v>382</v>
      </c>
      <c r="L975" s="568"/>
      <c r="M975" s="588" t="s">
        <v>383</v>
      </c>
      <c r="N975" s="588"/>
      <c r="O975" s="588"/>
      <c r="P975" s="588"/>
      <c r="Q975" s="588"/>
      <c r="R975" s="588"/>
      <c r="S975" s="589"/>
    </row>
    <row r="976" spans="3:19">
      <c r="C976" s="396"/>
      <c r="D976" s="397"/>
      <c r="E976" s="397"/>
      <c r="F976" s="398"/>
      <c r="G976" s="398"/>
      <c r="H976" s="398"/>
      <c r="I976" s="398"/>
      <c r="J976" s="398"/>
      <c r="K976" s="398"/>
      <c r="L976" s="398"/>
      <c r="M976" s="398"/>
      <c r="N976" s="398"/>
      <c r="O976" s="398"/>
      <c r="P976" s="398"/>
      <c r="Q976" s="398"/>
      <c r="R976" s="398"/>
      <c r="S976" s="399"/>
    </row>
    <row r="977" spans="1:25">
      <c r="C977" s="572" t="s">
        <v>384</v>
      </c>
      <c r="D977" s="573"/>
      <c r="E977" s="573"/>
      <c r="F977" s="573"/>
      <c r="G977" s="573"/>
      <c r="H977" s="573"/>
      <c r="I977" s="573"/>
      <c r="J977" s="573"/>
      <c r="K977" s="573"/>
      <c r="L977" s="573"/>
      <c r="M977" s="573"/>
      <c r="N977" s="573"/>
      <c r="O977" s="573"/>
      <c r="P977" s="573"/>
      <c r="Q977" s="573"/>
      <c r="R977" s="573"/>
      <c r="S977" s="574"/>
    </row>
    <row r="978" spans="1:25">
      <c r="C978" s="396"/>
      <c r="D978" s="397"/>
      <c r="E978" s="397"/>
      <c r="F978" s="398"/>
      <c r="G978" s="398"/>
      <c r="H978" s="398"/>
      <c r="I978" s="398"/>
      <c r="J978" s="398"/>
      <c r="K978" s="398"/>
      <c r="L978" s="398"/>
      <c r="M978" s="398"/>
      <c r="N978" s="398"/>
      <c r="O978" s="398"/>
      <c r="P978" s="398"/>
      <c r="Q978" s="398"/>
      <c r="R978" s="398"/>
      <c r="S978" s="399"/>
    </row>
    <row r="979" spans="1:25">
      <c r="C979" s="400" t="s">
        <v>385</v>
      </c>
      <c r="D979" s="575" t="s">
        <v>386</v>
      </c>
      <c r="E979" s="575"/>
      <c r="F979" s="576" t="s">
        <v>387</v>
      </c>
      <c r="G979" s="577"/>
      <c r="H979" s="577"/>
      <c r="I979" s="576" t="s">
        <v>388</v>
      </c>
      <c r="J979" s="576" t="s">
        <v>389</v>
      </c>
      <c r="K979" s="579"/>
      <c r="L979" s="581" t="s">
        <v>390</v>
      </c>
      <c r="M979" s="581"/>
      <c r="N979" s="581"/>
      <c r="O979" s="581"/>
      <c r="P979" s="581"/>
      <c r="Q979" s="581"/>
      <c r="R979" s="581" t="s">
        <v>391</v>
      </c>
      <c r="S979" s="582"/>
    </row>
    <row r="980" spans="1:25" ht="38.25">
      <c r="C980" s="403">
        <f>+'PRESUPUESTO OFICIAL '!C80</f>
        <v>7.01</v>
      </c>
      <c r="D980" s="583" t="str">
        <f>+VLOOKUP(C980,'PRESUPUESTO OFICIAL '!$C$11:$H$103,2)</f>
        <v>SUMINISTRO E INSTALACIÓN DE TUBO RECTANGULAR DE 3 X 1 1/2" CAL. 18</v>
      </c>
      <c r="E980" s="584"/>
      <c r="F980" s="585" t="str">
        <f>+VLOOKUP(C980,'PRESUPUESTO OFICIAL '!$C$11:$H$103,3)</f>
        <v>M</v>
      </c>
      <c r="G980" s="585"/>
      <c r="H980" s="585"/>
      <c r="I980" s="578"/>
      <c r="J980" s="578"/>
      <c r="K980" s="580"/>
      <c r="L980" s="401" t="s">
        <v>392</v>
      </c>
      <c r="M980" s="401" t="s">
        <v>393</v>
      </c>
      <c r="N980" s="401" t="s">
        <v>394</v>
      </c>
      <c r="O980" s="401" t="s">
        <v>395</v>
      </c>
      <c r="P980" s="401" t="s">
        <v>396</v>
      </c>
      <c r="Q980" s="401" t="s">
        <v>397</v>
      </c>
      <c r="R980" s="401" t="s">
        <v>398</v>
      </c>
      <c r="S980" s="402" t="s">
        <v>399</v>
      </c>
      <c r="U980" s="404">
        <f>+C980</f>
        <v>7.01</v>
      </c>
      <c r="V980" s="405">
        <f>+S1028</f>
        <v>1399.87</v>
      </c>
    </row>
    <row r="981" spans="1:25">
      <c r="C981" s="406"/>
      <c r="D981" s="407"/>
      <c r="E981" s="407"/>
      <c r="F981" s="407"/>
      <c r="G981" s="407"/>
      <c r="H981" s="407"/>
      <c r="I981" s="558"/>
      <c r="J981" s="559"/>
      <c r="K981" s="560"/>
      <c r="L981" s="560"/>
      <c r="M981" s="560"/>
      <c r="N981" s="560"/>
      <c r="O981" s="560"/>
      <c r="P981" s="560"/>
      <c r="Q981" s="560"/>
      <c r="R981" s="560"/>
      <c r="S981" s="561"/>
    </row>
    <row r="982" spans="1:25">
      <c r="A982" s="383">
        <v>1</v>
      </c>
      <c r="C982" s="406"/>
      <c r="D982" s="407"/>
      <c r="E982" s="407"/>
      <c r="F982" s="407"/>
      <c r="G982" s="407"/>
      <c r="H982" s="407"/>
      <c r="I982" s="408" t="s">
        <v>400</v>
      </c>
      <c r="J982" s="409" t="str">
        <f t="shared" ref="J982:J1024" si="197">+VLOOKUP(K982,$AH$22:$AJ$58,2,)</f>
        <v>M=(Largo) x Cant</v>
      </c>
      <c r="K982" s="410" t="str">
        <f>+F980</f>
        <v>M</v>
      </c>
      <c r="L982" s="411"/>
      <c r="M982" s="412"/>
      <c r="N982" s="442"/>
      <c r="O982" s="442">
        <f>IF(S982=0,"",S982)</f>
        <v>56</v>
      </c>
      <c r="P982" s="413"/>
      <c r="Q982" s="411"/>
      <c r="R982" s="413">
        <f>IF(S982=0,"",1)</f>
        <v>1</v>
      </c>
      <c r="S982" s="414">
        <f>+HLOOKUP(A982,[238]Hoja1!$2:$78,63,FALSE)</f>
        <v>56</v>
      </c>
      <c r="U982" s="453">
        <f>+S982</f>
        <v>56</v>
      </c>
      <c r="X982" s="458">
        <f t="shared" ref="X982" si="198">+N982*O982*P982</f>
        <v>0</v>
      </c>
      <c r="Y982" s="471">
        <f t="shared" ref="Y982" si="199">+X982-Q982</f>
        <v>0</v>
      </c>
    </row>
    <row r="983" spans="1:25">
      <c r="A983" s="383">
        <v>2</v>
      </c>
      <c r="C983" s="406"/>
      <c r="D983" s="407"/>
      <c r="E983" s="407"/>
      <c r="F983" s="407"/>
      <c r="G983" s="407"/>
      <c r="H983" s="407"/>
      <c r="I983" s="408" t="s">
        <v>401</v>
      </c>
      <c r="J983" s="409" t="str">
        <f t="shared" si="197"/>
        <v>M=(Largo) x Cant</v>
      </c>
      <c r="K983" s="410" t="str">
        <f>+K982</f>
        <v>M</v>
      </c>
      <c r="L983" s="411"/>
      <c r="M983" s="412"/>
      <c r="N983" s="442"/>
      <c r="O983" s="442">
        <f t="shared" ref="O983:O1024" si="200">IF(S983=0,"",S983)</f>
        <v>9.6000000000000014</v>
      </c>
      <c r="P983" s="413"/>
      <c r="Q983" s="411"/>
      <c r="R983" s="413">
        <f t="shared" ref="R983:R1024" si="201">IF(S983=0,"",1)</f>
        <v>1</v>
      </c>
      <c r="S983" s="414">
        <f>+HLOOKUP(A983,[238]Hoja1!$2:$78,63,FALSE)</f>
        <v>9.6000000000000014</v>
      </c>
      <c r="U983" s="453">
        <f t="shared" ref="U983:U1024" si="202">+S983</f>
        <v>9.6000000000000014</v>
      </c>
      <c r="X983" s="458">
        <f>+L983*P983</f>
        <v>0</v>
      </c>
      <c r="Y983" s="471">
        <f>+X983-Q983</f>
        <v>0</v>
      </c>
    </row>
    <row r="984" spans="1:25">
      <c r="A984" s="383">
        <v>3</v>
      </c>
      <c r="C984" s="406"/>
      <c r="D984" s="407"/>
      <c r="E984" s="407"/>
      <c r="F984" s="407"/>
      <c r="G984" s="407"/>
      <c r="H984" s="407"/>
      <c r="I984" s="408" t="s">
        <v>402</v>
      </c>
      <c r="J984" s="409" t="str">
        <f t="shared" si="197"/>
        <v>M=(Largo) x Cant</v>
      </c>
      <c r="K984" s="410" t="str">
        <f>+K983</f>
        <v>M</v>
      </c>
      <c r="L984" s="411"/>
      <c r="M984" s="412"/>
      <c r="N984" s="442"/>
      <c r="O984" s="442">
        <f t="shared" si="200"/>
        <v>9.6000000000000014</v>
      </c>
      <c r="P984" s="413"/>
      <c r="Q984" s="411"/>
      <c r="R984" s="413">
        <f t="shared" si="201"/>
        <v>1</v>
      </c>
      <c r="S984" s="414">
        <f>+HLOOKUP(A984,[238]Hoja1!$2:$78,63,FALSE)</f>
        <v>9.6000000000000014</v>
      </c>
      <c r="U984" s="453">
        <f t="shared" si="202"/>
        <v>9.6000000000000014</v>
      </c>
      <c r="X984" s="458">
        <f t="shared" ref="X984:X986" si="203">+L984*P984</f>
        <v>0</v>
      </c>
      <c r="Y984" s="471">
        <f t="shared" ref="Y984:Y986" si="204">+X984-Q984</f>
        <v>0</v>
      </c>
    </row>
    <row r="985" spans="1:25">
      <c r="A985" s="383">
        <v>4</v>
      </c>
      <c r="C985" s="406"/>
      <c r="D985" s="407"/>
      <c r="E985" s="407"/>
      <c r="F985" s="407"/>
      <c r="G985" s="407"/>
      <c r="H985" s="407"/>
      <c r="I985" s="408" t="s">
        <v>403</v>
      </c>
      <c r="J985" s="409" t="str">
        <f t="shared" si="197"/>
        <v>M=(Largo) x Cant</v>
      </c>
      <c r="K985" s="410" t="str">
        <f>+K984</f>
        <v>M</v>
      </c>
      <c r="L985" s="411"/>
      <c r="M985" s="412"/>
      <c r="N985" s="442"/>
      <c r="O985" s="442">
        <f t="shared" si="200"/>
        <v>9.6000000000000014</v>
      </c>
      <c r="P985" s="413"/>
      <c r="Q985" s="411"/>
      <c r="R985" s="413">
        <f t="shared" si="201"/>
        <v>1</v>
      </c>
      <c r="S985" s="414">
        <f>+HLOOKUP(A985,[238]Hoja1!$2:$78,63,FALSE)</f>
        <v>9.6000000000000014</v>
      </c>
      <c r="U985" s="453">
        <f t="shared" si="202"/>
        <v>9.6000000000000014</v>
      </c>
      <c r="X985" s="458">
        <f t="shared" si="203"/>
        <v>0</v>
      </c>
      <c r="Y985" s="471">
        <f t="shared" si="204"/>
        <v>0</v>
      </c>
    </row>
    <row r="986" spans="1:25">
      <c r="A986" s="383">
        <v>5</v>
      </c>
      <c r="C986" s="406"/>
      <c r="D986" s="407"/>
      <c r="E986" s="407"/>
      <c r="F986" s="407"/>
      <c r="G986" s="407"/>
      <c r="H986" s="407"/>
      <c r="I986" s="408" t="s">
        <v>405</v>
      </c>
      <c r="J986" s="409" t="str">
        <f t="shared" si="197"/>
        <v>M=(Largo) x Cant</v>
      </c>
      <c r="K986" s="410" t="str">
        <f>+K985</f>
        <v>M</v>
      </c>
      <c r="L986" s="411"/>
      <c r="M986" s="412"/>
      <c r="N986" s="442"/>
      <c r="O986" s="442">
        <f t="shared" si="200"/>
        <v>9.6000000000000014</v>
      </c>
      <c r="P986" s="413"/>
      <c r="Q986" s="411"/>
      <c r="R986" s="413">
        <f t="shared" si="201"/>
        <v>1</v>
      </c>
      <c r="S986" s="414">
        <f>+HLOOKUP(A986,[238]Hoja1!$2:$78,63,FALSE)</f>
        <v>9.6000000000000014</v>
      </c>
      <c r="U986" s="453">
        <f t="shared" si="202"/>
        <v>9.6000000000000014</v>
      </c>
      <c r="X986" s="458">
        <f t="shared" si="203"/>
        <v>0</v>
      </c>
      <c r="Y986" s="471">
        <f t="shared" si="204"/>
        <v>0</v>
      </c>
    </row>
    <row r="987" spans="1:25">
      <c r="A987" s="383">
        <v>6</v>
      </c>
      <c r="C987" s="406"/>
      <c r="D987" s="407"/>
      <c r="E987" s="407"/>
      <c r="F987" s="407"/>
      <c r="G987" s="407"/>
      <c r="H987" s="407"/>
      <c r="I987" s="408" t="s">
        <v>407</v>
      </c>
      <c r="J987" s="409" t="str">
        <f t="shared" si="197"/>
        <v>M=(Largo) x Cant</v>
      </c>
      <c r="K987" s="410" t="str">
        <f>+K986</f>
        <v>M</v>
      </c>
      <c r="L987" s="411"/>
      <c r="M987" s="412"/>
      <c r="N987" s="442"/>
      <c r="O987" s="442">
        <f t="shared" si="200"/>
        <v>14.8</v>
      </c>
      <c r="P987" s="413"/>
      <c r="Q987" s="411"/>
      <c r="R987" s="413">
        <f t="shared" si="201"/>
        <v>1</v>
      </c>
      <c r="S987" s="414">
        <f>+HLOOKUP(A987,[238]Hoja1!$2:$78,63,FALSE)</f>
        <v>14.8</v>
      </c>
      <c r="U987" s="453">
        <f t="shared" si="202"/>
        <v>14.8</v>
      </c>
      <c r="X987" s="458">
        <f>+L987*P987</f>
        <v>0</v>
      </c>
      <c r="Y987" s="471">
        <f>+X987-Q987</f>
        <v>0</v>
      </c>
    </row>
    <row r="988" spans="1:25">
      <c r="A988" s="383">
        <v>7</v>
      </c>
      <c r="C988" s="406"/>
      <c r="D988" s="407"/>
      <c r="E988" s="407"/>
      <c r="F988" s="407"/>
      <c r="G988" s="407"/>
      <c r="H988" s="407"/>
      <c r="I988" s="408" t="s">
        <v>409</v>
      </c>
      <c r="J988" s="409" t="str">
        <f t="shared" si="197"/>
        <v>M=(Largo) x Cant</v>
      </c>
      <c r="K988" s="410" t="str">
        <f>+K982</f>
        <v>M</v>
      </c>
      <c r="L988" s="411"/>
      <c r="M988" s="412"/>
      <c r="N988" s="442"/>
      <c r="O988" s="442">
        <f t="shared" si="200"/>
        <v>133.51999999999998</v>
      </c>
      <c r="P988" s="413"/>
      <c r="Q988" s="411"/>
      <c r="R988" s="413">
        <f t="shared" si="201"/>
        <v>1</v>
      </c>
      <c r="S988" s="414">
        <f>+HLOOKUP(A988,[238]Hoja1!$2:$78,63,FALSE)</f>
        <v>133.51999999999998</v>
      </c>
      <c r="U988" s="453">
        <f t="shared" si="202"/>
        <v>133.51999999999998</v>
      </c>
      <c r="X988" s="458">
        <f t="shared" ref="X988:X1024" si="205">+L988*P988</f>
        <v>0</v>
      </c>
      <c r="Y988" s="471">
        <f t="shared" ref="Y988:Y1024" si="206">+X988-Q988</f>
        <v>0</v>
      </c>
    </row>
    <row r="989" spans="1:25">
      <c r="A989" s="383">
        <v>8</v>
      </c>
      <c r="C989" s="406"/>
      <c r="D989" s="407"/>
      <c r="E989" s="407"/>
      <c r="F989" s="407"/>
      <c r="G989" s="407"/>
      <c r="H989" s="407"/>
      <c r="I989" s="408" t="s">
        <v>411</v>
      </c>
      <c r="J989" s="409" t="str">
        <f t="shared" si="197"/>
        <v>M=(Largo) x Cant</v>
      </c>
      <c r="K989" s="410" t="str">
        <f>+K988</f>
        <v>M</v>
      </c>
      <c r="L989" s="411"/>
      <c r="M989" s="412"/>
      <c r="N989" s="442"/>
      <c r="O989" s="442">
        <f t="shared" si="200"/>
        <v>18</v>
      </c>
      <c r="P989" s="413"/>
      <c r="Q989" s="411"/>
      <c r="R989" s="413">
        <f t="shared" si="201"/>
        <v>1</v>
      </c>
      <c r="S989" s="414">
        <f>+HLOOKUP(A989,[238]Hoja1!$2:$78,63,FALSE)</f>
        <v>18</v>
      </c>
      <c r="U989" s="453">
        <f t="shared" si="202"/>
        <v>18</v>
      </c>
      <c r="X989" s="458">
        <f t="shared" si="205"/>
        <v>0</v>
      </c>
      <c r="Y989" s="471">
        <f t="shared" si="206"/>
        <v>0</v>
      </c>
    </row>
    <row r="990" spans="1:25">
      <c r="A990" s="383">
        <v>9</v>
      </c>
      <c r="C990" s="406"/>
      <c r="D990" s="407"/>
      <c r="E990" s="407"/>
      <c r="F990" s="407"/>
      <c r="G990" s="407"/>
      <c r="H990" s="407"/>
      <c r="I990" s="408" t="s">
        <v>412</v>
      </c>
      <c r="J990" s="409" t="str">
        <f t="shared" si="197"/>
        <v>M=(Largo) x Cant</v>
      </c>
      <c r="K990" s="410" t="str">
        <f>+K989</f>
        <v>M</v>
      </c>
      <c r="L990" s="411"/>
      <c r="M990" s="412"/>
      <c r="N990" s="442"/>
      <c r="O990" s="442">
        <f t="shared" si="200"/>
        <v>9.6000000000000014</v>
      </c>
      <c r="P990" s="413"/>
      <c r="Q990" s="411"/>
      <c r="R990" s="413">
        <f t="shared" si="201"/>
        <v>1</v>
      </c>
      <c r="S990" s="414">
        <f>+HLOOKUP(A990,[238]Hoja1!$2:$78,63,FALSE)</f>
        <v>9.6000000000000014</v>
      </c>
      <c r="U990" s="453">
        <f t="shared" si="202"/>
        <v>9.6000000000000014</v>
      </c>
      <c r="X990" s="458">
        <f t="shared" si="205"/>
        <v>0</v>
      </c>
      <c r="Y990" s="471">
        <f t="shared" si="206"/>
        <v>0</v>
      </c>
    </row>
    <row r="991" spans="1:25">
      <c r="A991" s="383">
        <v>10</v>
      </c>
      <c r="C991" s="406"/>
      <c r="D991" s="407"/>
      <c r="E991" s="407"/>
      <c r="F991" s="407"/>
      <c r="G991" s="407"/>
      <c r="H991" s="407"/>
      <c r="I991" s="408" t="s">
        <v>413</v>
      </c>
      <c r="J991" s="409" t="str">
        <f t="shared" si="197"/>
        <v>M=(Largo) x Cant</v>
      </c>
      <c r="K991" s="410" t="str">
        <f>+K990</f>
        <v>M</v>
      </c>
      <c r="L991" s="411"/>
      <c r="M991" s="412"/>
      <c r="N991" s="441"/>
      <c r="O991" s="442">
        <f t="shared" si="200"/>
        <v>56.8</v>
      </c>
      <c r="P991" s="412"/>
      <c r="Q991" s="411"/>
      <c r="R991" s="413">
        <f t="shared" si="201"/>
        <v>1</v>
      </c>
      <c r="S991" s="414">
        <f>+HLOOKUP(A991,[238]Hoja1!$2:$78,63,FALSE)</f>
        <v>56.8</v>
      </c>
      <c r="U991" s="453">
        <f t="shared" si="202"/>
        <v>56.8</v>
      </c>
      <c r="X991" s="458">
        <f t="shared" si="205"/>
        <v>0</v>
      </c>
      <c r="Y991" s="471">
        <f t="shared" si="206"/>
        <v>0</v>
      </c>
    </row>
    <row r="992" spans="1:25">
      <c r="A992" s="383">
        <v>11</v>
      </c>
      <c r="C992" s="406"/>
      <c r="D992" s="407"/>
      <c r="E992" s="407"/>
      <c r="F992" s="407"/>
      <c r="G992" s="407"/>
      <c r="H992" s="407"/>
      <c r="I992" s="408" t="s">
        <v>414</v>
      </c>
      <c r="J992" s="409" t="str">
        <f t="shared" si="197"/>
        <v>M=(Largo) x Cant</v>
      </c>
      <c r="K992" s="410" t="str">
        <f>+K991</f>
        <v>M</v>
      </c>
      <c r="L992" s="411"/>
      <c r="M992" s="412"/>
      <c r="N992" s="443"/>
      <c r="O992" s="442" t="str">
        <f t="shared" si="200"/>
        <v/>
      </c>
      <c r="P992" s="412"/>
      <c r="Q992" s="411"/>
      <c r="R992" s="413" t="str">
        <f t="shared" si="201"/>
        <v/>
      </c>
      <c r="S992" s="414">
        <f>+HLOOKUP(A992,[238]Hoja1!$2:$78,63,FALSE)</f>
        <v>0</v>
      </c>
      <c r="U992" s="453">
        <f t="shared" si="202"/>
        <v>0</v>
      </c>
      <c r="X992" s="458">
        <f t="shared" si="205"/>
        <v>0</v>
      </c>
      <c r="Y992" s="471">
        <f t="shared" si="206"/>
        <v>0</v>
      </c>
    </row>
    <row r="993" spans="1:25">
      <c r="A993" s="383">
        <v>12</v>
      </c>
      <c r="C993" s="406"/>
      <c r="D993" s="407"/>
      <c r="E993" s="407"/>
      <c r="F993" s="407"/>
      <c r="G993" s="407"/>
      <c r="H993" s="407"/>
      <c r="I993" s="408" t="s">
        <v>415</v>
      </c>
      <c r="J993" s="409" t="str">
        <f t="shared" si="197"/>
        <v>M=(Largo) x Cant</v>
      </c>
      <c r="K993" s="410" t="str">
        <f>+K987</f>
        <v>M</v>
      </c>
      <c r="L993" s="411"/>
      <c r="M993" s="412"/>
      <c r="N993" s="442"/>
      <c r="O993" s="442">
        <f t="shared" si="200"/>
        <v>74.099999999999994</v>
      </c>
      <c r="P993" s="413"/>
      <c r="Q993" s="411"/>
      <c r="R993" s="413">
        <f t="shared" si="201"/>
        <v>1</v>
      </c>
      <c r="S993" s="414">
        <f>+HLOOKUP(A993,[238]Hoja1!$2:$78,63,FALSE)</f>
        <v>74.099999999999994</v>
      </c>
      <c r="U993" s="453">
        <f t="shared" si="202"/>
        <v>74.099999999999994</v>
      </c>
      <c r="X993" s="458">
        <f t="shared" si="205"/>
        <v>0</v>
      </c>
      <c r="Y993" s="471">
        <f t="shared" si="206"/>
        <v>0</v>
      </c>
    </row>
    <row r="994" spans="1:25">
      <c r="A994" s="383">
        <v>13</v>
      </c>
      <c r="C994" s="406"/>
      <c r="D994" s="407"/>
      <c r="E994" s="407"/>
      <c r="F994" s="407"/>
      <c r="G994" s="407"/>
      <c r="H994" s="407"/>
      <c r="I994" s="408" t="s">
        <v>416</v>
      </c>
      <c r="J994" s="409" t="str">
        <f t="shared" si="197"/>
        <v>M=(Largo) x Cant</v>
      </c>
      <c r="K994" s="410" t="str">
        <f>+K989</f>
        <v>M</v>
      </c>
      <c r="L994" s="411"/>
      <c r="M994" s="412"/>
      <c r="N994" s="442"/>
      <c r="O994" s="442">
        <f t="shared" si="200"/>
        <v>35.200000000000003</v>
      </c>
      <c r="P994" s="413"/>
      <c r="Q994" s="411"/>
      <c r="R994" s="413">
        <f t="shared" si="201"/>
        <v>1</v>
      </c>
      <c r="S994" s="414">
        <f>+HLOOKUP(A994,[238]Hoja1!$2:$78,63,FALSE)</f>
        <v>35.200000000000003</v>
      </c>
      <c r="U994" s="453">
        <f t="shared" si="202"/>
        <v>35.200000000000003</v>
      </c>
      <c r="X994" s="458">
        <f t="shared" si="205"/>
        <v>0</v>
      </c>
      <c r="Y994" s="471">
        <f t="shared" si="206"/>
        <v>0</v>
      </c>
    </row>
    <row r="995" spans="1:25">
      <c r="A995" s="383">
        <v>14</v>
      </c>
      <c r="C995" s="406"/>
      <c r="D995" s="407"/>
      <c r="E995" s="407"/>
      <c r="F995" s="407"/>
      <c r="G995" s="407"/>
      <c r="H995" s="407"/>
      <c r="I995" s="408" t="s">
        <v>417</v>
      </c>
      <c r="J995" s="409" t="str">
        <f t="shared" si="197"/>
        <v>M=(Largo) x Cant</v>
      </c>
      <c r="K995" s="410" t="str">
        <f t="shared" ref="K995:K1006" si="207">+K994</f>
        <v>M</v>
      </c>
      <c r="L995" s="411"/>
      <c r="M995" s="412"/>
      <c r="N995" s="442"/>
      <c r="O995" s="442">
        <f t="shared" si="200"/>
        <v>9.6000000000000014</v>
      </c>
      <c r="P995" s="413"/>
      <c r="Q995" s="411"/>
      <c r="R995" s="413">
        <f t="shared" si="201"/>
        <v>1</v>
      </c>
      <c r="S995" s="414">
        <f>+HLOOKUP(A995,[238]Hoja1!$2:$78,63,FALSE)</f>
        <v>9.6000000000000014</v>
      </c>
      <c r="U995" s="453">
        <f t="shared" si="202"/>
        <v>9.6000000000000014</v>
      </c>
      <c r="X995" s="458">
        <f t="shared" si="205"/>
        <v>0</v>
      </c>
      <c r="Y995" s="471">
        <f t="shared" si="206"/>
        <v>0</v>
      </c>
    </row>
    <row r="996" spans="1:25">
      <c r="A996" s="383">
        <v>15</v>
      </c>
      <c r="C996" s="406"/>
      <c r="D996" s="407"/>
      <c r="E996" s="407"/>
      <c r="F996" s="407"/>
      <c r="G996" s="407"/>
      <c r="H996" s="407"/>
      <c r="I996" s="408" t="s">
        <v>418</v>
      </c>
      <c r="J996" s="409" t="str">
        <f t="shared" si="197"/>
        <v>M=(Largo) x Cant</v>
      </c>
      <c r="K996" s="410" t="str">
        <f t="shared" si="207"/>
        <v>M</v>
      </c>
      <c r="L996" s="411"/>
      <c r="M996" s="412"/>
      <c r="N996" s="442"/>
      <c r="O996" s="442">
        <f t="shared" si="200"/>
        <v>68</v>
      </c>
      <c r="P996" s="449"/>
      <c r="Q996" s="411"/>
      <c r="R996" s="413">
        <f t="shared" si="201"/>
        <v>1</v>
      </c>
      <c r="S996" s="414">
        <f>+HLOOKUP(A996,[238]Hoja1!$2:$78,63,FALSE)</f>
        <v>68</v>
      </c>
      <c r="U996" s="453">
        <f t="shared" si="202"/>
        <v>68</v>
      </c>
      <c r="X996" s="458">
        <f t="shared" si="205"/>
        <v>0</v>
      </c>
      <c r="Y996" s="471">
        <f t="shared" si="206"/>
        <v>0</v>
      </c>
    </row>
    <row r="997" spans="1:25">
      <c r="A997" s="383">
        <v>16</v>
      </c>
      <c r="C997" s="406"/>
      <c r="D997" s="407"/>
      <c r="E997" s="407"/>
      <c r="F997" s="407"/>
      <c r="G997" s="407"/>
      <c r="H997" s="407"/>
      <c r="I997" s="408" t="s">
        <v>419</v>
      </c>
      <c r="J997" s="409" t="str">
        <f t="shared" si="197"/>
        <v>M=(Largo) x Cant</v>
      </c>
      <c r="K997" s="410" t="str">
        <f t="shared" si="207"/>
        <v>M</v>
      </c>
      <c r="L997" s="411"/>
      <c r="M997" s="412"/>
      <c r="N997" s="442"/>
      <c r="O997" s="442" t="str">
        <f t="shared" si="200"/>
        <v/>
      </c>
      <c r="P997" s="449"/>
      <c r="Q997" s="411"/>
      <c r="R997" s="413" t="str">
        <f t="shared" si="201"/>
        <v/>
      </c>
      <c r="S997" s="414">
        <f>+HLOOKUP(A997,[238]Hoja1!$2:$78,63,FALSE)</f>
        <v>0</v>
      </c>
      <c r="U997" s="453">
        <f t="shared" si="202"/>
        <v>0</v>
      </c>
      <c r="X997" s="458">
        <f t="shared" si="205"/>
        <v>0</v>
      </c>
      <c r="Y997" s="471">
        <f t="shared" si="206"/>
        <v>0</v>
      </c>
    </row>
    <row r="998" spans="1:25">
      <c r="A998" s="383">
        <v>17</v>
      </c>
      <c r="C998" s="406"/>
      <c r="D998" s="407"/>
      <c r="E998" s="407"/>
      <c r="F998" s="407"/>
      <c r="G998" s="407"/>
      <c r="H998" s="407"/>
      <c r="I998" s="408" t="s">
        <v>420</v>
      </c>
      <c r="J998" s="409" t="str">
        <f t="shared" si="197"/>
        <v>M=(Largo) x Cant</v>
      </c>
      <c r="K998" s="410" t="str">
        <f t="shared" si="207"/>
        <v>M</v>
      </c>
      <c r="L998" s="411"/>
      <c r="M998" s="412"/>
      <c r="N998" s="442"/>
      <c r="O998" s="442" t="str">
        <f t="shared" si="200"/>
        <v/>
      </c>
      <c r="P998" s="448"/>
      <c r="Q998" s="411"/>
      <c r="R998" s="413" t="str">
        <f t="shared" si="201"/>
        <v/>
      </c>
      <c r="S998" s="414">
        <f>+HLOOKUP(A998,[238]Hoja1!$2:$78,63,FALSE)</f>
        <v>0</v>
      </c>
      <c r="U998" s="453">
        <f t="shared" si="202"/>
        <v>0</v>
      </c>
      <c r="V998" s="383" t="e">
        <f>+P998*O998*N998</f>
        <v>#VALUE!</v>
      </c>
      <c r="X998" s="458">
        <f t="shared" si="205"/>
        <v>0</v>
      </c>
      <c r="Y998" s="471">
        <f t="shared" si="206"/>
        <v>0</v>
      </c>
    </row>
    <row r="999" spans="1:25">
      <c r="A999" s="383">
        <v>18</v>
      </c>
      <c r="C999" s="406"/>
      <c r="D999" s="407"/>
      <c r="E999" s="407"/>
      <c r="F999" s="407"/>
      <c r="G999" s="407"/>
      <c r="H999" s="407"/>
      <c r="I999" s="408" t="s">
        <v>429</v>
      </c>
      <c r="J999" s="409" t="str">
        <f t="shared" si="197"/>
        <v>M=(Largo) x Cant</v>
      </c>
      <c r="K999" s="410" t="str">
        <f t="shared" si="207"/>
        <v>M</v>
      </c>
      <c r="L999" s="411"/>
      <c r="M999" s="412"/>
      <c r="N999" s="442"/>
      <c r="O999" s="442">
        <f t="shared" si="200"/>
        <v>14.8</v>
      </c>
      <c r="P999" s="413"/>
      <c r="Q999" s="411"/>
      <c r="R999" s="413">
        <f t="shared" si="201"/>
        <v>1</v>
      </c>
      <c r="S999" s="414">
        <f>+HLOOKUP(A999,[238]Hoja1!$2:$78,63,FALSE)</f>
        <v>14.8</v>
      </c>
      <c r="U999" s="453">
        <f t="shared" si="202"/>
        <v>14.8</v>
      </c>
      <c r="X999" s="458">
        <f t="shared" si="205"/>
        <v>0</v>
      </c>
      <c r="Y999" s="471">
        <f t="shared" si="206"/>
        <v>0</v>
      </c>
    </row>
    <row r="1000" spans="1:25">
      <c r="A1000" s="383">
        <v>19</v>
      </c>
      <c r="C1000" s="406"/>
      <c r="D1000" s="407"/>
      <c r="E1000" s="407"/>
      <c r="F1000" s="407"/>
      <c r="G1000" s="407"/>
      <c r="H1000" s="407"/>
      <c r="I1000" s="408" t="s">
        <v>430</v>
      </c>
      <c r="J1000" s="409" t="str">
        <f t="shared" si="197"/>
        <v>M=(Largo) x Cant</v>
      </c>
      <c r="K1000" s="410" t="str">
        <f t="shared" si="207"/>
        <v>M</v>
      </c>
      <c r="L1000" s="411"/>
      <c r="M1000" s="412"/>
      <c r="N1000" s="442"/>
      <c r="O1000" s="442">
        <f t="shared" si="200"/>
        <v>9.6000000000000014</v>
      </c>
      <c r="P1000" s="448"/>
      <c r="Q1000" s="411"/>
      <c r="R1000" s="413">
        <f t="shared" si="201"/>
        <v>1</v>
      </c>
      <c r="S1000" s="414">
        <f>+HLOOKUP(A1000,[238]Hoja1!$2:$78,63,FALSE)</f>
        <v>9.6000000000000014</v>
      </c>
      <c r="U1000" s="453">
        <f t="shared" si="202"/>
        <v>9.6000000000000014</v>
      </c>
      <c r="X1000" s="458">
        <f t="shared" si="205"/>
        <v>0</v>
      </c>
      <c r="Y1000" s="471">
        <f t="shared" si="206"/>
        <v>0</v>
      </c>
    </row>
    <row r="1001" spans="1:25">
      <c r="A1001" s="383">
        <v>20</v>
      </c>
      <c r="C1001" s="406"/>
      <c r="D1001" s="407"/>
      <c r="E1001" s="407"/>
      <c r="F1001" s="407"/>
      <c r="G1001" s="407"/>
      <c r="H1001" s="407"/>
      <c r="I1001" s="408" t="s">
        <v>431</v>
      </c>
      <c r="J1001" s="409" t="str">
        <f t="shared" si="197"/>
        <v>M=(Largo) x Cant</v>
      </c>
      <c r="K1001" s="410" t="str">
        <f t="shared" si="207"/>
        <v>M</v>
      </c>
      <c r="L1001" s="411"/>
      <c r="M1001" s="412"/>
      <c r="N1001" s="442"/>
      <c r="O1001" s="442">
        <f t="shared" si="200"/>
        <v>18</v>
      </c>
      <c r="P1001" s="413"/>
      <c r="Q1001" s="411"/>
      <c r="R1001" s="413">
        <f t="shared" si="201"/>
        <v>1</v>
      </c>
      <c r="S1001" s="414">
        <f>+HLOOKUP(A1001,[238]Hoja1!$2:$78,63,FALSE)</f>
        <v>18</v>
      </c>
      <c r="U1001" s="453">
        <f t="shared" si="202"/>
        <v>18</v>
      </c>
      <c r="X1001" s="458">
        <f t="shared" si="205"/>
        <v>0</v>
      </c>
      <c r="Y1001" s="471">
        <f t="shared" si="206"/>
        <v>0</v>
      </c>
    </row>
    <row r="1002" spans="1:25">
      <c r="A1002" s="383">
        <v>21</v>
      </c>
      <c r="C1002" s="406"/>
      <c r="D1002" s="407"/>
      <c r="E1002" s="407"/>
      <c r="F1002" s="407"/>
      <c r="G1002" s="407"/>
      <c r="H1002" s="407"/>
      <c r="I1002" s="408" t="s">
        <v>432</v>
      </c>
      <c r="J1002" s="409" t="str">
        <f t="shared" si="197"/>
        <v>M=(Largo) x Cant</v>
      </c>
      <c r="K1002" s="410" t="str">
        <f t="shared" si="207"/>
        <v>M</v>
      </c>
      <c r="L1002" s="411"/>
      <c r="M1002" s="412"/>
      <c r="N1002" s="442"/>
      <c r="O1002" s="442" t="str">
        <f t="shared" si="200"/>
        <v/>
      </c>
      <c r="P1002" s="412"/>
      <c r="Q1002" s="411"/>
      <c r="R1002" s="413" t="str">
        <f t="shared" si="201"/>
        <v/>
      </c>
      <c r="S1002" s="414">
        <f>+HLOOKUP(A1002,[238]Hoja1!$2:$78,63,FALSE)</f>
        <v>0</v>
      </c>
      <c r="U1002" s="453">
        <f t="shared" si="202"/>
        <v>0</v>
      </c>
      <c r="X1002" s="458">
        <f t="shared" si="205"/>
        <v>0</v>
      </c>
      <c r="Y1002" s="471">
        <f t="shared" si="206"/>
        <v>0</v>
      </c>
    </row>
    <row r="1003" spans="1:25">
      <c r="A1003" s="383">
        <v>22</v>
      </c>
      <c r="C1003" s="406"/>
      <c r="D1003" s="407"/>
      <c r="E1003" s="407"/>
      <c r="F1003" s="407"/>
      <c r="G1003" s="407"/>
      <c r="H1003" s="407"/>
      <c r="I1003" s="408" t="s">
        <v>433</v>
      </c>
      <c r="J1003" s="409" t="str">
        <f t="shared" si="197"/>
        <v>M=(Largo) x Cant</v>
      </c>
      <c r="K1003" s="410" t="str">
        <f t="shared" si="207"/>
        <v>M</v>
      </c>
      <c r="L1003" s="411"/>
      <c r="M1003" s="412"/>
      <c r="N1003" s="442"/>
      <c r="O1003" s="442">
        <f t="shared" si="200"/>
        <v>9.6000000000000014</v>
      </c>
      <c r="P1003" s="448"/>
      <c r="Q1003" s="411"/>
      <c r="R1003" s="413">
        <f t="shared" si="201"/>
        <v>1</v>
      </c>
      <c r="S1003" s="414">
        <f>+HLOOKUP(A1003,[238]Hoja1!$2:$78,63,FALSE)</f>
        <v>9.6000000000000014</v>
      </c>
      <c r="U1003" s="453">
        <f t="shared" si="202"/>
        <v>9.6000000000000014</v>
      </c>
      <c r="X1003" s="458">
        <f t="shared" si="205"/>
        <v>0</v>
      </c>
      <c r="Y1003" s="471">
        <f t="shared" si="206"/>
        <v>0</v>
      </c>
    </row>
    <row r="1004" spans="1:25">
      <c r="A1004" s="383">
        <v>23</v>
      </c>
      <c r="C1004" s="406"/>
      <c r="D1004" s="407"/>
      <c r="E1004" s="407"/>
      <c r="F1004" s="407"/>
      <c r="G1004" s="407"/>
      <c r="H1004" s="407"/>
      <c r="I1004" s="408" t="s">
        <v>434</v>
      </c>
      <c r="J1004" s="409" t="str">
        <f t="shared" si="197"/>
        <v>M=(Largo) x Cant</v>
      </c>
      <c r="K1004" s="410" t="str">
        <f t="shared" si="207"/>
        <v>M</v>
      </c>
      <c r="L1004" s="411"/>
      <c r="M1004" s="412"/>
      <c r="N1004" s="441"/>
      <c r="O1004" s="442">
        <f t="shared" si="200"/>
        <v>144</v>
      </c>
      <c r="P1004" s="412"/>
      <c r="Q1004" s="411"/>
      <c r="R1004" s="413">
        <f t="shared" si="201"/>
        <v>1</v>
      </c>
      <c r="S1004" s="414">
        <f>+HLOOKUP(A1004,[238]Hoja1!$2:$78,63,FALSE)</f>
        <v>144</v>
      </c>
      <c r="U1004" s="453">
        <f t="shared" si="202"/>
        <v>144</v>
      </c>
      <c r="X1004" s="458">
        <f t="shared" si="205"/>
        <v>0</v>
      </c>
      <c r="Y1004" s="471">
        <f t="shared" si="206"/>
        <v>0</v>
      </c>
    </row>
    <row r="1005" spans="1:25">
      <c r="A1005" s="383">
        <v>24</v>
      </c>
      <c r="C1005" s="406"/>
      <c r="D1005" s="407"/>
      <c r="E1005" s="407"/>
      <c r="F1005" s="407"/>
      <c r="G1005" s="407"/>
      <c r="H1005" s="407"/>
      <c r="I1005" s="408" t="s">
        <v>435</v>
      </c>
      <c r="J1005" s="409" t="str">
        <f t="shared" si="197"/>
        <v>M=(Largo) x Cant</v>
      </c>
      <c r="K1005" s="410" t="str">
        <f t="shared" si="207"/>
        <v>M</v>
      </c>
      <c r="L1005" s="411"/>
      <c r="M1005" s="412"/>
      <c r="N1005" s="442"/>
      <c r="O1005" s="442" t="str">
        <f t="shared" si="200"/>
        <v/>
      </c>
      <c r="P1005" s="413"/>
      <c r="Q1005" s="411"/>
      <c r="R1005" s="413" t="str">
        <f t="shared" si="201"/>
        <v/>
      </c>
      <c r="S1005" s="414">
        <f>+HLOOKUP(A1005,[238]Hoja1!$2:$78,63,FALSE)</f>
        <v>0</v>
      </c>
      <c r="U1005" s="453">
        <f t="shared" si="202"/>
        <v>0</v>
      </c>
      <c r="X1005" s="458">
        <f t="shared" si="205"/>
        <v>0</v>
      </c>
      <c r="Y1005" s="471">
        <f t="shared" si="206"/>
        <v>0</v>
      </c>
    </row>
    <row r="1006" spans="1:25">
      <c r="A1006" s="383">
        <v>25</v>
      </c>
      <c r="C1006" s="406"/>
      <c r="D1006" s="407"/>
      <c r="E1006" s="407"/>
      <c r="F1006" s="407"/>
      <c r="G1006" s="407"/>
      <c r="H1006" s="407"/>
      <c r="I1006" s="408" t="s">
        <v>436</v>
      </c>
      <c r="J1006" s="409" t="str">
        <f t="shared" si="197"/>
        <v>M=(Largo) x Cant</v>
      </c>
      <c r="K1006" s="410" t="str">
        <f t="shared" si="207"/>
        <v>M</v>
      </c>
      <c r="L1006" s="411"/>
      <c r="M1006" s="412"/>
      <c r="N1006" s="442"/>
      <c r="O1006" s="442" t="str">
        <f t="shared" si="200"/>
        <v/>
      </c>
      <c r="P1006" s="450"/>
      <c r="Q1006" s="411"/>
      <c r="R1006" s="413" t="str">
        <f t="shared" si="201"/>
        <v/>
      </c>
      <c r="S1006" s="414">
        <f>+HLOOKUP(A1006,[238]Hoja1!$2:$78,63,FALSE)</f>
        <v>0</v>
      </c>
      <c r="U1006" s="453">
        <f t="shared" si="202"/>
        <v>0</v>
      </c>
      <c r="X1006" s="458">
        <f t="shared" si="205"/>
        <v>0</v>
      </c>
      <c r="Y1006" s="471">
        <f t="shared" si="206"/>
        <v>0</v>
      </c>
    </row>
    <row r="1007" spans="1:25">
      <c r="A1007" s="383">
        <v>26</v>
      </c>
      <c r="C1007" s="406"/>
      <c r="D1007" s="407"/>
      <c r="E1007" s="407"/>
      <c r="F1007" s="407"/>
      <c r="G1007" s="407"/>
      <c r="H1007" s="407"/>
      <c r="I1007" s="408" t="s">
        <v>437</v>
      </c>
      <c r="J1007" s="409" t="str">
        <f t="shared" si="197"/>
        <v>M=(Largo) x Cant</v>
      </c>
      <c r="K1007" s="410" t="str">
        <f>+K996</f>
        <v>M</v>
      </c>
      <c r="L1007" s="411"/>
      <c r="M1007" s="412"/>
      <c r="N1007" s="442"/>
      <c r="O1007" s="442">
        <f t="shared" si="200"/>
        <v>63</v>
      </c>
      <c r="P1007" s="412"/>
      <c r="Q1007" s="411"/>
      <c r="R1007" s="413">
        <f t="shared" si="201"/>
        <v>1</v>
      </c>
      <c r="S1007" s="414">
        <f>+HLOOKUP(A1007,[238]Hoja1!$2:$78,63,FALSE)</f>
        <v>63</v>
      </c>
      <c r="U1007" s="453">
        <f t="shared" si="202"/>
        <v>63</v>
      </c>
      <c r="X1007" s="458">
        <f t="shared" si="205"/>
        <v>0</v>
      </c>
      <c r="Y1007" s="471">
        <f t="shared" si="206"/>
        <v>0</v>
      </c>
    </row>
    <row r="1008" spans="1:25">
      <c r="A1008" s="383">
        <v>27</v>
      </c>
      <c r="C1008" s="406"/>
      <c r="D1008" s="407"/>
      <c r="E1008" s="407"/>
      <c r="F1008" s="407"/>
      <c r="G1008" s="407"/>
      <c r="H1008" s="407"/>
      <c r="I1008" s="408" t="s">
        <v>438</v>
      </c>
      <c r="J1008" s="409" t="str">
        <f t="shared" si="197"/>
        <v>M=(Largo) x Cant</v>
      </c>
      <c r="K1008" s="410" t="str">
        <f t="shared" ref="K1008:K1016" si="208">+K1007</f>
        <v>M</v>
      </c>
      <c r="L1008" s="411"/>
      <c r="M1008" s="412"/>
      <c r="N1008" s="442"/>
      <c r="O1008" s="442" t="str">
        <f t="shared" si="200"/>
        <v/>
      </c>
      <c r="P1008" s="448"/>
      <c r="Q1008" s="411"/>
      <c r="R1008" s="413" t="str">
        <f t="shared" si="201"/>
        <v/>
      </c>
      <c r="S1008" s="414">
        <f>+HLOOKUP(A1008,[238]Hoja1!$2:$78,63,FALSE)</f>
        <v>0</v>
      </c>
      <c r="U1008" s="453">
        <f t="shared" si="202"/>
        <v>0</v>
      </c>
      <c r="X1008" s="458">
        <f t="shared" si="205"/>
        <v>0</v>
      </c>
      <c r="Y1008" s="471">
        <f t="shared" si="206"/>
        <v>0</v>
      </c>
    </row>
    <row r="1009" spans="1:25">
      <c r="A1009" s="383">
        <v>28</v>
      </c>
      <c r="C1009" s="406"/>
      <c r="D1009" s="440"/>
      <c r="E1009" s="407"/>
      <c r="F1009" s="407"/>
      <c r="G1009" s="407"/>
      <c r="H1009" s="437"/>
      <c r="I1009" s="408" t="s">
        <v>439</v>
      </c>
      <c r="J1009" s="409" t="str">
        <f t="shared" si="197"/>
        <v>M=(Largo) x Cant</v>
      </c>
      <c r="K1009" s="410" t="str">
        <f t="shared" si="208"/>
        <v>M</v>
      </c>
      <c r="L1009" s="411"/>
      <c r="M1009" s="412"/>
      <c r="N1009" s="442"/>
      <c r="O1009" s="442">
        <f t="shared" si="200"/>
        <v>44.400000000000006</v>
      </c>
      <c r="P1009" s="413"/>
      <c r="Q1009" s="411"/>
      <c r="R1009" s="413">
        <f t="shared" si="201"/>
        <v>1</v>
      </c>
      <c r="S1009" s="414">
        <f>+HLOOKUP(A1009,[238]Hoja1!$2:$78,63,FALSE)</f>
        <v>44.400000000000006</v>
      </c>
      <c r="U1009" s="453">
        <f t="shared" si="202"/>
        <v>44.400000000000006</v>
      </c>
      <c r="X1009" s="458">
        <f t="shared" si="205"/>
        <v>0</v>
      </c>
      <c r="Y1009" s="471">
        <f t="shared" si="206"/>
        <v>0</v>
      </c>
    </row>
    <row r="1010" spans="1:25">
      <c r="A1010" s="383">
        <v>29</v>
      </c>
      <c r="C1010" s="406"/>
      <c r="D1010" s="407"/>
      <c r="E1010" s="407"/>
      <c r="F1010" s="407"/>
      <c r="G1010" s="407"/>
      <c r="H1010" s="407"/>
      <c r="I1010" s="408" t="s">
        <v>440</v>
      </c>
      <c r="J1010" s="409" t="str">
        <f t="shared" si="197"/>
        <v>M=(Largo) x Cant</v>
      </c>
      <c r="K1010" s="410" t="str">
        <f t="shared" si="208"/>
        <v>M</v>
      </c>
      <c r="L1010" s="411"/>
      <c r="M1010" s="412"/>
      <c r="N1010" s="443"/>
      <c r="O1010" s="442" t="str">
        <f t="shared" si="200"/>
        <v/>
      </c>
      <c r="P1010" s="412"/>
      <c r="Q1010" s="411"/>
      <c r="R1010" s="413" t="str">
        <f t="shared" si="201"/>
        <v/>
      </c>
      <c r="S1010" s="414">
        <f>+HLOOKUP(A1010,[238]Hoja1!$2:$78,63,FALSE)</f>
        <v>0</v>
      </c>
      <c r="U1010" s="453">
        <f t="shared" si="202"/>
        <v>0</v>
      </c>
      <c r="X1010" s="458">
        <f t="shared" si="205"/>
        <v>0</v>
      </c>
      <c r="Y1010" s="471">
        <f t="shared" si="206"/>
        <v>0</v>
      </c>
    </row>
    <row r="1011" spans="1:25">
      <c r="A1011" s="383">
        <v>30</v>
      </c>
      <c r="C1011" s="406"/>
      <c r="D1011" s="407"/>
      <c r="E1011" s="407"/>
      <c r="F1011" s="407"/>
      <c r="G1011" s="407"/>
      <c r="H1011" s="407"/>
      <c r="I1011" s="408" t="s">
        <v>441</v>
      </c>
      <c r="J1011" s="409" t="str">
        <f t="shared" si="197"/>
        <v>M=(Largo) x Cant</v>
      </c>
      <c r="K1011" s="410" t="str">
        <f t="shared" si="208"/>
        <v>M</v>
      </c>
      <c r="L1011" s="411"/>
      <c r="M1011" s="412"/>
      <c r="N1011" s="442"/>
      <c r="O1011" s="442">
        <f t="shared" si="200"/>
        <v>18</v>
      </c>
      <c r="P1011" s="413"/>
      <c r="Q1011" s="411"/>
      <c r="R1011" s="413">
        <f t="shared" si="201"/>
        <v>1</v>
      </c>
      <c r="S1011" s="414">
        <f>+HLOOKUP(A1011,[238]Hoja1!$2:$78,63,FALSE)</f>
        <v>18</v>
      </c>
      <c r="U1011" s="453">
        <f t="shared" si="202"/>
        <v>18</v>
      </c>
      <c r="X1011" s="458">
        <f t="shared" si="205"/>
        <v>0</v>
      </c>
      <c r="Y1011" s="471">
        <f t="shared" si="206"/>
        <v>0</v>
      </c>
    </row>
    <row r="1012" spans="1:25">
      <c r="A1012" s="383">
        <v>31</v>
      </c>
      <c r="C1012" s="406"/>
      <c r="D1012" s="407"/>
      <c r="E1012" s="407"/>
      <c r="F1012" s="407"/>
      <c r="G1012" s="407"/>
      <c r="H1012" s="407"/>
      <c r="I1012" s="408" t="s">
        <v>442</v>
      </c>
      <c r="J1012" s="409" t="str">
        <f t="shared" si="197"/>
        <v>M=(Largo) x Cant</v>
      </c>
      <c r="K1012" s="410" t="str">
        <f t="shared" si="208"/>
        <v>M</v>
      </c>
      <c r="L1012" s="411"/>
      <c r="M1012" s="412"/>
      <c r="N1012" s="442"/>
      <c r="O1012" s="442">
        <f t="shared" si="200"/>
        <v>70</v>
      </c>
      <c r="P1012" s="413"/>
      <c r="Q1012" s="411"/>
      <c r="R1012" s="413">
        <f t="shared" si="201"/>
        <v>1</v>
      </c>
      <c r="S1012" s="414">
        <f>+HLOOKUP(A1012,[238]Hoja1!$2:$78,63,FALSE)</f>
        <v>70</v>
      </c>
      <c r="U1012" s="453">
        <f t="shared" si="202"/>
        <v>70</v>
      </c>
      <c r="X1012" s="458">
        <f t="shared" si="205"/>
        <v>0</v>
      </c>
      <c r="Y1012" s="471">
        <f t="shared" si="206"/>
        <v>0</v>
      </c>
    </row>
    <row r="1013" spans="1:25">
      <c r="A1013" s="383">
        <v>32</v>
      </c>
      <c r="C1013" s="406"/>
      <c r="D1013" s="407"/>
      <c r="E1013" s="407"/>
      <c r="F1013" s="407"/>
      <c r="G1013" s="407"/>
      <c r="H1013" s="407"/>
      <c r="I1013" s="408" t="s">
        <v>443</v>
      </c>
      <c r="J1013" s="409" t="str">
        <f t="shared" si="197"/>
        <v>M=(Largo) x Cant</v>
      </c>
      <c r="K1013" s="410" t="str">
        <f t="shared" si="208"/>
        <v>M</v>
      </c>
      <c r="L1013" s="411"/>
      <c r="M1013" s="412"/>
      <c r="N1013" s="442"/>
      <c r="O1013" s="442">
        <f t="shared" si="200"/>
        <v>14.8</v>
      </c>
      <c r="P1013" s="413"/>
      <c r="Q1013" s="411"/>
      <c r="R1013" s="413">
        <f t="shared" si="201"/>
        <v>1</v>
      </c>
      <c r="S1013" s="414">
        <f>+HLOOKUP(A1013,[238]Hoja1!$2:$78,63,FALSE)</f>
        <v>14.8</v>
      </c>
      <c r="U1013" s="453">
        <f t="shared" si="202"/>
        <v>14.8</v>
      </c>
      <c r="X1013" s="458">
        <f t="shared" si="205"/>
        <v>0</v>
      </c>
      <c r="Y1013" s="471">
        <f t="shared" si="206"/>
        <v>0</v>
      </c>
    </row>
    <row r="1014" spans="1:25">
      <c r="A1014" s="383">
        <v>33</v>
      </c>
      <c r="C1014" s="406"/>
      <c r="D1014" s="407"/>
      <c r="E1014" s="407"/>
      <c r="F1014" s="407"/>
      <c r="G1014" s="407"/>
      <c r="H1014" s="407"/>
      <c r="I1014" s="408" t="s">
        <v>444</v>
      </c>
      <c r="J1014" s="409" t="str">
        <f t="shared" si="197"/>
        <v>M=(Largo) x Cant</v>
      </c>
      <c r="K1014" s="410" t="str">
        <f t="shared" si="208"/>
        <v>M</v>
      </c>
      <c r="L1014" s="411"/>
      <c r="M1014" s="412"/>
      <c r="N1014" s="442"/>
      <c r="O1014" s="442">
        <f t="shared" si="200"/>
        <v>70.2</v>
      </c>
      <c r="P1014" s="412"/>
      <c r="Q1014" s="411"/>
      <c r="R1014" s="413">
        <f t="shared" si="201"/>
        <v>1</v>
      </c>
      <c r="S1014" s="414">
        <f>+HLOOKUP(A1014,[238]Hoja1!$2:$78,63,FALSE)</f>
        <v>70.2</v>
      </c>
      <c r="U1014" s="453">
        <f t="shared" si="202"/>
        <v>70.2</v>
      </c>
      <c r="X1014" s="458">
        <f t="shared" si="205"/>
        <v>0</v>
      </c>
      <c r="Y1014" s="471">
        <f t="shared" si="206"/>
        <v>0</v>
      </c>
    </row>
    <row r="1015" spans="1:25">
      <c r="A1015" s="383">
        <v>34</v>
      </c>
      <c r="C1015" s="406"/>
      <c r="D1015" s="407"/>
      <c r="E1015" s="407"/>
      <c r="F1015" s="407"/>
      <c r="G1015" s="407"/>
      <c r="H1015" s="407"/>
      <c r="I1015" s="408" t="s">
        <v>445</v>
      </c>
      <c r="J1015" s="409" t="str">
        <f t="shared" si="197"/>
        <v>M=(Largo) x Cant</v>
      </c>
      <c r="K1015" s="410" t="str">
        <f t="shared" si="208"/>
        <v>M</v>
      </c>
      <c r="L1015" s="411"/>
      <c r="M1015" s="412"/>
      <c r="N1015" s="441"/>
      <c r="O1015" s="442" t="str">
        <f t="shared" si="200"/>
        <v/>
      </c>
      <c r="P1015" s="412"/>
      <c r="Q1015" s="411"/>
      <c r="R1015" s="413" t="str">
        <f t="shared" si="201"/>
        <v/>
      </c>
      <c r="S1015" s="414">
        <f>+HLOOKUP(A1015,[238]Hoja1!$2:$78,63,FALSE)</f>
        <v>0</v>
      </c>
      <c r="U1015" s="453">
        <f t="shared" si="202"/>
        <v>0</v>
      </c>
      <c r="X1015" s="458">
        <f t="shared" si="205"/>
        <v>0</v>
      </c>
      <c r="Y1015" s="471">
        <f t="shared" si="206"/>
        <v>0</v>
      </c>
    </row>
    <row r="1016" spans="1:25">
      <c r="A1016" s="383">
        <v>35</v>
      </c>
      <c r="C1016" s="406"/>
      <c r="D1016" s="440"/>
      <c r="E1016" s="407"/>
      <c r="F1016" s="407"/>
      <c r="G1016" s="407"/>
      <c r="H1016" s="437"/>
      <c r="I1016" s="408" t="s">
        <v>446</v>
      </c>
      <c r="J1016" s="409" t="str">
        <f t="shared" si="197"/>
        <v>M=(Largo) x Cant</v>
      </c>
      <c r="K1016" s="410" t="str">
        <f t="shared" si="208"/>
        <v>M</v>
      </c>
      <c r="L1016" s="411"/>
      <c r="M1016" s="412"/>
      <c r="N1016" s="442"/>
      <c r="O1016" s="442">
        <f t="shared" si="200"/>
        <v>100.10000000000001</v>
      </c>
      <c r="P1016" s="413"/>
      <c r="Q1016" s="411"/>
      <c r="R1016" s="413">
        <f t="shared" si="201"/>
        <v>1</v>
      </c>
      <c r="S1016" s="414">
        <f>+HLOOKUP(A1016,[238]Hoja1!$2:$78,63,FALSE)</f>
        <v>100.10000000000001</v>
      </c>
      <c r="U1016" s="453">
        <f t="shared" si="202"/>
        <v>100.10000000000001</v>
      </c>
      <c r="X1016" s="458">
        <f t="shared" si="205"/>
        <v>0</v>
      </c>
      <c r="Y1016" s="471">
        <f t="shared" si="206"/>
        <v>0</v>
      </c>
    </row>
    <row r="1017" spans="1:25">
      <c r="A1017" s="383">
        <v>36</v>
      </c>
      <c r="C1017" s="406"/>
      <c r="D1017" s="407"/>
      <c r="E1017" s="407"/>
      <c r="F1017" s="407"/>
      <c r="G1017" s="407"/>
      <c r="H1017" s="407"/>
      <c r="I1017" s="408" t="s">
        <v>447</v>
      </c>
      <c r="J1017" s="409" t="str">
        <f t="shared" si="197"/>
        <v>M=(Largo) x Cant</v>
      </c>
      <c r="K1017" s="410" t="str">
        <f>+K1006</f>
        <v>M</v>
      </c>
      <c r="L1017" s="411"/>
      <c r="M1017" s="412"/>
      <c r="N1017" s="442"/>
      <c r="O1017" s="442" t="str">
        <f t="shared" si="200"/>
        <v/>
      </c>
      <c r="P1017" s="449"/>
      <c r="Q1017" s="411"/>
      <c r="R1017" s="413" t="str">
        <f t="shared" si="201"/>
        <v/>
      </c>
      <c r="S1017" s="414">
        <f>+HLOOKUP(A1017,[238]Hoja1!$2:$78,63,FALSE)</f>
        <v>0</v>
      </c>
      <c r="U1017" s="453">
        <f t="shared" si="202"/>
        <v>0</v>
      </c>
      <c r="X1017" s="458">
        <f t="shared" si="205"/>
        <v>0</v>
      </c>
      <c r="Y1017" s="471">
        <f t="shared" si="206"/>
        <v>0</v>
      </c>
    </row>
    <row r="1018" spans="1:25">
      <c r="A1018" s="383">
        <v>37</v>
      </c>
      <c r="C1018" s="406"/>
      <c r="D1018" s="407"/>
      <c r="E1018" s="407"/>
      <c r="F1018" s="407"/>
      <c r="G1018" s="407"/>
      <c r="H1018" s="407"/>
      <c r="I1018" s="408" t="s">
        <v>448</v>
      </c>
      <c r="J1018" s="409" t="str">
        <f t="shared" si="197"/>
        <v>M=(Largo) x Cant</v>
      </c>
      <c r="K1018" s="410" t="str">
        <f t="shared" ref="K1018:K1024" si="209">+K1017</f>
        <v>M</v>
      </c>
      <c r="L1018" s="411"/>
      <c r="M1018" s="412"/>
      <c r="N1018" s="441"/>
      <c r="O1018" s="442">
        <f t="shared" si="200"/>
        <v>21.25</v>
      </c>
      <c r="P1018" s="449"/>
      <c r="Q1018" s="411"/>
      <c r="R1018" s="413">
        <f t="shared" si="201"/>
        <v>1</v>
      </c>
      <c r="S1018" s="414">
        <f>+HLOOKUP(A1018,[238]Hoja1!$2:$78,63,FALSE)</f>
        <v>21.25</v>
      </c>
      <c r="U1018" s="453">
        <f t="shared" si="202"/>
        <v>21.25</v>
      </c>
      <c r="X1018" s="458">
        <f t="shared" si="205"/>
        <v>0</v>
      </c>
      <c r="Y1018" s="471">
        <f t="shared" si="206"/>
        <v>0</v>
      </c>
    </row>
    <row r="1019" spans="1:25">
      <c r="A1019" s="383">
        <v>38</v>
      </c>
      <c r="C1019" s="406"/>
      <c r="D1019" s="440"/>
      <c r="E1019" s="407"/>
      <c r="F1019" s="407"/>
      <c r="G1019" s="407"/>
      <c r="H1019" s="437"/>
      <c r="I1019" s="408" t="s">
        <v>449</v>
      </c>
      <c r="J1019" s="409" t="str">
        <f t="shared" si="197"/>
        <v>M=(Largo) x Cant</v>
      </c>
      <c r="K1019" s="410" t="str">
        <f t="shared" si="209"/>
        <v>M</v>
      </c>
      <c r="L1019" s="411"/>
      <c r="M1019" s="412"/>
      <c r="N1019" s="442"/>
      <c r="O1019" s="442" t="str">
        <f t="shared" si="200"/>
        <v/>
      </c>
      <c r="P1019" s="413"/>
      <c r="Q1019" s="411"/>
      <c r="R1019" s="413" t="str">
        <f t="shared" si="201"/>
        <v/>
      </c>
      <c r="S1019" s="414">
        <f>+HLOOKUP(A1019,[238]Hoja1!$2:$78,63,FALSE)</f>
        <v>0</v>
      </c>
      <c r="U1019" s="453">
        <f t="shared" si="202"/>
        <v>0</v>
      </c>
      <c r="X1019" s="458">
        <f t="shared" si="205"/>
        <v>0</v>
      </c>
      <c r="Y1019" s="471">
        <f t="shared" si="206"/>
        <v>0</v>
      </c>
    </row>
    <row r="1020" spans="1:25">
      <c r="A1020" s="383">
        <v>39</v>
      </c>
      <c r="C1020" s="406"/>
      <c r="D1020" s="407"/>
      <c r="E1020" s="407"/>
      <c r="F1020" s="407"/>
      <c r="G1020" s="407"/>
      <c r="H1020" s="407"/>
      <c r="I1020" s="408" t="s">
        <v>450</v>
      </c>
      <c r="J1020" s="409" t="str">
        <f t="shared" si="197"/>
        <v>M=(Largo) x Cant</v>
      </c>
      <c r="K1020" s="410" t="str">
        <f t="shared" si="209"/>
        <v>M</v>
      </c>
      <c r="L1020" s="411"/>
      <c r="M1020" s="412"/>
      <c r="N1020" s="441"/>
      <c r="O1020" s="442">
        <f t="shared" si="200"/>
        <v>162.30000000000001</v>
      </c>
      <c r="P1020" s="412"/>
      <c r="Q1020" s="411"/>
      <c r="R1020" s="413">
        <f t="shared" si="201"/>
        <v>1</v>
      </c>
      <c r="S1020" s="414">
        <f>+HLOOKUP(A1020,[238]Hoja1!$2:$78,63,FALSE)</f>
        <v>162.30000000000001</v>
      </c>
      <c r="U1020" s="453">
        <f t="shared" si="202"/>
        <v>162.30000000000001</v>
      </c>
      <c r="X1020" s="458">
        <f t="shared" si="205"/>
        <v>0</v>
      </c>
      <c r="Y1020" s="471">
        <f t="shared" si="206"/>
        <v>0</v>
      </c>
    </row>
    <row r="1021" spans="1:25">
      <c r="A1021" s="383">
        <v>40</v>
      </c>
      <c r="C1021" s="406"/>
      <c r="D1021" s="407"/>
      <c r="E1021" s="407"/>
      <c r="F1021" s="407"/>
      <c r="G1021" s="407"/>
      <c r="H1021" s="407"/>
      <c r="I1021" s="408" t="s">
        <v>451</v>
      </c>
      <c r="J1021" s="409" t="str">
        <f t="shared" si="197"/>
        <v>M=(Largo) x Cant</v>
      </c>
      <c r="K1021" s="410" t="str">
        <f t="shared" si="209"/>
        <v>M</v>
      </c>
      <c r="L1021" s="411"/>
      <c r="M1021" s="412"/>
      <c r="N1021" s="442"/>
      <c r="O1021" s="442">
        <f t="shared" si="200"/>
        <v>14.8</v>
      </c>
      <c r="P1021" s="413"/>
      <c r="Q1021" s="411"/>
      <c r="R1021" s="413">
        <f t="shared" si="201"/>
        <v>1</v>
      </c>
      <c r="S1021" s="414">
        <f>+HLOOKUP(A1021,[238]Hoja1!$2:$78,63,FALSE)</f>
        <v>14.8</v>
      </c>
      <c r="U1021" s="453">
        <f t="shared" si="202"/>
        <v>14.8</v>
      </c>
      <c r="X1021" s="458">
        <f t="shared" si="205"/>
        <v>0</v>
      </c>
      <c r="Y1021" s="471">
        <f t="shared" si="206"/>
        <v>0</v>
      </c>
    </row>
    <row r="1022" spans="1:25">
      <c r="A1022" s="383">
        <v>41</v>
      </c>
      <c r="C1022" s="406"/>
      <c r="D1022" s="407"/>
      <c r="E1022" s="407"/>
      <c r="F1022" s="407"/>
      <c r="G1022" s="407"/>
      <c r="H1022" s="407"/>
      <c r="I1022" s="408" t="s">
        <v>452</v>
      </c>
      <c r="J1022" s="409" t="str">
        <f t="shared" si="197"/>
        <v>M=(Largo) x Cant</v>
      </c>
      <c r="K1022" s="410" t="str">
        <f t="shared" si="209"/>
        <v>M</v>
      </c>
      <c r="L1022" s="411"/>
      <c r="M1022" s="412"/>
      <c r="N1022" s="442"/>
      <c r="O1022" s="442">
        <f t="shared" si="200"/>
        <v>21</v>
      </c>
      <c r="P1022" s="413"/>
      <c r="Q1022" s="411"/>
      <c r="R1022" s="413">
        <f t="shared" si="201"/>
        <v>1</v>
      </c>
      <c r="S1022" s="414">
        <f>+HLOOKUP(A1022,[238]Hoja1!$2:$78,63,FALSE)</f>
        <v>21</v>
      </c>
      <c r="U1022" s="453">
        <f t="shared" si="202"/>
        <v>21</v>
      </c>
      <c r="X1022" s="458">
        <f t="shared" si="205"/>
        <v>0</v>
      </c>
      <c r="Y1022" s="471">
        <f t="shared" si="206"/>
        <v>0</v>
      </c>
    </row>
    <row r="1023" spans="1:25">
      <c r="A1023" s="383">
        <v>42</v>
      </c>
      <c r="C1023" s="406"/>
      <c r="D1023" s="407"/>
      <c r="E1023" s="407"/>
      <c r="F1023" s="407"/>
      <c r="G1023" s="407"/>
      <c r="H1023" s="407"/>
      <c r="I1023" s="408" t="s">
        <v>453</v>
      </c>
      <c r="J1023" s="409" t="str">
        <f t="shared" si="197"/>
        <v>M=(Largo) x Cant</v>
      </c>
      <c r="K1023" s="410" t="str">
        <f t="shared" si="209"/>
        <v>M</v>
      </c>
      <c r="L1023" s="411"/>
      <c r="M1023" s="412"/>
      <c r="N1023" s="442"/>
      <c r="O1023" s="442" t="str">
        <f t="shared" si="200"/>
        <v/>
      </c>
      <c r="P1023" s="412"/>
      <c r="Q1023" s="411"/>
      <c r="R1023" s="413" t="str">
        <f t="shared" si="201"/>
        <v/>
      </c>
      <c r="S1023" s="414">
        <f>+HLOOKUP(A1023,[238]Hoja1!$2:$78,63,FALSE)</f>
        <v>0</v>
      </c>
      <c r="U1023" s="453">
        <f t="shared" si="202"/>
        <v>0</v>
      </c>
      <c r="X1023" s="458">
        <f t="shared" si="205"/>
        <v>0</v>
      </c>
      <c r="Y1023" s="471">
        <f t="shared" si="206"/>
        <v>0</v>
      </c>
    </row>
    <row r="1024" spans="1:25" ht="13.5" thickBot="1">
      <c r="A1024" s="383">
        <v>43</v>
      </c>
      <c r="C1024" s="406"/>
      <c r="D1024" s="407"/>
      <c r="E1024" s="407"/>
      <c r="F1024" s="407"/>
      <c r="G1024" s="407"/>
      <c r="H1024" s="407"/>
      <c r="I1024" s="408" t="s">
        <v>454</v>
      </c>
      <c r="J1024" s="409" t="str">
        <f t="shared" si="197"/>
        <v>M=(Largo) x Cant</v>
      </c>
      <c r="K1024" s="410" t="str">
        <f t="shared" si="209"/>
        <v>M</v>
      </c>
      <c r="L1024" s="411"/>
      <c r="M1024" s="412"/>
      <c r="N1024" s="442"/>
      <c r="O1024" s="442">
        <f t="shared" si="200"/>
        <v>90</v>
      </c>
      <c r="P1024" s="412"/>
      <c r="Q1024" s="411"/>
      <c r="R1024" s="413">
        <f t="shared" si="201"/>
        <v>1</v>
      </c>
      <c r="S1024" s="414">
        <f>+HLOOKUP(A1024,[238]Hoja1!$2:$78,63,FALSE)</f>
        <v>90</v>
      </c>
      <c r="U1024" s="453">
        <f t="shared" si="202"/>
        <v>90</v>
      </c>
      <c r="X1024" s="458">
        <f t="shared" si="205"/>
        <v>0</v>
      </c>
      <c r="Y1024" s="471">
        <f t="shared" si="206"/>
        <v>0</v>
      </c>
    </row>
    <row r="1025" spans="3:19">
      <c r="C1025" s="384"/>
      <c r="D1025" s="419"/>
      <c r="E1025" s="420"/>
      <c r="F1025" s="421"/>
      <c r="G1025" s="421"/>
      <c r="H1025" s="421"/>
      <c r="I1025" s="421"/>
      <c r="J1025" s="422"/>
      <c r="K1025" s="421"/>
      <c r="L1025" s="421"/>
      <c r="M1025" s="421"/>
      <c r="N1025" s="421"/>
      <c r="O1025" s="421"/>
      <c r="P1025" s="421"/>
      <c r="Q1025" s="421"/>
      <c r="R1025" s="422"/>
      <c r="S1025" s="423"/>
    </row>
    <row r="1026" spans="3:19">
      <c r="C1026" s="396"/>
      <c r="D1026" s="397"/>
      <c r="E1026" s="424"/>
      <c r="F1026" s="425"/>
      <c r="G1026" s="425"/>
      <c r="H1026" s="425"/>
      <c r="I1026" s="425"/>
      <c r="J1026" s="398"/>
      <c r="K1026" s="425"/>
      <c r="L1026" s="425"/>
      <c r="M1026" s="397"/>
      <c r="N1026" s="397"/>
      <c r="O1026" s="562" t="s">
        <v>455</v>
      </c>
      <c r="P1026" s="563"/>
      <c r="Q1026" s="564"/>
      <c r="R1026" s="426"/>
      <c r="S1026" s="427">
        <f>ROUND(SUM(S982:S1025),2)</f>
        <v>1399.87</v>
      </c>
    </row>
    <row r="1027" spans="3:19">
      <c r="C1027" s="396"/>
      <c r="D1027" s="397"/>
      <c r="E1027" s="424"/>
      <c r="F1027" s="425"/>
      <c r="G1027" s="425"/>
      <c r="H1027" s="425"/>
      <c r="I1027" s="425"/>
      <c r="J1027" s="398"/>
      <c r="K1027" s="425"/>
      <c r="L1027" s="425"/>
      <c r="M1027" s="428"/>
      <c r="N1027" s="428"/>
      <c r="O1027" s="429"/>
      <c r="P1027" s="425"/>
      <c r="Q1027" s="425"/>
      <c r="R1027" s="430"/>
      <c r="S1027" s="431"/>
    </row>
    <row r="1028" spans="3:19">
      <c r="C1028" s="565" t="e">
        <v>#REF!</v>
      </c>
      <c r="D1028" s="566"/>
      <c r="E1028" s="566"/>
      <c r="F1028" s="566"/>
      <c r="G1028" s="566"/>
      <c r="H1028" s="566"/>
      <c r="I1028" s="566"/>
      <c r="J1028" s="566"/>
      <c r="K1028" s="566"/>
      <c r="L1028" s="566"/>
      <c r="M1028" s="566"/>
      <c r="N1028" s="567"/>
      <c r="O1028" s="568" t="s">
        <v>422</v>
      </c>
      <c r="P1028" s="568"/>
      <c r="Q1028" s="568"/>
      <c r="R1028" s="426"/>
      <c r="S1028" s="427">
        <f>S1026</f>
        <v>1399.87</v>
      </c>
    </row>
    <row r="1029" spans="3:19">
      <c r="C1029" s="396"/>
      <c r="D1029" s="397"/>
      <c r="E1029" s="424"/>
      <c r="F1029" s="425"/>
      <c r="G1029" s="425"/>
      <c r="H1029" s="425"/>
      <c r="I1029" s="425"/>
      <c r="J1029" s="398"/>
      <c r="K1029" s="425"/>
      <c r="L1029" s="425"/>
      <c r="M1029" s="428"/>
      <c r="N1029" s="428"/>
      <c r="O1029" s="429"/>
      <c r="P1029" s="425"/>
      <c r="Q1029" s="398"/>
      <c r="R1029" s="398"/>
      <c r="S1029" s="432"/>
    </row>
    <row r="1030" spans="3:19">
      <c r="C1030" s="396"/>
      <c r="D1030" s="397"/>
      <c r="E1030" s="424"/>
      <c r="F1030" s="425"/>
      <c r="G1030" s="425"/>
      <c r="H1030" s="425"/>
      <c r="I1030" s="425"/>
      <c r="J1030" s="398"/>
      <c r="K1030" s="425"/>
      <c r="L1030" s="425"/>
      <c r="M1030" s="428"/>
      <c r="N1030" s="428"/>
      <c r="O1030" s="429"/>
      <c r="P1030" s="425"/>
      <c r="Q1030" s="398"/>
      <c r="R1030" s="398"/>
      <c r="S1030" s="432"/>
    </row>
    <row r="1031" spans="3:19">
      <c r="C1031" s="569" t="s">
        <v>423</v>
      </c>
      <c r="D1031" s="570"/>
      <c r="E1031" s="570"/>
      <c r="F1031" s="570"/>
      <c r="G1031" s="570"/>
      <c r="H1031" s="570"/>
      <c r="I1031" s="570"/>
      <c r="J1031" s="571"/>
      <c r="K1031" s="433" t="s">
        <v>424</v>
      </c>
      <c r="L1031" s="434"/>
      <c r="M1031" s="434"/>
      <c r="N1031" s="434"/>
      <c r="O1031" s="434"/>
      <c r="P1031" s="434"/>
      <c r="Q1031" s="434"/>
      <c r="R1031" s="434"/>
      <c r="S1031" s="435"/>
    </row>
    <row r="1032" spans="3:19">
      <c r="C1032" s="542"/>
      <c r="D1032" s="543"/>
      <c r="E1032" s="543"/>
      <c r="F1032" s="543"/>
      <c r="G1032" s="436"/>
      <c r="H1032" s="436"/>
      <c r="I1032" s="436"/>
      <c r="J1032" s="447"/>
      <c r="K1032" s="436"/>
      <c r="L1032" s="407"/>
      <c r="M1032" s="407"/>
      <c r="N1032" s="407"/>
      <c r="O1032" s="407"/>
      <c r="P1032" s="407"/>
      <c r="Q1032" s="407"/>
      <c r="R1032" s="407"/>
      <c r="S1032" s="437"/>
    </row>
    <row r="1033" spans="3:19">
      <c r="C1033" s="542"/>
      <c r="D1033" s="543"/>
      <c r="E1033" s="543"/>
      <c r="F1033" s="543"/>
      <c r="G1033" s="436"/>
      <c r="H1033" s="436"/>
      <c r="I1033" s="436"/>
      <c r="J1033" s="447"/>
      <c r="K1033" s="436"/>
      <c r="L1033" s="407"/>
      <c r="M1033" s="407"/>
      <c r="N1033" s="407"/>
      <c r="O1033" s="407"/>
      <c r="P1033" s="407"/>
      <c r="Q1033" s="407"/>
      <c r="R1033" s="407"/>
      <c r="S1033" s="437"/>
    </row>
    <row r="1034" spans="3:19">
      <c r="C1034" s="542" t="s">
        <v>425</v>
      </c>
      <c r="D1034" s="543"/>
      <c r="E1034" s="543" t="s">
        <v>425</v>
      </c>
      <c r="F1034" s="543"/>
      <c r="G1034" s="543" t="s">
        <v>425</v>
      </c>
      <c r="H1034" s="543"/>
      <c r="I1034" s="543" t="s">
        <v>425</v>
      </c>
      <c r="J1034" s="544"/>
      <c r="K1034" s="545" t="s">
        <v>426</v>
      </c>
      <c r="L1034" s="546"/>
      <c r="M1034" s="546"/>
      <c r="N1034" s="546"/>
      <c r="O1034" s="546"/>
      <c r="P1034" s="546"/>
      <c r="Q1034" s="546"/>
      <c r="R1034" s="546"/>
      <c r="S1034" s="547"/>
    </row>
    <row r="1035" spans="3:19">
      <c r="C1035" s="548" t="str">
        <f>+[42]DATOS!D$8</f>
        <v>HELMER EDUARDO BECERRA SANTANDER</v>
      </c>
      <c r="D1035" s="549"/>
      <c r="E1035" s="549" t="s">
        <v>427</v>
      </c>
      <c r="F1035" s="549"/>
      <c r="G1035" s="549" t="s">
        <v>427</v>
      </c>
      <c r="H1035" s="549"/>
      <c r="I1035" s="549" t="s">
        <v>427</v>
      </c>
      <c r="J1035" s="550"/>
      <c r="K1035" s="551" t="str">
        <f>+[42]DATOS!D$11</f>
        <v>JESUS IVAN QUIÑONES RUEDA</v>
      </c>
      <c r="L1035" s="549"/>
      <c r="M1035" s="549"/>
      <c r="N1035" s="549"/>
      <c r="O1035" s="549"/>
      <c r="P1035" s="549"/>
      <c r="Q1035" s="549"/>
      <c r="R1035" s="549"/>
      <c r="S1035" s="552"/>
    </row>
    <row r="1036" spans="3:19">
      <c r="C1036" s="553" t="str">
        <f>+$C$72</f>
        <v>APOYO SEC. DE PLANEACION Y OBRAS PÚBLICAS</v>
      </c>
      <c r="D1036" s="554"/>
      <c r="E1036" s="554" t="s">
        <v>428</v>
      </c>
      <c r="F1036" s="554"/>
      <c r="G1036" s="554" t="s">
        <v>428</v>
      </c>
      <c r="H1036" s="554"/>
      <c r="I1036" s="554" t="s">
        <v>428</v>
      </c>
      <c r="J1036" s="555"/>
      <c r="K1036" s="556" t="str">
        <f>+$K$72</f>
        <v>SECRETARIO DE PLANEACION Y OBRAS PÚBLICAS</v>
      </c>
      <c r="L1036" s="554"/>
      <c r="M1036" s="554"/>
      <c r="N1036" s="554"/>
      <c r="O1036" s="554"/>
      <c r="P1036" s="554"/>
      <c r="Q1036" s="554"/>
      <c r="R1036" s="554"/>
      <c r="S1036" s="557"/>
    </row>
    <row r="1037" spans="3:19">
      <c r="C1037" s="406"/>
      <c r="D1037" s="407"/>
      <c r="E1037" s="407"/>
      <c r="F1037" s="407"/>
      <c r="G1037" s="407"/>
      <c r="H1037" s="407"/>
      <c r="I1037" s="407"/>
      <c r="J1037" s="407"/>
      <c r="K1037" s="407"/>
      <c r="L1037" s="407"/>
      <c r="M1037" s="407"/>
      <c r="N1037" s="407"/>
      <c r="O1037" s="407"/>
      <c r="P1037" s="407"/>
      <c r="Q1037" s="407"/>
      <c r="R1037" s="407"/>
      <c r="S1037" s="437"/>
    </row>
    <row r="1038" spans="3:19" ht="111" customHeight="1" thickBot="1">
      <c r="C1038" s="417"/>
      <c r="D1038" s="418"/>
      <c r="E1038" s="418"/>
      <c r="F1038" s="418"/>
      <c r="G1038" s="418"/>
      <c r="H1038" s="418"/>
      <c r="I1038" s="418"/>
      <c r="J1038" s="418"/>
      <c r="K1038" s="418"/>
      <c r="L1038" s="418"/>
      <c r="M1038" s="418"/>
      <c r="N1038" s="418"/>
      <c r="O1038" s="418"/>
      <c r="P1038" s="418"/>
      <c r="Q1038" s="418"/>
      <c r="R1038" s="418"/>
      <c r="S1038" s="438"/>
    </row>
    <row r="1039" spans="3:19" ht="14.25" customHeight="1"/>
    <row r="1040" spans="3:19" ht="13.5" thickBot="1"/>
    <row r="1041" spans="1:25">
      <c r="C1041" s="384"/>
      <c r="D1041" s="385"/>
      <c r="E1041" s="385"/>
      <c r="F1041" s="385"/>
      <c r="G1041" s="385"/>
      <c r="H1041" s="385"/>
      <c r="I1041" s="385"/>
      <c r="J1041" s="445"/>
      <c r="K1041" s="385"/>
      <c r="L1041" s="385"/>
      <c r="M1041" s="385"/>
      <c r="N1041" s="385"/>
      <c r="O1041" s="385"/>
      <c r="P1041" s="385"/>
      <c r="Q1041" s="385"/>
      <c r="R1041" s="385"/>
      <c r="S1041" s="386"/>
    </row>
    <row r="1042" spans="1:25" ht="121.5" customHeight="1" thickBot="1">
      <c r="C1042" s="387"/>
      <c r="D1042" s="388"/>
      <c r="E1042" s="388"/>
      <c r="F1042" s="388"/>
      <c r="G1042" s="388"/>
      <c r="H1042" s="388"/>
      <c r="I1042" s="388"/>
      <c r="J1042" s="446"/>
      <c r="K1042" s="388"/>
      <c r="L1042" s="388"/>
      <c r="M1042" s="388"/>
      <c r="N1042" s="388"/>
      <c r="O1042" s="388"/>
      <c r="P1042" s="388"/>
      <c r="Q1042" s="388"/>
      <c r="R1042" s="388"/>
      <c r="S1042" s="389"/>
    </row>
    <row r="1043" spans="1:25">
      <c r="C1043" s="592" t="str">
        <f>+[42]DATOS!C$7</f>
        <v>MEJORAMIENTO DE VIVIENDA CON ENFOQUE DIFERENCIAL PARA POBLACIÓN VULNERABLE EN EL MUNICIPIO DE CUBARÁ, BOYACÁ (2026).</v>
      </c>
      <c r="D1043" s="593"/>
      <c r="E1043" s="593"/>
      <c r="F1043" s="593"/>
      <c r="G1043" s="593"/>
      <c r="H1043" s="593"/>
      <c r="I1043" s="593"/>
      <c r="J1043" s="593"/>
      <c r="K1043" s="593"/>
      <c r="L1043" s="593"/>
      <c r="M1043" s="593"/>
      <c r="N1043" s="593"/>
      <c r="O1043" s="593"/>
      <c r="P1043" s="593"/>
      <c r="Q1043" s="593"/>
      <c r="R1043" s="593"/>
      <c r="S1043" s="594"/>
    </row>
    <row r="1044" spans="1:25">
      <c r="C1044" s="595"/>
      <c r="D1044" s="596"/>
      <c r="E1044" s="596"/>
      <c r="F1044" s="596"/>
      <c r="G1044" s="596"/>
      <c r="H1044" s="596"/>
      <c r="I1044" s="596"/>
      <c r="J1044" s="596"/>
      <c r="K1044" s="596"/>
      <c r="L1044" s="596"/>
      <c r="M1044" s="596"/>
      <c r="N1044" s="596"/>
      <c r="O1044" s="596"/>
      <c r="P1044" s="596"/>
      <c r="Q1044" s="596"/>
      <c r="R1044" s="596"/>
      <c r="S1044" s="597"/>
    </row>
    <row r="1045" spans="1:25">
      <c r="C1045" s="598" t="s">
        <v>371</v>
      </c>
      <c r="D1045" s="599"/>
      <c r="E1045" s="599"/>
      <c r="F1045" s="599"/>
      <c r="G1045" s="599"/>
      <c r="H1045" s="599"/>
      <c r="I1045" s="599"/>
      <c r="J1045" s="599"/>
      <c r="K1045" s="599"/>
      <c r="L1045" s="599"/>
      <c r="M1045" s="599"/>
      <c r="N1045" s="599"/>
      <c r="O1045" s="599"/>
      <c r="P1045" s="599"/>
      <c r="Q1045" s="599"/>
      <c r="R1045" s="599"/>
      <c r="S1045" s="600"/>
    </row>
    <row r="1046" spans="1:25">
      <c r="C1046" s="586" t="s">
        <v>372</v>
      </c>
      <c r="D1046" s="587"/>
      <c r="E1046" s="601" t="s">
        <v>373</v>
      </c>
      <c r="F1046" s="601"/>
      <c r="G1046" s="601"/>
      <c r="H1046" s="601"/>
      <c r="I1046" s="601"/>
      <c r="J1046" s="601"/>
      <c r="K1046" s="601"/>
      <c r="L1046" s="601"/>
      <c r="M1046" s="601"/>
      <c r="N1046" s="601"/>
      <c r="O1046" s="601"/>
      <c r="P1046" s="601"/>
      <c r="Q1046" s="601"/>
      <c r="R1046" s="601"/>
      <c r="S1046" s="602"/>
    </row>
    <row r="1047" spans="1:25">
      <c r="C1047" s="586" t="s">
        <v>374</v>
      </c>
      <c r="D1047" s="587"/>
      <c r="E1047" s="603" t="s">
        <v>375</v>
      </c>
      <c r="F1047" s="604"/>
      <c r="G1047" s="604"/>
      <c r="H1047" s="604"/>
      <c r="I1047" s="604"/>
      <c r="J1047" s="604"/>
      <c r="K1047" s="604"/>
      <c r="L1047" s="604"/>
      <c r="M1047" s="604"/>
      <c r="N1047" s="604"/>
      <c r="O1047" s="604"/>
      <c r="P1047" s="604"/>
      <c r="Q1047" s="604"/>
      <c r="R1047" s="604"/>
      <c r="S1047" s="605"/>
    </row>
    <row r="1048" spans="1:25">
      <c r="C1048" s="586" t="s">
        <v>376</v>
      </c>
      <c r="D1048" s="587"/>
      <c r="E1048" s="390">
        <f>+[42]DATOS!F$5</f>
        <v>46143</v>
      </c>
      <c r="F1048" s="391"/>
      <c r="G1048" s="391"/>
      <c r="H1048" s="391"/>
      <c r="I1048" s="391"/>
      <c r="J1048" s="391"/>
      <c r="K1048" s="568" t="s">
        <v>377</v>
      </c>
      <c r="L1048" s="568"/>
      <c r="M1048" s="588" t="s">
        <v>378</v>
      </c>
      <c r="N1048" s="588"/>
      <c r="O1048" s="588"/>
      <c r="P1048" s="588"/>
      <c r="Q1048" s="588"/>
      <c r="R1048" s="588"/>
      <c r="S1048" s="589"/>
    </row>
    <row r="1049" spans="1:25" ht="25.5">
      <c r="C1049" s="586" t="s">
        <v>379</v>
      </c>
      <c r="D1049" s="587"/>
      <c r="E1049" s="590" t="s">
        <v>380</v>
      </c>
      <c r="F1049" s="591"/>
      <c r="G1049" s="392">
        <f>+[42]DATOS!E$5</f>
        <v>2026</v>
      </c>
      <c r="H1049" s="393" t="s">
        <v>381</v>
      </c>
      <c r="I1049" s="394">
        <f>+[42]DATOS!E$5</f>
        <v>2026</v>
      </c>
      <c r="J1049" s="395"/>
      <c r="K1049" s="568" t="s">
        <v>382</v>
      </c>
      <c r="L1049" s="568"/>
      <c r="M1049" s="588" t="s">
        <v>383</v>
      </c>
      <c r="N1049" s="588"/>
      <c r="O1049" s="588"/>
      <c r="P1049" s="588"/>
      <c r="Q1049" s="588"/>
      <c r="R1049" s="588"/>
      <c r="S1049" s="589"/>
    </row>
    <row r="1050" spans="1:25">
      <c r="C1050" s="396"/>
      <c r="D1050" s="397"/>
      <c r="E1050" s="397"/>
      <c r="F1050" s="398"/>
      <c r="G1050" s="398"/>
      <c r="H1050" s="398"/>
      <c r="I1050" s="398"/>
      <c r="J1050" s="398"/>
      <c r="K1050" s="398"/>
      <c r="L1050" s="398"/>
      <c r="M1050" s="398"/>
      <c r="N1050" s="398"/>
      <c r="O1050" s="398"/>
      <c r="P1050" s="398"/>
      <c r="Q1050" s="398"/>
      <c r="R1050" s="398"/>
      <c r="S1050" s="399"/>
    </row>
    <row r="1051" spans="1:25">
      <c r="C1051" s="572" t="s">
        <v>384</v>
      </c>
      <c r="D1051" s="573"/>
      <c r="E1051" s="573"/>
      <c r="F1051" s="573"/>
      <c r="G1051" s="573"/>
      <c r="H1051" s="573"/>
      <c r="I1051" s="573"/>
      <c r="J1051" s="573"/>
      <c r="K1051" s="573"/>
      <c r="L1051" s="573"/>
      <c r="M1051" s="573"/>
      <c r="N1051" s="573"/>
      <c r="O1051" s="573"/>
      <c r="P1051" s="573"/>
      <c r="Q1051" s="573"/>
      <c r="R1051" s="573"/>
      <c r="S1051" s="574"/>
    </row>
    <row r="1052" spans="1:25">
      <c r="C1052" s="396"/>
      <c r="D1052" s="397"/>
      <c r="E1052" s="397"/>
      <c r="F1052" s="398"/>
      <c r="G1052" s="398"/>
      <c r="H1052" s="398"/>
      <c r="I1052" s="398"/>
      <c r="J1052" s="398"/>
      <c r="K1052" s="398"/>
      <c r="L1052" s="398"/>
      <c r="M1052" s="398"/>
      <c r="N1052" s="398"/>
      <c r="O1052" s="398"/>
      <c r="P1052" s="398"/>
      <c r="Q1052" s="398"/>
      <c r="R1052" s="398"/>
      <c r="S1052" s="399"/>
    </row>
    <row r="1053" spans="1:25">
      <c r="C1053" s="400" t="s">
        <v>385</v>
      </c>
      <c r="D1053" s="575" t="s">
        <v>386</v>
      </c>
      <c r="E1053" s="575"/>
      <c r="F1053" s="576" t="s">
        <v>387</v>
      </c>
      <c r="G1053" s="577"/>
      <c r="H1053" s="577"/>
      <c r="I1053" s="576" t="s">
        <v>388</v>
      </c>
      <c r="J1053" s="576" t="s">
        <v>389</v>
      </c>
      <c r="K1053" s="579"/>
      <c r="L1053" s="581" t="s">
        <v>390</v>
      </c>
      <c r="M1053" s="581"/>
      <c r="N1053" s="581"/>
      <c r="O1053" s="581"/>
      <c r="P1053" s="581"/>
      <c r="Q1053" s="581"/>
      <c r="R1053" s="581" t="s">
        <v>391</v>
      </c>
      <c r="S1053" s="582"/>
    </row>
    <row r="1054" spans="1:25" ht="38.25">
      <c r="C1054" s="403">
        <f>+'PRESUPUESTO OFICIAL '!C81</f>
        <v>7.02</v>
      </c>
      <c r="D1054" s="583" t="str">
        <f>+VLOOKUP(C1054,'PRESUPUESTO OFICIAL '!$C$11:$H$103,2)</f>
        <v>SUMINISTRO E INSTALACIÓN DE TUBO RECTANGULAR DE 4X 2" CAL. 14</v>
      </c>
      <c r="E1054" s="584"/>
      <c r="F1054" s="585" t="str">
        <f>+VLOOKUP(C1054,'PRESUPUESTO OFICIAL '!$C$11:$H$103,3)</f>
        <v>M</v>
      </c>
      <c r="G1054" s="585"/>
      <c r="H1054" s="585"/>
      <c r="I1054" s="578"/>
      <c r="J1054" s="578"/>
      <c r="K1054" s="580"/>
      <c r="L1054" s="401" t="s">
        <v>392</v>
      </c>
      <c r="M1054" s="401" t="s">
        <v>393</v>
      </c>
      <c r="N1054" s="401" t="s">
        <v>394</v>
      </c>
      <c r="O1054" s="401" t="s">
        <v>395</v>
      </c>
      <c r="P1054" s="401" t="s">
        <v>396</v>
      </c>
      <c r="Q1054" s="401" t="s">
        <v>397</v>
      </c>
      <c r="R1054" s="401" t="s">
        <v>398</v>
      </c>
      <c r="S1054" s="402" t="s">
        <v>399</v>
      </c>
      <c r="U1054" s="404">
        <f>+C1054</f>
        <v>7.02</v>
      </c>
      <c r="V1054" s="405">
        <f>+S1102</f>
        <v>193.71</v>
      </c>
    </row>
    <row r="1055" spans="1:25">
      <c r="C1055" s="406"/>
      <c r="D1055" s="407"/>
      <c r="E1055" s="407"/>
      <c r="F1055" s="407"/>
      <c r="G1055" s="407"/>
      <c r="H1055" s="407"/>
      <c r="I1055" s="558"/>
      <c r="J1055" s="559"/>
      <c r="K1055" s="560"/>
      <c r="L1055" s="560"/>
      <c r="M1055" s="560"/>
      <c r="N1055" s="560"/>
      <c r="O1055" s="560"/>
      <c r="P1055" s="560"/>
      <c r="Q1055" s="560"/>
      <c r="R1055" s="560"/>
      <c r="S1055" s="561"/>
    </row>
    <row r="1056" spans="1:25">
      <c r="A1056" s="383">
        <v>1</v>
      </c>
      <c r="C1056" s="406"/>
      <c r="D1056" s="407"/>
      <c r="E1056" s="407"/>
      <c r="F1056" s="407"/>
      <c r="G1056" s="407"/>
      <c r="H1056" s="407"/>
      <c r="I1056" s="408" t="s">
        <v>400</v>
      </c>
      <c r="J1056" s="409" t="str">
        <f t="shared" ref="J1056:J1098" si="210">+VLOOKUP(K1056,$AH$22:$AJ$58,2,)</f>
        <v>M=(Largo) x Cant</v>
      </c>
      <c r="K1056" s="410" t="str">
        <f>+F1054</f>
        <v>M</v>
      </c>
      <c r="L1056" s="411"/>
      <c r="M1056" s="412"/>
      <c r="N1056" s="442"/>
      <c r="O1056" s="442">
        <f>IF(S1056=0,"",S1056)</f>
        <v>12.900000000000002</v>
      </c>
      <c r="P1056" s="413"/>
      <c r="Q1056" s="411"/>
      <c r="R1056" s="413">
        <f>IF(S1056=0,"",1)</f>
        <v>1</v>
      </c>
      <c r="S1056" s="414">
        <f>+HLOOKUP(A1056,[238]Hoja1!$2:$78,64,FALSE)</f>
        <v>12.900000000000002</v>
      </c>
      <c r="X1056" s="458">
        <f t="shared" ref="X1056" si="211">+N1056*O1056*P1056</f>
        <v>0</v>
      </c>
      <c r="Y1056" s="471">
        <f t="shared" ref="Y1056" si="212">+X1056-Q1056</f>
        <v>0</v>
      </c>
    </row>
    <row r="1057" spans="1:25">
      <c r="A1057" s="383">
        <v>2</v>
      </c>
      <c r="C1057" s="406"/>
      <c r="D1057" s="407"/>
      <c r="E1057" s="407"/>
      <c r="F1057" s="407"/>
      <c r="G1057" s="407"/>
      <c r="H1057" s="407"/>
      <c r="I1057" s="408" t="s">
        <v>401</v>
      </c>
      <c r="J1057" s="409" t="str">
        <f t="shared" si="210"/>
        <v>M=(Largo) x Cant</v>
      </c>
      <c r="K1057" s="410" t="str">
        <f>+K1056</f>
        <v>M</v>
      </c>
      <c r="L1057" s="411"/>
      <c r="M1057" s="412"/>
      <c r="N1057" s="442"/>
      <c r="O1057" s="442" t="str">
        <f t="shared" ref="O1057:O1098" si="213">IF(S1057=0,"",S1057)</f>
        <v/>
      </c>
      <c r="P1057" s="413"/>
      <c r="Q1057" s="411"/>
      <c r="R1057" s="413" t="str">
        <f t="shared" ref="R1057:R1098" si="214">IF(S1057=0,"",1)</f>
        <v/>
      </c>
      <c r="S1057" s="414">
        <f>+HLOOKUP(A1057,[238]Hoja1!$2:$78,64,FALSE)</f>
        <v>0</v>
      </c>
      <c r="X1057" s="458">
        <f>+L1057*P1057</f>
        <v>0</v>
      </c>
      <c r="Y1057" s="471">
        <f>+X1057-Q1057</f>
        <v>0</v>
      </c>
    </row>
    <row r="1058" spans="1:25">
      <c r="A1058" s="383">
        <v>3</v>
      </c>
      <c r="C1058" s="406"/>
      <c r="D1058" s="407"/>
      <c r="E1058" s="407"/>
      <c r="F1058" s="407"/>
      <c r="G1058" s="407"/>
      <c r="H1058" s="407"/>
      <c r="I1058" s="408" t="s">
        <v>402</v>
      </c>
      <c r="J1058" s="409" t="str">
        <f t="shared" si="210"/>
        <v>M=(Largo) x Cant</v>
      </c>
      <c r="K1058" s="410" t="str">
        <f>+K1057</f>
        <v>M</v>
      </c>
      <c r="L1058" s="411"/>
      <c r="M1058" s="412"/>
      <c r="N1058" s="442"/>
      <c r="O1058" s="442" t="str">
        <f t="shared" si="213"/>
        <v/>
      </c>
      <c r="P1058" s="413"/>
      <c r="Q1058" s="411"/>
      <c r="R1058" s="413" t="str">
        <f t="shared" si="214"/>
        <v/>
      </c>
      <c r="S1058" s="414">
        <f>+HLOOKUP(A1058,[238]Hoja1!$2:$78,64,FALSE)</f>
        <v>0</v>
      </c>
      <c r="X1058" s="458">
        <f t="shared" ref="X1058:X1060" si="215">+L1058*P1058</f>
        <v>0</v>
      </c>
      <c r="Y1058" s="471">
        <f t="shared" ref="Y1058:Y1060" si="216">+X1058-Q1058</f>
        <v>0</v>
      </c>
    </row>
    <row r="1059" spans="1:25">
      <c r="A1059" s="383">
        <v>4</v>
      </c>
      <c r="C1059" s="406"/>
      <c r="D1059" s="407"/>
      <c r="E1059" s="407"/>
      <c r="F1059" s="407"/>
      <c r="G1059" s="407"/>
      <c r="H1059" s="407"/>
      <c r="I1059" s="408" t="s">
        <v>403</v>
      </c>
      <c r="J1059" s="409" t="str">
        <f t="shared" si="210"/>
        <v>M=(Largo) x Cant</v>
      </c>
      <c r="K1059" s="410" t="str">
        <f>+K1058</f>
        <v>M</v>
      </c>
      <c r="L1059" s="411"/>
      <c r="M1059" s="412"/>
      <c r="N1059" s="442"/>
      <c r="O1059" s="442" t="str">
        <f t="shared" si="213"/>
        <v/>
      </c>
      <c r="P1059" s="413"/>
      <c r="Q1059" s="411"/>
      <c r="R1059" s="413" t="str">
        <f t="shared" si="214"/>
        <v/>
      </c>
      <c r="S1059" s="414">
        <f>+HLOOKUP(A1059,[238]Hoja1!$2:$78,64,FALSE)</f>
        <v>0</v>
      </c>
      <c r="X1059" s="458">
        <f t="shared" si="215"/>
        <v>0</v>
      </c>
      <c r="Y1059" s="471">
        <f t="shared" si="216"/>
        <v>0</v>
      </c>
    </row>
    <row r="1060" spans="1:25">
      <c r="A1060" s="383">
        <v>5</v>
      </c>
      <c r="C1060" s="406"/>
      <c r="D1060" s="407"/>
      <c r="E1060" s="407"/>
      <c r="F1060" s="407"/>
      <c r="G1060" s="407"/>
      <c r="H1060" s="407"/>
      <c r="I1060" s="408" t="s">
        <v>405</v>
      </c>
      <c r="J1060" s="409" t="str">
        <f t="shared" si="210"/>
        <v>M=(Largo) x Cant</v>
      </c>
      <c r="K1060" s="410" t="str">
        <f>+K1059</f>
        <v>M</v>
      </c>
      <c r="L1060" s="411"/>
      <c r="M1060" s="412"/>
      <c r="N1060" s="442"/>
      <c r="O1060" s="442" t="str">
        <f t="shared" si="213"/>
        <v/>
      </c>
      <c r="P1060" s="413"/>
      <c r="Q1060" s="411"/>
      <c r="R1060" s="413" t="str">
        <f t="shared" si="214"/>
        <v/>
      </c>
      <c r="S1060" s="414">
        <f>+HLOOKUP(A1060,[238]Hoja1!$2:$78,64,FALSE)</f>
        <v>0</v>
      </c>
      <c r="X1060" s="458">
        <f t="shared" si="215"/>
        <v>0</v>
      </c>
      <c r="Y1060" s="471">
        <f t="shared" si="216"/>
        <v>0</v>
      </c>
    </row>
    <row r="1061" spans="1:25">
      <c r="A1061" s="383">
        <v>6</v>
      </c>
      <c r="C1061" s="406"/>
      <c r="D1061" s="407"/>
      <c r="E1061" s="407"/>
      <c r="F1061" s="407"/>
      <c r="G1061" s="407"/>
      <c r="H1061" s="407"/>
      <c r="I1061" s="408" t="s">
        <v>407</v>
      </c>
      <c r="J1061" s="409" t="str">
        <f t="shared" si="210"/>
        <v>M=(Largo) x Cant</v>
      </c>
      <c r="K1061" s="410" t="str">
        <f>+K1060</f>
        <v>M</v>
      </c>
      <c r="L1061" s="411"/>
      <c r="M1061" s="412"/>
      <c r="N1061" s="442"/>
      <c r="O1061" s="442" t="str">
        <f t="shared" si="213"/>
        <v/>
      </c>
      <c r="P1061" s="413"/>
      <c r="Q1061" s="411"/>
      <c r="R1061" s="413" t="str">
        <f t="shared" si="214"/>
        <v/>
      </c>
      <c r="S1061" s="414">
        <f>+HLOOKUP(A1061,[238]Hoja1!$2:$78,64,FALSE)</f>
        <v>0</v>
      </c>
      <c r="X1061" s="458">
        <f>+L1061*P1061</f>
        <v>0</v>
      </c>
      <c r="Y1061" s="471">
        <f>+X1061-Q1061</f>
        <v>0</v>
      </c>
    </row>
    <row r="1062" spans="1:25">
      <c r="A1062" s="383">
        <v>7</v>
      </c>
      <c r="C1062" s="406"/>
      <c r="D1062" s="407"/>
      <c r="E1062" s="407"/>
      <c r="F1062" s="407"/>
      <c r="G1062" s="407"/>
      <c r="H1062" s="407"/>
      <c r="I1062" s="408" t="s">
        <v>409</v>
      </c>
      <c r="J1062" s="409" t="str">
        <f t="shared" si="210"/>
        <v>M=(Largo) x Cant</v>
      </c>
      <c r="K1062" s="410" t="str">
        <f>+K1056</f>
        <v>M</v>
      </c>
      <c r="L1062" s="411"/>
      <c r="M1062" s="412"/>
      <c r="N1062" s="442"/>
      <c r="O1062" s="442">
        <f t="shared" si="213"/>
        <v>20.88</v>
      </c>
      <c r="P1062" s="413"/>
      <c r="Q1062" s="411"/>
      <c r="R1062" s="413">
        <f t="shared" si="214"/>
        <v>1</v>
      </c>
      <c r="S1062" s="414">
        <f>+HLOOKUP(A1062,[238]Hoja1!$2:$78,64,FALSE)</f>
        <v>20.88</v>
      </c>
      <c r="X1062" s="458">
        <f t="shared" ref="X1062:X1098" si="217">+L1062*P1062</f>
        <v>0</v>
      </c>
      <c r="Y1062" s="471">
        <f t="shared" ref="Y1062:Y1098" si="218">+X1062-Q1062</f>
        <v>0</v>
      </c>
    </row>
    <row r="1063" spans="1:25">
      <c r="A1063" s="383">
        <v>8</v>
      </c>
      <c r="C1063" s="406"/>
      <c r="D1063" s="407"/>
      <c r="E1063" s="407"/>
      <c r="F1063" s="407"/>
      <c r="G1063" s="407"/>
      <c r="H1063" s="407"/>
      <c r="I1063" s="408" t="s">
        <v>411</v>
      </c>
      <c r="J1063" s="409" t="str">
        <f t="shared" si="210"/>
        <v>M=(Largo) x Cant</v>
      </c>
      <c r="K1063" s="410" t="str">
        <f>+K1062</f>
        <v>M</v>
      </c>
      <c r="L1063" s="411"/>
      <c r="M1063" s="412"/>
      <c r="N1063" s="442"/>
      <c r="O1063" s="442" t="str">
        <f t="shared" si="213"/>
        <v/>
      </c>
      <c r="P1063" s="413"/>
      <c r="Q1063" s="411"/>
      <c r="R1063" s="413" t="str">
        <f t="shared" si="214"/>
        <v/>
      </c>
      <c r="S1063" s="414">
        <f>+HLOOKUP(A1063,[238]Hoja1!$2:$78,64,FALSE)</f>
        <v>0</v>
      </c>
      <c r="X1063" s="458">
        <f t="shared" si="217"/>
        <v>0</v>
      </c>
      <c r="Y1063" s="471">
        <f t="shared" si="218"/>
        <v>0</v>
      </c>
    </row>
    <row r="1064" spans="1:25">
      <c r="A1064" s="383">
        <v>9</v>
      </c>
      <c r="C1064" s="406"/>
      <c r="D1064" s="407"/>
      <c r="E1064" s="407"/>
      <c r="F1064" s="407"/>
      <c r="G1064" s="407"/>
      <c r="H1064" s="407"/>
      <c r="I1064" s="408" t="s">
        <v>412</v>
      </c>
      <c r="J1064" s="409" t="str">
        <f t="shared" si="210"/>
        <v>M=(Largo) x Cant</v>
      </c>
      <c r="K1064" s="410" t="str">
        <f>+K1063</f>
        <v>M</v>
      </c>
      <c r="L1064" s="411"/>
      <c r="M1064" s="412"/>
      <c r="N1064" s="442"/>
      <c r="O1064" s="442" t="str">
        <f t="shared" si="213"/>
        <v/>
      </c>
      <c r="P1064" s="413"/>
      <c r="Q1064" s="411"/>
      <c r="R1064" s="413" t="str">
        <f t="shared" si="214"/>
        <v/>
      </c>
      <c r="S1064" s="414">
        <f>+HLOOKUP(A1064,[238]Hoja1!$2:$78,64,FALSE)</f>
        <v>0</v>
      </c>
      <c r="X1064" s="458">
        <f t="shared" si="217"/>
        <v>0</v>
      </c>
      <c r="Y1064" s="471">
        <f t="shared" si="218"/>
        <v>0</v>
      </c>
    </row>
    <row r="1065" spans="1:25">
      <c r="A1065" s="383">
        <v>10</v>
      </c>
      <c r="C1065" s="406"/>
      <c r="D1065" s="407"/>
      <c r="E1065" s="407"/>
      <c r="F1065" s="407"/>
      <c r="G1065" s="407"/>
      <c r="H1065" s="407"/>
      <c r="I1065" s="408" t="s">
        <v>413</v>
      </c>
      <c r="J1065" s="409" t="str">
        <f t="shared" si="210"/>
        <v>M=(Largo) x Cant</v>
      </c>
      <c r="K1065" s="410" t="str">
        <f>+K1064</f>
        <v>M</v>
      </c>
      <c r="L1065" s="411"/>
      <c r="M1065" s="412"/>
      <c r="N1065" s="441"/>
      <c r="O1065" s="442">
        <f t="shared" si="213"/>
        <v>9.8999999999999986</v>
      </c>
      <c r="P1065" s="412"/>
      <c r="Q1065" s="411"/>
      <c r="R1065" s="413">
        <f t="shared" si="214"/>
        <v>1</v>
      </c>
      <c r="S1065" s="414">
        <f>+HLOOKUP(A1065,[238]Hoja1!$2:$78,64,FALSE)</f>
        <v>9.8999999999999986</v>
      </c>
      <c r="X1065" s="458">
        <f t="shared" si="217"/>
        <v>0</v>
      </c>
      <c r="Y1065" s="471">
        <f t="shared" si="218"/>
        <v>0</v>
      </c>
    </row>
    <row r="1066" spans="1:25">
      <c r="A1066" s="383">
        <v>11</v>
      </c>
      <c r="C1066" s="406"/>
      <c r="D1066" s="407"/>
      <c r="E1066" s="407"/>
      <c r="F1066" s="407"/>
      <c r="G1066" s="407"/>
      <c r="H1066" s="407"/>
      <c r="I1066" s="408" t="s">
        <v>414</v>
      </c>
      <c r="J1066" s="409" t="str">
        <f t="shared" si="210"/>
        <v>M=(Largo) x Cant</v>
      </c>
      <c r="K1066" s="410" t="str">
        <f>+K1065</f>
        <v>M</v>
      </c>
      <c r="L1066" s="411"/>
      <c r="M1066" s="412"/>
      <c r="N1066" s="443"/>
      <c r="O1066" s="442" t="str">
        <f t="shared" si="213"/>
        <v/>
      </c>
      <c r="P1066" s="412"/>
      <c r="Q1066" s="411"/>
      <c r="R1066" s="413" t="str">
        <f t="shared" si="214"/>
        <v/>
      </c>
      <c r="S1066" s="414">
        <f>+HLOOKUP(A1066,[238]Hoja1!$2:$78,64,FALSE)</f>
        <v>0</v>
      </c>
      <c r="X1066" s="458">
        <f t="shared" si="217"/>
        <v>0</v>
      </c>
      <c r="Y1066" s="471">
        <f t="shared" si="218"/>
        <v>0</v>
      </c>
    </row>
    <row r="1067" spans="1:25">
      <c r="A1067" s="383">
        <v>12</v>
      </c>
      <c r="C1067" s="406"/>
      <c r="D1067" s="407"/>
      <c r="E1067" s="407"/>
      <c r="F1067" s="407"/>
      <c r="G1067" s="407"/>
      <c r="H1067" s="407"/>
      <c r="I1067" s="408" t="s">
        <v>415</v>
      </c>
      <c r="J1067" s="409" t="str">
        <f t="shared" si="210"/>
        <v>M=(Largo) x Cant</v>
      </c>
      <c r="K1067" s="410" t="str">
        <f>+K1061</f>
        <v>M</v>
      </c>
      <c r="L1067" s="411"/>
      <c r="M1067" s="412"/>
      <c r="N1067" s="442"/>
      <c r="O1067" s="442">
        <f t="shared" si="213"/>
        <v>2.25</v>
      </c>
      <c r="P1067" s="413"/>
      <c r="Q1067" s="411"/>
      <c r="R1067" s="413">
        <f t="shared" si="214"/>
        <v>1</v>
      </c>
      <c r="S1067" s="414">
        <f>+HLOOKUP(A1067,[238]Hoja1!$2:$78,64,FALSE)</f>
        <v>2.25</v>
      </c>
      <c r="X1067" s="458">
        <f t="shared" si="217"/>
        <v>0</v>
      </c>
      <c r="Y1067" s="471">
        <f t="shared" si="218"/>
        <v>0</v>
      </c>
    </row>
    <row r="1068" spans="1:25">
      <c r="A1068" s="383">
        <v>13</v>
      </c>
      <c r="C1068" s="406"/>
      <c r="D1068" s="407"/>
      <c r="E1068" s="407"/>
      <c r="F1068" s="407"/>
      <c r="G1068" s="407"/>
      <c r="H1068" s="407"/>
      <c r="I1068" s="408" t="s">
        <v>416</v>
      </c>
      <c r="J1068" s="409" t="str">
        <f t="shared" si="210"/>
        <v>M=(Largo) x Cant</v>
      </c>
      <c r="K1068" s="410" t="str">
        <f>+K1063</f>
        <v>M</v>
      </c>
      <c r="L1068" s="411"/>
      <c r="M1068" s="412"/>
      <c r="N1068" s="442"/>
      <c r="O1068" s="442">
        <f t="shared" si="213"/>
        <v>7.2</v>
      </c>
      <c r="P1068" s="413"/>
      <c r="Q1068" s="411"/>
      <c r="R1068" s="413">
        <f t="shared" si="214"/>
        <v>1</v>
      </c>
      <c r="S1068" s="414">
        <f>+HLOOKUP(A1068,[238]Hoja1!$2:$78,64,FALSE)</f>
        <v>7.2</v>
      </c>
      <c r="X1068" s="458">
        <f t="shared" si="217"/>
        <v>0</v>
      </c>
      <c r="Y1068" s="471">
        <f t="shared" si="218"/>
        <v>0</v>
      </c>
    </row>
    <row r="1069" spans="1:25">
      <c r="A1069" s="383">
        <v>14</v>
      </c>
      <c r="C1069" s="406"/>
      <c r="D1069" s="407"/>
      <c r="E1069" s="407"/>
      <c r="F1069" s="407"/>
      <c r="G1069" s="407"/>
      <c r="H1069" s="407"/>
      <c r="I1069" s="408" t="s">
        <v>417</v>
      </c>
      <c r="J1069" s="409" t="str">
        <f t="shared" si="210"/>
        <v>M=(Largo) x Cant</v>
      </c>
      <c r="K1069" s="410" t="str">
        <f t="shared" ref="K1069:K1080" si="219">+K1068</f>
        <v>M</v>
      </c>
      <c r="L1069" s="411"/>
      <c r="M1069" s="412"/>
      <c r="N1069" s="442"/>
      <c r="O1069" s="442" t="str">
        <f t="shared" si="213"/>
        <v/>
      </c>
      <c r="P1069" s="413"/>
      <c r="Q1069" s="411"/>
      <c r="R1069" s="413" t="str">
        <f t="shared" si="214"/>
        <v/>
      </c>
      <c r="S1069" s="414">
        <f>+HLOOKUP(A1069,[238]Hoja1!$2:$78,64,FALSE)</f>
        <v>0</v>
      </c>
      <c r="X1069" s="458">
        <f t="shared" si="217"/>
        <v>0</v>
      </c>
      <c r="Y1069" s="471">
        <f t="shared" si="218"/>
        <v>0</v>
      </c>
    </row>
    <row r="1070" spans="1:25">
      <c r="A1070" s="383">
        <v>15</v>
      </c>
      <c r="C1070" s="406"/>
      <c r="D1070" s="407"/>
      <c r="E1070" s="407"/>
      <c r="F1070" s="407"/>
      <c r="G1070" s="407"/>
      <c r="H1070" s="407"/>
      <c r="I1070" s="408" t="s">
        <v>418</v>
      </c>
      <c r="J1070" s="409" t="str">
        <f t="shared" si="210"/>
        <v>M=(Largo) x Cant</v>
      </c>
      <c r="K1070" s="410" t="str">
        <f t="shared" si="219"/>
        <v>M</v>
      </c>
      <c r="L1070" s="411"/>
      <c r="M1070" s="412"/>
      <c r="N1070" s="442"/>
      <c r="O1070" s="442">
        <f t="shared" si="213"/>
        <v>17.7</v>
      </c>
      <c r="P1070" s="449"/>
      <c r="Q1070" s="411"/>
      <c r="R1070" s="413">
        <f t="shared" si="214"/>
        <v>1</v>
      </c>
      <c r="S1070" s="414">
        <f>+HLOOKUP(A1070,[238]Hoja1!$2:$78,64,FALSE)</f>
        <v>17.7</v>
      </c>
      <c r="X1070" s="458">
        <f t="shared" si="217"/>
        <v>0</v>
      </c>
      <c r="Y1070" s="471">
        <f t="shared" si="218"/>
        <v>0</v>
      </c>
    </row>
    <row r="1071" spans="1:25">
      <c r="A1071" s="383">
        <v>16</v>
      </c>
      <c r="C1071" s="406"/>
      <c r="D1071" s="407"/>
      <c r="E1071" s="407"/>
      <c r="F1071" s="407"/>
      <c r="G1071" s="407"/>
      <c r="H1071" s="407"/>
      <c r="I1071" s="408" t="s">
        <v>419</v>
      </c>
      <c r="J1071" s="409" t="str">
        <f t="shared" si="210"/>
        <v>M=(Largo) x Cant</v>
      </c>
      <c r="K1071" s="410" t="str">
        <f t="shared" si="219"/>
        <v>M</v>
      </c>
      <c r="L1071" s="411"/>
      <c r="M1071" s="412"/>
      <c r="N1071" s="442"/>
      <c r="O1071" s="442" t="str">
        <f t="shared" si="213"/>
        <v/>
      </c>
      <c r="P1071" s="449"/>
      <c r="Q1071" s="411"/>
      <c r="R1071" s="413" t="str">
        <f t="shared" si="214"/>
        <v/>
      </c>
      <c r="S1071" s="414">
        <f>+HLOOKUP(A1071,[238]Hoja1!$2:$78,64,FALSE)</f>
        <v>0</v>
      </c>
      <c r="X1071" s="458">
        <f t="shared" si="217"/>
        <v>0</v>
      </c>
      <c r="Y1071" s="471">
        <f t="shared" si="218"/>
        <v>0</v>
      </c>
    </row>
    <row r="1072" spans="1:25">
      <c r="A1072" s="383">
        <v>17</v>
      </c>
      <c r="C1072" s="406"/>
      <c r="D1072" s="407"/>
      <c r="E1072" s="407"/>
      <c r="F1072" s="407"/>
      <c r="G1072" s="407"/>
      <c r="H1072" s="407"/>
      <c r="I1072" s="408" t="s">
        <v>420</v>
      </c>
      <c r="J1072" s="409" t="str">
        <f t="shared" si="210"/>
        <v>M=(Largo) x Cant</v>
      </c>
      <c r="K1072" s="410" t="str">
        <f t="shared" si="219"/>
        <v>M</v>
      </c>
      <c r="L1072" s="411"/>
      <c r="M1072" s="412"/>
      <c r="N1072" s="442"/>
      <c r="O1072" s="442" t="str">
        <f t="shared" si="213"/>
        <v/>
      </c>
      <c r="P1072" s="448"/>
      <c r="Q1072" s="411"/>
      <c r="R1072" s="413" t="str">
        <f t="shared" si="214"/>
        <v/>
      </c>
      <c r="S1072" s="414">
        <f>+HLOOKUP(A1072,[238]Hoja1!$2:$78,64,FALSE)</f>
        <v>0</v>
      </c>
      <c r="V1072" s="383" t="e">
        <f>+P1072*O1072*N1072</f>
        <v>#VALUE!</v>
      </c>
      <c r="X1072" s="458">
        <f t="shared" si="217"/>
        <v>0</v>
      </c>
      <c r="Y1072" s="471">
        <f t="shared" si="218"/>
        <v>0</v>
      </c>
    </row>
    <row r="1073" spans="1:25">
      <c r="A1073" s="383">
        <v>18</v>
      </c>
      <c r="C1073" s="406"/>
      <c r="D1073" s="407"/>
      <c r="E1073" s="407"/>
      <c r="F1073" s="407"/>
      <c r="G1073" s="407"/>
      <c r="H1073" s="407"/>
      <c r="I1073" s="408" t="s">
        <v>429</v>
      </c>
      <c r="J1073" s="409" t="str">
        <f t="shared" si="210"/>
        <v>M=(Largo) x Cant</v>
      </c>
      <c r="K1073" s="410" t="str">
        <f t="shared" si="219"/>
        <v>M</v>
      </c>
      <c r="L1073" s="411"/>
      <c r="M1073" s="412"/>
      <c r="N1073" s="442"/>
      <c r="O1073" s="442" t="str">
        <f t="shared" si="213"/>
        <v/>
      </c>
      <c r="P1073" s="413"/>
      <c r="Q1073" s="411"/>
      <c r="R1073" s="413" t="str">
        <f t="shared" si="214"/>
        <v/>
      </c>
      <c r="S1073" s="414">
        <f>+HLOOKUP(A1073,[238]Hoja1!$2:$78,64,FALSE)</f>
        <v>0</v>
      </c>
      <c r="X1073" s="458">
        <f t="shared" si="217"/>
        <v>0</v>
      </c>
      <c r="Y1073" s="471">
        <f t="shared" si="218"/>
        <v>0</v>
      </c>
    </row>
    <row r="1074" spans="1:25">
      <c r="A1074" s="383">
        <v>19</v>
      </c>
      <c r="C1074" s="406"/>
      <c r="D1074" s="407"/>
      <c r="E1074" s="407"/>
      <c r="F1074" s="407"/>
      <c r="G1074" s="407"/>
      <c r="H1074" s="407"/>
      <c r="I1074" s="408" t="s">
        <v>430</v>
      </c>
      <c r="J1074" s="409" t="str">
        <f t="shared" si="210"/>
        <v>M=(Largo) x Cant</v>
      </c>
      <c r="K1074" s="410" t="str">
        <f t="shared" si="219"/>
        <v>M</v>
      </c>
      <c r="L1074" s="411"/>
      <c r="M1074" s="412"/>
      <c r="N1074" s="442"/>
      <c r="O1074" s="442" t="str">
        <f t="shared" si="213"/>
        <v/>
      </c>
      <c r="P1074" s="448"/>
      <c r="Q1074" s="411"/>
      <c r="R1074" s="413" t="str">
        <f t="shared" si="214"/>
        <v/>
      </c>
      <c r="S1074" s="414">
        <f>+HLOOKUP(A1074,[238]Hoja1!$2:$78,64,FALSE)</f>
        <v>0</v>
      </c>
      <c r="X1074" s="458">
        <f t="shared" si="217"/>
        <v>0</v>
      </c>
      <c r="Y1074" s="471">
        <f t="shared" si="218"/>
        <v>0</v>
      </c>
    </row>
    <row r="1075" spans="1:25">
      <c r="A1075" s="383">
        <v>20</v>
      </c>
      <c r="C1075" s="406"/>
      <c r="D1075" s="407"/>
      <c r="E1075" s="407"/>
      <c r="F1075" s="407"/>
      <c r="G1075" s="407"/>
      <c r="H1075" s="407"/>
      <c r="I1075" s="408" t="s">
        <v>431</v>
      </c>
      <c r="J1075" s="409" t="str">
        <f t="shared" si="210"/>
        <v>M=(Largo) x Cant</v>
      </c>
      <c r="K1075" s="410" t="str">
        <f t="shared" si="219"/>
        <v>M</v>
      </c>
      <c r="L1075" s="411"/>
      <c r="M1075" s="412"/>
      <c r="N1075" s="442"/>
      <c r="O1075" s="442" t="str">
        <f t="shared" si="213"/>
        <v/>
      </c>
      <c r="P1075" s="413"/>
      <c r="Q1075" s="411"/>
      <c r="R1075" s="413" t="str">
        <f t="shared" si="214"/>
        <v/>
      </c>
      <c r="S1075" s="414">
        <f>+HLOOKUP(A1075,[238]Hoja1!$2:$78,64,FALSE)</f>
        <v>0</v>
      </c>
      <c r="X1075" s="458">
        <f t="shared" si="217"/>
        <v>0</v>
      </c>
      <c r="Y1075" s="471">
        <f t="shared" si="218"/>
        <v>0</v>
      </c>
    </row>
    <row r="1076" spans="1:25">
      <c r="A1076" s="383">
        <v>21</v>
      </c>
      <c r="C1076" s="406"/>
      <c r="D1076" s="407"/>
      <c r="E1076" s="407"/>
      <c r="F1076" s="407"/>
      <c r="G1076" s="407"/>
      <c r="H1076" s="407"/>
      <c r="I1076" s="408" t="s">
        <v>432</v>
      </c>
      <c r="J1076" s="409" t="str">
        <f t="shared" si="210"/>
        <v>M=(Largo) x Cant</v>
      </c>
      <c r="K1076" s="410" t="str">
        <f t="shared" si="219"/>
        <v>M</v>
      </c>
      <c r="L1076" s="411"/>
      <c r="M1076" s="412"/>
      <c r="N1076" s="442"/>
      <c r="O1076" s="442">
        <f t="shared" si="213"/>
        <v>84.399999999999991</v>
      </c>
      <c r="P1076" s="412"/>
      <c r="Q1076" s="411"/>
      <c r="R1076" s="413">
        <f t="shared" si="214"/>
        <v>1</v>
      </c>
      <c r="S1076" s="414">
        <f>+HLOOKUP(A1076,[238]Hoja1!$2:$78,64,FALSE)</f>
        <v>84.399999999999991</v>
      </c>
      <c r="X1076" s="458">
        <f t="shared" si="217"/>
        <v>0</v>
      </c>
      <c r="Y1076" s="471">
        <f t="shared" si="218"/>
        <v>0</v>
      </c>
    </row>
    <row r="1077" spans="1:25">
      <c r="A1077" s="383">
        <v>22</v>
      </c>
      <c r="C1077" s="406"/>
      <c r="D1077" s="407"/>
      <c r="E1077" s="407"/>
      <c r="F1077" s="407"/>
      <c r="G1077" s="407"/>
      <c r="H1077" s="407"/>
      <c r="I1077" s="408" t="s">
        <v>433</v>
      </c>
      <c r="J1077" s="409" t="str">
        <f t="shared" si="210"/>
        <v>M=(Largo) x Cant</v>
      </c>
      <c r="K1077" s="410" t="str">
        <f t="shared" si="219"/>
        <v>M</v>
      </c>
      <c r="L1077" s="411"/>
      <c r="M1077" s="412"/>
      <c r="N1077" s="442"/>
      <c r="O1077" s="442" t="str">
        <f t="shared" si="213"/>
        <v/>
      </c>
      <c r="P1077" s="448"/>
      <c r="Q1077" s="411"/>
      <c r="R1077" s="413" t="str">
        <f t="shared" si="214"/>
        <v/>
      </c>
      <c r="S1077" s="414">
        <f>+HLOOKUP(A1077,[238]Hoja1!$2:$78,64,FALSE)</f>
        <v>0</v>
      </c>
      <c r="X1077" s="458">
        <f t="shared" si="217"/>
        <v>0</v>
      </c>
      <c r="Y1077" s="471">
        <f t="shared" si="218"/>
        <v>0</v>
      </c>
    </row>
    <row r="1078" spans="1:25">
      <c r="A1078" s="383">
        <v>23</v>
      </c>
      <c r="C1078" s="406"/>
      <c r="D1078" s="407"/>
      <c r="E1078" s="407"/>
      <c r="F1078" s="407"/>
      <c r="G1078" s="407"/>
      <c r="H1078" s="407"/>
      <c r="I1078" s="408" t="s">
        <v>434</v>
      </c>
      <c r="J1078" s="409" t="str">
        <f t="shared" si="210"/>
        <v>M=(Largo) x Cant</v>
      </c>
      <c r="K1078" s="410" t="str">
        <f t="shared" si="219"/>
        <v>M</v>
      </c>
      <c r="L1078" s="411"/>
      <c r="M1078" s="412"/>
      <c r="N1078" s="441"/>
      <c r="O1078" s="442">
        <f t="shared" si="213"/>
        <v>10</v>
      </c>
      <c r="P1078" s="412"/>
      <c r="Q1078" s="411"/>
      <c r="R1078" s="413">
        <f t="shared" si="214"/>
        <v>1</v>
      </c>
      <c r="S1078" s="414">
        <f>+HLOOKUP(A1078,[238]Hoja1!$2:$78,64,FALSE)</f>
        <v>10</v>
      </c>
      <c r="X1078" s="458">
        <f t="shared" si="217"/>
        <v>0</v>
      </c>
      <c r="Y1078" s="471">
        <f t="shared" si="218"/>
        <v>0</v>
      </c>
    </row>
    <row r="1079" spans="1:25">
      <c r="A1079" s="383">
        <v>24</v>
      </c>
      <c r="C1079" s="406"/>
      <c r="D1079" s="407"/>
      <c r="E1079" s="407"/>
      <c r="F1079" s="407"/>
      <c r="G1079" s="407"/>
      <c r="H1079" s="407"/>
      <c r="I1079" s="408" t="s">
        <v>435</v>
      </c>
      <c r="J1079" s="409" t="str">
        <f t="shared" si="210"/>
        <v>M=(Largo) x Cant</v>
      </c>
      <c r="K1079" s="410" t="str">
        <f t="shared" si="219"/>
        <v>M</v>
      </c>
      <c r="L1079" s="411"/>
      <c r="M1079" s="412"/>
      <c r="N1079" s="442"/>
      <c r="O1079" s="442" t="str">
        <f t="shared" si="213"/>
        <v/>
      </c>
      <c r="P1079" s="413"/>
      <c r="Q1079" s="411"/>
      <c r="R1079" s="413" t="str">
        <f t="shared" si="214"/>
        <v/>
      </c>
      <c r="S1079" s="414">
        <f>+HLOOKUP(A1079,[238]Hoja1!$2:$78,64,FALSE)</f>
        <v>0</v>
      </c>
      <c r="X1079" s="458">
        <f t="shared" si="217"/>
        <v>0</v>
      </c>
      <c r="Y1079" s="471">
        <f t="shared" si="218"/>
        <v>0</v>
      </c>
    </row>
    <row r="1080" spans="1:25">
      <c r="A1080" s="383">
        <v>25</v>
      </c>
      <c r="C1080" s="406"/>
      <c r="D1080" s="407"/>
      <c r="E1080" s="407"/>
      <c r="F1080" s="407"/>
      <c r="G1080" s="407"/>
      <c r="H1080" s="407"/>
      <c r="I1080" s="408" t="s">
        <v>436</v>
      </c>
      <c r="J1080" s="409" t="str">
        <f t="shared" si="210"/>
        <v>M=(Largo) x Cant</v>
      </c>
      <c r="K1080" s="410" t="str">
        <f t="shared" si="219"/>
        <v>M</v>
      </c>
      <c r="L1080" s="411"/>
      <c r="M1080" s="412"/>
      <c r="N1080" s="442"/>
      <c r="O1080" s="442" t="str">
        <f t="shared" si="213"/>
        <v/>
      </c>
      <c r="P1080" s="450"/>
      <c r="Q1080" s="411"/>
      <c r="R1080" s="413" t="str">
        <f t="shared" si="214"/>
        <v/>
      </c>
      <c r="S1080" s="414">
        <f>+HLOOKUP(A1080,[238]Hoja1!$2:$78,64,FALSE)</f>
        <v>0</v>
      </c>
      <c r="X1080" s="458">
        <f t="shared" si="217"/>
        <v>0</v>
      </c>
      <c r="Y1080" s="471">
        <f t="shared" si="218"/>
        <v>0</v>
      </c>
    </row>
    <row r="1081" spans="1:25">
      <c r="A1081" s="383">
        <v>26</v>
      </c>
      <c r="C1081" s="406"/>
      <c r="D1081" s="407"/>
      <c r="E1081" s="407"/>
      <c r="F1081" s="407"/>
      <c r="G1081" s="407"/>
      <c r="H1081" s="407"/>
      <c r="I1081" s="408" t="s">
        <v>437</v>
      </c>
      <c r="J1081" s="409" t="str">
        <f t="shared" si="210"/>
        <v>M=(Largo) x Cant</v>
      </c>
      <c r="K1081" s="410" t="str">
        <f>+K1070</f>
        <v>M</v>
      </c>
      <c r="L1081" s="411"/>
      <c r="M1081" s="412"/>
      <c r="N1081" s="442"/>
      <c r="O1081" s="442">
        <f t="shared" si="213"/>
        <v>3</v>
      </c>
      <c r="P1081" s="412"/>
      <c r="Q1081" s="411"/>
      <c r="R1081" s="413">
        <f t="shared" si="214"/>
        <v>1</v>
      </c>
      <c r="S1081" s="414">
        <f>+HLOOKUP(A1081,[238]Hoja1!$2:$78,64,FALSE)</f>
        <v>3</v>
      </c>
      <c r="X1081" s="458">
        <f t="shared" si="217"/>
        <v>0</v>
      </c>
      <c r="Y1081" s="471">
        <f t="shared" si="218"/>
        <v>0</v>
      </c>
    </row>
    <row r="1082" spans="1:25">
      <c r="A1082" s="383">
        <v>27</v>
      </c>
      <c r="C1082" s="406"/>
      <c r="D1082" s="407"/>
      <c r="E1082" s="407"/>
      <c r="F1082" s="407"/>
      <c r="G1082" s="407"/>
      <c r="H1082" s="407"/>
      <c r="I1082" s="408" t="s">
        <v>438</v>
      </c>
      <c r="J1082" s="409" t="str">
        <f t="shared" si="210"/>
        <v>M=(Largo) x Cant</v>
      </c>
      <c r="K1082" s="410" t="str">
        <f t="shared" ref="K1082:K1090" si="220">+K1081</f>
        <v>M</v>
      </c>
      <c r="L1082" s="411"/>
      <c r="M1082" s="412"/>
      <c r="N1082" s="442"/>
      <c r="O1082" s="442" t="str">
        <f t="shared" si="213"/>
        <v/>
      </c>
      <c r="P1082" s="448"/>
      <c r="Q1082" s="411"/>
      <c r="R1082" s="413" t="str">
        <f t="shared" si="214"/>
        <v/>
      </c>
      <c r="S1082" s="414">
        <f>+HLOOKUP(A1082,[238]Hoja1!$2:$78,64,FALSE)</f>
        <v>0</v>
      </c>
      <c r="X1082" s="458">
        <f t="shared" si="217"/>
        <v>0</v>
      </c>
      <c r="Y1082" s="471">
        <f t="shared" si="218"/>
        <v>0</v>
      </c>
    </row>
    <row r="1083" spans="1:25">
      <c r="A1083" s="383">
        <v>28</v>
      </c>
      <c r="C1083" s="406"/>
      <c r="D1083" s="440"/>
      <c r="E1083" s="407"/>
      <c r="F1083" s="407"/>
      <c r="G1083" s="407"/>
      <c r="H1083" s="437"/>
      <c r="I1083" s="408" t="s">
        <v>439</v>
      </c>
      <c r="J1083" s="409" t="str">
        <f t="shared" si="210"/>
        <v>M=(Largo) x Cant</v>
      </c>
      <c r="K1083" s="410" t="str">
        <f t="shared" si="220"/>
        <v>M</v>
      </c>
      <c r="L1083" s="411"/>
      <c r="M1083" s="412"/>
      <c r="N1083" s="442"/>
      <c r="O1083" s="442">
        <f t="shared" si="213"/>
        <v>5.35</v>
      </c>
      <c r="P1083" s="413"/>
      <c r="Q1083" s="411"/>
      <c r="R1083" s="413">
        <f t="shared" si="214"/>
        <v>1</v>
      </c>
      <c r="S1083" s="414">
        <f>+HLOOKUP(A1083,[238]Hoja1!$2:$78,64,FALSE)</f>
        <v>5.35</v>
      </c>
      <c r="X1083" s="458">
        <f t="shared" si="217"/>
        <v>0</v>
      </c>
      <c r="Y1083" s="471">
        <f t="shared" si="218"/>
        <v>0</v>
      </c>
    </row>
    <row r="1084" spans="1:25">
      <c r="A1084" s="383">
        <v>29</v>
      </c>
      <c r="C1084" s="406"/>
      <c r="D1084" s="407"/>
      <c r="E1084" s="407"/>
      <c r="F1084" s="407"/>
      <c r="G1084" s="407"/>
      <c r="H1084" s="407"/>
      <c r="I1084" s="408" t="s">
        <v>440</v>
      </c>
      <c r="J1084" s="409" t="str">
        <f t="shared" si="210"/>
        <v>M=(Largo) x Cant</v>
      </c>
      <c r="K1084" s="410" t="str">
        <f t="shared" si="220"/>
        <v>M</v>
      </c>
      <c r="L1084" s="411"/>
      <c r="M1084" s="412"/>
      <c r="N1084" s="443"/>
      <c r="O1084" s="442" t="str">
        <f t="shared" si="213"/>
        <v/>
      </c>
      <c r="P1084" s="412"/>
      <c r="Q1084" s="411"/>
      <c r="R1084" s="413" t="str">
        <f t="shared" si="214"/>
        <v/>
      </c>
      <c r="S1084" s="414">
        <f>+HLOOKUP(A1084,[238]Hoja1!$2:$78,64,FALSE)</f>
        <v>0</v>
      </c>
      <c r="X1084" s="458">
        <f t="shared" si="217"/>
        <v>0</v>
      </c>
      <c r="Y1084" s="471">
        <f t="shared" si="218"/>
        <v>0</v>
      </c>
    </row>
    <row r="1085" spans="1:25">
      <c r="A1085" s="383">
        <v>30</v>
      </c>
      <c r="C1085" s="406"/>
      <c r="D1085" s="407"/>
      <c r="E1085" s="407"/>
      <c r="F1085" s="407"/>
      <c r="G1085" s="407"/>
      <c r="H1085" s="407"/>
      <c r="I1085" s="408" t="s">
        <v>441</v>
      </c>
      <c r="J1085" s="409" t="str">
        <f t="shared" si="210"/>
        <v>M=(Largo) x Cant</v>
      </c>
      <c r="K1085" s="410" t="str">
        <f t="shared" si="220"/>
        <v>M</v>
      </c>
      <c r="L1085" s="411"/>
      <c r="M1085" s="412"/>
      <c r="N1085" s="442"/>
      <c r="O1085" s="442" t="str">
        <f t="shared" si="213"/>
        <v/>
      </c>
      <c r="P1085" s="413"/>
      <c r="Q1085" s="411"/>
      <c r="R1085" s="413" t="str">
        <f t="shared" si="214"/>
        <v/>
      </c>
      <c r="S1085" s="414">
        <f>+HLOOKUP(A1085,[238]Hoja1!$2:$78,64,FALSE)</f>
        <v>0</v>
      </c>
      <c r="X1085" s="458">
        <f t="shared" si="217"/>
        <v>0</v>
      </c>
      <c r="Y1085" s="471">
        <f t="shared" si="218"/>
        <v>0</v>
      </c>
    </row>
    <row r="1086" spans="1:25">
      <c r="A1086" s="383">
        <v>31</v>
      </c>
      <c r="C1086" s="406"/>
      <c r="D1086" s="407"/>
      <c r="E1086" s="407"/>
      <c r="F1086" s="407"/>
      <c r="G1086" s="407"/>
      <c r="H1086" s="407"/>
      <c r="I1086" s="408" t="s">
        <v>442</v>
      </c>
      <c r="J1086" s="409" t="str">
        <f t="shared" si="210"/>
        <v>M=(Largo) x Cant</v>
      </c>
      <c r="K1086" s="410" t="str">
        <f t="shared" si="220"/>
        <v>M</v>
      </c>
      <c r="L1086" s="411"/>
      <c r="M1086" s="412"/>
      <c r="N1086" s="442"/>
      <c r="O1086" s="442" t="str">
        <f t="shared" si="213"/>
        <v/>
      </c>
      <c r="P1086" s="413"/>
      <c r="Q1086" s="411"/>
      <c r="R1086" s="413" t="str">
        <f t="shared" si="214"/>
        <v/>
      </c>
      <c r="S1086" s="414">
        <f>+HLOOKUP(A1086,[238]Hoja1!$2:$78,64,FALSE)</f>
        <v>0</v>
      </c>
      <c r="X1086" s="458">
        <f t="shared" si="217"/>
        <v>0</v>
      </c>
      <c r="Y1086" s="471">
        <f t="shared" si="218"/>
        <v>0</v>
      </c>
    </row>
    <row r="1087" spans="1:25">
      <c r="A1087" s="383">
        <v>32</v>
      </c>
      <c r="C1087" s="406"/>
      <c r="D1087" s="407"/>
      <c r="E1087" s="407"/>
      <c r="F1087" s="407"/>
      <c r="G1087" s="407"/>
      <c r="H1087" s="407"/>
      <c r="I1087" s="408" t="s">
        <v>443</v>
      </c>
      <c r="J1087" s="409" t="str">
        <f t="shared" si="210"/>
        <v>M=(Largo) x Cant</v>
      </c>
      <c r="K1087" s="410" t="str">
        <f t="shared" si="220"/>
        <v>M</v>
      </c>
      <c r="L1087" s="411"/>
      <c r="M1087" s="412"/>
      <c r="N1087" s="442"/>
      <c r="O1087" s="442" t="str">
        <f t="shared" si="213"/>
        <v/>
      </c>
      <c r="P1087" s="413"/>
      <c r="Q1087" s="411"/>
      <c r="R1087" s="413" t="str">
        <f t="shared" si="214"/>
        <v/>
      </c>
      <c r="S1087" s="414">
        <f>+HLOOKUP(A1087,[238]Hoja1!$2:$78,64,FALSE)</f>
        <v>0</v>
      </c>
      <c r="X1087" s="458">
        <f t="shared" si="217"/>
        <v>0</v>
      </c>
      <c r="Y1087" s="471">
        <f t="shared" si="218"/>
        <v>0</v>
      </c>
    </row>
    <row r="1088" spans="1:25">
      <c r="A1088" s="383">
        <v>33</v>
      </c>
      <c r="C1088" s="406"/>
      <c r="D1088" s="407"/>
      <c r="E1088" s="407"/>
      <c r="F1088" s="407"/>
      <c r="G1088" s="407"/>
      <c r="H1088" s="407"/>
      <c r="I1088" s="408" t="s">
        <v>444</v>
      </c>
      <c r="J1088" s="409" t="str">
        <f t="shared" si="210"/>
        <v>M=(Largo) x Cant</v>
      </c>
      <c r="K1088" s="410" t="str">
        <f t="shared" si="220"/>
        <v>M</v>
      </c>
      <c r="L1088" s="411"/>
      <c r="M1088" s="412"/>
      <c r="N1088" s="442"/>
      <c r="O1088" s="442">
        <f t="shared" si="213"/>
        <v>8.1300000000000008</v>
      </c>
      <c r="P1088" s="412"/>
      <c r="Q1088" s="411"/>
      <c r="R1088" s="413">
        <f t="shared" si="214"/>
        <v>1</v>
      </c>
      <c r="S1088" s="414">
        <f>+HLOOKUP(A1088,[238]Hoja1!$2:$78,64,FALSE)</f>
        <v>8.1300000000000008</v>
      </c>
      <c r="X1088" s="458">
        <f t="shared" si="217"/>
        <v>0</v>
      </c>
      <c r="Y1088" s="471">
        <f t="shared" si="218"/>
        <v>0</v>
      </c>
    </row>
    <row r="1089" spans="1:25">
      <c r="A1089" s="383">
        <v>34</v>
      </c>
      <c r="C1089" s="406"/>
      <c r="D1089" s="407"/>
      <c r="E1089" s="407"/>
      <c r="F1089" s="407"/>
      <c r="G1089" s="407"/>
      <c r="H1089" s="407"/>
      <c r="I1089" s="408" t="s">
        <v>445</v>
      </c>
      <c r="J1089" s="409" t="str">
        <f t="shared" si="210"/>
        <v>M=(Largo) x Cant</v>
      </c>
      <c r="K1089" s="410" t="str">
        <f t="shared" si="220"/>
        <v>M</v>
      </c>
      <c r="L1089" s="411"/>
      <c r="M1089" s="412"/>
      <c r="N1089" s="441"/>
      <c r="O1089" s="442" t="str">
        <f t="shared" si="213"/>
        <v/>
      </c>
      <c r="P1089" s="412"/>
      <c r="Q1089" s="411"/>
      <c r="R1089" s="413" t="str">
        <f t="shared" si="214"/>
        <v/>
      </c>
      <c r="S1089" s="414">
        <f>+HLOOKUP(A1089,[238]Hoja1!$2:$78,64,FALSE)</f>
        <v>0</v>
      </c>
      <c r="X1089" s="458">
        <f t="shared" si="217"/>
        <v>0</v>
      </c>
      <c r="Y1089" s="471">
        <f t="shared" si="218"/>
        <v>0</v>
      </c>
    </row>
    <row r="1090" spans="1:25">
      <c r="A1090" s="383">
        <v>35</v>
      </c>
      <c r="C1090" s="406"/>
      <c r="D1090" s="440"/>
      <c r="E1090" s="407"/>
      <c r="F1090" s="407"/>
      <c r="G1090" s="407"/>
      <c r="H1090" s="437"/>
      <c r="I1090" s="408" t="s">
        <v>446</v>
      </c>
      <c r="J1090" s="409" t="str">
        <f t="shared" si="210"/>
        <v>M=(Largo) x Cant</v>
      </c>
      <c r="K1090" s="410" t="str">
        <f t="shared" si="220"/>
        <v>M</v>
      </c>
      <c r="L1090" s="411"/>
      <c r="M1090" s="412"/>
      <c r="N1090" s="442"/>
      <c r="O1090" s="442">
        <f t="shared" si="213"/>
        <v>6</v>
      </c>
      <c r="P1090" s="413"/>
      <c r="Q1090" s="411"/>
      <c r="R1090" s="413">
        <f t="shared" si="214"/>
        <v>1</v>
      </c>
      <c r="S1090" s="414">
        <f>+HLOOKUP(A1090,[238]Hoja1!$2:$78,64,FALSE)</f>
        <v>6</v>
      </c>
      <c r="X1090" s="458">
        <f t="shared" si="217"/>
        <v>0</v>
      </c>
      <c r="Y1090" s="471">
        <f t="shared" si="218"/>
        <v>0</v>
      </c>
    </row>
    <row r="1091" spans="1:25">
      <c r="A1091" s="383">
        <v>36</v>
      </c>
      <c r="C1091" s="406"/>
      <c r="D1091" s="407"/>
      <c r="E1091" s="407"/>
      <c r="F1091" s="407"/>
      <c r="G1091" s="407"/>
      <c r="H1091" s="407"/>
      <c r="I1091" s="408" t="s">
        <v>447</v>
      </c>
      <c r="J1091" s="409" t="str">
        <f t="shared" si="210"/>
        <v>M=(Largo) x Cant</v>
      </c>
      <c r="K1091" s="410" t="str">
        <f>+K1080</f>
        <v>M</v>
      </c>
      <c r="L1091" s="411"/>
      <c r="M1091" s="412"/>
      <c r="N1091" s="442"/>
      <c r="O1091" s="442" t="str">
        <f t="shared" si="213"/>
        <v/>
      </c>
      <c r="P1091" s="449"/>
      <c r="Q1091" s="411"/>
      <c r="R1091" s="413" t="str">
        <f t="shared" si="214"/>
        <v/>
      </c>
      <c r="S1091" s="414">
        <f>+HLOOKUP(A1091,[238]Hoja1!$2:$78,64,FALSE)</f>
        <v>0</v>
      </c>
      <c r="X1091" s="458">
        <f t="shared" si="217"/>
        <v>0</v>
      </c>
      <c r="Y1091" s="471">
        <f t="shared" si="218"/>
        <v>0</v>
      </c>
    </row>
    <row r="1092" spans="1:25">
      <c r="A1092" s="383">
        <v>37</v>
      </c>
      <c r="C1092" s="406"/>
      <c r="D1092" s="407"/>
      <c r="E1092" s="407"/>
      <c r="F1092" s="407"/>
      <c r="G1092" s="407"/>
      <c r="H1092" s="407"/>
      <c r="I1092" s="408" t="s">
        <v>448</v>
      </c>
      <c r="J1092" s="409" t="str">
        <f t="shared" si="210"/>
        <v>M=(Largo) x Cant</v>
      </c>
      <c r="K1092" s="410" t="str">
        <f t="shared" ref="K1092:K1098" si="221">+K1091</f>
        <v>M</v>
      </c>
      <c r="L1092" s="411"/>
      <c r="M1092" s="412"/>
      <c r="N1092" s="441"/>
      <c r="O1092" s="442" t="str">
        <f t="shared" si="213"/>
        <v/>
      </c>
      <c r="P1092" s="449"/>
      <c r="Q1092" s="411"/>
      <c r="R1092" s="413" t="str">
        <f t="shared" si="214"/>
        <v/>
      </c>
      <c r="S1092" s="414">
        <f>+HLOOKUP(A1092,[238]Hoja1!$2:$78,64,FALSE)</f>
        <v>0</v>
      </c>
      <c r="X1092" s="458">
        <f t="shared" si="217"/>
        <v>0</v>
      </c>
      <c r="Y1092" s="471">
        <f t="shared" si="218"/>
        <v>0</v>
      </c>
    </row>
    <row r="1093" spans="1:25">
      <c r="A1093" s="383">
        <v>38</v>
      </c>
      <c r="C1093" s="406"/>
      <c r="D1093" s="440"/>
      <c r="E1093" s="407"/>
      <c r="F1093" s="407"/>
      <c r="G1093" s="407"/>
      <c r="H1093" s="437"/>
      <c r="I1093" s="408" t="s">
        <v>449</v>
      </c>
      <c r="J1093" s="409" t="str">
        <f t="shared" si="210"/>
        <v>M=(Largo) x Cant</v>
      </c>
      <c r="K1093" s="410" t="str">
        <f t="shared" si="221"/>
        <v>M</v>
      </c>
      <c r="L1093" s="411"/>
      <c r="M1093" s="412"/>
      <c r="N1093" s="442"/>
      <c r="O1093" s="442" t="str">
        <f t="shared" si="213"/>
        <v/>
      </c>
      <c r="P1093" s="413"/>
      <c r="Q1093" s="411"/>
      <c r="R1093" s="413" t="str">
        <f t="shared" si="214"/>
        <v/>
      </c>
      <c r="S1093" s="414">
        <f>+HLOOKUP(A1093,[238]Hoja1!$2:$78,64,FALSE)</f>
        <v>0</v>
      </c>
      <c r="X1093" s="458">
        <f t="shared" si="217"/>
        <v>0</v>
      </c>
      <c r="Y1093" s="471">
        <f t="shared" si="218"/>
        <v>0</v>
      </c>
    </row>
    <row r="1094" spans="1:25">
      <c r="A1094" s="383">
        <v>39</v>
      </c>
      <c r="C1094" s="406"/>
      <c r="D1094" s="407"/>
      <c r="E1094" s="407"/>
      <c r="F1094" s="407"/>
      <c r="G1094" s="407"/>
      <c r="H1094" s="407"/>
      <c r="I1094" s="408" t="s">
        <v>450</v>
      </c>
      <c r="J1094" s="409" t="str">
        <f t="shared" si="210"/>
        <v>M=(Largo) x Cant</v>
      </c>
      <c r="K1094" s="410" t="str">
        <f t="shared" si="221"/>
        <v>M</v>
      </c>
      <c r="L1094" s="411"/>
      <c r="M1094" s="412"/>
      <c r="N1094" s="441"/>
      <c r="O1094" s="442">
        <f t="shared" si="213"/>
        <v>6</v>
      </c>
      <c r="P1094" s="412"/>
      <c r="Q1094" s="411"/>
      <c r="R1094" s="413">
        <f t="shared" si="214"/>
        <v>1</v>
      </c>
      <c r="S1094" s="414">
        <f>+HLOOKUP(A1094,[238]Hoja1!$2:$78,64,FALSE)</f>
        <v>6</v>
      </c>
      <c r="X1094" s="458">
        <f t="shared" si="217"/>
        <v>0</v>
      </c>
      <c r="Y1094" s="471">
        <f t="shared" si="218"/>
        <v>0</v>
      </c>
    </row>
    <row r="1095" spans="1:25">
      <c r="A1095" s="383">
        <v>40</v>
      </c>
      <c r="C1095" s="406"/>
      <c r="D1095" s="407"/>
      <c r="E1095" s="407"/>
      <c r="F1095" s="407"/>
      <c r="G1095" s="407"/>
      <c r="H1095" s="407"/>
      <c r="I1095" s="408" t="s">
        <v>451</v>
      </c>
      <c r="J1095" s="409" t="str">
        <f t="shared" si="210"/>
        <v>M=(Largo) x Cant</v>
      </c>
      <c r="K1095" s="410" t="str">
        <f t="shared" si="221"/>
        <v>M</v>
      </c>
      <c r="L1095" s="411"/>
      <c r="M1095" s="412"/>
      <c r="N1095" s="442"/>
      <c r="O1095" s="442" t="str">
        <f t="shared" si="213"/>
        <v/>
      </c>
      <c r="P1095" s="413"/>
      <c r="Q1095" s="411"/>
      <c r="R1095" s="413" t="str">
        <f t="shared" si="214"/>
        <v/>
      </c>
      <c r="S1095" s="414">
        <f>+HLOOKUP(A1095,[238]Hoja1!$2:$78,64,FALSE)</f>
        <v>0</v>
      </c>
      <c r="X1095" s="458">
        <f t="shared" si="217"/>
        <v>0</v>
      </c>
      <c r="Y1095" s="471">
        <f t="shared" si="218"/>
        <v>0</v>
      </c>
    </row>
    <row r="1096" spans="1:25">
      <c r="A1096" s="383">
        <v>41</v>
      </c>
      <c r="C1096" s="406"/>
      <c r="D1096" s="407"/>
      <c r="E1096" s="407"/>
      <c r="F1096" s="407"/>
      <c r="G1096" s="407"/>
      <c r="H1096" s="407"/>
      <c r="I1096" s="408" t="s">
        <v>452</v>
      </c>
      <c r="J1096" s="409" t="str">
        <f t="shared" si="210"/>
        <v>M=(Largo) x Cant</v>
      </c>
      <c r="K1096" s="410" t="str">
        <f t="shared" si="221"/>
        <v>M</v>
      </c>
      <c r="L1096" s="411"/>
      <c r="M1096" s="412"/>
      <c r="N1096" s="442"/>
      <c r="O1096" s="442" t="str">
        <f t="shared" si="213"/>
        <v/>
      </c>
      <c r="P1096" s="413"/>
      <c r="Q1096" s="411"/>
      <c r="R1096" s="413" t="str">
        <f t="shared" si="214"/>
        <v/>
      </c>
      <c r="S1096" s="414">
        <f>+HLOOKUP(A1096,[238]Hoja1!$2:$78,64,FALSE)</f>
        <v>0</v>
      </c>
      <c r="X1096" s="458">
        <f t="shared" si="217"/>
        <v>0</v>
      </c>
      <c r="Y1096" s="471">
        <f t="shared" si="218"/>
        <v>0</v>
      </c>
    </row>
    <row r="1097" spans="1:25">
      <c r="A1097" s="383">
        <v>42</v>
      </c>
      <c r="C1097" s="406"/>
      <c r="D1097" s="407"/>
      <c r="E1097" s="407"/>
      <c r="F1097" s="407"/>
      <c r="G1097" s="407"/>
      <c r="H1097" s="407"/>
      <c r="I1097" s="408" t="s">
        <v>453</v>
      </c>
      <c r="J1097" s="409" t="str">
        <f t="shared" si="210"/>
        <v>M=(Largo) x Cant</v>
      </c>
      <c r="K1097" s="410" t="str">
        <f t="shared" si="221"/>
        <v>M</v>
      </c>
      <c r="L1097" s="411"/>
      <c r="M1097" s="412"/>
      <c r="N1097" s="442"/>
      <c r="O1097" s="442" t="str">
        <f t="shared" si="213"/>
        <v/>
      </c>
      <c r="P1097" s="412"/>
      <c r="Q1097" s="411"/>
      <c r="R1097" s="413" t="str">
        <f t="shared" si="214"/>
        <v/>
      </c>
      <c r="S1097" s="414">
        <f>+HLOOKUP(A1097,[238]Hoja1!$2:$78,64,FALSE)</f>
        <v>0</v>
      </c>
      <c r="X1097" s="458">
        <f t="shared" si="217"/>
        <v>0</v>
      </c>
      <c r="Y1097" s="471">
        <f t="shared" si="218"/>
        <v>0</v>
      </c>
    </row>
    <row r="1098" spans="1:25" ht="13.5" thickBot="1">
      <c r="A1098" s="383">
        <v>43</v>
      </c>
      <c r="C1098" s="406"/>
      <c r="D1098" s="407"/>
      <c r="E1098" s="407"/>
      <c r="F1098" s="407"/>
      <c r="G1098" s="407"/>
      <c r="H1098" s="407"/>
      <c r="I1098" s="408" t="s">
        <v>454</v>
      </c>
      <c r="J1098" s="409" t="str">
        <f t="shared" si="210"/>
        <v>M=(Largo) x Cant</v>
      </c>
      <c r="K1098" s="410" t="str">
        <f t="shared" si="221"/>
        <v>M</v>
      </c>
      <c r="L1098" s="411"/>
      <c r="M1098" s="412"/>
      <c r="N1098" s="442"/>
      <c r="O1098" s="442" t="str">
        <f t="shared" si="213"/>
        <v/>
      </c>
      <c r="P1098" s="412"/>
      <c r="Q1098" s="411"/>
      <c r="R1098" s="413" t="str">
        <f t="shared" si="214"/>
        <v/>
      </c>
      <c r="S1098" s="414">
        <f>+HLOOKUP(A1098,[238]Hoja1!$2:$78,64,FALSE)</f>
        <v>0</v>
      </c>
      <c r="X1098" s="458">
        <f t="shared" si="217"/>
        <v>0</v>
      </c>
      <c r="Y1098" s="471">
        <f t="shared" si="218"/>
        <v>0</v>
      </c>
    </row>
    <row r="1099" spans="1:25">
      <c r="C1099" s="384"/>
      <c r="D1099" s="419"/>
      <c r="E1099" s="420"/>
      <c r="F1099" s="421"/>
      <c r="G1099" s="421"/>
      <c r="H1099" s="421"/>
      <c r="I1099" s="421"/>
      <c r="J1099" s="422"/>
      <c r="K1099" s="421"/>
      <c r="L1099" s="421"/>
      <c r="M1099" s="421"/>
      <c r="N1099" s="421"/>
      <c r="O1099" s="421"/>
      <c r="P1099" s="421"/>
      <c r="Q1099" s="421"/>
      <c r="R1099" s="422"/>
      <c r="S1099" s="423"/>
    </row>
    <row r="1100" spans="1:25">
      <c r="C1100" s="396"/>
      <c r="D1100" s="397"/>
      <c r="E1100" s="424"/>
      <c r="F1100" s="425"/>
      <c r="G1100" s="425"/>
      <c r="H1100" s="425"/>
      <c r="I1100" s="425"/>
      <c r="J1100" s="398"/>
      <c r="K1100" s="425"/>
      <c r="L1100" s="425"/>
      <c r="M1100" s="397"/>
      <c r="N1100" s="397"/>
      <c r="O1100" s="562" t="s">
        <v>455</v>
      </c>
      <c r="P1100" s="563"/>
      <c r="Q1100" s="564"/>
      <c r="R1100" s="426"/>
      <c r="S1100" s="427">
        <f>ROUND(SUM(S1056:S1099),2)</f>
        <v>193.71</v>
      </c>
    </row>
    <row r="1101" spans="1:25">
      <c r="C1101" s="396"/>
      <c r="D1101" s="397"/>
      <c r="E1101" s="424"/>
      <c r="F1101" s="425"/>
      <c r="G1101" s="425"/>
      <c r="H1101" s="425"/>
      <c r="I1101" s="425"/>
      <c r="J1101" s="398"/>
      <c r="K1101" s="425"/>
      <c r="L1101" s="425"/>
      <c r="M1101" s="428"/>
      <c r="N1101" s="428"/>
      <c r="O1101" s="429"/>
      <c r="P1101" s="425"/>
      <c r="Q1101" s="425"/>
      <c r="R1101" s="430"/>
      <c r="S1101" s="431"/>
    </row>
    <row r="1102" spans="1:25">
      <c r="C1102" s="565" t="e">
        <v>#REF!</v>
      </c>
      <c r="D1102" s="566"/>
      <c r="E1102" s="566"/>
      <c r="F1102" s="566"/>
      <c r="G1102" s="566"/>
      <c r="H1102" s="566"/>
      <c r="I1102" s="566"/>
      <c r="J1102" s="566"/>
      <c r="K1102" s="566"/>
      <c r="L1102" s="566"/>
      <c r="M1102" s="566"/>
      <c r="N1102" s="567"/>
      <c r="O1102" s="568" t="s">
        <v>422</v>
      </c>
      <c r="P1102" s="568"/>
      <c r="Q1102" s="568"/>
      <c r="R1102" s="426"/>
      <c r="S1102" s="427">
        <f>S1100</f>
        <v>193.71</v>
      </c>
    </row>
    <row r="1103" spans="1:25">
      <c r="C1103" s="396"/>
      <c r="D1103" s="397"/>
      <c r="E1103" s="424"/>
      <c r="F1103" s="425"/>
      <c r="G1103" s="425"/>
      <c r="H1103" s="425"/>
      <c r="I1103" s="425"/>
      <c r="J1103" s="398"/>
      <c r="K1103" s="425"/>
      <c r="L1103" s="425"/>
      <c r="M1103" s="428"/>
      <c r="N1103" s="428"/>
      <c r="O1103" s="429"/>
      <c r="P1103" s="425"/>
      <c r="Q1103" s="398"/>
      <c r="R1103" s="398"/>
      <c r="S1103" s="432"/>
    </row>
    <row r="1104" spans="1:25">
      <c r="C1104" s="396"/>
      <c r="D1104" s="397"/>
      <c r="E1104" s="424"/>
      <c r="F1104" s="425"/>
      <c r="G1104" s="425"/>
      <c r="H1104" s="425"/>
      <c r="I1104" s="425"/>
      <c r="J1104" s="398"/>
      <c r="K1104" s="425"/>
      <c r="L1104" s="425"/>
      <c r="M1104" s="428"/>
      <c r="N1104" s="428"/>
      <c r="O1104" s="429"/>
      <c r="P1104" s="425"/>
      <c r="Q1104" s="398"/>
      <c r="R1104" s="398"/>
      <c r="S1104" s="432"/>
    </row>
    <row r="1105" spans="3:19">
      <c r="C1105" s="569" t="s">
        <v>423</v>
      </c>
      <c r="D1105" s="570"/>
      <c r="E1105" s="570"/>
      <c r="F1105" s="570"/>
      <c r="G1105" s="570"/>
      <c r="H1105" s="570"/>
      <c r="I1105" s="570"/>
      <c r="J1105" s="571"/>
      <c r="K1105" s="433" t="s">
        <v>424</v>
      </c>
      <c r="L1105" s="434"/>
      <c r="M1105" s="434"/>
      <c r="N1105" s="434"/>
      <c r="O1105" s="434"/>
      <c r="P1105" s="434"/>
      <c r="Q1105" s="434"/>
      <c r="R1105" s="434"/>
      <c r="S1105" s="435"/>
    </row>
    <row r="1106" spans="3:19">
      <c r="C1106" s="542"/>
      <c r="D1106" s="543"/>
      <c r="E1106" s="543"/>
      <c r="F1106" s="543"/>
      <c r="G1106" s="436"/>
      <c r="H1106" s="436"/>
      <c r="I1106" s="436"/>
      <c r="J1106" s="447"/>
      <c r="K1106" s="436"/>
      <c r="L1106" s="407"/>
      <c r="M1106" s="407"/>
      <c r="N1106" s="407"/>
      <c r="O1106" s="407"/>
      <c r="P1106" s="407"/>
      <c r="Q1106" s="407"/>
      <c r="R1106" s="407"/>
      <c r="S1106" s="437"/>
    </row>
    <row r="1107" spans="3:19">
      <c r="C1107" s="542"/>
      <c r="D1107" s="543"/>
      <c r="E1107" s="543"/>
      <c r="F1107" s="543"/>
      <c r="G1107" s="436"/>
      <c r="H1107" s="436"/>
      <c r="I1107" s="436"/>
      <c r="J1107" s="447"/>
      <c r="K1107" s="436"/>
      <c r="L1107" s="407"/>
      <c r="M1107" s="407"/>
      <c r="N1107" s="407"/>
      <c r="O1107" s="407"/>
      <c r="P1107" s="407"/>
      <c r="Q1107" s="407"/>
      <c r="R1107" s="407"/>
      <c r="S1107" s="437"/>
    </row>
    <row r="1108" spans="3:19">
      <c r="C1108" s="542" t="s">
        <v>425</v>
      </c>
      <c r="D1108" s="543"/>
      <c r="E1108" s="543" t="s">
        <v>425</v>
      </c>
      <c r="F1108" s="543"/>
      <c r="G1108" s="543" t="s">
        <v>425</v>
      </c>
      <c r="H1108" s="543"/>
      <c r="I1108" s="543" t="s">
        <v>425</v>
      </c>
      <c r="J1108" s="544"/>
      <c r="K1108" s="545" t="s">
        <v>426</v>
      </c>
      <c r="L1108" s="546"/>
      <c r="M1108" s="546"/>
      <c r="N1108" s="546"/>
      <c r="O1108" s="546"/>
      <c r="P1108" s="546"/>
      <c r="Q1108" s="546"/>
      <c r="R1108" s="546"/>
      <c r="S1108" s="547"/>
    </row>
    <row r="1109" spans="3:19">
      <c r="C1109" s="548" t="str">
        <f>+[42]DATOS!D$8</f>
        <v>HELMER EDUARDO BECERRA SANTANDER</v>
      </c>
      <c r="D1109" s="549"/>
      <c r="E1109" s="549" t="s">
        <v>427</v>
      </c>
      <c r="F1109" s="549"/>
      <c r="G1109" s="549" t="s">
        <v>427</v>
      </c>
      <c r="H1109" s="549"/>
      <c r="I1109" s="549" t="s">
        <v>427</v>
      </c>
      <c r="J1109" s="550"/>
      <c r="K1109" s="551" t="str">
        <f>+[42]DATOS!D$11</f>
        <v>JESUS IVAN QUIÑONES RUEDA</v>
      </c>
      <c r="L1109" s="549"/>
      <c r="M1109" s="549"/>
      <c r="N1109" s="549"/>
      <c r="O1109" s="549"/>
      <c r="P1109" s="549"/>
      <c r="Q1109" s="549"/>
      <c r="R1109" s="549"/>
      <c r="S1109" s="552"/>
    </row>
    <row r="1110" spans="3:19">
      <c r="C1110" s="553" t="str">
        <f>+$C$72</f>
        <v>APOYO SEC. DE PLANEACION Y OBRAS PÚBLICAS</v>
      </c>
      <c r="D1110" s="554"/>
      <c r="E1110" s="554" t="s">
        <v>428</v>
      </c>
      <c r="F1110" s="554"/>
      <c r="G1110" s="554" t="s">
        <v>428</v>
      </c>
      <c r="H1110" s="554"/>
      <c r="I1110" s="554" t="s">
        <v>428</v>
      </c>
      <c r="J1110" s="555"/>
      <c r="K1110" s="556" t="str">
        <f>+$K$72</f>
        <v>SECRETARIO DE PLANEACION Y OBRAS PÚBLICAS</v>
      </c>
      <c r="L1110" s="554"/>
      <c r="M1110" s="554"/>
      <c r="N1110" s="554"/>
      <c r="O1110" s="554"/>
      <c r="P1110" s="554"/>
      <c r="Q1110" s="554"/>
      <c r="R1110" s="554"/>
      <c r="S1110" s="557"/>
    </row>
    <row r="1111" spans="3:19">
      <c r="C1111" s="406"/>
      <c r="D1111" s="407"/>
      <c r="E1111" s="407"/>
      <c r="F1111" s="407"/>
      <c r="G1111" s="407"/>
      <c r="H1111" s="407"/>
      <c r="I1111" s="407"/>
      <c r="J1111" s="407"/>
      <c r="K1111" s="407"/>
      <c r="L1111" s="407"/>
      <c r="M1111" s="407"/>
      <c r="N1111" s="407"/>
      <c r="O1111" s="407"/>
      <c r="P1111" s="407"/>
      <c r="Q1111" s="407"/>
      <c r="R1111" s="407"/>
      <c r="S1111" s="437"/>
    </row>
    <row r="1112" spans="3:19" ht="111" customHeight="1" thickBot="1">
      <c r="C1112" s="417"/>
      <c r="D1112" s="418"/>
      <c r="E1112" s="418"/>
      <c r="F1112" s="418"/>
      <c r="G1112" s="418"/>
      <c r="H1112" s="418"/>
      <c r="I1112" s="418"/>
      <c r="J1112" s="418"/>
      <c r="K1112" s="418"/>
      <c r="L1112" s="418"/>
      <c r="M1112" s="418"/>
      <c r="N1112" s="418"/>
      <c r="O1112" s="418"/>
      <c r="P1112" s="418"/>
      <c r="Q1112" s="418"/>
      <c r="R1112" s="418"/>
      <c r="S1112" s="438"/>
    </row>
    <row r="1113" spans="3:19" ht="22.5" customHeight="1"/>
    <row r="1114" spans="3:19" ht="13.5" thickBot="1"/>
    <row r="1115" spans="3:19">
      <c r="C1115" s="384"/>
      <c r="D1115" s="385"/>
      <c r="E1115" s="385"/>
      <c r="F1115" s="385"/>
      <c r="G1115" s="385"/>
      <c r="H1115" s="385"/>
      <c r="I1115" s="385"/>
      <c r="J1115" s="445"/>
      <c r="K1115" s="385"/>
      <c r="L1115" s="385"/>
      <c r="M1115" s="385"/>
      <c r="N1115" s="385"/>
      <c r="O1115" s="385"/>
      <c r="P1115" s="385"/>
      <c r="Q1115" s="385"/>
      <c r="R1115" s="385"/>
      <c r="S1115" s="386"/>
    </row>
    <row r="1116" spans="3:19" ht="121.5" customHeight="1" thickBot="1">
      <c r="C1116" s="387"/>
      <c r="D1116" s="388"/>
      <c r="E1116" s="388"/>
      <c r="F1116" s="388"/>
      <c r="G1116" s="388"/>
      <c r="H1116" s="388"/>
      <c r="I1116" s="388"/>
      <c r="J1116" s="446"/>
      <c r="K1116" s="388"/>
      <c r="L1116" s="388"/>
      <c r="M1116" s="388"/>
      <c r="N1116" s="388"/>
      <c r="O1116" s="388"/>
      <c r="P1116" s="388"/>
      <c r="Q1116" s="388"/>
      <c r="R1116" s="388"/>
      <c r="S1116" s="389"/>
    </row>
    <row r="1117" spans="3:19">
      <c r="C1117" s="592" t="str">
        <f>+[42]DATOS!C$7</f>
        <v>MEJORAMIENTO DE VIVIENDA CON ENFOQUE DIFERENCIAL PARA POBLACIÓN VULNERABLE EN EL MUNICIPIO DE CUBARÁ, BOYACÁ (2026).</v>
      </c>
      <c r="D1117" s="593"/>
      <c r="E1117" s="593"/>
      <c r="F1117" s="593"/>
      <c r="G1117" s="593"/>
      <c r="H1117" s="593"/>
      <c r="I1117" s="593"/>
      <c r="J1117" s="593"/>
      <c r="K1117" s="593"/>
      <c r="L1117" s="593"/>
      <c r="M1117" s="593"/>
      <c r="N1117" s="593"/>
      <c r="O1117" s="593"/>
      <c r="P1117" s="593"/>
      <c r="Q1117" s="593"/>
      <c r="R1117" s="593"/>
      <c r="S1117" s="594"/>
    </row>
    <row r="1118" spans="3:19">
      <c r="C1118" s="595"/>
      <c r="D1118" s="596"/>
      <c r="E1118" s="596"/>
      <c r="F1118" s="596"/>
      <c r="G1118" s="596"/>
      <c r="H1118" s="596"/>
      <c r="I1118" s="596"/>
      <c r="J1118" s="596"/>
      <c r="K1118" s="596"/>
      <c r="L1118" s="596"/>
      <c r="M1118" s="596"/>
      <c r="N1118" s="596"/>
      <c r="O1118" s="596"/>
      <c r="P1118" s="596"/>
      <c r="Q1118" s="596"/>
      <c r="R1118" s="596"/>
      <c r="S1118" s="597"/>
    </row>
    <row r="1119" spans="3:19">
      <c r="C1119" s="598" t="s">
        <v>371</v>
      </c>
      <c r="D1119" s="599"/>
      <c r="E1119" s="599"/>
      <c r="F1119" s="599"/>
      <c r="G1119" s="599"/>
      <c r="H1119" s="599"/>
      <c r="I1119" s="599"/>
      <c r="J1119" s="599"/>
      <c r="K1119" s="599"/>
      <c r="L1119" s="599"/>
      <c r="M1119" s="599"/>
      <c r="N1119" s="599"/>
      <c r="O1119" s="599"/>
      <c r="P1119" s="599"/>
      <c r="Q1119" s="599"/>
      <c r="R1119" s="599"/>
      <c r="S1119" s="600"/>
    </row>
    <row r="1120" spans="3:19">
      <c r="C1120" s="586" t="s">
        <v>372</v>
      </c>
      <c r="D1120" s="587"/>
      <c r="E1120" s="601" t="s">
        <v>373</v>
      </c>
      <c r="F1120" s="601"/>
      <c r="G1120" s="601"/>
      <c r="H1120" s="601"/>
      <c r="I1120" s="601"/>
      <c r="J1120" s="601"/>
      <c r="K1120" s="601"/>
      <c r="L1120" s="601"/>
      <c r="M1120" s="601"/>
      <c r="N1120" s="601"/>
      <c r="O1120" s="601"/>
      <c r="P1120" s="601"/>
      <c r="Q1120" s="601"/>
      <c r="R1120" s="601"/>
      <c r="S1120" s="602"/>
    </row>
    <row r="1121" spans="1:25">
      <c r="C1121" s="586" t="s">
        <v>374</v>
      </c>
      <c r="D1121" s="587"/>
      <c r="E1121" s="603" t="s">
        <v>375</v>
      </c>
      <c r="F1121" s="604"/>
      <c r="G1121" s="604"/>
      <c r="H1121" s="604"/>
      <c r="I1121" s="604"/>
      <c r="J1121" s="604"/>
      <c r="K1121" s="604"/>
      <c r="L1121" s="604"/>
      <c r="M1121" s="604"/>
      <c r="N1121" s="604"/>
      <c r="O1121" s="604"/>
      <c r="P1121" s="604"/>
      <c r="Q1121" s="604"/>
      <c r="R1121" s="604"/>
      <c r="S1121" s="605"/>
    </row>
    <row r="1122" spans="1:25">
      <c r="C1122" s="586" t="s">
        <v>376</v>
      </c>
      <c r="D1122" s="587"/>
      <c r="E1122" s="390">
        <f>+[42]DATOS!F$5</f>
        <v>46143</v>
      </c>
      <c r="F1122" s="391"/>
      <c r="G1122" s="391"/>
      <c r="H1122" s="391"/>
      <c r="I1122" s="391"/>
      <c r="J1122" s="391"/>
      <c r="K1122" s="568" t="s">
        <v>377</v>
      </c>
      <c r="L1122" s="568"/>
      <c r="M1122" s="588" t="s">
        <v>378</v>
      </c>
      <c r="N1122" s="588"/>
      <c r="O1122" s="588"/>
      <c r="P1122" s="588"/>
      <c r="Q1122" s="588"/>
      <c r="R1122" s="588"/>
      <c r="S1122" s="589"/>
    </row>
    <row r="1123" spans="1:25" ht="25.5">
      <c r="C1123" s="586" t="s">
        <v>379</v>
      </c>
      <c r="D1123" s="587"/>
      <c r="E1123" s="590" t="s">
        <v>380</v>
      </c>
      <c r="F1123" s="591"/>
      <c r="G1123" s="392">
        <f>+[42]DATOS!E$5</f>
        <v>2026</v>
      </c>
      <c r="H1123" s="393" t="s">
        <v>381</v>
      </c>
      <c r="I1123" s="394">
        <f>+[42]DATOS!E$5</f>
        <v>2026</v>
      </c>
      <c r="J1123" s="395"/>
      <c r="K1123" s="568" t="s">
        <v>382</v>
      </c>
      <c r="L1123" s="568"/>
      <c r="M1123" s="588" t="s">
        <v>383</v>
      </c>
      <c r="N1123" s="588"/>
      <c r="O1123" s="588"/>
      <c r="P1123" s="588"/>
      <c r="Q1123" s="588"/>
      <c r="R1123" s="588"/>
      <c r="S1123" s="589"/>
    </row>
    <row r="1124" spans="1:25">
      <c r="C1124" s="396"/>
      <c r="D1124" s="397"/>
      <c r="E1124" s="397"/>
      <c r="F1124" s="398"/>
      <c r="G1124" s="398"/>
      <c r="H1124" s="398"/>
      <c r="I1124" s="398"/>
      <c r="J1124" s="398"/>
      <c r="K1124" s="398"/>
      <c r="L1124" s="398"/>
      <c r="M1124" s="398"/>
      <c r="N1124" s="398"/>
      <c r="O1124" s="398"/>
      <c r="P1124" s="398"/>
      <c r="Q1124" s="398"/>
      <c r="R1124" s="398"/>
      <c r="S1124" s="399"/>
    </row>
    <row r="1125" spans="1:25">
      <c r="C1125" s="572" t="s">
        <v>384</v>
      </c>
      <c r="D1125" s="573"/>
      <c r="E1125" s="573"/>
      <c r="F1125" s="573"/>
      <c r="G1125" s="573"/>
      <c r="H1125" s="573"/>
      <c r="I1125" s="573"/>
      <c r="J1125" s="573"/>
      <c r="K1125" s="573"/>
      <c r="L1125" s="573"/>
      <c r="M1125" s="573"/>
      <c r="N1125" s="573"/>
      <c r="O1125" s="573"/>
      <c r="P1125" s="573"/>
      <c r="Q1125" s="573"/>
      <c r="R1125" s="573"/>
      <c r="S1125" s="574"/>
    </row>
    <row r="1126" spans="1:25">
      <c r="C1126" s="396"/>
      <c r="D1126" s="397"/>
      <c r="E1126" s="397"/>
      <c r="F1126" s="398"/>
      <c r="G1126" s="398"/>
      <c r="H1126" s="398"/>
      <c r="I1126" s="398"/>
      <c r="J1126" s="398"/>
      <c r="K1126" s="398"/>
      <c r="L1126" s="398"/>
      <c r="M1126" s="398"/>
      <c r="N1126" s="398"/>
      <c r="O1126" s="398"/>
      <c r="P1126" s="398"/>
      <c r="Q1126" s="398"/>
      <c r="R1126" s="398"/>
      <c r="S1126" s="399"/>
    </row>
    <row r="1127" spans="1:25">
      <c r="C1127" s="400" t="s">
        <v>385</v>
      </c>
      <c r="D1127" s="575" t="s">
        <v>386</v>
      </c>
      <c r="E1127" s="575"/>
      <c r="F1127" s="576" t="s">
        <v>387</v>
      </c>
      <c r="G1127" s="577"/>
      <c r="H1127" s="577"/>
      <c r="I1127" s="576" t="s">
        <v>388</v>
      </c>
      <c r="J1127" s="576" t="s">
        <v>389</v>
      </c>
      <c r="K1127" s="579"/>
      <c r="L1127" s="581" t="s">
        <v>390</v>
      </c>
      <c r="M1127" s="581"/>
      <c r="N1127" s="581"/>
      <c r="O1127" s="581"/>
      <c r="P1127" s="581"/>
      <c r="Q1127" s="581"/>
      <c r="R1127" s="581" t="s">
        <v>391</v>
      </c>
      <c r="S1127" s="582"/>
    </row>
    <row r="1128" spans="1:25" ht="38.25">
      <c r="C1128" s="403">
        <f>+'PRESUPUESTO OFICIAL '!C82</f>
        <v>7.03</v>
      </c>
      <c r="D1128" s="583" t="str">
        <f>+VLOOKUP(C1128,'PRESUPUESTO OFICIAL '!$C$11:$H$103,2)</f>
        <v>MANTENIMIENTO DE TUBO RECTANGULAR DE 3 X 1 1/2" CAL. 18</v>
      </c>
      <c r="E1128" s="584"/>
      <c r="F1128" s="585" t="str">
        <f>+VLOOKUP(C1128,'PRESUPUESTO OFICIAL '!$C$11:$H$103,3)</f>
        <v>M</v>
      </c>
      <c r="G1128" s="585"/>
      <c r="H1128" s="585"/>
      <c r="I1128" s="578"/>
      <c r="J1128" s="578"/>
      <c r="K1128" s="580"/>
      <c r="L1128" s="401" t="s">
        <v>392</v>
      </c>
      <c r="M1128" s="401" t="s">
        <v>393</v>
      </c>
      <c r="N1128" s="401" t="s">
        <v>394</v>
      </c>
      <c r="O1128" s="401" t="s">
        <v>395</v>
      </c>
      <c r="P1128" s="401" t="s">
        <v>396</v>
      </c>
      <c r="Q1128" s="401" t="s">
        <v>397</v>
      </c>
      <c r="R1128" s="401" t="s">
        <v>398</v>
      </c>
      <c r="S1128" s="402" t="s">
        <v>399</v>
      </c>
      <c r="U1128" s="404">
        <f>+C1128</f>
        <v>7.03</v>
      </c>
      <c r="V1128" s="405">
        <f>+S1176</f>
        <v>57.6</v>
      </c>
    </row>
    <row r="1129" spans="1:25">
      <c r="C1129" s="406"/>
      <c r="D1129" s="407"/>
      <c r="E1129" s="407"/>
      <c r="F1129" s="407"/>
      <c r="G1129" s="407"/>
      <c r="H1129" s="407"/>
      <c r="I1129" s="558"/>
      <c r="J1129" s="559"/>
      <c r="K1129" s="560"/>
      <c r="L1129" s="560"/>
      <c r="M1129" s="560"/>
      <c r="N1129" s="560"/>
      <c r="O1129" s="560"/>
      <c r="P1129" s="560"/>
      <c r="Q1129" s="560"/>
      <c r="R1129" s="560"/>
      <c r="S1129" s="561"/>
    </row>
    <row r="1130" spans="1:25">
      <c r="A1130" s="383">
        <v>1</v>
      </c>
      <c r="C1130" s="406"/>
      <c r="D1130" s="407"/>
      <c r="E1130" s="407"/>
      <c r="F1130" s="407"/>
      <c r="G1130" s="407"/>
      <c r="H1130" s="407"/>
      <c r="I1130" s="408" t="s">
        <v>400</v>
      </c>
      <c r="J1130" s="409" t="str">
        <f t="shared" ref="J1130:J1172" si="222">+VLOOKUP(K1130,$AH$22:$AJ$58,2,)</f>
        <v>M=(Largo) x Cant</v>
      </c>
      <c r="K1130" s="410" t="str">
        <f>+F1128</f>
        <v>M</v>
      </c>
      <c r="L1130" s="411"/>
      <c r="M1130" s="412"/>
      <c r="N1130" s="442"/>
      <c r="O1130" s="442" t="str">
        <f>IF(S1130=0,"",S1130)</f>
        <v/>
      </c>
      <c r="P1130" s="413"/>
      <c r="Q1130" s="411"/>
      <c r="R1130" s="413" t="str">
        <f>IF(S1130=0,"",1)</f>
        <v/>
      </c>
      <c r="S1130" s="414">
        <f>+HLOOKUP(A1130,[238]Hoja1!$2:$78,65,FALSE)</f>
        <v>0</v>
      </c>
      <c r="X1130" s="458" t="e">
        <f t="shared" ref="X1130" si="223">+N1130*O1130*P1130</f>
        <v>#VALUE!</v>
      </c>
      <c r="Y1130" s="471" t="e">
        <f t="shared" ref="Y1130" si="224">+X1130-Q1130</f>
        <v>#VALUE!</v>
      </c>
    </row>
    <row r="1131" spans="1:25">
      <c r="A1131" s="383">
        <v>2</v>
      </c>
      <c r="C1131" s="406"/>
      <c r="D1131" s="407"/>
      <c r="E1131" s="407"/>
      <c r="F1131" s="407"/>
      <c r="G1131" s="407"/>
      <c r="H1131" s="407"/>
      <c r="I1131" s="408" t="s">
        <v>401</v>
      </c>
      <c r="J1131" s="409" t="str">
        <f t="shared" si="222"/>
        <v>M=(Largo) x Cant</v>
      </c>
      <c r="K1131" s="410" t="str">
        <f>+K1130</f>
        <v>M</v>
      </c>
      <c r="L1131" s="411"/>
      <c r="M1131" s="412"/>
      <c r="N1131" s="442"/>
      <c r="O1131" s="442" t="str">
        <f t="shared" ref="O1131:O1172" si="225">IF(S1131=0,"",S1131)</f>
        <v/>
      </c>
      <c r="P1131" s="413"/>
      <c r="Q1131" s="411"/>
      <c r="R1131" s="413" t="str">
        <f t="shared" ref="R1131:R1172" si="226">IF(S1131=0,"",1)</f>
        <v/>
      </c>
      <c r="S1131" s="414">
        <f>+HLOOKUP(A1131,[238]Hoja1!$2:$78,65,FALSE)</f>
        <v>0</v>
      </c>
      <c r="X1131" s="458">
        <f>+L1131*P1131</f>
        <v>0</v>
      </c>
      <c r="Y1131" s="471">
        <f>+X1131-Q1131</f>
        <v>0</v>
      </c>
    </row>
    <row r="1132" spans="1:25">
      <c r="A1132" s="383">
        <v>3</v>
      </c>
      <c r="C1132" s="406"/>
      <c r="D1132" s="407"/>
      <c r="E1132" s="407"/>
      <c r="F1132" s="407"/>
      <c r="G1132" s="407"/>
      <c r="H1132" s="407"/>
      <c r="I1132" s="408" t="s">
        <v>402</v>
      </c>
      <c r="J1132" s="409" t="str">
        <f t="shared" si="222"/>
        <v>M=(Largo) x Cant</v>
      </c>
      <c r="K1132" s="410" t="str">
        <f>+K1131</f>
        <v>M</v>
      </c>
      <c r="L1132" s="411"/>
      <c r="M1132" s="412"/>
      <c r="N1132" s="442"/>
      <c r="O1132" s="442" t="str">
        <f t="shared" si="225"/>
        <v/>
      </c>
      <c r="P1132" s="413"/>
      <c r="Q1132" s="411"/>
      <c r="R1132" s="413" t="str">
        <f t="shared" si="226"/>
        <v/>
      </c>
      <c r="S1132" s="414">
        <f>+HLOOKUP(A1132,[238]Hoja1!$2:$78,65,FALSE)</f>
        <v>0</v>
      </c>
      <c r="X1132" s="458">
        <f t="shared" ref="X1132:X1134" si="227">+L1132*P1132</f>
        <v>0</v>
      </c>
      <c r="Y1132" s="471">
        <f t="shared" ref="Y1132:Y1134" si="228">+X1132-Q1132</f>
        <v>0</v>
      </c>
    </row>
    <row r="1133" spans="1:25">
      <c r="A1133" s="383">
        <v>4</v>
      </c>
      <c r="C1133" s="406"/>
      <c r="D1133" s="407"/>
      <c r="E1133" s="407"/>
      <c r="F1133" s="407"/>
      <c r="G1133" s="407"/>
      <c r="H1133" s="407"/>
      <c r="I1133" s="408" t="s">
        <v>403</v>
      </c>
      <c r="J1133" s="409" t="str">
        <f t="shared" si="222"/>
        <v>M=(Largo) x Cant</v>
      </c>
      <c r="K1133" s="410" t="str">
        <f>+K1132</f>
        <v>M</v>
      </c>
      <c r="L1133" s="411"/>
      <c r="M1133" s="412"/>
      <c r="N1133" s="442"/>
      <c r="O1133" s="442" t="str">
        <f t="shared" si="225"/>
        <v/>
      </c>
      <c r="P1133" s="413"/>
      <c r="Q1133" s="411"/>
      <c r="R1133" s="413" t="str">
        <f t="shared" si="226"/>
        <v/>
      </c>
      <c r="S1133" s="414">
        <f>+HLOOKUP(A1133,[238]Hoja1!$2:$78,65,FALSE)</f>
        <v>0</v>
      </c>
      <c r="X1133" s="458">
        <f t="shared" si="227"/>
        <v>0</v>
      </c>
      <c r="Y1133" s="471">
        <f t="shared" si="228"/>
        <v>0</v>
      </c>
    </row>
    <row r="1134" spans="1:25">
      <c r="A1134" s="383">
        <v>5</v>
      </c>
      <c r="C1134" s="406"/>
      <c r="D1134" s="407"/>
      <c r="E1134" s="407"/>
      <c r="F1134" s="407"/>
      <c r="G1134" s="407"/>
      <c r="H1134" s="407"/>
      <c r="I1134" s="408" t="s">
        <v>405</v>
      </c>
      <c r="J1134" s="409" t="str">
        <f t="shared" si="222"/>
        <v>M=(Largo) x Cant</v>
      </c>
      <c r="K1134" s="410" t="str">
        <f>+K1133</f>
        <v>M</v>
      </c>
      <c r="L1134" s="411"/>
      <c r="M1134" s="412"/>
      <c r="N1134" s="442"/>
      <c r="O1134" s="442" t="str">
        <f t="shared" si="225"/>
        <v/>
      </c>
      <c r="P1134" s="413"/>
      <c r="Q1134" s="411"/>
      <c r="R1134" s="413" t="str">
        <f t="shared" si="226"/>
        <v/>
      </c>
      <c r="S1134" s="414">
        <f>+HLOOKUP(A1134,[238]Hoja1!$2:$78,65,FALSE)</f>
        <v>0</v>
      </c>
      <c r="X1134" s="458">
        <f t="shared" si="227"/>
        <v>0</v>
      </c>
      <c r="Y1134" s="471">
        <f t="shared" si="228"/>
        <v>0</v>
      </c>
    </row>
    <row r="1135" spans="1:25">
      <c r="A1135" s="383">
        <v>6</v>
      </c>
      <c r="C1135" s="406"/>
      <c r="D1135" s="407"/>
      <c r="E1135" s="407"/>
      <c r="F1135" s="407"/>
      <c r="G1135" s="407"/>
      <c r="H1135" s="407"/>
      <c r="I1135" s="408" t="s">
        <v>407</v>
      </c>
      <c r="J1135" s="409" t="str">
        <f t="shared" si="222"/>
        <v>M=(Largo) x Cant</v>
      </c>
      <c r="K1135" s="410" t="str">
        <f>+K1134</f>
        <v>M</v>
      </c>
      <c r="L1135" s="411"/>
      <c r="M1135" s="412"/>
      <c r="N1135" s="442"/>
      <c r="O1135" s="442" t="str">
        <f t="shared" si="225"/>
        <v/>
      </c>
      <c r="P1135" s="413"/>
      <c r="Q1135" s="411"/>
      <c r="R1135" s="413" t="str">
        <f t="shared" si="226"/>
        <v/>
      </c>
      <c r="S1135" s="414">
        <f>+HLOOKUP(A1135,[238]Hoja1!$2:$78,65,FALSE)</f>
        <v>0</v>
      </c>
      <c r="X1135" s="458">
        <f>+L1135*P1135</f>
        <v>0</v>
      </c>
      <c r="Y1135" s="471">
        <f>+X1135-Q1135</f>
        <v>0</v>
      </c>
    </row>
    <row r="1136" spans="1:25">
      <c r="A1136" s="383">
        <v>7</v>
      </c>
      <c r="C1136" s="406"/>
      <c r="D1136" s="407"/>
      <c r="E1136" s="407"/>
      <c r="F1136" s="407"/>
      <c r="G1136" s="407"/>
      <c r="H1136" s="407"/>
      <c r="I1136" s="408" t="s">
        <v>409</v>
      </c>
      <c r="J1136" s="409" t="str">
        <f t="shared" si="222"/>
        <v>M=(Largo) x Cant</v>
      </c>
      <c r="K1136" s="410" t="str">
        <f>+K1130</f>
        <v>M</v>
      </c>
      <c r="L1136" s="411"/>
      <c r="M1136" s="412"/>
      <c r="N1136" s="442"/>
      <c r="O1136" s="442" t="str">
        <f t="shared" si="225"/>
        <v/>
      </c>
      <c r="P1136" s="413"/>
      <c r="Q1136" s="411"/>
      <c r="R1136" s="413" t="str">
        <f t="shared" si="226"/>
        <v/>
      </c>
      <c r="S1136" s="414">
        <f>+HLOOKUP(A1136,[238]Hoja1!$2:$78,65,FALSE)</f>
        <v>0</v>
      </c>
      <c r="X1136" s="458">
        <f t="shared" ref="X1136:X1172" si="229">+L1136*P1136</f>
        <v>0</v>
      </c>
      <c r="Y1136" s="471">
        <f t="shared" ref="Y1136:Y1172" si="230">+X1136-Q1136</f>
        <v>0</v>
      </c>
    </row>
    <row r="1137" spans="1:25">
      <c r="A1137" s="383">
        <v>8</v>
      </c>
      <c r="C1137" s="406"/>
      <c r="D1137" s="407"/>
      <c r="E1137" s="407"/>
      <c r="F1137" s="407"/>
      <c r="G1137" s="407"/>
      <c r="H1137" s="407"/>
      <c r="I1137" s="408" t="s">
        <v>411</v>
      </c>
      <c r="J1137" s="409" t="str">
        <f t="shared" si="222"/>
        <v>M=(Largo) x Cant</v>
      </c>
      <c r="K1137" s="410" t="str">
        <f>+K1136</f>
        <v>M</v>
      </c>
      <c r="L1137" s="411"/>
      <c r="M1137" s="412"/>
      <c r="N1137" s="442"/>
      <c r="O1137" s="442" t="str">
        <f t="shared" si="225"/>
        <v/>
      </c>
      <c r="P1137" s="413"/>
      <c r="Q1137" s="411"/>
      <c r="R1137" s="413" t="str">
        <f t="shared" si="226"/>
        <v/>
      </c>
      <c r="S1137" s="414">
        <f>+HLOOKUP(A1137,[238]Hoja1!$2:$78,65,FALSE)</f>
        <v>0</v>
      </c>
      <c r="X1137" s="458">
        <f t="shared" si="229"/>
        <v>0</v>
      </c>
      <c r="Y1137" s="471">
        <f t="shared" si="230"/>
        <v>0</v>
      </c>
    </row>
    <row r="1138" spans="1:25">
      <c r="A1138" s="383">
        <v>9</v>
      </c>
      <c r="C1138" s="406"/>
      <c r="D1138" s="407"/>
      <c r="E1138" s="407"/>
      <c r="F1138" s="407"/>
      <c r="G1138" s="407"/>
      <c r="H1138" s="407"/>
      <c r="I1138" s="408" t="s">
        <v>412</v>
      </c>
      <c r="J1138" s="409" t="str">
        <f t="shared" si="222"/>
        <v>M=(Largo) x Cant</v>
      </c>
      <c r="K1138" s="410" t="str">
        <f>+K1137</f>
        <v>M</v>
      </c>
      <c r="L1138" s="411"/>
      <c r="M1138" s="412"/>
      <c r="N1138" s="442"/>
      <c r="O1138" s="442" t="str">
        <f t="shared" si="225"/>
        <v/>
      </c>
      <c r="P1138" s="413"/>
      <c r="Q1138" s="411"/>
      <c r="R1138" s="413" t="str">
        <f t="shared" si="226"/>
        <v/>
      </c>
      <c r="S1138" s="414">
        <f>+HLOOKUP(A1138,[238]Hoja1!$2:$78,65,FALSE)</f>
        <v>0</v>
      </c>
      <c r="X1138" s="458">
        <f t="shared" si="229"/>
        <v>0</v>
      </c>
      <c r="Y1138" s="471">
        <f t="shared" si="230"/>
        <v>0</v>
      </c>
    </row>
    <row r="1139" spans="1:25">
      <c r="A1139" s="383">
        <v>10</v>
      </c>
      <c r="C1139" s="406"/>
      <c r="D1139" s="407"/>
      <c r="E1139" s="407"/>
      <c r="F1139" s="407"/>
      <c r="G1139" s="407"/>
      <c r="H1139" s="407"/>
      <c r="I1139" s="408" t="s">
        <v>413</v>
      </c>
      <c r="J1139" s="409" t="str">
        <f t="shared" si="222"/>
        <v>M=(Largo) x Cant</v>
      </c>
      <c r="K1139" s="410" t="str">
        <f>+K1138</f>
        <v>M</v>
      </c>
      <c r="L1139" s="411"/>
      <c r="M1139" s="412"/>
      <c r="N1139" s="441"/>
      <c r="O1139" s="442" t="str">
        <f t="shared" si="225"/>
        <v/>
      </c>
      <c r="P1139" s="412"/>
      <c r="Q1139" s="411"/>
      <c r="R1139" s="413" t="str">
        <f t="shared" si="226"/>
        <v/>
      </c>
      <c r="S1139" s="414">
        <f>+HLOOKUP(A1139,[238]Hoja1!$2:$78,65,FALSE)</f>
        <v>0</v>
      </c>
      <c r="X1139" s="458">
        <f t="shared" si="229"/>
        <v>0</v>
      </c>
      <c r="Y1139" s="471">
        <f t="shared" si="230"/>
        <v>0</v>
      </c>
    </row>
    <row r="1140" spans="1:25">
      <c r="A1140" s="383">
        <v>11</v>
      </c>
      <c r="C1140" s="406"/>
      <c r="D1140" s="407"/>
      <c r="E1140" s="407"/>
      <c r="F1140" s="407"/>
      <c r="G1140" s="407"/>
      <c r="H1140" s="407"/>
      <c r="I1140" s="408" t="s">
        <v>414</v>
      </c>
      <c r="J1140" s="409" t="str">
        <f t="shared" si="222"/>
        <v>M=(Largo) x Cant</v>
      </c>
      <c r="K1140" s="410" t="str">
        <f>+K1139</f>
        <v>M</v>
      </c>
      <c r="L1140" s="411"/>
      <c r="M1140" s="412"/>
      <c r="N1140" s="443"/>
      <c r="O1140" s="442" t="str">
        <f t="shared" si="225"/>
        <v/>
      </c>
      <c r="P1140" s="412"/>
      <c r="Q1140" s="411"/>
      <c r="R1140" s="413" t="str">
        <f t="shared" si="226"/>
        <v/>
      </c>
      <c r="S1140" s="414">
        <f>+HLOOKUP(A1140,[238]Hoja1!$2:$78,65,FALSE)</f>
        <v>0</v>
      </c>
      <c r="X1140" s="458">
        <f t="shared" si="229"/>
        <v>0</v>
      </c>
      <c r="Y1140" s="471">
        <f t="shared" si="230"/>
        <v>0</v>
      </c>
    </row>
    <row r="1141" spans="1:25">
      <c r="A1141" s="383">
        <v>12</v>
      </c>
      <c r="C1141" s="406"/>
      <c r="D1141" s="407"/>
      <c r="E1141" s="407"/>
      <c r="F1141" s="407"/>
      <c r="G1141" s="407"/>
      <c r="H1141" s="407"/>
      <c r="I1141" s="408" t="s">
        <v>415</v>
      </c>
      <c r="J1141" s="409" t="str">
        <f t="shared" si="222"/>
        <v>M=(Largo) x Cant</v>
      </c>
      <c r="K1141" s="410" t="str">
        <f>+K1135</f>
        <v>M</v>
      </c>
      <c r="L1141" s="411"/>
      <c r="M1141" s="412"/>
      <c r="N1141" s="442"/>
      <c r="O1141" s="442" t="str">
        <f t="shared" si="225"/>
        <v/>
      </c>
      <c r="P1141" s="413"/>
      <c r="Q1141" s="411"/>
      <c r="R1141" s="413" t="str">
        <f t="shared" si="226"/>
        <v/>
      </c>
      <c r="S1141" s="414">
        <f>+HLOOKUP(A1141,[238]Hoja1!$2:$78,65,FALSE)</f>
        <v>0</v>
      </c>
      <c r="X1141" s="458">
        <f t="shared" si="229"/>
        <v>0</v>
      </c>
      <c r="Y1141" s="471">
        <f t="shared" si="230"/>
        <v>0</v>
      </c>
    </row>
    <row r="1142" spans="1:25">
      <c r="A1142" s="383">
        <v>13</v>
      </c>
      <c r="C1142" s="406"/>
      <c r="D1142" s="407"/>
      <c r="E1142" s="407"/>
      <c r="F1142" s="407"/>
      <c r="G1142" s="407"/>
      <c r="H1142" s="407"/>
      <c r="I1142" s="408" t="s">
        <v>416</v>
      </c>
      <c r="J1142" s="409" t="str">
        <f t="shared" si="222"/>
        <v>M=(Largo) x Cant</v>
      </c>
      <c r="K1142" s="410" t="str">
        <f>+K1137</f>
        <v>M</v>
      </c>
      <c r="L1142" s="411"/>
      <c r="M1142" s="412"/>
      <c r="N1142" s="442"/>
      <c r="O1142" s="442" t="str">
        <f t="shared" si="225"/>
        <v/>
      </c>
      <c r="P1142" s="413"/>
      <c r="Q1142" s="411"/>
      <c r="R1142" s="413" t="str">
        <f t="shared" si="226"/>
        <v/>
      </c>
      <c r="S1142" s="414">
        <f>+HLOOKUP(A1142,[238]Hoja1!$2:$78,65,FALSE)</f>
        <v>0</v>
      </c>
      <c r="X1142" s="458">
        <f t="shared" si="229"/>
        <v>0</v>
      </c>
      <c r="Y1142" s="471">
        <f t="shared" si="230"/>
        <v>0</v>
      </c>
    </row>
    <row r="1143" spans="1:25">
      <c r="A1143" s="383">
        <v>14</v>
      </c>
      <c r="C1143" s="406"/>
      <c r="D1143" s="407"/>
      <c r="E1143" s="407"/>
      <c r="F1143" s="407"/>
      <c r="G1143" s="407"/>
      <c r="H1143" s="407"/>
      <c r="I1143" s="408" t="s">
        <v>417</v>
      </c>
      <c r="J1143" s="409" t="str">
        <f t="shared" si="222"/>
        <v>M=(Largo) x Cant</v>
      </c>
      <c r="K1143" s="410" t="str">
        <f t="shared" ref="K1143:K1154" si="231">+K1142</f>
        <v>M</v>
      </c>
      <c r="L1143" s="411"/>
      <c r="M1143" s="412"/>
      <c r="N1143" s="442"/>
      <c r="O1143" s="442" t="str">
        <f t="shared" si="225"/>
        <v/>
      </c>
      <c r="P1143" s="413"/>
      <c r="Q1143" s="411"/>
      <c r="R1143" s="413" t="str">
        <f t="shared" si="226"/>
        <v/>
      </c>
      <c r="S1143" s="414">
        <f>+HLOOKUP(A1143,[238]Hoja1!$2:$78,65,FALSE)</f>
        <v>0</v>
      </c>
      <c r="X1143" s="458">
        <f t="shared" si="229"/>
        <v>0</v>
      </c>
      <c r="Y1143" s="471">
        <f t="shared" si="230"/>
        <v>0</v>
      </c>
    </row>
    <row r="1144" spans="1:25">
      <c r="A1144" s="383">
        <v>15</v>
      </c>
      <c r="C1144" s="406"/>
      <c r="D1144" s="407"/>
      <c r="E1144" s="407"/>
      <c r="F1144" s="407"/>
      <c r="G1144" s="407"/>
      <c r="H1144" s="407"/>
      <c r="I1144" s="408" t="s">
        <v>418</v>
      </c>
      <c r="J1144" s="409" t="str">
        <f t="shared" si="222"/>
        <v>M=(Largo) x Cant</v>
      </c>
      <c r="K1144" s="410" t="str">
        <f t="shared" si="231"/>
        <v>M</v>
      </c>
      <c r="L1144" s="411"/>
      <c r="M1144" s="412"/>
      <c r="N1144" s="442"/>
      <c r="O1144" s="442" t="str">
        <f t="shared" si="225"/>
        <v/>
      </c>
      <c r="P1144" s="449"/>
      <c r="Q1144" s="411"/>
      <c r="R1144" s="413" t="str">
        <f t="shared" si="226"/>
        <v/>
      </c>
      <c r="S1144" s="414">
        <f>+HLOOKUP(A1144,[238]Hoja1!$2:$78,65,FALSE)</f>
        <v>0</v>
      </c>
      <c r="X1144" s="458">
        <f t="shared" si="229"/>
        <v>0</v>
      </c>
      <c r="Y1144" s="471">
        <f t="shared" si="230"/>
        <v>0</v>
      </c>
    </row>
    <row r="1145" spans="1:25">
      <c r="A1145" s="383">
        <v>16</v>
      </c>
      <c r="C1145" s="406"/>
      <c r="D1145" s="407"/>
      <c r="E1145" s="407"/>
      <c r="F1145" s="407"/>
      <c r="G1145" s="407"/>
      <c r="H1145" s="407"/>
      <c r="I1145" s="408" t="s">
        <v>419</v>
      </c>
      <c r="J1145" s="409" t="str">
        <f t="shared" si="222"/>
        <v>M=(Largo) x Cant</v>
      </c>
      <c r="K1145" s="410" t="str">
        <f t="shared" si="231"/>
        <v>M</v>
      </c>
      <c r="L1145" s="411"/>
      <c r="M1145" s="412"/>
      <c r="N1145" s="442"/>
      <c r="O1145" s="442" t="str">
        <f t="shared" si="225"/>
        <v/>
      </c>
      <c r="P1145" s="449"/>
      <c r="Q1145" s="411"/>
      <c r="R1145" s="413" t="str">
        <f t="shared" si="226"/>
        <v/>
      </c>
      <c r="S1145" s="414">
        <f>+HLOOKUP(A1145,[238]Hoja1!$2:$78,65,FALSE)</f>
        <v>0</v>
      </c>
      <c r="X1145" s="458">
        <f t="shared" si="229"/>
        <v>0</v>
      </c>
      <c r="Y1145" s="471">
        <f t="shared" si="230"/>
        <v>0</v>
      </c>
    </row>
    <row r="1146" spans="1:25">
      <c r="A1146" s="383">
        <v>17</v>
      </c>
      <c r="C1146" s="406"/>
      <c r="D1146" s="407"/>
      <c r="E1146" s="407"/>
      <c r="F1146" s="407"/>
      <c r="G1146" s="407"/>
      <c r="H1146" s="407"/>
      <c r="I1146" s="408" t="s">
        <v>420</v>
      </c>
      <c r="J1146" s="409" t="str">
        <f t="shared" si="222"/>
        <v>M=(Largo) x Cant</v>
      </c>
      <c r="K1146" s="410" t="str">
        <f t="shared" si="231"/>
        <v>M</v>
      </c>
      <c r="L1146" s="411"/>
      <c r="M1146" s="412"/>
      <c r="N1146" s="442"/>
      <c r="O1146" s="442" t="str">
        <f t="shared" si="225"/>
        <v/>
      </c>
      <c r="P1146" s="448"/>
      <c r="Q1146" s="411"/>
      <c r="R1146" s="413" t="str">
        <f t="shared" si="226"/>
        <v/>
      </c>
      <c r="S1146" s="414">
        <f>+HLOOKUP(A1146,[238]Hoja1!$2:$78,65,FALSE)</f>
        <v>0</v>
      </c>
      <c r="V1146" s="383" t="e">
        <f>+P1146*O1146*N1146</f>
        <v>#VALUE!</v>
      </c>
      <c r="X1146" s="458">
        <f t="shared" si="229"/>
        <v>0</v>
      </c>
      <c r="Y1146" s="471">
        <f t="shared" si="230"/>
        <v>0</v>
      </c>
    </row>
    <row r="1147" spans="1:25">
      <c r="A1147" s="383">
        <v>18</v>
      </c>
      <c r="C1147" s="406"/>
      <c r="D1147" s="407"/>
      <c r="E1147" s="407"/>
      <c r="F1147" s="407"/>
      <c r="G1147" s="407"/>
      <c r="H1147" s="407"/>
      <c r="I1147" s="408" t="s">
        <v>429</v>
      </c>
      <c r="J1147" s="409" t="str">
        <f t="shared" si="222"/>
        <v>M=(Largo) x Cant</v>
      </c>
      <c r="K1147" s="410" t="str">
        <f t="shared" si="231"/>
        <v>M</v>
      </c>
      <c r="L1147" s="411"/>
      <c r="M1147" s="412"/>
      <c r="N1147" s="442"/>
      <c r="O1147" s="442" t="str">
        <f t="shared" si="225"/>
        <v/>
      </c>
      <c r="P1147" s="413"/>
      <c r="Q1147" s="411"/>
      <c r="R1147" s="413" t="str">
        <f t="shared" si="226"/>
        <v/>
      </c>
      <c r="S1147" s="414">
        <f>+HLOOKUP(A1147,[238]Hoja1!$2:$78,65,FALSE)</f>
        <v>0</v>
      </c>
      <c r="X1147" s="458">
        <f t="shared" si="229"/>
        <v>0</v>
      </c>
      <c r="Y1147" s="471">
        <f t="shared" si="230"/>
        <v>0</v>
      </c>
    </row>
    <row r="1148" spans="1:25">
      <c r="A1148" s="383">
        <v>19</v>
      </c>
      <c r="C1148" s="406"/>
      <c r="D1148" s="407"/>
      <c r="E1148" s="407"/>
      <c r="F1148" s="407"/>
      <c r="G1148" s="407"/>
      <c r="H1148" s="407"/>
      <c r="I1148" s="408" t="s">
        <v>430</v>
      </c>
      <c r="J1148" s="409" t="str">
        <f t="shared" si="222"/>
        <v>M=(Largo) x Cant</v>
      </c>
      <c r="K1148" s="410" t="str">
        <f t="shared" si="231"/>
        <v>M</v>
      </c>
      <c r="L1148" s="411"/>
      <c r="M1148" s="412"/>
      <c r="N1148" s="442"/>
      <c r="O1148" s="442" t="str">
        <f t="shared" si="225"/>
        <v/>
      </c>
      <c r="P1148" s="448"/>
      <c r="Q1148" s="411"/>
      <c r="R1148" s="413" t="str">
        <f t="shared" si="226"/>
        <v/>
      </c>
      <c r="S1148" s="414">
        <f>+HLOOKUP(A1148,[238]Hoja1!$2:$78,65,FALSE)</f>
        <v>0</v>
      </c>
      <c r="X1148" s="458">
        <f t="shared" si="229"/>
        <v>0</v>
      </c>
      <c r="Y1148" s="471">
        <f t="shared" si="230"/>
        <v>0</v>
      </c>
    </row>
    <row r="1149" spans="1:25">
      <c r="A1149" s="383">
        <v>20</v>
      </c>
      <c r="C1149" s="406"/>
      <c r="D1149" s="407"/>
      <c r="E1149" s="407"/>
      <c r="F1149" s="407"/>
      <c r="G1149" s="407"/>
      <c r="H1149" s="407"/>
      <c r="I1149" s="408" t="s">
        <v>431</v>
      </c>
      <c r="J1149" s="409" t="str">
        <f t="shared" si="222"/>
        <v>M=(Largo) x Cant</v>
      </c>
      <c r="K1149" s="410" t="str">
        <f t="shared" si="231"/>
        <v>M</v>
      </c>
      <c r="L1149" s="411"/>
      <c r="M1149" s="412"/>
      <c r="N1149" s="442"/>
      <c r="O1149" s="442" t="str">
        <f t="shared" si="225"/>
        <v/>
      </c>
      <c r="P1149" s="413"/>
      <c r="Q1149" s="411"/>
      <c r="R1149" s="413" t="str">
        <f t="shared" si="226"/>
        <v/>
      </c>
      <c r="S1149" s="414">
        <f>+HLOOKUP(A1149,[238]Hoja1!$2:$78,65,FALSE)</f>
        <v>0</v>
      </c>
      <c r="X1149" s="458">
        <f t="shared" si="229"/>
        <v>0</v>
      </c>
      <c r="Y1149" s="471">
        <f t="shared" si="230"/>
        <v>0</v>
      </c>
    </row>
    <row r="1150" spans="1:25">
      <c r="A1150" s="383">
        <v>21</v>
      </c>
      <c r="C1150" s="406"/>
      <c r="D1150" s="407"/>
      <c r="E1150" s="407"/>
      <c r="F1150" s="407"/>
      <c r="G1150" s="407"/>
      <c r="H1150" s="407"/>
      <c r="I1150" s="408" t="s">
        <v>432</v>
      </c>
      <c r="J1150" s="409" t="str">
        <f t="shared" si="222"/>
        <v>M=(Largo) x Cant</v>
      </c>
      <c r="K1150" s="410" t="str">
        <f t="shared" si="231"/>
        <v>M</v>
      </c>
      <c r="L1150" s="411"/>
      <c r="M1150" s="412"/>
      <c r="N1150" s="442"/>
      <c r="O1150" s="442" t="str">
        <f t="shared" si="225"/>
        <v/>
      </c>
      <c r="P1150" s="412"/>
      <c r="Q1150" s="411"/>
      <c r="R1150" s="413" t="str">
        <f t="shared" si="226"/>
        <v/>
      </c>
      <c r="S1150" s="414">
        <f>+HLOOKUP(A1150,[238]Hoja1!$2:$78,65,FALSE)</f>
        <v>0</v>
      </c>
      <c r="X1150" s="458">
        <f t="shared" si="229"/>
        <v>0</v>
      </c>
      <c r="Y1150" s="471">
        <f t="shared" si="230"/>
        <v>0</v>
      </c>
    </row>
    <row r="1151" spans="1:25">
      <c r="A1151" s="383">
        <v>22</v>
      </c>
      <c r="C1151" s="406"/>
      <c r="D1151" s="407"/>
      <c r="E1151" s="407"/>
      <c r="F1151" s="407"/>
      <c r="G1151" s="407"/>
      <c r="H1151" s="407"/>
      <c r="I1151" s="408" t="s">
        <v>433</v>
      </c>
      <c r="J1151" s="409" t="str">
        <f t="shared" si="222"/>
        <v>M=(Largo) x Cant</v>
      </c>
      <c r="K1151" s="410" t="str">
        <f t="shared" si="231"/>
        <v>M</v>
      </c>
      <c r="L1151" s="411"/>
      <c r="M1151" s="412"/>
      <c r="N1151" s="442"/>
      <c r="O1151" s="442" t="str">
        <f t="shared" si="225"/>
        <v/>
      </c>
      <c r="P1151" s="448"/>
      <c r="Q1151" s="411"/>
      <c r="R1151" s="413" t="str">
        <f t="shared" si="226"/>
        <v/>
      </c>
      <c r="S1151" s="414">
        <f>+HLOOKUP(A1151,[238]Hoja1!$2:$78,65,FALSE)</f>
        <v>0</v>
      </c>
      <c r="X1151" s="458">
        <f t="shared" si="229"/>
        <v>0</v>
      </c>
      <c r="Y1151" s="471">
        <f t="shared" si="230"/>
        <v>0</v>
      </c>
    </row>
    <row r="1152" spans="1:25">
      <c r="A1152" s="383">
        <v>23</v>
      </c>
      <c r="C1152" s="406"/>
      <c r="D1152" s="407"/>
      <c r="E1152" s="407"/>
      <c r="F1152" s="407"/>
      <c r="G1152" s="407"/>
      <c r="H1152" s="407"/>
      <c r="I1152" s="408" t="s">
        <v>434</v>
      </c>
      <c r="J1152" s="409" t="str">
        <f t="shared" si="222"/>
        <v>M=(Largo) x Cant</v>
      </c>
      <c r="K1152" s="410" t="str">
        <f t="shared" si="231"/>
        <v>M</v>
      </c>
      <c r="L1152" s="411"/>
      <c r="M1152" s="412"/>
      <c r="N1152" s="441"/>
      <c r="O1152" s="442" t="str">
        <f t="shared" si="225"/>
        <v/>
      </c>
      <c r="P1152" s="412"/>
      <c r="Q1152" s="411"/>
      <c r="R1152" s="413" t="str">
        <f t="shared" si="226"/>
        <v/>
      </c>
      <c r="S1152" s="414">
        <f>+HLOOKUP(A1152,[238]Hoja1!$2:$78,65,FALSE)</f>
        <v>0</v>
      </c>
      <c r="X1152" s="458">
        <f t="shared" si="229"/>
        <v>0</v>
      </c>
      <c r="Y1152" s="471">
        <f t="shared" si="230"/>
        <v>0</v>
      </c>
    </row>
    <row r="1153" spans="1:25">
      <c r="A1153" s="383">
        <v>24</v>
      </c>
      <c r="C1153" s="406"/>
      <c r="D1153" s="407"/>
      <c r="E1153" s="407"/>
      <c r="F1153" s="407"/>
      <c r="G1153" s="407"/>
      <c r="H1153" s="407"/>
      <c r="I1153" s="408" t="s">
        <v>435</v>
      </c>
      <c r="J1153" s="409" t="str">
        <f t="shared" si="222"/>
        <v>M=(Largo) x Cant</v>
      </c>
      <c r="K1153" s="410" t="str">
        <f t="shared" si="231"/>
        <v>M</v>
      </c>
      <c r="L1153" s="411"/>
      <c r="M1153" s="412"/>
      <c r="N1153" s="442"/>
      <c r="O1153" s="442" t="str">
        <f t="shared" si="225"/>
        <v/>
      </c>
      <c r="P1153" s="413"/>
      <c r="Q1153" s="411"/>
      <c r="R1153" s="413" t="str">
        <f t="shared" si="226"/>
        <v/>
      </c>
      <c r="S1153" s="414">
        <f>+HLOOKUP(A1153,[238]Hoja1!$2:$78,65,FALSE)</f>
        <v>0</v>
      </c>
      <c r="X1153" s="458">
        <f t="shared" si="229"/>
        <v>0</v>
      </c>
      <c r="Y1153" s="471">
        <f t="shared" si="230"/>
        <v>0</v>
      </c>
    </row>
    <row r="1154" spans="1:25">
      <c r="A1154" s="383">
        <v>25</v>
      </c>
      <c r="C1154" s="406"/>
      <c r="D1154" s="407"/>
      <c r="E1154" s="407"/>
      <c r="F1154" s="407"/>
      <c r="G1154" s="407"/>
      <c r="H1154" s="407"/>
      <c r="I1154" s="408" t="s">
        <v>436</v>
      </c>
      <c r="J1154" s="409" t="str">
        <f t="shared" si="222"/>
        <v>M=(Largo) x Cant</v>
      </c>
      <c r="K1154" s="410" t="str">
        <f t="shared" si="231"/>
        <v>M</v>
      </c>
      <c r="L1154" s="411"/>
      <c r="M1154" s="412"/>
      <c r="N1154" s="442"/>
      <c r="O1154" s="442" t="str">
        <f t="shared" si="225"/>
        <v/>
      </c>
      <c r="P1154" s="450"/>
      <c r="Q1154" s="411"/>
      <c r="R1154" s="413" t="str">
        <f t="shared" si="226"/>
        <v/>
      </c>
      <c r="S1154" s="414">
        <f>+HLOOKUP(A1154,[238]Hoja1!$2:$78,65,FALSE)</f>
        <v>0</v>
      </c>
      <c r="X1154" s="458">
        <f t="shared" si="229"/>
        <v>0</v>
      </c>
      <c r="Y1154" s="471">
        <f t="shared" si="230"/>
        <v>0</v>
      </c>
    </row>
    <row r="1155" spans="1:25">
      <c r="A1155" s="383">
        <v>26</v>
      </c>
      <c r="C1155" s="406"/>
      <c r="D1155" s="407"/>
      <c r="E1155" s="407"/>
      <c r="F1155" s="407"/>
      <c r="G1155" s="407"/>
      <c r="H1155" s="407"/>
      <c r="I1155" s="408" t="s">
        <v>437</v>
      </c>
      <c r="J1155" s="409" t="str">
        <f t="shared" si="222"/>
        <v>M=(Largo) x Cant</v>
      </c>
      <c r="K1155" s="410" t="str">
        <f>+K1144</f>
        <v>M</v>
      </c>
      <c r="L1155" s="411"/>
      <c r="M1155" s="412"/>
      <c r="N1155" s="442"/>
      <c r="O1155" s="442" t="str">
        <f t="shared" si="225"/>
        <v/>
      </c>
      <c r="P1155" s="412"/>
      <c r="Q1155" s="411"/>
      <c r="R1155" s="413" t="str">
        <f t="shared" si="226"/>
        <v/>
      </c>
      <c r="S1155" s="414">
        <f>+HLOOKUP(A1155,[238]Hoja1!$2:$78,65,FALSE)</f>
        <v>0</v>
      </c>
      <c r="X1155" s="458">
        <f t="shared" si="229"/>
        <v>0</v>
      </c>
      <c r="Y1155" s="471">
        <f t="shared" si="230"/>
        <v>0</v>
      </c>
    </row>
    <row r="1156" spans="1:25">
      <c r="A1156" s="383">
        <v>27</v>
      </c>
      <c r="C1156" s="406"/>
      <c r="D1156" s="407"/>
      <c r="E1156" s="407"/>
      <c r="F1156" s="407"/>
      <c r="G1156" s="407"/>
      <c r="H1156" s="407"/>
      <c r="I1156" s="408" t="s">
        <v>438</v>
      </c>
      <c r="J1156" s="409" t="str">
        <f t="shared" si="222"/>
        <v>M=(Largo) x Cant</v>
      </c>
      <c r="K1156" s="410" t="str">
        <f t="shared" ref="K1156:K1164" si="232">+K1155</f>
        <v>M</v>
      </c>
      <c r="L1156" s="411"/>
      <c r="M1156" s="412"/>
      <c r="N1156" s="442"/>
      <c r="O1156" s="442" t="str">
        <f t="shared" si="225"/>
        <v/>
      </c>
      <c r="P1156" s="448"/>
      <c r="Q1156" s="411"/>
      <c r="R1156" s="413" t="str">
        <f t="shared" si="226"/>
        <v/>
      </c>
      <c r="S1156" s="414">
        <f>+HLOOKUP(A1156,[238]Hoja1!$2:$78,65,FALSE)</f>
        <v>0</v>
      </c>
      <c r="X1156" s="458">
        <f t="shared" si="229"/>
        <v>0</v>
      </c>
      <c r="Y1156" s="471">
        <f t="shared" si="230"/>
        <v>0</v>
      </c>
    </row>
    <row r="1157" spans="1:25">
      <c r="A1157" s="383">
        <v>28</v>
      </c>
      <c r="C1157" s="406"/>
      <c r="D1157" s="440"/>
      <c r="E1157" s="407"/>
      <c r="F1157" s="407"/>
      <c r="G1157" s="407"/>
      <c r="H1157" s="437"/>
      <c r="I1157" s="408" t="s">
        <v>439</v>
      </c>
      <c r="J1157" s="409" t="str">
        <f t="shared" si="222"/>
        <v>M=(Largo) x Cant</v>
      </c>
      <c r="K1157" s="410" t="str">
        <f t="shared" si="232"/>
        <v>M</v>
      </c>
      <c r="L1157" s="411"/>
      <c r="M1157" s="412"/>
      <c r="N1157" s="442"/>
      <c r="O1157" s="442" t="str">
        <f t="shared" si="225"/>
        <v/>
      </c>
      <c r="P1157" s="413"/>
      <c r="Q1157" s="411"/>
      <c r="R1157" s="413" t="str">
        <f t="shared" si="226"/>
        <v/>
      </c>
      <c r="S1157" s="414">
        <f>+HLOOKUP(A1157,[238]Hoja1!$2:$78,65,FALSE)</f>
        <v>0</v>
      </c>
      <c r="X1157" s="458">
        <f t="shared" si="229"/>
        <v>0</v>
      </c>
      <c r="Y1157" s="471">
        <f t="shared" si="230"/>
        <v>0</v>
      </c>
    </row>
    <row r="1158" spans="1:25">
      <c r="A1158" s="383">
        <v>29</v>
      </c>
      <c r="C1158" s="406"/>
      <c r="D1158" s="407"/>
      <c r="E1158" s="407"/>
      <c r="F1158" s="407"/>
      <c r="G1158" s="407"/>
      <c r="H1158" s="407"/>
      <c r="I1158" s="408" t="s">
        <v>440</v>
      </c>
      <c r="J1158" s="409" t="str">
        <f t="shared" si="222"/>
        <v>M=(Largo) x Cant</v>
      </c>
      <c r="K1158" s="410" t="str">
        <f t="shared" si="232"/>
        <v>M</v>
      </c>
      <c r="L1158" s="411"/>
      <c r="M1158" s="412"/>
      <c r="N1158" s="443"/>
      <c r="O1158" s="442" t="str">
        <f t="shared" si="225"/>
        <v/>
      </c>
      <c r="P1158" s="412"/>
      <c r="Q1158" s="411"/>
      <c r="R1158" s="413" t="str">
        <f t="shared" si="226"/>
        <v/>
      </c>
      <c r="S1158" s="414">
        <f>+HLOOKUP(A1158,[238]Hoja1!$2:$78,65,FALSE)</f>
        <v>0</v>
      </c>
      <c r="X1158" s="458">
        <f t="shared" si="229"/>
        <v>0</v>
      </c>
      <c r="Y1158" s="471">
        <f t="shared" si="230"/>
        <v>0</v>
      </c>
    </row>
    <row r="1159" spans="1:25">
      <c r="A1159" s="383">
        <v>30</v>
      </c>
      <c r="C1159" s="406"/>
      <c r="D1159" s="407"/>
      <c r="E1159" s="407"/>
      <c r="F1159" s="407"/>
      <c r="G1159" s="407"/>
      <c r="H1159" s="407"/>
      <c r="I1159" s="408" t="s">
        <v>441</v>
      </c>
      <c r="J1159" s="409" t="str">
        <f t="shared" si="222"/>
        <v>M=(Largo) x Cant</v>
      </c>
      <c r="K1159" s="410" t="str">
        <f t="shared" si="232"/>
        <v>M</v>
      </c>
      <c r="L1159" s="411"/>
      <c r="M1159" s="412"/>
      <c r="N1159" s="442"/>
      <c r="O1159" s="442" t="str">
        <f t="shared" si="225"/>
        <v/>
      </c>
      <c r="P1159" s="413"/>
      <c r="Q1159" s="411"/>
      <c r="R1159" s="413" t="str">
        <f t="shared" si="226"/>
        <v/>
      </c>
      <c r="S1159" s="414">
        <f>+HLOOKUP(A1159,[238]Hoja1!$2:$78,65,FALSE)</f>
        <v>0</v>
      </c>
      <c r="X1159" s="458">
        <f t="shared" si="229"/>
        <v>0</v>
      </c>
      <c r="Y1159" s="471">
        <f t="shared" si="230"/>
        <v>0</v>
      </c>
    </row>
    <row r="1160" spans="1:25">
      <c r="A1160" s="383">
        <v>31</v>
      </c>
      <c r="C1160" s="406"/>
      <c r="D1160" s="407"/>
      <c r="E1160" s="407"/>
      <c r="F1160" s="407"/>
      <c r="G1160" s="407"/>
      <c r="H1160" s="407"/>
      <c r="I1160" s="408" t="s">
        <v>442</v>
      </c>
      <c r="J1160" s="409" t="str">
        <f t="shared" si="222"/>
        <v>M=(Largo) x Cant</v>
      </c>
      <c r="K1160" s="410" t="str">
        <f t="shared" si="232"/>
        <v>M</v>
      </c>
      <c r="L1160" s="411"/>
      <c r="M1160" s="412"/>
      <c r="N1160" s="442"/>
      <c r="O1160" s="442" t="str">
        <f t="shared" si="225"/>
        <v/>
      </c>
      <c r="P1160" s="413"/>
      <c r="Q1160" s="411"/>
      <c r="R1160" s="413" t="str">
        <f t="shared" si="226"/>
        <v/>
      </c>
      <c r="S1160" s="414">
        <f>+HLOOKUP(A1160,[238]Hoja1!$2:$78,65,FALSE)</f>
        <v>0</v>
      </c>
      <c r="X1160" s="458">
        <f t="shared" si="229"/>
        <v>0</v>
      </c>
      <c r="Y1160" s="471">
        <f t="shared" si="230"/>
        <v>0</v>
      </c>
    </row>
    <row r="1161" spans="1:25">
      <c r="A1161" s="383">
        <v>32</v>
      </c>
      <c r="C1161" s="406"/>
      <c r="D1161" s="407"/>
      <c r="E1161" s="407"/>
      <c r="F1161" s="407"/>
      <c r="G1161" s="407"/>
      <c r="H1161" s="407"/>
      <c r="I1161" s="408" t="s">
        <v>443</v>
      </c>
      <c r="J1161" s="409" t="str">
        <f t="shared" si="222"/>
        <v>M=(Largo) x Cant</v>
      </c>
      <c r="K1161" s="410" t="str">
        <f t="shared" si="232"/>
        <v>M</v>
      </c>
      <c r="L1161" s="411"/>
      <c r="M1161" s="412"/>
      <c r="N1161" s="442"/>
      <c r="O1161" s="442" t="str">
        <f t="shared" si="225"/>
        <v/>
      </c>
      <c r="P1161" s="413"/>
      <c r="Q1161" s="411"/>
      <c r="R1161" s="413" t="str">
        <f t="shared" si="226"/>
        <v/>
      </c>
      <c r="S1161" s="414">
        <f>+HLOOKUP(A1161,[238]Hoja1!$2:$78,65,FALSE)</f>
        <v>0</v>
      </c>
      <c r="X1161" s="458">
        <f t="shared" si="229"/>
        <v>0</v>
      </c>
      <c r="Y1161" s="471">
        <f t="shared" si="230"/>
        <v>0</v>
      </c>
    </row>
    <row r="1162" spans="1:25">
      <c r="A1162" s="383">
        <v>33</v>
      </c>
      <c r="C1162" s="406"/>
      <c r="D1162" s="407"/>
      <c r="E1162" s="407"/>
      <c r="F1162" s="407"/>
      <c r="G1162" s="407"/>
      <c r="H1162" s="407"/>
      <c r="I1162" s="408" t="s">
        <v>444</v>
      </c>
      <c r="J1162" s="409" t="str">
        <f t="shared" si="222"/>
        <v>M=(Largo) x Cant</v>
      </c>
      <c r="K1162" s="410" t="str">
        <f t="shared" si="232"/>
        <v>M</v>
      </c>
      <c r="L1162" s="411"/>
      <c r="M1162" s="412"/>
      <c r="N1162" s="442"/>
      <c r="O1162" s="442" t="str">
        <f t="shared" si="225"/>
        <v/>
      </c>
      <c r="P1162" s="412"/>
      <c r="Q1162" s="411"/>
      <c r="R1162" s="413" t="str">
        <f t="shared" si="226"/>
        <v/>
      </c>
      <c r="S1162" s="414">
        <f>+HLOOKUP(A1162,[238]Hoja1!$2:$78,65,FALSE)</f>
        <v>0</v>
      </c>
      <c r="X1162" s="458">
        <f t="shared" si="229"/>
        <v>0</v>
      </c>
      <c r="Y1162" s="471">
        <f t="shared" si="230"/>
        <v>0</v>
      </c>
    </row>
    <row r="1163" spans="1:25">
      <c r="A1163" s="383">
        <v>34</v>
      </c>
      <c r="C1163" s="406"/>
      <c r="D1163" s="407"/>
      <c r="E1163" s="407"/>
      <c r="F1163" s="407"/>
      <c r="G1163" s="407"/>
      <c r="H1163" s="407"/>
      <c r="I1163" s="408" t="s">
        <v>445</v>
      </c>
      <c r="J1163" s="409" t="str">
        <f t="shared" si="222"/>
        <v>M=(Largo) x Cant</v>
      </c>
      <c r="K1163" s="410" t="str">
        <f t="shared" si="232"/>
        <v>M</v>
      </c>
      <c r="L1163" s="411"/>
      <c r="M1163" s="412"/>
      <c r="N1163" s="441"/>
      <c r="O1163" s="442" t="str">
        <f t="shared" si="225"/>
        <v/>
      </c>
      <c r="P1163" s="412"/>
      <c r="Q1163" s="411"/>
      <c r="R1163" s="413" t="str">
        <f t="shared" si="226"/>
        <v/>
      </c>
      <c r="S1163" s="414">
        <f>+HLOOKUP(A1163,[238]Hoja1!$2:$78,65,FALSE)</f>
        <v>0</v>
      </c>
      <c r="X1163" s="458">
        <f t="shared" si="229"/>
        <v>0</v>
      </c>
      <c r="Y1163" s="471">
        <f t="shared" si="230"/>
        <v>0</v>
      </c>
    </row>
    <row r="1164" spans="1:25">
      <c r="A1164" s="383">
        <v>35</v>
      </c>
      <c r="C1164" s="406"/>
      <c r="D1164" s="440"/>
      <c r="E1164" s="407"/>
      <c r="F1164" s="407"/>
      <c r="G1164" s="407"/>
      <c r="H1164" s="437"/>
      <c r="I1164" s="408" t="s">
        <v>446</v>
      </c>
      <c r="J1164" s="409" t="str">
        <f t="shared" si="222"/>
        <v>M=(Largo) x Cant</v>
      </c>
      <c r="K1164" s="410" t="str">
        <f t="shared" si="232"/>
        <v>M</v>
      </c>
      <c r="L1164" s="411"/>
      <c r="M1164" s="412"/>
      <c r="N1164" s="442"/>
      <c r="O1164" s="442" t="str">
        <f t="shared" si="225"/>
        <v/>
      </c>
      <c r="P1164" s="413"/>
      <c r="Q1164" s="411"/>
      <c r="R1164" s="413" t="str">
        <f t="shared" si="226"/>
        <v/>
      </c>
      <c r="S1164" s="414">
        <f>+HLOOKUP(A1164,[238]Hoja1!$2:$78,65,FALSE)</f>
        <v>0</v>
      </c>
      <c r="X1164" s="458">
        <f t="shared" si="229"/>
        <v>0</v>
      </c>
      <c r="Y1164" s="471">
        <f t="shared" si="230"/>
        <v>0</v>
      </c>
    </row>
    <row r="1165" spans="1:25">
      <c r="A1165" s="383">
        <v>36</v>
      </c>
      <c r="C1165" s="406"/>
      <c r="D1165" s="407"/>
      <c r="E1165" s="407"/>
      <c r="F1165" s="407"/>
      <c r="G1165" s="407"/>
      <c r="H1165" s="407"/>
      <c r="I1165" s="408" t="s">
        <v>447</v>
      </c>
      <c r="J1165" s="409" t="str">
        <f t="shared" si="222"/>
        <v>M=(Largo) x Cant</v>
      </c>
      <c r="K1165" s="410" t="str">
        <f>+K1154</f>
        <v>M</v>
      </c>
      <c r="L1165" s="411"/>
      <c r="M1165" s="412"/>
      <c r="N1165" s="442"/>
      <c r="O1165" s="442" t="str">
        <f t="shared" si="225"/>
        <v/>
      </c>
      <c r="P1165" s="449"/>
      <c r="Q1165" s="411"/>
      <c r="R1165" s="413" t="str">
        <f t="shared" si="226"/>
        <v/>
      </c>
      <c r="S1165" s="414">
        <f>+HLOOKUP(A1165,[238]Hoja1!$2:$78,65,FALSE)</f>
        <v>0</v>
      </c>
      <c r="X1165" s="458">
        <f t="shared" si="229"/>
        <v>0</v>
      </c>
      <c r="Y1165" s="471">
        <f t="shared" si="230"/>
        <v>0</v>
      </c>
    </row>
    <row r="1166" spans="1:25">
      <c r="A1166" s="383">
        <v>37</v>
      </c>
      <c r="C1166" s="406"/>
      <c r="D1166" s="407"/>
      <c r="E1166" s="407"/>
      <c r="F1166" s="407"/>
      <c r="G1166" s="407"/>
      <c r="H1166" s="407"/>
      <c r="I1166" s="408" t="s">
        <v>448</v>
      </c>
      <c r="J1166" s="409" t="str">
        <f t="shared" si="222"/>
        <v>M=(Largo) x Cant</v>
      </c>
      <c r="K1166" s="410" t="str">
        <f t="shared" ref="K1166:K1172" si="233">+K1165</f>
        <v>M</v>
      </c>
      <c r="L1166" s="411"/>
      <c r="M1166" s="412"/>
      <c r="N1166" s="441"/>
      <c r="O1166" s="442" t="str">
        <f t="shared" si="225"/>
        <v/>
      </c>
      <c r="P1166" s="449"/>
      <c r="Q1166" s="411"/>
      <c r="R1166" s="413" t="str">
        <f t="shared" si="226"/>
        <v/>
      </c>
      <c r="S1166" s="414">
        <f>+HLOOKUP(A1166,[238]Hoja1!$2:$78,65,FALSE)</f>
        <v>0</v>
      </c>
      <c r="X1166" s="458">
        <f t="shared" si="229"/>
        <v>0</v>
      </c>
      <c r="Y1166" s="471">
        <f t="shared" si="230"/>
        <v>0</v>
      </c>
    </row>
    <row r="1167" spans="1:25">
      <c r="A1167" s="383">
        <v>38</v>
      </c>
      <c r="C1167" s="406"/>
      <c r="D1167" s="440"/>
      <c r="E1167" s="407"/>
      <c r="F1167" s="407"/>
      <c r="G1167" s="407"/>
      <c r="H1167" s="437"/>
      <c r="I1167" s="408" t="s">
        <v>449</v>
      </c>
      <c r="J1167" s="409" t="str">
        <f t="shared" si="222"/>
        <v>M=(Largo) x Cant</v>
      </c>
      <c r="K1167" s="410" t="str">
        <f t="shared" si="233"/>
        <v>M</v>
      </c>
      <c r="L1167" s="411"/>
      <c r="M1167" s="412"/>
      <c r="N1167" s="442"/>
      <c r="O1167" s="442" t="str">
        <f t="shared" si="225"/>
        <v/>
      </c>
      <c r="P1167" s="413"/>
      <c r="Q1167" s="411"/>
      <c r="R1167" s="413" t="str">
        <f t="shared" si="226"/>
        <v/>
      </c>
      <c r="S1167" s="414">
        <f>+HLOOKUP(A1167,[238]Hoja1!$2:$78,65,FALSE)</f>
        <v>0</v>
      </c>
      <c r="X1167" s="458">
        <f t="shared" si="229"/>
        <v>0</v>
      </c>
      <c r="Y1167" s="471">
        <f t="shared" si="230"/>
        <v>0</v>
      </c>
    </row>
    <row r="1168" spans="1:25">
      <c r="A1168" s="383">
        <v>39</v>
      </c>
      <c r="C1168" s="406"/>
      <c r="D1168" s="407"/>
      <c r="E1168" s="407"/>
      <c r="F1168" s="407"/>
      <c r="G1168" s="407"/>
      <c r="H1168" s="407"/>
      <c r="I1168" s="408" t="s">
        <v>450</v>
      </c>
      <c r="J1168" s="409" t="str">
        <f t="shared" si="222"/>
        <v>M=(Largo) x Cant</v>
      </c>
      <c r="K1168" s="410" t="str">
        <f t="shared" si="233"/>
        <v>M</v>
      </c>
      <c r="L1168" s="411"/>
      <c r="M1168" s="412"/>
      <c r="N1168" s="441"/>
      <c r="O1168" s="442" t="str">
        <f t="shared" si="225"/>
        <v/>
      </c>
      <c r="P1168" s="412"/>
      <c r="Q1168" s="411"/>
      <c r="R1168" s="413" t="str">
        <f t="shared" si="226"/>
        <v/>
      </c>
      <c r="S1168" s="414">
        <f>+HLOOKUP(A1168,[238]Hoja1!$2:$78,65,FALSE)</f>
        <v>0</v>
      </c>
      <c r="X1168" s="458">
        <f t="shared" si="229"/>
        <v>0</v>
      </c>
      <c r="Y1168" s="471">
        <f t="shared" si="230"/>
        <v>0</v>
      </c>
    </row>
    <row r="1169" spans="1:25">
      <c r="A1169" s="383">
        <v>40</v>
      </c>
      <c r="C1169" s="406"/>
      <c r="D1169" s="407"/>
      <c r="E1169" s="407"/>
      <c r="F1169" s="407"/>
      <c r="G1169" s="407"/>
      <c r="H1169" s="407"/>
      <c r="I1169" s="408" t="s">
        <v>451</v>
      </c>
      <c r="J1169" s="409" t="str">
        <f t="shared" si="222"/>
        <v>M=(Largo) x Cant</v>
      </c>
      <c r="K1169" s="410" t="str">
        <f t="shared" si="233"/>
        <v>M</v>
      </c>
      <c r="L1169" s="411"/>
      <c r="M1169" s="412"/>
      <c r="N1169" s="442"/>
      <c r="O1169" s="442" t="str">
        <f t="shared" si="225"/>
        <v/>
      </c>
      <c r="P1169" s="413"/>
      <c r="Q1169" s="411"/>
      <c r="R1169" s="413" t="str">
        <f t="shared" si="226"/>
        <v/>
      </c>
      <c r="S1169" s="414">
        <f>+HLOOKUP(A1169,[238]Hoja1!$2:$78,65,FALSE)</f>
        <v>0</v>
      </c>
      <c r="X1169" s="458">
        <f t="shared" si="229"/>
        <v>0</v>
      </c>
      <c r="Y1169" s="471">
        <f t="shared" si="230"/>
        <v>0</v>
      </c>
    </row>
    <row r="1170" spans="1:25">
      <c r="A1170" s="383">
        <v>41</v>
      </c>
      <c r="C1170" s="406"/>
      <c r="D1170" s="407"/>
      <c r="E1170" s="407"/>
      <c r="F1170" s="407"/>
      <c r="G1170" s="407"/>
      <c r="H1170" s="407"/>
      <c r="I1170" s="408" t="s">
        <v>452</v>
      </c>
      <c r="J1170" s="409" t="str">
        <f t="shared" si="222"/>
        <v>M=(Largo) x Cant</v>
      </c>
      <c r="K1170" s="410" t="str">
        <f t="shared" si="233"/>
        <v>M</v>
      </c>
      <c r="L1170" s="411"/>
      <c r="M1170" s="412"/>
      <c r="N1170" s="442"/>
      <c r="O1170" s="442" t="str">
        <f t="shared" si="225"/>
        <v/>
      </c>
      <c r="P1170" s="413"/>
      <c r="Q1170" s="411"/>
      <c r="R1170" s="413" t="str">
        <f t="shared" si="226"/>
        <v/>
      </c>
      <c r="S1170" s="414">
        <f>+HLOOKUP(A1170,[238]Hoja1!$2:$78,65,FALSE)</f>
        <v>0</v>
      </c>
      <c r="X1170" s="458">
        <f t="shared" si="229"/>
        <v>0</v>
      </c>
      <c r="Y1170" s="471">
        <f t="shared" si="230"/>
        <v>0</v>
      </c>
    </row>
    <row r="1171" spans="1:25">
      <c r="A1171" s="383">
        <v>42</v>
      </c>
      <c r="C1171" s="406"/>
      <c r="D1171" s="407"/>
      <c r="E1171" s="407"/>
      <c r="F1171" s="407"/>
      <c r="G1171" s="407"/>
      <c r="H1171" s="407"/>
      <c r="I1171" s="408" t="s">
        <v>453</v>
      </c>
      <c r="J1171" s="409" t="str">
        <f t="shared" si="222"/>
        <v>M=(Largo) x Cant</v>
      </c>
      <c r="K1171" s="410" t="str">
        <f t="shared" si="233"/>
        <v>M</v>
      </c>
      <c r="L1171" s="411"/>
      <c r="M1171" s="412"/>
      <c r="N1171" s="442"/>
      <c r="O1171" s="442">
        <f t="shared" si="225"/>
        <v>57.6</v>
      </c>
      <c r="P1171" s="412"/>
      <c r="Q1171" s="411"/>
      <c r="R1171" s="413">
        <f t="shared" si="226"/>
        <v>1</v>
      </c>
      <c r="S1171" s="414">
        <f>+HLOOKUP(A1171,[238]Hoja1!$2:$78,65,FALSE)</f>
        <v>57.6</v>
      </c>
      <c r="X1171" s="458">
        <f t="shared" si="229"/>
        <v>0</v>
      </c>
      <c r="Y1171" s="471">
        <f t="shared" si="230"/>
        <v>0</v>
      </c>
    </row>
    <row r="1172" spans="1:25" ht="13.5" thickBot="1">
      <c r="A1172" s="383">
        <v>43</v>
      </c>
      <c r="C1172" s="406"/>
      <c r="D1172" s="407"/>
      <c r="E1172" s="407"/>
      <c r="F1172" s="407"/>
      <c r="G1172" s="407"/>
      <c r="H1172" s="407"/>
      <c r="I1172" s="408" t="s">
        <v>454</v>
      </c>
      <c r="J1172" s="409" t="str">
        <f t="shared" si="222"/>
        <v>M=(Largo) x Cant</v>
      </c>
      <c r="K1172" s="410" t="str">
        <f t="shared" si="233"/>
        <v>M</v>
      </c>
      <c r="L1172" s="411"/>
      <c r="M1172" s="412"/>
      <c r="N1172" s="442"/>
      <c r="O1172" s="442" t="str">
        <f t="shared" si="225"/>
        <v/>
      </c>
      <c r="P1172" s="412"/>
      <c r="Q1172" s="411"/>
      <c r="R1172" s="413" t="str">
        <f t="shared" si="226"/>
        <v/>
      </c>
      <c r="S1172" s="414">
        <f>+HLOOKUP(A1172,[238]Hoja1!$2:$78,65,FALSE)</f>
        <v>0</v>
      </c>
      <c r="X1172" s="458">
        <f t="shared" si="229"/>
        <v>0</v>
      </c>
      <c r="Y1172" s="471">
        <f t="shared" si="230"/>
        <v>0</v>
      </c>
    </row>
    <row r="1173" spans="1:25">
      <c r="C1173" s="384"/>
      <c r="D1173" s="419"/>
      <c r="E1173" s="420"/>
      <c r="F1173" s="421"/>
      <c r="G1173" s="421"/>
      <c r="H1173" s="421"/>
      <c r="I1173" s="421"/>
      <c r="J1173" s="422"/>
      <c r="K1173" s="421"/>
      <c r="L1173" s="421"/>
      <c r="M1173" s="421"/>
      <c r="N1173" s="421"/>
      <c r="O1173" s="421"/>
      <c r="P1173" s="421"/>
      <c r="Q1173" s="421"/>
      <c r="R1173" s="422"/>
      <c r="S1173" s="423"/>
    </row>
    <row r="1174" spans="1:25">
      <c r="C1174" s="396"/>
      <c r="D1174" s="397"/>
      <c r="E1174" s="424"/>
      <c r="F1174" s="425"/>
      <c r="G1174" s="425"/>
      <c r="H1174" s="425"/>
      <c r="I1174" s="425"/>
      <c r="J1174" s="398"/>
      <c r="K1174" s="425"/>
      <c r="L1174" s="425"/>
      <c r="M1174" s="397"/>
      <c r="N1174" s="397"/>
      <c r="O1174" s="562" t="s">
        <v>455</v>
      </c>
      <c r="P1174" s="563"/>
      <c r="Q1174" s="564"/>
      <c r="R1174" s="426"/>
      <c r="S1174" s="427">
        <f>ROUND(SUM(S1130:S1173),2)</f>
        <v>57.6</v>
      </c>
    </row>
    <row r="1175" spans="1:25">
      <c r="C1175" s="396"/>
      <c r="D1175" s="397"/>
      <c r="E1175" s="424"/>
      <c r="F1175" s="425"/>
      <c r="G1175" s="425"/>
      <c r="H1175" s="425"/>
      <c r="I1175" s="425"/>
      <c r="J1175" s="398"/>
      <c r="K1175" s="425"/>
      <c r="L1175" s="425"/>
      <c r="M1175" s="428"/>
      <c r="N1175" s="428"/>
      <c r="O1175" s="429"/>
      <c r="P1175" s="425"/>
      <c r="Q1175" s="425"/>
      <c r="R1175" s="430"/>
      <c r="S1175" s="431"/>
    </row>
    <row r="1176" spans="1:25">
      <c r="C1176" s="565" t="e">
        <v>#REF!</v>
      </c>
      <c r="D1176" s="566"/>
      <c r="E1176" s="566"/>
      <c r="F1176" s="566"/>
      <c r="G1176" s="566"/>
      <c r="H1176" s="566"/>
      <c r="I1176" s="566"/>
      <c r="J1176" s="566"/>
      <c r="K1176" s="566"/>
      <c r="L1176" s="566"/>
      <c r="M1176" s="566"/>
      <c r="N1176" s="567"/>
      <c r="O1176" s="568" t="s">
        <v>422</v>
      </c>
      <c r="P1176" s="568"/>
      <c r="Q1176" s="568"/>
      <c r="R1176" s="426"/>
      <c r="S1176" s="427">
        <f>S1174</f>
        <v>57.6</v>
      </c>
    </row>
    <row r="1177" spans="1:25">
      <c r="C1177" s="396"/>
      <c r="D1177" s="397"/>
      <c r="E1177" s="424"/>
      <c r="F1177" s="425"/>
      <c r="G1177" s="425"/>
      <c r="H1177" s="425"/>
      <c r="I1177" s="425"/>
      <c r="J1177" s="398"/>
      <c r="K1177" s="425"/>
      <c r="L1177" s="425"/>
      <c r="M1177" s="428"/>
      <c r="N1177" s="428"/>
      <c r="O1177" s="429"/>
      <c r="P1177" s="425"/>
      <c r="Q1177" s="398"/>
      <c r="R1177" s="398"/>
      <c r="S1177" s="432"/>
    </row>
    <row r="1178" spans="1:25">
      <c r="C1178" s="396"/>
      <c r="D1178" s="397"/>
      <c r="E1178" s="424"/>
      <c r="F1178" s="425"/>
      <c r="G1178" s="425"/>
      <c r="H1178" s="425"/>
      <c r="I1178" s="425"/>
      <c r="J1178" s="398"/>
      <c r="K1178" s="425"/>
      <c r="L1178" s="425"/>
      <c r="M1178" s="428"/>
      <c r="N1178" s="428"/>
      <c r="O1178" s="429"/>
      <c r="P1178" s="425"/>
      <c r="Q1178" s="398"/>
      <c r="R1178" s="398"/>
      <c r="S1178" s="432"/>
    </row>
    <row r="1179" spans="1:25">
      <c r="C1179" s="569" t="s">
        <v>423</v>
      </c>
      <c r="D1179" s="570"/>
      <c r="E1179" s="570"/>
      <c r="F1179" s="570"/>
      <c r="G1179" s="570"/>
      <c r="H1179" s="570"/>
      <c r="I1179" s="570"/>
      <c r="J1179" s="571"/>
      <c r="K1179" s="433" t="s">
        <v>424</v>
      </c>
      <c r="L1179" s="434"/>
      <c r="M1179" s="434"/>
      <c r="N1179" s="434"/>
      <c r="O1179" s="434"/>
      <c r="P1179" s="434"/>
      <c r="Q1179" s="434"/>
      <c r="R1179" s="434"/>
      <c r="S1179" s="435"/>
    </row>
    <row r="1180" spans="1:25">
      <c r="C1180" s="542"/>
      <c r="D1180" s="543"/>
      <c r="E1180" s="543"/>
      <c r="F1180" s="543"/>
      <c r="G1180" s="436"/>
      <c r="H1180" s="436"/>
      <c r="I1180" s="436"/>
      <c r="J1180" s="447"/>
      <c r="K1180" s="436"/>
      <c r="L1180" s="407"/>
      <c r="M1180" s="407"/>
      <c r="N1180" s="407"/>
      <c r="O1180" s="407"/>
      <c r="P1180" s="407"/>
      <c r="Q1180" s="407"/>
      <c r="R1180" s="407"/>
      <c r="S1180" s="437"/>
    </row>
    <row r="1181" spans="1:25">
      <c r="C1181" s="542"/>
      <c r="D1181" s="543"/>
      <c r="E1181" s="543"/>
      <c r="F1181" s="543"/>
      <c r="G1181" s="436"/>
      <c r="H1181" s="436"/>
      <c r="I1181" s="436"/>
      <c r="J1181" s="447"/>
      <c r="K1181" s="436"/>
      <c r="L1181" s="407"/>
      <c r="M1181" s="407"/>
      <c r="N1181" s="407"/>
      <c r="O1181" s="407"/>
      <c r="P1181" s="407"/>
      <c r="Q1181" s="407"/>
      <c r="R1181" s="407"/>
      <c r="S1181" s="437"/>
    </row>
    <row r="1182" spans="1:25">
      <c r="C1182" s="542" t="s">
        <v>425</v>
      </c>
      <c r="D1182" s="543"/>
      <c r="E1182" s="543" t="s">
        <v>425</v>
      </c>
      <c r="F1182" s="543"/>
      <c r="G1182" s="543" t="s">
        <v>425</v>
      </c>
      <c r="H1182" s="543"/>
      <c r="I1182" s="543" t="s">
        <v>425</v>
      </c>
      <c r="J1182" s="544"/>
      <c r="K1182" s="545" t="s">
        <v>426</v>
      </c>
      <c r="L1182" s="546"/>
      <c r="M1182" s="546"/>
      <c r="N1182" s="546"/>
      <c r="O1182" s="546"/>
      <c r="P1182" s="546"/>
      <c r="Q1182" s="546"/>
      <c r="R1182" s="546"/>
      <c r="S1182" s="547"/>
    </row>
    <row r="1183" spans="1:25">
      <c r="C1183" s="548" t="str">
        <f>+[42]DATOS!D$8</f>
        <v>HELMER EDUARDO BECERRA SANTANDER</v>
      </c>
      <c r="D1183" s="549"/>
      <c r="E1183" s="549" t="s">
        <v>427</v>
      </c>
      <c r="F1183" s="549"/>
      <c r="G1183" s="549" t="s">
        <v>427</v>
      </c>
      <c r="H1183" s="549"/>
      <c r="I1183" s="549" t="s">
        <v>427</v>
      </c>
      <c r="J1183" s="550"/>
      <c r="K1183" s="551" t="str">
        <f>+[42]DATOS!D$11</f>
        <v>JESUS IVAN QUIÑONES RUEDA</v>
      </c>
      <c r="L1183" s="549"/>
      <c r="M1183" s="549"/>
      <c r="N1183" s="549"/>
      <c r="O1183" s="549"/>
      <c r="P1183" s="549"/>
      <c r="Q1183" s="549"/>
      <c r="R1183" s="549"/>
      <c r="S1183" s="552"/>
    </row>
    <row r="1184" spans="1:25">
      <c r="C1184" s="553" t="str">
        <f>+$C$72</f>
        <v>APOYO SEC. DE PLANEACION Y OBRAS PÚBLICAS</v>
      </c>
      <c r="D1184" s="554"/>
      <c r="E1184" s="554" t="s">
        <v>428</v>
      </c>
      <c r="F1184" s="554"/>
      <c r="G1184" s="554" t="s">
        <v>428</v>
      </c>
      <c r="H1184" s="554"/>
      <c r="I1184" s="554" t="s">
        <v>428</v>
      </c>
      <c r="J1184" s="555"/>
      <c r="K1184" s="556" t="str">
        <f>+$K$72</f>
        <v>SECRETARIO DE PLANEACION Y OBRAS PÚBLICAS</v>
      </c>
      <c r="L1184" s="554"/>
      <c r="M1184" s="554"/>
      <c r="N1184" s="554"/>
      <c r="O1184" s="554"/>
      <c r="P1184" s="554"/>
      <c r="Q1184" s="554"/>
      <c r="R1184" s="554"/>
      <c r="S1184" s="557"/>
    </row>
    <row r="1185" spans="3:19">
      <c r="C1185" s="406"/>
      <c r="D1185" s="407"/>
      <c r="E1185" s="407"/>
      <c r="F1185" s="407"/>
      <c r="G1185" s="407"/>
      <c r="H1185" s="407"/>
      <c r="I1185" s="407"/>
      <c r="J1185" s="407"/>
      <c r="K1185" s="407"/>
      <c r="L1185" s="407"/>
      <c r="M1185" s="407"/>
      <c r="N1185" s="407"/>
      <c r="O1185" s="407"/>
      <c r="P1185" s="407"/>
      <c r="Q1185" s="407"/>
      <c r="R1185" s="407"/>
      <c r="S1185" s="437"/>
    </row>
    <row r="1186" spans="3:19" ht="111" customHeight="1" thickBot="1">
      <c r="C1186" s="417"/>
      <c r="D1186" s="418"/>
      <c r="E1186" s="418"/>
      <c r="F1186" s="418"/>
      <c r="G1186" s="418"/>
      <c r="H1186" s="418"/>
      <c r="I1186" s="418"/>
      <c r="J1186" s="418"/>
      <c r="K1186" s="418"/>
      <c r="L1186" s="418"/>
      <c r="M1186" s="418"/>
      <c r="N1186" s="418"/>
      <c r="O1186" s="418"/>
      <c r="P1186" s="418"/>
      <c r="Q1186" s="418"/>
      <c r="R1186" s="418"/>
      <c r="S1186" s="438"/>
    </row>
    <row r="1187" spans="3:19" ht="22.5" customHeight="1"/>
    <row r="1188" spans="3:19" ht="13.5" thickBot="1"/>
    <row r="1189" spans="3:19">
      <c r="C1189" s="384"/>
      <c r="D1189" s="385"/>
      <c r="E1189" s="385"/>
      <c r="F1189" s="385"/>
      <c r="G1189" s="385"/>
      <c r="H1189" s="385"/>
      <c r="I1189" s="385"/>
      <c r="J1189" s="445"/>
      <c r="K1189" s="385"/>
      <c r="L1189" s="385"/>
      <c r="M1189" s="385"/>
      <c r="N1189" s="385"/>
      <c r="O1189" s="385"/>
      <c r="P1189" s="385"/>
      <c r="Q1189" s="385"/>
      <c r="R1189" s="385"/>
      <c r="S1189" s="386"/>
    </row>
    <row r="1190" spans="3:19" ht="121.5" customHeight="1" thickBot="1">
      <c r="C1190" s="387"/>
      <c r="D1190" s="388"/>
      <c r="E1190" s="388"/>
      <c r="F1190" s="388"/>
      <c r="G1190" s="388"/>
      <c r="H1190" s="388"/>
      <c r="I1190" s="388"/>
      <c r="J1190" s="446"/>
      <c r="K1190" s="388"/>
      <c r="L1190" s="388"/>
      <c r="M1190" s="388"/>
      <c r="N1190" s="388"/>
      <c r="O1190" s="388"/>
      <c r="P1190" s="388"/>
      <c r="Q1190" s="388"/>
      <c r="R1190" s="388"/>
      <c r="S1190" s="389"/>
    </row>
    <row r="1191" spans="3:19">
      <c r="C1191" s="592" t="str">
        <f>+[42]DATOS!C$7</f>
        <v>MEJORAMIENTO DE VIVIENDA CON ENFOQUE DIFERENCIAL PARA POBLACIÓN VULNERABLE EN EL MUNICIPIO DE CUBARÁ, BOYACÁ (2026).</v>
      </c>
      <c r="D1191" s="593"/>
      <c r="E1191" s="593"/>
      <c r="F1191" s="593"/>
      <c r="G1191" s="593"/>
      <c r="H1191" s="593"/>
      <c r="I1191" s="593"/>
      <c r="J1191" s="593"/>
      <c r="K1191" s="593"/>
      <c r="L1191" s="593"/>
      <c r="M1191" s="593"/>
      <c r="N1191" s="593"/>
      <c r="O1191" s="593"/>
      <c r="P1191" s="593"/>
      <c r="Q1191" s="593"/>
      <c r="R1191" s="593"/>
      <c r="S1191" s="594"/>
    </row>
    <row r="1192" spans="3:19">
      <c r="C1192" s="595"/>
      <c r="D1192" s="596"/>
      <c r="E1192" s="596"/>
      <c r="F1192" s="596"/>
      <c r="G1192" s="596"/>
      <c r="H1192" s="596"/>
      <c r="I1192" s="596"/>
      <c r="J1192" s="596"/>
      <c r="K1192" s="596"/>
      <c r="L1192" s="596"/>
      <c r="M1192" s="596"/>
      <c r="N1192" s="596"/>
      <c r="O1192" s="596"/>
      <c r="P1192" s="596"/>
      <c r="Q1192" s="596"/>
      <c r="R1192" s="596"/>
      <c r="S1192" s="597"/>
    </row>
    <row r="1193" spans="3:19">
      <c r="C1193" s="598" t="s">
        <v>371</v>
      </c>
      <c r="D1193" s="599"/>
      <c r="E1193" s="599"/>
      <c r="F1193" s="599"/>
      <c r="G1193" s="599"/>
      <c r="H1193" s="599"/>
      <c r="I1193" s="599"/>
      <c r="J1193" s="599"/>
      <c r="K1193" s="599"/>
      <c r="L1193" s="599"/>
      <c r="M1193" s="599"/>
      <c r="N1193" s="599"/>
      <c r="O1193" s="599"/>
      <c r="P1193" s="599"/>
      <c r="Q1193" s="599"/>
      <c r="R1193" s="599"/>
      <c r="S1193" s="600"/>
    </row>
    <row r="1194" spans="3:19">
      <c r="C1194" s="586" t="s">
        <v>372</v>
      </c>
      <c r="D1194" s="587"/>
      <c r="E1194" s="601" t="s">
        <v>373</v>
      </c>
      <c r="F1194" s="601"/>
      <c r="G1194" s="601"/>
      <c r="H1194" s="601"/>
      <c r="I1194" s="601"/>
      <c r="J1194" s="601"/>
      <c r="K1194" s="601"/>
      <c r="L1194" s="601"/>
      <c r="M1194" s="601"/>
      <c r="N1194" s="601"/>
      <c r="O1194" s="601"/>
      <c r="P1194" s="601"/>
      <c r="Q1194" s="601"/>
      <c r="R1194" s="601"/>
      <c r="S1194" s="602"/>
    </row>
    <row r="1195" spans="3:19">
      <c r="C1195" s="586" t="s">
        <v>374</v>
      </c>
      <c r="D1195" s="587"/>
      <c r="E1195" s="603" t="s">
        <v>375</v>
      </c>
      <c r="F1195" s="604"/>
      <c r="G1195" s="604"/>
      <c r="H1195" s="604"/>
      <c r="I1195" s="604"/>
      <c r="J1195" s="604"/>
      <c r="K1195" s="604"/>
      <c r="L1195" s="604"/>
      <c r="M1195" s="604"/>
      <c r="N1195" s="604"/>
      <c r="O1195" s="604"/>
      <c r="P1195" s="604"/>
      <c r="Q1195" s="604"/>
      <c r="R1195" s="604"/>
      <c r="S1195" s="605"/>
    </row>
    <row r="1196" spans="3:19">
      <c r="C1196" s="586" t="s">
        <v>376</v>
      </c>
      <c r="D1196" s="587"/>
      <c r="E1196" s="390">
        <f>+[42]DATOS!F$5</f>
        <v>46143</v>
      </c>
      <c r="F1196" s="391"/>
      <c r="G1196" s="391"/>
      <c r="H1196" s="391"/>
      <c r="I1196" s="391"/>
      <c r="J1196" s="391"/>
      <c r="K1196" s="568" t="s">
        <v>377</v>
      </c>
      <c r="L1196" s="568"/>
      <c r="M1196" s="588" t="s">
        <v>378</v>
      </c>
      <c r="N1196" s="588"/>
      <c r="O1196" s="588"/>
      <c r="P1196" s="588"/>
      <c r="Q1196" s="588"/>
      <c r="R1196" s="588"/>
      <c r="S1196" s="589"/>
    </row>
    <row r="1197" spans="3:19" ht="25.5">
      <c r="C1197" s="586" t="s">
        <v>379</v>
      </c>
      <c r="D1197" s="587"/>
      <c r="E1197" s="590" t="s">
        <v>380</v>
      </c>
      <c r="F1197" s="591"/>
      <c r="G1197" s="392">
        <f>+[42]DATOS!E$5</f>
        <v>2026</v>
      </c>
      <c r="H1197" s="393" t="s">
        <v>381</v>
      </c>
      <c r="I1197" s="394">
        <f>+[42]DATOS!E$5</f>
        <v>2026</v>
      </c>
      <c r="J1197" s="395"/>
      <c r="K1197" s="568" t="s">
        <v>382</v>
      </c>
      <c r="L1197" s="568"/>
      <c r="M1197" s="588" t="s">
        <v>383</v>
      </c>
      <c r="N1197" s="588"/>
      <c r="O1197" s="588"/>
      <c r="P1197" s="588"/>
      <c r="Q1197" s="588"/>
      <c r="R1197" s="588"/>
      <c r="S1197" s="589"/>
    </row>
    <row r="1198" spans="3:19">
      <c r="C1198" s="396"/>
      <c r="D1198" s="397"/>
      <c r="E1198" s="397"/>
      <c r="F1198" s="398"/>
      <c r="G1198" s="398"/>
      <c r="H1198" s="398"/>
      <c r="I1198" s="398"/>
      <c r="J1198" s="398"/>
      <c r="K1198" s="398"/>
      <c r="L1198" s="398"/>
      <c r="M1198" s="398"/>
      <c r="N1198" s="398"/>
      <c r="O1198" s="398"/>
      <c r="P1198" s="398"/>
      <c r="Q1198" s="398"/>
      <c r="R1198" s="398"/>
      <c r="S1198" s="399"/>
    </row>
    <row r="1199" spans="3:19">
      <c r="C1199" s="572" t="s">
        <v>384</v>
      </c>
      <c r="D1199" s="573"/>
      <c r="E1199" s="573"/>
      <c r="F1199" s="573"/>
      <c r="G1199" s="573"/>
      <c r="H1199" s="573"/>
      <c r="I1199" s="573"/>
      <c r="J1199" s="573"/>
      <c r="K1199" s="573"/>
      <c r="L1199" s="573"/>
      <c r="M1199" s="573"/>
      <c r="N1199" s="573"/>
      <c r="O1199" s="573"/>
      <c r="P1199" s="573"/>
      <c r="Q1199" s="573"/>
      <c r="R1199" s="573"/>
      <c r="S1199" s="574"/>
    </row>
    <row r="1200" spans="3:19">
      <c r="C1200" s="396"/>
      <c r="D1200" s="397"/>
      <c r="E1200" s="397"/>
      <c r="F1200" s="398"/>
      <c r="G1200" s="398"/>
      <c r="H1200" s="398"/>
      <c r="I1200" s="398"/>
      <c r="J1200" s="398"/>
      <c r="K1200" s="398"/>
      <c r="L1200" s="398"/>
      <c r="M1200" s="398"/>
      <c r="N1200" s="398"/>
      <c r="O1200" s="398"/>
      <c r="P1200" s="398"/>
      <c r="Q1200" s="398"/>
      <c r="R1200" s="398"/>
      <c r="S1200" s="399"/>
    </row>
    <row r="1201" spans="1:25">
      <c r="C1201" s="400" t="s">
        <v>385</v>
      </c>
      <c r="D1201" s="575" t="s">
        <v>386</v>
      </c>
      <c r="E1201" s="575"/>
      <c r="F1201" s="576" t="s">
        <v>387</v>
      </c>
      <c r="G1201" s="577"/>
      <c r="H1201" s="577"/>
      <c r="I1201" s="576" t="s">
        <v>388</v>
      </c>
      <c r="J1201" s="576" t="s">
        <v>389</v>
      </c>
      <c r="K1201" s="579"/>
      <c r="L1201" s="581" t="s">
        <v>390</v>
      </c>
      <c r="M1201" s="581"/>
      <c r="N1201" s="581"/>
      <c r="O1201" s="581"/>
      <c r="P1201" s="581"/>
      <c r="Q1201" s="581"/>
      <c r="R1201" s="581" t="s">
        <v>391</v>
      </c>
      <c r="S1201" s="582"/>
    </row>
    <row r="1202" spans="1:25" ht="38.25">
      <c r="C1202" s="403">
        <f>+'PRESUPUESTO OFICIAL '!C83</f>
        <v>7.04</v>
      </c>
      <c r="D1202" s="583" t="str">
        <f>+VLOOKUP(C1202,'PRESUPUESTO OFICIAL '!$C$11:$H$103,2)</f>
        <v>SUMINISTRO E INSTALACIÓN DE CUBIERTA EN TEJA MASTER 1000 CAL.28 1,00 X 3,05 M</v>
      </c>
      <c r="E1202" s="584"/>
      <c r="F1202" s="585" t="str">
        <f>+VLOOKUP(C1202,'PRESUPUESTO OFICIAL '!$C$11:$H$103,3)</f>
        <v>M2</v>
      </c>
      <c r="G1202" s="585"/>
      <c r="H1202" s="585"/>
      <c r="I1202" s="578"/>
      <c r="J1202" s="578"/>
      <c r="K1202" s="580"/>
      <c r="L1202" s="401" t="s">
        <v>392</v>
      </c>
      <c r="M1202" s="401" t="s">
        <v>393</v>
      </c>
      <c r="N1202" s="401" t="s">
        <v>394</v>
      </c>
      <c r="O1202" s="401" t="s">
        <v>395</v>
      </c>
      <c r="P1202" s="401" t="s">
        <v>396</v>
      </c>
      <c r="Q1202" s="401" t="s">
        <v>397</v>
      </c>
      <c r="R1202" s="401" t="s">
        <v>398</v>
      </c>
      <c r="S1202" s="402" t="s">
        <v>399</v>
      </c>
      <c r="U1202" s="404">
        <f>+C1202</f>
        <v>7.04</v>
      </c>
      <c r="V1202" s="405">
        <f>+S1250</f>
        <v>1439.84</v>
      </c>
    </row>
    <row r="1203" spans="1:25">
      <c r="C1203" s="406"/>
      <c r="D1203" s="407"/>
      <c r="E1203" s="407"/>
      <c r="F1203" s="407"/>
      <c r="G1203" s="407"/>
      <c r="H1203" s="407"/>
      <c r="I1203" s="558"/>
      <c r="J1203" s="559"/>
      <c r="K1203" s="560"/>
      <c r="L1203" s="560"/>
      <c r="M1203" s="560"/>
      <c r="N1203" s="560"/>
      <c r="O1203" s="560"/>
      <c r="P1203" s="560"/>
      <c r="Q1203" s="560"/>
      <c r="R1203" s="560"/>
      <c r="S1203" s="561"/>
    </row>
    <row r="1204" spans="1:25" ht="25.5">
      <c r="A1204" s="383">
        <v>1</v>
      </c>
      <c r="C1204" s="406"/>
      <c r="D1204" s="407"/>
      <c r="E1204" s="407"/>
      <c r="F1204" s="407"/>
      <c r="G1204" s="407"/>
      <c r="H1204" s="407"/>
      <c r="I1204" s="408" t="s">
        <v>400</v>
      </c>
      <c r="J1204" s="409" t="str">
        <f t="shared" ref="J1204:J1246" si="234">+VLOOKUP(K1204,$AH$22:$AJ$58,2,)</f>
        <v>A=(Ancho x Largo)* Cant</v>
      </c>
      <c r="K1204" s="410" t="str">
        <f>+F1202</f>
        <v>M2</v>
      </c>
      <c r="L1204" s="442">
        <f>IF(P1204=0,"",P1204*O1204)</f>
        <v>50.4</v>
      </c>
      <c r="M1204" s="412"/>
      <c r="N1204" s="442"/>
      <c r="O1204" s="442">
        <f>IF(S1204=0,"",S1204/P1204)</f>
        <v>7.2</v>
      </c>
      <c r="P1204" s="442">
        <v>7</v>
      </c>
      <c r="Q1204" s="411"/>
      <c r="R1204" s="413">
        <f>IF(S1204=0,"",1)</f>
        <v>1</v>
      </c>
      <c r="S1204" s="414">
        <f>+HLOOKUP(A1204,[238]Hoja1!$2:$78,66,FALSE)</f>
        <v>50.4</v>
      </c>
      <c r="X1204" s="458">
        <f t="shared" ref="X1204" si="235">+N1204*O1204*P1204</f>
        <v>0</v>
      </c>
      <c r="Y1204" s="471">
        <f t="shared" ref="Y1204" si="236">+X1204-Q1204</f>
        <v>0</v>
      </c>
    </row>
    <row r="1205" spans="1:25" ht="25.5">
      <c r="A1205" s="383">
        <v>2</v>
      </c>
      <c r="C1205" s="406"/>
      <c r="D1205" s="407"/>
      <c r="E1205" s="407"/>
      <c r="F1205" s="407"/>
      <c r="G1205" s="407"/>
      <c r="H1205" s="407"/>
      <c r="I1205" s="408" t="s">
        <v>401</v>
      </c>
      <c r="J1205" s="409" t="str">
        <f t="shared" si="234"/>
        <v>A=(Ancho x Largo)* Cant</v>
      </c>
      <c r="K1205" s="410" t="str">
        <f>+K1204</f>
        <v>M2</v>
      </c>
      <c r="L1205" s="442">
        <f t="shared" ref="L1205:L1246" si="237">IF(P1205=0,"",P1205*O1205)</f>
        <v>9.2799999999999994</v>
      </c>
      <c r="M1205" s="412"/>
      <c r="N1205" s="442"/>
      <c r="O1205" s="442">
        <f t="shared" ref="O1205:O1246" si="238">IF(S1205=0,"",S1205/P1205)</f>
        <v>3.1999999999999997</v>
      </c>
      <c r="P1205" s="442">
        <v>2.9</v>
      </c>
      <c r="Q1205" s="411"/>
      <c r="R1205" s="413">
        <f t="shared" ref="R1205:R1246" si="239">IF(S1205=0,"",1)</f>
        <v>1</v>
      </c>
      <c r="S1205" s="414">
        <f>+HLOOKUP(A1205,[238]Hoja1!$2:$78,66,FALSE)</f>
        <v>9.2799999999999994</v>
      </c>
      <c r="X1205" s="458">
        <f>+L1205*P1205</f>
        <v>26.911999999999999</v>
      </c>
      <c r="Y1205" s="471">
        <f>+X1205-Q1205</f>
        <v>26.911999999999999</v>
      </c>
    </row>
    <row r="1206" spans="1:25" ht="25.5">
      <c r="A1206" s="383">
        <v>3</v>
      </c>
      <c r="C1206" s="406"/>
      <c r="D1206" s="407"/>
      <c r="E1206" s="407"/>
      <c r="F1206" s="407"/>
      <c r="G1206" s="407"/>
      <c r="H1206" s="407"/>
      <c r="I1206" s="408" t="s">
        <v>402</v>
      </c>
      <c r="J1206" s="409" t="str">
        <f t="shared" si="234"/>
        <v>A=(Ancho x Largo)* Cant</v>
      </c>
      <c r="K1206" s="410" t="str">
        <f>+K1205</f>
        <v>M2</v>
      </c>
      <c r="L1206" s="442">
        <f t="shared" si="237"/>
        <v>9.2799999999999994</v>
      </c>
      <c r="M1206" s="412"/>
      <c r="N1206" s="442"/>
      <c r="O1206" s="442">
        <f t="shared" si="238"/>
        <v>3.1999999999999997</v>
      </c>
      <c r="P1206" s="442">
        <v>2.9</v>
      </c>
      <c r="Q1206" s="411"/>
      <c r="R1206" s="413">
        <f t="shared" si="239"/>
        <v>1</v>
      </c>
      <c r="S1206" s="414">
        <f>+HLOOKUP(A1206,[238]Hoja1!$2:$78,66,FALSE)</f>
        <v>9.2799999999999994</v>
      </c>
      <c r="X1206" s="458">
        <f t="shared" ref="X1206:X1208" si="240">+L1206*P1206</f>
        <v>26.911999999999999</v>
      </c>
      <c r="Y1206" s="471">
        <f t="shared" ref="Y1206:Y1208" si="241">+X1206-Q1206</f>
        <v>26.911999999999999</v>
      </c>
    </row>
    <row r="1207" spans="1:25" ht="25.5">
      <c r="A1207" s="383">
        <v>4</v>
      </c>
      <c r="C1207" s="406"/>
      <c r="D1207" s="407"/>
      <c r="E1207" s="407"/>
      <c r="F1207" s="407"/>
      <c r="G1207" s="407"/>
      <c r="H1207" s="407"/>
      <c r="I1207" s="408" t="s">
        <v>403</v>
      </c>
      <c r="J1207" s="409" t="str">
        <f t="shared" si="234"/>
        <v>A=(Ancho x Largo)* Cant</v>
      </c>
      <c r="K1207" s="410" t="str">
        <f>+K1206</f>
        <v>M2</v>
      </c>
      <c r="L1207" s="442">
        <f t="shared" si="237"/>
        <v>9.2799999999999994</v>
      </c>
      <c r="M1207" s="412"/>
      <c r="N1207" s="442"/>
      <c r="O1207" s="442">
        <f t="shared" si="238"/>
        <v>3.1999999999999997</v>
      </c>
      <c r="P1207" s="442">
        <v>2.9</v>
      </c>
      <c r="Q1207" s="411"/>
      <c r="R1207" s="413">
        <f t="shared" si="239"/>
        <v>1</v>
      </c>
      <c r="S1207" s="414">
        <f>+HLOOKUP(A1207,[238]Hoja1!$2:$78,66,FALSE)</f>
        <v>9.2799999999999994</v>
      </c>
      <c r="X1207" s="458">
        <f t="shared" si="240"/>
        <v>26.911999999999999</v>
      </c>
      <c r="Y1207" s="471">
        <f t="shared" si="241"/>
        <v>26.911999999999999</v>
      </c>
    </row>
    <row r="1208" spans="1:25" ht="25.5">
      <c r="A1208" s="383">
        <v>5</v>
      </c>
      <c r="C1208" s="406"/>
      <c r="D1208" s="407"/>
      <c r="E1208" s="407"/>
      <c r="F1208" s="407"/>
      <c r="G1208" s="407"/>
      <c r="H1208" s="407"/>
      <c r="I1208" s="408" t="s">
        <v>405</v>
      </c>
      <c r="J1208" s="409" t="str">
        <f t="shared" si="234"/>
        <v>A=(Ancho x Largo)* Cant</v>
      </c>
      <c r="K1208" s="410" t="str">
        <f>+K1207</f>
        <v>M2</v>
      </c>
      <c r="L1208" s="442">
        <f t="shared" si="237"/>
        <v>9.2799999999999994</v>
      </c>
      <c r="M1208" s="412"/>
      <c r="N1208" s="442"/>
      <c r="O1208" s="442">
        <f t="shared" si="238"/>
        <v>3.1999999999999997</v>
      </c>
      <c r="P1208" s="442">
        <v>2.9</v>
      </c>
      <c r="Q1208" s="411"/>
      <c r="R1208" s="413">
        <f t="shared" si="239"/>
        <v>1</v>
      </c>
      <c r="S1208" s="414">
        <f>+HLOOKUP(A1208,[238]Hoja1!$2:$78,66,FALSE)</f>
        <v>9.2799999999999994</v>
      </c>
      <c r="X1208" s="458">
        <f t="shared" si="240"/>
        <v>26.911999999999999</v>
      </c>
      <c r="Y1208" s="471">
        <f t="shared" si="241"/>
        <v>26.911999999999999</v>
      </c>
    </row>
    <row r="1209" spans="1:25" ht="25.5">
      <c r="A1209" s="383">
        <v>6</v>
      </c>
      <c r="C1209" s="406"/>
      <c r="D1209" s="407"/>
      <c r="E1209" s="407"/>
      <c r="F1209" s="407"/>
      <c r="G1209" s="407"/>
      <c r="H1209" s="407"/>
      <c r="I1209" s="408" t="s">
        <v>407</v>
      </c>
      <c r="J1209" s="409" t="str">
        <f t="shared" si="234"/>
        <v>A=(Ancho x Largo)* Cant</v>
      </c>
      <c r="K1209" s="410" t="str">
        <f>+K1208</f>
        <v>M2</v>
      </c>
      <c r="L1209" s="442">
        <f t="shared" si="237"/>
        <v>11.32</v>
      </c>
      <c r="M1209" s="412"/>
      <c r="N1209" s="442"/>
      <c r="O1209" s="442">
        <f t="shared" si="238"/>
        <v>3.6993464052287583</v>
      </c>
      <c r="P1209" s="442">
        <v>3.06</v>
      </c>
      <c r="Q1209" s="411"/>
      <c r="R1209" s="413">
        <f t="shared" si="239"/>
        <v>1</v>
      </c>
      <c r="S1209" s="414">
        <f>+HLOOKUP(A1209,[238]Hoja1!$2:$78,66,FALSE)</f>
        <v>11.32</v>
      </c>
      <c r="X1209" s="458">
        <f>+L1209*P1209</f>
        <v>34.639200000000002</v>
      </c>
      <c r="Y1209" s="471">
        <f>+X1209-Q1209</f>
        <v>34.639200000000002</v>
      </c>
    </row>
    <row r="1210" spans="1:25" ht="25.5">
      <c r="A1210" s="383">
        <v>7</v>
      </c>
      <c r="C1210" s="406"/>
      <c r="D1210" s="407"/>
      <c r="E1210" s="407"/>
      <c r="F1210" s="407"/>
      <c r="G1210" s="407"/>
      <c r="H1210" s="407"/>
      <c r="I1210" s="408" t="s">
        <v>409</v>
      </c>
      <c r="J1210" s="409" t="str">
        <f t="shared" si="234"/>
        <v>A=(Ancho x Largo)* Cant</v>
      </c>
      <c r="K1210" s="410" t="str">
        <f>+K1204</f>
        <v>M2</v>
      </c>
      <c r="L1210" s="442">
        <f t="shared" si="237"/>
        <v>73.08</v>
      </c>
      <c r="M1210" s="412"/>
      <c r="N1210" s="442"/>
      <c r="O1210" s="442">
        <f t="shared" si="238"/>
        <v>10.44</v>
      </c>
      <c r="P1210" s="442">
        <v>7</v>
      </c>
      <c r="Q1210" s="411"/>
      <c r="R1210" s="413">
        <f t="shared" si="239"/>
        <v>1</v>
      </c>
      <c r="S1210" s="414">
        <f>+HLOOKUP(A1210,[238]Hoja1!$2:$78,66,FALSE)</f>
        <v>73.08</v>
      </c>
      <c r="X1210" s="458">
        <f t="shared" ref="X1210:X1246" si="242">+L1210*P1210</f>
        <v>511.56</v>
      </c>
      <c r="Y1210" s="471">
        <f t="shared" ref="Y1210:Y1246" si="243">+X1210-Q1210</f>
        <v>511.56</v>
      </c>
    </row>
    <row r="1211" spans="1:25" ht="25.5">
      <c r="A1211" s="383">
        <v>8</v>
      </c>
      <c r="C1211" s="406"/>
      <c r="D1211" s="407"/>
      <c r="E1211" s="407"/>
      <c r="F1211" s="407"/>
      <c r="G1211" s="407"/>
      <c r="H1211" s="407"/>
      <c r="I1211" s="408" t="s">
        <v>411</v>
      </c>
      <c r="J1211" s="409" t="str">
        <f t="shared" si="234"/>
        <v>A=(Ancho x Largo)* Cant</v>
      </c>
      <c r="K1211" s="410" t="str">
        <f>+K1210</f>
        <v>M2</v>
      </c>
      <c r="L1211" s="442">
        <f t="shared" si="237"/>
        <v>20.48</v>
      </c>
      <c r="M1211" s="412"/>
      <c r="N1211" s="442"/>
      <c r="O1211" s="442">
        <f t="shared" si="238"/>
        <v>4.5511111111111111</v>
      </c>
      <c r="P1211" s="442">
        <v>4.5</v>
      </c>
      <c r="Q1211" s="411"/>
      <c r="R1211" s="413">
        <f t="shared" si="239"/>
        <v>1</v>
      </c>
      <c r="S1211" s="414">
        <f>+HLOOKUP(A1211,[238]Hoja1!$2:$78,66,FALSE)</f>
        <v>20.48</v>
      </c>
      <c r="X1211" s="458">
        <f t="shared" si="242"/>
        <v>92.16</v>
      </c>
      <c r="Y1211" s="471">
        <f t="shared" si="243"/>
        <v>92.16</v>
      </c>
    </row>
    <row r="1212" spans="1:25" ht="25.5">
      <c r="A1212" s="383">
        <v>9</v>
      </c>
      <c r="C1212" s="406"/>
      <c r="D1212" s="407"/>
      <c r="E1212" s="407"/>
      <c r="F1212" s="407"/>
      <c r="G1212" s="407"/>
      <c r="H1212" s="407"/>
      <c r="I1212" s="408" t="s">
        <v>412</v>
      </c>
      <c r="J1212" s="409" t="str">
        <f t="shared" si="234"/>
        <v>A=(Ancho x Largo)* Cant</v>
      </c>
      <c r="K1212" s="410" t="str">
        <f>+K1211</f>
        <v>M2</v>
      </c>
      <c r="L1212" s="442">
        <f t="shared" si="237"/>
        <v>9.2799999999999994</v>
      </c>
      <c r="M1212" s="412"/>
      <c r="N1212" s="442"/>
      <c r="O1212" s="442">
        <f t="shared" si="238"/>
        <v>3.1999999999999997</v>
      </c>
      <c r="P1212" s="442">
        <v>2.9</v>
      </c>
      <c r="Q1212" s="411"/>
      <c r="R1212" s="413">
        <f t="shared" si="239"/>
        <v>1</v>
      </c>
      <c r="S1212" s="414">
        <f>+HLOOKUP(A1212,[238]Hoja1!$2:$78,66,FALSE)</f>
        <v>9.2799999999999994</v>
      </c>
      <c r="X1212" s="458">
        <f t="shared" si="242"/>
        <v>26.911999999999999</v>
      </c>
      <c r="Y1212" s="471">
        <f t="shared" si="243"/>
        <v>26.911999999999999</v>
      </c>
    </row>
    <row r="1213" spans="1:25" ht="25.5">
      <c r="A1213" s="383">
        <v>10</v>
      </c>
      <c r="C1213" s="406"/>
      <c r="D1213" s="407"/>
      <c r="E1213" s="407"/>
      <c r="F1213" s="407"/>
      <c r="G1213" s="407"/>
      <c r="H1213" s="407"/>
      <c r="I1213" s="408" t="s">
        <v>413</v>
      </c>
      <c r="J1213" s="409" t="str">
        <f t="shared" si="234"/>
        <v>A=(Ancho x Largo)* Cant</v>
      </c>
      <c r="K1213" s="410" t="str">
        <f>+K1212</f>
        <v>M2</v>
      </c>
      <c r="L1213" s="442">
        <f t="shared" si="237"/>
        <v>102.95</v>
      </c>
      <c r="M1213" s="412"/>
      <c r="N1213" s="441"/>
      <c r="O1213" s="442">
        <f t="shared" si="238"/>
        <v>14.500000000000002</v>
      </c>
      <c r="P1213" s="441">
        <v>7.1</v>
      </c>
      <c r="Q1213" s="411"/>
      <c r="R1213" s="413">
        <f t="shared" si="239"/>
        <v>1</v>
      </c>
      <c r="S1213" s="414">
        <f>+HLOOKUP(A1213,[238]Hoja1!$2:$78,66,FALSE)</f>
        <v>102.95</v>
      </c>
      <c r="X1213" s="458">
        <f t="shared" si="242"/>
        <v>730.94499999999994</v>
      </c>
      <c r="Y1213" s="471">
        <f t="shared" si="243"/>
        <v>730.94499999999994</v>
      </c>
    </row>
    <row r="1214" spans="1:25" ht="25.5">
      <c r="A1214" s="383">
        <v>11</v>
      </c>
      <c r="C1214" s="406"/>
      <c r="D1214" s="407"/>
      <c r="E1214" s="407"/>
      <c r="F1214" s="407"/>
      <c r="G1214" s="407"/>
      <c r="H1214" s="407"/>
      <c r="I1214" s="408" t="s">
        <v>414</v>
      </c>
      <c r="J1214" s="409" t="str">
        <f t="shared" si="234"/>
        <v>A=(Ancho x Largo)* Cant</v>
      </c>
      <c r="K1214" s="410" t="str">
        <f>+K1213</f>
        <v>M2</v>
      </c>
      <c r="L1214" s="442" t="str">
        <f t="shared" si="237"/>
        <v/>
      </c>
      <c r="M1214" s="412"/>
      <c r="N1214" s="443"/>
      <c r="O1214" s="442" t="str">
        <f t="shared" si="238"/>
        <v/>
      </c>
      <c r="P1214" s="443"/>
      <c r="Q1214" s="411"/>
      <c r="R1214" s="413" t="str">
        <f t="shared" si="239"/>
        <v/>
      </c>
      <c r="S1214" s="414">
        <f>+HLOOKUP(A1214,[238]Hoja1!$2:$78,66,FALSE)</f>
        <v>0</v>
      </c>
      <c r="X1214" s="458" t="e">
        <f t="shared" si="242"/>
        <v>#VALUE!</v>
      </c>
      <c r="Y1214" s="471" t="e">
        <f t="shared" si="243"/>
        <v>#VALUE!</v>
      </c>
    </row>
    <row r="1215" spans="1:25" ht="25.5">
      <c r="A1215" s="383">
        <v>12</v>
      </c>
      <c r="C1215" s="406"/>
      <c r="D1215" s="407"/>
      <c r="E1215" s="407"/>
      <c r="F1215" s="407"/>
      <c r="G1215" s="407"/>
      <c r="H1215" s="407"/>
      <c r="I1215" s="408" t="s">
        <v>415</v>
      </c>
      <c r="J1215" s="409" t="str">
        <f t="shared" si="234"/>
        <v>A=(Ancho x Largo)* Cant</v>
      </c>
      <c r="K1215" s="410" t="str">
        <f>+K1209</f>
        <v>M2</v>
      </c>
      <c r="L1215" s="442">
        <f t="shared" si="237"/>
        <v>63.509999999999991</v>
      </c>
      <c r="M1215" s="412"/>
      <c r="N1215" s="442"/>
      <c r="O1215" s="442">
        <f t="shared" si="238"/>
        <v>8.6999999999999993</v>
      </c>
      <c r="P1215" s="442">
        <v>7.3</v>
      </c>
      <c r="Q1215" s="411"/>
      <c r="R1215" s="413">
        <f t="shared" si="239"/>
        <v>1</v>
      </c>
      <c r="S1215" s="414">
        <f>+HLOOKUP(A1215,[238]Hoja1!$2:$78,66,FALSE)</f>
        <v>63.51</v>
      </c>
      <c r="X1215" s="458">
        <f t="shared" si="242"/>
        <v>463.62299999999993</v>
      </c>
      <c r="Y1215" s="471">
        <f t="shared" si="243"/>
        <v>463.62299999999993</v>
      </c>
    </row>
    <row r="1216" spans="1:25" ht="25.5">
      <c r="A1216" s="383">
        <v>13</v>
      </c>
      <c r="C1216" s="406"/>
      <c r="D1216" s="407"/>
      <c r="E1216" s="407"/>
      <c r="F1216" s="407"/>
      <c r="G1216" s="407"/>
      <c r="H1216" s="407"/>
      <c r="I1216" s="408" t="s">
        <v>416</v>
      </c>
      <c r="J1216" s="409" t="str">
        <f t="shared" si="234"/>
        <v>A=(Ancho x Largo)* Cant</v>
      </c>
      <c r="K1216" s="410" t="str">
        <f>+K1211</f>
        <v>M2</v>
      </c>
      <c r="L1216" s="442">
        <f t="shared" si="237"/>
        <v>36.08</v>
      </c>
      <c r="M1216" s="412"/>
      <c r="N1216" s="442"/>
      <c r="O1216" s="442">
        <f t="shared" si="238"/>
        <v>8.8000000000000007</v>
      </c>
      <c r="P1216" s="442">
        <v>4.0999999999999996</v>
      </c>
      <c r="Q1216" s="411"/>
      <c r="R1216" s="413">
        <f t="shared" si="239"/>
        <v>1</v>
      </c>
      <c r="S1216" s="414">
        <f>+HLOOKUP(A1216,[238]Hoja1!$2:$78,66,FALSE)</f>
        <v>36.08</v>
      </c>
      <c r="X1216" s="458">
        <f t="shared" si="242"/>
        <v>147.92799999999997</v>
      </c>
      <c r="Y1216" s="471">
        <f t="shared" si="243"/>
        <v>147.92799999999997</v>
      </c>
    </row>
    <row r="1217" spans="1:25" ht="25.5">
      <c r="A1217" s="383">
        <v>14</v>
      </c>
      <c r="C1217" s="406"/>
      <c r="D1217" s="407"/>
      <c r="E1217" s="407"/>
      <c r="F1217" s="407"/>
      <c r="G1217" s="407"/>
      <c r="H1217" s="407"/>
      <c r="I1217" s="408" t="s">
        <v>417</v>
      </c>
      <c r="J1217" s="409" t="str">
        <f t="shared" si="234"/>
        <v>A=(Ancho x Largo)* Cant</v>
      </c>
      <c r="K1217" s="410" t="str">
        <f t="shared" ref="K1217:K1228" si="244">+K1216</f>
        <v>M2</v>
      </c>
      <c r="L1217" s="442">
        <f t="shared" si="237"/>
        <v>9.2799999999999994</v>
      </c>
      <c r="M1217" s="412"/>
      <c r="N1217" s="442"/>
      <c r="O1217" s="442">
        <f t="shared" si="238"/>
        <v>3.1999999999999997</v>
      </c>
      <c r="P1217" s="442">
        <v>2.9</v>
      </c>
      <c r="Q1217" s="411"/>
      <c r="R1217" s="413">
        <f t="shared" si="239"/>
        <v>1</v>
      </c>
      <c r="S1217" s="414">
        <f>+HLOOKUP(A1217,[238]Hoja1!$2:$78,66,FALSE)</f>
        <v>9.2799999999999994</v>
      </c>
      <c r="X1217" s="458">
        <f t="shared" si="242"/>
        <v>26.911999999999999</v>
      </c>
      <c r="Y1217" s="471">
        <f t="shared" si="243"/>
        <v>26.911999999999999</v>
      </c>
    </row>
    <row r="1218" spans="1:25" ht="25.5">
      <c r="A1218" s="383">
        <v>15</v>
      </c>
      <c r="C1218" s="406"/>
      <c r="D1218" s="407"/>
      <c r="E1218" s="407"/>
      <c r="F1218" s="407"/>
      <c r="G1218" s="407"/>
      <c r="H1218" s="407"/>
      <c r="I1218" s="408" t="s">
        <v>418</v>
      </c>
      <c r="J1218" s="409" t="str">
        <f t="shared" si="234"/>
        <v>A=(Ancho x Largo)* Cant</v>
      </c>
      <c r="K1218" s="410" t="str">
        <f t="shared" si="244"/>
        <v>M2</v>
      </c>
      <c r="L1218" s="442">
        <f t="shared" si="237"/>
        <v>51</v>
      </c>
      <c r="M1218" s="412"/>
      <c r="N1218" s="442"/>
      <c r="O1218" s="442">
        <f t="shared" si="238"/>
        <v>8.5</v>
      </c>
      <c r="P1218" s="441">
        <v>6</v>
      </c>
      <c r="Q1218" s="411"/>
      <c r="R1218" s="413">
        <f t="shared" si="239"/>
        <v>1</v>
      </c>
      <c r="S1218" s="414">
        <f>+HLOOKUP(A1218,[238]Hoja1!$2:$78,66,FALSE)</f>
        <v>51</v>
      </c>
      <c r="X1218" s="458">
        <f t="shared" si="242"/>
        <v>306</v>
      </c>
      <c r="Y1218" s="471">
        <f t="shared" si="243"/>
        <v>306</v>
      </c>
    </row>
    <row r="1219" spans="1:25" ht="25.5">
      <c r="A1219" s="383">
        <v>16</v>
      </c>
      <c r="C1219" s="406"/>
      <c r="D1219" s="407"/>
      <c r="E1219" s="407"/>
      <c r="F1219" s="407"/>
      <c r="G1219" s="407"/>
      <c r="H1219" s="407"/>
      <c r="I1219" s="408" t="s">
        <v>419</v>
      </c>
      <c r="J1219" s="409" t="str">
        <f t="shared" si="234"/>
        <v>A=(Ancho x Largo)* Cant</v>
      </c>
      <c r="K1219" s="410" t="str">
        <f t="shared" si="244"/>
        <v>M2</v>
      </c>
      <c r="L1219" s="442" t="str">
        <f t="shared" si="237"/>
        <v/>
      </c>
      <c r="M1219" s="412"/>
      <c r="N1219" s="442"/>
      <c r="O1219" s="442" t="str">
        <f t="shared" si="238"/>
        <v/>
      </c>
      <c r="P1219" s="441"/>
      <c r="Q1219" s="411"/>
      <c r="R1219" s="413" t="str">
        <f t="shared" si="239"/>
        <v/>
      </c>
      <c r="S1219" s="414">
        <f>+HLOOKUP(A1219,[238]Hoja1!$2:$78,66,FALSE)</f>
        <v>0</v>
      </c>
      <c r="X1219" s="458" t="e">
        <f t="shared" si="242"/>
        <v>#VALUE!</v>
      </c>
      <c r="Y1219" s="471" t="e">
        <f t="shared" si="243"/>
        <v>#VALUE!</v>
      </c>
    </row>
    <row r="1220" spans="1:25" ht="25.5">
      <c r="A1220" s="383">
        <v>17</v>
      </c>
      <c r="C1220" s="406"/>
      <c r="D1220" s="407"/>
      <c r="E1220" s="407"/>
      <c r="F1220" s="407"/>
      <c r="G1220" s="407"/>
      <c r="H1220" s="407"/>
      <c r="I1220" s="408" t="s">
        <v>420</v>
      </c>
      <c r="J1220" s="409" t="str">
        <f t="shared" si="234"/>
        <v>A=(Ancho x Largo)* Cant</v>
      </c>
      <c r="K1220" s="410" t="str">
        <f t="shared" si="244"/>
        <v>M2</v>
      </c>
      <c r="L1220" s="442" t="str">
        <f t="shared" si="237"/>
        <v/>
      </c>
      <c r="M1220" s="412"/>
      <c r="N1220" s="442"/>
      <c r="O1220" s="442" t="str">
        <f t="shared" si="238"/>
        <v/>
      </c>
      <c r="P1220" s="441"/>
      <c r="Q1220" s="411"/>
      <c r="R1220" s="413" t="str">
        <f t="shared" si="239"/>
        <v/>
      </c>
      <c r="S1220" s="414">
        <f>+HLOOKUP(A1220,[238]Hoja1!$2:$78,66,FALSE)</f>
        <v>0</v>
      </c>
      <c r="V1220" s="383" t="e">
        <f>+P1220*O1220*N1220</f>
        <v>#VALUE!</v>
      </c>
      <c r="X1220" s="458" t="e">
        <f t="shared" si="242"/>
        <v>#VALUE!</v>
      </c>
      <c r="Y1220" s="471" t="e">
        <f t="shared" si="243"/>
        <v>#VALUE!</v>
      </c>
    </row>
    <row r="1221" spans="1:25" ht="25.5">
      <c r="A1221" s="383">
        <v>18</v>
      </c>
      <c r="C1221" s="406"/>
      <c r="D1221" s="407"/>
      <c r="E1221" s="407"/>
      <c r="F1221" s="407"/>
      <c r="G1221" s="407"/>
      <c r="H1221" s="407"/>
      <c r="I1221" s="408" t="s">
        <v>429</v>
      </c>
      <c r="J1221" s="409" t="str">
        <f t="shared" si="234"/>
        <v>A=(Ancho x Largo)* Cant</v>
      </c>
      <c r="K1221" s="410" t="str">
        <f t="shared" si="244"/>
        <v>M2</v>
      </c>
      <c r="L1221" s="442">
        <f t="shared" si="237"/>
        <v>11.32</v>
      </c>
      <c r="M1221" s="412"/>
      <c r="N1221" s="442"/>
      <c r="O1221" s="442">
        <f t="shared" si="238"/>
        <v>3.6993464052287583</v>
      </c>
      <c r="P1221" s="442">
        <v>3.06</v>
      </c>
      <c r="Q1221" s="411"/>
      <c r="R1221" s="413">
        <f t="shared" si="239"/>
        <v>1</v>
      </c>
      <c r="S1221" s="414">
        <f>+HLOOKUP(A1221,[238]Hoja1!$2:$78,66,FALSE)</f>
        <v>11.32</v>
      </c>
      <c r="X1221" s="458">
        <f t="shared" si="242"/>
        <v>34.639200000000002</v>
      </c>
      <c r="Y1221" s="471">
        <f t="shared" si="243"/>
        <v>34.639200000000002</v>
      </c>
    </row>
    <row r="1222" spans="1:25" ht="25.5">
      <c r="A1222" s="383">
        <v>19</v>
      </c>
      <c r="C1222" s="406"/>
      <c r="D1222" s="407"/>
      <c r="E1222" s="407"/>
      <c r="F1222" s="407"/>
      <c r="G1222" s="407"/>
      <c r="H1222" s="407"/>
      <c r="I1222" s="408" t="s">
        <v>430</v>
      </c>
      <c r="J1222" s="409" t="str">
        <f t="shared" si="234"/>
        <v>A=(Ancho x Largo)* Cant</v>
      </c>
      <c r="K1222" s="410" t="str">
        <f t="shared" si="244"/>
        <v>M2</v>
      </c>
      <c r="L1222" s="442">
        <f t="shared" si="237"/>
        <v>9.2799999999999994</v>
      </c>
      <c r="M1222" s="412"/>
      <c r="N1222" s="442"/>
      <c r="O1222" s="442">
        <f t="shared" si="238"/>
        <v>3.1999999999999997</v>
      </c>
      <c r="P1222" s="442">
        <v>2.9</v>
      </c>
      <c r="Q1222" s="411"/>
      <c r="R1222" s="413">
        <f t="shared" si="239"/>
        <v>1</v>
      </c>
      <c r="S1222" s="414">
        <f>+HLOOKUP(A1222,[238]Hoja1!$2:$78,66,FALSE)</f>
        <v>9.2799999999999994</v>
      </c>
      <c r="X1222" s="458">
        <f t="shared" si="242"/>
        <v>26.911999999999999</v>
      </c>
      <c r="Y1222" s="471">
        <f t="shared" si="243"/>
        <v>26.911999999999999</v>
      </c>
    </row>
    <row r="1223" spans="1:25" ht="25.5">
      <c r="A1223" s="383">
        <v>20</v>
      </c>
      <c r="C1223" s="406"/>
      <c r="D1223" s="407"/>
      <c r="E1223" s="407"/>
      <c r="F1223" s="407"/>
      <c r="G1223" s="407"/>
      <c r="H1223" s="407"/>
      <c r="I1223" s="408" t="s">
        <v>431</v>
      </c>
      <c r="J1223" s="409" t="str">
        <f t="shared" si="234"/>
        <v>A=(Ancho x Largo)* Cant</v>
      </c>
      <c r="K1223" s="410" t="str">
        <f t="shared" si="244"/>
        <v>M2</v>
      </c>
      <c r="L1223" s="442">
        <f t="shared" si="237"/>
        <v>20.48</v>
      </c>
      <c r="M1223" s="412"/>
      <c r="N1223" s="442"/>
      <c r="O1223" s="442">
        <f t="shared" si="238"/>
        <v>4.5511111111111111</v>
      </c>
      <c r="P1223" s="442">
        <v>4.5</v>
      </c>
      <c r="Q1223" s="411"/>
      <c r="R1223" s="413">
        <f t="shared" si="239"/>
        <v>1</v>
      </c>
      <c r="S1223" s="414">
        <f>+HLOOKUP(A1223,[238]Hoja1!$2:$78,66,FALSE)</f>
        <v>20.48</v>
      </c>
      <c r="X1223" s="458">
        <f t="shared" si="242"/>
        <v>92.16</v>
      </c>
      <c r="Y1223" s="471">
        <f t="shared" si="243"/>
        <v>92.16</v>
      </c>
    </row>
    <row r="1224" spans="1:25" ht="25.5">
      <c r="A1224" s="383">
        <v>21</v>
      </c>
      <c r="C1224" s="406"/>
      <c r="D1224" s="407"/>
      <c r="E1224" s="407"/>
      <c r="F1224" s="407"/>
      <c r="G1224" s="407"/>
      <c r="H1224" s="407"/>
      <c r="I1224" s="408" t="s">
        <v>432</v>
      </c>
      <c r="J1224" s="409" t="str">
        <f t="shared" si="234"/>
        <v>A=(Ancho x Largo)* Cant</v>
      </c>
      <c r="K1224" s="410" t="str">
        <f t="shared" si="244"/>
        <v>M2</v>
      </c>
      <c r="L1224" s="442">
        <f t="shared" si="237"/>
        <v>69.010000000000005</v>
      </c>
      <c r="M1224" s="412"/>
      <c r="N1224" s="442"/>
      <c r="O1224" s="442">
        <f t="shared" si="238"/>
        <v>10.3</v>
      </c>
      <c r="P1224" s="441">
        <v>6.7</v>
      </c>
      <c r="Q1224" s="411"/>
      <c r="R1224" s="413">
        <f t="shared" si="239"/>
        <v>1</v>
      </c>
      <c r="S1224" s="414">
        <f>+HLOOKUP(A1224,[238]Hoja1!$2:$78,66,FALSE)</f>
        <v>69.010000000000005</v>
      </c>
      <c r="X1224" s="458">
        <f t="shared" si="242"/>
        <v>462.36700000000002</v>
      </c>
      <c r="Y1224" s="471">
        <f t="shared" si="243"/>
        <v>462.36700000000002</v>
      </c>
    </row>
    <row r="1225" spans="1:25" ht="25.5">
      <c r="A1225" s="383">
        <v>22</v>
      </c>
      <c r="C1225" s="406"/>
      <c r="D1225" s="407"/>
      <c r="E1225" s="407"/>
      <c r="F1225" s="407"/>
      <c r="G1225" s="407"/>
      <c r="H1225" s="407"/>
      <c r="I1225" s="408" t="s">
        <v>433</v>
      </c>
      <c r="J1225" s="409" t="str">
        <f t="shared" si="234"/>
        <v>A=(Ancho x Largo)* Cant</v>
      </c>
      <c r="K1225" s="410" t="str">
        <f t="shared" si="244"/>
        <v>M2</v>
      </c>
      <c r="L1225" s="442">
        <f t="shared" si="237"/>
        <v>9.2799999999999994</v>
      </c>
      <c r="M1225" s="412"/>
      <c r="N1225" s="442"/>
      <c r="O1225" s="442">
        <f t="shared" si="238"/>
        <v>3.1999999999999997</v>
      </c>
      <c r="P1225" s="442">
        <v>2.9</v>
      </c>
      <c r="Q1225" s="411"/>
      <c r="R1225" s="413">
        <f t="shared" si="239"/>
        <v>1</v>
      </c>
      <c r="S1225" s="414">
        <f>+HLOOKUP(A1225,[238]Hoja1!$2:$78,66,FALSE)</f>
        <v>9.2799999999999994</v>
      </c>
      <c r="X1225" s="458">
        <f t="shared" si="242"/>
        <v>26.911999999999999</v>
      </c>
      <c r="Y1225" s="471">
        <f t="shared" si="243"/>
        <v>26.911999999999999</v>
      </c>
    </row>
    <row r="1226" spans="1:25" ht="25.5">
      <c r="A1226" s="383">
        <v>23</v>
      </c>
      <c r="C1226" s="406"/>
      <c r="D1226" s="407"/>
      <c r="E1226" s="407"/>
      <c r="F1226" s="407"/>
      <c r="G1226" s="407"/>
      <c r="H1226" s="407"/>
      <c r="I1226" s="408" t="s">
        <v>434</v>
      </c>
      <c r="J1226" s="409" t="str">
        <f t="shared" si="234"/>
        <v>A=(Ancho x Largo)* Cant</v>
      </c>
      <c r="K1226" s="410" t="str">
        <f t="shared" si="244"/>
        <v>M2</v>
      </c>
      <c r="L1226" s="442">
        <f t="shared" si="237"/>
        <v>127.19999999999999</v>
      </c>
      <c r="M1226" s="412"/>
      <c r="N1226" s="441"/>
      <c r="O1226" s="442">
        <f t="shared" si="238"/>
        <v>12</v>
      </c>
      <c r="P1226" s="441">
        <v>10.6</v>
      </c>
      <c r="Q1226" s="411"/>
      <c r="R1226" s="413">
        <f t="shared" si="239"/>
        <v>1</v>
      </c>
      <c r="S1226" s="414">
        <f>+HLOOKUP(A1226,[238]Hoja1!$2:$78,66,FALSE)</f>
        <v>127.19999999999999</v>
      </c>
      <c r="X1226" s="458">
        <f t="shared" si="242"/>
        <v>1348.32</v>
      </c>
      <c r="Y1226" s="471">
        <f t="shared" si="243"/>
        <v>1348.32</v>
      </c>
    </row>
    <row r="1227" spans="1:25" ht="25.5">
      <c r="A1227" s="383">
        <v>24</v>
      </c>
      <c r="C1227" s="406"/>
      <c r="D1227" s="407"/>
      <c r="E1227" s="407"/>
      <c r="F1227" s="407"/>
      <c r="G1227" s="407"/>
      <c r="H1227" s="407"/>
      <c r="I1227" s="408" t="s">
        <v>435</v>
      </c>
      <c r="J1227" s="409" t="str">
        <f t="shared" si="234"/>
        <v>A=(Ancho x Largo)* Cant</v>
      </c>
      <c r="K1227" s="410" t="str">
        <f t="shared" si="244"/>
        <v>M2</v>
      </c>
      <c r="L1227" s="442" t="str">
        <f t="shared" si="237"/>
        <v/>
      </c>
      <c r="M1227" s="412"/>
      <c r="N1227" s="442"/>
      <c r="O1227" s="442" t="str">
        <f t="shared" si="238"/>
        <v/>
      </c>
      <c r="P1227" s="442"/>
      <c r="Q1227" s="411"/>
      <c r="R1227" s="413" t="str">
        <f t="shared" si="239"/>
        <v/>
      </c>
      <c r="S1227" s="414">
        <f>+HLOOKUP(A1227,[238]Hoja1!$2:$78,66,FALSE)</f>
        <v>0</v>
      </c>
      <c r="X1227" s="458" t="e">
        <f t="shared" si="242"/>
        <v>#VALUE!</v>
      </c>
      <c r="Y1227" s="471" t="e">
        <f t="shared" si="243"/>
        <v>#VALUE!</v>
      </c>
    </row>
    <row r="1228" spans="1:25" ht="25.5">
      <c r="A1228" s="383">
        <v>25</v>
      </c>
      <c r="C1228" s="406"/>
      <c r="D1228" s="407"/>
      <c r="E1228" s="407"/>
      <c r="F1228" s="407"/>
      <c r="G1228" s="407"/>
      <c r="H1228" s="407"/>
      <c r="I1228" s="408" t="s">
        <v>436</v>
      </c>
      <c r="J1228" s="409" t="str">
        <f t="shared" si="234"/>
        <v>A=(Ancho x Largo)* Cant</v>
      </c>
      <c r="K1228" s="410" t="str">
        <f t="shared" si="244"/>
        <v>M2</v>
      </c>
      <c r="L1228" s="442" t="str">
        <f t="shared" si="237"/>
        <v/>
      </c>
      <c r="M1228" s="412"/>
      <c r="N1228" s="442"/>
      <c r="O1228" s="442" t="str">
        <f t="shared" si="238"/>
        <v/>
      </c>
      <c r="P1228" s="443"/>
      <c r="Q1228" s="411"/>
      <c r="R1228" s="413" t="str">
        <f t="shared" si="239"/>
        <v/>
      </c>
      <c r="S1228" s="414">
        <f>+HLOOKUP(A1228,[238]Hoja1!$2:$78,66,FALSE)</f>
        <v>0</v>
      </c>
      <c r="X1228" s="458" t="e">
        <f t="shared" si="242"/>
        <v>#VALUE!</v>
      </c>
      <c r="Y1228" s="471" t="e">
        <f t="shared" si="243"/>
        <v>#VALUE!</v>
      </c>
    </row>
    <row r="1229" spans="1:25" ht="25.5">
      <c r="A1229" s="383">
        <v>26</v>
      </c>
      <c r="C1229" s="406"/>
      <c r="D1229" s="407"/>
      <c r="E1229" s="407"/>
      <c r="F1229" s="407"/>
      <c r="G1229" s="407"/>
      <c r="H1229" s="407"/>
      <c r="I1229" s="408" t="s">
        <v>437</v>
      </c>
      <c r="J1229" s="409" t="str">
        <f t="shared" si="234"/>
        <v>A=(Ancho x Largo)* Cant</v>
      </c>
      <c r="K1229" s="410" t="str">
        <f>+K1218</f>
        <v>M2</v>
      </c>
      <c r="L1229" s="442">
        <f t="shared" si="237"/>
        <v>124.60000000000001</v>
      </c>
      <c r="M1229" s="412"/>
      <c r="N1229" s="442"/>
      <c r="O1229" s="442">
        <f t="shared" si="238"/>
        <v>17.8</v>
      </c>
      <c r="P1229" s="441">
        <v>7</v>
      </c>
      <c r="Q1229" s="411"/>
      <c r="R1229" s="413">
        <f t="shared" si="239"/>
        <v>1</v>
      </c>
      <c r="S1229" s="414">
        <f>+HLOOKUP(A1229,[238]Hoja1!$2:$78,66,FALSE)</f>
        <v>124.6</v>
      </c>
      <c r="X1229" s="458">
        <f t="shared" si="242"/>
        <v>872.2</v>
      </c>
      <c r="Y1229" s="471">
        <f t="shared" si="243"/>
        <v>872.2</v>
      </c>
    </row>
    <row r="1230" spans="1:25" ht="25.5">
      <c r="A1230" s="383">
        <v>27</v>
      </c>
      <c r="C1230" s="406"/>
      <c r="D1230" s="407"/>
      <c r="E1230" s="407"/>
      <c r="F1230" s="407"/>
      <c r="G1230" s="407"/>
      <c r="H1230" s="407"/>
      <c r="I1230" s="408" t="s">
        <v>438</v>
      </c>
      <c r="J1230" s="409" t="str">
        <f t="shared" si="234"/>
        <v>A=(Ancho x Largo)* Cant</v>
      </c>
      <c r="K1230" s="410" t="str">
        <f t="shared" ref="K1230:K1238" si="245">+K1229</f>
        <v>M2</v>
      </c>
      <c r="L1230" s="442" t="str">
        <f t="shared" si="237"/>
        <v/>
      </c>
      <c r="M1230" s="412"/>
      <c r="N1230" s="442"/>
      <c r="O1230" s="442" t="str">
        <f t="shared" si="238"/>
        <v/>
      </c>
      <c r="P1230" s="441"/>
      <c r="Q1230" s="411"/>
      <c r="R1230" s="413" t="str">
        <f t="shared" si="239"/>
        <v/>
      </c>
      <c r="S1230" s="414">
        <f>+HLOOKUP(A1230,[238]Hoja1!$2:$78,66,FALSE)</f>
        <v>0</v>
      </c>
      <c r="X1230" s="458" t="e">
        <f t="shared" si="242"/>
        <v>#VALUE!</v>
      </c>
      <c r="Y1230" s="471" t="e">
        <f t="shared" si="243"/>
        <v>#VALUE!</v>
      </c>
    </row>
    <row r="1231" spans="1:25" ht="25.5">
      <c r="A1231" s="383">
        <v>28</v>
      </c>
      <c r="C1231" s="406"/>
      <c r="D1231" s="440"/>
      <c r="E1231" s="407"/>
      <c r="F1231" s="407"/>
      <c r="G1231" s="407"/>
      <c r="H1231" s="437"/>
      <c r="I1231" s="408" t="s">
        <v>439</v>
      </c>
      <c r="J1231" s="409" t="str">
        <f t="shared" si="234"/>
        <v>A=(Ancho x Largo)* Cant</v>
      </c>
      <c r="K1231" s="410" t="str">
        <f t="shared" si="245"/>
        <v>M2</v>
      </c>
      <c r="L1231" s="442">
        <f t="shared" si="237"/>
        <v>43.6</v>
      </c>
      <c r="M1231" s="412"/>
      <c r="N1231" s="442"/>
      <c r="O1231" s="442">
        <f t="shared" si="238"/>
        <v>7.3898305084745761</v>
      </c>
      <c r="P1231" s="442">
        <v>5.9</v>
      </c>
      <c r="Q1231" s="411"/>
      <c r="R1231" s="413">
        <f t="shared" si="239"/>
        <v>1</v>
      </c>
      <c r="S1231" s="414">
        <f>+HLOOKUP(A1231,[238]Hoja1!$2:$78,66,FALSE)</f>
        <v>43.6</v>
      </c>
      <c r="X1231" s="458">
        <f t="shared" si="242"/>
        <v>257.24</v>
      </c>
      <c r="Y1231" s="471">
        <f t="shared" si="243"/>
        <v>257.24</v>
      </c>
    </row>
    <row r="1232" spans="1:25" ht="25.5">
      <c r="A1232" s="383">
        <v>29</v>
      </c>
      <c r="C1232" s="406"/>
      <c r="D1232" s="407"/>
      <c r="E1232" s="407"/>
      <c r="F1232" s="407"/>
      <c r="G1232" s="407"/>
      <c r="H1232" s="407"/>
      <c r="I1232" s="408" t="s">
        <v>440</v>
      </c>
      <c r="J1232" s="409" t="str">
        <f t="shared" si="234"/>
        <v>A=(Ancho x Largo)* Cant</v>
      </c>
      <c r="K1232" s="410" t="str">
        <f t="shared" si="245"/>
        <v>M2</v>
      </c>
      <c r="L1232" s="442" t="str">
        <f t="shared" si="237"/>
        <v/>
      </c>
      <c r="M1232" s="412"/>
      <c r="N1232" s="443"/>
      <c r="O1232" s="442" t="str">
        <f t="shared" si="238"/>
        <v/>
      </c>
      <c r="P1232" s="443"/>
      <c r="Q1232" s="411"/>
      <c r="R1232" s="413" t="str">
        <f t="shared" si="239"/>
        <v/>
      </c>
      <c r="S1232" s="414">
        <f>+HLOOKUP(A1232,[238]Hoja1!$2:$78,66,FALSE)</f>
        <v>0</v>
      </c>
      <c r="X1232" s="458" t="e">
        <f t="shared" si="242"/>
        <v>#VALUE!</v>
      </c>
      <c r="Y1232" s="471" t="e">
        <f t="shared" si="243"/>
        <v>#VALUE!</v>
      </c>
    </row>
    <row r="1233" spans="1:25" ht="25.5">
      <c r="A1233" s="383">
        <v>30</v>
      </c>
      <c r="C1233" s="406"/>
      <c r="D1233" s="407"/>
      <c r="E1233" s="407"/>
      <c r="F1233" s="407"/>
      <c r="G1233" s="407"/>
      <c r="H1233" s="407"/>
      <c r="I1233" s="408" t="s">
        <v>441</v>
      </c>
      <c r="J1233" s="409" t="str">
        <f t="shared" si="234"/>
        <v>A=(Ancho x Largo)* Cant</v>
      </c>
      <c r="K1233" s="410" t="str">
        <f t="shared" si="245"/>
        <v>M2</v>
      </c>
      <c r="L1233" s="442">
        <f t="shared" si="237"/>
        <v>20.48</v>
      </c>
      <c r="M1233" s="412"/>
      <c r="N1233" s="442"/>
      <c r="O1233" s="442">
        <f t="shared" si="238"/>
        <v>4.5511111111111111</v>
      </c>
      <c r="P1233" s="442">
        <v>4.5</v>
      </c>
      <c r="Q1233" s="411"/>
      <c r="R1233" s="413">
        <f t="shared" si="239"/>
        <v>1</v>
      </c>
      <c r="S1233" s="414">
        <f>+HLOOKUP(A1233,[238]Hoja1!$2:$78,66,FALSE)</f>
        <v>20.48</v>
      </c>
      <c r="X1233" s="458">
        <f t="shared" si="242"/>
        <v>92.16</v>
      </c>
      <c r="Y1233" s="471">
        <f t="shared" si="243"/>
        <v>92.16</v>
      </c>
    </row>
    <row r="1234" spans="1:25" ht="25.5">
      <c r="A1234" s="383">
        <v>31</v>
      </c>
      <c r="C1234" s="406"/>
      <c r="D1234" s="407"/>
      <c r="E1234" s="407"/>
      <c r="F1234" s="407"/>
      <c r="G1234" s="407"/>
      <c r="H1234" s="407"/>
      <c r="I1234" s="408" t="s">
        <v>442</v>
      </c>
      <c r="J1234" s="409" t="str">
        <f t="shared" si="234"/>
        <v>A=(Ancho x Largo)* Cant</v>
      </c>
      <c r="K1234" s="410" t="str">
        <f t="shared" si="245"/>
        <v>M2</v>
      </c>
      <c r="L1234" s="442">
        <f t="shared" si="237"/>
        <v>56</v>
      </c>
      <c r="M1234" s="412"/>
      <c r="N1234" s="442"/>
      <c r="O1234" s="442">
        <f t="shared" si="238"/>
        <v>8</v>
      </c>
      <c r="P1234" s="442">
        <v>7</v>
      </c>
      <c r="Q1234" s="411"/>
      <c r="R1234" s="413">
        <f t="shared" si="239"/>
        <v>1</v>
      </c>
      <c r="S1234" s="414">
        <f>+HLOOKUP(A1234,[238]Hoja1!$2:$78,66,FALSE)</f>
        <v>56</v>
      </c>
      <c r="X1234" s="458">
        <f t="shared" si="242"/>
        <v>392</v>
      </c>
      <c r="Y1234" s="471">
        <f t="shared" si="243"/>
        <v>392</v>
      </c>
    </row>
    <row r="1235" spans="1:25" ht="25.5">
      <c r="A1235" s="383">
        <v>32</v>
      </c>
      <c r="C1235" s="406"/>
      <c r="D1235" s="407"/>
      <c r="E1235" s="407"/>
      <c r="F1235" s="407"/>
      <c r="G1235" s="407"/>
      <c r="H1235" s="407"/>
      <c r="I1235" s="408" t="s">
        <v>443</v>
      </c>
      <c r="J1235" s="409" t="str">
        <f t="shared" si="234"/>
        <v>A=(Ancho x Largo)* Cant</v>
      </c>
      <c r="K1235" s="410" t="str">
        <f t="shared" si="245"/>
        <v>M2</v>
      </c>
      <c r="L1235" s="442">
        <f t="shared" si="237"/>
        <v>11.32</v>
      </c>
      <c r="M1235" s="412"/>
      <c r="N1235" s="442"/>
      <c r="O1235" s="442">
        <f t="shared" si="238"/>
        <v>3.6993464052287583</v>
      </c>
      <c r="P1235" s="442">
        <v>3.06</v>
      </c>
      <c r="Q1235" s="411"/>
      <c r="R1235" s="413">
        <f t="shared" si="239"/>
        <v>1</v>
      </c>
      <c r="S1235" s="414">
        <f>+HLOOKUP(A1235,[238]Hoja1!$2:$78,66,FALSE)</f>
        <v>11.32</v>
      </c>
      <c r="X1235" s="458">
        <f t="shared" si="242"/>
        <v>34.639200000000002</v>
      </c>
      <c r="Y1235" s="471">
        <f t="shared" si="243"/>
        <v>34.639200000000002</v>
      </c>
    </row>
    <row r="1236" spans="1:25" ht="25.5">
      <c r="A1236" s="383">
        <v>33</v>
      </c>
      <c r="C1236" s="406"/>
      <c r="D1236" s="407"/>
      <c r="E1236" s="407"/>
      <c r="F1236" s="407"/>
      <c r="G1236" s="407"/>
      <c r="H1236" s="407"/>
      <c r="I1236" s="408" t="s">
        <v>444</v>
      </c>
      <c r="J1236" s="409" t="str">
        <f t="shared" si="234"/>
        <v>A=(Ancho x Largo)* Cant</v>
      </c>
      <c r="K1236" s="410" t="str">
        <f t="shared" si="245"/>
        <v>M2</v>
      </c>
      <c r="L1236" s="442">
        <f t="shared" si="237"/>
        <v>61.32</v>
      </c>
      <c r="M1236" s="412"/>
      <c r="N1236" s="442"/>
      <c r="O1236" s="442">
        <f t="shared" si="238"/>
        <v>8.4</v>
      </c>
      <c r="P1236" s="441">
        <v>7.3</v>
      </c>
      <c r="Q1236" s="411"/>
      <c r="R1236" s="413">
        <f t="shared" si="239"/>
        <v>1</v>
      </c>
      <c r="S1236" s="414">
        <f>+HLOOKUP(A1236,[238]Hoja1!$2:$78,66,FALSE)</f>
        <v>61.32</v>
      </c>
      <c r="X1236" s="458">
        <f t="shared" si="242"/>
        <v>447.63599999999997</v>
      </c>
      <c r="Y1236" s="471">
        <f t="shared" si="243"/>
        <v>447.63599999999997</v>
      </c>
    </row>
    <row r="1237" spans="1:25" ht="25.5">
      <c r="A1237" s="383">
        <v>34</v>
      </c>
      <c r="C1237" s="406"/>
      <c r="D1237" s="407"/>
      <c r="E1237" s="407"/>
      <c r="F1237" s="407"/>
      <c r="G1237" s="407"/>
      <c r="H1237" s="407"/>
      <c r="I1237" s="408" t="s">
        <v>445</v>
      </c>
      <c r="J1237" s="409" t="str">
        <f t="shared" si="234"/>
        <v>A=(Ancho x Largo)* Cant</v>
      </c>
      <c r="K1237" s="410" t="str">
        <f t="shared" si="245"/>
        <v>M2</v>
      </c>
      <c r="L1237" s="442" t="str">
        <f t="shared" si="237"/>
        <v/>
      </c>
      <c r="M1237" s="412"/>
      <c r="N1237" s="441"/>
      <c r="O1237" s="442" t="str">
        <f t="shared" si="238"/>
        <v/>
      </c>
      <c r="P1237" s="443"/>
      <c r="Q1237" s="411"/>
      <c r="R1237" s="413" t="str">
        <f t="shared" si="239"/>
        <v/>
      </c>
      <c r="S1237" s="414">
        <f>+HLOOKUP(A1237,[238]Hoja1!$2:$78,66,FALSE)</f>
        <v>0</v>
      </c>
      <c r="X1237" s="458" t="e">
        <f t="shared" si="242"/>
        <v>#VALUE!</v>
      </c>
      <c r="Y1237" s="471" t="e">
        <f t="shared" si="243"/>
        <v>#VALUE!</v>
      </c>
    </row>
    <row r="1238" spans="1:25" ht="25.5">
      <c r="A1238" s="383">
        <v>35</v>
      </c>
      <c r="C1238" s="406"/>
      <c r="D1238" s="440"/>
      <c r="E1238" s="407"/>
      <c r="F1238" s="407"/>
      <c r="G1238" s="407"/>
      <c r="H1238" s="437"/>
      <c r="I1238" s="408" t="s">
        <v>446</v>
      </c>
      <c r="J1238" s="409" t="str">
        <f t="shared" si="234"/>
        <v>A=(Ancho x Largo)* Cant</v>
      </c>
      <c r="K1238" s="410" t="str">
        <f t="shared" si="245"/>
        <v>M2</v>
      </c>
      <c r="L1238" s="442">
        <f t="shared" si="237"/>
        <v>90.09</v>
      </c>
      <c r="M1238" s="412"/>
      <c r="N1238" s="442"/>
      <c r="O1238" s="442">
        <f t="shared" si="238"/>
        <v>12.6</v>
      </c>
      <c r="P1238" s="442">
        <v>7.15</v>
      </c>
      <c r="Q1238" s="411"/>
      <c r="R1238" s="413">
        <f t="shared" si="239"/>
        <v>1</v>
      </c>
      <c r="S1238" s="414">
        <f>+HLOOKUP(A1238,[238]Hoja1!$2:$78,66,FALSE)</f>
        <v>90.09</v>
      </c>
      <c r="X1238" s="458">
        <f t="shared" si="242"/>
        <v>644.14350000000002</v>
      </c>
      <c r="Y1238" s="471">
        <f t="shared" si="243"/>
        <v>644.14350000000002</v>
      </c>
    </row>
    <row r="1239" spans="1:25" ht="25.5">
      <c r="A1239" s="383">
        <v>36</v>
      </c>
      <c r="C1239" s="406"/>
      <c r="D1239" s="407"/>
      <c r="E1239" s="407"/>
      <c r="F1239" s="407"/>
      <c r="G1239" s="407"/>
      <c r="H1239" s="407"/>
      <c r="I1239" s="408" t="s">
        <v>447</v>
      </c>
      <c r="J1239" s="409" t="str">
        <f t="shared" si="234"/>
        <v>A=(Ancho x Largo)* Cant</v>
      </c>
      <c r="K1239" s="410" t="str">
        <f>+K1228</f>
        <v>M2</v>
      </c>
      <c r="L1239" s="442" t="str">
        <f t="shared" si="237"/>
        <v/>
      </c>
      <c r="M1239" s="412"/>
      <c r="N1239" s="442"/>
      <c r="O1239" s="442" t="str">
        <f t="shared" si="238"/>
        <v/>
      </c>
      <c r="P1239" s="441"/>
      <c r="Q1239" s="411"/>
      <c r="R1239" s="413" t="str">
        <f t="shared" si="239"/>
        <v/>
      </c>
      <c r="S1239" s="414">
        <f>+HLOOKUP(A1239,[238]Hoja1!$2:$78,66,FALSE)</f>
        <v>0</v>
      </c>
      <c r="X1239" s="458" t="e">
        <f t="shared" si="242"/>
        <v>#VALUE!</v>
      </c>
      <c r="Y1239" s="471" t="e">
        <f t="shared" si="243"/>
        <v>#VALUE!</v>
      </c>
    </row>
    <row r="1240" spans="1:25" ht="25.5">
      <c r="A1240" s="383">
        <v>37</v>
      </c>
      <c r="C1240" s="406"/>
      <c r="D1240" s="407"/>
      <c r="E1240" s="407"/>
      <c r="F1240" s="407"/>
      <c r="G1240" s="407"/>
      <c r="H1240" s="407"/>
      <c r="I1240" s="408" t="s">
        <v>448</v>
      </c>
      <c r="J1240" s="409" t="str">
        <f t="shared" si="234"/>
        <v>A=(Ancho x Largo)* Cant</v>
      </c>
      <c r="K1240" s="410" t="str">
        <f t="shared" ref="K1240:K1246" si="246">+K1239</f>
        <v>M2</v>
      </c>
      <c r="L1240" s="442">
        <f t="shared" si="237"/>
        <v>15.44</v>
      </c>
      <c r="M1240" s="412"/>
      <c r="N1240" s="441"/>
      <c r="O1240" s="442">
        <f t="shared" si="238"/>
        <v>4.4753623188405793</v>
      </c>
      <c r="P1240" s="441">
        <v>3.45</v>
      </c>
      <c r="Q1240" s="411"/>
      <c r="R1240" s="413">
        <f t="shared" si="239"/>
        <v>1</v>
      </c>
      <c r="S1240" s="414">
        <f>+HLOOKUP(A1240,[238]Hoja1!$2:$78,66,FALSE)</f>
        <v>15.44</v>
      </c>
      <c r="X1240" s="458">
        <f t="shared" si="242"/>
        <v>53.268000000000001</v>
      </c>
      <c r="Y1240" s="471">
        <f t="shared" si="243"/>
        <v>53.268000000000001</v>
      </c>
    </row>
    <row r="1241" spans="1:25" ht="25.5">
      <c r="A1241" s="383">
        <v>38</v>
      </c>
      <c r="C1241" s="406"/>
      <c r="D1241" s="440"/>
      <c r="E1241" s="407"/>
      <c r="F1241" s="407"/>
      <c r="G1241" s="407"/>
      <c r="H1241" s="437"/>
      <c r="I1241" s="408" t="s">
        <v>449</v>
      </c>
      <c r="J1241" s="409" t="str">
        <f t="shared" si="234"/>
        <v>A=(Ancho x Largo)* Cant</v>
      </c>
      <c r="K1241" s="410" t="str">
        <f t="shared" si="246"/>
        <v>M2</v>
      </c>
      <c r="L1241" s="442" t="str">
        <f t="shared" si="237"/>
        <v/>
      </c>
      <c r="M1241" s="412"/>
      <c r="N1241" s="442"/>
      <c r="O1241" s="442" t="str">
        <f t="shared" si="238"/>
        <v/>
      </c>
      <c r="P1241" s="442"/>
      <c r="Q1241" s="411"/>
      <c r="R1241" s="413" t="str">
        <f t="shared" si="239"/>
        <v/>
      </c>
      <c r="S1241" s="414">
        <f>+HLOOKUP(A1241,[238]Hoja1!$2:$78,66,FALSE)</f>
        <v>0</v>
      </c>
      <c r="X1241" s="458" t="e">
        <f t="shared" si="242"/>
        <v>#VALUE!</v>
      </c>
      <c r="Y1241" s="471" t="e">
        <f t="shared" si="243"/>
        <v>#VALUE!</v>
      </c>
    </row>
    <row r="1242" spans="1:25" ht="25.5">
      <c r="A1242" s="383">
        <v>39</v>
      </c>
      <c r="C1242" s="406"/>
      <c r="D1242" s="407"/>
      <c r="E1242" s="407"/>
      <c r="F1242" s="407"/>
      <c r="G1242" s="407"/>
      <c r="H1242" s="407"/>
      <c r="I1242" s="408" t="s">
        <v>450</v>
      </c>
      <c r="J1242" s="409" t="str">
        <f t="shared" si="234"/>
        <v>A=(Ancho x Largo)* Cant</v>
      </c>
      <c r="K1242" s="410" t="str">
        <f t="shared" si="246"/>
        <v>M2</v>
      </c>
      <c r="L1242" s="442">
        <f t="shared" si="237"/>
        <v>135.41999999999999</v>
      </c>
      <c r="M1242" s="412"/>
      <c r="N1242" s="441"/>
      <c r="O1242" s="442">
        <f t="shared" si="238"/>
        <v>12.310909090909091</v>
      </c>
      <c r="P1242" s="441">
        <v>11</v>
      </c>
      <c r="Q1242" s="411"/>
      <c r="R1242" s="413">
        <f t="shared" si="239"/>
        <v>1</v>
      </c>
      <c r="S1242" s="414">
        <f>+HLOOKUP(A1242,[238]Hoja1!$2:$78,66,FALSE)</f>
        <v>135.41999999999999</v>
      </c>
      <c r="X1242" s="458">
        <f t="shared" si="242"/>
        <v>1489.62</v>
      </c>
      <c r="Y1242" s="471">
        <f t="shared" si="243"/>
        <v>1489.62</v>
      </c>
    </row>
    <row r="1243" spans="1:25" ht="25.5">
      <c r="A1243" s="383">
        <v>40</v>
      </c>
      <c r="C1243" s="406"/>
      <c r="D1243" s="407"/>
      <c r="E1243" s="407"/>
      <c r="F1243" s="407"/>
      <c r="G1243" s="407"/>
      <c r="H1243" s="407"/>
      <c r="I1243" s="408" t="s">
        <v>451</v>
      </c>
      <c r="J1243" s="409" t="str">
        <f t="shared" si="234"/>
        <v>A=(Ancho x Largo)* Cant</v>
      </c>
      <c r="K1243" s="410" t="str">
        <f t="shared" si="246"/>
        <v>M2</v>
      </c>
      <c r="L1243" s="442">
        <f t="shared" si="237"/>
        <v>11.32</v>
      </c>
      <c r="M1243" s="412"/>
      <c r="N1243" s="442"/>
      <c r="O1243" s="442">
        <f t="shared" si="238"/>
        <v>3.6993464052287583</v>
      </c>
      <c r="P1243" s="442">
        <v>3.06</v>
      </c>
      <c r="Q1243" s="411"/>
      <c r="R1243" s="413">
        <f t="shared" si="239"/>
        <v>1</v>
      </c>
      <c r="S1243" s="414">
        <f>+HLOOKUP(A1243,[238]Hoja1!$2:$78,66,FALSE)</f>
        <v>11.32</v>
      </c>
      <c r="X1243" s="458">
        <f t="shared" si="242"/>
        <v>34.639200000000002</v>
      </c>
      <c r="Y1243" s="471">
        <f t="shared" si="243"/>
        <v>34.639200000000002</v>
      </c>
    </row>
    <row r="1244" spans="1:25" ht="25.5">
      <c r="A1244" s="383">
        <v>41</v>
      </c>
      <c r="C1244" s="406"/>
      <c r="D1244" s="407"/>
      <c r="E1244" s="407"/>
      <c r="F1244" s="407"/>
      <c r="G1244" s="407"/>
      <c r="H1244" s="407"/>
      <c r="I1244" s="408" t="s">
        <v>452</v>
      </c>
      <c r="J1244" s="409" t="str">
        <f t="shared" si="234"/>
        <v>A=(Ancho x Largo)* Cant</v>
      </c>
      <c r="K1244" s="410" t="str">
        <f t="shared" si="246"/>
        <v>M2</v>
      </c>
      <c r="L1244" s="442">
        <f t="shared" si="237"/>
        <v>14.28</v>
      </c>
      <c r="M1244" s="412"/>
      <c r="N1244" s="442"/>
      <c r="O1244" s="442">
        <f t="shared" si="238"/>
        <v>4.2</v>
      </c>
      <c r="P1244" s="442">
        <v>3.4</v>
      </c>
      <c r="Q1244" s="411"/>
      <c r="R1244" s="413">
        <f t="shared" si="239"/>
        <v>1</v>
      </c>
      <c r="S1244" s="414">
        <f>+HLOOKUP(A1244,[238]Hoja1!$2:$78,66,FALSE)</f>
        <v>14.28</v>
      </c>
      <c r="X1244" s="458">
        <f t="shared" si="242"/>
        <v>48.552</v>
      </c>
      <c r="Y1244" s="471">
        <f t="shared" si="243"/>
        <v>48.552</v>
      </c>
    </row>
    <row r="1245" spans="1:25" ht="25.5">
      <c r="A1245" s="383">
        <v>42</v>
      </c>
      <c r="C1245" s="406"/>
      <c r="D1245" s="407"/>
      <c r="E1245" s="407"/>
      <c r="F1245" s="407"/>
      <c r="G1245" s="407"/>
      <c r="H1245" s="407"/>
      <c r="I1245" s="408" t="s">
        <v>453</v>
      </c>
      <c r="J1245" s="409" t="str">
        <f t="shared" si="234"/>
        <v>A=(Ancho x Largo)* Cant</v>
      </c>
      <c r="K1245" s="410" t="str">
        <f t="shared" si="246"/>
        <v>M2</v>
      </c>
      <c r="L1245" s="442">
        <f t="shared" si="237"/>
        <v>62.4</v>
      </c>
      <c r="M1245" s="412"/>
      <c r="N1245" s="442"/>
      <c r="O1245" s="442">
        <f t="shared" si="238"/>
        <v>8</v>
      </c>
      <c r="P1245" s="441">
        <v>7.8</v>
      </c>
      <c r="Q1245" s="411"/>
      <c r="R1245" s="413">
        <f t="shared" si="239"/>
        <v>1</v>
      </c>
      <c r="S1245" s="414">
        <f>+HLOOKUP(A1245,[238]Hoja1!$2:$78,66,FALSE)</f>
        <v>62.4</v>
      </c>
      <c r="X1245" s="458">
        <f t="shared" si="242"/>
        <v>486.71999999999997</v>
      </c>
      <c r="Y1245" s="471">
        <f t="shared" si="243"/>
        <v>486.71999999999997</v>
      </c>
    </row>
    <row r="1246" spans="1:25" ht="26.25" thickBot="1">
      <c r="A1246" s="383">
        <v>43</v>
      </c>
      <c r="C1246" s="406"/>
      <c r="D1246" s="407"/>
      <c r="E1246" s="407"/>
      <c r="F1246" s="407"/>
      <c r="G1246" s="407"/>
      <c r="H1246" s="407"/>
      <c r="I1246" s="408" t="s">
        <v>454</v>
      </c>
      <c r="J1246" s="409" t="str">
        <f t="shared" si="234"/>
        <v>A=(Ancho x Largo)* Cant</v>
      </c>
      <c r="K1246" s="410" t="str">
        <f t="shared" si="246"/>
        <v>M2</v>
      </c>
      <c r="L1246" s="442">
        <f t="shared" si="237"/>
        <v>82.5</v>
      </c>
      <c r="M1246" s="412"/>
      <c r="N1246" s="442"/>
      <c r="O1246" s="442">
        <f t="shared" si="238"/>
        <v>11</v>
      </c>
      <c r="P1246" s="441">
        <v>7.5</v>
      </c>
      <c r="Q1246" s="411"/>
      <c r="R1246" s="413">
        <f t="shared" si="239"/>
        <v>1</v>
      </c>
      <c r="S1246" s="414">
        <f>+HLOOKUP(A1246,[238]Hoja1!$2:$78,66,FALSE)</f>
        <v>82.5</v>
      </c>
      <c r="X1246" s="458">
        <f t="shared" si="242"/>
        <v>618.75</v>
      </c>
      <c r="Y1246" s="471">
        <f t="shared" si="243"/>
        <v>618.75</v>
      </c>
    </row>
    <row r="1247" spans="1:25">
      <c r="C1247" s="384"/>
      <c r="D1247" s="419"/>
      <c r="E1247" s="420"/>
      <c r="F1247" s="421"/>
      <c r="G1247" s="421"/>
      <c r="H1247" s="421"/>
      <c r="I1247" s="421"/>
      <c r="J1247" s="422"/>
      <c r="K1247" s="421"/>
      <c r="L1247" s="421"/>
      <c r="M1247" s="421"/>
      <c r="N1247" s="421"/>
      <c r="O1247" s="421"/>
      <c r="P1247" s="421"/>
      <c r="Q1247" s="421"/>
      <c r="R1247" s="422"/>
      <c r="S1247" s="423"/>
    </row>
    <row r="1248" spans="1:25">
      <c r="C1248" s="396"/>
      <c r="D1248" s="397"/>
      <c r="E1248" s="424"/>
      <c r="F1248" s="425"/>
      <c r="G1248" s="425"/>
      <c r="H1248" s="425"/>
      <c r="I1248" s="425"/>
      <c r="J1248" s="398"/>
      <c r="K1248" s="425"/>
      <c r="L1248" s="425"/>
      <c r="M1248" s="397"/>
      <c r="N1248" s="397"/>
      <c r="O1248" s="562" t="s">
        <v>455</v>
      </c>
      <c r="P1248" s="563"/>
      <c r="Q1248" s="564"/>
      <c r="R1248" s="426"/>
      <c r="S1248" s="427">
        <f>ROUND(SUM(S1204:S1247),2)</f>
        <v>1439.84</v>
      </c>
    </row>
    <row r="1249" spans="3:19">
      <c r="C1249" s="396"/>
      <c r="D1249" s="397"/>
      <c r="E1249" s="424"/>
      <c r="F1249" s="425"/>
      <c r="G1249" s="425"/>
      <c r="H1249" s="425"/>
      <c r="I1249" s="425"/>
      <c r="J1249" s="398"/>
      <c r="K1249" s="425"/>
      <c r="L1249" s="425"/>
      <c r="M1249" s="428"/>
      <c r="N1249" s="428"/>
      <c r="O1249" s="429"/>
      <c r="P1249" s="425"/>
      <c r="Q1249" s="425"/>
      <c r="R1249" s="430"/>
      <c r="S1249" s="431"/>
    </row>
    <row r="1250" spans="3:19">
      <c r="C1250" s="565" t="e">
        <v>#REF!</v>
      </c>
      <c r="D1250" s="566"/>
      <c r="E1250" s="566"/>
      <c r="F1250" s="566"/>
      <c r="G1250" s="566"/>
      <c r="H1250" s="566"/>
      <c r="I1250" s="566"/>
      <c r="J1250" s="566"/>
      <c r="K1250" s="566"/>
      <c r="L1250" s="566"/>
      <c r="M1250" s="566"/>
      <c r="N1250" s="567"/>
      <c r="O1250" s="568" t="s">
        <v>422</v>
      </c>
      <c r="P1250" s="568"/>
      <c r="Q1250" s="568"/>
      <c r="R1250" s="426"/>
      <c r="S1250" s="427">
        <f>S1248</f>
        <v>1439.84</v>
      </c>
    </row>
    <row r="1251" spans="3:19">
      <c r="C1251" s="396"/>
      <c r="D1251" s="397"/>
      <c r="E1251" s="424"/>
      <c r="F1251" s="425"/>
      <c r="G1251" s="425"/>
      <c r="H1251" s="425"/>
      <c r="I1251" s="425"/>
      <c r="J1251" s="398"/>
      <c r="K1251" s="425"/>
      <c r="L1251" s="425"/>
      <c r="M1251" s="428"/>
      <c r="N1251" s="428"/>
      <c r="O1251" s="429"/>
      <c r="P1251" s="425"/>
      <c r="Q1251" s="398"/>
      <c r="R1251" s="398"/>
      <c r="S1251" s="432"/>
    </row>
    <row r="1252" spans="3:19">
      <c r="C1252" s="396"/>
      <c r="D1252" s="397"/>
      <c r="E1252" s="424"/>
      <c r="F1252" s="425"/>
      <c r="G1252" s="425"/>
      <c r="H1252" s="425"/>
      <c r="I1252" s="425"/>
      <c r="J1252" s="398"/>
      <c r="K1252" s="425"/>
      <c r="L1252" s="425"/>
      <c r="M1252" s="428"/>
      <c r="N1252" s="428"/>
      <c r="O1252" s="429"/>
      <c r="P1252" s="425"/>
      <c r="Q1252" s="398"/>
      <c r="R1252" s="398"/>
      <c r="S1252" s="432"/>
    </row>
    <row r="1253" spans="3:19">
      <c r="C1253" s="569" t="s">
        <v>423</v>
      </c>
      <c r="D1253" s="570"/>
      <c r="E1253" s="570"/>
      <c r="F1253" s="570"/>
      <c r="G1253" s="570"/>
      <c r="H1253" s="570"/>
      <c r="I1253" s="570"/>
      <c r="J1253" s="571"/>
      <c r="K1253" s="433" t="s">
        <v>424</v>
      </c>
      <c r="L1253" s="434"/>
      <c r="M1253" s="434"/>
      <c r="N1253" s="434"/>
      <c r="O1253" s="434"/>
      <c r="P1253" s="434"/>
      <c r="Q1253" s="434"/>
      <c r="R1253" s="434"/>
      <c r="S1253" s="435"/>
    </row>
    <row r="1254" spans="3:19">
      <c r="C1254" s="542"/>
      <c r="D1254" s="543"/>
      <c r="E1254" s="543"/>
      <c r="F1254" s="543"/>
      <c r="G1254" s="436"/>
      <c r="H1254" s="436"/>
      <c r="I1254" s="436"/>
      <c r="J1254" s="447"/>
      <c r="K1254" s="436"/>
      <c r="L1254" s="407"/>
      <c r="M1254" s="407"/>
      <c r="N1254" s="407"/>
      <c r="O1254" s="407"/>
      <c r="P1254" s="407"/>
      <c r="Q1254" s="407"/>
      <c r="R1254" s="407"/>
      <c r="S1254" s="437"/>
    </row>
    <row r="1255" spans="3:19">
      <c r="C1255" s="542"/>
      <c r="D1255" s="543"/>
      <c r="E1255" s="543"/>
      <c r="F1255" s="543"/>
      <c r="G1255" s="436"/>
      <c r="H1255" s="436"/>
      <c r="I1255" s="436"/>
      <c r="J1255" s="447"/>
      <c r="K1255" s="436"/>
      <c r="L1255" s="407"/>
      <c r="M1255" s="407"/>
      <c r="N1255" s="407"/>
      <c r="O1255" s="407"/>
      <c r="P1255" s="407"/>
      <c r="Q1255" s="407"/>
      <c r="R1255" s="407"/>
      <c r="S1255" s="437"/>
    </row>
    <row r="1256" spans="3:19">
      <c r="C1256" s="542" t="s">
        <v>425</v>
      </c>
      <c r="D1256" s="543"/>
      <c r="E1256" s="543" t="s">
        <v>425</v>
      </c>
      <c r="F1256" s="543"/>
      <c r="G1256" s="543" t="s">
        <v>425</v>
      </c>
      <c r="H1256" s="543"/>
      <c r="I1256" s="543" t="s">
        <v>425</v>
      </c>
      <c r="J1256" s="544"/>
      <c r="K1256" s="545" t="s">
        <v>426</v>
      </c>
      <c r="L1256" s="546"/>
      <c r="M1256" s="546"/>
      <c r="N1256" s="546"/>
      <c r="O1256" s="546"/>
      <c r="P1256" s="546"/>
      <c r="Q1256" s="546"/>
      <c r="R1256" s="546"/>
      <c r="S1256" s="547"/>
    </row>
    <row r="1257" spans="3:19">
      <c r="C1257" s="548" t="str">
        <f>+[42]DATOS!D$8</f>
        <v>HELMER EDUARDO BECERRA SANTANDER</v>
      </c>
      <c r="D1257" s="549"/>
      <c r="E1257" s="549" t="s">
        <v>427</v>
      </c>
      <c r="F1257" s="549"/>
      <c r="G1257" s="549" t="s">
        <v>427</v>
      </c>
      <c r="H1257" s="549"/>
      <c r="I1257" s="549" t="s">
        <v>427</v>
      </c>
      <c r="J1257" s="550"/>
      <c r="K1257" s="551" t="str">
        <f>+[42]DATOS!D$11</f>
        <v>JESUS IVAN QUIÑONES RUEDA</v>
      </c>
      <c r="L1257" s="549"/>
      <c r="M1257" s="549"/>
      <c r="N1257" s="549"/>
      <c r="O1257" s="549"/>
      <c r="P1257" s="549"/>
      <c r="Q1257" s="549"/>
      <c r="R1257" s="549"/>
      <c r="S1257" s="552"/>
    </row>
    <row r="1258" spans="3:19">
      <c r="C1258" s="553" t="str">
        <f>+$C$72</f>
        <v>APOYO SEC. DE PLANEACION Y OBRAS PÚBLICAS</v>
      </c>
      <c r="D1258" s="554"/>
      <c r="E1258" s="554" t="s">
        <v>428</v>
      </c>
      <c r="F1258" s="554"/>
      <c r="G1258" s="554" t="s">
        <v>428</v>
      </c>
      <c r="H1258" s="554"/>
      <c r="I1258" s="554" t="s">
        <v>428</v>
      </c>
      <c r="J1258" s="555"/>
      <c r="K1258" s="556" t="str">
        <f>+$K$72</f>
        <v>SECRETARIO DE PLANEACION Y OBRAS PÚBLICAS</v>
      </c>
      <c r="L1258" s="554"/>
      <c r="M1258" s="554"/>
      <c r="N1258" s="554"/>
      <c r="O1258" s="554"/>
      <c r="P1258" s="554"/>
      <c r="Q1258" s="554"/>
      <c r="R1258" s="554"/>
      <c r="S1258" s="557"/>
    </row>
    <row r="1259" spans="3:19">
      <c r="C1259" s="406"/>
      <c r="D1259" s="407"/>
      <c r="E1259" s="407"/>
      <c r="F1259" s="407"/>
      <c r="G1259" s="407"/>
      <c r="H1259" s="407"/>
      <c r="I1259" s="407"/>
      <c r="J1259" s="407"/>
      <c r="K1259" s="407"/>
      <c r="L1259" s="407"/>
      <c r="M1259" s="407"/>
      <c r="N1259" s="407"/>
      <c r="O1259" s="407"/>
      <c r="P1259" s="407"/>
      <c r="Q1259" s="407"/>
      <c r="R1259" s="407"/>
      <c r="S1259" s="437"/>
    </row>
    <row r="1260" spans="3:19" ht="111" customHeight="1" thickBot="1">
      <c r="C1260" s="417"/>
      <c r="D1260" s="418"/>
      <c r="E1260" s="418"/>
      <c r="F1260" s="418"/>
      <c r="G1260" s="418"/>
      <c r="H1260" s="418"/>
      <c r="I1260" s="418"/>
      <c r="J1260" s="418"/>
      <c r="K1260" s="418"/>
      <c r="L1260" s="418"/>
      <c r="M1260" s="418"/>
      <c r="N1260" s="418"/>
      <c r="O1260" s="418"/>
      <c r="P1260" s="418"/>
      <c r="Q1260" s="418"/>
      <c r="R1260" s="418"/>
      <c r="S1260" s="438"/>
    </row>
    <row r="1261" spans="3:19" ht="22.5" customHeight="1"/>
    <row r="1262" spans="3:19" ht="13.5" thickBot="1"/>
    <row r="1263" spans="3:19">
      <c r="C1263" s="384"/>
      <c r="D1263" s="385"/>
      <c r="E1263" s="385"/>
      <c r="F1263" s="385"/>
      <c r="G1263" s="385"/>
      <c r="H1263" s="385"/>
      <c r="I1263" s="385"/>
      <c r="J1263" s="445"/>
      <c r="K1263" s="385"/>
      <c r="L1263" s="385"/>
      <c r="M1263" s="385"/>
      <c r="N1263" s="385"/>
      <c r="O1263" s="385"/>
      <c r="P1263" s="385"/>
      <c r="Q1263" s="385"/>
      <c r="R1263" s="385"/>
      <c r="S1263" s="386"/>
    </row>
    <row r="1264" spans="3:19" ht="121.5" customHeight="1" thickBot="1">
      <c r="C1264" s="387"/>
      <c r="D1264" s="388"/>
      <c r="E1264" s="388"/>
      <c r="F1264" s="388"/>
      <c r="G1264" s="388"/>
      <c r="H1264" s="388"/>
      <c r="I1264" s="388"/>
      <c r="J1264" s="446"/>
      <c r="K1264" s="388"/>
      <c r="L1264" s="388"/>
      <c r="M1264" s="388"/>
      <c r="N1264" s="388"/>
      <c r="O1264" s="388"/>
      <c r="P1264" s="388"/>
      <c r="Q1264" s="388"/>
      <c r="R1264" s="388"/>
      <c r="S1264" s="389"/>
    </row>
    <row r="1265" spans="1:25">
      <c r="C1265" s="592" t="str">
        <f>+[42]DATOS!C$7</f>
        <v>MEJORAMIENTO DE VIVIENDA CON ENFOQUE DIFERENCIAL PARA POBLACIÓN VULNERABLE EN EL MUNICIPIO DE CUBARÁ, BOYACÁ (2026).</v>
      </c>
      <c r="D1265" s="593"/>
      <c r="E1265" s="593"/>
      <c r="F1265" s="593"/>
      <c r="G1265" s="593"/>
      <c r="H1265" s="593"/>
      <c r="I1265" s="593"/>
      <c r="J1265" s="593"/>
      <c r="K1265" s="593"/>
      <c r="L1265" s="593"/>
      <c r="M1265" s="593"/>
      <c r="N1265" s="593"/>
      <c r="O1265" s="593"/>
      <c r="P1265" s="593"/>
      <c r="Q1265" s="593"/>
      <c r="R1265" s="593"/>
      <c r="S1265" s="594"/>
    </row>
    <row r="1266" spans="1:25">
      <c r="C1266" s="595"/>
      <c r="D1266" s="596"/>
      <c r="E1266" s="596"/>
      <c r="F1266" s="596"/>
      <c r="G1266" s="596"/>
      <c r="H1266" s="596"/>
      <c r="I1266" s="596"/>
      <c r="J1266" s="596"/>
      <c r="K1266" s="596"/>
      <c r="L1266" s="596"/>
      <c r="M1266" s="596"/>
      <c r="N1266" s="596"/>
      <c r="O1266" s="596"/>
      <c r="P1266" s="596"/>
      <c r="Q1266" s="596"/>
      <c r="R1266" s="596"/>
      <c r="S1266" s="597"/>
    </row>
    <row r="1267" spans="1:25">
      <c r="C1267" s="598" t="s">
        <v>371</v>
      </c>
      <c r="D1267" s="599"/>
      <c r="E1267" s="599"/>
      <c r="F1267" s="599"/>
      <c r="G1267" s="599"/>
      <c r="H1267" s="599"/>
      <c r="I1267" s="599"/>
      <c r="J1267" s="599"/>
      <c r="K1267" s="599"/>
      <c r="L1267" s="599"/>
      <c r="M1267" s="599"/>
      <c r="N1267" s="599"/>
      <c r="O1267" s="599"/>
      <c r="P1267" s="599"/>
      <c r="Q1267" s="599"/>
      <c r="R1267" s="599"/>
      <c r="S1267" s="600"/>
    </row>
    <row r="1268" spans="1:25">
      <c r="C1268" s="586" t="s">
        <v>372</v>
      </c>
      <c r="D1268" s="587"/>
      <c r="E1268" s="601" t="s">
        <v>373</v>
      </c>
      <c r="F1268" s="601"/>
      <c r="G1268" s="601"/>
      <c r="H1268" s="601"/>
      <c r="I1268" s="601"/>
      <c r="J1268" s="601"/>
      <c r="K1268" s="601"/>
      <c r="L1268" s="601"/>
      <c r="M1268" s="601"/>
      <c r="N1268" s="601"/>
      <c r="O1268" s="601"/>
      <c r="P1268" s="601"/>
      <c r="Q1268" s="601"/>
      <c r="R1268" s="601"/>
      <c r="S1268" s="602"/>
    </row>
    <row r="1269" spans="1:25">
      <c r="C1269" s="586" t="s">
        <v>374</v>
      </c>
      <c r="D1269" s="587"/>
      <c r="E1269" s="603" t="s">
        <v>375</v>
      </c>
      <c r="F1269" s="604"/>
      <c r="G1269" s="604"/>
      <c r="H1269" s="604"/>
      <c r="I1269" s="604"/>
      <c r="J1269" s="604"/>
      <c r="K1269" s="604"/>
      <c r="L1269" s="604"/>
      <c r="M1269" s="604"/>
      <c r="N1269" s="604"/>
      <c r="O1269" s="604"/>
      <c r="P1269" s="604"/>
      <c r="Q1269" s="604"/>
      <c r="R1269" s="604"/>
      <c r="S1269" s="605"/>
    </row>
    <row r="1270" spans="1:25">
      <c r="C1270" s="586" t="s">
        <v>376</v>
      </c>
      <c r="D1270" s="587"/>
      <c r="E1270" s="390">
        <f>+[42]DATOS!F$5</f>
        <v>46143</v>
      </c>
      <c r="F1270" s="391"/>
      <c r="G1270" s="391"/>
      <c r="H1270" s="391"/>
      <c r="I1270" s="391"/>
      <c r="J1270" s="391"/>
      <c r="K1270" s="568" t="s">
        <v>377</v>
      </c>
      <c r="L1270" s="568"/>
      <c r="M1270" s="588" t="s">
        <v>378</v>
      </c>
      <c r="N1270" s="588"/>
      <c r="O1270" s="588"/>
      <c r="P1270" s="588"/>
      <c r="Q1270" s="588"/>
      <c r="R1270" s="588"/>
      <c r="S1270" s="589"/>
    </row>
    <row r="1271" spans="1:25" ht="25.5">
      <c r="C1271" s="586" t="s">
        <v>379</v>
      </c>
      <c r="D1271" s="587"/>
      <c r="E1271" s="590" t="s">
        <v>380</v>
      </c>
      <c r="F1271" s="591"/>
      <c r="G1271" s="392">
        <f>+[42]DATOS!E$5</f>
        <v>2026</v>
      </c>
      <c r="H1271" s="393" t="s">
        <v>381</v>
      </c>
      <c r="I1271" s="394">
        <f>+[42]DATOS!E$5</f>
        <v>2026</v>
      </c>
      <c r="J1271" s="395"/>
      <c r="K1271" s="568" t="s">
        <v>382</v>
      </c>
      <c r="L1271" s="568"/>
      <c r="M1271" s="588" t="s">
        <v>383</v>
      </c>
      <c r="N1271" s="588"/>
      <c r="O1271" s="588"/>
      <c r="P1271" s="588"/>
      <c r="Q1271" s="588"/>
      <c r="R1271" s="588"/>
      <c r="S1271" s="589"/>
    </row>
    <row r="1272" spans="1:25">
      <c r="C1272" s="396"/>
      <c r="D1272" s="397"/>
      <c r="E1272" s="397"/>
      <c r="F1272" s="398"/>
      <c r="G1272" s="398"/>
      <c r="H1272" s="398"/>
      <c r="I1272" s="398"/>
      <c r="J1272" s="398"/>
      <c r="K1272" s="398"/>
      <c r="L1272" s="398"/>
      <c r="M1272" s="398"/>
      <c r="N1272" s="398"/>
      <c r="O1272" s="398"/>
      <c r="P1272" s="398"/>
      <c r="Q1272" s="398"/>
      <c r="R1272" s="398"/>
      <c r="S1272" s="399"/>
    </row>
    <row r="1273" spans="1:25">
      <c r="C1273" s="572" t="s">
        <v>384</v>
      </c>
      <c r="D1273" s="573"/>
      <c r="E1273" s="573"/>
      <c r="F1273" s="573"/>
      <c r="G1273" s="573"/>
      <c r="H1273" s="573"/>
      <c r="I1273" s="573"/>
      <c r="J1273" s="573"/>
      <c r="K1273" s="573"/>
      <c r="L1273" s="573"/>
      <c r="M1273" s="573"/>
      <c r="N1273" s="573"/>
      <c r="O1273" s="573"/>
      <c r="P1273" s="573"/>
      <c r="Q1273" s="573"/>
      <c r="R1273" s="573"/>
      <c r="S1273" s="574"/>
    </row>
    <row r="1274" spans="1:25">
      <c r="C1274" s="396"/>
      <c r="D1274" s="397"/>
      <c r="E1274" s="397"/>
      <c r="F1274" s="398"/>
      <c r="G1274" s="398"/>
      <c r="H1274" s="398"/>
      <c r="I1274" s="398"/>
      <c r="J1274" s="398"/>
      <c r="K1274" s="398"/>
      <c r="L1274" s="398"/>
      <c r="M1274" s="398"/>
      <c r="N1274" s="398"/>
      <c r="O1274" s="398"/>
      <c r="P1274" s="398"/>
      <c r="Q1274" s="398"/>
      <c r="R1274" s="398"/>
      <c r="S1274" s="399"/>
    </row>
    <row r="1275" spans="1:25">
      <c r="C1275" s="400" t="s">
        <v>385</v>
      </c>
      <c r="D1275" s="575" t="s">
        <v>386</v>
      </c>
      <c r="E1275" s="575"/>
      <c r="F1275" s="576" t="s">
        <v>387</v>
      </c>
      <c r="G1275" s="577"/>
      <c r="H1275" s="577"/>
      <c r="I1275" s="576" t="s">
        <v>388</v>
      </c>
      <c r="J1275" s="576" t="s">
        <v>389</v>
      </c>
      <c r="K1275" s="579"/>
      <c r="L1275" s="581" t="s">
        <v>390</v>
      </c>
      <c r="M1275" s="581"/>
      <c r="N1275" s="581"/>
      <c r="O1275" s="581"/>
      <c r="P1275" s="581"/>
      <c r="Q1275" s="581"/>
      <c r="R1275" s="581" t="s">
        <v>391</v>
      </c>
      <c r="S1275" s="582"/>
    </row>
    <row r="1276" spans="1:25" ht="38.25">
      <c r="C1276" s="403">
        <f>+'PRESUPUESTO OFICIAL '!C84</f>
        <v>7.05</v>
      </c>
      <c r="D1276" s="583" t="str">
        <f>+VLOOKUP(C1276,'PRESUPUESTO OFICIAL '!$C$11:$H$103,2)</f>
        <v>SUMINISTRO E INSTALACIÓN DE CABALLETE EN TEJA MASTER 1000</v>
      </c>
      <c r="E1276" s="584"/>
      <c r="F1276" s="585" t="str">
        <f>+VLOOKUP(C1276,'PRESUPUESTO OFICIAL '!$C$11:$H$103,3)</f>
        <v>M</v>
      </c>
      <c r="G1276" s="585"/>
      <c r="H1276" s="585"/>
      <c r="I1276" s="578"/>
      <c r="J1276" s="578"/>
      <c r="K1276" s="580"/>
      <c r="L1276" s="401" t="s">
        <v>392</v>
      </c>
      <c r="M1276" s="401" t="s">
        <v>393</v>
      </c>
      <c r="N1276" s="401" t="s">
        <v>394</v>
      </c>
      <c r="O1276" s="401" t="s">
        <v>395</v>
      </c>
      <c r="P1276" s="401" t="s">
        <v>396</v>
      </c>
      <c r="Q1276" s="401" t="s">
        <v>397</v>
      </c>
      <c r="R1276" s="401" t="s">
        <v>398</v>
      </c>
      <c r="S1276" s="402" t="s">
        <v>399</v>
      </c>
      <c r="U1276" s="404">
        <f>+C1276</f>
        <v>7.05</v>
      </c>
      <c r="V1276" s="405">
        <f>+S1324</f>
        <v>105.29</v>
      </c>
    </row>
    <row r="1277" spans="1:25">
      <c r="C1277" s="406"/>
      <c r="D1277" s="407"/>
      <c r="E1277" s="407"/>
      <c r="F1277" s="407"/>
      <c r="G1277" s="407"/>
      <c r="H1277" s="407"/>
      <c r="I1277" s="558"/>
      <c r="J1277" s="559"/>
      <c r="K1277" s="560"/>
      <c r="L1277" s="560"/>
      <c r="M1277" s="560"/>
      <c r="N1277" s="560"/>
      <c r="O1277" s="560"/>
      <c r="P1277" s="560"/>
      <c r="Q1277" s="560"/>
      <c r="R1277" s="560"/>
      <c r="S1277" s="561"/>
    </row>
    <row r="1278" spans="1:25">
      <c r="A1278" s="383">
        <v>1</v>
      </c>
      <c r="C1278" s="406"/>
      <c r="D1278" s="407"/>
      <c r="E1278" s="407"/>
      <c r="F1278" s="407"/>
      <c r="G1278" s="407"/>
      <c r="H1278" s="407"/>
      <c r="I1278" s="408" t="s">
        <v>400</v>
      </c>
      <c r="J1278" s="409" t="str">
        <f t="shared" ref="J1278:J1320" si="247">+VLOOKUP(K1278,$AH$22:$AJ$58,2,)</f>
        <v>M=(Largo) x Cant</v>
      </c>
      <c r="K1278" s="410" t="str">
        <f>+F1276</f>
        <v>M</v>
      </c>
      <c r="L1278" s="411"/>
      <c r="M1278" s="412"/>
      <c r="N1278" s="442"/>
      <c r="O1278" s="442" t="str">
        <f>IF(S1278=0,"",S1278)</f>
        <v/>
      </c>
      <c r="P1278" s="413"/>
      <c r="Q1278" s="411"/>
      <c r="R1278" s="413" t="str">
        <f>IF(S1278=0,"",1)</f>
        <v/>
      </c>
      <c r="S1278" s="414">
        <f>+HLOOKUP(A1278,[238]Hoja1!$2:$78,67,FALSE)</f>
        <v>0</v>
      </c>
      <c r="X1278" s="458" t="e">
        <f t="shared" ref="X1278" si="248">+N1278*O1278*P1278</f>
        <v>#VALUE!</v>
      </c>
      <c r="Y1278" s="471" t="e">
        <f t="shared" ref="Y1278" si="249">+X1278-Q1278</f>
        <v>#VALUE!</v>
      </c>
    </row>
    <row r="1279" spans="1:25">
      <c r="A1279" s="383">
        <v>2</v>
      </c>
      <c r="C1279" s="406"/>
      <c r="D1279" s="407"/>
      <c r="E1279" s="407"/>
      <c r="F1279" s="407"/>
      <c r="G1279" s="407"/>
      <c r="H1279" s="407"/>
      <c r="I1279" s="408" t="s">
        <v>401</v>
      </c>
      <c r="J1279" s="409" t="str">
        <f t="shared" si="247"/>
        <v>M=(Largo) x Cant</v>
      </c>
      <c r="K1279" s="410" t="str">
        <f>+K1278</f>
        <v>M</v>
      </c>
      <c r="L1279" s="411"/>
      <c r="M1279" s="412"/>
      <c r="N1279" s="442"/>
      <c r="O1279" s="442" t="str">
        <f t="shared" ref="O1279:O1320" si="250">IF(S1279=0,"",S1279)</f>
        <v/>
      </c>
      <c r="P1279" s="413"/>
      <c r="Q1279" s="411"/>
      <c r="R1279" s="413" t="str">
        <f t="shared" ref="R1279:R1320" si="251">IF(S1279=0,"",1)</f>
        <v/>
      </c>
      <c r="S1279" s="414">
        <f>+HLOOKUP(A1279,[238]Hoja1!$2:$78,67,FALSE)</f>
        <v>0</v>
      </c>
      <c r="X1279" s="458">
        <f>+L1279*P1279</f>
        <v>0</v>
      </c>
      <c r="Y1279" s="471">
        <f>+X1279-Q1279</f>
        <v>0</v>
      </c>
    </row>
    <row r="1280" spans="1:25">
      <c r="A1280" s="383">
        <v>3</v>
      </c>
      <c r="C1280" s="406"/>
      <c r="D1280" s="407"/>
      <c r="E1280" s="407"/>
      <c r="F1280" s="407"/>
      <c r="G1280" s="407"/>
      <c r="H1280" s="407"/>
      <c r="I1280" s="408" t="s">
        <v>402</v>
      </c>
      <c r="J1280" s="409" t="str">
        <f t="shared" si="247"/>
        <v>M=(Largo) x Cant</v>
      </c>
      <c r="K1280" s="410" t="str">
        <f>+K1279</f>
        <v>M</v>
      </c>
      <c r="L1280" s="411"/>
      <c r="M1280" s="412"/>
      <c r="N1280" s="442"/>
      <c r="O1280" s="442" t="str">
        <f t="shared" si="250"/>
        <v/>
      </c>
      <c r="P1280" s="413"/>
      <c r="Q1280" s="411"/>
      <c r="R1280" s="413" t="str">
        <f t="shared" si="251"/>
        <v/>
      </c>
      <c r="S1280" s="414">
        <f>+HLOOKUP(A1280,[238]Hoja1!$2:$78,67,FALSE)</f>
        <v>0</v>
      </c>
      <c r="X1280" s="458">
        <f t="shared" ref="X1280:X1282" si="252">+L1280*P1280</f>
        <v>0</v>
      </c>
      <c r="Y1280" s="471">
        <f t="shared" ref="Y1280:Y1282" si="253">+X1280-Q1280</f>
        <v>0</v>
      </c>
    </row>
    <row r="1281" spans="1:25">
      <c r="A1281" s="383">
        <v>4</v>
      </c>
      <c r="C1281" s="406"/>
      <c r="D1281" s="407"/>
      <c r="E1281" s="407"/>
      <c r="F1281" s="407"/>
      <c r="G1281" s="407"/>
      <c r="H1281" s="407"/>
      <c r="I1281" s="408" t="s">
        <v>403</v>
      </c>
      <c r="J1281" s="409" t="str">
        <f t="shared" si="247"/>
        <v>M=(Largo) x Cant</v>
      </c>
      <c r="K1281" s="410" t="str">
        <f>+K1280</f>
        <v>M</v>
      </c>
      <c r="L1281" s="411"/>
      <c r="M1281" s="412"/>
      <c r="N1281" s="442"/>
      <c r="O1281" s="442" t="str">
        <f t="shared" si="250"/>
        <v/>
      </c>
      <c r="P1281" s="413"/>
      <c r="Q1281" s="411"/>
      <c r="R1281" s="413" t="str">
        <f t="shared" si="251"/>
        <v/>
      </c>
      <c r="S1281" s="414">
        <f>+HLOOKUP(A1281,[238]Hoja1!$2:$78,67,FALSE)</f>
        <v>0</v>
      </c>
      <c r="X1281" s="458">
        <f t="shared" si="252"/>
        <v>0</v>
      </c>
      <c r="Y1281" s="471">
        <f t="shared" si="253"/>
        <v>0</v>
      </c>
    </row>
    <row r="1282" spans="1:25">
      <c r="A1282" s="383">
        <v>5</v>
      </c>
      <c r="C1282" s="406"/>
      <c r="D1282" s="407"/>
      <c r="E1282" s="407"/>
      <c r="F1282" s="407"/>
      <c r="G1282" s="407"/>
      <c r="H1282" s="407"/>
      <c r="I1282" s="408" t="s">
        <v>405</v>
      </c>
      <c r="J1282" s="409" t="str">
        <f t="shared" si="247"/>
        <v>M=(Largo) x Cant</v>
      </c>
      <c r="K1282" s="410" t="str">
        <f>+K1281</f>
        <v>M</v>
      </c>
      <c r="L1282" s="411"/>
      <c r="M1282" s="412"/>
      <c r="N1282" s="442"/>
      <c r="O1282" s="442" t="str">
        <f t="shared" si="250"/>
        <v/>
      </c>
      <c r="P1282" s="413"/>
      <c r="Q1282" s="411"/>
      <c r="R1282" s="413" t="str">
        <f t="shared" si="251"/>
        <v/>
      </c>
      <c r="S1282" s="414">
        <f>+HLOOKUP(A1282,[238]Hoja1!$2:$78,67,FALSE)</f>
        <v>0</v>
      </c>
      <c r="X1282" s="458">
        <f t="shared" si="252"/>
        <v>0</v>
      </c>
      <c r="Y1282" s="471">
        <f t="shared" si="253"/>
        <v>0</v>
      </c>
    </row>
    <row r="1283" spans="1:25">
      <c r="A1283" s="383">
        <v>6</v>
      </c>
      <c r="C1283" s="406"/>
      <c r="D1283" s="407"/>
      <c r="E1283" s="407"/>
      <c r="F1283" s="407"/>
      <c r="G1283" s="407"/>
      <c r="H1283" s="407"/>
      <c r="I1283" s="408" t="s">
        <v>407</v>
      </c>
      <c r="J1283" s="409" t="str">
        <f t="shared" si="247"/>
        <v>M=(Largo) x Cant</v>
      </c>
      <c r="K1283" s="410" t="str">
        <f>+K1282</f>
        <v>M</v>
      </c>
      <c r="L1283" s="411"/>
      <c r="M1283" s="412"/>
      <c r="N1283" s="442"/>
      <c r="O1283" s="442" t="str">
        <f t="shared" si="250"/>
        <v/>
      </c>
      <c r="P1283" s="413"/>
      <c r="Q1283" s="411"/>
      <c r="R1283" s="413" t="str">
        <f t="shared" si="251"/>
        <v/>
      </c>
      <c r="S1283" s="414">
        <f>+HLOOKUP(A1283,[238]Hoja1!$2:$78,67,FALSE)</f>
        <v>0</v>
      </c>
      <c r="X1283" s="458">
        <f>+L1283*P1283</f>
        <v>0</v>
      </c>
      <c r="Y1283" s="471">
        <f>+X1283-Q1283</f>
        <v>0</v>
      </c>
    </row>
    <row r="1284" spans="1:25">
      <c r="A1284" s="383">
        <v>7</v>
      </c>
      <c r="C1284" s="406"/>
      <c r="D1284" s="407"/>
      <c r="E1284" s="407"/>
      <c r="F1284" s="407"/>
      <c r="G1284" s="407"/>
      <c r="H1284" s="407"/>
      <c r="I1284" s="408" t="s">
        <v>409</v>
      </c>
      <c r="J1284" s="409" t="str">
        <f t="shared" si="247"/>
        <v>M=(Largo) x Cant</v>
      </c>
      <c r="K1284" s="410" t="str">
        <f>+K1278</f>
        <v>M</v>
      </c>
      <c r="L1284" s="411"/>
      <c r="M1284" s="412"/>
      <c r="N1284" s="442"/>
      <c r="O1284" s="442">
        <f t="shared" si="250"/>
        <v>10.44</v>
      </c>
      <c r="P1284" s="413"/>
      <c r="Q1284" s="411"/>
      <c r="R1284" s="413">
        <f t="shared" si="251"/>
        <v>1</v>
      </c>
      <c r="S1284" s="414">
        <f>+HLOOKUP(A1284,[238]Hoja1!$2:$78,67,FALSE)</f>
        <v>10.44</v>
      </c>
      <c r="X1284" s="458">
        <f t="shared" ref="X1284:X1320" si="254">+L1284*P1284</f>
        <v>0</v>
      </c>
      <c r="Y1284" s="471">
        <f t="shared" ref="Y1284:Y1320" si="255">+X1284-Q1284</f>
        <v>0</v>
      </c>
    </row>
    <row r="1285" spans="1:25">
      <c r="A1285" s="383">
        <v>8</v>
      </c>
      <c r="C1285" s="406"/>
      <c r="D1285" s="407"/>
      <c r="E1285" s="407"/>
      <c r="F1285" s="407"/>
      <c r="G1285" s="407"/>
      <c r="H1285" s="407"/>
      <c r="I1285" s="408" t="s">
        <v>411</v>
      </c>
      <c r="J1285" s="409" t="str">
        <f t="shared" si="247"/>
        <v>M=(Largo) x Cant</v>
      </c>
      <c r="K1285" s="410" t="str">
        <f>+K1284</f>
        <v>M</v>
      </c>
      <c r="L1285" s="411"/>
      <c r="M1285" s="412"/>
      <c r="N1285" s="442"/>
      <c r="O1285" s="442" t="str">
        <f t="shared" si="250"/>
        <v/>
      </c>
      <c r="P1285" s="413"/>
      <c r="Q1285" s="411"/>
      <c r="R1285" s="413" t="str">
        <f t="shared" si="251"/>
        <v/>
      </c>
      <c r="S1285" s="414">
        <f>+HLOOKUP(A1285,[238]Hoja1!$2:$78,67,FALSE)</f>
        <v>0</v>
      </c>
      <c r="X1285" s="458">
        <f t="shared" si="254"/>
        <v>0</v>
      </c>
      <c r="Y1285" s="471">
        <f t="shared" si="255"/>
        <v>0</v>
      </c>
    </row>
    <row r="1286" spans="1:25">
      <c r="A1286" s="383">
        <v>9</v>
      </c>
      <c r="C1286" s="406"/>
      <c r="D1286" s="407"/>
      <c r="E1286" s="407"/>
      <c r="F1286" s="407"/>
      <c r="G1286" s="407"/>
      <c r="H1286" s="407"/>
      <c r="I1286" s="408" t="s">
        <v>412</v>
      </c>
      <c r="J1286" s="409" t="str">
        <f t="shared" si="247"/>
        <v>M=(Largo) x Cant</v>
      </c>
      <c r="K1286" s="410" t="str">
        <f>+K1285</f>
        <v>M</v>
      </c>
      <c r="L1286" s="411"/>
      <c r="M1286" s="412"/>
      <c r="N1286" s="442"/>
      <c r="O1286" s="442" t="str">
        <f t="shared" si="250"/>
        <v/>
      </c>
      <c r="P1286" s="413"/>
      <c r="Q1286" s="411"/>
      <c r="R1286" s="413" t="str">
        <f t="shared" si="251"/>
        <v/>
      </c>
      <c r="S1286" s="414">
        <f>+HLOOKUP(A1286,[238]Hoja1!$2:$78,67,FALSE)</f>
        <v>0</v>
      </c>
      <c r="X1286" s="458">
        <f t="shared" si="254"/>
        <v>0</v>
      </c>
      <c r="Y1286" s="471">
        <f t="shared" si="255"/>
        <v>0</v>
      </c>
    </row>
    <row r="1287" spans="1:25">
      <c r="A1287" s="383">
        <v>10</v>
      </c>
      <c r="C1287" s="406"/>
      <c r="D1287" s="407"/>
      <c r="E1287" s="407"/>
      <c r="F1287" s="407"/>
      <c r="G1287" s="407"/>
      <c r="H1287" s="407"/>
      <c r="I1287" s="408" t="s">
        <v>413</v>
      </c>
      <c r="J1287" s="409" t="str">
        <f t="shared" si="247"/>
        <v>M=(Largo) x Cant</v>
      </c>
      <c r="K1287" s="410" t="str">
        <f>+K1286</f>
        <v>M</v>
      </c>
      <c r="L1287" s="411"/>
      <c r="M1287" s="412"/>
      <c r="N1287" s="441"/>
      <c r="O1287" s="442">
        <f t="shared" si="250"/>
        <v>7.1</v>
      </c>
      <c r="P1287" s="413"/>
      <c r="Q1287" s="411"/>
      <c r="R1287" s="413">
        <f t="shared" si="251"/>
        <v>1</v>
      </c>
      <c r="S1287" s="414">
        <f>+HLOOKUP(A1287,[238]Hoja1!$2:$78,67,FALSE)</f>
        <v>7.1</v>
      </c>
      <c r="X1287" s="458">
        <f t="shared" si="254"/>
        <v>0</v>
      </c>
      <c r="Y1287" s="471">
        <f t="shared" si="255"/>
        <v>0</v>
      </c>
    </row>
    <row r="1288" spans="1:25">
      <c r="A1288" s="383">
        <v>11</v>
      </c>
      <c r="C1288" s="406"/>
      <c r="D1288" s="407"/>
      <c r="E1288" s="407"/>
      <c r="F1288" s="407"/>
      <c r="G1288" s="407"/>
      <c r="H1288" s="407"/>
      <c r="I1288" s="408" t="s">
        <v>414</v>
      </c>
      <c r="J1288" s="409" t="str">
        <f t="shared" si="247"/>
        <v>M=(Largo) x Cant</v>
      </c>
      <c r="K1288" s="410" t="str">
        <f>+K1287</f>
        <v>M</v>
      </c>
      <c r="L1288" s="411"/>
      <c r="M1288" s="412"/>
      <c r="N1288" s="443"/>
      <c r="O1288" s="442" t="str">
        <f t="shared" si="250"/>
        <v/>
      </c>
      <c r="P1288" s="413"/>
      <c r="Q1288" s="411"/>
      <c r="R1288" s="413" t="str">
        <f t="shared" si="251"/>
        <v/>
      </c>
      <c r="S1288" s="414">
        <f>+HLOOKUP(A1288,[238]Hoja1!$2:$78,67,FALSE)</f>
        <v>0</v>
      </c>
      <c r="X1288" s="458">
        <f t="shared" si="254"/>
        <v>0</v>
      </c>
      <c r="Y1288" s="471">
        <f t="shared" si="255"/>
        <v>0</v>
      </c>
    </row>
    <row r="1289" spans="1:25">
      <c r="A1289" s="383">
        <v>12</v>
      </c>
      <c r="C1289" s="406"/>
      <c r="D1289" s="407"/>
      <c r="E1289" s="407"/>
      <c r="F1289" s="407"/>
      <c r="G1289" s="407"/>
      <c r="H1289" s="407"/>
      <c r="I1289" s="408" t="s">
        <v>415</v>
      </c>
      <c r="J1289" s="409" t="str">
        <f t="shared" si="247"/>
        <v>M=(Largo) x Cant</v>
      </c>
      <c r="K1289" s="410" t="str">
        <f>+K1283</f>
        <v>M</v>
      </c>
      <c r="L1289" s="411"/>
      <c r="M1289" s="412"/>
      <c r="N1289" s="442"/>
      <c r="O1289" s="442">
        <f t="shared" si="250"/>
        <v>8.6999999999999993</v>
      </c>
      <c r="P1289" s="413"/>
      <c r="Q1289" s="411"/>
      <c r="R1289" s="413">
        <f t="shared" si="251"/>
        <v>1</v>
      </c>
      <c r="S1289" s="414">
        <f>+HLOOKUP(A1289,[238]Hoja1!$2:$78,67,FALSE)</f>
        <v>8.6999999999999993</v>
      </c>
      <c r="X1289" s="458">
        <f t="shared" si="254"/>
        <v>0</v>
      </c>
      <c r="Y1289" s="471">
        <f t="shared" si="255"/>
        <v>0</v>
      </c>
    </row>
    <row r="1290" spans="1:25">
      <c r="A1290" s="383">
        <v>13</v>
      </c>
      <c r="C1290" s="406"/>
      <c r="D1290" s="407"/>
      <c r="E1290" s="407"/>
      <c r="F1290" s="407"/>
      <c r="G1290" s="407"/>
      <c r="H1290" s="407"/>
      <c r="I1290" s="408" t="s">
        <v>416</v>
      </c>
      <c r="J1290" s="409" t="str">
        <f t="shared" si="247"/>
        <v>M=(Largo) x Cant</v>
      </c>
      <c r="K1290" s="410" t="str">
        <f>+K1285</f>
        <v>M</v>
      </c>
      <c r="L1290" s="411"/>
      <c r="M1290" s="412"/>
      <c r="N1290" s="442"/>
      <c r="O1290" s="442" t="str">
        <f t="shared" si="250"/>
        <v/>
      </c>
      <c r="P1290" s="413"/>
      <c r="Q1290" s="411"/>
      <c r="R1290" s="413" t="str">
        <f t="shared" si="251"/>
        <v/>
      </c>
      <c r="S1290" s="414">
        <f>+HLOOKUP(A1290,[238]Hoja1!$2:$78,67,FALSE)</f>
        <v>0</v>
      </c>
      <c r="X1290" s="458">
        <f t="shared" si="254"/>
        <v>0</v>
      </c>
      <c r="Y1290" s="471">
        <f t="shared" si="255"/>
        <v>0</v>
      </c>
    </row>
    <row r="1291" spans="1:25">
      <c r="A1291" s="383">
        <v>14</v>
      </c>
      <c r="C1291" s="406"/>
      <c r="D1291" s="407"/>
      <c r="E1291" s="407"/>
      <c r="F1291" s="407"/>
      <c r="G1291" s="407"/>
      <c r="H1291" s="407"/>
      <c r="I1291" s="408" t="s">
        <v>417</v>
      </c>
      <c r="J1291" s="409" t="str">
        <f t="shared" si="247"/>
        <v>M=(Largo) x Cant</v>
      </c>
      <c r="K1291" s="410" t="str">
        <f t="shared" ref="K1291:K1302" si="256">+K1290</f>
        <v>M</v>
      </c>
      <c r="L1291" s="411"/>
      <c r="M1291" s="412"/>
      <c r="N1291" s="442"/>
      <c r="O1291" s="442" t="str">
        <f t="shared" si="250"/>
        <v/>
      </c>
      <c r="P1291" s="413"/>
      <c r="Q1291" s="411"/>
      <c r="R1291" s="413" t="str">
        <f t="shared" si="251"/>
        <v/>
      </c>
      <c r="S1291" s="414">
        <f>+HLOOKUP(A1291,[238]Hoja1!$2:$78,67,FALSE)</f>
        <v>0</v>
      </c>
      <c r="X1291" s="458">
        <f t="shared" si="254"/>
        <v>0</v>
      </c>
      <c r="Y1291" s="471">
        <f t="shared" si="255"/>
        <v>0</v>
      </c>
    </row>
    <row r="1292" spans="1:25">
      <c r="A1292" s="383">
        <v>15</v>
      </c>
      <c r="C1292" s="406"/>
      <c r="D1292" s="407"/>
      <c r="E1292" s="407"/>
      <c r="F1292" s="407"/>
      <c r="G1292" s="407"/>
      <c r="H1292" s="407"/>
      <c r="I1292" s="408" t="s">
        <v>418</v>
      </c>
      <c r="J1292" s="409" t="str">
        <f t="shared" si="247"/>
        <v>M=(Largo) x Cant</v>
      </c>
      <c r="K1292" s="410" t="str">
        <f t="shared" si="256"/>
        <v>M</v>
      </c>
      <c r="L1292" s="411"/>
      <c r="M1292" s="412"/>
      <c r="N1292" s="442"/>
      <c r="O1292" s="442">
        <f t="shared" si="250"/>
        <v>8.5</v>
      </c>
      <c r="P1292" s="413"/>
      <c r="Q1292" s="411"/>
      <c r="R1292" s="413">
        <f t="shared" si="251"/>
        <v>1</v>
      </c>
      <c r="S1292" s="414">
        <f>+HLOOKUP(A1292,[238]Hoja1!$2:$78,67,FALSE)</f>
        <v>8.5</v>
      </c>
      <c r="X1292" s="458">
        <f t="shared" si="254"/>
        <v>0</v>
      </c>
      <c r="Y1292" s="471">
        <f t="shared" si="255"/>
        <v>0</v>
      </c>
    </row>
    <row r="1293" spans="1:25">
      <c r="A1293" s="383">
        <v>16</v>
      </c>
      <c r="C1293" s="406"/>
      <c r="D1293" s="407"/>
      <c r="E1293" s="407"/>
      <c r="F1293" s="407"/>
      <c r="G1293" s="407"/>
      <c r="H1293" s="407"/>
      <c r="I1293" s="408" t="s">
        <v>419</v>
      </c>
      <c r="J1293" s="409" t="str">
        <f t="shared" si="247"/>
        <v>M=(Largo) x Cant</v>
      </c>
      <c r="K1293" s="410" t="str">
        <f t="shared" si="256"/>
        <v>M</v>
      </c>
      <c r="L1293" s="411"/>
      <c r="M1293" s="412"/>
      <c r="N1293" s="442"/>
      <c r="O1293" s="442" t="str">
        <f t="shared" si="250"/>
        <v/>
      </c>
      <c r="P1293" s="413"/>
      <c r="Q1293" s="411"/>
      <c r="R1293" s="413" t="str">
        <f t="shared" si="251"/>
        <v/>
      </c>
      <c r="S1293" s="414">
        <f>+HLOOKUP(A1293,[238]Hoja1!$2:$78,67,FALSE)</f>
        <v>0</v>
      </c>
      <c r="X1293" s="458">
        <f t="shared" si="254"/>
        <v>0</v>
      </c>
      <c r="Y1293" s="471">
        <f t="shared" si="255"/>
        <v>0</v>
      </c>
    </row>
    <row r="1294" spans="1:25">
      <c r="A1294" s="383">
        <v>17</v>
      </c>
      <c r="C1294" s="406"/>
      <c r="D1294" s="407"/>
      <c r="E1294" s="407"/>
      <c r="F1294" s="407"/>
      <c r="G1294" s="407"/>
      <c r="H1294" s="407"/>
      <c r="I1294" s="408" t="s">
        <v>420</v>
      </c>
      <c r="J1294" s="409" t="str">
        <f t="shared" si="247"/>
        <v>M=(Largo) x Cant</v>
      </c>
      <c r="K1294" s="410" t="str">
        <f t="shared" si="256"/>
        <v>M</v>
      </c>
      <c r="L1294" s="411"/>
      <c r="M1294" s="412"/>
      <c r="N1294" s="442"/>
      <c r="O1294" s="442" t="str">
        <f t="shared" si="250"/>
        <v/>
      </c>
      <c r="P1294" s="413"/>
      <c r="Q1294" s="411"/>
      <c r="R1294" s="413" t="str">
        <f t="shared" si="251"/>
        <v/>
      </c>
      <c r="S1294" s="414">
        <f>+HLOOKUP(A1294,[238]Hoja1!$2:$78,67,FALSE)</f>
        <v>0</v>
      </c>
      <c r="V1294" s="383" t="e">
        <f>+P1294*O1294*N1294</f>
        <v>#VALUE!</v>
      </c>
      <c r="X1294" s="458">
        <f t="shared" si="254"/>
        <v>0</v>
      </c>
      <c r="Y1294" s="471">
        <f t="shared" si="255"/>
        <v>0</v>
      </c>
    </row>
    <row r="1295" spans="1:25">
      <c r="A1295" s="383">
        <v>18</v>
      </c>
      <c r="C1295" s="406"/>
      <c r="D1295" s="407"/>
      <c r="E1295" s="407"/>
      <c r="F1295" s="407"/>
      <c r="G1295" s="407"/>
      <c r="H1295" s="407"/>
      <c r="I1295" s="408" t="s">
        <v>429</v>
      </c>
      <c r="J1295" s="409" t="str">
        <f t="shared" si="247"/>
        <v>M=(Largo) x Cant</v>
      </c>
      <c r="K1295" s="410" t="str">
        <f t="shared" si="256"/>
        <v>M</v>
      </c>
      <c r="L1295" s="411"/>
      <c r="M1295" s="412"/>
      <c r="N1295" s="442"/>
      <c r="O1295" s="442" t="str">
        <f t="shared" si="250"/>
        <v/>
      </c>
      <c r="P1295" s="413"/>
      <c r="Q1295" s="411"/>
      <c r="R1295" s="413" t="str">
        <f t="shared" si="251"/>
        <v/>
      </c>
      <c r="S1295" s="414">
        <f>+HLOOKUP(A1295,[238]Hoja1!$2:$78,67,FALSE)</f>
        <v>0</v>
      </c>
      <c r="X1295" s="458">
        <f t="shared" si="254"/>
        <v>0</v>
      </c>
      <c r="Y1295" s="471">
        <f t="shared" si="255"/>
        <v>0</v>
      </c>
    </row>
    <row r="1296" spans="1:25">
      <c r="A1296" s="383">
        <v>19</v>
      </c>
      <c r="C1296" s="406"/>
      <c r="D1296" s="407"/>
      <c r="E1296" s="407"/>
      <c r="F1296" s="407"/>
      <c r="G1296" s="407"/>
      <c r="H1296" s="407"/>
      <c r="I1296" s="408" t="s">
        <v>430</v>
      </c>
      <c r="J1296" s="409" t="str">
        <f t="shared" si="247"/>
        <v>M=(Largo) x Cant</v>
      </c>
      <c r="K1296" s="410" t="str">
        <f t="shared" si="256"/>
        <v>M</v>
      </c>
      <c r="L1296" s="411"/>
      <c r="M1296" s="412"/>
      <c r="N1296" s="442"/>
      <c r="O1296" s="442" t="str">
        <f t="shared" si="250"/>
        <v/>
      </c>
      <c r="P1296" s="413"/>
      <c r="Q1296" s="411"/>
      <c r="R1296" s="413" t="str">
        <f t="shared" si="251"/>
        <v/>
      </c>
      <c r="S1296" s="414">
        <f>+HLOOKUP(A1296,[238]Hoja1!$2:$78,67,FALSE)</f>
        <v>0</v>
      </c>
      <c r="X1296" s="458">
        <f t="shared" si="254"/>
        <v>0</v>
      </c>
      <c r="Y1296" s="471">
        <f t="shared" si="255"/>
        <v>0</v>
      </c>
    </row>
    <row r="1297" spans="1:25">
      <c r="A1297" s="383">
        <v>20</v>
      </c>
      <c r="C1297" s="406"/>
      <c r="D1297" s="407"/>
      <c r="E1297" s="407"/>
      <c r="F1297" s="407"/>
      <c r="G1297" s="407"/>
      <c r="H1297" s="407"/>
      <c r="I1297" s="408" t="s">
        <v>431</v>
      </c>
      <c r="J1297" s="409" t="str">
        <f t="shared" si="247"/>
        <v>M=(Largo) x Cant</v>
      </c>
      <c r="K1297" s="410" t="str">
        <f t="shared" si="256"/>
        <v>M</v>
      </c>
      <c r="L1297" s="411"/>
      <c r="M1297" s="412"/>
      <c r="N1297" s="442"/>
      <c r="O1297" s="442" t="str">
        <f t="shared" si="250"/>
        <v/>
      </c>
      <c r="P1297" s="413"/>
      <c r="Q1297" s="411"/>
      <c r="R1297" s="413" t="str">
        <f t="shared" si="251"/>
        <v/>
      </c>
      <c r="S1297" s="414">
        <f>+HLOOKUP(A1297,[238]Hoja1!$2:$78,67,FALSE)</f>
        <v>0</v>
      </c>
      <c r="X1297" s="458">
        <f t="shared" si="254"/>
        <v>0</v>
      </c>
      <c r="Y1297" s="471">
        <f t="shared" si="255"/>
        <v>0</v>
      </c>
    </row>
    <row r="1298" spans="1:25">
      <c r="A1298" s="383">
        <v>21</v>
      </c>
      <c r="C1298" s="406"/>
      <c r="D1298" s="407"/>
      <c r="E1298" s="407"/>
      <c r="F1298" s="407"/>
      <c r="G1298" s="407"/>
      <c r="H1298" s="407"/>
      <c r="I1298" s="408" t="s">
        <v>432</v>
      </c>
      <c r="J1298" s="409" t="str">
        <f t="shared" si="247"/>
        <v>M=(Largo) x Cant</v>
      </c>
      <c r="K1298" s="410" t="str">
        <f t="shared" si="256"/>
        <v>M</v>
      </c>
      <c r="L1298" s="411"/>
      <c r="M1298" s="412"/>
      <c r="N1298" s="442"/>
      <c r="O1298" s="442">
        <f t="shared" si="250"/>
        <v>10.3</v>
      </c>
      <c r="P1298" s="413"/>
      <c r="Q1298" s="411"/>
      <c r="R1298" s="413">
        <f t="shared" si="251"/>
        <v>1</v>
      </c>
      <c r="S1298" s="414">
        <f>+HLOOKUP(A1298,[238]Hoja1!$2:$78,67,FALSE)</f>
        <v>10.3</v>
      </c>
      <c r="X1298" s="458">
        <f t="shared" si="254"/>
        <v>0</v>
      </c>
      <c r="Y1298" s="471">
        <f t="shared" si="255"/>
        <v>0</v>
      </c>
    </row>
    <row r="1299" spans="1:25">
      <c r="A1299" s="383">
        <v>22</v>
      </c>
      <c r="C1299" s="406"/>
      <c r="D1299" s="407"/>
      <c r="E1299" s="407"/>
      <c r="F1299" s="407"/>
      <c r="G1299" s="407"/>
      <c r="H1299" s="407"/>
      <c r="I1299" s="408" t="s">
        <v>433</v>
      </c>
      <c r="J1299" s="409" t="str">
        <f t="shared" si="247"/>
        <v>M=(Largo) x Cant</v>
      </c>
      <c r="K1299" s="410" t="str">
        <f t="shared" si="256"/>
        <v>M</v>
      </c>
      <c r="L1299" s="411"/>
      <c r="M1299" s="412"/>
      <c r="N1299" s="442"/>
      <c r="O1299" s="442" t="str">
        <f t="shared" si="250"/>
        <v/>
      </c>
      <c r="P1299" s="413"/>
      <c r="Q1299" s="411"/>
      <c r="R1299" s="413" t="str">
        <f t="shared" si="251"/>
        <v/>
      </c>
      <c r="S1299" s="414">
        <f>+HLOOKUP(A1299,[238]Hoja1!$2:$78,67,FALSE)</f>
        <v>0</v>
      </c>
      <c r="X1299" s="458">
        <f t="shared" si="254"/>
        <v>0</v>
      </c>
      <c r="Y1299" s="471">
        <f t="shared" si="255"/>
        <v>0</v>
      </c>
    </row>
    <row r="1300" spans="1:25">
      <c r="A1300" s="383">
        <v>23</v>
      </c>
      <c r="C1300" s="406"/>
      <c r="D1300" s="407"/>
      <c r="E1300" s="407"/>
      <c r="F1300" s="407"/>
      <c r="G1300" s="407"/>
      <c r="H1300" s="407"/>
      <c r="I1300" s="408" t="s">
        <v>434</v>
      </c>
      <c r="J1300" s="409" t="str">
        <f t="shared" si="247"/>
        <v>M=(Largo) x Cant</v>
      </c>
      <c r="K1300" s="410" t="str">
        <f t="shared" si="256"/>
        <v>M</v>
      </c>
      <c r="L1300" s="411"/>
      <c r="M1300" s="412"/>
      <c r="N1300" s="441"/>
      <c r="O1300" s="442">
        <f t="shared" si="250"/>
        <v>12</v>
      </c>
      <c r="P1300" s="413"/>
      <c r="Q1300" s="411"/>
      <c r="R1300" s="413">
        <f t="shared" si="251"/>
        <v>1</v>
      </c>
      <c r="S1300" s="414">
        <f>+HLOOKUP(A1300,[238]Hoja1!$2:$78,67,FALSE)</f>
        <v>12</v>
      </c>
      <c r="X1300" s="458">
        <f t="shared" si="254"/>
        <v>0</v>
      </c>
      <c r="Y1300" s="471">
        <f t="shared" si="255"/>
        <v>0</v>
      </c>
    </row>
    <row r="1301" spans="1:25">
      <c r="A1301" s="383">
        <v>24</v>
      </c>
      <c r="C1301" s="406"/>
      <c r="D1301" s="407"/>
      <c r="E1301" s="407"/>
      <c r="F1301" s="407"/>
      <c r="G1301" s="407"/>
      <c r="H1301" s="407"/>
      <c r="I1301" s="408" t="s">
        <v>435</v>
      </c>
      <c r="J1301" s="409" t="str">
        <f t="shared" si="247"/>
        <v>M=(Largo) x Cant</v>
      </c>
      <c r="K1301" s="410" t="str">
        <f t="shared" si="256"/>
        <v>M</v>
      </c>
      <c r="L1301" s="411"/>
      <c r="M1301" s="412"/>
      <c r="N1301" s="442"/>
      <c r="O1301" s="442" t="str">
        <f t="shared" si="250"/>
        <v/>
      </c>
      <c r="P1301" s="413"/>
      <c r="Q1301" s="411"/>
      <c r="R1301" s="413" t="str">
        <f t="shared" si="251"/>
        <v/>
      </c>
      <c r="S1301" s="414">
        <f>+HLOOKUP(A1301,[238]Hoja1!$2:$78,67,FALSE)</f>
        <v>0</v>
      </c>
      <c r="X1301" s="458">
        <f t="shared" si="254"/>
        <v>0</v>
      </c>
      <c r="Y1301" s="471">
        <f t="shared" si="255"/>
        <v>0</v>
      </c>
    </row>
    <row r="1302" spans="1:25">
      <c r="A1302" s="383">
        <v>25</v>
      </c>
      <c r="C1302" s="406"/>
      <c r="D1302" s="407"/>
      <c r="E1302" s="407"/>
      <c r="F1302" s="407"/>
      <c r="G1302" s="407"/>
      <c r="H1302" s="407"/>
      <c r="I1302" s="408" t="s">
        <v>436</v>
      </c>
      <c r="J1302" s="409" t="str">
        <f t="shared" si="247"/>
        <v>M=(Largo) x Cant</v>
      </c>
      <c r="K1302" s="410" t="str">
        <f t="shared" si="256"/>
        <v>M</v>
      </c>
      <c r="L1302" s="411"/>
      <c r="M1302" s="412"/>
      <c r="N1302" s="442"/>
      <c r="O1302" s="442" t="str">
        <f t="shared" si="250"/>
        <v/>
      </c>
      <c r="P1302" s="413"/>
      <c r="Q1302" s="411"/>
      <c r="R1302" s="413" t="str">
        <f t="shared" si="251"/>
        <v/>
      </c>
      <c r="S1302" s="414">
        <f>+HLOOKUP(A1302,[238]Hoja1!$2:$78,67,FALSE)</f>
        <v>0</v>
      </c>
      <c r="X1302" s="458">
        <f t="shared" si="254"/>
        <v>0</v>
      </c>
      <c r="Y1302" s="471">
        <f t="shared" si="255"/>
        <v>0</v>
      </c>
    </row>
    <row r="1303" spans="1:25">
      <c r="A1303" s="383">
        <v>26</v>
      </c>
      <c r="C1303" s="406"/>
      <c r="D1303" s="407"/>
      <c r="E1303" s="407"/>
      <c r="F1303" s="407"/>
      <c r="G1303" s="407"/>
      <c r="H1303" s="407"/>
      <c r="I1303" s="408" t="s">
        <v>437</v>
      </c>
      <c r="J1303" s="409" t="str">
        <f t="shared" si="247"/>
        <v>M=(Largo) x Cant</v>
      </c>
      <c r="K1303" s="410" t="str">
        <f>+K1292</f>
        <v>M</v>
      </c>
      <c r="L1303" s="411"/>
      <c r="M1303" s="412"/>
      <c r="N1303" s="442"/>
      <c r="O1303" s="442">
        <f t="shared" si="250"/>
        <v>7</v>
      </c>
      <c r="P1303" s="413"/>
      <c r="Q1303" s="411"/>
      <c r="R1303" s="413">
        <f t="shared" si="251"/>
        <v>1</v>
      </c>
      <c r="S1303" s="414">
        <f>+HLOOKUP(A1303,[238]Hoja1!$2:$78,67,FALSE)</f>
        <v>7</v>
      </c>
      <c r="X1303" s="458">
        <f t="shared" si="254"/>
        <v>0</v>
      </c>
      <c r="Y1303" s="471">
        <f t="shared" si="255"/>
        <v>0</v>
      </c>
    </row>
    <row r="1304" spans="1:25">
      <c r="A1304" s="383">
        <v>27</v>
      </c>
      <c r="C1304" s="406"/>
      <c r="D1304" s="407"/>
      <c r="E1304" s="407"/>
      <c r="F1304" s="407"/>
      <c r="G1304" s="407"/>
      <c r="H1304" s="407"/>
      <c r="I1304" s="408" t="s">
        <v>438</v>
      </c>
      <c r="J1304" s="409" t="str">
        <f t="shared" si="247"/>
        <v>M=(Largo) x Cant</v>
      </c>
      <c r="K1304" s="410" t="str">
        <f t="shared" ref="K1304:K1312" si="257">+K1303</f>
        <v>M</v>
      </c>
      <c r="L1304" s="411"/>
      <c r="M1304" s="412"/>
      <c r="N1304" s="442"/>
      <c r="O1304" s="442" t="str">
        <f t="shared" si="250"/>
        <v/>
      </c>
      <c r="P1304" s="413"/>
      <c r="Q1304" s="411"/>
      <c r="R1304" s="413" t="str">
        <f t="shared" si="251"/>
        <v/>
      </c>
      <c r="S1304" s="414">
        <f>+HLOOKUP(A1304,[238]Hoja1!$2:$78,67,FALSE)</f>
        <v>0</v>
      </c>
      <c r="X1304" s="458">
        <f t="shared" si="254"/>
        <v>0</v>
      </c>
      <c r="Y1304" s="471">
        <f t="shared" si="255"/>
        <v>0</v>
      </c>
    </row>
    <row r="1305" spans="1:25">
      <c r="A1305" s="383">
        <v>28</v>
      </c>
      <c r="C1305" s="406"/>
      <c r="D1305" s="440"/>
      <c r="E1305" s="407"/>
      <c r="F1305" s="407"/>
      <c r="G1305" s="407"/>
      <c r="H1305" s="437"/>
      <c r="I1305" s="408" t="s">
        <v>439</v>
      </c>
      <c r="J1305" s="409" t="str">
        <f t="shared" si="247"/>
        <v>M=(Largo) x Cant</v>
      </c>
      <c r="K1305" s="410" t="str">
        <f t="shared" si="257"/>
        <v>M</v>
      </c>
      <c r="L1305" s="411"/>
      <c r="M1305" s="412"/>
      <c r="N1305" s="442"/>
      <c r="O1305" s="442" t="str">
        <f t="shared" si="250"/>
        <v/>
      </c>
      <c r="P1305" s="413"/>
      <c r="Q1305" s="411"/>
      <c r="R1305" s="413" t="str">
        <f t="shared" si="251"/>
        <v/>
      </c>
      <c r="S1305" s="414">
        <f>+HLOOKUP(A1305,[238]Hoja1!$2:$78,67,FALSE)</f>
        <v>0</v>
      </c>
      <c r="X1305" s="458">
        <f t="shared" si="254"/>
        <v>0</v>
      </c>
      <c r="Y1305" s="471">
        <f t="shared" si="255"/>
        <v>0</v>
      </c>
    </row>
    <row r="1306" spans="1:25">
      <c r="A1306" s="383">
        <v>29</v>
      </c>
      <c r="C1306" s="406"/>
      <c r="D1306" s="407"/>
      <c r="E1306" s="407"/>
      <c r="F1306" s="407"/>
      <c r="G1306" s="407"/>
      <c r="H1306" s="407"/>
      <c r="I1306" s="408" t="s">
        <v>440</v>
      </c>
      <c r="J1306" s="409" t="str">
        <f t="shared" si="247"/>
        <v>M=(Largo) x Cant</v>
      </c>
      <c r="K1306" s="410" t="str">
        <f t="shared" si="257"/>
        <v>M</v>
      </c>
      <c r="L1306" s="411"/>
      <c r="M1306" s="412"/>
      <c r="N1306" s="443"/>
      <c r="O1306" s="442" t="str">
        <f t="shared" si="250"/>
        <v/>
      </c>
      <c r="P1306" s="413"/>
      <c r="Q1306" s="411"/>
      <c r="R1306" s="413" t="str">
        <f t="shared" si="251"/>
        <v/>
      </c>
      <c r="S1306" s="414">
        <f>+HLOOKUP(A1306,[238]Hoja1!$2:$78,67,FALSE)</f>
        <v>0</v>
      </c>
      <c r="X1306" s="458">
        <f t="shared" si="254"/>
        <v>0</v>
      </c>
      <c r="Y1306" s="471">
        <f t="shared" si="255"/>
        <v>0</v>
      </c>
    </row>
    <row r="1307" spans="1:25">
      <c r="A1307" s="383">
        <v>30</v>
      </c>
      <c r="C1307" s="406"/>
      <c r="D1307" s="407"/>
      <c r="E1307" s="407"/>
      <c r="F1307" s="407"/>
      <c r="G1307" s="407"/>
      <c r="H1307" s="407"/>
      <c r="I1307" s="408" t="s">
        <v>441</v>
      </c>
      <c r="J1307" s="409" t="str">
        <f t="shared" si="247"/>
        <v>M=(Largo) x Cant</v>
      </c>
      <c r="K1307" s="410" t="str">
        <f t="shared" si="257"/>
        <v>M</v>
      </c>
      <c r="L1307" s="411"/>
      <c r="M1307" s="412"/>
      <c r="N1307" s="442"/>
      <c r="O1307" s="442" t="str">
        <f t="shared" si="250"/>
        <v/>
      </c>
      <c r="P1307" s="413"/>
      <c r="Q1307" s="411"/>
      <c r="R1307" s="413" t="str">
        <f t="shared" si="251"/>
        <v/>
      </c>
      <c r="S1307" s="414">
        <f>+HLOOKUP(A1307,[238]Hoja1!$2:$78,67,FALSE)</f>
        <v>0</v>
      </c>
      <c r="X1307" s="458">
        <f t="shared" si="254"/>
        <v>0</v>
      </c>
      <c r="Y1307" s="471">
        <f t="shared" si="255"/>
        <v>0</v>
      </c>
    </row>
    <row r="1308" spans="1:25">
      <c r="A1308" s="383">
        <v>31</v>
      </c>
      <c r="C1308" s="406"/>
      <c r="D1308" s="407"/>
      <c r="E1308" s="407"/>
      <c r="F1308" s="407"/>
      <c r="G1308" s="407"/>
      <c r="H1308" s="407"/>
      <c r="I1308" s="408" t="s">
        <v>442</v>
      </c>
      <c r="J1308" s="409" t="str">
        <f t="shared" si="247"/>
        <v>M=(Largo) x Cant</v>
      </c>
      <c r="K1308" s="410" t="str">
        <f t="shared" si="257"/>
        <v>M</v>
      </c>
      <c r="L1308" s="411"/>
      <c r="M1308" s="412"/>
      <c r="N1308" s="442"/>
      <c r="O1308" s="442">
        <f t="shared" si="250"/>
        <v>7</v>
      </c>
      <c r="P1308" s="413"/>
      <c r="Q1308" s="411"/>
      <c r="R1308" s="413">
        <f t="shared" si="251"/>
        <v>1</v>
      </c>
      <c r="S1308" s="414">
        <f>+HLOOKUP(A1308,[238]Hoja1!$2:$78,67,FALSE)</f>
        <v>7</v>
      </c>
      <c r="X1308" s="458">
        <f t="shared" si="254"/>
        <v>0</v>
      </c>
      <c r="Y1308" s="471">
        <f t="shared" si="255"/>
        <v>0</v>
      </c>
    </row>
    <row r="1309" spans="1:25">
      <c r="A1309" s="383">
        <v>32</v>
      </c>
      <c r="C1309" s="406"/>
      <c r="D1309" s="407"/>
      <c r="E1309" s="407"/>
      <c r="F1309" s="407"/>
      <c r="G1309" s="407"/>
      <c r="H1309" s="407"/>
      <c r="I1309" s="408" t="s">
        <v>443</v>
      </c>
      <c r="J1309" s="409" t="str">
        <f t="shared" si="247"/>
        <v>M=(Largo) x Cant</v>
      </c>
      <c r="K1309" s="410" t="str">
        <f t="shared" si="257"/>
        <v>M</v>
      </c>
      <c r="L1309" s="411"/>
      <c r="M1309" s="412"/>
      <c r="N1309" s="442"/>
      <c r="O1309" s="442" t="str">
        <f t="shared" si="250"/>
        <v/>
      </c>
      <c r="P1309" s="413"/>
      <c r="Q1309" s="411"/>
      <c r="R1309" s="413" t="str">
        <f t="shared" si="251"/>
        <v/>
      </c>
      <c r="S1309" s="414">
        <f>+HLOOKUP(A1309,[238]Hoja1!$2:$78,67,FALSE)</f>
        <v>0</v>
      </c>
      <c r="X1309" s="458">
        <f t="shared" si="254"/>
        <v>0</v>
      </c>
      <c r="Y1309" s="471">
        <f t="shared" si="255"/>
        <v>0</v>
      </c>
    </row>
    <row r="1310" spans="1:25">
      <c r="A1310" s="383">
        <v>33</v>
      </c>
      <c r="C1310" s="406"/>
      <c r="D1310" s="407"/>
      <c r="E1310" s="407"/>
      <c r="F1310" s="407"/>
      <c r="G1310" s="407"/>
      <c r="H1310" s="407"/>
      <c r="I1310" s="408" t="s">
        <v>444</v>
      </c>
      <c r="J1310" s="409" t="str">
        <f t="shared" si="247"/>
        <v>M=(Largo) x Cant</v>
      </c>
      <c r="K1310" s="410" t="str">
        <f t="shared" si="257"/>
        <v>M</v>
      </c>
      <c r="L1310" s="411"/>
      <c r="M1310" s="412"/>
      <c r="N1310" s="442"/>
      <c r="O1310" s="442">
        <f t="shared" si="250"/>
        <v>7.3</v>
      </c>
      <c r="P1310" s="413"/>
      <c r="Q1310" s="411"/>
      <c r="R1310" s="413">
        <f t="shared" si="251"/>
        <v>1</v>
      </c>
      <c r="S1310" s="414">
        <f>+HLOOKUP(A1310,[238]Hoja1!$2:$78,67,FALSE)</f>
        <v>7.3</v>
      </c>
      <c r="X1310" s="458">
        <f t="shared" si="254"/>
        <v>0</v>
      </c>
      <c r="Y1310" s="471">
        <f t="shared" si="255"/>
        <v>0</v>
      </c>
    </row>
    <row r="1311" spans="1:25">
      <c r="A1311" s="383">
        <v>34</v>
      </c>
      <c r="C1311" s="406"/>
      <c r="D1311" s="407"/>
      <c r="E1311" s="407"/>
      <c r="F1311" s="407"/>
      <c r="G1311" s="407"/>
      <c r="H1311" s="407"/>
      <c r="I1311" s="408" t="s">
        <v>445</v>
      </c>
      <c r="J1311" s="409" t="str">
        <f t="shared" si="247"/>
        <v>M=(Largo) x Cant</v>
      </c>
      <c r="K1311" s="410" t="str">
        <f t="shared" si="257"/>
        <v>M</v>
      </c>
      <c r="L1311" s="411"/>
      <c r="M1311" s="412"/>
      <c r="N1311" s="441"/>
      <c r="O1311" s="442" t="str">
        <f t="shared" si="250"/>
        <v/>
      </c>
      <c r="P1311" s="413"/>
      <c r="Q1311" s="411"/>
      <c r="R1311" s="413" t="str">
        <f t="shared" si="251"/>
        <v/>
      </c>
      <c r="S1311" s="414">
        <f>+HLOOKUP(A1311,[238]Hoja1!$2:$78,67,FALSE)</f>
        <v>0</v>
      </c>
      <c r="X1311" s="458">
        <f t="shared" si="254"/>
        <v>0</v>
      </c>
      <c r="Y1311" s="471">
        <f t="shared" si="255"/>
        <v>0</v>
      </c>
    </row>
    <row r="1312" spans="1:25">
      <c r="A1312" s="383">
        <v>35</v>
      </c>
      <c r="C1312" s="406"/>
      <c r="D1312" s="440"/>
      <c r="E1312" s="407"/>
      <c r="F1312" s="407"/>
      <c r="G1312" s="407"/>
      <c r="H1312" s="437"/>
      <c r="I1312" s="408" t="s">
        <v>446</v>
      </c>
      <c r="J1312" s="409" t="str">
        <f t="shared" si="247"/>
        <v>M=(Largo) x Cant</v>
      </c>
      <c r="K1312" s="410" t="str">
        <f t="shared" si="257"/>
        <v>M</v>
      </c>
      <c r="L1312" s="411"/>
      <c r="M1312" s="412"/>
      <c r="N1312" s="442"/>
      <c r="O1312" s="442">
        <f t="shared" si="250"/>
        <v>7.15</v>
      </c>
      <c r="P1312" s="413"/>
      <c r="Q1312" s="411"/>
      <c r="R1312" s="413">
        <f t="shared" si="251"/>
        <v>1</v>
      </c>
      <c r="S1312" s="414">
        <f>+HLOOKUP(A1312,[238]Hoja1!$2:$78,67,FALSE)</f>
        <v>7.15</v>
      </c>
      <c r="X1312" s="458">
        <f t="shared" si="254"/>
        <v>0</v>
      </c>
      <c r="Y1312" s="471">
        <f t="shared" si="255"/>
        <v>0</v>
      </c>
    </row>
    <row r="1313" spans="1:25">
      <c r="A1313" s="383">
        <v>36</v>
      </c>
      <c r="C1313" s="406"/>
      <c r="D1313" s="407"/>
      <c r="E1313" s="407"/>
      <c r="F1313" s="407"/>
      <c r="G1313" s="407"/>
      <c r="H1313" s="407"/>
      <c r="I1313" s="408" t="s">
        <v>447</v>
      </c>
      <c r="J1313" s="409" t="str">
        <f t="shared" si="247"/>
        <v>M=(Largo) x Cant</v>
      </c>
      <c r="K1313" s="410" t="str">
        <f>+K1302</f>
        <v>M</v>
      </c>
      <c r="L1313" s="411"/>
      <c r="M1313" s="412"/>
      <c r="N1313" s="442"/>
      <c r="O1313" s="442" t="str">
        <f t="shared" si="250"/>
        <v/>
      </c>
      <c r="P1313" s="413"/>
      <c r="Q1313" s="411"/>
      <c r="R1313" s="413" t="str">
        <f t="shared" si="251"/>
        <v/>
      </c>
      <c r="S1313" s="414">
        <f>+HLOOKUP(A1313,[238]Hoja1!$2:$78,67,FALSE)</f>
        <v>0</v>
      </c>
      <c r="X1313" s="458">
        <f t="shared" si="254"/>
        <v>0</v>
      </c>
      <c r="Y1313" s="471">
        <f t="shared" si="255"/>
        <v>0</v>
      </c>
    </row>
    <row r="1314" spans="1:25">
      <c r="A1314" s="383">
        <v>37</v>
      </c>
      <c r="C1314" s="406"/>
      <c r="D1314" s="407"/>
      <c r="E1314" s="407"/>
      <c r="F1314" s="407"/>
      <c r="G1314" s="407"/>
      <c r="H1314" s="407"/>
      <c r="I1314" s="408" t="s">
        <v>448</v>
      </c>
      <c r="J1314" s="409" t="str">
        <f t="shared" si="247"/>
        <v>M=(Largo) x Cant</v>
      </c>
      <c r="K1314" s="410" t="str">
        <f t="shared" ref="K1314:K1320" si="258">+K1313</f>
        <v>M</v>
      </c>
      <c r="L1314" s="411"/>
      <c r="M1314" s="412"/>
      <c r="N1314" s="441"/>
      <c r="O1314" s="442" t="str">
        <f t="shared" si="250"/>
        <v/>
      </c>
      <c r="P1314" s="413"/>
      <c r="Q1314" s="411"/>
      <c r="R1314" s="413" t="str">
        <f t="shared" si="251"/>
        <v/>
      </c>
      <c r="S1314" s="414">
        <f>+HLOOKUP(A1314,[238]Hoja1!$2:$78,67,FALSE)</f>
        <v>0</v>
      </c>
      <c r="X1314" s="458">
        <f t="shared" si="254"/>
        <v>0</v>
      </c>
      <c r="Y1314" s="471">
        <f t="shared" si="255"/>
        <v>0</v>
      </c>
    </row>
    <row r="1315" spans="1:25">
      <c r="A1315" s="383">
        <v>38</v>
      </c>
      <c r="C1315" s="406"/>
      <c r="D1315" s="440"/>
      <c r="E1315" s="407"/>
      <c r="F1315" s="407"/>
      <c r="G1315" s="407"/>
      <c r="H1315" s="437"/>
      <c r="I1315" s="408" t="s">
        <v>449</v>
      </c>
      <c r="J1315" s="409" t="str">
        <f t="shared" si="247"/>
        <v>M=(Largo) x Cant</v>
      </c>
      <c r="K1315" s="410" t="str">
        <f t="shared" si="258"/>
        <v>M</v>
      </c>
      <c r="L1315" s="411"/>
      <c r="M1315" s="412"/>
      <c r="N1315" s="442"/>
      <c r="O1315" s="442" t="str">
        <f t="shared" si="250"/>
        <v/>
      </c>
      <c r="P1315" s="413"/>
      <c r="Q1315" s="411"/>
      <c r="R1315" s="413" t="str">
        <f t="shared" si="251"/>
        <v/>
      </c>
      <c r="S1315" s="414">
        <f>+HLOOKUP(A1315,[238]Hoja1!$2:$78,67,FALSE)</f>
        <v>0</v>
      </c>
      <c r="X1315" s="458">
        <f t="shared" si="254"/>
        <v>0</v>
      </c>
      <c r="Y1315" s="471">
        <f t="shared" si="255"/>
        <v>0</v>
      </c>
    </row>
    <row r="1316" spans="1:25">
      <c r="A1316" s="383">
        <v>39</v>
      </c>
      <c r="C1316" s="406"/>
      <c r="D1316" s="407"/>
      <c r="E1316" s="407"/>
      <c r="F1316" s="407"/>
      <c r="G1316" s="407"/>
      <c r="H1316" s="407"/>
      <c r="I1316" s="408" t="s">
        <v>450</v>
      </c>
      <c r="J1316" s="409" t="str">
        <f t="shared" si="247"/>
        <v>M=(Largo) x Cant</v>
      </c>
      <c r="K1316" s="410" t="str">
        <f t="shared" si="258"/>
        <v>M</v>
      </c>
      <c r="L1316" s="411"/>
      <c r="M1316" s="412"/>
      <c r="N1316" s="441"/>
      <c r="O1316" s="442">
        <f t="shared" si="250"/>
        <v>12.3</v>
      </c>
      <c r="P1316" s="413"/>
      <c r="Q1316" s="411"/>
      <c r="R1316" s="413">
        <f t="shared" si="251"/>
        <v>1</v>
      </c>
      <c r="S1316" s="414">
        <f>+HLOOKUP(A1316,[238]Hoja1!$2:$78,67,FALSE)</f>
        <v>12.3</v>
      </c>
      <c r="X1316" s="458">
        <f t="shared" si="254"/>
        <v>0</v>
      </c>
      <c r="Y1316" s="471">
        <f t="shared" si="255"/>
        <v>0</v>
      </c>
    </row>
    <row r="1317" spans="1:25">
      <c r="A1317" s="383">
        <v>40</v>
      </c>
      <c r="C1317" s="406"/>
      <c r="D1317" s="407"/>
      <c r="E1317" s="407"/>
      <c r="F1317" s="407"/>
      <c r="G1317" s="407"/>
      <c r="H1317" s="407"/>
      <c r="I1317" s="408" t="s">
        <v>451</v>
      </c>
      <c r="J1317" s="409" t="str">
        <f t="shared" si="247"/>
        <v>M=(Largo) x Cant</v>
      </c>
      <c r="K1317" s="410" t="str">
        <f t="shared" si="258"/>
        <v>M</v>
      </c>
      <c r="L1317" s="411"/>
      <c r="M1317" s="412"/>
      <c r="N1317" s="442"/>
      <c r="O1317" s="442" t="str">
        <f t="shared" si="250"/>
        <v/>
      </c>
      <c r="P1317" s="413"/>
      <c r="Q1317" s="411"/>
      <c r="R1317" s="413" t="str">
        <f t="shared" si="251"/>
        <v/>
      </c>
      <c r="S1317" s="414">
        <f>+HLOOKUP(A1317,[238]Hoja1!$2:$78,67,FALSE)</f>
        <v>0</v>
      </c>
      <c r="X1317" s="458">
        <f t="shared" si="254"/>
        <v>0</v>
      </c>
      <c r="Y1317" s="471">
        <f t="shared" si="255"/>
        <v>0</v>
      </c>
    </row>
    <row r="1318" spans="1:25">
      <c r="A1318" s="383">
        <v>41</v>
      </c>
      <c r="C1318" s="406"/>
      <c r="D1318" s="407"/>
      <c r="E1318" s="407"/>
      <c r="F1318" s="407"/>
      <c r="G1318" s="407"/>
      <c r="H1318" s="407"/>
      <c r="I1318" s="408" t="s">
        <v>452</v>
      </c>
      <c r="J1318" s="409" t="str">
        <f t="shared" si="247"/>
        <v>M=(Largo) x Cant</v>
      </c>
      <c r="K1318" s="410" t="str">
        <f t="shared" si="258"/>
        <v>M</v>
      </c>
      <c r="L1318" s="411"/>
      <c r="M1318" s="412"/>
      <c r="N1318" s="442"/>
      <c r="O1318" s="442" t="str">
        <f t="shared" si="250"/>
        <v/>
      </c>
      <c r="P1318" s="413"/>
      <c r="Q1318" s="411"/>
      <c r="R1318" s="413" t="str">
        <f t="shared" si="251"/>
        <v/>
      </c>
      <c r="S1318" s="414">
        <f>+HLOOKUP(A1318,[238]Hoja1!$2:$78,67,FALSE)</f>
        <v>0</v>
      </c>
      <c r="X1318" s="458">
        <f t="shared" si="254"/>
        <v>0</v>
      </c>
      <c r="Y1318" s="471">
        <f t="shared" si="255"/>
        <v>0</v>
      </c>
    </row>
    <row r="1319" spans="1:25">
      <c r="A1319" s="383">
        <v>42</v>
      </c>
      <c r="C1319" s="406"/>
      <c r="D1319" s="407"/>
      <c r="E1319" s="407"/>
      <c r="F1319" s="407"/>
      <c r="G1319" s="407"/>
      <c r="H1319" s="407"/>
      <c r="I1319" s="408" t="s">
        <v>453</v>
      </c>
      <c r="J1319" s="409" t="str">
        <f t="shared" si="247"/>
        <v>M=(Largo) x Cant</v>
      </c>
      <c r="K1319" s="410" t="str">
        <f t="shared" si="258"/>
        <v>M</v>
      </c>
      <c r="L1319" s="411"/>
      <c r="M1319" s="412"/>
      <c r="N1319" s="442"/>
      <c r="O1319" s="442" t="str">
        <f t="shared" si="250"/>
        <v/>
      </c>
      <c r="P1319" s="413"/>
      <c r="Q1319" s="411"/>
      <c r="R1319" s="413" t="str">
        <f t="shared" si="251"/>
        <v/>
      </c>
      <c r="S1319" s="414">
        <f>+HLOOKUP(A1319,[238]Hoja1!$2:$78,67,FALSE)</f>
        <v>0</v>
      </c>
      <c r="X1319" s="458">
        <f t="shared" si="254"/>
        <v>0</v>
      </c>
      <c r="Y1319" s="471">
        <f t="shared" si="255"/>
        <v>0</v>
      </c>
    </row>
    <row r="1320" spans="1:25" ht="13.5" thickBot="1">
      <c r="A1320" s="383">
        <v>43</v>
      </c>
      <c r="C1320" s="406"/>
      <c r="D1320" s="407"/>
      <c r="E1320" s="407"/>
      <c r="F1320" s="407"/>
      <c r="G1320" s="407"/>
      <c r="H1320" s="407"/>
      <c r="I1320" s="408" t="s">
        <v>454</v>
      </c>
      <c r="J1320" s="409" t="str">
        <f t="shared" si="247"/>
        <v>M=(Largo) x Cant</v>
      </c>
      <c r="K1320" s="410" t="str">
        <f t="shared" si="258"/>
        <v>M</v>
      </c>
      <c r="L1320" s="411"/>
      <c r="M1320" s="412"/>
      <c r="N1320" s="442"/>
      <c r="O1320" s="442">
        <f t="shared" si="250"/>
        <v>7.5</v>
      </c>
      <c r="P1320" s="413"/>
      <c r="Q1320" s="411"/>
      <c r="R1320" s="413">
        <f t="shared" si="251"/>
        <v>1</v>
      </c>
      <c r="S1320" s="414">
        <f>+HLOOKUP(A1320,[238]Hoja1!$2:$78,67,FALSE)</f>
        <v>7.5</v>
      </c>
      <c r="X1320" s="458">
        <f t="shared" si="254"/>
        <v>0</v>
      </c>
      <c r="Y1320" s="471">
        <f t="shared" si="255"/>
        <v>0</v>
      </c>
    </row>
    <row r="1321" spans="1:25">
      <c r="C1321" s="384"/>
      <c r="D1321" s="419"/>
      <c r="E1321" s="420"/>
      <c r="F1321" s="421"/>
      <c r="G1321" s="421"/>
      <c r="H1321" s="421"/>
      <c r="I1321" s="421"/>
      <c r="J1321" s="422"/>
      <c r="K1321" s="421"/>
      <c r="L1321" s="421"/>
      <c r="M1321" s="421"/>
      <c r="N1321" s="421"/>
      <c r="O1321" s="421"/>
      <c r="P1321" s="421"/>
      <c r="Q1321" s="421"/>
      <c r="R1321" s="422"/>
      <c r="S1321" s="423"/>
    </row>
    <row r="1322" spans="1:25">
      <c r="C1322" s="396"/>
      <c r="D1322" s="397"/>
      <c r="E1322" s="424"/>
      <c r="F1322" s="425"/>
      <c r="G1322" s="425"/>
      <c r="H1322" s="425"/>
      <c r="I1322" s="425"/>
      <c r="J1322" s="398"/>
      <c r="K1322" s="425"/>
      <c r="L1322" s="425"/>
      <c r="M1322" s="397"/>
      <c r="N1322" s="397"/>
      <c r="O1322" s="562" t="s">
        <v>455</v>
      </c>
      <c r="P1322" s="563"/>
      <c r="Q1322" s="564"/>
      <c r="R1322" s="426"/>
      <c r="S1322" s="427">
        <f>ROUND(SUM(S1278:S1321),2)</f>
        <v>105.29</v>
      </c>
    </row>
    <row r="1323" spans="1:25">
      <c r="C1323" s="396"/>
      <c r="D1323" s="397"/>
      <c r="E1323" s="424"/>
      <c r="F1323" s="425"/>
      <c r="G1323" s="425"/>
      <c r="H1323" s="425"/>
      <c r="I1323" s="425"/>
      <c r="J1323" s="398"/>
      <c r="K1323" s="425"/>
      <c r="L1323" s="425"/>
      <c r="M1323" s="428"/>
      <c r="N1323" s="428"/>
      <c r="O1323" s="429"/>
      <c r="P1323" s="425"/>
      <c r="Q1323" s="425"/>
      <c r="R1323" s="430"/>
      <c r="S1323" s="431"/>
    </row>
    <row r="1324" spans="1:25">
      <c r="C1324" s="565" t="e">
        <v>#REF!</v>
      </c>
      <c r="D1324" s="566"/>
      <c r="E1324" s="566"/>
      <c r="F1324" s="566"/>
      <c r="G1324" s="566"/>
      <c r="H1324" s="566"/>
      <c r="I1324" s="566"/>
      <c r="J1324" s="566"/>
      <c r="K1324" s="566"/>
      <c r="L1324" s="566"/>
      <c r="M1324" s="566"/>
      <c r="N1324" s="567"/>
      <c r="O1324" s="568" t="s">
        <v>422</v>
      </c>
      <c r="P1324" s="568"/>
      <c r="Q1324" s="568"/>
      <c r="R1324" s="426"/>
      <c r="S1324" s="427">
        <f>S1322</f>
        <v>105.29</v>
      </c>
    </row>
    <row r="1325" spans="1:25">
      <c r="C1325" s="396"/>
      <c r="D1325" s="397"/>
      <c r="E1325" s="424"/>
      <c r="F1325" s="425"/>
      <c r="G1325" s="425"/>
      <c r="H1325" s="425"/>
      <c r="I1325" s="425"/>
      <c r="J1325" s="398"/>
      <c r="K1325" s="425"/>
      <c r="L1325" s="425"/>
      <c r="M1325" s="428"/>
      <c r="N1325" s="428"/>
      <c r="O1325" s="429"/>
      <c r="P1325" s="425"/>
      <c r="Q1325" s="398"/>
      <c r="R1325" s="398"/>
      <c r="S1325" s="432"/>
    </row>
    <row r="1326" spans="1:25">
      <c r="C1326" s="396"/>
      <c r="D1326" s="397"/>
      <c r="E1326" s="424"/>
      <c r="F1326" s="425"/>
      <c r="G1326" s="425"/>
      <c r="H1326" s="425"/>
      <c r="I1326" s="425"/>
      <c r="J1326" s="398"/>
      <c r="K1326" s="425"/>
      <c r="L1326" s="425"/>
      <c r="M1326" s="428"/>
      <c r="N1326" s="428"/>
      <c r="O1326" s="429"/>
      <c r="P1326" s="425"/>
      <c r="Q1326" s="398"/>
      <c r="R1326" s="398"/>
      <c r="S1326" s="432"/>
    </row>
    <row r="1327" spans="1:25">
      <c r="C1327" s="569" t="s">
        <v>423</v>
      </c>
      <c r="D1327" s="570"/>
      <c r="E1327" s="570"/>
      <c r="F1327" s="570"/>
      <c r="G1327" s="570"/>
      <c r="H1327" s="570"/>
      <c r="I1327" s="570"/>
      <c r="J1327" s="571"/>
      <c r="K1327" s="433" t="s">
        <v>424</v>
      </c>
      <c r="L1327" s="434"/>
      <c r="M1327" s="434"/>
      <c r="N1327" s="434"/>
      <c r="O1327" s="434"/>
      <c r="P1327" s="434"/>
      <c r="Q1327" s="434"/>
      <c r="R1327" s="434"/>
      <c r="S1327" s="435"/>
    </row>
    <row r="1328" spans="1:25">
      <c r="C1328" s="542"/>
      <c r="D1328" s="543"/>
      <c r="E1328" s="543"/>
      <c r="F1328" s="543"/>
      <c r="G1328" s="436"/>
      <c r="H1328" s="436"/>
      <c r="I1328" s="436"/>
      <c r="J1328" s="447"/>
      <c r="K1328" s="436"/>
      <c r="L1328" s="407"/>
      <c r="M1328" s="407"/>
      <c r="N1328" s="407"/>
      <c r="O1328" s="407"/>
      <c r="P1328" s="407"/>
      <c r="Q1328" s="407"/>
      <c r="R1328" s="407"/>
      <c r="S1328" s="437"/>
    </row>
    <row r="1329" spans="3:19">
      <c r="C1329" s="542"/>
      <c r="D1329" s="543"/>
      <c r="E1329" s="543"/>
      <c r="F1329" s="543"/>
      <c r="G1329" s="436"/>
      <c r="H1329" s="436"/>
      <c r="I1329" s="436"/>
      <c r="J1329" s="447"/>
      <c r="K1329" s="436"/>
      <c r="L1329" s="407"/>
      <c r="M1329" s="407"/>
      <c r="N1329" s="407"/>
      <c r="O1329" s="407"/>
      <c r="P1329" s="407"/>
      <c r="Q1329" s="407"/>
      <c r="R1329" s="407"/>
      <c r="S1329" s="437"/>
    </row>
    <row r="1330" spans="3:19">
      <c r="C1330" s="542" t="s">
        <v>425</v>
      </c>
      <c r="D1330" s="543"/>
      <c r="E1330" s="543" t="s">
        <v>425</v>
      </c>
      <c r="F1330" s="543"/>
      <c r="G1330" s="543" t="s">
        <v>425</v>
      </c>
      <c r="H1330" s="543"/>
      <c r="I1330" s="543" t="s">
        <v>425</v>
      </c>
      <c r="J1330" s="544"/>
      <c r="K1330" s="545" t="s">
        <v>426</v>
      </c>
      <c r="L1330" s="546"/>
      <c r="M1330" s="546"/>
      <c r="N1330" s="546"/>
      <c r="O1330" s="546"/>
      <c r="P1330" s="546"/>
      <c r="Q1330" s="546"/>
      <c r="R1330" s="546"/>
      <c r="S1330" s="547"/>
    </row>
    <row r="1331" spans="3:19">
      <c r="C1331" s="548" t="str">
        <f>+[42]DATOS!D$8</f>
        <v>HELMER EDUARDO BECERRA SANTANDER</v>
      </c>
      <c r="D1331" s="549"/>
      <c r="E1331" s="549" t="s">
        <v>427</v>
      </c>
      <c r="F1331" s="549"/>
      <c r="G1331" s="549" t="s">
        <v>427</v>
      </c>
      <c r="H1331" s="549"/>
      <c r="I1331" s="549" t="s">
        <v>427</v>
      </c>
      <c r="J1331" s="550"/>
      <c r="K1331" s="551" t="str">
        <f>+[42]DATOS!D$11</f>
        <v>JESUS IVAN QUIÑONES RUEDA</v>
      </c>
      <c r="L1331" s="549"/>
      <c r="M1331" s="549"/>
      <c r="N1331" s="549"/>
      <c r="O1331" s="549"/>
      <c r="P1331" s="549"/>
      <c r="Q1331" s="549"/>
      <c r="R1331" s="549"/>
      <c r="S1331" s="552"/>
    </row>
    <row r="1332" spans="3:19">
      <c r="C1332" s="553" t="str">
        <f>+$C$72</f>
        <v>APOYO SEC. DE PLANEACION Y OBRAS PÚBLICAS</v>
      </c>
      <c r="D1332" s="554"/>
      <c r="E1332" s="554" t="s">
        <v>428</v>
      </c>
      <c r="F1332" s="554"/>
      <c r="G1332" s="554" t="s">
        <v>428</v>
      </c>
      <c r="H1332" s="554"/>
      <c r="I1332" s="554" t="s">
        <v>428</v>
      </c>
      <c r="J1332" s="555"/>
      <c r="K1332" s="556" t="str">
        <f>+$K$72</f>
        <v>SECRETARIO DE PLANEACION Y OBRAS PÚBLICAS</v>
      </c>
      <c r="L1332" s="554"/>
      <c r="M1332" s="554"/>
      <c r="N1332" s="554"/>
      <c r="O1332" s="554"/>
      <c r="P1332" s="554"/>
      <c r="Q1332" s="554"/>
      <c r="R1332" s="554"/>
      <c r="S1332" s="557"/>
    </row>
    <row r="1333" spans="3:19">
      <c r="C1333" s="406"/>
      <c r="D1333" s="407"/>
      <c r="E1333" s="407"/>
      <c r="F1333" s="407"/>
      <c r="G1333" s="407"/>
      <c r="H1333" s="407"/>
      <c r="I1333" s="407"/>
      <c r="J1333" s="407"/>
      <c r="K1333" s="407"/>
      <c r="L1333" s="407"/>
      <c r="M1333" s="407"/>
      <c r="N1333" s="407"/>
      <c r="O1333" s="407"/>
      <c r="P1333" s="407"/>
      <c r="Q1333" s="407"/>
      <c r="R1333" s="407"/>
      <c r="S1333" s="437"/>
    </row>
    <row r="1334" spans="3:19" ht="111" customHeight="1" thickBot="1">
      <c r="C1334" s="417"/>
      <c r="D1334" s="418"/>
      <c r="E1334" s="418"/>
      <c r="F1334" s="418"/>
      <c r="G1334" s="418"/>
      <c r="H1334" s="418"/>
      <c r="I1334" s="418"/>
      <c r="J1334" s="418"/>
      <c r="K1334" s="418"/>
      <c r="L1334" s="418"/>
      <c r="M1334" s="418"/>
      <c r="N1334" s="418"/>
      <c r="O1334" s="418"/>
      <c r="P1334" s="418"/>
      <c r="Q1334" s="418"/>
      <c r="R1334" s="418"/>
      <c r="S1334" s="438"/>
    </row>
    <row r="1335" spans="3:19" ht="22.5" customHeight="1"/>
    <row r="1337" spans="3:19" ht="13.5" thickBot="1"/>
    <row r="1338" spans="3:19">
      <c r="C1338" s="384"/>
      <c r="D1338" s="385"/>
      <c r="E1338" s="385"/>
      <c r="F1338" s="385"/>
      <c r="G1338" s="385"/>
      <c r="H1338" s="385"/>
      <c r="I1338" s="385"/>
      <c r="J1338" s="445"/>
      <c r="K1338" s="385"/>
      <c r="L1338" s="385"/>
      <c r="M1338" s="385"/>
      <c r="N1338" s="385"/>
      <c r="O1338" s="385"/>
      <c r="P1338" s="385"/>
      <c r="Q1338" s="385"/>
      <c r="R1338" s="385"/>
      <c r="S1338" s="386"/>
    </row>
    <row r="1339" spans="3:19" ht="121.5" customHeight="1" thickBot="1">
      <c r="C1339" s="387"/>
      <c r="D1339" s="388"/>
      <c r="E1339" s="388"/>
      <c r="F1339" s="388"/>
      <c r="G1339" s="388"/>
      <c r="H1339" s="388"/>
      <c r="I1339" s="388"/>
      <c r="J1339" s="446"/>
      <c r="K1339" s="388"/>
      <c r="L1339" s="388"/>
      <c r="M1339" s="388"/>
      <c r="N1339" s="388"/>
      <c r="O1339" s="388"/>
      <c r="P1339" s="388"/>
      <c r="Q1339" s="388"/>
      <c r="R1339" s="388"/>
      <c r="S1339" s="389"/>
    </row>
    <row r="1340" spans="3:19">
      <c r="C1340" s="592" t="str">
        <f>+[42]DATOS!C$7</f>
        <v>MEJORAMIENTO DE VIVIENDA CON ENFOQUE DIFERENCIAL PARA POBLACIÓN VULNERABLE EN EL MUNICIPIO DE CUBARÁ, BOYACÁ (2026).</v>
      </c>
      <c r="D1340" s="593"/>
      <c r="E1340" s="593"/>
      <c r="F1340" s="593"/>
      <c r="G1340" s="593"/>
      <c r="H1340" s="593"/>
      <c r="I1340" s="593"/>
      <c r="J1340" s="593"/>
      <c r="K1340" s="593"/>
      <c r="L1340" s="593"/>
      <c r="M1340" s="593"/>
      <c r="N1340" s="593"/>
      <c r="O1340" s="593"/>
      <c r="P1340" s="593"/>
      <c r="Q1340" s="593"/>
      <c r="R1340" s="593"/>
      <c r="S1340" s="594"/>
    </row>
    <row r="1341" spans="3:19">
      <c r="C1341" s="595"/>
      <c r="D1341" s="596"/>
      <c r="E1341" s="596"/>
      <c r="F1341" s="596"/>
      <c r="G1341" s="596"/>
      <c r="H1341" s="596"/>
      <c r="I1341" s="596"/>
      <c r="J1341" s="596"/>
      <c r="K1341" s="596"/>
      <c r="L1341" s="596"/>
      <c r="M1341" s="596"/>
      <c r="N1341" s="596"/>
      <c r="O1341" s="596"/>
      <c r="P1341" s="596"/>
      <c r="Q1341" s="596"/>
      <c r="R1341" s="596"/>
      <c r="S1341" s="597"/>
    </row>
    <row r="1342" spans="3:19">
      <c r="C1342" s="598" t="s">
        <v>371</v>
      </c>
      <c r="D1342" s="599"/>
      <c r="E1342" s="599"/>
      <c r="F1342" s="599"/>
      <c r="G1342" s="599"/>
      <c r="H1342" s="599"/>
      <c r="I1342" s="599"/>
      <c r="J1342" s="599"/>
      <c r="K1342" s="599"/>
      <c r="L1342" s="599"/>
      <c r="M1342" s="599"/>
      <c r="N1342" s="599"/>
      <c r="O1342" s="599"/>
      <c r="P1342" s="599"/>
      <c r="Q1342" s="599"/>
      <c r="R1342" s="599"/>
      <c r="S1342" s="600"/>
    </row>
    <row r="1343" spans="3:19">
      <c r="C1343" s="586" t="s">
        <v>372</v>
      </c>
      <c r="D1343" s="587"/>
      <c r="E1343" s="601" t="s">
        <v>373</v>
      </c>
      <c r="F1343" s="601"/>
      <c r="G1343" s="601"/>
      <c r="H1343" s="601"/>
      <c r="I1343" s="601"/>
      <c r="J1343" s="601"/>
      <c r="K1343" s="601"/>
      <c r="L1343" s="601"/>
      <c r="M1343" s="601"/>
      <c r="N1343" s="601"/>
      <c r="O1343" s="601"/>
      <c r="P1343" s="601"/>
      <c r="Q1343" s="601"/>
      <c r="R1343" s="601"/>
      <c r="S1343" s="602"/>
    </row>
    <row r="1344" spans="3:19">
      <c r="C1344" s="586" t="s">
        <v>374</v>
      </c>
      <c r="D1344" s="587"/>
      <c r="E1344" s="603" t="s">
        <v>375</v>
      </c>
      <c r="F1344" s="604"/>
      <c r="G1344" s="604"/>
      <c r="H1344" s="604"/>
      <c r="I1344" s="604"/>
      <c r="J1344" s="604"/>
      <c r="K1344" s="604"/>
      <c r="L1344" s="604"/>
      <c r="M1344" s="604"/>
      <c r="N1344" s="604"/>
      <c r="O1344" s="604"/>
      <c r="P1344" s="604"/>
      <c r="Q1344" s="604"/>
      <c r="R1344" s="604"/>
      <c r="S1344" s="605"/>
    </row>
    <row r="1345" spans="1:25">
      <c r="C1345" s="586" t="s">
        <v>376</v>
      </c>
      <c r="D1345" s="587"/>
      <c r="E1345" s="390">
        <f>+[42]DATOS!F$5</f>
        <v>46143</v>
      </c>
      <c r="F1345" s="391"/>
      <c r="G1345" s="391"/>
      <c r="H1345" s="391"/>
      <c r="I1345" s="391"/>
      <c r="J1345" s="391"/>
      <c r="K1345" s="568" t="s">
        <v>377</v>
      </c>
      <c r="L1345" s="568"/>
      <c r="M1345" s="588" t="s">
        <v>378</v>
      </c>
      <c r="N1345" s="588"/>
      <c r="O1345" s="588"/>
      <c r="P1345" s="588"/>
      <c r="Q1345" s="588"/>
      <c r="R1345" s="588"/>
      <c r="S1345" s="589"/>
    </row>
    <row r="1346" spans="1:25" ht="25.5">
      <c r="C1346" s="586" t="s">
        <v>379</v>
      </c>
      <c r="D1346" s="587"/>
      <c r="E1346" s="590" t="s">
        <v>380</v>
      </c>
      <c r="F1346" s="591"/>
      <c r="G1346" s="392">
        <f>+[42]DATOS!E$5</f>
        <v>2026</v>
      </c>
      <c r="H1346" s="393" t="s">
        <v>381</v>
      </c>
      <c r="I1346" s="394">
        <f>+[42]DATOS!E$5</f>
        <v>2026</v>
      </c>
      <c r="J1346" s="395"/>
      <c r="K1346" s="568" t="s">
        <v>382</v>
      </c>
      <c r="L1346" s="568"/>
      <c r="M1346" s="588" t="s">
        <v>383</v>
      </c>
      <c r="N1346" s="588"/>
      <c r="O1346" s="588"/>
      <c r="P1346" s="588"/>
      <c r="Q1346" s="588"/>
      <c r="R1346" s="588"/>
      <c r="S1346" s="589"/>
    </row>
    <row r="1347" spans="1:25">
      <c r="C1347" s="396"/>
      <c r="D1347" s="397"/>
      <c r="E1347" s="397"/>
      <c r="F1347" s="398"/>
      <c r="G1347" s="398"/>
      <c r="H1347" s="398"/>
      <c r="I1347" s="398"/>
      <c r="J1347" s="398"/>
      <c r="K1347" s="398"/>
      <c r="L1347" s="398"/>
      <c r="M1347" s="398"/>
      <c r="N1347" s="398"/>
      <c r="O1347" s="398"/>
      <c r="P1347" s="398"/>
      <c r="Q1347" s="398"/>
      <c r="R1347" s="398"/>
      <c r="S1347" s="399"/>
    </row>
    <row r="1348" spans="1:25">
      <c r="C1348" s="572" t="s">
        <v>384</v>
      </c>
      <c r="D1348" s="573"/>
      <c r="E1348" s="573"/>
      <c r="F1348" s="573"/>
      <c r="G1348" s="573"/>
      <c r="H1348" s="573"/>
      <c r="I1348" s="573"/>
      <c r="J1348" s="573"/>
      <c r="K1348" s="573"/>
      <c r="L1348" s="573"/>
      <c r="M1348" s="573"/>
      <c r="N1348" s="573"/>
      <c r="O1348" s="573"/>
      <c r="P1348" s="573"/>
      <c r="Q1348" s="573"/>
      <c r="R1348" s="573"/>
      <c r="S1348" s="574"/>
    </row>
    <row r="1349" spans="1:25">
      <c r="C1349" s="396"/>
      <c r="D1349" s="397"/>
      <c r="E1349" s="397"/>
      <c r="F1349" s="398"/>
      <c r="G1349" s="398"/>
      <c r="H1349" s="398"/>
      <c r="I1349" s="398"/>
      <c r="J1349" s="398"/>
      <c r="K1349" s="398"/>
      <c r="L1349" s="398"/>
      <c r="M1349" s="398"/>
      <c r="N1349" s="398"/>
      <c r="O1349" s="398"/>
      <c r="P1349" s="398"/>
      <c r="Q1349" s="398"/>
      <c r="R1349" s="398"/>
      <c r="S1349" s="399"/>
    </row>
    <row r="1350" spans="1:25">
      <c r="C1350" s="400" t="s">
        <v>385</v>
      </c>
      <c r="D1350" s="575" t="s">
        <v>386</v>
      </c>
      <c r="E1350" s="575"/>
      <c r="F1350" s="576" t="s">
        <v>387</v>
      </c>
      <c r="G1350" s="577"/>
      <c r="H1350" s="577"/>
      <c r="I1350" s="576" t="s">
        <v>388</v>
      </c>
      <c r="J1350" s="576" t="s">
        <v>389</v>
      </c>
      <c r="K1350" s="579"/>
      <c r="L1350" s="581" t="s">
        <v>390</v>
      </c>
      <c r="M1350" s="581"/>
      <c r="N1350" s="581"/>
      <c r="O1350" s="581"/>
      <c r="P1350" s="581"/>
      <c r="Q1350" s="581"/>
      <c r="R1350" s="581" t="s">
        <v>391</v>
      </c>
      <c r="S1350" s="582"/>
    </row>
    <row r="1351" spans="1:25" ht="38.25">
      <c r="C1351" s="403">
        <f>+'PRESUPUESTO OFICIAL '!C89</f>
        <v>8.01</v>
      </c>
      <c r="D1351" s="583" t="str">
        <f>+VLOOKUP(C1351,'PRESUPUESTO OFICIAL '!$C$11:$H$103,2)</f>
        <v>SUMINISTRO E INSTALACIÓN DE SANITARIO SENCILLO BLANCO</v>
      </c>
      <c r="E1351" s="584"/>
      <c r="F1351" s="585" t="str">
        <f>+VLOOKUP(C1351,'PRESUPUESTO OFICIAL '!$C$11:$H$103,3)</f>
        <v>UND</v>
      </c>
      <c r="G1351" s="585"/>
      <c r="H1351" s="585"/>
      <c r="I1351" s="578"/>
      <c r="J1351" s="578"/>
      <c r="K1351" s="580"/>
      <c r="L1351" s="401" t="s">
        <v>392</v>
      </c>
      <c r="M1351" s="401" t="s">
        <v>393</v>
      </c>
      <c r="N1351" s="401" t="s">
        <v>394</v>
      </c>
      <c r="O1351" s="401" t="s">
        <v>395</v>
      </c>
      <c r="P1351" s="401" t="s">
        <v>396</v>
      </c>
      <c r="Q1351" s="401" t="s">
        <v>397</v>
      </c>
      <c r="R1351" s="401" t="s">
        <v>398</v>
      </c>
      <c r="S1351" s="402" t="s">
        <v>399</v>
      </c>
      <c r="U1351" s="404">
        <f>+C1351</f>
        <v>8.01</v>
      </c>
      <c r="V1351" s="405">
        <f>+S1399</f>
        <v>11</v>
      </c>
    </row>
    <row r="1352" spans="1:25">
      <c r="C1352" s="406"/>
      <c r="D1352" s="407"/>
      <c r="E1352" s="407"/>
      <c r="F1352" s="407"/>
      <c r="G1352" s="407"/>
      <c r="H1352" s="407"/>
      <c r="I1352" s="558"/>
      <c r="J1352" s="559"/>
      <c r="K1352" s="560"/>
      <c r="L1352" s="560"/>
      <c r="M1352" s="560"/>
      <c r="N1352" s="560"/>
      <c r="O1352" s="560"/>
      <c r="P1352" s="560"/>
      <c r="Q1352" s="560"/>
      <c r="R1352" s="560"/>
      <c r="S1352" s="561"/>
    </row>
    <row r="1353" spans="1:25" ht="25.5">
      <c r="A1353" s="383">
        <v>1</v>
      </c>
      <c r="C1353" s="406"/>
      <c r="D1353" s="407"/>
      <c r="E1353" s="407"/>
      <c r="F1353" s="407"/>
      <c r="G1353" s="407"/>
      <c r="H1353" s="407"/>
      <c r="I1353" s="408" t="s">
        <v>400</v>
      </c>
      <c r="J1353" s="409" t="str">
        <f t="shared" ref="J1353:J1395" si="259">+VLOOKUP(K1353,$AH$22:$AJ$58,2,)</f>
        <v>UND= Cant de elementos</v>
      </c>
      <c r="K1353" s="410" t="str">
        <f>+F1351</f>
        <v>UND</v>
      </c>
      <c r="L1353" s="411"/>
      <c r="M1353" s="412"/>
      <c r="N1353" s="442"/>
      <c r="O1353" s="442"/>
      <c r="P1353" s="413"/>
      <c r="Q1353" s="411"/>
      <c r="R1353" s="413" t="str">
        <f>IF(S1353=0,"",S1353)</f>
        <v/>
      </c>
      <c r="S1353" s="414">
        <f>+HLOOKUP(A1353,[238]Hoja1!$2:$78,69,FALSE)</f>
        <v>0</v>
      </c>
      <c r="X1353" s="458">
        <f t="shared" ref="X1353" si="260">+N1353*O1353*P1353</f>
        <v>0</v>
      </c>
      <c r="Y1353" s="471">
        <f t="shared" ref="Y1353" si="261">+X1353-Q1353</f>
        <v>0</v>
      </c>
    </row>
    <row r="1354" spans="1:25" ht="25.5">
      <c r="A1354" s="383">
        <v>2</v>
      </c>
      <c r="C1354" s="406"/>
      <c r="D1354" s="407"/>
      <c r="E1354" s="407"/>
      <c r="F1354" s="407"/>
      <c r="G1354" s="407"/>
      <c r="H1354" s="407"/>
      <c r="I1354" s="408" t="s">
        <v>401</v>
      </c>
      <c r="J1354" s="409" t="str">
        <f t="shared" si="259"/>
        <v>UND= Cant de elementos</v>
      </c>
      <c r="K1354" s="410" t="str">
        <f>+K1353</f>
        <v>UND</v>
      </c>
      <c r="L1354" s="411"/>
      <c r="M1354" s="412"/>
      <c r="N1354" s="442"/>
      <c r="O1354" s="442"/>
      <c r="P1354" s="413"/>
      <c r="Q1354" s="411"/>
      <c r="R1354" s="413">
        <f t="shared" ref="R1354:R1395" si="262">IF(S1354=0,"",S1354)</f>
        <v>1</v>
      </c>
      <c r="S1354" s="414">
        <f>+HLOOKUP(A1354,[238]Hoja1!$2:$78,69,FALSE)</f>
        <v>1</v>
      </c>
      <c r="X1354" s="458">
        <f>+L1354*P1354</f>
        <v>0</v>
      </c>
      <c r="Y1354" s="471">
        <f>+X1354-Q1354</f>
        <v>0</v>
      </c>
    </row>
    <row r="1355" spans="1:25" ht="25.5">
      <c r="A1355" s="383">
        <v>3</v>
      </c>
      <c r="C1355" s="406"/>
      <c r="D1355" s="407"/>
      <c r="E1355" s="407"/>
      <c r="F1355" s="407"/>
      <c r="G1355" s="407"/>
      <c r="H1355" s="407"/>
      <c r="I1355" s="408" t="s">
        <v>402</v>
      </c>
      <c r="J1355" s="409" t="str">
        <f t="shared" si="259"/>
        <v>UND= Cant de elementos</v>
      </c>
      <c r="K1355" s="410" t="str">
        <f>+K1354</f>
        <v>UND</v>
      </c>
      <c r="L1355" s="411"/>
      <c r="M1355" s="412"/>
      <c r="N1355" s="442"/>
      <c r="O1355" s="442"/>
      <c r="P1355" s="413"/>
      <c r="Q1355" s="411"/>
      <c r="R1355" s="413">
        <f t="shared" si="262"/>
        <v>1</v>
      </c>
      <c r="S1355" s="414">
        <f>+HLOOKUP(A1355,[238]Hoja1!$2:$78,69,FALSE)</f>
        <v>1</v>
      </c>
      <c r="X1355" s="458">
        <f t="shared" ref="X1355:X1357" si="263">+L1355*P1355</f>
        <v>0</v>
      </c>
      <c r="Y1355" s="471">
        <f t="shared" ref="Y1355:Y1357" si="264">+X1355-Q1355</f>
        <v>0</v>
      </c>
    </row>
    <row r="1356" spans="1:25" ht="25.5">
      <c r="A1356" s="383">
        <v>4</v>
      </c>
      <c r="C1356" s="406"/>
      <c r="D1356" s="407"/>
      <c r="E1356" s="407"/>
      <c r="F1356" s="407"/>
      <c r="G1356" s="407"/>
      <c r="H1356" s="407"/>
      <c r="I1356" s="408" t="s">
        <v>403</v>
      </c>
      <c r="J1356" s="409" t="str">
        <f t="shared" si="259"/>
        <v>UND= Cant de elementos</v>
      </c>
      <c r="K1356" s="410" t="str">
        <f>+K1355</f>
        <v>UND</v>
      </c>
      <c r="L1356" s="411"/>
      <c r="M1356" s="412"/>
      <c r="N1356" s="442"/>
      <c r="O1356" s="442"/>
      <c r="P1356" s="413"/>
      <c r="Q1356" s="411"/>
      <c r="R1356" s="413">
        <f t="shared" si="262"/>
        <v>1</v>
      </c>
      <c r="S1356" s="414">
        <f>+HLOOKUP(A1356,[238]Hoja1!$2:$78,69,FALSE)</f>
        <v>1</v>
      </c>
      <c r="X1356" s="458">
        <f t="shared" si="263"/>
        <v>0</v>
      </c>
      <c r="Y1356" s="471">
        <f t="shared" si="264"/>
        <v>0</v>
      </c>
    </row>
    <row r="1357" spans="1:25" ht="25.5">
      <c r="A1357" s="383">
        <v>5</v>
      </c>
      <c r="C1357" s="406"/>
      <c r="D1357" s="407"/>
      <c r="E1357" s="407"/>
      <c r="F1357" s="407"/>
      <c r="G1357" s="407"/>
      <c r="H1357" s="407"/>
      <c r="I1357" s="408" t="s">
        <v>405</v>
      </c>
      <c r="J1357" s="409" t="str">
        <f t="shared" si="259"/>
        <v>UND= Cant de elementos</v>
      </c>
      <c r="K1357" s="410" t="str">
        <f>+K1356</f>
        <v>UND</v>
      </c>
      <c r="L1357" s="411"/>
      <c r="M1357" s="412"/>
      <c r="N1357" s="442"/>
      <c r="O1357" s="442"/>
      <c r="P1357" s="413"/>
      <c r="Q1357" s="411"/>
      <c r="R1357" s="413">
        <f t="shared" si="262"/>
        <v>1</v>
      </c>
      <c r="S1357" s="414">
        <f>+HLOOKUP(A1357,[238]Hoja1!$2:$78,69,FALSE)</f>
        <v>1</v>
      </c>
      <c r="X1357" s="458">
        <f t="shared" si="263"/>
        <v>0</v>
      </c>
      <c r="Y1357" s="471">
        <f t="shared" si="264"/>
        <v>0</v>
      </c>
    </row>
    <row r="1358" spans="1:25" ht="25.5">
      <c r="A1358" s="383">
        <v>6</v>
      </c>
      <c r="C1358" s="406"/>
      <c r="D1358" s="407"/>
      <c r="E1358" s="407"/>
      <c r="F1358" s="407"/>
      <c r="G1358" s="407"/>
      <c r="H1358" s="407"/>
      <c r="I1358" s="408" t="s">
        <v>407</v>
      </c>
      <c r="J1358" s="409" t="str">
        <f t="shared" si="259"/>
        <v>UND= Cant de elementos</v>
      </c>
      <c r="K1358" s="410" t="str">
        <f>+K1357</f>
        <v>UND</v>
      </c>
      <c r="L1358" s="411"/>
      <c r="M1358" s="412"/>
      <c r="N1358" s="442"/>
      <c r="O1358" s="442"/>
      <c r="P1358" s="413"/>
      <c r="Q1358" s="411"/>
      <c r="R1358" s="413" t="str">
        <f t="shared" si="262"/>
        <v/>
      </c>
      <c r="S1358" s="414">
        <f>+HLOOKUP(A1358,[238]Hoja1!$2:$78,69,FALSE)</f>
        <v>0</v>
      </c>
      <c r="X1358" s="458">
        <f>+L1358*P1358</f>
        <v>0</v>
      </c>
      <c r="Y1358" s="471">
        <f>+X1358-Q1358</f>
        <v>0</v>
      </c>
    </row>
    <row r="1359" spans="1:25" ht="25.5">
      <c r="A1359" s="383">
        <v>7</v>
      </c>
      <c r="C1359" s="406"/>
      <c r="D1359" s="407"/>
      <c r="E1359" s="407"/>
      <c r="F1359" s="407"/>
      <c r="G1359" s="407"/>
      <c r="H1359" s="407"/>
      <c r="I1359" s="408" t="s">
        <v>409</v>
      </c>
      <c r="J1359" s="409" t="str">
        <f t="shared" si="259"/>
        <v>UND= Cant de elementos</v>
      </c>
      <c r="K1359" s="410" t="str">
        <f>+K1353</f>
        <v>UND</v>
      </c>
      <c r="L1359" s="411"/>
      <c r="M1359" s="412"/>
      <c r="N1359" s="442"/>
      <c r="O1359" s="442"/>
      <c r="P1359" s="413"/>
      <c r="Q1359" s="411"/>
      <c r="R1359" s="413" t="str">
        <f t="shared" si="262"/>
        <v/>
      </c>
      <c r="S1359" s="414">
        <f>+HLOOKUP(A1359,[238]Hoja1!$2:$78,69,FALSE)</f>
        <v>0</v>
      </c>
      <c r="X1359" s="458">
        <f t="shared" ref="X1359:X1395" si="265">+L1359*P1359</f>
        <v>0</v>
      </c>
      <c r="Y1359" s="471">
        <f t="shared" ref="Y1359:Y1395" si="266">+X1359-Q1359</f>
        <v>0</v>
      </c>
    </row>
    <row r="1360" spans="1:25" ht="25.5">
      <c r="A1360" s="383">
        <v>8</v>
      </c>
      <c r="C1360" s="406"/>
      <c r="D1360" s="407"/>
      <c r="E1360" s="407"/>
      <c r="F1360" s="407"/>
      <c r="G1360" s="407"/>
      <c r="H1360" s="407"/>
      <c r="I1360" s="408" t="s">
        <v>411</v>
      </c>
      <c r="J1360" s="409" t="str">
        <f t="shared" si="259"/>
        <v>UND= Cant de elementos</v>
      </c>
      <c r="K1360" s="410" t="str">
        <f>+K1359</f>
        <v>UND</v>
      </c>
      <c r="L1360" s="411"/>
      <c r="M1360" s="412"/>
      <c r="N1360" s="442"/>
      <c r="O1360" s="442"/>
      <c r="P1360" s="413"/>
      <c r="Q1360" s="411"/>
      <c r="R1360" s="413" t="str">
        <f t="shared" si="262"/>
        <v/>
      </c>
      <c r="S1360" s="414">
        <f>+HLOOKUP(A1360,[238]Hoja1!$2:$78,69,FALSE)</f>
        <v>0</v>
      </c>
      <c r="X1360" s="458">
        <f t="shared" si="265"/>
        <v>0</v>
      </c>
      <c r="Y1360" s="471">
        <f t="shared" si="266"/>
        <v>0</v>
      </c>
    </row>
    <row r="1361" spans="1:25" ht="25.5">
      <c r="A1361" s="383">
        <v>9</v>
      </c>
      <c r="C1361" s="406"/>
      <c r="D1361" s="407"/>
      <c r="E1361" s="407"/>
      <c r="F1361" s="407"/>
      <c r="G1361" s="407"/>
      <c r="H1361" s="407"/>
      <c r="I1361" s="408" t="s">
        <v>412</v>
      </c>
      <c r="J1361" s="409" t="str">
        <f t="shared" si="259"/>
        <v>UND= Cant de elementos</v>
      </c>
      <c r="K1361" s="410" t="str">
        <f>+K1360</f>
        <v>UND</v>
      </c>
      <c r="L1361" s="411"/>
      <c r="M1361" s="412"/>
      <c r="N1361" s="442"/>
      <c r="O1361" s="442"/>
      <c r="P1361" s="413"/>
      <c r="Q1361" s="411"/>
      <c r="R1361" s="413">
        <f t="shared" si="262"/>
        <v>1</v>
      </c>
      <c r="S1361" s="414">
        <f>+HLOOKUP(A1361,[238]Hoja1!$2:$78,69,FALSE)</f>
        <v>1</v>
      </c>
      <c r="X1361" s="458">
        <f t="shared" si="265"/>
        <v>0</v>
      </c>
      <c r="Y1361" s="471">
        <f t="shared" si="266"/>
        <v>0</v>
      </c>
    </row>
    <row r="1362" spans="1:25" ht="25.5">
      <c r="A1362" s="383">
        <v>10</v>
      </c>
      <c r="C1362" s="406"/>
      <c r="D1362" s="407"/>
      <c r="E1362" s="407"/>
      <c r="F1362" s="407"/>
      <c r="G1362" s="407"/>
      <c r="H1362" s="407"/>
      <c r="I1362" s="408" t="s">
        <v>413</v>
      </c>
      <c r="J1362" s="409" t="str">
        <f t="shared" si="259"/>
        <v>UND= Cant de elementos</v>
      </c>
      <c r="K1362" s="410" t="str">
        <f>+K1361</f>
        <v>UND</v>
      </c>
      <c r="L1362" s="411"/>
      <c r="M1362" s="412"/>
      <c r="N1362" s="441"/>
      <c r="O1362" s="442"/>
      <c r="P1362" s="413"/>
      <c r="Q1362" s="411"/>
      <c r="R1362" s="413" t="str">
        <f t="shared" si="262"/>
        <v/>
      </c>
      <c r="S1362" s="414">
        <f>+HLOOKUP(A1362,[238]Hoja1!$2:$78,69,FALSE)</f>
        <v>0</v>
      </c>
      <c r="X1362" s="458">
        <f t="shared" si="265"/>
        <v>0</v>
      </c>
      <c r="Y1362" s="471">
        <f t="shared" si="266"/>
        <v>0</v>
      </c>
    </row>
    <row r="1363" spans="1:25" ht="25.5">
      <c r="A1363" s="383">
        <v>11</v>
      </c>
      <c r="C1363" s="406"/>
      <c r="D1363" s="407"/>
      <c r="E1363" s="407"/>
      <c r="F1363" s="407"/>
      <c r="G1363" s="407"/>
      <c r="H1363" s="407"/>
      <c r="I1363" s="408" t="s">
        <v>414</v>
      </c>
      <c r="J1363" s="409" t="str">
        <f t="shared" si="259"/>
        <v>UND= Cant de elementos</v>
      </c>
      <c r="K1363" s="410" t="str">
        <f>+K1362</f>
        <v>UND</v>
      </c>
      <c r="L1363" s="411"/>
      <c r="M1363" s="412"/>
      <c r="N1363" s="443"/>
      <c r="O1363" s="442"/>
      <c r="P1363" s="413"/>
      <c r="Q1363" s="411"/>
      <c r="R1363" s="413" t="str">
        <f t="shared" si="262"/>
        <v/>
      </c>
      <c r="S1363" s="414">
        <f>+HLOOKUP(A1363,[238]Hoja1!$2:$78,69,FALSE)</f>
        <v>0</v>
      </c>
      <c r="X1363" s="458">
        <f t="shared" si="265"/>
        <v>0</v>
      </c>
      <c r="Y1363" s="471">
        <f t="shared" si="266"/>
        <v>0</v>
      </c>
    </row>
    <row r="1364" spans="1:25" ht="25.5">
      <c r="A1364" s="383">
        <v>12</v>
      </c>
      <c r="C1364" s="406"/>
      <c r="D1364" s="407"/>
      <c r="E1364" s="407"/>
      <c r="F1364" s="407"/>
      <c r="G1364" s="407"/>
      <c r="H1364" s="407"/>
      <c r="I1364" s="408" t="s">
        <v>415</v>
      </c>
      <c r="J1364" s="409" t="str">
        <f t="shared" si="259"/>
        <v>UND= Cant de elementos</v>
      </c>
      <c r="K1364" s="410" t="str">
        <f>+K1358</f>
        <v>UND</v>
      </c>
      <c r="L1364" s="411"/>
      <c r="M1364" s="412"/>
      <c r="N1364" s="442"/>
      <c r="O1364" s="442"/>
      <c r="P1364" s="413"/>
      <c r="Q1364" s="411"/>
      <c r="R1364" s="413" t="str">
        <f t="shared" si="262"/>
        <v/>
      </c>
      <c r="S1364" s="414">
        <f>+HLOOKUP(A1364,[238]Hoja1!$2:$78,69,FALSE)</f>
        <v>0</v>
      </c>
      <c r="X1364" s="458">
        <f t="shared" si="265"/>
        <v>0</v>
      </c>
      <c r="Y1364" s="471">
        <f t="shared" si="266"/>
        <v>0</v>
      </c>
    </row>
    <row r="1365" spans="1:25" ht="25.5">
      <c r="A1365" s="383">
        <v>13</v>
      </c>
      <c r="C1365" s="406"/>
      <c r="D1365" s="407"/>
      <c r="E1365" s="407"/>
      <c r="F1365" s="407"/>
      <c r="G1365" s="407"/>
      <c r="H1365" s="407"/>
      <c r="I1365" s="408" t="s">
        <v>416</v>
      </c>
      <c r="J1365" s="409" t="str">
        <f t="shared" si="259"/>
        <v>UND= Cant de elementos</v>
      </c>
      <c r="K1365" s="410" t="str">
        <f>+K1360</f>
        <v>UND</v>
      </c>
      <c r="L1365" s="411"/>
      <c r="M1365" s="412"/>
      <c r="N1365" s="442"/>
      <c r="O1365" s="442"/>
      <c r="P1365" s="413"/>
      <c r="Q1365" s="411"/>
      <c r="R1365" s="413" t="str">
        <f t="shared" si="262"/>
        <v/>
      </c>
      <c r="S1365" s="414">
        <f>+HLOOKUP(A1365,[238]Hoja1!$2:$78,69,FALSE)</f>
        <v>0</v>
      </c>
      <c r="X1365" s="458">
        <f t="shared" si="265"/>
        <v>0</v>
      </c>
      <c r="Y1365" s="471">
        <f t="shared" si="266"/>
        <v>0</v>
      </c>
    </row>
    <row r="1366" spans="1:25" ht="25.5">
      <c r="A1366" s="383">
        <v>14</v>
      </c>
      <c r="C1366" s="406"/>
      <c r="D1366" s="407"/>
      <c r="E1366" s="407"/>
      <c r="F1366" s="407"/>
      <c r="G1366" s="407"/>
      <c r="H1366" s="407"/>
      <c r="I1366" s="408" t="s">
        <v>417</v>
      </c>
      <c r="J1366" s="409" t="str">
        <f t="shared" si="259"/>
        <v>UND= Cant de elementos</v>
      </c>
      <c r="K1366" s="410" t="str">
        <f t="shared" ref="K1366:K1377" si="267">+K1365</f>
        <v>UND</v>
      </c>
      <c r="L1366" s="411"/>
      <c r="M1366" s="412"/>
      <c r="N1366" s="442"/>
      <c r="O1366" s="442"/>
      <c r="P1366" s="413"/>
      <c r="Q1366" s="411"/>
      <c r="R1366" s="413">
        <f t="shared" si="262"/>
        <v>1</v>
      </c>
      <c r="S1366" s="414">
        <f>+HLOOKUP(A1366,[238]Hoja1!$2:$78,69,FALSE)</f>
        <v>1</v>
      </c>
      <c r="X1366" s="458">
        <f t="shared" si="265"/>
        <v>0</v>
      </c>
      <c r="Y1366" s="471">
        <f t="shared" si="266"/>
        <v>0</v>
      </c>
    </row>
    <row r="1367" spans="1:25" ht="25.5">
      <c r="A1367" s="383">
        <v>15</v>
      </c>
      <c r="C1367" s="406"/>
      <c r="D1367" s="407"/>
      <c r="E1367" s="407"/>
      <c r="F1367" s="407"/>
      <c r="G1367" s="407"/>
      <c r="H1367" s="407"/>
      <c r="I1367" s="408" t="s">
        <v>418</v>
      </c>
      <c r="J1367" s="409" t="str">
        <f t="shared" si="259"/>
        <v>UND= Cant de elementos</v>
      </c>
      <c r="K1367" s="410" t="str">
        <f t="shared" si="267"/>
        <v>UND</v>
      </c>
      <c r="L1367" s="411"/>
      <c r="M1367" s="412"/>
      <c r="N1367" s="442"/>
      <c r="O1367" s="442"/>
      <c r="P1367" s="413"/>
      <c r="Q1367" s="411"/>
      <c r="R1367" s="413" t="str">
        <f t="shared" si="262"/>
        <v/>
      </c>
      <c r="S1367" s="414">
        <f>+HLOOKUP(A1367,[238]Hoja1!$2:$78,69,FALSE)</f>
        <v>0</v>
      </c>
      <c r="X1367" s="458">
        <f t="shared" si="265"/>
        <v>0</v>
      </c>
      <c r="Y1367" s="471">
        <f t="shared" si="266"/>
        <v>0</v>
      </c>
    </row>
    <row r="1368" spans="1:25" ht="25.5">
      <c r="A1368" s="383">
        <v>16</v>
      </c>
      <c r="C1368" s="406"/>
      <c r="D1368" s="407"/>
      <c r="E1368" s="407"/>
      <c r="F1368" s="407"/>
      <c r="G1368" s="407"/>
      <c r="H1368" s="407"/>
      <c r="I1368" s="408" t="s">
        <v>419</v>
      </c>
      <c r="J1368" s="409" t="str">
        <f t="shared" si="259"/>
        <v>UND= Cant de elementos</v>
      </c>
      <c r="K1368" s="410" t="str">
        <f t="shared" si="267"/>
        <v>UND</v>
      </c>
      <c r="L1368" s="411"/>
      <c r="M1368" s="412"/>
      <c r="N1368" s="442"/>
      <c r="O1368" s="442"/>
      <c r="P1368" s="413"/>
      <c r="Q1368" s="411"/>
      <c r="R1368" s="413" t="str">
        <f t="shared" si="262"/>
        <v/>
      </c>
      <c r="S1368" s="414">
        <f>+HLOOKUP(A1368,[238]Hoja1!$2:$78,69,FALSE)</f>
        <v>0</v>
      </c>
      <c r="X1368" s="458">
        <f t="shared" si="265"/>
        <v>0</v>
      </c>
      <c r="Y1368" s="471">
        <f t="shared" si="266"/>
        <v>0</v>
      </c>
    </row>
    <row r="1369" spans="1:25" ht="25.5">
      <c r="A1369" s="383">
        <v>17</v>
      </c>
      <c r="C1369" s="406"/>
      <c r="D1369" s="407"/>
      <c r="E1369" s="407"/>
      <c r="F1369" s="407"/>
      <c r="G1369" s="407"/>
      <c r="H1369" s="407"/>
      <c r="I1369" s="408" t="s">
        <v>420</v>
      </c>
      <c r="J1369" s="409" t="str">
        <f t="shared" si="259"/>
        <v>UND= Cant de elementos</v>
      </c>
      <c r="K1369" s="410" t="str">
        <f t="shared" si="267"/>
        <v>UND</v>
      </c>
      <c r="L1369" s="411"/>
      <c r="M1369" s="412"/>
      <c r="N1369" s="442"/>
      <c r="O1369" s="442"/>
      <c r="P1369" s="413"/>
      <c r="Q1369" s="411"/>
      <c r="R1369" s="413" t="str">
        <f t="shared" si="262"/>
        <v/>
      </c>
      <c r="S1369" s="414">
        <f>+HLOOKUP(A1369,[238]Hoja1!$2:$78,69,FALSE)</f>
        <v>0</v>
      </c>
      <c r="V1369" s="383">
        <f>+P1369*O1369*N1369</f>
        <v>0</v>
      </c>
      <c r="X1369" s="458">
        <f t="shared" si="265"/>
        <v>0</v>
      </c>
      <c r="Y1369" s="471">
        <f t="shared" si="266"/>
        <v>0</v>
      </c>
    </row>
    <row r="1370" spans="1:25" ht="25.5">
      <c r="A1370" s="383">
        <v>18</v>
      </c>
      <c r="C1370" s="406"/>
      <c r="D1370" s="407"/>
      <c r="E1370" s="407"/>
      <c r="F1370" s="407"/>
      <c r="G1370" s="407"/>
      <c r="H1370" s="407"/>
      <c r="I1370" s="408" t="s">
        <v>429</v>
      </c>
      <c r="J1370" s="409" t="str">
        <f t="shared" si="259"/>
        <v>UND= Cant de elementos</v>
      </c>
      <c r="K1370" s="410" t="str">
        <f t="shared" si="267"/>
        <v>UND</v>
      </c>
      <c r="L1370" s="411"/>
      <c r="M1370" s="412"/>
      <c r="N1370" s="442"/>
      <c r="O1370" s="442"/>
      <c r="P1370" s="413"/>
      <c r="Q1370" s="411"/>
      <c r="R1370" s="413" t="str">
        <f t="shared" si="262"/>
        <v/>
      </c>
      <c r="S1370" s="414">
        <f>+HLOOKUP(A1370,[238]Hoja1!$2:$78,69,FALSE)</f>
        <v>0</v>
      </c>
      <c r="X1370" s="458">
        <f t="shared" si="265"/>
        <v>0</v>
      </c>
      <c r="Y1370" s="471">
        <f t="shared" si="266"/>
        <v>0</v>
      </c>
    </row>
    <row r="1371" spans="1:25" ht="25.5">
      <c r="A1371" s="383">
        <v>19</v>
      </c>
      <c r="C1371" s="406"/>
      <c r="D1371" s="407"/>
      <c r="E1371" s="407"/>
      <c r="F1371" s="407"/>
      <c r="G1371" s="407"/>
      <c r="H1371" s="407"/>
      <c r="I1371" s="408" t="s">
        <v>430</v>
      </c>
      <c r="J1371" s="409" t="str">
        <f t="shared" si="259"/>
        <v>UND= Cant de elementos</v>
      </c>
      <c r="K1371" s="410" t="str">
        <f t="shared" si="267"/>
        <v>UND</v>
      </c>
      <c r="L1371" s="411"/>
      <c r="M1371" s="412"/>
      <c r="N1371" s="442"/>
      <c r="O1371" s="442"/>
      <c r="P1371" s="413"/>
      <c r="Q1371" s="411"/>
      <c r="R1371" s="413">
        <f t="shared" si="262"/>
        <v>1</v>
      </c>
      <c r="S1371" s="414">
        <f>+HLOOKUP(A1371,[238]Hoja1!$2:$78,69,FALSE)</f>
        <v>1</v>
      </c>
      <c r="X1371" s="458">
        <f t="shared" si="265"/>
        <v>0</v>
      </c>
      <c r="Y1371" s="471">
        <f t="shared" si="266"/>
        <v>0</v>
      </c>
    </row>
    <row r="1372" spans="1:25" ht="25.5">
      <c r="A1372" s="383">
        <v>20</v>
      </c>
      <c r="C1372" s="406"/>
      <c r="D1372" s="407"/>
      <c r="E1372" s="407"/>
      <c r="F1372" s="407"/>
      <c r="G1372" s="407"/>
      <c r="H1372" s="407"/>
      <c r="I1372" s="408" t="s">
        <v>431</v>
      </c>
      <c r="J1372" s="409" t="str">
        <f t="shared" si="259"/>
        <v>UND= Cant de elementos</v>
      </c>
      <c r="K1372" s="410" t="str">
        <f t="shared" si="267"/>
        <v>UND</v>
      </c>
      <c r="L1372" s="411"/>
      <c r="M1372" s="412"/>
      <c r="N1372" s="442"/>
      <c r="O1372" s="442"/>
      <c r="P1372" s="413"/>
      <c r="Q1372" s="411"/>
      <c r="R1372" s="413" t="str">
        <f t="shared" si="262"/>
        <v/>
      </c>
      <c r="S1372" s="414">
        <f>+HLOOKUP(A1372,[238]Hoja1!$2:$78,69,FALSE)</f>
        <v>0</v>
      </c>
      <c r="X1372" s="458">
        <f t="shared" si="265"/>
        <v>0</v>
      </c>
      <c r="Y1372" s="471">
        <f t="shared" si="266"/>
        <v>0</v>
      </c>
    </row>
    <row r="1373" spans="1:25" ht="25.5">
      <c r="A1373" s="383">
        <v>21</v>
      </c>
      <c r="C1373" s="406"/>
      <c r="D1373" s="407"/>
      <c r="E1373" s="407"/>
      <c r="F1373" s="407"/>
      <c r="G1373" s="407"/>
      <c r="H1373" s="407"/>
      <c r="I1373" s="408" t="s">
        <v>432</v>
      </c>
      <c r="J1373" s="409" t="str">
        <f t="shared" si="259"/>
        <v>UND= Cant de elementos</v>
      </c>
      <c r="K1373" s="410" t="str">
        <f t="shared" si="267"/>
        <v>UND</v>
      </c>
      <c r="L1373" s="411"/>
      <c r="M1373" s="412"/>
      <c r="N1373" s="442"/>
      <c r="O1373" s="442"/>
      <c r="P1373" s="413"/>
      <c r="Q1373" s="411"/>
      <c r="R1373" s="413" t="str">
        <f t="shared" si="262"/>
        <v/>
      </c>
      <c r="S1373" s="414">
        <f>+HLOOKUP(A1373,[238]Hoja1!$2:$78,69,FALSE)</f>
        <v>0</v>
      </c>
      <c r="X1373" s="458">
        <f t="shared" si="265"/>
        <v>0</v>
      </c>
      <c r="Y1373" s="471">
        <f t="shared" si="266"/>
        <v>0</v>
      </c>
    </row>
    <row r="1374" spans="1:25" ht="25.5">
      <c r="A1374" s="383">
        <v>22</v>
      </c>
      <c r="C1374" s="406"/>
      <c r="D1374" s="407"/>
      <c r="E1374" s="407"/>
      <c r="F1374" s="407"/>
      <c r="G1374" s="407"/>
      <c r="H1374" s="407"/>
      <c r="I1374" s="408" t="s">
        <v>433</v>
      </c>
      <c r="J1374" s="409" t="str">
        <f t="shared" si="259"/>
        <v>UND= Cant de elementos</v>
      </c>
      <c r="K1374" s="410" t="str">
        <f t="shared" si="267"/>
        <v>UND</v>
      </c>
      <c r="L1374" s="411"/>
      <c r="M1374" s="412"/>
      <c r="N1374" s="442"/>
      <c r="O1374" s="442"/>
      <c r="P1374" s="413"/>
      <c r="Q1374" s="411"/>
      <c r="R1374" s="413">
        <f t="shared" si="262"/>
        <v>1</v>
      </c>
      <c r="S1374" s="414">
        <f>+HLOOKUP(A1374,[238]Hoja1!$2:$78,69,FALSE)</f>
        <v>1</v>
      </c>
      <c r="X1374" s="458">
        <f t="shared" si="265"/>
        <v>0</v>
      </c>
      <c r="Y1374" s="471">
        <f t="shared" si="266"/>
        <v>0</v>
      </c>
    </row>
    <row r="1375" spans="1:25" ht="25.5">
      <c r="A1375" s="383">
        <v>23</v>
      </c>
      <c r="C1375" s="406"/>
      <c r="D1375" s="407"/>
      <c r="E1375" s="407"/>
      <c r="F1375" s="407"/>
      <c r="G1375" s="407"/>
      <c r="H1375" s="407"/>
      <c r="I1375" s="408" t="s">
        <v>434</v>
      </c>
      <c r="J1375" s="409" t="str">
        <f t="shared" si="259"/>
        <v>UND= Cant de elementos</v>
      </c>
      <c r="K1375" s="410" t="str">
        <f t="shared" si="267"/>
        <v>UND</v>
      </c>
      <c r="L1375" s="411"/>
      <c r="M1375" s="412"/>
      <c r="N1375" s="441"/>
      <c r="O1375" s="442"/>
      <c r="P1375" s="413"/>
      <c r="Q1375" s="411"/>
      <c r="R1375" s="413" t="str">
        <f t="shared" si="262"/>
        <v/>
      </c>
      <c r="S1375" s="414">
        <f>+HLOOKUP(A1375,[238]Hoja1!$2:$78,69,FALSE)</f>
        <v>0</v>
      </c>
      <c r="X1375" s="458">
        <f t="shared" si="265"/>
        <v>0</v>
      </c>
      <c r="Y1375" s="471">
        <f t="shared" si="266"/>
        <v>0</v>
      </c>
    </row>
    <row r="1376" spans="1:25" ht="25.5">
      <c r="A1376" s="383">
        <v>24</v>
      </c>
      <c r="C1376" s="406"/>
      <c r="D1376" s="407"/>
      <c r="E1376" s="407"/>
      <c r="F1376" s="407"/>
      <c r="G1376" s="407"/>
      <c r="H1376" s="407"/>
      <c r="I1376" s="408" t="s">
        <v>435</v>
      </c>
      <c r="J1376" s="409" t="str">
        <f t="shared" si="259"/>
        <v>UND= Cant de elementos</v>
      </c>
      <c r="K1376" s="410" t="str">
        <f t="shared" si="267"/>
        <v>UND</v>
      </c>
      <c r="L1376" s="411"/>
      <c r="M1376" s="412"/>
      <c r="N1376" s="442"/>
      <c r="O1376" s="442"/>
      <c r="P1376" s="413"/>
      <c r="Q1376" s="411"/>
      <c r="R1376" s="413" t="str">
        <f t="shared" si="262"/>
        <v/>
      </c>
      <c r="S1376" s="414">
        <f>+HLOOKUP(A1376,[238]Hoja1!$2:$78,69,FALSE)</f>
        <v>0</v>
      </c>
      <c r="X1376" s="458">
        <f t="shared" si="265"/>
        <v>0</v>
      </c>
      <c r="Y1376" s="471">
        <f t="shared" si="266"/>
        <v>0</v>
      </c>
    </row>
    <row r="1377" spans="1:25" ht="25.5">
      <c r="A1377" s="383">
        <v>25</v>
      </c>
      <c r="C1377" s="406"/>
      <c r="D1377" s="407"/>
      <c r="E1377" s="407"/>
      <c r="F1377" s="407"/>
      <c r="G1377" s="407"/>
      <c r="H1377" s="407"/>
      <c r="I1377" s="408" t="s">
        <v>436</v>
      </c>
      <c r="J1377" s="409" t="str">
        <f t="shared" si="259"/>
        <v>UND= Cant de elementos</v>
      </c>
      <c r="K1377" s="410" t="str">
        <f t="shared" si="267"/>
        <v>UND</v>
      </c>
      <c r="L1377" s="411"/>
      <c r="M1377" s="412"/>
      <c r="N1377" s="442"/>
      <c r="O1377" s="442"/>
      <c r="P1377" s="413"/>
      <c r="Q1377" s="411"/>
      <c r="R1377" s="413" t="str">
        <f t="shared" si="262"/>
        <v/>
      </c>
      <c r="S1377" s="414">
        <f>+HLOOKUP(A1377,[238]Hoja1!$2:$78,69,FALSE)</f>
        <v>0</v>
      </c>
      <c r="X1377" s="458">
        <f t="shared" si="265"/>
        <v>0</v>
      </c>
      <c r="Y1377" s="471">
        <f t="shared" si="266"/>
        <v>0</v>
      </c>
    </row>
    <row r="1378" spans="1:25" ht="25.5">
      <c r="A1378" s="383">
        <v>26</v>
      </c>
      <c r="C1378" s="406"/>
      <c r="D1378" s="407"/>
      <c r="E1378" s="407"/>
      <c r="F1378" s="407"/>
      <c r="G1378" s="407"/>
      <c r="H1378" s="407"/>
      <c r="I1378" s="408" t="s">
        <v>437</v>
      </c>
      <c r="J1378" s="409" t="str">
        <f t="shared" si="259"/>
        <v>UND= Cant de elementos</v>
      </c>
      <c r="K1378" s="410" t="str">
        <f>+K1367</f>
        <v>UND</v>
      </c>
      <c r="L1378" s="411"/>
      <c r="M1378" s="412"/>
      <c r="N1378" s="442"/>
      <c r="O1378" s="442"/>
      <c r="P1378" s="413"/>
      <c r="Q1378" s="411"/>
      <c r="R1378" s="413" t="str">
        <f t="shared" si="262"/>
        <v/>
      </c>
      <c r="S1378" s="414">
        <f>+HLOOKUP(A1378,[238]Hoja1!$2:$78,69,FALSE)</f>
        <v>0</v>
      </c>
      <c r="X1378" s="458">
        <f t="shared" si="265"/>
        <v>0</v>
      </c>
      <c r="Y1378" s="471">
        <f t="shared" si="266"/>
        <v>0</v>
      </c>
    </row>
    <row r="1379" spans="1:25" ht="25.5">
      <c r="A1379" s="383">
        <v>27</v>
      </c>
      <c r="C1379" s="406"/>
      <c r="D1379" s="407"/>
      <c r="E1379" s="407"/>
      <c r="F1379" s="407"/>
      <c r="G1379" s="407"/>
      <c r="H1379" s="407"/>
      <c r="I1379" s="408" t="s">
        <v>438</v>
      </c>
      <c r="J1379" s="409" t="str">
        <f t="shared" si="259"/>
        <v>UND= Cant de elementos</v>
      </c>
      <c r="K1379" s="410" t="str">
        <f t="shared" ref="K1379:K1387" si="268">+K1378</f>
        <v>UND</v>
      </c>
      <c r="L1379" s="411"/>
      <c r="M1379" s="412"/>
      <c r="N1379" s="442"/>
      <c r="O1379" s="442"/>
      <c r="P1379" s="413"/>
      <c r="Q1379" s="411"/>
      <c r="R1379" s="413">
        <f t="shared" si="262"/>
        <v>1</v>
      </c>
      <c r="S1379" s="414">
        <f>+HLOOKUP(A1379,[238]Hoja1!$2:$78,69,FALSE)</f>
        <v>1</v>
      </c>
      <c r="X1379" s="458">
        <f t="shared" si="265"/>
        <v>0</v>
      </c>
      <c r="Y1379" s="471">
        <f t="shared" si="266"/>
        <v>0</v>
      </c>
    </row>
    <row r="1380" spans="1:25" ht="25.5">
      <c r="A1380" s="383">
        <v>28</v>
      </c>
      <c r="C1380" s="406"/>
      <c r="D1380" s="440"/>
      <c r="E1380" s="407"/>
      <c r="F1380" s="407"/>
      <c r="G1380" s="407"/>
      <c r="H1380" s="437"/>
      <c r="I1380" s="408" t="s">
        <v>439</v>
      </c>
      <c r="J1380" s="409" t="str">
        <f t="shared" si="259"/>
        <v>UND= Cant de elementos</v>
      </c>
      <c r="K1380" s="410" t="str">
        <f t="shared" si="268"/>
        <v>UND</v>
      </c>
      <c r="L1380" s="411"/>
      <c r="M1380" s="412"/>
      <c r="N1380" s="442"/>
      <c r="O1380" s="442"/>
      <c r="P1380" s="413"/>
      <c r="Q1380" s="411"/>
      <c r="R1380" s="413" t="str">
        <f t="shared" si="262"/>
        <v/>
      </c>
      <c r="S1380" s="414">
        <f>+HLOOKUP(A1380,[238]Hoja1!$2:$78,69,FALSE)</f>
        <v>0</v>
      </c>
      <c r="X1380" s="458">
        <f t="shared" si="265"/>
        <v>0</v>
      </c>
      <c r="Y1380" s="471">
        <f t="shared" si="266"/>
        <v>0</v>
      </c>
    </row>
    <row r="1381" spans="1:25" ht="25.5">
      <c r="A1381" s="383">
        <v>29</v>
      </c>
      <c r="C1381" s="406"/>
      <c r="D1381" s="407"/>
      <c r="E1381" s="407"/>
      <c r="F1381" s="407"/>
      <c r="G1381" s="407"/>
      <c r="H1381" s="407"/>
      <c r="I1381" s="408" t="s">
        <v>440</v>
      </c>
      <c r="J1381" s="409" t="str">
        <f t="shared" si="259"/>
        <v>UND= Cant de elementos</v>
      </c>
      <c r="K1381" s="410" t="str">
        <f t="shared" si="268"/>
        <v>UND</v>
      </c>
      <c r="L1381" s="411"/>
      <c r="M1381" s="412"/>
      <c r="N1381" s="443"/>
      <c r="O1381" s="442"/>
      <c r="P1381" s="413"/>
      <c r="Q1381" s="411"/>
      <c r="R1381" s="413" t="str">
        <f t="shared" si="262"/>
        <v/>
      </c>
      <c r="S1381" s="414">
        <f>+HLOOKUP(A1381,[238]Hoja1!$2:$78,69,FALSE)</f>
        <v>0</v>
      </c>
      <c r="X1381" s="458">
        <f t="shared" si="265"/>
        <v>0</v>
      </c>
      <c r="Y1381" s="471">
        <f t="shared" si="266"/>
        <v>0</v>
      </c>
    </row>
    <row r="1382" spans="1:25" ht="25.5">
      <c r="A1382" s="383">
        <v>30</v>
      </c>
      <c r="C1382" s="406"/>
      <c r="D1382" s="407"/>
      <c r="E1382" s="407"/>
      <c r="F1382" s="407"/>
      <c r="G1382" s="407"/>
      <c r="H1382" s="407"/>
      <c r="I1382" s="408" t="s">
        <v>441</v>
      </c>
      <c r="J1382" s="409" t="str">
        <f t="shared" si="259"/>
        <v>UND= Cant de elementos</v>
      </c>
      <c r="K1382" s="410" t="str">
        <f t="shared" si="268"/>
        <v>UND</v>
      </c>
      <c r="L1382" s="411"/>
      <c r="M1382" s="412"/>
      <c r="N1382" s="442"/>
      <c r="O1382" s="442"/>
      <c r="P1382" s="413"/>
      <c r="Q1382" s="411"/>
      <c r="R1382" s="413" t="str">
        <f t="shared" si="262"/>
        <v/>
      </c>
      <c r="S1382" s="414">
        <f>+HLOOKUP(A1382,[238]Hoja1!$2:$78,69,FALSE)</f>
        <v>0</v>
      </c>
      <c r="X1382" s="458">
        <f t="shared" si="265"/>
        <v>0</v>
      </c>
      <c r="Y1382" s="471">
        <f t="shared" si="266"/>
        <v>0</v>
      </c>
    </row>
    <row r="1383" spans="1:25" ht="25.5">
      <c r="A1383" s="383">
        <v>31</v>
      </c>
      <c r="C1383" s="406"/>
      <c r="D1383" s="407"/>
      <c r="E1383" s="407"/>
      <c r="F1383" s="407"/>
      <c r="G1383" s="407"/>
      <c r="H1383" s="407"/>
      <c r="I1383" s="408" t="s">
        <v>442</v>
      </c>
      <c r="J1383" s="409" t="str">
        <f t="shared" si="259"/>
        <v>UND= Cant de elementos</v>
      </c>
      <c r="K1383" s="410" t="str">
        <f t="shared" si="268"/>
        <v>UND</v>
      </c>
      <c r="L1383" s="411"/>
      <c r="M1383" s="412"/>
      <c r="N1383" s="442"/>
      <c r="O1383" s="442"/>
      <c r="P1383" s="413"/>
      <c r="Q1383" s="411"/>
      <c r="R1383" s="413" t="str">
        <f t="shared" si="262"/>
        <v/>
      </c>
      <c r="S1383" s="414">
        <f>+HLOOKUP(A1383,[238]Hoja1!$2:$78,69,FALSE)</f>
        <v>0</v>
      </c>
      <c r="X1383" s="458">
        <f t="shared" si="265"/>
        <v>0</v>
      </c>
      <c r="Y1383" s="471">
        <f t="shared" si="266"/>
        <v>0</v>
      </c>
    </row>
    <row r="1384" spans="1:25" ht="25.5">
      <c r="A1384" s="383">
        <v>32</v>
      </c>
      <c r="C1384" s="406"/>
      <c r="D1384" s="407"/>
      <c r="E1384" s="407"/>
      <c r="F1384" s="407"/>
      <c r="G1384" s="407"/>
      <c r="H1384" s="407"/>
      <c r="I1384" s="408" t="s">
        <v>443</v>
      </c>
      <c r="J1384" s="409" t="str">
        <f t="shared" si="259"/>
        <v>UND= Cant de elementos</v>
      </c>
      <c r="K1384" s="410" t="str">
        <f t="shared" si="268"/>
        <v>UND</v>
      </c>
      <c r="L1384" s="411"/>
      <c r="M1384" s="412"/>
      <c r="N1384" s="442"/>
      <c r="O1384" s="442"/>
      <c r="P1384" s="413"/>
      <c r="Q1384" s="411"/>
      <c r="R1384" s="413" t="str">
        <f t="shared" si="262"/>
        <v/>
      </c>
      <c r="S1384" s="414">
        <f>+HLOOKUP(A1384,[238]Hoja1!$2:$78,69,FALSE)</f>
        <v>0</v>
      </c>
      <c r="X1384" s="458">
        <f t="shared" si="265"/>
        <v>0</v>
      </c>
      <c r="Y1384" s="471">
        <f t="shared" si="266"/>
        <v>0</v>
      </c>
    </row>
    <row r="1385" spans="1:25" ht="25.5">
      <c r="A1385" s="383">
        <v>33</v>
      </c>
      <c r="C1385" s="406"/>
      <c r="D1385" s="407"/>
      <c r="E1385" s="407"/>
      <c r="F1385" s="407"/>
      <c r="G1385" s="407"/>
      <c r="H1385" s="407"/>
      <c r="I1385" s="408" t="s">
        <v>444</v>
      </c>
      <c r="J1385" s="409" t="str">
        <f t="shared" si="259"/>
        <v>UND= Cant de elementos</v>
      </c>
      <c r="K1385" s="410" t="str">
        <f t="shared" si="268"/>
        <v>UND</v>
      </c>
      <c r="L1385" s="411"/>
      <c r="M1385" s="412"/>
      <c r="N1385" s="442"/>
      <c r="O1385" s="442"/>
      <c r="P1385" s="413"/>
      <c r="Q1385" s="411"/>
      <c r="R1385" s="413" t="str">
        <f t="shared" si="262"/>
        <v/>
      </c>
      <c r="S1385" s="414">
        <f>+HLOOKUP(A1385,[238]Hoja1!$2:$78,69,FALSE)</f>
        <v>0</v>
      </c>
      <c r="X1385" s="458">
        <f t="shared" si="265"/>
        <v>0</v>
      </c>
      <c r="Y1385" s="471">
        <f t="shared" si="266"/>
        <v>0</v>
      </c>
    </row>
    <row r="1386" spans="1:25" ht="25.5">
      <c r="A1386" s="383">
        <v>34</v>
      </c>
      <c r="C1386" s="406"/>
      <c r="D1386" s="407"/>
      <c r="E1386" s="407"/>
      <c r="F1386" s="407"/>
      <c r="G1386" s="407"/>
      <c r="H1386" s="407"/>
      <c r="I1386" s="408" t="s">
        <v>445</v>
      </c>
      <c r="J1386" s="409" t="str">
        <f t="shared" si="259"/>
        <v>UND= Cant de elementos</v>
      </c>
      <c r="K1386" s="410" t="str">
        <f t="shared" si="268"/>
        <v>UND</v>
      </c>
      <c r="L1386" s="411"/>
      <c r="M1386" s="412"/>
      <c r="N1386" s="441"/>
      <c r="O1386" s="442"/>
      <c r="P1386" s="413"/>
      <c r="Q1386" s="411"/>
      <c r="R1386" s="413" t="str">
        <f t="shared" si="262"/>
        <v/>
      </c>
      <c r="S1386" s="414">
        <f>+HLOOKUP(A1386,[238]Hoja1!$2:$78,69,FALSE)</f>
        <v>0</v>
      </c>
      <c r="X1386" s="458">
        <f t="shared" si="265"/>
        <v>0</v>
      </c>
      <c r="Y1386" s="471">
        <f t="shared" si="266"/>
        <v>0</v>
      </c>
    </row>
    <row r="1387" spans="1:25" ht="25.5">
      <c r="A1387" s="383">
        <v>35</v>
      </c>
      <c r="C1387" s="406"/>
      <c r="D1387" s="440"/>
      <c r="E1387" s="407"/>
      <c r="F1387" s="407"/>
      <c r="G1387" s="407"/>
      <c r="H1387" s="437"/>
      <c r="I1387" s="408" t="s">
        <v>446</v>
      </c>
      <c r="J1387" s="409" t="str">
        <f t="shared" si="259"/>
        <v>UND= Cant de elementos</v>
      </c>
      <c r="K1387" s="410" t="str">
        <f t="shared" si="268"/>
        <v>UND</v>
      </c>
      <c r="L1387" s="411"/>
      <c r="M1387" s="412"/>
      <c r="N1387" s="442"/>
      <c r="O1387" s="442"/>
      <c r="P1387" s="413"/>
      <c r="Q1387" s="411"/>
      <c r="R1387" s="413" t="str">
        <f t="shared" si="262"/>
        <v/>
      </c>
      <c r="S1387" s="414">
        <f>+HLOOKUP(A1387,[238]Hoja1!$2:$78,69,FALSE)</f>
        <v>0</v>
      </c>
      <c r="X1387" s="458">
        <f t="shared" si="265"/>
        <v>0</v>
      </c>
      <c r="Y1387" s="471">
        <f t="shared" si="266"/>
        <v>0</v>
      </c>
    </row>
    <row r="1388" spans="1:25" ht="25.5">
      <c r="A1388" s="383">
        <v>36</v>
      </c>
      <c r="C1388" s="406"/>
      <c r="D1388" s="407"/>
      <c r="E1388" s="407"/>
      <c r="F1388" s="407"/>
      <c r="G1388" s="407"/>
      <c r="H1388" s="407"/>
      <c r="I1388" s="408" t="s">
        <v>447</v>
      </c>
      <c r="J1388" s="409" t="str">
        <f t="shared" si="259"/>
        <v>UND= Cant de elementos</v>
      </c>
      <c r="K1388" s="410" t="str">
        <f>+K1377</f>
        <v>UND</v>
      </c>
      <c r="L1388" s="411"/>
      <c r="M1388" s="412"/>
      <c r="N1388" s="442"/>
      <c r="O1388" s="442"/>
      <c r="P1388" s="413"/>
      <c r="Q1388" s="411"/>
      <c r="R1388" s="413" t="str">
        <f t="shared" si="262"/>
        <v/>
      </c>
      <c r="S1388" s="414">
        <f>+HLOOKUP(A1388,[238]Hoja1!$2:$78,69,FALSE)</f>
        <v>0</v>
      </c>
      <c r="X1388" s="458">
        <f t="shared" si="265"/>
        <v>0</v>
      </c>
      <c r="Y1388" s="471">
        <f t="shared" si="266"/>
        <v>0</v>
      </c>
    </row>
    <row r="1389" spans="1:25" ht="25.5">
      <c r="A1389" s="383">
        <v>37</v>
      </c>
      <c r="C1389" s="406"/>
      <c r="D1389" s="407"/>
      <c r="E1389" s="407"/>
      <c r="F1389" s="407"/>
      <c r="G1389" s="407"/>
      <c r="H1389" s="407"/>
      <c r="I1389" s="408" t="s">
        <v>448</v>
      </c>
      <c r="J1389" s="409" t="str">
        <f t="shared" si="259"/>
        <v>UND= Cant de elementos</v>
      </c>
      <c r="K1389" s="410" t="str">
        <f t="shared" ref="K1389:K1395" si="269">+K1388</f>
        <v>UND</v>
      </c>
      <c r="L1389" s="411"/>
      <c r="M1389" s="412"/>
      <c r="N1389" s="441"/>
      <c r="O1389" s="442"/>
      <c r="P1389" s="413"/>
      <c r="Q1389" s="411"/>
      <c r="R1389" s="413" t="str">
        <f t="shared" si="262"/>
        <v/>
      </c>
      <c r="S1389" s="414">
        <f>+HLOOKUP(A1389,[238]Hoja1!$2:$78,69,FALSE)</f>
        <v>0</v>
      </c>
      <c r="X1389" s="458">
        <f t="shared" si="265"/>
        <v>0</v>
      </c>
      <c r="Y1389" s="471">
        <f t="shared" si="266"/>
        <v>0</v>
      </c>
    </row>
    <row r="1390" spans="1:25" ht="25.5">
      <c r="A1390" s="383">
        <v>38</v>
      </c>
      <c r="C1390" s="406"/>
      <c r="D1390" s="440"/>
      <c r="E1390" s="407"/>
      <c r="F1390" s="407"/>
      <c r="G1390" s="407"/>
      <c r="H1390" s="437"/>
      <c r="I1390" s="408" t="s">
        <v>449</v>
      </c>
      <c r="J1390" s="409" t="str">
        <f t="shared" si="259"/>
        <v>UND= Cant de elementos</v>
      </c>
      <c r="K1390" s="410" t="str">
        <f t="shared" si="269"/>
        <v>UND</v>
      </c>
      <c r="L1390" s="411"/>
      <c r="M1390" s="412"/>
      <c r="N1390" s="442"/>
      <c r="O1390" s="442"/>
      <c r="P1390" s="413"/>
      <c r="Q1390" s="411"/>
      <c r="R1390" s="413">
        <f t="shared" si="262"/>
        <v>1</v>
      </c>
      <c r="S1390" s="414">
        <f>+HLOOKUP(A1390,[238]Hoja1!$2:$78,69,FALSE)</f>
        <v>1</v>
      </c>
      <c r="X1390" s="458">
        <f t="shared" si="265"/>
        <v>0</v>
      </c>
      <c r="Y1390" s="471">
        <f t="shared" si="266"/>
        <v>0</v>
      </c>
    </row>
    <row r="1391" spans="1:25" ht="25.5">
      <c r="A1391" s="383">
        <v>39</v>
      </c>
      <c r="C1391" s="406"/>
      <c r="D1391" s="407"/>
      <c r="E1391" s="407"/>
      <c r="F1391" s="407"/>
      <c r="G1391" s="407"/>
      <c r="H1391" s="407"/>
      <c r="I1391" s="408" t="s">
        <v>450</v>
      </c>
      <c r="J1391" s="409" t="str">
        <f t="shared" si="259"/>
        <v>UND= Cant de elementos</v>
      </c>
      <c r="K1391" s="410" t="str">
        <f t="shared" si="269"/>
        <v>UND</v>
      </c>
      <c r="L1391" s="411"/>
      <c r="M1391" s="412"/>
      <c r="N1391" s="441"/>
      <c r="O1391" s="442"/>
      <c r="P1391" s="413"/>
      <c r="Q1391" s="411"/>
      <c r="R1391" s="413" t="str">
        <f t="shared" si="262"/>
        <v/>
      </c>
      <c r="S1391" s="414">
        <f>+HLOOKUP(A1391,[238]Hoja1!$2:$78,69,FALSE)</f>
        <v>0</v>
      </c>
      <c r="X1391" s="458">
        <f t="shared" si="265"/>
        <v>0</v>
      </c>
      <c r="Y1391" s="471">
        <f t="shared" si="266"/>
        <v>0</v>
      </c>
    </row>
    <row r="1392" spans="1:25" ht="25.5">
      <c r="A1392" s="383">
        <v>40</v>
      </c>
      <c r="C1392" s="406"/>
      <c r="D1392" s="407"/>
      <c r="E1392" s="407"/>
      <c r="F1392" s="407"/>
      <c r="G1392" s="407"/>
      <c r="H1392" s="407"/>
      <c r="I1392" s="408" t="s">
        <v>451</v>
      </c>
      <c r="J1392" s="409" t="str">
        <f t="shared" si="259"/>
        <v>UND= Cant de elementos</v>
      </c>
      <c r="K1392" s="410" t="str">
        <f t="shared" si="269"/>
        <v>UND</v>
      </c>
      <c r="L1392" s="411"/>
      <c r="M1392" s="412"/>
      <c r="N1392" s="442"/>
      <c r="O1392" s="442"/>
      <c r="P1392" s="413"/>
      <c r="Q1392" s="411"/>
      <c r="R1392" s="413" t="str">
        <f t="shared" si="262"/>
        <v/>
      </c>
      <c r="S1392" s="414">
        <f>+HLOOKUP(A1392,[238]Hoja1!$2:$78,69,FALSE)</f>
        <v>0</v>
      </c>
      <c r="X1392" s="458">
        <f t="shared" si="265"/>
        <v>0</v>
      </c>
      <c r="Y1392" s="471">
        <f t="shared" si="266"/>
        <v>0</v>
      </c>
    </row>
    <row r="1393" spans="1:25" ht="25.5">
      <c r="A1393" s="383">
        <v>41</v>
      </c>
      <c r="C1393" s="406"/>
      <c r="D1393" s="407"/>
      <c r="E1393" s="407"/>
      <c r="F1393" s="407"/>
      <c r="G1393" s="407"/>
      <c r="H1393" s="407"/>
      <c r="I1393" s="408" t="s">
        <v>452</v>
      </c>
      <c r="J1393" s="409" t="str">
        <f t="shared" si="259"/>
        <v>UND= Cant de elementos</v>
      </c>
      <c r="K1393" s="410" t="str">
        <f t="shared" si="269"/>
        <v>UND</v>
      </c>
      <c r="L1393" s="411"/>
      <c r="M1393" s="412"/>
      <c r="N1393" s="442"/>
      <c r="O1393" s="442"/>
      <c r="P1393" s="413"/>
      <c r="Q1393" s="411"/>
      <c r="R1393" s="413">
        <f t="shared" si="262"/>
        <v>1</v>
      </c>
      <c r="S1393" s="414">
        <f>+HLOOKUP(A1393,[238]Hoja1!$2:$78,69,FALSE)</f>
        <v>1</v>
      </c>
      <c r="X1393" s="458">
        <f t="shared" si="265"/>
        <v>0</v>
      </c>
      <c r="Y1393" s="471">
        <f t="shared" si="266"/>
        <v>0</v>
      </c>
    </row>
    <row r="1394" spans="1:25" ht="25.5">
      <c r="A1394" s="383">
        <v>42</v>
      </c>
      <c r="C1394" s="406"/>
      <c r="D1394" s="407"/>
      <c r="E1394" s="407"/>
      <c r="F1394" s="407"/>
      <c r="G1394" s="407"/>
      <c r="H1394" s="407"/>
      <c r="I1394" s="408" t="s">
        <v>453</v>
      </c>
      <c r="J1394" s="409" t="str">
        <f t="shared" si="259"/>
        <v>UND= Cant de elementos</v>
      </c>
      <c r="K1394" s="410" t="str">
        <f t="shared" si="269"/>
        <v>UND</v>
      </c>
      <c r="L1394" s="411"/>
      <c r="M1394" s="412"/>
      <c r="N1394" s="442"/>
      <c r="O1394" s="442"/>
      <c r="P1394" s="413"/>
      <c r="Q1394" s="411"/>
      <c r="R1394" s="413" t="str">
        <f t="shared" si="262"/>
        <v/>
      </c>
      <c r="S1394" s="414">
        <f>+HLOOKUP(A1394,[238]Hoja1!$2:$78,69,FALSE)</f>
        <v>0</v>
      </c>
      <c r="X1394" s="458">
        <f t="shared" si="265"/>
        <v>0</v>
      </c>
      <c r="Y1394" s="471">
        <f t="shared" si="266"/>
        <v>0</v>
      </c>
    </row>
    <row r="1395" spans="1:25" ht="26.25" thickBot="1">
      <c r="A1395" s="383">
        <v>43</v>
      </c>
      <c r="C1395" s="406"/>
      <c r="D1395" s="407"/>
      <c r="E1395" s="407"/>
      <c r="F1395" s="407"/>
      <c r="G1395" s="407"/>
      <c r="H1395" s="407"/>
      <c r="I1395" s="408" t="s">
        <v>454</v>
      </c>
      <c r="J1395" s="409" t="str">
        <f t="shared" si="259"/>
        <v>UND= Cant de elementos</v>
      </c>
      <c r="K1395" s="410" t="str">
        <f t="shared" si="269"/>
        <v>UND</v>
      </c>
      <c r="L1395" s="411"/>
      <c r="M1395" s="412"/>
      <c r="N1395" s="442"/>
      <c r="O1395" s="442"/>
      <c r="P1395" s="413"/>
      <c r="Q1395" s="411"/>
      <c r="R1395" s="413" t="str">
        <f t="shared" si="262"/>
        <v/>
      </c>
      <c r="S1395" s="414">
        <f>+HLOOKUP(A1395,[238]Hoja1!$2:$78,69,FALSE)</f>
        <v>0</v>
      </c>
      <c r="X1395" s="458">
        <f t="shared" si="265"/>
        <v>0</v>
      </c>
      <c r="Y1395" s="471">
        <f t="shared" si="266"/>
        <v>0</v>
      </c>
    </row>
    <row r="1396" spans="1:25">
      <c r="C1396" s="384"/>
      <c r="D1396" s="419"/>
      <c r="E1396" s="420"/>
      <c r="F1396" s="421"/>
      <c r="G1396" s="421"/>
      <c r="H1396" s="421"/>
      <c r="I1396" s="421"/>
      <c r="J1396" s="422"/>
      <c r="K1396" s="421"/>
      <c r="L1396" s="421"/>
      <c r="M1396" s="421"/>
      <c r="N1396" s="421"/>
      <c r="O1396" s="421"/>
      <c r="P1396" s="421"/>
      <c r="Q1396" s="421"/>
      <c r="R1396" s="422"/>
      <c r="S1396" s="423"/>
    </row>
    <row r="1397" spans="1:25">
      <c r="C1397" s="396"/>
      <c r="D1397" s="397"/>
      <c r="E1397" s="424"/>
      <c r="F1397" s="425"/>
      <c r="G1397" s="425"/>
      <c r="H1397" s="425"/>
      <c r="I1397" s="425"/>
      <c r="J1397" s="398"/>
      <c r="K1397" s="425"/>
      <c r="L1397" s="425"/>
      <c r="M1397" s="397"/>
      <c r="N1397" s="397"/>
      <c r="O1397" s="562" t="s">
        <v>455</v>
      </c>
      <c r="P1397" s="563"/>
      <c r="Q1397" s="564"/>
      <c r="R1397" s="426"/>
      <c r="S1397" s="427">
        <f>ROUND(SUM(S1353:S1396),2)</f>
        <v>11</v>
      </c>
    </row>
    <row r="1398" spans="1:25">
      <c r="C1398" s="396"/>
      <c r="D1398" s="397"/>
      <c r="E1398" s="424"/>
      <c r="F1398" s="425"/>
      <c r="G1398" s="425"/>
      <c r="H1398" s="425"/>
      <c r="I1398" s="425"/>
      <c r="J1398" s="398"/>
      <c r="K1398" s="425"/>
      <c r="L1398" s="425"/>
      <c r="M1398" s="428"/>
      <c r="N1398" s="428"/>
      <c r="O1398" s="429"/>
      <c r="P1398" s="425"/>
      <c r="Q1398" s="425"/>
      <c r="R1398" s="430"/>
      <c r="S1398" s="431"/>
    </row>
    <row r="1399" spans="1:25">
      <c r="C1399" s="565" t="e">
        <v>#REF!</v>
      </c>
      <c r="D1399" s="566"/>
      <c r="E1399" s="566"/>
      <c r="F1399" s="566"/>
      <c r="G1399" s="566"/>
      <c r="H1399" s="566"/>
      <c r="I1399" s="566"/>
      <c r="J1399" s="566"/>
      <c r="K1399" s="566"/>
      <c r="L1399" s="566"/>
      <c r="M1399" s="566"/>
      <c r="N1399" s="567"/>
      <c r="O1399" s="568" t="s">
        <v>422</v>
      </c>
      <c r="P1399" s="568"/>
      <c r="Q1399" s="568"/>
      <c r="R1399" s="426"/>
      <c r="S1399" s="427">
        <f>S1397</f>
        <v>11</v>
      </c>
    </row>
    <row r="1400" spans="1:25">
      <c r="C1400" s="396"/>
      <c r="D1400" s="397"/>
      <c r="E1400" s="424"/>
      <c r="F1400" s="425"/>
      <c r="G1400" s="425"/>
      <c r="H1400" s="425"/>
      <c r="I1400" s="425"/>
      <c r="J1400" s="398"/>
      <c r="K1400" s="425"/>
      <c r="L1400" s="425"/>
      <c r="M1400" s="428"/>
      <c r="N1400" s="428"/>
      <c r="O1400" s="429"/>
      <c r="P1400" s="425"/>
      <c r="Q1400" s="398"/>
      <c r="R1400" s="398"/>
      <c r="S1400" s="432"/>
    </row>
    <row r="1401" spans="1:25">
      <c r="C1401" s="396"/>
      <c r="D1401" s="397"/>
      <c r="E1401" s="424"/>
      <c r="F1401" s="425"/>
      <c r="G1401" s="425"/>
      <c r="H1401" s="425"/>
      <c r="I1401" s="425"/>
      <c r="J1401" s="398"/>
      <c r="K1401" s="425"/>
      <c r="L1401" s="425"/>
      <c r="M1401" s="428"/>
      <c r="N1401" s="428"/>
      <c r="O1401" s="429"/>
      <c r="P1401" s="425"/>
      <c r="Q1401" s="398"/>
      <c r="R1401" s="398"/>
      <c r="S1401" s="432"/>
    </row>
    <row r="1402" spans="1:25">
      <c r="C1402" s="569" t="s">
        <v>423</v>
      </c>
      <c r="D1402" s="570"/>
      <c r="E1402" s="570"/>
      <c r="F1402" s="570"/>
      <c r="G1402" s="570"/>
      <c r="H1402" s="570"/>
      <c r="I1402" s="570"/>
      <c r="J1402" s="571"/>
      <c r="K1402" s="433" t="s">
        <v>424</v>
      </c>
      <c r="L1402" s="434"/>
      <c r="M1402" s="434"/>
      <c r="N1402" s="434"/>
      <c r="O1402" s="434"/>
      <c r="P1402" s="434"/>
      <c r="Q1402" s="434"/>
      <c r="R1402" s="434"/>
      <c r="S1402" s="435"/>
    </row>
    <row r="1403" spans="1:25">
      <c r="C1403" s="542"/>
      <c r="D1403" s="543"/>
      <c r="E1403" s="543"/>
      <c r="F1403" s="543"/>
      <c r="G1403" s="436"/>
      <c r="H1403" s="436"/>
      <c r="I1403" s="436"/>
      <c r="J1403" s="447"/>
      <c r="K1403" s="436"/>
      <c r="L1403" s="407"/>
      <c r="M1403" s="407"/>
      <c r="N1403" s="407"/>
      <c r="O1403" s="407"/>
      <c r="P1403" s="407"/>
      <c r="Q1403" s="407"/>
      <c r="R1403" s="407"/>
      <c r="S1403" s="437"/>
    </row>
    <row r="1404" spans="1:25">
      <c r="C1404" s="542"/>
      <c r="D1404" s="543"/>
      <c r="E1404" s="543"/>
      <c r="F1404" s="543"/>
      <c r="G1404" s="436"/>
      <c r="H1404" s="436"/>
      <c r="I1404" s="436"/>
      <c r="J1404" s="447"/>
      <c r="K1404" s="436"/>
      <c r="L1404" s="407"/>
      <c r="M1404" s="407"/>
      <c r="N1404" s="407"/>
      <c r="O1404" s="407"/>
      <c r="P1404" s="407"/>
      <c r="Q1404" s="407"/>
      <c r="R1404" s="407"/>
      <c r="S1404" s="437"/>
    </row>
    <row r="1405" spans="1:25">
      <c r="C1405" s="542" t="s">
        <v>425</v>
      </c>
      <c r="D1405" s="543"/>
      <c r="E1405" s="543" t="s">
        <v>425</v>
      </c>
      <c r="F1405" s="543"/>
      <c r="G1405" s="543" t="s">
        <v>425</v>
      </c>
      <c r="H1405" s="543"/>
      <c r="I1405" s="543" t="s">
        <v>425</v>
      </c>
      <c r="J1405" s="544"/>
      <c r="K1405" s="545" t="s">
        <v>426</v>
      </c>
      <c r="L1405" s="546"/>
      <c r="M1405" s="546"/>
      <c r="N1405" s="546"/>
      <c r="O1405" s="546"/>
      <c r="P1405" s="546"/>
      <c r="Q1405" s="546"/>
      <c r="R1405" s="546"/>
      <c r="S1405" s="547"/>
    </row>
    <row r="1406" spans="1:25">
      <c r="C1406" s="548" t="str">
        <f>+[42]DATOS!D$8</f>
        <v>HELMER EDUARDO BECERRA SANTANDER</v>
      </c>
      <c r="D1406" s="549"/>
      <c r="E1406" s="549" t="s">
        <v>427</v>
      </c>
      <c r="F1406" s="549"/>
      <c r="G1406" s="549" t="s">
        <v>427</v>
      </c>
      <c r="H1406" s="549"/>
      <c r="I1406" s="549" t="s">
        <v>427</v>
      </c>
      <c r="J1406" s="550"/>
      <c r="K1406" s="551" t="str">
        <f>+[42]DATOS!D$11</f>
        <v>JESUS IVAN QUIÑONES RUEDA</v>
      </c>
      <c r="L1406" s="549"/>
      <c r="M1406" s="549"/>
      <c r="N1406" s="549"/>
      <c r="O1406" s="549"/>
      <c r="P1406" s="549"/>
      <c r="Q1406" s="549"/>
      <c r="R1406" s="549"/>
      <c r="S1406" s="552"/>
    </row>
    <row r="1407" spans="1:25">
      <c r="C1407" s="553" t="str">
        <f>+$C$72</f>
        <v>APOYO SEC. DE PLANEACION Y OBRAS PÚBLICAS</v>
      </c>
      <c r="D1407" s="554"/>
      <c r="E1407" s="554" t="s">
        <v>428</v>
      </c>
      <c r="F1407" s="554"/>
      <c r="G1407" s="554" t="s">
        <v>428</v>
      </c>
      <c r="H1407" s="554"/>
      <c r="I1407" s="554" t="s">
        <v>428</v>
      </c>
      <c r="J1407" s="555"/>
      <c r="K1407" s="556" t="str">
        <f>+$K$72</f>
        <v>SECRETARIO DE PLANEACION Y OBRAS PÚBLICAS</v>
      </c>
      <c r="L1407" s="554"/>
      <c r="M1407" s="554"/>
      <c r="N1407" s="554"/>
      <c r="O1407" s="554"/>
      <c r="P1407" s="554"/>
      <c r="Q1407" s="554"/>
      <c r="R1407" s="554"/>
      <c r="S1407" s="557"/>
    </row>
    <row r="1408" spans="1:25">
      <c r="C1408" s="406"/>
      <c r="D1408" s="407"/>
      <c r="E1408" s="407"/>
      <c r="F1408" s="407"/>
      <c r="G1408" s="407"/>
      <c r="H1408" s="407"/>
      <c r="I1408" s="407"/>
      <c r="J1408" s="407"/>
      <c r="K1408" s="407"/>
      <c r="L1408" s="407"/>
      <c r="M1408" s="407"/>
      <c r="N1408" s="407"/>
      <c r="O1408" s="407"/>
      <c r="P1408" s="407"/>
      <c r="Q1408" s="407"/>
      <c r="R1408" s="407"/>
      <c r="S1408" s="437"/>
    </row>
    <row r="1409" spans="3:19" ht="111" customHeight="1" thickBot="1">
      <c r="C1409" s="417"/>
      <c r="D1409" s="418"/>
      <c r="E1409" s="418"/>
      <c r="F1409" s="418"/>
      <c r="G1409" s="418"/>
      <c r="H1409" s="418"/>
      <c r="I1409" s="418"/>
      <c r="J1409" s="418"/>
      <c r="K1409" s="418"/>
      <c r="L1409" s="418"/>
      <c r="M1409" s="418"/>
      <c r="N1409" s="418"/>
      <c r="O1409" s="418"/>
      <c r="P1409" s="418"/>
      <c r="Q1409" s="418"/>
      <c r="R1409" s="418"/>
      <c r="S1409" s="438"/>
    </row>
    <row r="1410" spans="3:19" ht="22.5" customHeight="1"/>
    <row r="1411" spans="3:19" ht="13.5" thickBot="1"/>
    <row r="1412" spans="3:19">
      <c r="C1412" s="384"/>
      <c r="D1412" s="385"/>
      <c r="E1412" s="385"/>
      <c r="F1412" s="385"/>
      <c r="G1412" s="385"/>
      <c r="H1412" s="385"/>
      <c r="I1412" s="385"/>
      <c r="J1412" s="445"/>
      <c r="K1412" s="385"/>
      <c r="L1412" s="385"/>
      <c r="M1412" s="385"/>
      <c r="N1412" s="385"/>
      <c r="O1412" s="385"/>
      <c r="P1412" s="385"/>
      <c r="Q1412" s="385"/>
      <c r="R1412" s="385"/>
      <c r="S1412" s="386"/>
    </row>
    <row r="1413" spans="3:19" ht="121.5" customHeight="1" thickBot="1">
      <c r="C1413" s="387"/>
      <c r="D1413" s="388"/>
      <c r="E1413" s="388"/>
      <c r="F1413" s="388"/>
      <c r="G1413" s="388"/>
      <c r="H1413" s="388"/>
      <c r="I1413" s="388"/>
      <c r="J1413" s="446"/>
      <c r="K1413" s="388"/>
      <c r="L1413" s="388"/>
      <c r="M1413" s="388"/>
      <c r="N1413" s="388"/>
      <c r="O1413" s="388"/>
      <c r="P1413" s="388"/>
      <c r="Q1413" s="388"/>
      <c r="R1413" s="388"/>
      <c r="S1413" s="389"/>
    </row>
    <row r="1414" spans="3:19">
      <c r="C1414" s="592" t="str">
        <f>+[42]DATOS!C$7</f>
        <v>MEJORAMIENTO DE VIVIENDA CON ENFOQUE DIFERENCIAL PARA POBLACIÓN VULNERABLE EN EL MUNICIPIO DE CUBARÁ, BOYACÁ (2026).</v>
      </c>
      <c r="D1414" s="593"/>
      <c r="E1414" s="593"/>
      <c r="F1414" s="593"/>
      <c r="G1414" s="593"/>
      <c r="H1414" s="593"/>
      <c r="I1414" s="593"/>
      <c r="J1414" s="593"/>
      <c r="K1414" s="593"/>
      <c r="L1414" s="593"/>
      <c r="M1414" s="593"/>
      <c r="N1414" s="593"/>
      <c r="O1414" s="593"/>
      <c r="P1414" s="593"/>
      <c r="Q1414" s="593"/>
      <c r="R1414" s="593"/>
      <c r="S1414" s="594"/>
    </row>
    <row r="1415" spans="3:19">
      <c r="C1415" s="595"/>
      <c r="D1415" s="596"/>
      <c r="E1415" s="596"/>
      <c r="F1415" s="596"/>
      <c r="G1415" s="596"/>
      <c r="H1415" s="596"/>
      <c r="I1415" s="596"/>
      <c r="J1415" s="596"/>
      <c r="K1415" s="596"/>
      <c r="L1415" s="596"/>
      <c r="M1415" s="596"/>
      <c r="N1415" s="596"/>
      <c r="O1415" s="596"/>
      <c r="P1415" s="596"/>
      <c r="Q1415" s="596"/>
      <c r="R1415" s="596"/>
      <c r="S1415" s="597"/>
    </row>
    <row r="1416" spans="3:19">
      <c r="C1416" s="598" t="s">
        <v>371</v>
      </c>
      <c r="D1416" s="599"/>
      <c r="E1416" s="599"/>
      <c r="F1416" s="599"/>
      <c r="G1416" s="599"/>
      <c r="H1416" s="599"/>
      <c r="I1416" s="599"/>
      <c r="J1416" s="599"/>
      <c r="K1416" s="599"/>
      <c r="L1416" s="599"/>
      <c r="M1416" s="599"/>
      <c r="N1416" s="599"/>
      <c r="O1416" s="599"/>
      <c r="P1416" s="599"/>
      <c r="Q1416" s="599"/>
      <c r="R1416" s="599"/>
      <c r="S1416" s="600"/>
    </row>
    <row r="1417" spans="3:19">
      <c r="C1417" s="586" t="s">
        <v>372</v>
      </c>
      <c r="D1417" s="587"/>
      <c r="E1417" s="601" t="s">
        <v>373</v>
      </c>
      <c r="F1417" s="601"/>
      <c r="G1417" s="601"/>
      <c r="H1417" s="601"/>
      <c r="I1417" s="601"/>
      <c r="J1417" s="601"/>
      <c r="K1417" s="601"/>
      <c r="L1417" s="601"/>
      <c r="M1417" s="601"/>
      <c r="N1417" s="601"/>
      <c r="O1417" s="601"/>
      <c r="P1417" s="601"/>
      <c r="Q1417" s="601"/>
      <c r="R1417" s="601"/>
      <c r="S1417" s="602"/>
    </row>
    <row r="1418" spans="3:19">
      <c r="C1418" s="586" t="s">
        <v>374</v>
      </c>
      <c r="D1418" s="587"/>
      <c r="E1418" s="603" t="s">
        <v>375</v>
      </c>
      <c r="F1418" s="604"/>
      <c r="G1418" s="604"/>
      <c r="H1418" s="604"/>
      <c r="I1418" s="604"/>
      <c r="J1418" s="604"/>
      <c r="K1418" s="604"/>
      <c r="L1418" s="604"/>
      <c r="M1418" s="604"/>
      <c r="N1418" s="604"/>
      <c r="O1418" s="604"/>
      <c r="P1418" s="604"/>
      <c r="Q1418" s="604"/>
      <c r="R1418" s="604"/>
      <c r="S1418" s="605"/>
    </row>
    <row r="1419" spans="3:19">
      <c r="C1419" s="586" t="s">
        <v>376</v>
      </c>
      <c r="D1419" s="587"/>
      <c r="E1419" s="390">
        <f>+[42]DATOS!F$5</f>
        <v>46143</v>
      </c>
      <c r="F1419" s="391"/>
      <c r="G1419" s="391"/>
      <c r="H1419" s="391"/>
      <c r="I1419" s="391"/>
      <c r="J1419" s="391"/>
      <c r="K1419" s="568" t="s">
        <v>377</v>
      </c>
      <c r="L1419" s="568"/>
      <c r="M1419" s="588" t="s">
        <v>378</v>
      </c>
      <c r="N1419" s="588"/>
      <c r="O1419" s="588"/>
      <c r="P1419" s="588"/>
      <c r="Q1419" s="588"/>
      <c r="R1419" s="588"/>
      <c r="S1419" s="589"/>
    </row>
    <row r="1420" spans="3:19" ht="25.5">
      <c r="C1420" s="586" t="s">
        <v>379</v>
      </c>
      <c r="D1420" s="587"/>
      <c r="E1420" s="590" t="s">
        <v>380</v>
      </c>
      <c r="F1420" s="591"/>
      <c r="G1420" s="392">
        <f>+[42]DATOS!E$5</f>
        <v>2026</v>
      </c>
      <c r="H1420" s="393" t="s">
        <v>381</v>
      </c>
      <c r="I1420" s="394">
        <f>+[42]DATOS!E$5</f>
        <v>2026</v>
      </c>
      <c r="J1420" s="395"/>
      <c r="K1420" s="568" t="s">
        <v>382</v>
      </c>
      <c r="L1420" s="568"/>
      <c r="M1420" s="588" t="s">
        <v>383</v>
      </c>
      <c r="N1420" s="588"/>
      <c r="O1420" s="588"/>
      <c r="P1420" s="588"/>
      <c r="Q1420" s="588"/>
      <c r="R1420" s="588"/>
      <c r="S1420" s="589"/>
    </row>
    <row r="1421" spans="3:19">
      <c r="C1421" s="396"/>
      <c r="D1421" s="397"/>
      <c r="E1421" s="397"/>
      <c r="F1421" s="398"/>
      <c r="G1421" s="398"/>
      <c r="H1421" s="398"/>
      <c r="I1421" s="398"/>
      <c r="J1421" s="398"/>
      <c r="K1421" s="398"/>
      <c r="L1421" s="398"/>
      <c r="M1421" s="398"/>
      <c r="N1421" s="398"/>
      <c r="O1421" s="398"/>
      <c r="P1421" s="398"/>
      <c r="Q1421" s="398"/>
      <c r="R1421" s="398"/>
      <c r="S1421" s="399"/>
    </row>
    <row r="1422" spans="3:19">
      <c r="C1422" s="572" t="s">
        <v>384</v>
      </c>
      <c r="D1422" s="573"/>
      <c r="E1422" s="573"/>
      <c r="F1422" s="573"/>
      <c r="G1422" s="573"/>
      <c r="H1422" s="573"/>
      <c r="I1422" s="573"/>
      <c r="J1422" s="573"/>
      <c r="K1422" s="573"/>
      <c r="L1422" s="573"/>
      <c r="M1422" s="573"/>
      <c r="N1422" s="573"/>
      <c r="O1422" s="573"/>
      <c r="P1422" s="573"/>
      <c r="Q1422" s="573"/>
      <c r="R1422" s="573"/>
      <c r="S1422" s="574"/>
    </row>
    <row r="1423" spans="3:19">
      <c r="C1423" s="396"/>
      <c r="D1423" s="397"/>
      <c r="E1423" s="397"/>
      <c r="F1423" s="398"/>
      <c r="G1423" s="398"/>
      <c r="H1423" s="398"/>
      <c r="I1423" s="398"/>
      <c r="J1423" s="398"/>
      <c r="K1423" s="398"/>
      <c r="L1423" s="398"/>
      <c r="M1423" s="398"/>
      <c r="N1423" s="398"/>
      <c r="O1423" s="398"/>
      <c r="P1423" s="398"/>
      <c r="Q1423" s="398"/>
      <c r="R1423" s="398"/>
      <c r="S1423" s="399"/>
    </row>
    <row r="1424" spans="3:19">
      <c r="C1424" s="400" t="s">
        <v>385</v>
      </c>
      <c r="D1424" s="575" t="s">
        <v>386</v>
      </c>
      <c r="E1424" s="575"/>
      <c r="F1424" s="576" t="s">
        <v>387</v>
      </c>
      <c r="G1424" s="577"/>
      <c r="H1424" s="577"/>
      <c r="I1424" s="576" t="s">
        <v>388</v>
      </c>
      <c r="J1424" s="576" t="s">
        <v>389</v>
      </c>
      <c r="K1424" s="579"/>
      <c r="L1424" s="581" t="s">
        <v>390</v>
      </c>
      <c r="M1424" s="581"/>
      <c r="N1424" s="581"/>
      <c r="O1424" s="581"/>
      <c r="P1424" s="581"/>
      <c r="Q1424" s="581"/>
      <c r="R1424" s="581" t="s">
        <v>391</v>
      </c>
      <c r="S1424" s="582"/>
    </row>
    <row r="1425" spans="1:25" ht="38.25">
      <c r="C1425" s="403">
        <f>+'PRESUPUESTO OFICIAL '!C90</f>
        <v>8.02</v>
      </c>
      <c r="D1425" s="583" t="str">
        <f>+VLOOKUP(C1425,'PRESUPUESTO OFICIAL '!$C$11:$H$103,2)</f>
        <v>SUMINISTRO E INSTALACIÓN DE LAVAMANOS COLOR BLANCO DE COLGAR INCLUYE ELEMENTOS DE FIJACIÓN</v>
      </c>
      <c r="E1425" s="584"/>
      <c r="F1425" s="585" t="str">
        <f>+VLOOKUP(C1425,'PRESUPUESTO OFICIAL '!$C$11:$H$103,3)</f>
        <v>UND</v>
      </c>
      <c r="G1425" s="585"/>
      <c r="H1425" s="585"/>
      <c r="I1425" s="578"/>
      <c r="J1425" s="578"/>
      <c r="K1425" s="580"/>
      <c r="L1425" s="401" t="s">
        <v>392</v>
      </c>
      <c r="M1425" s="401" t="s">
        <v>393</v>
      </c>
      <c r="N1425" s="401" t="s">
        <v>394</v>
      </c>
      <c r="O1425" s="401" t="s">
        <v>395</v>
      </c>
      <c r="P1425" s="401" t="s">
        <v>396</v>
      </c>
      <c r="Q1425" s="401" t="s">
        <v>397</v>
      </c>
      <c r="R1425" s="401" t="s">
        <v>398</v>
      </c>
      <c r="S1425" s="402" t="s">
        <v>399</v>
      </c>
      <c r="U1425" s="404">
        <f>+C1425</f>
        <v>8.02</v>
      </c>
      <c r="V1425" s="405">
        <f>+S1473</f>
        <v>11</v>
      </c>
    </row>
    <row r="1426" spans="1:25">
      <c r="C1426" s="406"/>
      <c r="D1426" s="407"/>
      <c r="E1426" s="407"/>
      <c r="F1426" s="407"/>
      <c r="G1426" s="407"/>
      <c r="H1426" s="407"/>
      <c r="I1426" s="558"/>
      <c r="J1426" s="559"/>
      <c r="K1426" s="560"/>
      <c r="L1426" s="560"/>
      <c r="M1426" s="560"/>
      <c r="N1426" s="560"/>
      <c r="O1426" s="560"/>
      <c r="P1426" s="560"/>
      <c r="Q1426" s="560"/>
      <c r="R1426" s="560"/>
      <c r="S1426" s="561"/>
    </row>
    <row r="1427" spans="1:25" ht="25.5">
      <c r="A1427" s="383">
        <v>1</v>
      </c>
      <c r="C1427" s="406"/>
      <c r="D1427" s="407"/>
      <c r="E1427" s="407"/>
      <c r="F1427" s="407"/>
      <c r="G1427" s="407"/>
      <c r="H1427" s="407"/>
      <c r="I1427" s="408" t="s">
        <v>400</v>
      </c>
      <c r="J1427" s="409" t="str">
        <f t="shared" ref="J1427:J1469" si="270">+VLOOKUP(K1427,$AH$22:$AJ$58,2,)</f>
        <v>UND= Cant de elementos</v>
      </c>
      <c r="K1427" s="410" t="str">
        <f>+F1425</f>
        <v>UND</v>
      </c>
      <c r="L1427" s="411"/>
      <c r="M1427" s="412"/>
      <c r="N1427" s="442"/>
      <c r="O1427" s="442"/>
      <c r="P1427" s="413"/>
      <c r="Q1427" s="411"/>
      <c r="R1427" s="413" t="str">
        <f>IF(S1427=0,"",S1427)</f>
        <v/>
      </c>
      <c r="S1427" s="414">
        <f>+HLOOKUP(A1427,[238]Hoja1!$2:$78,70,FALSE)</f>
        <v>0</v>
      </c>
      <c r="X1427" s="458">
        <f t="shared" ref="X1427" si="271">+N1427*O1427*P1427</f>
        <v>0</v>
      </c>
      <c r="Y1427" s="471">
        <f t="shared" ref="Y1427" si="272">+X1427-Q1427</f>
        <v>0</v>
      </c>
    </row>
    <row r="1428" spans="1:25" ht="25.5">
      <c r="A1428" s="383">
        <v>2</v>
      </c>
      <c r="C1428" s="406"/>
      <c r="D1428" s="407"/>
      <c r="E1428" s="407"/>
      <c r="F1428" s="407"/>
      <c r="G1428" s="407"/>
      <c r="H1428" s="407"/>
      <c r="I1428" s="408" t="s">
        <v>401</v>
      </c>
      <c r="J1428" s="409" t="str">
        <f t="shared" si="270"/>
        <v>UND= Cant de elementos</v>
      </c>
      <c r="K1428" s="410" t="str">
        <f>+K1427</f>
        <v>UND</v>
      </c>
      <c r="L1428" s="411"/>
      <c r="M1428" s="412"/>
      <c r="N1428" s="442"/>
      <c r="O1428" s="442"/>
      <c r="P1428" s="413"/>
      <c r="Q1428" s="411"/>
      <c r="R1428" s="413">
        <f t="shared" ref="R1428:R1469" si="273">IF(S1428=0,"",S1428)</f>
        <v>1</v>
      </c>
      <c r="S1428" s="414">
        <f>+HLOOKUP(A1428,[238]Hoja1!$2:$78,70,FALSE)</f>
        <v>1</v>
      </c>
      <c r="X1428" s="458">
        <f>+L1428*P1428</f>
        <v>0</v>
      </c>
      <c r="Y1428" s="471">
        <f>+X1428-Q1428</f>
        <v>0</v>
      </c>
    </row>
    <row r="1429" spans="1:25" ht="25.5">
      <c r="A1429" s="383">
        <v>3</v>
      </c>
      <c r="C1429" s="406"/>
      <c r="D1429" s="407"/>
      <c r="E1429" s="407"/>
      <c r="F1429" s="407"/>
      <c r="G1429" s="407"/>
      <c r="H1429" s="407"/>
      <c r="I1429" s="408" t="s">
        <v>402</v>
      </c>
      <c r="J1429" s="409" t="str">
        <f t="shared" si="270"/>
        <v>UND= Cant de elementos</v>
      </c>
      <c r="K1429" s="410" t="str">
        <f>+K1428</f>
        <v>UND</v>
      </c>
      <c r="L1429" s="411"/>
      <c r="M1429" s="412"/>
      <c r="N1429" s="442"/>
      <c r="O1429" s="442"/>
      <c r="P1429" s="413"/>
      <c r="Q1429" s="411"/>
      <c r="R1429" s="413">
        <f t="shared" si="273"/>
        <v>1</v>
      </c>
      <c r="S1429" s="414">
        <f>+HLOOKUP(A1429,[238]Hoja1!$2:$78,70,FALSE)</f>
        <v>1</v>
      </c>
      <c r="X1429" s="458">
        <f t="shared" ref="X1429:X1431" si="274">+L1429*P1429</f>
        <v>0</v>
      </c>
      <c r="Y1429" s="471">
        <f t="shared" ref="Y1429:Y1431" si="275">+X1429-Q1429</f>
        <v>0</v>
      </c>
    </row>
    <row r="1430" spans="1:25" ht="25.5">
      <c r="A1430" s="383">
        <v>4</v>
      </c>
      <c r="C1430" s="406"/>
      <c r="D1430" s="407"/>
      <c r="F1430" s="407"/>
      <c r="G1430" s="407"/>
      <c r="H1430" s="407"/>
      <c r="I1430" s="408" t="s">
        <v>403</v>
      </c>
      <c r="J1430" s="409" t="str">
        <f t="shared" si="270"/>
        <v>UND= Cant de elementos</v>
      </c>
      <c r="K1430" s="410" t="str">
        <f>+K1429</f>
        <v>UND</v>
      </c>
      <c r="L1430" s="411"/>
      <c r="M1430" s="412"/>
      <c r="N1430" s="442"/>
      <c r="O1430" s="442"/>
      <c r="P1430" s="413"/>
      <c r="Q1430" s="411"/>
      <c r="R1430" s="413">
        <f t="shared" si="273"/>
        <v>1</v>
      </c>
      <c r="S1430" s="414">
        <f>+HLOOKUP(A1430,[238]Hoja1!$2:$78,70,FALSE)</f>
        <v>1</v>
      </c>
      <c r="X1430" s="458">
        <f t="shared" si="274"/>
        <v>0</v>
      </c>
      <c r="Y1430" s="471">
        <f t="shared" si="275"/>
        <v>0</v>
      </c>
    </row>
    <row r="1431" spans="1:25" ht="25.5">
      <c r="A1431" s="383">
        <v>5</v>
      </c>
      <c r="C1431" s="406"/>
      <c r="D1431" s="407"/>
      <c r="E1431" s="407"/>
      <c r="F1431" s="407"/>
      <c r="G1431" s="407"/>
      <c r="H1431" s="407"/>
      <c r="I1431" s="408" t="s">
        <v>405</v>
      </c>
      <c r="J1431" s="409" t="str">
        <f t="shared" si="270"/>
        <v>UND= Cant de elementos</v>
      </c>
      <c r="K1431" s="410" t="str">
        <f>+K1430</f>
        <v>UND</v>
      </c>
      <c r="L1431" s="411"/>
      <c r="M1431" s="412"/>
      <c r="N1431" s="442"/>
      <c r="O1431" s="442"/>
      <c r="P1431" s="413"/>
      <c r="Q1431" s="411"/>
      <c r="R1431" s="413">
        <f t="shared" si="273"/>
        <v>1</v>
      </c>
      <c r="S1431" s="414">
        <f>+HLOOKUP(A1431,[238]Hoja1!$2:$78,70,FALSE)</f>
        <v>1</v>
      </c>
      <c r="X1431" s="458">
        <f t="shared" si="274"/>
        <v>0</v>
      </c>
      <c r="Y1431" s="471">
        <f t="shared" si="275"/>
        <v>0</v>
      </c>
    </row>
    <row r="1432" spans="1:25" ht="25.5">
      <c r="A1432" s="383">
        <v>6</v>
      </c>
      <c r="C1432" s="406"/>
      <c r="D1432" s="407"/>
      <c r="E1432" s="407"/>
      <c r="F1432" s="407"/>
      <c r="G1432" s="407"/>
      <c r="H1432" s="407"/>
      <c r="I1432" s="408" t="s">
        <v>407</v>
      </c>
      <c r="J1432" s="409" t="str">
        <f t="shared" si="270"/>
        <v>UND= Cant de elementos</v>
      </c>
      <c r="K1432" s="410" t="str">
        <f>+K1431</f>
        <v>UND</v>
      </c>
      <c r="L1432" s="411"/>
      <c r="M1432" s="412"/>
      <c r="N1432" s="442"/>
      <c r="O1432" s="442"/>
      <c r="P1432" s="413"/>
      <c r="Q1432" s="411"/>
      <c r="R1432" s="413" t="str">
        <f t="shared" si="273"/>
        <v/>
      </c>
      <c r="S1432" s="414">
        <f>+HLOOKUP(A1432,[238]Hoja1!$2:$78,70,FALSE)</f>
        <v>0</v>
      </c>
      <c r="X1432" s="458">
        <f>+L1432*P1432</f>
        <v>0</v>
      </c>
      <c r="Y1432" s="471">
        <f>+X1432-Q1432</f>
        <v>0</v>
      </c>
    </row>
    <row r="1433" spans="1:25" ht="25.5">
      <c r="A1433" s="383">
        <v>7</v>
      </c>
      <c r="C1433" s="406"/>
      <c r="D1433" s="407"/>
      <c r="E1433" s="407"/>
      <c r="F1433" s="407"/>
      <c r="G1433" s="407"/>
      <c r="H1433" s="407"/>
      <c r="I1433" s="408" t="s">
        <v>409</v>
      </c>
      <c r="J1433" s="409" t="str">
        <f t="shared" si="270"/>
        <v>UND= Cant de elementos</v>
      </c>
      <c r="K1433" s="410" t="str">
        <f>+K1427</f>
        <v>UND</v>
      </c>
      <c r="L1433" s="411"/>
      <c r="M1433" s="412"/>
      <c r="N1433" s="442"/>
      <c r="O1433" s="442"/>
      <c r="P1433" s="413"/>
      <c r="Q1433" s="411"/>
      <c r="R1433" s="413" t="str">
        <f t="shared" si="273"/>
        <v/>
      </c>
      <c r="S1433" s="414">
        <f>+HLOOKUP(A1433,[238]Hoja1!$2:$78,70,FALSE)</f>
        <v>0</v>
      </c>
      <c r="X1433" s="458">
        <f t="shared" ref="X1433:X1469" si="276">+L1433*P1433</f>
        <v>0</v>
      </c>
      <c r="Y1433" s="471">
        <f t="shared" ref="Y1433:Y1469" si="277">+X1433-Q1433</f>
        <v>0</v>
      </c>
    </row>
    <row r="1434" spans="1:25" ht="25.5">
      <c r="A1434" s="383">
        <v>8</v>
      </c>
      <c r="C1434" s="406"/>
      <c r="D1434" s="407"/>
      <c r="E1434" s="407"/>
      <c r="F1434" s="407"/>
      <c r="G1434" s="407"/>
      <c r="H1434" s="407"/>
      <c r="I1434" s="408" t="s">
        <v>411</v>
      </c>
      <c r="J1434" s="409" t="str">
        <f t="shared" si="270"/>
        <v>UND= Cant de elementos</v>
      </c>
      <c r="K1434" s="410" t="str">
        <f>+K1433</f>
        <v>UND</v>
      </c>
      <c r="L1434" s="411"/>
      <c r="M1434" s="412"/>
      <c r="N1434" s="442"/>
      <c r="O1434" s="442"/>
      <c r="P1434" s="413"/>
      <c r="Q1434" s="411"/>
      <c r="R1434" s="413" t="str">
        <f t="shared" si="273"/>
        <v/>
      </c>
      <c r="S1434" s="414">
        <f>+HLOOKUP(A1434,[238]Hoja1!$2:$78,70,FALSE)</f>
        <v>0</v>
      </c>
      <c r="X1434" s="458">
        <f t="shared" si="276"/>
        <v>0</v>
      </c>
      <c r="Y1434" s="471">
        <f t="shared" si="277"/>
        <v>0</v>
      </c>
    </row>
    <row r="1435" spans="1:25" ht="25.5">
      <c r="A1435" s="383">
        <v>9</v>
      </c>
      <c r="C1435" s="406"/>
      <c r="D1435" s="407"/>
      <c r="E1435" s="407"/>
      <c r="F1435" s="407"/>
      <c r="G1435" s="407"/>
      <c r="H1435" s="407"/>
      <c r="I1435" s="408" t="s">
        <v>412</v>
      </c>
      <c r="J1435" s="409" t="str">
        <f t="shared" si="270"/>
        <v>UND= Cant de elementos</v>
      </c>
      <c r="K1435" s="410" t="str">
        <f>+K1434</f>
        <v>UND</v>
      </c>
      <c r="L1435" s="411"/>
      <c r="M1435" s="412"/>
      <c r="N1435" s="442"/>
      <c r="O1435" s="442"/>
      <c r="P1435" s="413"/>
      <c r="Q1435" s="411"/>
      <c r="R1435" s="413">
        <f t="shared" si="273"/>
        <v>1</v>
      </c>
      <c r="S1435" s="414">
        <f>+HLOOKUP(A1435,[238]Hoja1!$2:$78,70,FALSE)</f>
        <v>1</v>
      </c>
      <c r="X1435" s="458">
        <f t="shared" si="276"/>
        <v>0</v>
      </c>
      <c r="Y1435" s="471">
        <f t="shared" si="277"/>
        <v>0</v>
      </c>
    </row>
    <row r="1436" spans="1:25" ht="25.5">
      <c r="A1436" s="383">
        <v>10</v>
      </c>
      <c r="C1436" s="406"/>
      <c r="D1436" s="407"/>
      <c r="E1436" s="407"/>
      <c r="F1436" s="407"/>
      <c r="G1436" s="407"/>
      <c r="H1436" s="407"/>
      <c r="I1436" s="408" t="s">
        <v>413</v>
      </c>
      <c r="J1436" s="409" t="str">
        <f t="shared" si="270"/>
        <v>UND= Cant de elementos</v>
      </c>
      <c r="K1436" s="410" t="str">
        <f>+K1435</f>
        <v>UND</v>
      </c>
      <c r="L1436" s="411"/>
      <c r="M1436" s="412"/>
      <c r="N1436" s="441"/>
      <c r="O1436" s="442"/>
      <c r="P1436" s="413"/>
      <c r="Q1436" s="411"/>
      <c r="R1436" s="413" t="str">
        <f t="shared" si="273"/>
        <v/>
      </c>
      <c r="S1436" s="414">
        <f>+HLOOKUP(A1436,[238]Hoja1!$2:$78,70,FALSE)</f>
        <v>0</v>
      </c>
      <c r="X1436" s="458">
        <f t="shared" si="276"/>
        <v>0</v>
      </c>
      <c r="Y1436" s="471">
        <f t="shared" si="277"/>
        <v>0</v>
      </c>
    </row>
    <row r="1437" spans="1:25" ht="25.5">
      <c r="A1437" s="383">
        <v>11</v>
      </c>
      <c r="C1437" s="406"/>
      <c r="D1437" s="407"/>
      <c r="E1437" s="407"/>
      <c r="F1437" s="407"/>
      <c r="G1437" s="407"/>
      <c r="H1437" s="407"/>
      <c r="I1437" s="408" t="s">
        <v>414</v>
      </c>
      <c r="J1437" s="409" t="str">
        <f t="shared" si="270"/>
        <v>UND= Cant de elementos</v>
      </c>
      <c r="K1437" s="410" t="str">
        <f>+K1436</f>
        <v>UND</v>
      </c>
      <c r="L1437" s="411"/>
      <c r="M1437" s="412"/>
      <c r="N1437" s="443"/>
      <c r="O1437" s="442"/>
      <c r="P1437" s="413"/>
      <c r="Q1437" s="411"/>
      <c r="R1437" s="413" t="str">
        <f t="shared" si="273"/>
        <v/>
      </c>
      <c r="S1437" s="414">
        <f>+HLOOKUP(A1437,[238]Hoja1!$2:$78,70,FALSE)</f>
        <v>0</v>
      </c>
      <c r="X1437" s="458">
        <f t="shared" si="276"/>
        <v>0</v>
      </c>
      <c r="Y1437" s="471">
        <f t="shared" si="277"/>
        <v>0</v>
      </c>
    </row>
    <row r="1438" spans="1:25" ht="25.5">
      <c r="A1438" s="383">
        <v>12</v>
      </c>
      <c r="C1438" s="406"/>
      <c r="D1438" s="407"/>
      <c r="E1438" s="407"/>
      <c r="F1438" s="407"/>
      <c r="G1438" s="407"/>
      <c r="H1438" s="407"/>
      <c r="I1438" s="408" t="s">
        <v>415</v>
      </c>
      <c r="J1438" s="409" t="str">
        <f t="shared" si="270"/>
        <v>UND= Cant de elementos</v>
      </c>
      <c r="K1438" s="410" t="str">
        <f>+K1432</f>
        <v>UND</v>
      </c>
      <c r="L1438" s="411"/>
      <c r="M1438" s="412"/>
      <c r="N1438" s="442"/>
      <c r="O1438" s="442"/>
      <c r="P1438" s="413"/>
      <c r="Q1438" s="411"/>
      <c r="R1438" s="413" t="str">
        <f t="shared" si="273"/>
        <v/>
      </c>
      <c r="S1438" s="414">
        <f>+HLOOKUP(A1438,[238]Hoja1!$2:$78,70,FALSE)</f>
        <v>0</v>
      </c>
      <c r="X1438" s="458">
        <f t="shared" si="276"/>
        <v>0</v>
      </c>
      <c r="Y1438" s="471">
        <f t="shared" si="277"/>
        <v>0</v>
      </c>
    </row>
    <row r="1439" spans="1:25" ht="25.5">
      <c r="A1439" s="383">
        <v>13</v>
      </c>
      <c r="C1439" s="406"/>
      <c r="D1439" s="407"/>
      <c r="E1439" s="407"/>
      <c r="F1439" s="407"/>
      <c r="G1439" s="407"/>
      <c r="H1439" s="407"/>
      <c r="I1439" s="408" t="s">
        <v>416</v>
      </c>
      <c r="J1439" s="409" t="str">
        <f t="shared" si="270"/>
        <v>UND= Cant de elementos</v>
      </c>
      <c r="K1439" s="410" t="str">
        <f>+K1434</f>
        <v>UND</v>
      </c>
      <c r="L1439" s="411"/>
      <c r="M1439" s="412"/>
      <c r="N1439" s="442"/>
      <c r="O1439" s="442"/>
      <c r="P1439" s="413"/>
      <c r="Q1439" s="411"/>
      <c r="R1439" s="413" t="str">
        <f t="shared" si="273"/>
        <v/>
      </c>
      <c r="S1439" s="414">
        <f>+HLOOKUP(A1439,[238]Hoja1!$2:$78,70,FALSE)</f>
        <v>0</v>
      </c>
      <c r="X1439" s="458">
        <f t="shared" si="276"/>
        <v>0</v>
      </c>
      <c r="Y1439" s="471">
        <f t="shared" si="277"/>
        <v>0</v>
      </c>
    </row>
    <row r="1440" spans="1:25" ht="25.5">
      <c r="A1440" s="383">
        <v>14</v>
      </c>
      <c r="C1440" s="406"/>
      <c r="D1440" s="407"/>
      <c r="E1440" s="407"/>
      <c r="F1440" s="407"/>
      <c r="G1440" s="407"/>
      <c r="H1440" s="407"/>
      <c r="I1440" s="408" t="s">
        <v>417</v>
      </c>
      <c r="J1440" s="409" t="str">
        <f t="shared" si="270"/>
        <v>UND= Cant de elementos</v>
      </c>
      <c r="K1440" s="410" t="str">
        <f t="shared" ref="K1440:K1451" si="278">+K1439</f>
        <v>UND</v>
      </c>
      <c r="L1440" s="411"/>
      <c r="M1440" s="412"/>
      <c r="N1440" s="442"/>
      <c r="O1440" s="442"/>
      <c r="P1440" s="413"/>
      <c r="Q1440" s="411"/>
      <c r="R1440" s="413">
        <f t="shared" si="273"/>
        <v>1</v>
      </c>
      <c r="S1440" s="414">
        <f>+HLOOKUP(A1440,[238]Hoja1!$2:$78,70,FALSE)</f>
        <v>1</v>
      </c>
      <c r="X1440" s="458">
        <f t="shared" si="276"/>
        <v>0</v>
      </c>
      <c r="Y1440" s="471">
        <f t="shared" si="277"/>
        <v>0</v>
      </c>
    </row>
    <row r="1441" spans="1:25" ht="25.5">
      <c r="A1441" s="383">
        <v>15</v>
      </c>
      <c r="C1441" s="406"/>
      <c r="D1441" s="407"/>
      <c r="E1441" s="407"/>
      <c r="F1441" s="407"/>
      <c r="G1441" s="407"/>
      <c r="H1441" s="407"/>
      <c r="I1441" s="408" t="s">
        <v>418</v>
      </c>
      <c r="J1441" s="409" t="str">
        <f t="shared" si="270"/>
        <v>UND= Cant de elementos</v>
      </c>
      <c r="K1441" s="410" t="str">
        <f t="shared" si="278"/>
        <v>UND</v>
      </c>
      <c r="L1441" s="411"/>
      <c r="M1441" s="412"/>
      <c r="N1441" s="442"/>
      <c r="O1441" s="442"/>
      <c r="P1441" s="413"/>
      <c r="Q1441" s="411"/>
      <c r="R1441" s="413" t="str">
        <f t="shared" si="273"/>
        <v/>
      </c>
      <c r="S1441" s="414">
        <f>+HLOOKUP(A1441,[238]Hoja1!$2:$78,70,FALSE)</f>
        <v>0</v>
      </c>
      <c r="X1441" s="458">
        <f t="shared" si="276"/>
        <v>0</v>
      </c>
      <c r="Y1441" s="471">
        <f t="shared" si="277"/>
        <v>0</v>
      </c>
    </row>
    <row r="1442" spans="1:25" ht="25.5">
      <c r="A1442" s="383">
        <v>16</v>
      </c>
      <c r="C1442" s="406"/>
      <c r="D1442" s="407"/>
      <c r="E1442" s="407"/>
      <c r="F1442" s="407"/>
      <c r="G1442" s="407"/>
      <c r="H1442" s="407"/>
      <c r="I1442" s="408" t="s">
        <v>419</v>
      </c>
      <c r="J1442" s="409" t="str">
        <f t="shared" si="270"/>
        <v>UND= Cant de elementos</v>
      </c>
      <c r="K1442" s="410" t="str">
        <f t="shared" si="278"/>
        <v>UND</v>
      </c>
      <c r="L1442" s="411"/>
      <c r="M1442" s="412"/>
      <c r="N1442" s="442"/>
      <c r="O1442" s="442"/>
      <c r="P1442" s="413"/>
      <c r="Q1442" s="411"/>
      <c r="R1442" s="413" t="str">
        <f t="shared" si="273"/>
        <v/>
      </c>
      <c r="S1442" s="414">
        <f>+HLOOKUP(A1442,[238]Hoja1!$2:$78,70,FALSE)</f>
        <v>0</v>
      </c>
      <c r="X1442" s="458">
        <f t="shared" si="276"/>
        <v>0</v>
      </c>
      <c r="Y1442" s="471">
        <f t="shared" si="277"/>
        <v>0</v>
      </c>
    </row>
    <row r="1443" spans="1:25" ht="25.5">
      <c r="A1443" s="383">
        <v>17</v>
      </c>
      <c r="C1443" s="406"/>
      <c r="D1443" s="407"/>
      <c r="E1443" s="407"/>
      <c r="F1443" s="407"/>
      <c r="G1443" s="407"/>
      <c r="H1443" s="407"/>
      <c r="I1443" s="408" t="s">
        <v>420</v>
      </c>
      <c r="J1443" s="409" t="str">
        <f t="shared" si="270"/>
        <v>UND= Cant de elementos</v>
      </c>
      <c r="K1443" s="410" t="str">
        <f t="shared" si="278"/>
        <v>UND</v>
      </c>
      <c r="L1443" s="411"/>
      <c r="M1443" s="412"/>
      <c r="N1443" s="442"/>
      <c r="O1443" s="442"/>
      <c r="P1443" s="413"/>
      <c r="Q1443" s="411"/>
      <c r="R1443" s="413" t="str">
        <f t="shared" si="273"/>
        <v/>
      </c>
      <c r="S1443" s="414">
        <f>+HLOOKUP(A1443,[238]Hoja1!$2:$78,70,FALSE)</f>
        <v>0</v>
      </c>
      <c r="V1443" s="383">
        <f>+P1443*O1443*N1443</f>
        <v>0</v>
      </c>
      <c r="X1443" s="458">
        <f t="shared" si="276"/>
        <v>0</v>
      </c>
      <c r="Y1443" s="471">
        <f t="shared" si="277"/>
        <v>0</v>
      </c>
    </row>
    <row r="1444" spans="1:25" ht="25.5">
      <c r="A1444" s="383">
        <v>18</v>
      </c>
      <c r="C1444" s="406"/>
      <c r="D1444" s="407"/>
      <c r="E1444" s="407"/>
      <c r="F1444" s="407"/>
      <c r="G1444" s="407"/>
      <c r="H1444" s="407"/>
      <c r="I1444" s="408" t="s">
        <v>429</v>
      </c>
      <c r="J1444" s="409" t="str">
        <f t="shared" si="270"/>
        <v>UND= Cant de elementos</v>
      </c>
      <c r="K1444" s="410" t="str">
        <f t="shared" si="278"/>
        <v>UND</v>
      </c>
      <c r="L1444" s="411"/>
      <c r="M1444" s="412"/>
      <c r="N1444" s="442"/>
      <c r="O1444" s="442"/>
      <c r="P1444" s="413"/>
      <c r="Q1444" s="411"/>
      <c r="R1444" s="413" t="str">
        <f t="shared" si="273"/>
        <v/>
      </c>
      <c r="S1444" s="414">
        <f>+HLOOKUP(A1444,[238]Hoja1!$2:$78,70,FALSE)</f>
        <v>0</v>
      </c>
      <c r="X1444" s="458">
        <f t="shared" si="276"/>
        <v>0</v>
      </c>
      <c r="Y1444" s="471">
        <f t="shared" si="277"/>
        <v>0</v>
      </c>
    </row>
    <row r="1445" spans="1:25" ht="25.5">
      <c r="A1445" s="383">
        <v>19</v>
      </c>
      <c r="C1445" s="406"/>
      <c r="D1445" s="407"/>
      <c r="E1445" s="407"/>
      <c r="F1445" s="407"/>
      <c r="G1445" s="407"/>
      <c r="H1445" s="407"/>
      <c r="I1445" s="408" t="s">
        <v>430</v>
      </c>
      <c r="J1445" s="409" t="str">
        <f t="shared" si="270"/>
        <v>UND= Cant de elementos</v>
      </c>
      <c r="K1445" s="410" t="str">
        <f t="shared" si="278"/>
        <v>UND</v>
      </c>
      <c r="L1445" s="411"/>
      <c r="M1445" s="412"/>
      <c r="N1445" s="442"/>
      <c r="O1445" s="442"/>
      <c r="P1445" s="413"/>
      <c r="Q1445" s="411"/>
      <c r="R1445" s="413">
        <f t="shared" si="273"/>
        <v>1</v>
      </c>
      <c r="S1445" s="414">
        <f>+HLOOKUP(A1445,[238]Hoja1!$2:$78,70,FALSE)</f>
        <v>1</v>
      </c>
      <c r="X1445" s="458">
        <f t="shared" si="276"/>
        <v>0</v>
      </c>
      <c r="Y1445" s="471">
        <f t="shared" si="277"/>
        <v>0</v>
      </c>
    </row>
    <row r="1446" spans="1:25" ht="25.5">
      <c r="A1446" s="383">
        <v>20</v>
      </c>
      <c r="C1446" s="406"/>
      <c r="D1446" s="407"/>
      <c r="E1446" s="407"/>
      <c r="F1446" s="407"/>
      <c r="G1446" s="407"/>
      <c r="H1446" s="407"/>
      <c r="I1446" s="408" t="s">
        <v>431</v>
      </c>
      <c r="J1446" s="409" t="str">
        <f t="shared" si="270"/>
        <v>UND= Cant de elementos</v>
      </c>
      <c r="K1446" s="410" t="str">
        <f t="shared" si="278"/>
        <v>UND</v>
      </c>
      <c r="L1446" s="411"/>
      <c r="M1446" s="412"/>
      <c r="N1446" s="442"/>
      <c r="O1446" s="442"/>
      <c r="P1446" s="413"/>
      <c r="Q1446" s="411"/>
      <c r="R1446" s="413" t="str">
        <f t="shared" si="273"/>
        <v/>
      </c>
      <c r="S1446" s="414">
        <f>+HLOOKUP(A1446,[238]Hoja1!$2:$78,70,FALSE)</f>
        <v>0</v>
      </c>
      <c r="X1446" s="458">
        <f t="shared" si="276"/>
        <v>0</v>
      </c>
      <c r="Y1446" s="471">
        <f t="shared" si="277"/>
        <v>0</v>
      </c>
    </row>
    <row r="1447" spans="1:25" ht="25.5">
      <c r="A1447" s="383">
        <v>21</v>
      </c>
      <c r="C1447" s="406"/>
      <c r="D1447" s="407"/>
      <c r="E1447" s="407"/>
      <c r="F1447" s="407"/>
      <c r="G1447" s="407"/>
      <c r="H1447" s="407"/>
      <c r="I1447" s="408" t="s">
        <v>432</v>
      </c>
      <c r="J1447" s="409" t="str">
        <f t="shared" si="270"/>
        <v>UND= Cant de elementos</v>
      </c>
      <c r="K1447" s="410" t="str">
        <f t="shared" si="278"/>
        <v>UND</v>
      </c>
      <c r="L1447" s="411"/>
      <c r="M1447" s="412"/>
      <c r="N1447" s="442"/>
      <c r="O1447" s="442"/>
      <c r="P1447" s="413"/>
      <c r="Q1447" s="411"/>
      <c r="R1447" s="413" t="str">
        <f t="shared" si="273"/>
        <v/>
      </c>
      <c r="S1447" s="414">
        <f>+HLOOKUP(A1447,[238]Hoja1!$2:$78,70,FALSE)</f>
        <v>0</v>
      </c>
      <c r="X1447" s="458">
        <f t="shared" si="276"/>
        <v>0</v>
      </c>
      <c r="Y1447" s="471">
        <f t="shared" si="277"/>
        <v>0</v>
      </c>
    </row>
    <row r="1448" spans="1:25" ht="25.5">
      <c r="A1448" s="383">
        <v>22</v>
      </c>
      <c r="C1448" s="406"/>
      <c r="D1448" s="407"/>
      <c r="E1448" s="407"/>
      <c r="F1448" s="407"/>
      <c r="G1448" s="407"/>
      <c r="H1448" s="407"/>
      <c r="I1448" s="408" t="s">
        <v>433</v>
      </c>
      <c r="J1448" s="409" t="str">
        <f t="shared" si="270"/>
        <v>UND= Cant de elementos</v>
      </c>
      <c r="K1448" s="410" t="str">
        <f t="shared" si="278"/>
        <v>UND</v>
      </c>
      <c r="L1448" s="411"/>
      <c r="M1448" s="412"/>
      <c r="N1448" s="442"/>
      <c r="O1448" s="442"/>
      <c r="P1448" s="413"/>
      <c r="Q1448" s="411"/>
      <c r="R1448" s="413">
        <f t="shared" si="273"/>
        <v>1</v>
      </c>
      <c r="S1448" s="414">
        <f>+HLOOKUP(A1448,[238]Hoja1!$2:$78,70,FALSE)</f>
        <v>1</v>
      </c>
      <c r="X1448" s="458">
        <f t="shared" si="276"/>
        <v>0</v>
      </c>
      <c r="Y1448" s="471">
        <f t="shared" si="277"/>
        <v>0</v>
      </c>
    </row>
    <row r="1449" spans="1:25" ht="25.5">
      <c r="A1449" s="383">
        <v>23</v>
      </c>
      <c r="C1449" s="406"/>
      <c r="D1449" s="407"/>
      <c r="E1449" s="407"/>
      <c r="F1449" s="407"/>
      <c r="G1449" s="407"/>
      <c r="H1449" s="407"/>
      <c r="I1449" s="408" t="s">
        <v>434</v>
      </c>
      <c r="J1449" s="409" t="str">
        <f t="shared" si="270"/>
        <v>UND= Cant de elementos</v>
      </c>
      <c r="K1449" s="410" t="str">
        <f t="shared" si="278"/>
        <v>UND</v>
      </c>
      <c r="L1449" s="411"/>
      <c r="M1449" s="412"/>
      <c r="N1449" s="441"/>
      <c r="O1449" s="442"/>
      <c r="P1449" s="413"/>
      <c r="Q1449" s="411"/>
      <c r="R1449" s="413" t="str">
        <f t="shared" si="273"/>
        <v/>
      </c>
      <c r="S1449" s="414">
        <f>+HLOOKUP(A1449,[238]Hoja1!$2:$78,70,FALSE)</f>
        <v>0</v>
      </c>
      <c r="X1449" s="458">
        <f t="shared" si="276"/>
        <v>0</v>
      </c>
      <c r="Y1449" s="471">
        <f t="shared" si="277"/>
        <v>0</v>
      </c>
    </row>
    <row r="1450" spans="1:25" ht="25.5">
      <c r="A1450" s="383">
        <v>24</v>
      </c>
      <c r="C1450" s="406"/>
      <c r="D1450" s="407"/>
      <c r="E1450" s="407"/>
      <c r="F1450" s="407"/>
      <c r="G1450" s="407"/>
      <c r="H1450" s="407"/>
      <c r="I1450" s="408" t="s">
        <v>435</v>
      </c>
      <c r="J1450" s="409" t="str">
        <f t="shared" si="270"/>
        <v>UND= Cant de elementos</v>
      </c>
      <c r="K1450" s="410" t="str">
        <f t="shared" si="278"/>
        <v>UND</v>
      </c>
      <c r="L1450" s="411"/>
      <c r="M1450" s="412"/>
      <c r="N1450" s="442"/>
      <c r="O1450" s="442"/>
      <c r="P1450" s="413"/>
      <c r="Q1450" s="411"/>
      <c r="R1450" s="413" t="str">
        <f t="shared" si="273"/>
        <v/>
      </c>
      <c r="S1450" s="414">
        <f>+HLOOKUP(A1450,[238]Hoja1!$2:$78,70,FALSE)</f>
        <v>0</v>
      </c>
      <c r="X1450" s="458">
        <f t="shared" si="276"/>
        <v>0</v>
      </c>
      <c r="Y1450" s="471">
        <f t="shared" si="277"/>
        <v>0</v>
      </c>
    </row>
    <row r="1451" spans="1:25" ht="25.5">
      <c r="A1451" s="383">
        <v>25</v>
      </c>
      <c r="C1451" s="406"/>
      <c r="D1451" s="407"/>
      <c r="E1451" s="407"/>
      <c r="F1451" s="407"/>
      <c r="G1451" s="407"/>
      <c r="H1451" s="407"/>
      <c r="I1451" s="408" t="s">
        <v>436</v>
      </c>
      <c r="J1451" s="409" t="str">
        <f t="shared" si="270"/>
        <v>UND= Cant de elementos</v>
      </c>
      <c r="K1451" s="410" t="str">
        <f t="shared" si="278"/>
        <v>UND</v>
      </c>
      <c r="L1451" s="411"/>
      <c r="M1451" s="412"/>
      <c r="N1451" s="442"/>
      <c r="O1451" s="442"/>
      <c r="P1451" s="413"/>
      <c r="Q1451" s="411"/>
      <c r="R1451" s="413" t="str">
        <f t="shared" si="273"/>
        <v/>
      </c>
      <c r="S1451" s="414">
        <f>+HLOOKUP(A1451,[238]Hoja1!$2:$78,70,FALSE)</f>
        <v>0</v>
      </c>
      <c r="X1451" s="458">
        <f t="shared" si="276"/>
        <v>0</v>
      </c>
      <c r="Y1451" s="471">
        <f t="shared" si="277"/>
        <v>0</v>
      </c>
    </row>
    <row r="1452" spans="1:25" ht="25.5">
      <c r="A1452" s="383">
        <v>26</v>
      </c>
      <c r="C1452" s="406"/>
      <c r="D1452" s="407"/>
      <c r="E1452" s="407"/>
      <c r="F1452" s="407"/>
      <c r="G1452" s="407"/>
      <c r="H1452" s="407"/>
      <c r="I1452" s="408" t="s">
        <v>437</v>
      </c>
      <c r="J1452" s="409" t="str">
        <f t="shared" si="270"/>
        <v>UND= Cant de elementos</v>
      </c>
      <c r="K1452" s="410" t="str">
        <f>+K1441</f>
        <v>UND</v>
      </c>
      <c r="L1452" s="411"/>
      <c r="M1452" s="412"/>
      <c r="N1452" s="442"/>
      <c r="O1452" s="442"/>
      <c r="P1452" s="413"/>
      <c r="Q1452" s="411"/>
      <c r="R1452" s="413" t="str">
        <f t="shared" si="273"/>
        <v/>
      </c>
      <c r="S1452" s="414">
        <f>+HLOOKUP(A1452,[238]Hoja1!$2:$78,70,FALSE)</f>
        <v>0</v>
      </c>
      <c r="X1452" s="458">
        <f t="shared" si="276"/>
        <v>0</v>
      </c>
      <c r="Y1452" s="471">
        <f t="shared" si="277"/>
        <v>0</v>
      </c>
    </row>
    <row r="1453" spans="1:25" ht="25.5">
      <c r="A1453" s="383">
        <v>27</v>
      </c>
      <c r="C1453" s="406"/>
      <c r="D1453" s="407"/>
      <c r="E1453" s="407"/>
      <c r="F1453" s="407"/>
      <c r="G1453" s="407"/>
      <c r="H1453" s="407"/>
      <c r="I1453" s="408" t="s">
        <v>438</v>
      </c>
      <c r="J1453" s="409" t="str">
        <f t="shared" si="270"/>
        <v>UND= Cant de elementos</v>
      </c>
      <c r="K1453" s="410" t="str">
        <f t="shared" ref="K1453:K1461" si="279">+K1452</f>
        <v>UND</v>
      </c>
      <c r="L1453" s="411"/>
      <c r="M1453" s="412"/>
      <c r="N1453" s="442"/>
      <c r="O1453" s="442"/>
      <c r="P1453" s="413"/>
      <c r="Q1453" s="411"/>
      <c r="R1453" s="413">
        <f t="shared" si="273"/>
        <v>1</v>
      </c>
      <c r="S1453" s="414">
        <f>+HLOOKUP(A1453,[238]Hoja1!$2:$78,70,FALSE)</f>
        <v>1</v>
      </c>
      <c r="X1453" s="458">
        <f t="shared" si="276"/>
        <v>0</v>
      </c>
      <c r="Y1453" s="471">
        <f t="shared" si="277"/>
        <v>0</v>
      </c>
    </row>
    <row r="1454" spans="1:25" ht="25.5">
      <c r="A1454" s="383">
        <v>28</v>
      </c>
      <c r="C1454" s="406"/>
      <c r="D1454" s="440"/>
      <c r="E1454" s="407"/>
      <c r="F1454" s="407"/>
      <c r="G1454" s="407"/>
      <c r="H1454" s="437"/>
      <c r="I1454" s="408" t="s">
        <v>439</v>
      </c>
      <c r="J1454" s="409" t="str">
        <f t="shared" si="270"/>
        <v>UND= Cant de elementos</v>
      </c>
      <c r="K1454" s="410" t="str">
        <f t="shared" si="279"/>
        <v>UND</v>
      </c>
      <c r="L1454" s="411"/>
      <c r="M1454" s="412"/>
      <c r="N1454" s="442"/>
      <c r="O1454" s="442"/>
      <c r="P1454" s="413"/>
      <c r="Q1454" s="411"/>
      <c r="R1454" s="413" t="str">
        <f t="shared" si="273"/>
        <v/>
      </c>
      <c r="S1454" s="414">
        <f>+HLOOKUP(A1454,[238]Hoja1!$2:$78,70,FALSE)</f>
        <v>0</v>
      </c>
      <c r="X1454" s="458">
        <f t="shared" si="276"/>
        <v>0</v>
      </c>
      <c r="Y1454" s="471">
        <f t="shared" si="277"/>
        <v>0</v>
      </c>
    </row>
    <row r="1455" spans="1:25" ht="25.5">
      <c r="A1455" s="383">
        <v>29</v>
      </c>
      <c r="C1455" s="406"/>
      <c r="D1455" s="407"/>
      <c r="E1455" s="407"/>
      <c r="F1455" s="407"/>
      <c r="G1455" s="407"/>
      <c r="H1455" s="407"/>
      <c r="I1455" s="408" t="s">
        <v>440</v>
      </c>
      <c r="J1455" s="409" t="str">
        <f t="shared" si="270"/>
        <v>UND= Cant de elementos</v>
      </c>
      <c r="K1455" s="410" t="str">
        <f t="shared" si="279"/>
        <v>UND</v>
      </c>
      <c r="L1455" s="411"/>
      <c r="M1455" s="412"/>
      <c r="N1455" s="443"/>
      <c r="O1455" s="442"/>
      <c r="P1455" s="413"/>
      <c r="Q1455" s="411"/>
      <c r="R1455" s="413" t="str">
        <f t="shared" si="273"/>
        <v/>
      </c>
      <c r="S1455" s="414">
        <f>+HLOOKUP(A1455,[238]Hoja1!$2:$78,70,FALSE)</f>
        <v>0</v>
      </c>
      <c r="X1455" s="458">
        <f t="shared" si="276"/>
        <v>0</v>
      </c>
      <c r="Y1455" s="471">
        <f t="shared" si="277"/>
        <v>0</v>
      </c>
    </row>
    <row r="1456" spans="1:25" ht="25.5">
      <c r="A1456" s="383">
        <v>30</v>
      </c>
      <c r="C1456" s="406"/>
      <c r="D1456" s="407"/>
      <c r="E1456" s="407"/>
      <c r="F1456" s="407"/>
      <c r="G1456" s="407"/>
      <c r="H1456" s="407"/>
      <c r="I1456" s="408" t="s">
        <v>441</v>
      </c>
      <c r="J1456" s="409" t="str">
        <f t="shared" si="270"/>
        <v>UND= Cant de elementos</v>
      </c>
      <c r="K1456" s="410" t="str">
        <f t="shared" si="279"/>
        <v>UND</v>
      </c>
      <c r="L1456" s="411"/>
      <c r="M1456" s="412"/>
      <c r="N1456" s="442"/>
      <c r="O1456" s="442"/>
      <c r="P1456" s="413"/>
      <c r="Q1456" s="411"/>
      <c r="R1456" s="413" t="str">
        <f t="shared" si="273"/>
        <v/>
      </c>
      <c r="S1456" s="414">
        <f>+HLOOKUP(A1456,[238]Hoja1!$2:$78,70,FALSE)</f>
        <v>0</v>
      </c>
      <c r="X1456" s="458">
        <f t="shared" si="276"/>
        <v>0</v>
      </c>
      <c r="Y1456" s="471">
        <f t="shared" si="277"/>
        <v>0</v>
      </c>
    </row>
    <row r="1457" spans="1:25" ht="25.5">
      <c r="A1457" s="383">
        <v>31</v>
      </c>
      <c r="C1457" s="406"/>
      <c r="D1457" s="407"/>
      <c r="E1457" s="407"/>
      <c r="F1457" s="407"/>
      <c r="G1457" s="407"/>
      <c r="H1457" s="407"/>
      <c r="I1457" s="408" t="s">
        <v>442</v>
      </c>
      <c r="J1457" s="409" t="str">
        <f t="shared" si="270"/>
        <v>UND= Cant de elementos</v>
      </c>
      <c r="K1457" s="410" t="str">
        <f t="shared" si="279"/>
        <v>UND</v>
      </c>
      <c r="L1457" s="411"/>
      <c r="M1457" s="412"/>
      <c r="N1457" s="442"/>
      <c r="O1457" s="442"/>
      <c r="P1457" s="413"/>
      <c r="Q1457" s="411"/>
      <c r="R1457" s="413" t="str">
        <f t="shared" si="273"/>
        <v/>
      </c>
      <c r="S1457" s="414">
        <f>+HLOOKUP(A1457,[238]Hoja1!$2:$78,70,FALSE)</f>
        <v>0</v>
      </c>
      <c r="X1457" s="458">
        <f t="shared" si="276"/>
        <v>0</v>
      </c>
      <c r="Y1457" s="471">
        <f t="shared" si="277"/>
        <v>0</v>
      </c>
    </row>
    <row r="1458" spans="1:25" ht="25.5">
      <c r="A1458" s="383">
        <v>32</v>
      </c>
      <c r="C1458" s="406"/>
      <c r="D1458" s="407"/>
      <c r="E1458" s="407"/>
      <c r="F1458" s="407"/>
      <c r="G1458" s="407"/>
      <c r="H1458" s="407"/>
      <c r="I1458" s="408" t="s">
        <v>443</v>
      </c>
      <c r="J1458" s="409" t="str">
        <f t="shared" si="270"/>
        <v>UND= Cant de elementos</v>
      </c>
      <c r="K1458" s="410" t="str">
        <f t="shared" si="279"/>
        <v>UND</v>
      </c>
      <c r="L1458" s="411"/>
      <c r="M1458" s="412"/>
      <c r="N1458" s="442"/>
      <c r="O1458" s="442"/>
      <c r="P1458" s="413"/>
      <c r="Q1458" s="411"/>
      <c r="R1458" s="413" t="str">
        <f t="shared" si="273"/>
        <v/>
      </c>
      <c r="S1458" s="414">
        <f>+HLOOKUP(A1458,[238]Hoja1!$2:$78,70,FALSE)</f>
        <v>0</v>
      </c>
      <c r="X1458" s="458">
        <f t="shared" si="276"/>
        <v>0</v>
      </c>
      <c r="Y1458" s="471">
        <f t="shared" si="277"/>
        <v>0</v>
      </c>
    </row>
    <row r="1459" spans="1:25" ht="25.5">
      <c r="A1459" s="383">
        <v>33</v>
      </c>
      <c r="C1459" s="406"/>
      <c r="D1459" s="407"/>
      <c r="E1459" s="407"/>
      <c r="F1459" s="407"/>
      <c r="G1459" s="407"/>
      <c r="H1459" s="407"/>
      <c r="I1459" s="408" t="s">
        <v>444</v>
      </c>
      <c r="J1459" s="409" t="str">
        <f t="shared" si="270"/>
        <v>UND= Cant de elementos</v>
      </c>
      <c r="K1459" s="410" t="str">
        <f t="shared" si="279"/>
        <v>UND</v>
      </c>
      <c r="L1459" s="411"/>
      <c r="M1459" s="412"/>
      <c r="N1459" s="442"/>
      <c r="O1459" s="442"/>
      <c r="P1459" s="413"/>
      <c r="Q1459" s="411"/>
      <c r="R1459" s="413" t="str">
        <f t="shared" si="273"/>
        <v/>
      </c>
      <c r="S1459" s="414">
        <f>+HLOOKUP(A1459,[238]Hoja1!$2:$78,70,FALSE)</f>
        <v>0</v>
      </c>
      <c r="X1459" s="458">
        <f t="shared" si="276"/>
        <v>0</v>
      </c>
      <c r="Y1459" s="471">
        <f t="shared" si="277"/>
        <v>0</v>
      </c>
    </row>
    <row r="1460" spans="1:25" ht="25.5">
      <c r="A1460" s="383">
        <v>34</v>
      </c>
      <c r="C1460" s="406"/>
      <c r="D1460" s="407"/>
      <c r="E1460" s="407"/>
      <c r="F1460" s="407"/>
      <c r="G1460" s="407"/>
      <c r="H1460" s="407"/>
      <c r="I1460" s="408" t="s">
        <v>445</v>
      </c>
      <c r="J1460" s="409" t="str">
        <f t="shared" si="270"/>
        <v>UND= Cant de elementos</v>
      </c>
      <c r="K1460" s="410" t="str">
        <f t="shared" si="279"/>
        <v>UND</v>
      </c>
      <c r="L1460" s="411"/>
      <c r="M1460" s="412"/>
      <c r="N1460" s="441"/>
      <c r="O1460" s="442"/>
      <c r="P1460" s="413"/>
      <c r="Q1460" s="411"/>
      <c r="R1460" s="413" t="str">
        <f t="shared" si="273"/>
        <v/>
      </c>
      <c r="S1460" s="414">
        <f>+HLOOKUP(A1460,[238]Hoja1!$2:$78,70,FALSE)</f>
        <v>0</v>
      </c>
      <c r="X1460" s="458">
        <f t="shared" si="276"/>
        <v>0</v>
      </c>
      <c r="Y1460" s="471">
        <f t="shared" si="277"/>
        <v>0</v>
      </c>
    </row>
    <row r="1461" spans="1:25" ht="25.5">
      <c r="A1461" s="383">
        <v>35</v>
      </c>
      <c r="C1461" s="406"/>
      <c r="D1461" s="440"/>
      <c r="E1461" s="407"/>
      <c r="F1461" s="407"/>
      <c r="G1461" s="407"/>
      <c r="H1461" s="437"/>
      <c r="I1461" s="408" t="s">
        <v>446</v>
      </c>
      <c r="J1461" s="409" t="str">
        <f t="shared" si="270"/>
        <v>UND= Cant de elementos</v>
      </c>
      <c r="K1461" s="410" t="str">
        <f t="shared" si="279"/>
        <v>UND</v>
      </c>
      <c r="L1461" s="411"/>
      <c r="M1461" s="412"/>
      <c r="N1461" s="442"/>
      <c r="O1461" s="442"/>
      <c r="P1461" s="413"/>
      <c r="Q1461" s="411"/>
      <c r="R1461" s="413" t="str">
        <f t="shared" si="273"/>
        <v/>
      </c>
      <c r="S1461" s="414">
        <f>+HLOOKUP(A1461,[238]Hoja1!$2:$78,70,FALSE)</f>
        <v>0</v>
      </c>
      <c r="X1461" s="458">
        <f t="shared" si="276"/>
        <v>0</v>
      </c>
      <c r="Y1461" s="471">
        <f t="shared" si="277"/>
        <v>0</v>
      </c>
    </row>
    <row r="1462" spans="1:25" ht="25.5">
      <c r="A1462" s="383">
        <v>36</v>
      </c>
      <c r="C1462" s="406"/>
      <c r="D1462" s="407"/>
      <c r="E1462" s="407"/>
      <c r="F1462" s="407"/>
      <c r="G1462" s="407"/>
      <c r="H1462" s="407"/>
      <c r="I1462" s="408" t="s">
        <v>447</v>
      </c>
      <c r="J1462" s="409" t="str">
        <f t="shared" si="270"/>
        <v>UND= Cant de elementos</v>
      </c>
      <c r="K1462" s="410" t="str">
        <f>+K1451</f>
        <v>UND</v>
      </c>
      <c r="L1462" s="411"/>
      <c r="M1462" s="412"/>
      <c r="N1462" s="442"/>
      <c r="O1462" s="442"/>
      <c r="P1462" s="413"/>
      <c r="Q1462" s="411"/>
      <c r="R1462" s="413" t="str">
        <f t="shared" si="273"/>
        <v/>
      </c>
      <c r="S1462" s="414">
        <f>+HLOOKUP(A1462,[238]Hoja1!$2:$78,70,FALSE)</f>
        <v>0</v>
      </c>
      <c r="X1462" s="458">
        <f t="shared" si="276"/>
        <v>0</v>
      </c>
      <c r="Y1462" s="471">
        <f t="shared" si="277"/>
        <v>0</v>
      </c>
    </row>
    <row r="1463" spans="1:25" ht="25.5">
      <c r="A1463" s="383">
        <v>37</v>
      </c>
      <c r="C1463" s="406"/>
      <c r="D1463" s="407"/>
      <c r="E1463" s="407"/>
      <c r="F1463" s="407"/>
      <c r="G1463" s="407"/>
      <c r="H1463" s="407"/>
      <c r="I1463" s="408" t="s">
        <v>448</v>
      </c>
      <c r="J1463" s="409" t="str">
        <f t="shared" si="270"/>
        <v>UND= Cant de elementos</v>
      </c>
      <c r="K1463" s="410" t="str">
        <f t="shared" ref="K1463:K1469" si="280">+K1462</f>
        <v>UND</v>
      </c>
      <c r="L1463" s="411"/>
      <c r="M1463" s="412"/>
      <c r="N1463" s="441"/>
      <c r="O1463" s="442"/>
      <c r="P1463" s="413"/>
      <c r="Q1463" s="411"/>
      <c r="R1463" s="413" t="str">
        <f t="shared" si="273"/>
        <v/>
      </c>
      <c r="S1463" s="414">
        <f>+HLOOKUP(A1463,[238]Hoja1!$2:$78,70,FALSE)</f>
        <v>0</v>
      </c>
      <c r="X1463" s="458">
        <f t="shared" si="276"/>
        <v>0</v>
      </c>
      <c r="Y1463" s="471">
        <f t="shared" si="277"/>
        <v>0</v>
      </c>
    </row>
    <row r="1464" spans="1:25" ht="25.5">
      <c r="A1464" s="383">
        <v>38</v>
      </c>
      <c r="C1464" s="406"/>
      <c r="D1464" s="440"/>
      <c r="E1464" s="407"/>
      <c r="F1464" s="407"/>
      <c r="G1464" s="407"/>
      <c r="H1464" s="437"/>
      <c r="I1464" s="408" t="s">
        <v>449</v>
      </c>
      <c r="J1464" s="409" t="str">
        <f t="shared" si="270"/>
        <v>UND= Cant de elementos</v>
      </c>
      <c r="K1464" s="410" t="str">
        <f t="shared" si="280"/>
        <v>UND</v>
      </c>
      <c r="L1464" s="411"/>
      <c r="M1464" s="412"/>
      <c r="N1464" s="442"/>
      <c r="O1464" s="442"/>
      <c r="P1464" s="413"/>
      <c r="Q1464" s="411"/>
      <c r="R1464" s="413">
        <f t="shared" si="273"/>
        <v>1</v>
      </c>
      <c r="S1464" s="414">
        <f>+HLOOKUP(A1464,[238]Hoja1!$2:$78,70,FALSE)</f>
        <v>1</v>
      </c>
      <c r="X1464" s="458">
        <f t="shared" si="276"/>
        <v>0</v>
      </c>
      <c r="Y1464" s="471">
        <f t="shared" si="277"/>
        <v>0</v>
      </c>
    </row>
    <row r="1465" spans="1:25" ht="25.5">
      <c r="A1465" s="383">
        <v>39</v>
      </c>
      <c r="C1465" s="406"/>
      <c r="D1465" s="407"/>
      <c r="E1465" s="407"/>
      <c r="F1465" s="407"/>
      <c r="G1465" s="407"/>
      <c r="H1465" s="407"/>
      <c r="I1465" s="408" t="s">
        <v>450</v>
      </c>
      <c r="J1465" s="409" t="str">
        <f t="shared" si="270"/>
        <v>UND= Cant de elementos</v>
      </c>
      <c r="K1465" s="410" t="str">
        <f t="shared" si="280"/>
        <v>UND</v>
      </c>
      <c r="L1465" s="411"/>
      <c r="M1465" s="412"/>
      <c r="N1465" s="441"/>
      <c r="O1465" s="442"/>
      <c r="P1465" s="413"/>
      <c r="Q1465" s="411"/>
      <c r="R1465" s="413" t="str">
        <f t="shared" si="273"/>
        <v/>
      </c>
      <c r="S1465" s="414">
        <f>+HLOOKUP(A1465,[238]Hoja1!$2:$78,70,FALSE)</f>
        <v>0</v>
      </c>
      <c r="X1465" s="458">
        <f t="shared" si="276"/>
        <v>0</v>
      </c>
      <c r="Y1465" s="471">
        <f t="shared" si="277"/>
        <v>0</v>
      </c>
    </row>
    <row r="1466" spans="1:25" ht="25.5">
      <c r="A1466" s="383">
        <v>40</v>
      </c>
      <c r="C1466" s="406"/>
      <c r="D1466" s="407"/>
      <c r="E1466" s="407"/>
      <c r="F1466" s="407"/>
      <c r="G1466" s="407"/>
      <c r="H1466" s="407"/>
      <c r="I1466" s="408" t="s">
        <v>451</v>
      </c>
      <c r="J1466" s="409" t="str">
        <f t="shared" si="270"/>
        <v>UND= Cant de elementos</v>
      </c>
      <c r="K1466" s="410" t="str">
        <f t="shared" si="280"/>
        <v>UND</v>
      </c>
      <c r="L1466" s="411"/>
      <c r="M1466" s="412"/>
      <c r="N1466" s="442"/>
      <c r="O1466" s="442"/>
      <c r="P1466" s="413"/>
      <c r="Q1466" s="411"/>
      <c r="R1466" s="413" t="str">
        <f t="shared" si="273"/>
        <v/>
      </c>
      <c r="S1466" s="414">
        <f>+HLOOKUP(A1466,[238]Hoja1!$2:$78,70,FALSE)</f>
        <v>0</v>
      </c>
      <c r="X1466" s="458">
        <f t="shared" si="276"/>
        <v>0</v>
      </c>
      <c r="Y1466" s="471">
        <f t="shared" si="277"/>
        <v>0</v>
      </c>
    </row>
    <row r="1467" spans="1:25" ht="25.5">
      <c r="A1467" s="383">
        <v>41</v>
      </c>
      <c r="C1467" s="406"/>
      <c r="D1467" s="407"/>
      <c r="E1467" s="407"/>
      <c r="F1467" s="407"/>
      <c r="G1467" s="407"/>
      <c r="H1467" s="407"/>
      <c r="I1467" s="408" t="s">
        <v>452</v>
      </c>
      <c r="J1467" s="409" t="str">
        <f t="shared" si="270"/>
        <v>UND= Cant de elementos</v>
      </c>
      <c r="K1467" s="410" t="str">
        <f t="shared" si="280"/>
        <v>UND</v>
      </c>
      <c r="L1467" s="411"/>
      <c r="M1467" s="412"/>
      <c r="N1467" s="442"/>
      <c r="O1467" s="442"/>
      <c r="P1467" s="413"/>
      <c r="Q1467" s="411"/>
      <c r="R1467" s="413">
        <f t="shared" si="273"/>
        <v>1</v>
      </c>
      <c r="S1467" s="414">
        <f>+HLOOKUP(A1467,[238]Hoja1!$2:$78,70,FALSE)</f>
        <v>1</v>
      </c>
      <c r="X1467" s="458">
        <f t="shared" si="276"/>
        <v>0</v>
      </c>
      <c r="Y1467" s="471">
        <f t="shared" si="277"/>
        <v>0</v>
      </c>
    </row>
    <row r="1468" spans="1:25" ht="25.5">
      <c r="A1468" s="383">
        <v>42</v>
      </c>
      <c r="C1468" s="406"/>
      <c r="D1468" s="407"/>
      <c r="E1468" s="407"/>
      <c r="F1468" s="407"/>
      <c r="G1468" s="407"/>
      <c r="H1468" s="407"/>
      <c r="I1468" s="408" t="s">
        <v>453</v>
      </c>
      <c r="J1468" s="409" t="str">
        <f t="shared" si="270"/>
        <v>UND= Cant de elementos</v>
      </c>
      <c r="K1468" s="410" t="str">
        <f t="shared" si="280"/>
        <v>UND</v>
      </c>
      <c r="L1468" s="411"/>
      <c r="M1468" s="412"/>
      <c r="N1468" s="442"/>
      <c r="O1468" s="442"/>
      <c r="P1468" s="413"/>
      <c r="Q1468" s="411"/>
      <c r="R1468" s="413" t="str">
        <f t="shared" si="273"/>
        <v/>
      </c>
      <c r="S1468" s="414">
        <f>+HLOOKUP(A1468,[238]Hoja1!$2:$78,70,FALSE)</f>
        <v>0</v>
      </c>
      <c r="X1468" s="458">
        <f t="shared" si="276"/>
        <v>0</v>
      </c>
      <c r="Y1468" s="471">
        <f t="shared" si="277"/>
        <v>0</v>
      </c>
    </row>
    <row r="1469" spans="1:25" ht="26.25" thickBot="1">
      <c r="A1469" s="383">
        <v>43</v>
      </c>
      <c r="C1469" s="406"/>
      <c r="D1469" s="407"/>
      <c r="E1469" s="407"/>
      <c r="F1469" s="407"/>
      <c r="G1469" s="407"/>
      <c r="H1469" s="407"/>
      <c r="I1469" s="408" t="s">
        <v>454</v>
      </c>
      <c r="J1469" s="409" t="str">
        <f t="shared" si="270"/>
        <v>UND= Cant de elementos</v>
      </c>
      <c r="K1469" s="410" t="str">
        <f t="shared" si="280"/>
        <v>UND</v>
      </c>
      <c r="L1469" s="411"/>
      <c r="M1469" s="412"/>
      <c r="N1469" s="442"/>
      <c r="O1469" s="442"/>
      <c r="P1469" s="413"/>
      <c r="Q1469" s="411"/>
      <c r="R1469" s="413" t="str">
        <f t="shared" si="273"/>
        <v/>
      </c>
      <c r="S1469" s="414">
        <f>+HLOOKUP(A1469,[238]Hoja1!$2:$78,70,FALSE)</f>
        <v>0</v>
      </c>
      <c r="X1469" s="458">
        <f t="shared" si="276"/>
        <v>0</v>
      </c>
      <c r="Y1469" s="471">
        <f t="shared" si="277"/>
        <v>0</v>
      </c>
    </row>
    <row r="1470" spans="1:25">
      <c r="C1470" s="384"/>
      <c r="D1470" s="419"/>
      <c r="E1470" s="420"/>
      <c r="F1470" s="421"/>
      <c r="G1470" s="421"/>
      <c r="H1470" s="421"/>
      <c r="I1470" s="421"/>
      <c r="J1470" s="422"/>
      <c r="K1470" s="421"/>
      <c r="L1470" s="421"/>
      <c r="M1470" s="421"/>
      <c r="N1470" s="421"/>
      <c r="O1470" s="421"/>
      <c r="P1470" s="421"/>
      <c r="Q1470" s="421"/>
      <c r="R1470" s="422"/>
      <c r="S1470" s="423"/>
    </row>
    <row r="1471" spans="1:25">
      <c r="C1471" s="396"/>
      <c r="D1471" s="397"/>
      <c r="E1471" s="424"/>
      <c r="F1471" s="425"/>
      <c r="G1471" s="425"/>
      <c r="H1471" s="425"/>
      <c r="I1471" s="425"/>
      <c r="J1471" s="398"/>
      <c r="K1471" s="425"/>
      <c r="L1471" s="425"/>
      <c r="M1471" s="397"/>
      <c r="N1471" s="397"/>
      <c r="O1471" s="562" t="s">
        <v>455</v>
      </c>
      <c r="P1471" s="563"/>
      <c r="Q1471" s="564"/>
      <c r="R1471" s="426"/>
      <c r="S1471" s="427">
        <f>ROUND(SUM(S1427:S1470),2)</f>
        <v>11</v>
      </c>
    </row>
    <row r="1472" spans="1:25">
      <c r="C1472" s="396"/>
      <c r="D1472" s="397"/>
      <c r="E1472" s="424"/>
      <c r="F1472" s="425"/>
      <c r="G1472" s="425"/>
      <c r="H1472" s="425"/>
      <c r="I1472" s="425"/>
      <c r="J1472" s="398"/>
      <c r="K1472" s="425"/>
      <c r="L1472" s="425"/>
      <c r="M1472" s="428"/>
      <c r="N1472" s="428"/>
      <c r="O1472" s="429"/>
      <c r="P1472" s="425"/>
      <c r="Q1472" s="425"/>
      <c r="R1472" s="430"/>
      <c r="S1472" s="431"/>
    </row>
    <row r="1473" spans="3:19">
      <c r="C1473" s="565" t="e">
        <v>#REF!</v>
      </c>
      <c r="D1473" s="566"/>
      <c r="E1473" s="566"/>
      <c r="F1473" s="566"/>
      <c r="G1473" s="566"/>
      <c r="H1473" s="566"/>
      <c r="I1473" s="566"/>
      <c r="J1473" s="566"/>
      <c r="K1473" s="566"/>
      <c r="L1473" s="566"/>
      <c r="M1473" s="566"/>
      <c r="N1473" s="567"/>
      <c r="O1473" s="568" t="s">
        <v>422</v>
      </c>
      <c r="P1473" s="568"/>
      <c r="Q1473" s="568"/>
      <c r="R1473" s="426"/>
      <c r="S1473" s="427">
        <f>S1471</f>
        <v>11</v>
      </c>
    </row>
    <row r="1474" spans="3:19">
      <c r="C1474" s="396"/>
      <c r="D1474" s="397"/>
      <c r="E1474" s="424"/>
      <c r="F1474" s="425"/>
      <c r="G1474" s="425"/>
      <c r="H1474" s="425"/>
      <c r="I1474" s="425"/>
      <c r="J1474" s="398"/>
      <c r="K1474" s="425"/>
      <c r="L1474" s="425"/>
      <c r="M1474" s="428"/>
      <c r="N1474" s="428"/>
      <c r="O1474" s="429"/>
      <c r="P1474" s="425"/>
      <c r="Q1474" s="398"/>
      <c r="R1474" s="398"/>
      <c r="S1474" s="432"/>
    </row>
    <row r="1475" spans="3:19">
      <c r="C1475" s="396"/>
      <c r="D1475" s="397"/>
      <c r="E1475" s="424"/>
      <c r="F1475" s="425"/>
      <c r="G1475" s="425"/>
      <c r="H1475" s="425"/>
      <c r="I1475" s="425"/>
      <c r="J1475" s="398"/>
      <c r="K1475" s="425"/>
      <c r="L1475" s="425"/>
      <c r="M1475" s="428"/>
      <c r="N1475" s="428"/>
      <c r="O1475" s="429"/>
      <c r="P1475" s="425"/>
      <c r="Q1475" s="398"/>
      <c r="R1475" s="398"/>
      <c r="S1475" s="432"/>
    </row>
    <row r="1476" spans="3:19">
      <c r="C1476" s="569" t="s">
        <v>423</v>
      </c>
      <c r="D1476" s="570"/>
      <c r="E1476" s="570"/>
      <c r="F1476" s="570"/>
      <c r="G1476" s="570"/>
      <c r="H1476" s="570"/>
      <c r="I1476" s="570"/>
      <c r="J1476" s="571"/>
      <c r="K1476" s="433" t="s">
        <v>424</v>
      </c>
      <c r="L1476" s="434"/>
      <c r="M1476" s="434"/>
      <c r="N1476" s="434"/>
      <c r="O1476" s="434"/>
      <c r="P1476" s="434"/>
      <c r="Q1476" s="434"/>
      <c r="R1476" s="434"/>
      <c r="S1476" s="435"/>
    </row>
    <row r="1477" spans="3:19">
      <c r="C1477" s="542"/>
      <c r="D1477" s="543"/>
      <c r="E1477" s="543"/>
      <c r="F1477" s="543"/>
      <c r="G1477" s="436"/>
      <c r="H1477" s="436"/>
      <c r="I1477" s="436"/>
      <c r="J1477" s="447"/>
      <c r="K1477" s="436"/>
      <c r="L1477" s="407"/>
      <c r="M1477" s="407"/>
      <c r="N1477" s="407"/>
      <c r="O1477" s="407"/>
      <c r="P1477" s="407"/>
      <c r="Q1477" s="407"/>
      <c r="R1477" s="407"/>
      <c r="S1477" s="437"/>
    </row>
    <row r="1478" spans="3:19">
      <c r="C1478" s="542"/>
      <c r="D1478" s="543"/>
      <c r="E1478" s="543"/>
      <c r="F1478" s="543"/>
      <c r="G1478" s="436"/>
      <c r="H1478" s="436"/>
      <c r="I1478" s="436"/>
      <c r="J1478" s="447"/>
      <c r="K1478" s="436"/>
      <c r="L1478" s="407"/>
      <c r="M1478" s="407"/>
      <c r="N1478" s="407"/>
      <c r="O1478" s="407"/>
      <c r="P1478" s="407"/>
      <c r="Q1478" s="407"/>
      <c r="R1478" s="407"/>
      <c r="S1478" s="437"/>
    </row>
    <row r="1479" spans="3:19">
      <c r="C1479" s="542" t="s">
        <v>425</v>
      </c>
      <c r="D1479" s="543"/>
      <c r="E1479" s="543" t="s">
        <v>425</v>
      </c>
      <c r="F1479" s="543"/>
      <c r="G1479" s="543" t="s">
        <v>425</v>
      </c>
      <c r="H1479" s="543"/>
      <c r="I1479" s="543" t="s">
        <v>425</v>
      </c>
      <c r="J1479" s="544"/>
      <c r="K1479" s="545" t="s">
        <v>426</v>
      </c>
      <c r="L1479" s="546"/>
      <c r="M1479" s="546"/>
      <c r="N1479" s="546"/>
      <c r="O1479" s="546"/>
      <c r="P1479" s="546"/>
      <c r="Q1479" s="546"/>
      <c r="R1479" s="546"/>
      <c r="S1479" s="547"/>
    </row>
    <row r="1480" spans="3:19">
      <c r="C1480" s="548" t="str">
        <f>+[42]DATOS!D$8</f>
        <v>HELMER EDUARDO BECERRA SANTANDER</v>
      </c>
      <c r="D1480" s="549"/>
      <c r="E1480" s="549" t="s">
        <v>427</v>
      </c>
      <c r="F1480" s="549"/>
      <c r="G1480" s="549" t="s">
        <v>427</v>
      </c>
      <c r="H1480" s="549"/>
      <c r="I1480" s="549" t="s">
        <v>427</v>
      </c>
      <c r="J1480" s="550"/>
      <c r="K1480" s="551" t="str">
        <f>+[42]DATOS!D$11</f>
        <v>JESUS IVAN QUIÑONES RUEDA</v>
      </c>
      <c r="L1480" s="549"/>
      <c r="M1480" s="549"/>
      <c r="N1480" s="549"/>
      <c r="O1480" s="549"/>
      <c r="P1480" s="549"/>
      <c r="Q1480" s="549"/>
      <c r="R1480" s="549"/>
      <c r="S1480" s="552"/>
    </row>
    <row r="1481" spans="3:19">
      <c r="C1481" s="553" t="str">
        <f>+$C$72</f>
        <v>APOYO SEC. DE PLANEACION Y OBRAS PÚBLICAS</v>
      </c>
      <c r="D1481" s="554"/>
      <c r="E1481" s="554" t="s">
        <v>428</v>
      </c>
      <c r="F1481" s="554"/>
      <c r="G1481" s="554" t="s">
        <v>428</v>
      </c>
      <c r="H1481" s="554"/>
      <c r="I1481" s="554" t="s">
        <v>428</v>
      </c>
      <c r="J1481" s="555"/>
      <c r="K1481" s="556" t="str">
        <f>+$K$72</f>
        <v>SECRETARIO DE PLANEACION Y OBRAS PÚBLICAS</v>
      </c>
      <c r="L1481" s="554"/>
      <c r="M1481" s="554"/>
      <c r="N1481" s="554"/>
      <c r="O1481" s="554"/>
      <c r="P1481" s="554"/>
      <c r="Q1481" s="554"/>
      <c r="R1481" s="554"/>
      <c r="S1481" s="557"/>
    </row>
    <row r="1482" spans="3:19">
      <c r="C1482" s="406"/>
      <c r="D1482" s="407"/>
      <c r="E1482" s="407"/>
      <c r="F1482" s="407"/>
      <c r="G1482" s="407"/>
      <c r="H1482" s="407"/>
      <c r="I1482" s="407"/>
      <c r="J1482" s="407"/>
      <c r="K1482" s="407"/>
      <c r="L1482" s="407"/>
      <c r="M1482" s="407"/>
      <c r="N1482" s="407"/>
      <c r="O1482" s="407"/>
      <c r="P1482" s="407"/>
      <c r="Q1482" s="407"/>
      <c r="R1482" s="407"/>
      <c r="S1482" s="437"/>
    </row>
    <row r="1483" spans="3:19" ht="111" customHeight="1" thickBot="1">
      <c r="C1483" s="417"/>
      <c r="D1483" s="418"/>
      <c r="E1483" s="418"/>
      <c r="F1483" s="418"/>
      <c r="G1483" s="418"/>
      <c r="H1483" s="418"/>
      <c r="I1483" s="418"/>
      <c r="J1483" s="418"/>
      <c r="K1483" s="418"/>
      <c r="L1483" s="418"/>
      <c r="M1483" s="418"/>
      <c r="N1483" s="418"/>
      <c r="O1483" s="418"/>
      <c r="P1483" s="418"/>
      <c r="Q1483" s="418"/>
      <c r="R1483" s="418"/>
      <c r="S1483" s="438"/>
    </row>
    <row r="1484" spans="3:19" ht="22.5" customHeight="1"/>
    <row r="1486" spans="3:19" ht="13.5" thickBot="1"/>
    <row r="1487" spans="3:19">
      <c r="C1487" s="384"/>
      <c r="D1487" s="385"/>
      <c r="E1487" s="385"/>
      <c r="F1487" s="385"/>
      <c r="G1487" s="385"/>
      <c r="H1487" s="385"/>
      <c r="I1487" s="385"/>
      <c r="J1487" s="445"/>
      <c r="K1487" s="385"/>
      <c r="L1487" s="385"/>
      <c r="M1487" s="385"/>
      <c r="N1487" s="385"/>
      <c r="O1487" s="385"/>
      <c r="P1487" s="385"/>
      <c r="Q1487" s="385"/>
      <c r="R1487" s="385"/>
      <c r="S1487" s="386"/>
    </row>
    <row r="1488" spans="3:19" ht="121.5" customHeight="1" thickBot="1">
      <c r="C1488" s="387"/>
      <c r="D1488" s="388"/>
      <c r="E1488" s="388"/>
      <c r="F1488" s="388"/>
      <c r="G1488" s="388"/>
      <c r="H1488" s="388"/>
      <c r="I1488" s="388"/>
      <c r="J1488" s="446"/>
      <c r="K1488" s="388"/>
      <c r="L1488" s="388"/>
      <c r="M1488" s="388"/>
      <c r="N1488" s="388"/>
      <c r="O1488" s="388"/>
      <c r="P1488" s="388"/>
      <c r="Q1488" s="388"/>
      <c r="R1488" s="388"/>
      <c r="S1488" s="389"/>
    </row>
    <row r="1489" spans="1:25">
      <c r="C1489" s="592" t="str">
        <f>+[42]DATOS!C$7</f>
        <v>MEJORAMIENTO DE VIVIENDA CON ENFOQUE DIFERENCIAL PARA POBLACIÓN VULNERABLE EN EL MUNICIPIO DE CUBARÁ, BOYACÁ (2026).</v>
      </c>
      <c r="D1489" s="593"/>
      <c r="E1489" s="593"/>
      <c r="F1489" s="593"/>
      <c r="G1489" s="593"/>
      <c r="H1489" s="593"/>
      <c r="I1489" s="593"/>
      <c r="J1489" s="593"/>
      <c r="K1489" s="593"/>
      <c r="L1489" s="593"/>
      <c r="M1489" s="593"/>
      <c r="N1489" s="593"/>
      <c r="O1489" s="593"/>
      <c r="P1489" s="593"/>
      <c r="Q1489" s="593"/>
      <c r="R1489" s="593"/>
      <c r="S1489" s="594"/>
    </row>
    <row r="1490" spans="1:25">
      <c r="C1490" s="595"/>
      <c r="D1490" s="596"/>
      <c r="E1490" s="596"/>
      <c r="F1490" s="596"/>
      <c r="G1490" s="596"/>
      <c r="H1490" s="596"/>
      <c r="I1490" s="596"/>
      <c r="J1490" s="596"/>
      <c r="K1490" s="596"/>
      <c r="L1490" s="596"/>
      <c r="M1490" s="596"/>
      <c r="N1490" s="596"/>
      <c r="O1490" s="596"/>
      <c r="P1490" s="596"/>
      <c r="Q1490" s="596"/>
      <c r="R1490" s="596"/>
      <c r="S1490" s="597"/>
    </row>
    <row r="1491" spans="1:25">
      <c r="C1491" s="598" t="s">
        <v>371</v>
      </c>
      <c r="D1491" s="599"/>
      <c r="E1491" s="599"/>
      <c r="F1491" s="599"/>
      <c r="G1491" s="599"/>
      <c r="H1491" s="599"/>
      <c r="I1491" s="599"/>
      <c r="J1491" s="599"/>
      <c r="K1491" s="599"/>
      <c r="L1491" s="599"/>
      <c r="M1491" s="599"/>
      <c r="N1491" s="599"/>
      <c r="O1491" s="599"/>
      <c r="P1491" s="599"/>
      <c r="Q1491" s="599"/>
      <c r="R1491" s="599"/>
      <c r="S1491" s="600"/>
    </row>
    <row r="1492" spans="1:25">
      <c r="C1492" s="586" t="s">
        <v>372</v>
      </c>
      <c r="D1492" s="587"/>
      <c r="E1492" s="601" t="s">
        <v>373</v>
      </c>
      <c r="F1492" s="601"/>
      <c r="G1492" s="601"/>
      <c r="H1492" s="601"/>
      <c r="I1492" s="601"/>
      <c r="J1492" s="601"/>
      <c r="K1492" s="601"/>
      <c r="L1492" s="601"/>
      <c r="M1492" s="601"/>
      <c r="N1492" s="601"/>
      <c r="O1492" s="601"/>
      <c r="P1492" s="601"/>
      <c r="Q1492" s="601"/>
      <c r="R1492" s="601"/>
      <c r="S1492" s="602"/>
    </row>
    <row r="1493" spans="1:25">
      <c r="C1493" s="586" t="s">
        <v>374</v>
      </c>
      <c r="D1493" s="587"/>
      <c r="E1493" s="603" t="s">
        <v>375</v>
      </c>
      <c r="F1493" s="604"/>
      <c r="G1493" s="604"/>
      <c r="H1493" s="604"/>
      <c r="I1493" s="604"/>
      <c r="J1493" s="604"/>
      <c r="K1493" s="604"/>
      <c r="L1493" s="604"/>
      <c r="M1493" s="604"/>
      <c r="N1493" s="604"/>
      <c r="O1493" s="604"/>
      <c r="P1493" s="604"/>
      <c r="Q1493" s="604"/>
      <c r="R1493" s="604"/>
      <c r="S1493" s="605"/>
    </row>
    <row r="1494" spans="1:25">
      <c r="C1494" s="586" t="s">
        <v>376</v>
      </c>
      <c r="D1494" s="587"/>
      <c r="E1494" s="390">
        <f>+[42]DATOS!F$5</f>
        <v>46143</v>
      </c>
      <c r="F1494" s="391"/>
      <c r="G1494" s="391"/>
      <c r="H1494" s="391"/>
      <c r="I1494" s="391"/>
      <c r="J1494" s="391"/>
      <c r="K1494" s="568" t="s">
        <v>377</v>
      </c>
      <c r="L1494" s="568"/>
      <c r="M1494" s="588" t="s">
        <v>378</v>
      </c>
      <c r="N1494" s="588"/>
      <c r="O1494" s="588"/>
      <c r="P1494" s="588"/>
      <c r="Q1494" s="588"/>
      <c r="R1494" s="588"/>
      <c r="S1494" s="589"/>
    </row>
    <row r="1495" spans="1:25" ht="25.5">
      <c r="C1495" s="586" t="s">
        <v>379</v>
      </c>
      <c r="D1495" s="587"/>
      <c r="E1495" s="590" t="s">
        <v>380</v>
      </c>
      <c r="F1495" s="591"/>
      <c r="G1495" s="392">
        <f>+[42]DATOS!E$5</f>
        <v>2026</v>
      </c>
      <c r="H1495" s="393" t="s">
        <v>381</v>
      </c>
      <c r="I1495" s="394">
        <f>+[42]DATOS!E$5</f>
        <v>2026</v>
      </c>
      <c r="J1495" s="395"/>
      <c r="K1495" s="568" t="s">
        <v>382</v>
      </c>
      <c r="L1495" s="568"/>
      <c r="M1495" s="588" t="s">
        <v>383</v>
      </c>
      <c r="N1495" s="588"/>
      <c r="O1495" s="588"/>
      <c r="P1495" s="588"/>
      <c r="Q1495" s="588"/>
      <c r="R1495" s="588"/>
      <c r="S1495" s="589"/>
    </row>
    <row r="1496" spans="1:25">
      <c r="C1496" s="396"/>
      <c r="D1496" s="397"/>
      <c r="E1496" s="397"/>
      <c r="F1496" s="398"/>
      <c r="G1496" s="398"/>
      <c r="H1496" s="398"/>
      <c r="I1496" s="398"/>
      <c r="J1496" s="398"/>
      <c r="K1496" s="398"/>
      <c r="L1496" s="398"/>
      <c r="M1496" s="398"/>
      <c r="N1496" s="398"/>
      <c r="O1496" s="398"/>
      <c r="P1496" s="398"/>
      <c r="Q1496" s="398"/>
      <c r="R1496" s="398"/>
      <c r="S1496" s="399"/>
    </row>
    <row r="1497" spans="1:25">
      <c r="C1497" s="572" t="s">
        <v>384</v>
      </c>
      <c r="D1497" s="573"/>
      <c r="E1497" s="573"/>
      <c r="F1497" s="573"/>
      <c r="G1497" s="573"/>
      <c r="H1497" s="573"/>
      <c r="I1497" s="573"/>
      <c r="J1497" s="573"/>
      <c r="K1497" s="573"/>
      <c r="L1497" s="573"/>
      <c r="M1497" s="573"/>
      <c r="N1497" s="573"/>
      <c r="O1497" s="573"/>
      <c r="P1497" s="573"/>
      <c r="Q1497" s="573"/>
      <c r="R1497" s="573"/>
      <c r="S1497" s="574"/>
    </row>
    <row r="1498" spans="1:25">
      <c r="C1498" s="396"/>
      <c r="D1498" s="397"/>
      <c r="E1498" s="397"/>
      <c r="F1498" s="398"/>
      <c r="G1498" s="398"/>
      <c r="H1498" s="398"/>
      <c r="I1498" s="398"/>
      <c r="J1498" s="398"/>
      <c r="K1498" s="398"/>
      <c r="L1498" s="398"/>
      <c r="M1498" s="398"/>
      <c r="N1498" s="398"/>
      <c r="O1498" s="398"/>
      <c r="P1498" s="398"/>
      <c r="Q1498" s="398"/>
      <c r="R1498" s="398"/>
      <c r="S1498" s="399"/>
    </row>
    <row r="1499" spans="1:25">
      <c r="C1499" s="400" t="s">
        <v>385</v>
      </c>
      <c r="D1499" s="575" t="s">
        <v>386</v>
      </c>
      <c r="E1499" s="575"/>
      <c r="F1499" s="576" t="s">
        <v>387</v>
      </c>
      <c r="G1499" s="577"/>
      <c r="H1499" s="577"/>
      <c r="I1499" s="576" t="s">
        <v>388</v>
      </c>
      <c r="J1499" s="576" t="s">
        <v>389</v>
      </c>
      <c r="K1499" s="579"/>
      <c r="L1499" s="581" t="s">
        <v>390</v>
      </c>
      <c r="M1499" s="581"/>
      <c r="N1499" s="581"/>
      <c r="O1499" s="581"/>
      <c r="P1499" s="581"/>
      <c r="Q1499" s="581"/>
      <c r="R1499" s="581" t="s">
        <v>391</v>
      </c>
      <c r="S1499" s="582"/>
    </row>
    <row r="1500" spans="1:25" ht="38.25">
      <c r="C1500" s="403">
        <f>+'PRESUPUESTO OFICIAL '!C91</f>
        <v>8.0299999999999994</v>
      </c>
      <c r="D1500" s="583" t="str">
        <f>+VLOOKUP(C1500,'PRESUPUESTO OFICIAL '!$C$11:$H$103,2)</f>
        <v>SUMINISTRO E INSTALACIÓN GRIFERÍA PARA DUCHA SENCILLA</v>
      </c>
      <c r="E1500" s="584"/>
      <c r="F1500" s="585" t="str">
        <f>+VLOOKUP(C1500,'PRESUPUESTO OFICIAL '!$C$11:$H$103,3)</f>
        <v>UND</v>
      </c>
      <c r="G1500" s="585"/>
      <c r="H1500" s="585"/>
      <c r="I1500" s="578"/>
      <c r="J1500" s="578"/>
      <c r="K1500" s="580"/>
      <c r="L1500" s="401" t="s">
        <v>392</v>
      </c>
      <c r="M1500" s="401" t="s">
        <v>393</v>
      </c>
      <c r="N1500" s="401" t="s">
        <v>394</v>
      </c>
      <c r="O1500" s="401" t="s">
        <v>395</v>
      </c>
      <c r="P1500" s="401" t="s">
        <v>396</v>
      </c>
      <c r="Q1500" s="401" t="s">
        <v>397</v>
      </c>
      <c r="R1500" s="401" t="s">
        <v>398</v>
      </c>
      <c r="S1500" s="402" t="s">
        <v>399</v>
      </c>
      <c r="U1500" s="404">
        <f>+C1500</f>
        <v>8.0299999999999994</v>
      </c>
      <c r="V1500" s="405">
        <f>+S1548</f>
        <v>11</v>
      </c>
    </row>
    <row r="1501" spans="1:25">
      <c r="C1501" s="406"/>
      <c r="D1501" s="407"/>
      <c r="E1501" s="407"/>
      <c r="F1501" s="407"/>
      <c r="G1501" s="407"/>
      <c r="H1501" s="407"/>
      <c r="I1501" s="558"/>
      <c r="J1501" s="559"/>
      <c r="K1501" s="560"/>
      <c r="L1501" s="560"/>
      <c r="M1501" s="560"/>
      <c r="N1501" s="560"/>
      <c r="O1501" s="560"/>
      <c r="P1501" s="560"/>
      <c r="Q1501" s="560"/>
      <c r="R1501" s="560"/>
      <c r="S1501" s="561"/>
    </row>
    <row r="1502" spans="1:25" ht="25.5">
      <c r="A1502" s="383">
        <v>1</v>
      </c>
      <c r="C1502" s="406"/>
      <c r="D1502" s="407"/>
      <c r="E1502" s="407"/>
      <c r="F1502" s="407"/>
      <c r="G1502" s="407"/>
      <c r="H1502" s="407"/>
      <c r="I1502" s="408" t="s">
        <v>400</v>
      </c>
      <c r="J1502" s="409" t="str">
        <f t="shared" ref="J1502:J1544" si="281">+VLOOKUP(K1502,$AH$22:$AJ$58,2,)</f>
        <v>UND= Cant de elementos</v>
      </c>
      <c r="K1502" s="410" t="str">
        <f>+F1500</f>
        <v>UND</v>
      </c>
      <c r="L1502" s="411"/>
      <c r="M1502" s="412"/>
      <c r="N1502" s="442"/>
      <c r="O1502" s="442"/>
      <c r="P1502" s="413"/>
      <c r="Q1502" s="411"/>
      <c r="R1502" s="413" t="str">
        <f>IF(S1502=0,"",S1502)</f>
        <v/>
      </c>
      <c r="S1502" s="414">
        <f>+HLOOKUP(A1502,[238]Hoja1!$2:$78,71,FALSE)</f>
        <v>0</v>
      </c>
      <c r="X1502" s="458">
        <f t="shared" ref="X1502" si="282">+N1502*O1502*P1502</f>
        <v>0</v>
      </c>
      <c r="Y1502" s="471">
        <f t="shared" ref="Y1502" si="283">+X1502-Q1502</f>
        <v>0</v>
      </c>
    </row>
    <row r="1503" spans="1:25" ht="25.5">
      <c r="A1503" s="383">
        <v>2</v>
      </c>
      <c r="C1503" s="406"/>
      <c r="D1503" s="407"/>
      <c r="E1503" s="407"/>
      <c r="F1503" s="407"/>
      <c r="G1503" s="407"/>
      <c r="H1503" s="407"/>
      <c r="I1503" s="408" t="s">
        <v>401</v>
      </c>
      <c r="J1503" s="409" t="str">
        <f t="shared" si="281"/>
        <v>UND= Cant de elementos</v>
      </c>
      <c r="K1503" s="410" t="str">
        <f>+K1502</f>
        <v>UND</v>
      </c>
      <c r="L1503" s="411"/>
      <c r="M1503" s="412"/>
      <c r="N1503" s="442"/>
      <c r="O1503" s="442"/>
      <c r="P1503" s="413"/>
      <c r="Q1503" s="411"/>
      <c r="R1503" s="413">
        <f t="shared" ref="R1503:R1544" si="284">IF(S1503=0,"",S1503)</f>
        <v>1</v>
      </c>
      <c r="S1503" s="414">
        <f>+HLOOKUP(A1503,[238]Hoja1!$2:$78,71,FALSE)</f>
        <v>1</v>
      </c>
      <c r="X1503" s="458">
        <f>+L1503*P1503</f>
        <v>0</v>
      </c>
      <c r="Y1503" s="471">
        <f>+X1503-Q1503</f>
        <v>0</v>
      </c>
    </row>
    <row r="1504" spans="1:25" ht="25.5">
      <c r="A1504" s="383">
        <v>3</v>
      </c>
      <c r="C1504" s="406"/>
      <c r="D1504" s="407"/>
      <c r="E1504" s="407"/>
      <c r="F1504" s="407"/>
      <c r="G1504" s="407"/>
      <c r="H1504" s="407"/>
      <c r="I1504" s="408" t="s">
        <v>402</v>
      </c>
      <c r="J1504" s="409" t="str">
        <f t="shared" si="281"/>
        <v>UND= Cant de elementos</v>
      </c>
      <c r="K1504" s="410" t="str">
        <f>+K1503</f>
        <v>UND</v>
      </c>
      <c r="L1504" s="411"/>
      <c r="M1504" s="412"/>
      <c r="N1504" s="442"/>
      <c r="O1504" s="442"/>
      <c r="P1504" s="413"/>
      <c r="Q1504" s="411"/>
      <c r="R1504" s="413">
        <f t="shared" si="284"/>
        <v>1</v>
      </c>
      <c r="S1504" s="414">
        <f>+HLOOKUP(A1504,[238]Hoja1!$2:$78,71,FALSE)</f>
        <v>1</v>
      </c>
      <c r="X1504" s="458">
        <f t="shared" ref="X1504:X1506" si="285">+L1504*P1504</f>
        <v>0</v>
      </c>
      <c r="Y1504" s="471">
        <f t="shared" ref="Y1504:Y1506" si="286">+X1504-Q1504</f>
        <v>0</v>
      </c>
    </row>
    <row r="1505" spans="1:25" ht="25.5">
      <c r="A1505" s="383">
        <v>4</v>
      </c>
      <c r="C1505" s="406"/>
      <c r="D1505" s="407"/>
      <c r="E1505" s="407"/>
      <c r="F1505" s="407"/>
      <c r="G1505" s="407"/>
      <c r="H1505" s="407"/>
      <c r="I1505" s="408" t="s">
        <v>403</v>
      </c>
      <c r="J1505" s="409" t="str">
        <f t="shared" si="281"/>
        <v>UND= Cant de elementos</v>
      </c>
      <c r="K1505" s="410" t="str">
        <f>+K1504</f>
        <v>UND</v>
      </c>
      <c r="L1505" s="411"/>
      <c r="M1505" s="412"/>
      <c r="N1505" s="442"/>
      <c r="O1505" s="442"/>
      <c r="P1505" s="413"/>
      <c r="Q1505" s="411"/>
      <c r="R1505" s="413">
        <f t="shared" si="284"/>
        <v>1</v>
      </c>
      <c r="S1505" s="414">
        <f>+HLOOKUP(A1505,[238]Hoja1!$2:$78,71,FALSE)</f>
        <v>1</v>
      </c>
      <c r="X1505" s="458">
        <f t="shared" si="285"/>
        <v>0</v>
      </c>
      <c r="Y1505" s="471">
        <f t="shared" si="286"/>
        <v>0</v>
      </c>
    </row>
    <row r="1506" spans="1:25" ht="25.5">
      <c r="A1506" s="383">
        <v>5</v>
      </c>
      <c r="C1506" s="406"/>
      <c r="D1506" s="407"/>
      <c r="E1506" s="407"/>
      <c r="F1506" s="407"/>
      <c r="G1506" s="407"/>
      <c r="H1506" s="407"/>
      <c r="I1506" s="408" t="s">
        <v>405</v>
      </c>
      <c r="J1506" s="409" t="str">
        <f t="shared" si="281"/>
        <v>UND= Cant de elementos</v>
      </c>
      <c r="K1506" s="410" t="str">
        <f>+K1505</f>
        <v>UND</v>
      </c>
      <c r="L1506" s="411"/>
      <c r="M1506" s="412"/>
      <c r="N1506" s="442"/>
      <c r="O1506" s="442"/>
      <c r="P1506" s="413"/>
      <c r="Q1506" s="411"/>
      <c r="R1506" s="413">
        <f t="shared" si="284"/>
        <v>1</v>
      </c>
      <c r="S1506" s="414">
        <f>+HLOOKUP(A1506,[238]Hoja1!$2:$78,71,FALSE)</f>
        <v>1</v>
      </c>
      <c r="X1506" s="458">
        <f t="shared" si="285"/>
        <v>0</v>
      </c>
      <c r="Y1506" s="471">
        <f t="shared" si="286"/>
        <v>0</v>
      </c>
    </row>
    <row r="1507" spans="1:25" ht="25.5">
      <c r="A1507" s="383">
        <v>6</v>
      </c>
      <c r="C1507" s="406"/>
      <c r="D1507" s="407"/>
      <c r="E1507" s="407"/>
      <c r="F1507" s="407"/>
      <c r="G1507" s="407"/>
      <c r="H1507" s="407"/>
      <c r="I1507" s="408" t="s">
        <v>407</v>
      </c>
      <c r="J1507" s="409" t="str">
        <f t="shared" si="281"/>
        <v>UND= Cant de elementos</v>
      </c>
      <c r="K1507" s="410" t="str">
        <f>+K1506</f>
        <v>UND</v>
      </c>
      <c r="L1507" s="411"/>
      <c r="M1507" s="412"/>
      <c r="N1507" s="442"/>
      <c r="O1507" s="442"/>
      <c r="P1507" s="413"/>
      <c r="Q1507" s="411"/>
      <c r="R1507" s="413" t="str">
        <f t="shared" si="284"/>
        <v/>
      </c>
      <c r="S1507" s="414">
        <f>+HLOOKUP(A1507,[238]Hoja1!$2:$78,71,FALSE)</f>
        <v>0</v>
      </c>
      <c r="X1507" s="458">
        <f>+L1507*P1507</f>
        <v>0</v>
      </c>
      <c r="Y1507" s="471">
        <f>+X1507-Q1507</f>
        <v>0</v>
      </c>
    </row>
    <row r="1508" spans="1:25" ht="25.5">
      <c r="A1508" s="383">
        <v>7</v>
      </c>
      <c r="C1508" s="406"/>
      <c r="D1508" s="407"/>
      <c r="E1508" s="407"/>
      <c r="F1508" s="407"/>
      <c r="G1508" s="407"/>
      <c r="H1508" s="407"/>
      <c r="I1508" s="408" t="s">
        <v>409</v>
      </c>
      <c r="J1508" s="409" t="str">
        <f t="shared" si="281"/>
        <v>UND= Cant de elementos</v>
      </c>
      <c r="K1508" s="410" t="str">
        <f>+K1502</f>
        <v>UND</v>
      </c>
      <c r="L1508" s="411"/>
      <c r="M1508" s="412"/>
      <c r="N1508" s="442"/>
      <c r="O1508" s="442"/>
      <c r="P1508" s="413"/>
      <c r="Q1508" s="411"/>
      <c r="R1508" s="413" t="str">
        <f t="shared" si="284"/>
        <v/>
      </c>
      <c r="S1508" s="414">
        <f>+HLOOKUP(A1508,[238]Hoja1!$2:$78,71,FALSE)</f>
        <v>0</v>
      </c>
      <c r="X1508" s="458">
        <f t="shared" ref="X1508:X1544" si="287">+L1508*P1508</f>
        <v>0</v>
      </c>
      <c r="Y1508" s="471">
        <f t="shared" ref="Y1508:Y1544" si="288">+X1508-Q1508</f>
        <v>0</v>
      </c>
    </row>
    <row r="1509" spans="1:25" ht="25.5">
      <c r="A1509" s="383">
        <v>8</v>
      </c>
      <c r="C1509" s="406"/>
      <c r="D1509" s="407"/>
      <c r="E1509" s="407"/>
      <c r="F1509" s="407"/>
      <c r="G1509" s="407"/>
      <c r="H1509" s="407"/>
      <c r="I1509" s="408" t="s">
        <v>411</v>
      </c>
      <c r="J1509" s="409" t="str">
        <f t="shared" si="281"/>
        <v>UND= Cant de elementos</v>
      </c>
      <c r="K1509" s="410" t="str">
        <f>+K1508</f>
        <v>UND</v>
      </c>
      <c r="L1509" s="411"/>
      <c r="M1509" s="412"/>
      <c r="N1509" s="442"/>
      <c r="O1509" s="442"/>
      <c r="P1509" s="413"/>
      <c r="Q1509" s="411"/>
      <c r="R1509" s="413" t="str">
        <f t="shared" si="284"/>
        <v/>
      </c>
      <c r="S1509" s="414">
        <f>+HLOOKUP(A1509,[238]Hoja1!$2:$78,71,FALSE)</f>
        <v>0</v>
      </c>
      <c r="X1509" s="458">
        <f t="shared" si="287"/>
        <v>0</v>
      </c>
      <c r="Y1509" s="471">
        <f t="shared" si="288"/>
        <v>0</v>
      </c>
    </row>
    <row r="1510" spans="1:25" ht="25.5">
      <c r="A1510" s="383">
        <v>9</v>
      </c>
      <c r="C1510" s="406"/>
      <c r="D1510" s="407"/>
      <c r="E1510" s="407"/>
      <c r="F1510" s="407"/>
      <c r="G1510" s="407"/>
      <c r="H1510" s="407"/>
      <c r="I1510" s="408" t="s">
        <v>412</v>
      </c>
      <c r="J1510" s="409" t="str">
        <f t="shared" si="281"/>
        <v>UND= Cant de elementos</v>
      </c>
      <c r="K1510" s="410" t="str">
        <f>+K1509</f>
        <v>UND</v>
      </c>
      <c r="L1510" s="411"/>
      <c r="M1510" s="412"/>
      <c r="N1510" s="442"/>
      <c r="O1510" s="442"/>
      <c r="P1510" s="413"/>
      <c r="Q1510" s="411"/>
      <c r="R1510" s="413">
        <f t="shared" si="284"/>
        <v>1</v>
      </c>
      <c r="S1510" s="414">
        <f>+HLOOKUP(A1510,[238]Hoja1!$2:$78,71,FALSE)</f>
        <v>1</v>
      </c>
      <c r="X1510" s="458">
        <f t="shared" si="287"/>
        <v>0</v>
      </c>
      <c r="Y1510" s="471">
        <f t="shared" si="288"/>
        <v>0</v>
      </c>
    </row>
    <row r="1511" spans="1:25" ht="25.5">
      <c r="A1511" s="383">
        <v>10</v>
      </c>
      <c r="C1511" s="406"/>
      <c r="D1511" s="407"/>
      <c r="E1511" s="407"/>
      <c r="F1511" s="407"/>
      <c r="G1511" s="407"/>
      <c r="H1511" s="407"/>
      <c r="I1511" s="408" t="s">
        <v>413</v>
      </c>
      <c r="J1511" s="409" t="str">
        <f t="shared" si="281"/>
        <v>UND= Cant de elementos</v>
      </c>
      <c r="K1511" s="410" t="str">
        <f>+K1510</f>
        <v>UND</v>
      </c>
      <c r="L1511" s="411"/>
      <c r="M1511" s="412"/>
      <c r="N1511" s="441"/>
      <c r="O1511" s="442"/>
      <c r="P1511" s="413"/>
      <c r="Q1511" s="411"/>
      <c r="R1511" s="413" t="str">
        <f t="shared" si="284"/>
        <v/>
      </c>
      <c r="S1511" s="414">
        <f>+HLOOKUP(A1511,[238]Hoja1!$2:$78,71,FALSE)</f>
        <v>0</v>
      </c>
      <c r="X1511" s="458">
        <f t="shared" si="287"/>
        <v>0</v>
      </c>
      <c r="Y1511" s="471">
        <f t="shared" si="288"/>
        <v>0</v>
      </c>
    </row>
    <row r="1512" spans="1:25" ht="25.5">
      <c r="A1512" s="383">
        <v>11</v>
      </c>
      <c r="C1512" s="406"/>
      <c r="D1512" s="407"/>
      <c r="E1512" s="407"/>
      <c r="F1512" s="407"/>
      <c r="G1512" s="407"/>
      <c r="H1512" s="407"/>
      <c r="I1512" s="408" t="s">
        <v>414</v>
      </c>
      <c r="J1512" s="409" t="str">
        <f t="shared" si="281"/>
        <v>UND= Cant de elementos</v>
      </c>
      <c r="K1512" s="410" t="str">
        <f>+K1511</f>
        <v>UND</v>
      </c>
      <c r="L1512" s="411"/>
      <c r="M1512" s="412"/>
      <c r="N1512" s="443"/>
      <c r="O1512" s="442"/>
      <c r="P1512" s="413"/>
      <c r="Q1512" s="411"/>
      <c r="R1512" s="413" t="str">
        <f t="shared" si="284"/>
        <v/>
      </c>
      <c r="S1512" s="414">
        <f>+HLOOKUP(A1512,[238]Hoja1!$2:$78,71,FALSE)</f>
        <v>0</v>
      </c>
      <c r="X1512" s="458">
        <f t="shared" si="287"/>
        <v>0</v>
      </c>
      <c r="Y1512" s="471">
        <f t="shared" si="288"/>
        <v>0</v>
      </c>
    </row>
    <row r="1513" spans="1:25" ht="25.5">
      <c r="A1513" s="383">
        <v>12</v>
      </c>
      <c r="C1513" s="406"/>
      <c r="D1513" s="407"/>
      <c r="E1513" s="407"/>
      <c r="F1513" s="407"/>
      <c r="G1513" s="407"/>
      <c r="H1513" s="407"/>
      <c r="I1513" s="408" t="s">
        <v>415</v>
      </c>
      <c r="J1513" s="409" t="str">
        <f t="shared" si="281"/>
        <v>UND= Cant de elementos</v>
      </c>
      <c r="K1513" s="410" t="str">
        <f>+K1507</f>
        <v>UND</v>
      </c>
      <c r="L1513" s="411"/>
      <c r="M1513" s="412"/>
      <c r="N1513" s="442"/>
      <c r="O1513" s="442"/>
      <c r="P1513" s="413"/>
      <c r="Q1513" s="411"/>
      <c r="R1513" s="413" t="str">
        <f t="shared" si="284"/>
        <v/>
      </c>
      <c r="S1513" s="414">
        <f>+HLOOKUP(A1513,[238]Hoja1!$2:$78,71,FALSE)</f>
        <v>0</v>
      </c>
      <c r="X1513" s="458">
        <f t="shared" si="287"/>
        <v>0</v>
      </c>
      <c r="Y1513" s="471">
        <f t="shared" si="288"/>
        <v>0</v>
      </c>
    </row>
    <row r="1514" spans="1:25" ht="25.5">
      <c r="A1514" s="383">
        <v>13</v>
      </c>
      <c r="C1514" s="406"/>
      <c r="D1514" s="407"/>
      <c r="E1514" s="407"/>
      <c r="F1514" s="407"/>
      <c r="G1514" s="407"/>
      <c r="H1514" s="407"/>
      <c r="I1514" s="408" t="s">
        <v>416</v>
      </c>
      <c r="J1514" s="409" t="str">
        <f t="shared" si="281"/>
        <v>UND= Cant de elementos</v>
      </c>
      <c r="K1514" s="410" t="str">
        <f>+K1509</f>
        <v>UND</v>
      </c>
      <c r="L1514" s="411"/>
      <c r="M1514" s="412"/>
      <c r="N1514" s="442"/>
      <c r="O1514" s="442"/>
      <c r="P1514" s="413"/>
      <c r="Q1514" s="411"/>
      <c r="R1514" s="413" t="str">
        <f t="shared" si="284"/>
        <v/>
      </c>
      <c r="S1514" s="414">
        <f>+HLOOKUP(A1514,[238]Hoja1!$2:$78,71,FALSE)</f>
        <v>0</v>
      </c>
      <c r="X1514" s="458">
        <f t="shared" si="287"/>
        <v>0</v>
      </c>
      <c r="Y1514" s="471">
        <f t="shared" si="288"/>
        <v>0</v>
      </c>
    </row>
    <row r="1515" spans="1:25" ht="25.5">
      <c r="A1515" s="383">
        <v>14</v>
      </c>
      <c r="C1515" s="406"/>
      <c r="D1515" s="407"/>
      <c r="E1515" s="407"/>
      <c r="F1515" s="407"/>
      <c r="G1515" s="407"/>
      <c r="H1515" s="407"/>
      <c r="I1515" s="408" t="s">
        <v>417</v>
      </c>
      <c r="J1515" s="409" t="str">
        <f t="shared" si="281"/>
        <v>UND= Cant de elementos</v>
      </c>
      <c r="K1515" s="410" t="str">
        <f t="shared" ref="K1515:K1526" si="289">+K1514</f>
        <v>UND</v>
      </c>
      <c r="L1515" s="411"/>
      <c r="M1515" s="412"/>
      <c r="N1515" s="442"/>
      <c r="O1515" s="442"/>
      <c r="P1515" s="413"/>
      <c r="Q1515" s="411"/>
      <c r="R1515" s="413">
        <f t="shared" si="284"/>
        <v>1</v>
      </c>
      <c r="S1515" s="414">
        <f>+HLOOKUP(A1515,[238]Hoja1!$2:$78,71,FALSE)</f>
        <v>1</v>
      </c>
      <c r="X1515" s="458">
        <f t="shared" si="287"/>
        <v>0</v>
      </c>
      <c r="Y1515" s="471">
        <f t="shared" si="288"/>
        <v>0</v>
      </c>
    </row>
    <row r="1516" spans="1:25" ht="25.5">
      <c r="A1516" s="383">
        <v>15</v>
      </c>
      <c r="C1516" s="406"/>
      <c r="D1516" s="407"/>
      <c r="E1516" s="407"/>
      <c r="F1516" s="407"/>
      <c r="G1516" s="407"/>
      <c r="H1516" s="407"/>
      <c r="I1516" s="408" t="s">
        <v>418</v>
      </c>
      <c r="J1516" s="409" t="str">
        <f t="shared" si="281"/>
        <v>UND= Cant de elementos</v>
      </c>
      <c r="K1516" s="410" t="str">
        <f t="shared" si="289"/>
        <v>UND</v>
      </c>
      <c r="L1516" s="411"/>
      <c r="M1516" s="412"/>
      <c r="N1516" s="442"/>
      <c r="O1516" s="442"/>
      <c r="P1516" s="413"/>
      <c r="Q1516" s="411"/>
      <c r="R1516" s="413" t="str">
        <f t="shared" si="284"/>
        <v/>
      </c>
      <c r="S1516" s="414">
        <f>+HLOOKUP(A1516,[238]Hoja1!$2:$78,71,FALSE)</f>
        <v>0</v>
      </c>
      <c r="X1516" s="458">
        <f t="shared" si="287"/>
        <v>0</v>
      </c>
      <c r="Y1516" s="471">
        <f t="shared" si="288"/>
        <v>0</v>
      </c>
    </row>
    <row r="1517" spans="1:25" ht="25.5">
      <c r="A1517" s="383">
        <v>16</v>
      </c>
      <c r="C1517" s="406"/>
      <c r="D1517" s="407"/>
      <c r="E1517" s="407"/>
      <c r="F1517" s="407"/>
      <c r="G1517" s="407"/>
      <c r="H1517" s="407"/>
      <c r="I1517" s="408" t="s">
        <v>419</v>
      </c>
      <c r="J1517" s="409" t="str">
        <f t="shared" si="281"/>
        <v>UND= Cant de elementos</v>
      </c>
      <c r="K1517" s="410" t="str">
        <f t="shared" si="289"/>
        <v>UND</v>
      </c>
      <c r="L1517" s="411"/>
      <c r="M1517" s="412"/>
      <c r="N1517" s="442"/>
      <c r="O1517" s="442"/>
      <c r="P1517" s="413"/>
      <c r="Q1517" s="411"/>
      <c r="R1517" s="413" t="str">
        <f t="shared" si="284"/>
        <v/>
      </c>
      <c r="S1517" s="414">
        <f>+HLOOKUP(A1517,[238]Hoja1!$2:$78,71,FALSE)</f>
        <v>0</v>
      </c>
      <c r="X1517" s="458">
        <f t="shared" si="287"/>
        <v>0</v>
      </c>
      <c r="Y1517" s="471">
        <f t="shared" si="288"/>
        <v>0</v>
      </c>
    </row>
    <row r="1518" spans="1:25" ht="25.5">
      <c r="A1518" s="383">
        <v>17</v>
      </c>
      <c r="C1518" s="406"/>
      <c r="D1518" s="407"/>
      <c r="E1518" s="407"/>
      <c r="F1518" s="407"/>
      <c r="G1518" s="407"/>
      <c r="H1518" s="407"/>
      <c r="I1518" s="408" t="s">
        <v>420</v>
      </c>
      <c r="J1518" s="409" t="str">
        <f t="shared" si="281"/>
        <v>UND= Cant de elementos</v>
      </c>
      <c r="K1518" s="410" t="str">
        <f t="shared" si="289"/>
        <v>UND</v>
      </c>
      <c r="L1518" s="411"/>
      <c r="M1518" s="412"/>
      <c r="N1518" s="442"/>
      <c r="O1518" s="442"/>
      <c r="P1518" s="413"/>
      <c r="Q1518" s="411"/>
      <c r="R1518" s="413" t="str">
        <f t="shared" si="284"/>
        <v/>
      </c>
      <c r="S1518" s="414">
        <f>+HLOOKUP(A1518,[238]Hoja1!$2:$78,71,FALSE)</f>
        <v>0</v>
      </c>
      <c r="V1518" s="383">
        <f>+P1518*O1518*N1518</f>
        <v>0</v>
      </c>
      <c r="X1518" s="458">
        <f t="shared" si="287"/>
        <v>0</v>
      </c>
      <c r="Y1518" s="471">
        <f t="shared" si="288"/>
        <v>0</v>
      </c>
    </row>
    <row r="1519" spans="1:25" ht="25.5">
      <c r="A1519" s="383">
        <v>18</v>
      </c>
      <c r="C1519" s="406"/>
      <c r="D1519" s="407"/>
      <c r="E1519" s="407"/>
      <c r="F1519" s="407"/>
      <c r="G1519" s="407"/>
      <c r="H1519" s="407"/>
      <c r="I1519" s="408" t="s">
        <v>429</v>
      </c>
      <c r="J1519" s="409" t="str">
        <f t="shared" si="281"/>
        <v>UND= Cant de elementos</v>
      </c>
      <c r="K1519" s="410" t="str">
        <f t="shared" si="289"/>
        <v>UND</v>
      </c>
      <c r="L1519" s="411"/>
      <c r="M1519" s="412"/>
      <c r="N1519" s="442"/>
      <c r="O1519" s="442"/>
      <c r="P1519" s="413"/>
      <c r="Q1519" s="411"/>
      <c r="R1519" s="413" t="str">
        <f t="shared" si="284"/>
        <v/>
      </c>
      <c r="S1519" s="414">
        <f>+HLOOKUP(A1519,[238]Hoja1!$2:$78,71,FALSE)</f>
        <v>0</v>
      </c>
      <c r="X1519" s="458">
        <f t="shared" si="287"/>
        <v>0</v>
      </c>
      <c r="Y1519" s="471">
        <f t="shared" si="288"/>
        <v>0</v>
      </c>
    </row>
    <row r="1520" spans="1:25" ht="25.5">
      <c r="A1520" s="383">
        <v>19</v>
      </c>
      <c r="C1520" s="406"/>
      <c r="D1520" s="407"/>
      <c r="E1520" s="407"/>
      <c r="F1520" s="407"/>
      <c r="G1520" s="407"/>
      <c r="H1520" s="407"/>
      <c r="I1520" s="408" t="s">
        <v>430</v>
      </c>
      <c r="J1520" s="409" t="str">
        <f t="shared" si="281"/>
        <v>UND= Cant de elementos</v>
      </c>
      <c r="K1520" s="410" t="str">
        <f t="shared" si="289"/>
        <v>UND</v>
      </c>
      <c r="L1520" s="411"/>
      <c r="M1520" s="412"/>
      <c r="N1520" s="442"/>
      <c r="O1520" s="442"/>
      <c r="P1520" s="413"/>
      <c r="Q1520" s="411"/>
      <c r="R1520" s="413">
        <f t="shared" si="284"/>
        <v>1</v>
      </c>
      <c r="S1520" s="414">
        <f>+HLOOKUP(A1520,[238]Hoja1!$2:$78,71,FALSE)</f>
        <v>1</v>
      </c>
      <c r="X1520" s="458">
        <f t="shared" si="287"/>
        <v>0</v>
      </c>
      <c r="Y1520" s="471">
        <f t="shared" si="288"/>
        <v>0</v>
      </c>
    </row>
    <row r="1521" spans="1:25" ht="25.5">
      <c r="A1521" s="383">
        <v>20</v>
      </c>
      <c r="C1521" s="406"/>
      <c r="D1521" s="407"/>
      <c r="E1521" s="407"/>
      <c r="F1521" s="407"/>
      <c r="G1521" s="407"/>
      <c r="H1521" s="407"/>
      <c r="I1521" s="408" t="s">
        <v>431</v>
      </c>
      <c r="J1521" s="409" t="str">
        <f t="shared" si="281"/>
        <v>UND= Cant de elementos</v>
      </c>
      <c r="K1521" s="410" t="str">
        <f t="shared" si="289"/>
        <v>UND</v>
      </c>
      <c r="L1521" s="411"/>
      <c r="M1521" s="412"/>
      <c r="N1521" s="442"/>
      <c r="O1521" s="442"/>
      <c r="P1521" s="413"/>
      <c r="Q1521" s="411"/>
      <c r="R1521" s="413" t="str">
        <f t="shared" si="284"/>
        <v/>
      </c>
      <c r="S1521" s="414">
        <f>+HLOOKUP(A1521,[238]Hoja1!$2:$78,71,FALSE)</f>
        <v>0</v>
      </c>
      <c r="X1521" s="458">
        <f t="shared" si="287"/>
        <v>0</v>
      </c>
      <c r="Y1521" s="471">
        <f t="shared" si="288"/>
        <v>0</v>
      </c>
    </row>
    <row r="1522" spans="1:25" ht="25.5">
      <c r="A1522" s="383">
        <v>21</v>
      </c>
      <c r="C1522" s="406"/>
      <c r="D1522" s="407"/>
      <c r="E1522" s="407"/>
      <c r="F1522" s="407"/>
      <c r="G1522" s="407"/>
      <c r="H1522" s="407"/>
      <c r="I1522" s="408" t="s">
        <v>432</v>
      </c>
      <c r="J1522" s="409" t="str">
        <f t="shared" si="281"/>
        <v>UND= Cant de elementos</v>
      </c>
      <c r="K1522" s="410" t="str">
        <f t="shared" si="289"/>
        <v>UND</v>
      </c>
      <c r="L1522" s="411"/>
      <c r="M1522" s="412"/>
      <c r="N1522" s="442"/>
      <c r="O1522" s="442"/>
      <c r="P1522" s="413"/>
      <c r="Q1522" s="411"/>
      <c r="R1522" s="413" t="str">
        <f t="shared" si="284"/>
        <v/>
      </c>
      <c r="S1522" s="414">
        <f>+HLOOKUP(A1522,[238]Hoja1!$2:$78,71,FALSE)</f>
        <v>0</v>
      </c>
      <c r="X1522" s="458">
        <f t="shared" si="287"/>
        <v>0</v>
      </c>
      <c r="Y1522" s="471">
        <f t="shared" si="288"/>
        <v>0</v>
      </c>
    </row>
    <row r="1523" spans="1:25" ht="25.5">
      <c r="A1523" s="383">
        <v>22</v>
      </c>
      <c r="C1523" s="406"/>
      <c r="D1523" s="407"/>
      <c r="E1523" s="407"/>
      <c r="F1523" s="407"/>
      <c r="G1523" s="407"/>
      <c r="H1523" s="407"/>
      <c r="I1523" s="408" t="s">
        <v>433</v>
      </c>
      <c r="J1523" s="409" t="str">
        <f t="shared" si="281"/>
        <v>UND= Cant de elementos</v>
      </c>
      <c r="K1523" s="410" t="str">
        <f t="shared" si="289"/>
        <v>UND</v>
      </c>
      <c r="L1523" s="411"/>
      <c r="M1523" s="412"/>
      <c r="N1523" s="442"/>
      <c r="O1523" s="442"/>
      <c r="P1523" s="413"/>
      <c r="Q1523" s="411"/>
      <c r="R1523" s="413">
        <f t="shared" si="284"/>
        <v>1</v>
      </c>
      <c r="S1523" s="414">
        <f>+HLOOKUP(A1523,[238]Hoja1!$2:$78,71,FALSE)</f>
        <v>1</v>
      </c>
      <c r="X1523" s="458">
        <f t="shared" si="287"/>
        <v>0</v>
      </c>
      <c r="Y1523" s="471">
        <f t="shared" si="288"/>
        <v>0</v>
      </c>
    </row>
    <row r="1524" spans="1:25" ht="25.5">
      <c r="A1524" s="383">
        <v>23</v>
      </c>
      <c r="C1524" s="406"/>
      <c r="D1524" s="407"/>
      <c r="E1524" s="407"/>
      <c r="F1524" s="407"/>
      <c r="G1524" s="407"/>
      <c r="H1524" s="407"/>
      <c r="I1524" s="408" t="s">
        <v>434</v>
      </c>
      <c r="J1524" s="409" t="str">
        <f t="shared" si="281"/>
        <v>UND= Cant de elementos</v>
      </c>
      <c r="K1524" s="410" t="str">
        <f t="shared" si="289"/>
        <v>UND</v>
      </c>
      <c r="L1524" s="411"/>
      <c r="M1524" s="412"/>
      <c r="N1524" s="441"/>
      <c r="O1524" s="442"/>
      <c r="P1524" s="413"/>
      <c r="Q1524" s="411"/>
      <c r="R1524" s="413" t="str">
        <f t="shared" si="284"/>
        <v/>
      </c>
      <c r="S1524" s="414">
        <f>+HLOOKUP(A1524,[238]Hoja1!$2:$78,71,FALSE)</f>
        <v>0</v>
      </c>
      <c r="X1524" s="458">
        <f t="shared" si="287"/>
        <v>0</v>
      </c>
      <c r="Y1524" s="471">
        <f t="shared" si="288"/>
        <v>0</v>
      </c>
    </row>
    <row r="1525" spans="1:25" ht="25.5">
      <c r="A1525" s="383">
        <v>24</v>
      </c>
      <c r="C1525" s="406"/>
      <c r="D1525" s="407"/>
      <c r="E1525" s="407"/>
      <c r="F1525" s="407"/>
      <c r="G1525" s="407"/>
      <c r="H1525" s="407"/>
      <c r="I1525" s="408" t="s">
        <v>435</v>
      </c>
      <c r="J1525" s="409" t="str">
        <f t="shared" si="281"/>
        <v>UND= Cant de elementos</v>
      </c>
      <c r="K1525" s="410" t="str">
        <f t="shared" si="289"/>
        <v>UND</v>
      </c>
      <c r="L1525" s="411"/>
      <c r="M1525" s="412"/>
      <c r="N1525" s="442"/>
      <c r="O1525" s="442"/>
      <c r="P1525" s="413"/>
      <c r="Q1525" s="411"/>
      <c r="R1525" s="413" t="str">
        <f t="shared" si="284"/>
        <v/>
      </c>
      <c r="S1525" s="414">
        <f>+HLOOKUP(A1525,[238]Hoja1!$2:$78,71,FALSE)</f>
        <v>0</v>
      </c>
      <c r="X1525" s="458">
        <f t="shared" si="287"/>
        <v>0</v>
      </c>
      <c r="Y1525" s="471">
        <f t="shared" si="288"/>
        <v>0</v>
      </c>
    </row>
    <row r="1526" spans="1:25" ht="25.5">
      <c r="A1526" s="383">
        <v>25</v>
      </c>
      <c r="C1526" s="406"/>
      <c r="D1526" s="407"/>
      <c r="E1526" s="407"/>
      <c r="F1526" s="407"/>
      <c r="G1526" s="407"/>
      <c r="H1526" s="407"/>
      <c r="I1526" s="408" t="s">
        <v>436</v>
      </c>
      <c r="J1526" s="409" t="str">
        <f t="shared" si="281"/>
        <v>UND= Cant de elementos</v>
      </c>
      <c r="K1526" s="410" t="str">
        <f t="shared" si="289"/>
        <v>UND</v>
      </c>
      <c r="L1526" s="411"/>
      <c r="M1526" s="412"/>
      <c r="N1526" s="442"/>
      <c r="O1526" s="442"/>
      <c r="P1526" s="413"/>
      <c r="Q1526" s="411"/>
      <c r="R1526" s="413" t="str">
        <f t="shared" si="284"/>
        <v/>
      </c>
      <c r="S1526" s="414">
        <f>+HLOOKUP(A1526,[238]Hoja1!$2:$78,71,FALSE)</f>
        <v>0</v>
      </c>
      <c r="X1526" s="458">
        <f t="shared" si="287"/>
        <v>0</v>
      </c>
      <c r="Y1526" s="471">
        <f t="shared" si="288"/>
        <v>0</v>
      </c>
    </row>
    <row r="1527" spans="1:25" ht="25.5">
      <c r="A1527" s="383">
        <v>26</v>
      </c>
      <c r="C1527" s="406"/>
      <c r="D1527" s="407"/>
      <c r="E1527" s="407"/>
      <c r="F1527" s="407"/>
      <c r="G1527" s="407"/>
      <c r="H1527" s="407"/>
      <c r="I1527" s="408" t="s">
        <v>437</v>
      </c>
      <c r="J1527" s="409" t="str">
        <f t="shared" si="281"/>
        <v>UND= Cant de elementos</v>
      </c>
      <c r="K1527" s="410" t="str">
        <f>+K1516</f>
        <v>UND</v>
      </c>
      <c r="L1527" s="411"/>
      <c r="M1527" s="412"/>
      <c r="N1527" s="442"/>
      <c r="O1527" s="442"/>
      <c r="P1527" s="413"/>
      <c r="Q1527" s="411"/>
      <c r="R1527" s="413" t="str">
        <f t="shared" si="284"/>
        <v/>
      </c>
      <c r="S1527" s="414">
        <f>+HLOOKUP(A1527,[238]Hoja1!$2:$78,71,FALSE)</f>
        <v>0</v>
      </c>
      <c r="X1527" s="458">
        <f t="shared" si="287"/>
        <v>0</v>
      </c>
      <c r="Y1527" s="471">
        <f t="shared" si="288"/>
        <v>0</v>
      </c>
    </row>
    <row r="1528" spans="1:25" ht="25.5">
      <c r="A1528" s="383">
        <v>27</v>
      </c>
      <c r="C1528" s="406"/>
      <c r="D1528" s="407"/>
      <c r="E1528" s="407"/>
      <c r="F1528" s="407"/>
      <c r="G1528" s="407"/>
      <c r="H1528" s="407"/>
      <c r="I1528" s="408" t="s">
        <v>438</v>
      </c>
      <c r="J1528" s="409" t="str">
        <f t="shared" si="281"/>
        <v>UND= Cant de elementos</v>
      </c>
      <c r="K1528" s="410" t="str">
        <f t="shared" ref="K1528:K1536" si="290">+K1527</f>
        <v>UND</v>
      </c>
      <c r="L1528" s="411"/>
      <c r="M1528" s="412"/>
      <c r="N1528" s="442"/>
      <c r="O1528" s="442"/>
      <c r="P1528" s="413"/>
      <c r="Q1528" s="411"/>
      <c r="R1528" s="413">
        <f t="shared" si="284"/>
        <v>1</v>
      </c>
      <c r="S1528" s="414">
        <f>+HLOOKUP(A1528,[238]Hoja1!$2:$78,71,FALSE)</f>
        <v>1</v>
      </c>
      <c r="X1528" s="458">
        <f t="shared" si="287"/>
        <v>0</v>
      </c>
      <c r="Y1528" s="471">
        <f t="shared" si="288"/>
        <v>0</v>
      </c>
    </row>
    <row r="1529" spans="1:25" ht="25.5">
      <c r="A1529" s="383">
        <v>28</v>
      </c>
      <c r="C1529" s="406"/>
      <c r="D1529" s="440"/>
      <c r="E1529" s="407"/>
      <c r="F1529" s="407"/>
      <c r="G1529" s="407"/>
      <c r="H1529" s="437"/>
      <c r="I1529" s="408" t="s">
        <v>439</v>
      </c>
      <c r="J1529" s="409" t="str">
        <f t="shared" si="281"/>
        <v>UND= Cant de elementos</v>
      </c>
      <c r="K1529" s="410" t="str">
        <f t="shared" si="290"/>
        <v>UND</v>
      </c>
      <c r="L1529" s="411"/>
      <c r="M1529" s="412"/>
      <c r="N1529" s="442"/>
      <c r="O1529" s="442"/>
      <c r="P1529" s="413"/>
      <c r="Q1529" s="411"/>
      <c r="R1529" s="413" t="str">
        <f t="shared" si="284"/>
        <v/>
      </c>
      <c r="S1529" s="414">
        <f>+HLOOKUP(A1529,[238]Hoja1!$2:$78,71,FALSE)</f>
        <v>0</v>
      </c>
      <c r="X1529" s="458">
        <f t="shared" si="287"/>
        <v>0</v>
      </c>
      <c r="Y1529" s="471">
        <f t="shared" si="288"/>
        <v>0</v>
      </c>
    </row>
    <row r="1530" spans="1:25" ht="25.5">
      <c r="A1530" s="383">
        <v>29</v>
      </c>
      <c r="C1530" s="406"/>
      <c r="D1530" s="407"/>
      <c r="E1530" s="407"/>
      <c r="F1530" s="407"/>
      <c r="G1530" s="407"/>
      <c r="H1530" s="407"/>
      <c r="I1530" s="408" t="s">
        <v>440</v>
      </c>
      <c r="J1530" s="409" t="str">
        <f t="shared" si="281"/>
        <v>UND= Cant de elementos</v>
      </c>
      <c r="K1530" s="410" t="str">
        <f t="shared" si="290"/>
        <v>UND</v>
      </c>
      <c r="L1530" s="411"/>
      <c r="M1530" s="412"/>
      <c r="N1530" s="443"/>
      <c r="O1530" s="442"/>
      <c r="P1530" s="413"/>
      <c r="Q1530" s="411"/>
      <c r="R1530" s="413" t="str">
        <f t="shared" si="284"/>
        <v/>
      </c>
      <c r="S1530" s="414">
        <f>+HLOOKUP(A1530,[238]Hoja1!$2:$78,71,FALSE)</f>
        <v>0</v>
      </c>
      <c r="X1530" s="458">
        <f t="shared" si="287"/>
        <v>0</v>
      </c>
      <c r="Y1530" s="471">
        <f t="shared" si="288"/>
        <v>0</v>
      </c>
    </row>
    <row r="1531" spans="1:25" ht="25.5">
      <c r="A1531" s="383">
        <v>30</v>
      </c>
      <c r="C1531" s="406"/>
      <c r="D1531" s="407"/>
      <c r="E1531" s="407"/>
      <c r="F1531" s="407"/>
      <c r="G1531" s="407"/>
      <c r="H1531" s="407"/>
      <c r="I1531" s="408" t="s">
        <v>441</v>
      </c>
      <c r="J1531" s="409" t="str">
        <f t="shared" si="281"/>
        <v>UND= Cant de elementos</v>
      </c>
      <c r="K1531" s="410" t="str">
        <f t="shared" si="290"/>
        <v>UND</v>
      </c>
      <c r="L1531" s="411"/>
      <c r="M1531" s="412"/>
      <c r="N1531" s="442"/>
      <c r="O1531" s="442"/>
      <c r="P1531" s="413"/>
      <c r="Q1531" s="411"/>
      <c r="R1531" s="413" t="str">
        <f t="shared" si="284"/>
        <v/>
      </c>
      <c r="S1531" s="414">
        <f>+HLOOKUP(A1531,[238]Hoja1!$2:$78,71,FALSE)</f>
        <v>0</v>
      </c>
      <c r="X1531" s="458">
        <f t="shared" si="287"/>
        <v>0</v>
      </c>
      <c r="Y1531" s="471">
        <f t="shared" si="288"/>
        <v>0</v>
      </c>
    </row>
    <row r="1532" spans="1:25" ht="25.5">
      <c r="A1532" s="383">
        <v>31</v>
      </c>
      <c r="C1532" s="406"/>
      <c r="D1532" s="407"/>
      <c r="E1532" s="407"/>
      <c r="F1532" s="407"/>
      <c r="G1532" s="407"/>
      <c r="H1532" s="407"/>
      <c r="I1532" s="408" t="s">
        <v>442</v>
      </c>
      <c r="J1532" s="409" t="str">
        <f t="shared" si="281"/>
        <v>UND= Cant de elementos</v>
      </c>
      <c r="K1532" s="410" t="str">
        <f t="shared" si="290"/>
        <v>UND</v>
      </c>
      <c r="L1532" s="411"/>
      <c r="M1532" s="412"/>
      <c r="N1532" s="442"/>
      <c r="O1532" s="442"/>
      <c r="P1532" s="413"/>
      <c r="Q1532" s="411"/>
      <c r="R1532" s="413" t="str">
        <f t="shared" si="284"/>
        <v/>
      </c>
      <c r="S1532" s="414">
        <f>+HLOOKUP(A1532,[238]Hoja1!$2:$78,71,FALSE)</f>
        <v>0</v>
      </c>
      <c r="X1532" s="458">
        <f t="shared" si="287"/>
        <v>0</v>
      </c>
      <c r="Y1532" s="471">
        <f t="shared" si="288"/>
        <v>0</v>
      </c>
    </row>
    <row r="1533" spans="1:25" ht="25.5">
      <c r="A1533" s="383">
        <v>32</v>
      </c>
      <c r="C1533" s="406"/>
      <c r="D1533" s="407"/>
      <c r="E1533" s="407"/>
      <c r="F1533" s="407"/>
      <c r="G1533" s="407"/>
      <c r="H1533" s="407"/>
      <c r="I1533" s="408" t="s">
        <v>443</v>
      </c>
      <c r="J1533" s="409" t="str">
        <f t="shared" si="281"/>
        <v>UND= Cant de elementos</v>
      </c>
      <c r="K1533" s="410" t="str">
        <f t="shared" si="290"/>
        <v>UND</v>
      </c>
      <c r="L1533" s="411"/>
      <c r="M1533" s="412"/>
      <c r="N1533" s="442"/>
      <c r="O1533" s="442"/>
      <c r="P1533" s="413"/>
      <c r="Q1533" s="411"/>
      <c r="R1533" s="413" t="str">
        <f t="shared" si="284"/>
        <v/>
      </c>
      <c r="S1533" s="414">
        <f>+HLOOKUP(A1533,[238]Hoja1!$2:$78,71,FALSE)</f>
        <v>0</v>
      </c>
      <c r="X1533" s="458">
        <f t="shared" si="287"/>
        <v>0</v>
      </c>
      <c r="Y1533" s="471">
        <f t="shared" si="288"/>
        <v>0</v>
      </c>
    </row>
    <row r="1534" spans="1:25" ht="25.5">
      <c r="A1534" s="383">
        <v>33</v>
      </c>
      <c r="C1534" s="406"/>
      <c r="D1534" s="407"/>
      <c r="E1534" s="407"/>
      <c r="F1534" s="407"/>
      <c r="G1534" s="407"/>
      <c r="H1534" s="407"/>
      <c r="I1534" s="408" t="s">
        <v>444</v>
      </c>
      <c r="J1534" s="409" t="str">
        <f t="shared" si="281"/>
        <v>UND= Cant de elementos</v>
      </c>
      <c r="K1534" s="410" t="str">
        <f t="shared" si="290"/>
        <v>UND</v>
      </c>
      <c r="L1534" s="411"/>
      <c r="M1534" s="412"/>
      <c r="N1534" s="442"/>
      <c r="O1534" s="442"/>
      <c r="P1534" s="413"/>
      <c r="Q1534" s="411"/>
      <c r="R1534" s="413" t="str">
        <f t="shared" si="284"/>
        <v/>
      </c>
      <c r="S1534" s="414">
        <f>+HLOOKUP(A1534,[238]Hoja1!$2:$78,71,FALSE)</f>
        <v>0</v>
      </c>
      <c r="X1534" s="458">
        <f t="shared" si="287"/>
        <v>0</v>
      </c>
      <c r="Y1534" s="471">
        <f t="shared" si="288"/>
        <v>0</v>
      </c>
    </row>
    <row r="1535" spans="1:25" ht="25.5">
      <c r="A1535" s="383">
        <v>34</v>
      </c>
      <c r="C1535" s="406"/>
      <c r="D1535" s="407"/>
      <c r="E1535" s="407"/>
      <c r="F1535" s="407"/>
      <c r="G1535" s="407"/>
      <c r="H1535" s="407"/>
      <c r="I1535" s="408" t="s">
        <v>445</v>
      </c>
      <c r="J1535" s="409" t="str">
        <f t="shared" si="281"/>
        <v>UND= Cant de elementos</v>
      </c>
      <c r="K1535" s="410" t="str">
        <f t="shared" si="290"/>
        <v>UND</v>
      </c>
      <c r="L1535" s="411"/>
      <c r="M1535" s="412"/>
      <c r="N1535" s="441"/>
      <c r="O1535" s="442"/>
      <c r="P1535" s="413"/>
      <c r="Q1535" s="411"/>
      <c r="R1535" s="413" t="str">
        <f t="shared" si="284"/>
        <v/>
      </c>
      <c r="S1535" s="414">
        <f>+HLOOKUP(A1535,[238]Hoja1!$2:$78,71,FALSE)</f>
        <v>0</v>
      </c>
      <c r="X1535" s="458">
        <f t="shared" si="287"/>
        <v>0</v>
      </c>
      <c r="Y1535" s="471">
        <f t="shared" si="288"/>
        <v>0</v>
      </c>
    </row>
    <row r="1536" spans="1:25" ht="25.5">
      <c r="A1536" s="383">
        <v>35</v>
      </c>
      <c r="C1536" s="406"/>
      <c r="D1536" s="440"/>
      <c r="E1536" s="407"/>
      <c r="F1536" s="407"/>
      <c r="G1536" s="407"/>
      <c r="H1536" s="437"/>
      <c r="I1536" s="408" t="s">
        <v>446</v>
      </c>
      <c r="J1536" s="409" t="str">
        <f t="shared" si="281"/>
        <v>UND= Cant de elementos</v>
      </c>
      <c r="K1536" s="410" t="str">
        <f t="shared" si="290"/>
        <v>UND</v>
      </c>
      <c r="L1536" s="411"/>
      <c r="M1536" s="412"/>
      <c r="N1536" s="442"/>
      <c r="O1536" s="442"/>
      <c r="P1536" s="413"/>
      <c r="Q1536" s="411"/>
      <c r="R1536" s="413" t="str">
        <f t="shared" si="284"/>
        <v/>
      </c>
      <c r="S1536" s="414">
        <f>+HLOOKUP(A1536,[238]Hoja1!$2:$78,71,FALSE)</f>
        <v>0</v>
      </c>
      <c r="X1536" s="458">
        <f t="shared" si="287"/>
        <v>0</v>
      </c>
      <c r="Y1536" s="471">
        <f t="shared" si="288"/>
        <v>0</v>
      </c>
    </row>
    <row r="1537" spans="1:25" ht="25.5">
      <c r="A1537" s="383">
        <v>36</v>
      </c>
      <c r="C1537" s="406"/>
      <c r="D1537" s="407"/>
      <c r="E1537" s="407"/>
      <c r="F1537" s="407"/>
      <c r="G1537" s="407"/>
      <c r="H1537" s="407"/>
      <c r="I1537" s="408" t="s">
        <v>447</v>
      </c>
      <c r="J1537" s="409" t="str">
        <f t="shared" si="281"/>
        <v>UND= Cant de elementos</v>
      </c>
      <c r="K1537" s="410" t="str">
        <f>+K1526</f>
        <v>UND</v>
      </c>
      <c r="L1537" s="411"/>
      <c r="M1537" s="412"/>
      <c r="N1537" s="442"/>
      <c r="O1537" s="442"/>
      <c r="P1537" s="413"/>
      <c r="Q1537" s="411"/>
      <c r="R1537" s="413" t="str">
        <f t="shared" si="284"/>
        <v/>
      </c>
      <c r="S1537" s="414">
        <f>+HLOOKUP(A1537,[238]Hoja1!$2:$78,71,FALSE)</f>
        <v>0</v>
      </c>
      <c r="X1537" s="458">
        <f t="shared" si="287"/>
        <v>0</v>
      </c>
      <c r="Y1537" s="471">
        <f t="shared" si="288"/>
        <v>0</v>
      </c>
    </row>
    <row r="1538" spans="1:25" ht="25.5">
      <c r="A1538" s="383">
        <v>37</v>
      </c>
      <c r="C1538" s="406"/>
      <c r="D1538" s="407"/>
      <c r="E1538" s="407"/>
      <c r="F1538" s="407"/>
      <c r="G1538" s="407"/>
      <c r="H1538" s="407"/>
      <c r="I1538" s="408" t="s">
        <v>448</v>
      </c>
      <c r="J1538" s="409" t="str">
        <f t="shared" si="281"/>
        <v>UND= Cant de elementos</v>
      </c>
      <c r="K1538" s="410" t="str">
        <f t="shared" ref="K1538:K1544" si="291">+K1537</f>
        <v>UND</v>
      </c>
      <c r="L1538" s="411"/>
      <c r="M1538" s="412"/>
      <c r="N1538" s="441"/>
      <c r="O1538" s="442"/>
      <c r="P1538" s="413"/>
      <c r="Q1538" s="411"/>
      <c r="R1538" s="413" t="str">
        <f t="shared" si="284"/>
        <v/>
      </c>
      <c r="S1538" s="414">
        <f>+HLOOKUP(A1538,[238]Hoja1!$2:$78,71,FALSE)</f>
        <v>0</v>
      </c>
      <c r="X1538" s="458">
        <f t="shared" si="287"/>
        <v>0</v>
      </c>
      <c r="Y1538" s="471">
        <f t="shared" si="288"/>
        <v>0</v>
      </c>
    </row>
    <row r="1539" spans="1:25" ht="25.5">
      <c r="A1539" s="383">
        <v>38</v>
      </c>
      <c r="C1539" s="406"/>
      <c r="D1539" s="440"/>
      <c r="E1539" s="407"/>
      <c r="F1539" s="407"/>
      <c r="G1539" s="407"/>
      <c r="H1539" s="437"/>
      <c r="I1539" s="408" t="s">
        <v>449</v>
      </c>
      <c r="J1539" s="409" t="str">
        <f t="shared" si="281"/>
        <v>UND= Cant de elementos</v>
      </c>
      <c r="K1539" s="410" t="str">
        <f t="shared" si="291"/>
        <v>UND</v>
      </c>
      <c r="L1539" s="411"/>
      <c r="M1539" s="412"/>
      <c r="N1539" s="442"/>
      <c r="O1539" s="442"/>
      <c r="P1539" s="413"/>
      <c r="Q1539" s="411"/>
      <c r="R1539" s="413">
        <f t="shared" si="284"/>
        <v>1</v>
      </c>
      <c r="S1539" s="414">
        <f>+HLOOKUP(A1539,[238]Hoja1!$2:$78,71,FALSE)</f>
        <v>1</v>
      </c>
      <c r="X1539" s="458">
        <f t="shared" si="287"/>
        <v>0</v>
      </c>
      <c r="Y1539" s="471">
        <f t="shared" si="288"/>
        <v>0</v>
      </c>
    </row>
    <row r="1540" spans="1:25" ht="25.5">
      <c r="A1540" s="383">
        <v>39</v>
      </c>
      <c r="C1540" s="406"/>
      <c r="D1540" s="407"/>
      <c r="E1540" s="407"/>
      <c r="F1540" s="407"/>
      <c r="G1540" s="407"/>
      <c r="H1540" s="407"/>
      <c r="I1540" s="408" t="s">
        <v>450</v>
      </c>
      <c r="J1540" s="409" t="str">
        <f t="shared" si="281"/>
        <v>UND= Cant de elementos</v>
      </c>
      <c r="K1540" s="410" t="str">
        <f t="shared" si="291"/>
        <v>UND</v>
      </c>
      <c r="L1540" s="411"/>
      <c r="M1540" s="412"/>
      <c r="N1540" s="441"/>
      <c r="O1540" s="442"/>
      <c r="P1540" s="413"/>
      <c r="Q1540" s="411"/>
      <c r="R1540" s="413" t="str">
        <f t="shared" si="284"/>
        <v/>
      </c>
      <c r="S1540" s="414">
        <f>+HLOOKUP(A1540,[238]Hoja1!$2:$78,71,FALSE)</f>
        <v>0</v>
      </c>
      <c r="X1540" s="458">
        <f t="shared" si="287"/>
        <v>0</v>
      </c>
      <c r="Y1540" s="471">
        <f t="shared" si="288"/>
        <v>0</v>
      </c>
    </row>
    <row r="1541" spans="1:25" ht="25.5">
      <c r="A1541" s="383">
        <v>40</v>
      </c>
      <c r="C1541" s="406"/>
      <c r="D1541" s="407"/>
      <c r="E1541" s="407"/>
      <c r="F1541" s="407"/>
      <c r="G1541" s="407"/>
      <c r="H1541" s="407"/>
      <c r="I1541" s="408" t="s">
        <v>451</v>
      </c>
      <c r="J1541" s="409" t="str">
        <f t="shared" si="281"/>
        <v>UND= Cant de elementos</v>
      </c>
      <c r="K1541" s="410" t="str">
        <f t="shared" si="291"/>
        <v>UND</v>
      </c>
      <c r="L1541" s="411"/>
      <c r="M1541" s="412"/>
      <c r="N1541" s="442"/>
      <c r="O1541" s="442"/>
      <c r="P1541" s="413"/>
      <c r="Q1541" s="411"/>
      <c r="R1541" s="413" t="str">
        <f t="shared" si="284"/>
        <v/>
      </c>
      <c r="S1541" s="414">
        <f>+HLOOKUP(A1541,[238]Hoja1!$2:$78,71,FALSE)</f>
        <v>0</v>
      </c>
      <c r="X1541" s="458">
        <f t="shared" si="287"/>
        <v>0</v>
      </c>
      <c r="Y1541" s="471">
        <f t="shared" si="288"/>
        <v>0</v>
      </c>
    </row>
    <row r="1542" spans="1:25" ht="25.5">
      <c r="A1542" s="383">
        <v>41</v>
      </c>
      <c r="C1542" s="406"/>
      <c r="D1542" s="407"/>
      <c r="E1542" s="407"/>
      <c r="F1542" s="407"/>
      <c r="G1542" s="407"/>
      <c r="H1542" s="407"/>
      <c r="I1542" s="408" t="s">
        <v>452</v>
      </c>
      <c r="J1542" s="409" t="str">
        <f t="shared" si="281"/>
        <v>UND= Cant de elementos</v>
      </c>
      <c r="K1542" s="410" t="str">
        <f t="shared" si="291"/>
        <v>UND</v>
      </c>
      <c r="L1542" s="411"/>
      <c r="M1542" s="412"/>
      <c r="N1542" s="442"/>
      <c r="O1542" s="442"/>
      <c r="P1542" s="413"/>
      <c r="Q1542" s="411"/>
      <c r="R1542" s="413">
        <f t="shared" si="284"/>
        <v>1</v>
      </c>
      <c r="S1542" s="414">
        <f>+HLOOKUP(A1542,[238]Hoja1!$2:$78,71,FALSE)</f>
        <v>1</v>
      </c>
      <c r="X1542" s="458">
        <f t="shared" si="287"/>
        <v>0</v>
      </c>
      <c r="Y1542" s="471">
        <f t="shared" si="288"/>
        <v>0</v>
      </c>
    </row>
    <row r="1543" spans="1:25" ht="25.5">
      <c r="A1543" s="383">
        <v>42</v>
      </c>
      <c r="C1543" s="406"/>
      <c r="D1543" s="407"/>
      <c r="E1543" s="407"/>
      <c r="F1543" s="407"/>
      <c r="G1543" s="407"/>
      <c r="H1543" s="407"/>
      <c r="I1543" s="408" t="s">
        <v>453</v>
      </c>
      <c r="J1543" s="409" t="str">
        <f t="shared" si="281"/>
        <v>UND= Cant de elementos</v>
      </c>
      <c r="K1543" s="410" t="str">
        <f t="shared" si="291"/>
        <v>UND</v>
      </c>
      <c r="L1543" s="411"/>
      <c r="M1543" s="412"/>
      <c r="N1543" s="442"/>
      <c r="O1543" s="442"/>
      <c r="P1543" s="413"/>
      <c r="Q1543" s="411"/>
      <c r="R1543" s="413" t="str">
        <f t="shared" si="284"/>
        <v/>
      </c>
      <c r="S1543" s="414">
        <f>+HLOOKUP(A1543,[238]Hoja1!$2:$78,71,FALSE)</f>
        <v>0</v>
      </c>
      <c r="X1543" s="458">
        <f t="shared" si="287"/>
        <v>0</v>
      </c>
      <c r="Y1543" s="471">
        <f t="shared" si="288"/>
        <v>0</v>
      </c>
    </row>
    <row r="1544" spans="1:25" ht="26.25" thickBot="1">
      <c r="A1544" s="383">
        <v>43</v>
      </c>
      <c r="C1544" s="406"/>
      <c r="D1544" s="407"/>
      <c r="E1544" s="407"/>
      <c r="F1544" s="407"/>
      <c r="G1544" s="407"/>
      <c r="H1544" s="407"/>
      <c r="I1544" s="408" t="s">
        <v>454</v>
      </c>
      <c r="J1544" s="409" t="str">
        <f t="shared" si="281"/>
        <v>UND= Cant de elementos</v>
      </c>
      <c r="K1544" s="410" t="str">
        <f t="shared" si="291"/>
        <v>UND</v>
      </c>
      <c r="L1544" s="411"/>
      <c r="M1544" s="412"/>
      <c r="N1544" s="442"/>
      <c r="O1544" s="442"/>
      <c r="P1544" s="413"/>
      <c r="Q1544" s="411"/>
      <c r="R1544" s="413" t="str">
        <f t="shared" si="284"/>
        <v/>
      </c>
      <c r="S1544" s="414">
        <f>+HLOOKUP(A1544,[238]Hoja1!$2:$78,71,FALSE)</f>
        <v>0</v>
      </c>
      <c r="X1544" s="458">
        <f t="shared" si="287"/>
        <v>0</v>
      </c>
      <c r="Y1544" s="471">
        <f t="shared" si="288"/>
        <v>0</v>
      </c>
    </row>
    <row r="1545" spans="1:25">
      <c r="C1545" s="384"/>
      <c r="D1545" s="419"/>
      <c r="E1545" s="420"/>
      <c r="F1545" s="421"/>
      <c r="G1545" s="421"/>
      <c r="H1545" s="421"/>
      <c r="I1545" s="421"/>
      <c r="J1545" s="422"/>
      <c r="K1545" s="421"/>
      <c r="L1545" s="421"/>
      <c r="M1545" s="421"/>
      <c r="N1545" s="421"/>
      <c r="O1545" s="421"/>
      <c r="P1545" s="421"/>
      <c r="Q1545" s="421"/>
      <c r="R1545" s="422"/>
      <c r="S1545" s="423"/>
    </row>
    <row r="1546" spans="1:25">
      <c r="C1546" s="396"/>
      <c r="D1546" s="397"/>
      <c r="E1546" s="424"/>
      <c r="F1546" s="425"/>
      <c r="G1546" s="425"/>
      <c r="H1546" s="425"/>
      <c r="I1546" s="425"/>
      <c r="J1546" s="398"/>
      <c r="K1546" s="425"/>
      <c r="L1546" s="425"/>
      <c r="M1546" s="397"/>
      <c r="N1546" s="397"/>
      <c r="O1546" s="562" t="s">
        <v>455</v>
      </c>
      <c r="P1546" s="563"/>
      <c r="Q1546" s="564"/>
      <c r="R1546" s="426"/>
      <c r="S1546" s="427">
        <f>ROUND(SUM(S1502:S1545),2)</f>
        <v>11</v>
      </c>
    </row>
    <row r="1547" spans="1:25">
      <c r="C1547" s="396"/>
      <c r="D1547" s="397"/>
      <c r="E1547" s="424"/>
      <c r="F1547" s="425"/>
      <c r="G1547" s="425"/>
      <c r="H1547" s="425"/>
      <c r="I1547" s="425"/>
      <c r="J1547" s="398"/>
      <c r="K1547" s="425"/>
      <c r="L1547" s="425"/>
      <c r="M1547" s="428"/>
      <c r="N1547" s="428"/>
      <c r="O1547" s="429"/>
      <c r="P1547" s="425"/>
      <c r="Q1547" s="425"/>
      <c r="R1547" s="430"/>
      <c r="S1547" s="431"/>
    </row>
    <row r="1548" spans="1:25">
      <c r="C1548" s="565" t="e">
        <v>#REF!</v>
      </c>
      <c r="D1548" s="566"/>
      <c r="E1548" s="566"/>
      <c r="F1548" s="566"/>
      <c r="G1548" s="566"/>
      <c r="H1548" s="566"/>
      <c r="I1548" s="566"/>
      <c r="J1548" s="566"/>
      <c r="K1548" s="566"/>
      <c r="L1548" s="566"/>
      <c r="M1548" s="566"/>
      <c r="N1548" s="567"/>
      <c r="O1548" s="568" t="s">
        <v>422</v>
      </c>
      <c r="P1548" s="568"/>
      <c r="Q1548" s="568"/>
      <c r="R1548" s="426"/>
      <c r="S1548" s="427">
        <f>S1546</f>
        <v>11</v>
      </c>
    </row>
    <row r="1549" spans="1:25">
      <c r="C1549" s="396"/>
      <c r="D1549" s="397"/>
      <c r="E1549" s="424"/>
      <c r="F1549" s="425"/>
      <c r="G1549" s="425"/>
      <c r="H1549" s="425"/>
      <c r="I1549" s="425"/>
      <c r="J1549" s="398"/>
      <c r="K1549" s="425"/>
      <c r="L1549" s="425"/>
      <c r="M1549" s="428"/>
      <c r="N1549" s="428"/>
      <c r="O1549" s="429"/>
      <c r="P1549" s="425"/>
      <c r="Q1549" s="398"/>
      <c r="R1549" s="398"/>
      <c r="S1549" s="432"/>
    </row>
    <row r="1550" spans="1:25">
      <c r="C1550" s="396"/>
      <c r="D1550" s="397"/>
      <c r="E1550" s="424"/>
      <c r="F1550" s="425"/>
      <c r="G1550" s="425"/>
      <c r="H1550" s="425"/>
      <c r="I1550" s="425"/>
      <c r="J1550" s="398"/>
      <c r="K1550" s="425"/>
      <c r="L1550" s="425"/>
      <c r="M1550" s="428"/>
      <c r="N1550" s="428"/>
      <c r="O1550" s="429"/>
      <c r="P1550" s="425"/>
      <c r="Q1550" s="398"/>
      <c r="R1550" s="398"/>
      <c r="S1550" s="432"/>
    </row>
    <row r="1551" spans="1:25">
      <c r="C1551" s="569" t="s">
        <v>423</v>
      </c>
      <c r="D1551" s="570"/>
      <c r="E1551" s="570"/>
      <c r="F1551" s="570"/>
      <c r="G1551" s="570"/>
      <c r="H1551" s="570"/>
      <c r="I1551" s="570"/>
      <c r="J1551" s="571"/>
      <c r="K1551" s="433" t="s">
        <v>424</v>
      </c>
      <c r="L1551" s="434"/>
      <c r="M1551" s="434"/>
      <c r="N1551" s="434"/>
      <c r="O1551" s="434"/>
      <c r="P1551" s="434"/>
      <c r="Q1551" s="434"/>
      <c r="R1551" s="434"/>
      <c r="S1551" s="435"/>
    </row>
    <row r="1552" spans="1:25">
      <c r="C1552" s="542"/>
      <c r="D1552" s="543"/>
      <c r="E1552" s="543"/>
      <c r="F1552" s="543"/>
      <c r="G1552" s="436"/>
      <c r="H1552" s="436"/>
      <c r="I1552" s="436"/>
      <c r="J1552" s="447"/>
      <c r="K1552" s="436"/>
      <c r="L1552" s="407"/>
      <c r="M1552" s="407"/>
      <c r="N1552" s="407"/>
      <c r="O1552" s="407"/>
      <c r="P1552" s="407"/>
      <c r="Q1552" s="407"/>
      <c r="R1552" s="407"/>
      <c r="S1552" s="437"/>
    </row>
    <row r="1553" spans="3:19">
      <c r="C1553" s="542"/>
      <c r="D1553" s="543"/>
      <c r="E1553" s="543"/>
      <c r="F1553" s="543"/>
      <c r="G1553" s="436"/>
      <c r="H1553" s="436"/>
      <c r="I1553" s="436"/>
      <c r="J1553" s="447"/>
      <c r="K1553" s="436"/>
      <c r="L1553" s="407"/>
      <c r="M1553" s="407"/>
      <c r="N1553" s="407"/>
      <c r="O1553" s="407"/>
      <c r="P1553" s="407"/>
      <c r="Q1553" s="407"/>
      <c r="R1553" s="407"/>
      <c r="S1553" s="437"/>
    </row>
    <row r="1554" spans="3:19">
      <c r="C1554" s="542" t="s">
        <v>425</v>
      </c>
      <c r="D1554" s="543"/>
      <c r="E1554" s="543" t="s">
        <v>425</v>
      </c>
      <c r="F1554" s="543"/>
      <c r="G1554" s="543" t="s">
        <v>425</v>
      </c>
      <c r="H1554" s="543"/>
      <c r="I1554" s="543" t="s">
        <v>425</v>
      </c>
      <c r="J1554" s="544"/>
      <c r="K1554" s="545" t="s">
        <v>426</v>
      </c>
      <c r="L1554" s="546"/>
      <c r="M1554" s="546"/>
      <c r="N1554" s="546"/>
      <c r="O1554" s="546"/>
      <c r="P1554" s="546"/>
      <c r="Q1554" s="546"/>
      <c r="R1554" s="546"/>
      <c r="S1554" s="547"/>
    </row>
    <row r="1555" spans="3:19">
      <c r="C1555" s="548" t="str">
        <f>+[42]DATOS!D$8</f>
        <v>HELMER EDUARDO BECERRA SANTANDER</v>
      </c>
      <c r="D1555" s="549"/>
      <c r="E1555" s="549" t="s">
        <v>427</v>
      </c>
      <c r="F1555" s="549"/>
      <c r="G1555" s="549" t="s">
        <v>427</v>
      </c>
      <c r="H1555" s="549"/>
      <c r="I1555" s="549" t="s">
        <v>427</v>
      </c>
      <c r="J1555" s="550"/>
      <c r="K1555" s="551" t="str">
        <f>+[42]DATOS!D$11</f>
        <v>JESUS IVAN QUIÑONES RUEDA</v>
      </c>
      <c r="L1555" s="549"/>
      <c r="M1555" s="549"/>
      <c r="N1555" s="549"/>
      <c r="O1555" s="549"/>
      <c r="P1555" s="549"/>
      <c r="Q1555" s="549"/>
      <c r="R1555" s="549"/>
      <c r="S1555" s="552"/>
    </row>
    <row r="1556" spans="3:19">
      <c r="C1556" s="553" t="str">
        <f>+$C$72</f>
        <v>APOYO SEC. DE PLANEACION Y OBRAS PÚBLICAS</v>
      </c>
      <c r="D1556" s="554"/>
      <c r="E1556" s="554" t="s">
        <v>428</v>
      </c>
      <c r="F1556" s="554"/>
      <c r="G1556" s="554" t="s">
        <v>428</v>
      </c>
      <c r="H1556" s="554"/>
      <c r="I1556" s="554" t="s">
        <v>428</v>
      </c>
      <c r="J1556" s="555"/>
      <c r="K1556" s="556" t="str">
        <f>+$K$72</f>
        <v>SECRETARIO DE PLANEACION Y OBRAS PÚBLICAS</v>
      </c>
      <c r="L1556" s="554"/>
      <c r="M1556" s="554"/>
      <c r="N1556" s="554"/>
      <c r="O1556" s="554"/>
      <c r="P1556" s="554"/>
      <c r="Q1556" s="554"/>
      <c r="R1556" s="554"/>
      <c r="S1556" s="557"/>
    </row>
    <row r="1557" spans="3:19">
      <c r="C1557" s="406"/>
      <c r="D1557" s="407"/>
      <c r="E1557" s="407"/>
      <c r="F1557" s="407"/>
      <c r="G1557" s="407"/>
      <c r="H1557" s="407"/>
      <c r="I1557" s="407"/>
      <c r="J1557" s="407"/>
      <c r="K1557" s="407"/>
      <c r="L1557" s="407"/>
      <c r="M1557" s="407"/>
      <c r="N1557" s="407"/>
      <c r="O1557" s="407"/>
      <c r="P1557" s="407"/>
      <c r="Q1557" s="407"/>
      <c r="R1557" s="407"/>
      <c r="S1557" s="437"/>
    </row>
    <row r="1558" spans="3:19" ht="111" customHeight="1" thickBot="1">
      <c r="C1558" s="417"/>
      <c r="D1558" s="418"/>
      <c r="E1558" s="418"/>
      <c r="F1558" s="418"/>
      <c r="G1558" s="418"/>
      <c r="H1558" s="418"/>
      <c r="I1558" s="418"/>
      <c r="J1558" s="418"/>
      <c r="K1558" s="418"/>
      <c r="L1558" s="418"/>
      <c r="M1558" s="418"/>
      <c r="N1558" s="418"/>
      <c r="O1558" s="418"/>
      <c r="P1558" s="418"/>
      <c r="Q1558" s="418"/>
      <c r="R1558" s="418"/>
      <c r="S1558" s="438"/>
    </row>
    <row r="1559" spans="3:19" ht="22.5" customHeight="1"/>
    <row r="1560" spans="3:19" ht="13.5" thickBot="1"/>
    <row r="1561" spans="3:19">
      <c r="C1561" s="384"/>
      <c r="D1561" s="385"/>
      <c r="E1561" s="385"/>
      <c r="F1561" s="385"/>
      <c r="G1561" s="385"/>
      <c r="H1561" s="385"/>
      <c r="I1561" s="385"/>
      <c r="J1561" s="445"/>
      <c r="K1561" s="385"/>
      <c r="L1561" s="385"/>
      <c r="M1561" s="385"/>
      <c r="N1561" s="385"/>
      <c r="O1561" s="385"/>
      <c r="P1561" s="385"/>
      <c r="Q1561" s="385"/>
      <c r="R1561" s="385"/>
      <c r="S1561" s="386"/>
    </row>
    <row r="1562" spans="3:19" ht="121.5" customHeight="1" thickBot="1">
      <c r="C1562" s="387"/>
      <c r="D1562" s="388"/>
      <c r="E1562" s="388"/>
      <c r="F1562" s="388"/>
      <c r="G1562" s="388"/>
      <c r="H1562" s="388"/>
      <c r="I1562" s="388"/>
      <c r="J1562" s="446"/>
      <c r="K1562" s="388"/>
      <c r="L1562" s="388"/>
      <c r="M1562" s="388"/>
      <c r="N1562" s="388"/>
      <c r="O1562" s="388"/>
      <c r="P1562" s="388"/>
      <c r="Q1562" s="388"/>
      <c r="R1562" s="388"/>
      <c r="S1562" s="389"/>
    </row>
    <row r="1563" spans="3:19">
      <c r="C1563" s="592" t="str">
        <f>+[42]DATOS!C$7</f>
        <v>MEJORAMIENTO DE VIVIENDA CON ENFOQUE DIFERENCIAL PARA POBLACIÓN VULNERABLE EN EL MUNICIPIO DE CUBARÁ, BOYACÁ (2026).</v>
      </c>
      <c r="D1563" s="593"/>
      <c r="E1563" s="593"/>
      <c r="F1563" s="593"/>
      <c r="G1563" s="593"/>
      <c r="H1563" s="593"/>
      <c r="I1563" s="593"/>
      <c r="J1563" s="593"/>
      <c r="K1563" s="593"/>
      <c r="L1563" s="593"/>
      <c r="M1563" s="593"/>
      <c r="N1563" s="593"/>
      <c r="O1563" s="593"/>
      <c r="P1563" s="593"/>
      <c r="Q1563" s="593"/>
      <c r="R1563" s="593"/>
      <c r="S1563" s="594"/>
    </row>
    <row r="1564" spans="3:19">
      <c r="C1564" s="595"/>
      <c r="D1564" s="596"/>
      <c r="E1564" s="596"/>
      <c r="F1564" s="596"/>
      <c r="G1564" s="596"/>
      <c r="H1564" s="596"/>
      <c r="I1564" s="596"/>
      <c r="J1564" s="596"/>
      <c r="K1564" s="596"/>
      <c r="L1564" s="596"/>
      <c r="M1564" s="596"/>
      <c r="N1564" s="596"/>
      <c r="O1564" s="596"/>
      <c r="P1564" s="596"/>
      <c r="Q1564" s="596"/>
      <c r="R1564" s="596"/>
      <c r="S1564" s="597"/>
    </row>
    <row r="1565" spans="3:19">
      <c r="C1565" s="598" t="s">
        <v>371</v>
      </c>
      <c r="D1565" s="599"/>
      <c r="E1565" s="599"/>
      <c r="F1565" s="599"/>
      <c r="G1565" s="599"/>
      <c r="H1565" s="599"/>
      <c r="I1565" s="599"/>
      <c r="J1565" s="599"/>
      <c r="K1565" s="599"/>
      <c r="L1565" s="599"/>
      <c r="M1565" s="599"/>
      <c r="N1565" s="599"/>
      <c r="O1565" s="599"/>
      <c r="P1565" s="599"/>
      <c r="Q1565" s="599"/>
      <c r="R1565" s="599"/>
      <c r="S1565" s="600"/>
    </row>
    <row r="1566" spans="3:19">
      <c r="C1566" s="586" t="s">
        <v>372</v>
      </c>
      <c r="D1566" s="587"/>
      <c r="E1566" s="601" t="s">
        <v>373</v>
      </c>
      <c r="F1566" s="601"/>
      <c r="G1566" s="601"/>
      <c r="H1566" s="601"/>
      <c r="I1566" s="601"/>
      <c r="J1566" s="601"/>
      <c r="K1566" s="601"/>
      <c r="L1566" s="601"/>
      <c r="M1566" s="601"/>
      <c r="N1566" s="601"/>
      <c r="O1566" s="601"/>
      <c r="P1566" s="601"/>
      <c r="Q1566" s="601"/>
      <c r="R1566" s="601"/>
      <c r="S1566" s="602"/>
    </row>
    <row r="1567" spans="3:19">
      <c r="C1567" s="586" t="s">
        <v>374</v>
      </c>
      <c r="D1567" s="587"/>
      <c r="E1567" s="603" t="s">
        <v>375</v>
      </c>
      <c r="F1567" s="604"/>
      <c r="G1567" s="604"/>
      <c r="H1567" s="604"/>
      <c r="I1567" s="604"/>
      <c r="J1567" s="604"/>
      <c r="K1567" s="604"/>
      <c r="L1567" s="604"/>
      <c r="M1567" s="604"/>
      <c r="N1567" s="604"/>
      <c r="O1567" s="604"/>
      <c r="P1567" s="604"/>
      <c r="Q1567" s="604"/>
      <c r="R1567" s="604"/>
      <c r="S1567" s="605"/>
    </row>
    <row r="1568" spans="3:19">
      <c r="C1568" s="586" t="s">
        <v>376</v>
      </c>
      <c r="D1568" s="587"/>
      <c r="E1568" s="390">
        <f>+[42]DATOS!F$5</f>
        <v>46143</v>
      </c>
      <c r="F1568" s="391"/>
      <c r="G1568" s="391"/>
      <c r="H1568" s="391"/>
      <c r="I1568" s="391"/>
      <c r="J1568" s="391"/>
      <c r="K1568" s="568" t="s">
        <v>377</v>
      </c>
      <c r="L1568" s="568"/>
      <c r="M1568" s="588" t="s">
        <v>378</v>
      </c>
      <c r="N1568" s="588"/>
      <c r="O1568" s="588"/>
      <c r="P1568" s="588"/>
      <c r="Q1568" s="588"/>
      <c r="R1568" s="588"/>
      <c r="S1568" s="589"/>
    </row>
    <row r="1569" spans="1:25" ht="25.5">
      <c r="C1569" s="586" t="s">
        <v>379</v>
      </c>
      <c r="D1569" s="587"/>
      <c r="E1569" s="590" t="s">
        <v>380</v>
      </c>
      <c r="F1569" s="591"/>
      <c r="G1569" s="392">
        <f>+[42]DATOS!E$5</f>
        <v>2026</v>
      </c>
      <c r="H1569" s="393" t="s">
        <v>381</v>
      </c>
      <c r="I1569" s="394">
        <f>+[42]DATOS!E$5</f>
        <v>2026</v>
      </c>
      <c r="J1569" s="395"/>
      <c r="K1569" s="568" t="s">
        <v>382</v>
      </c>
      <c r="L1569" s="568"/>
      <c r="M1569" s="588" t="s">
        <v>383</v>
      </c>
      <c r="N1569" s="588"/>
      <c r="O1569" s="588"/>
      <c r="P1569" s="588"/>
      <c r="Q1569" s="588"/>
      <c r="R1569" s="588"/>
      <c r="S1569" s="589"/>
    </row>
    <row r="1570" spans="1:25">
      <c r="C1570" s="396"/>
      <c r="D1570" s="397"/>
      <c r="E1570" s="397"/>
      <c r="F1570" s="398"/>
      <c r="G1570" s="398"/>
      <c r="H1570" s="398"/>
      <c r="I1570" s="398"/>
      <c r="J1570" s="398"/>
      <c r="K1570" s="398"/>
      <c r="L1570" s="398"/>
      <c r="M1570" s="398"/>
      <c r="N1570" s="398"/>
      <c r="O1570" s="398"/>
      <c r="P1570" s="398"/>
      <c r="Q1570" s="398"/>
      <c r="R1570" s="398"/>
      <c r="S1570" s="399"/>
    </row>
    <row r="1571" spans="1:25">
      <c r="C1571" s="572" t="s">
        <v>384</v>
      </c>
      <c r="D1571" s="573"/>
      <c r="E1571" s="573"/>
      <c r="F1571" s="573"/>
      <c r="G1571" s="573"/>
      <c r="H1571" s="573"/>
      <c r="I1571" s="573"/>
      <c r="J1571" s="573"/>
      <c r="K1571" s="573"/>
      <c r="L1571" s="573"/>
      <c r="M1571" s="573"/>
      <c r="N1571" s="573"/>
      <c r="O1571" s="573"/>
      <c r="P1571" s="573"/>
      <c r="Q1571" s="573"/>
      <c r="R1571" s="573"/>
      <c r="S1571" s="574"/>
    </row>
    <row r="1572" spans="1:25">
      <c r="C1572" s="396"/>
      <c r="D1572" s="397"/>
      <c r="E1572" s="397"/>
      <c r="F1572" s="398"/>
      <c r="G1572" s="398"/>
      <c r="H1572" s="398"/>
      <c r="I1572" s="398"/>
      <c r="J1572" s="398"/>
      <c r="K1572" s="398"/>
      <c r="L1572" s="398"/>
      <c r="M1572" s="398"/>
      <c r="N1572" s="398"/>
      <c r="O1572" s="398"/>
      <c r="P1572" s="398"/>
      <c r="Q1572" s="398"/>
      <c r="R1572" s="398"/>
      <c r="S1572" s="399"/>
    </row>
    <row r="1573" spans="1:25">
      <c r="C1573" s="400" t="s">
        <v>385</v>
      </c>
      <c r="D1573" s="575" t="s">
        <v>386</v>
      </c>
      <c r="E1573" s="575"/>
      <c r="F1573" s="576" t="s">
        <v>387</v>
      </c>
      <c r="G1573" s="577"/>
      <c r="H1573" s="577"/>
      <c r="I1573" s="576" t="s">
        <v>388</v>
      </c>
      <c r="J1573" s="576" t="s">
        <v>389</v>
      </c>
      <c r="K1573" s="579"/>
      <c r="L1573" s="581" t="s">
        <v>390</v>
      </c>
      <c r="M1573" s="581"/>
      <c r="N1573" s="581"/>
      <c r="O1573" s="581"/>
      <c r="P1573" s="581"/>
      <c r="Q1573" s="581"/>
      <c r="R1573" s="581" t="s">
        <v>391</v>
      </c>
      <c r="S1573" s="582"/>
    </row>
    <row r="1574" spans="1:25" ht="38.25">
      <c r="C1574" s="403">
        <f>+'PRESUPUESTO OFICIAL '!C92</f>
        <v>8.0399999999999991</v>
      </c>
      <c r="D1574" s="583" t="str">
        <f>+VLOOKUP(C1574,'PRESUPUESTO OFICIAL '!$C$11:$H$103,2)</f>
        <v>SUMINISTRO E INSTALACIÓN LAVAPLATOS ACERO INOXIDABLE 0.6 X 0.40 M</v>
      </c>
      <c r="E1574" s="584"/>
      <c r="F1574" s="585" t="str">
        <f>+VLOOKUP(C1574,'PRESUPUESTO OFICIAL '!$C$11:$H$103,3)</f>
        <v>UND</v>
      </c>
      <c r="G1574" s="585"/>
      <c r="H1574" s="585"/>
      <c r="I1574" s="578"/>
      <c r="J1574" s="578"/>
      <c r="K1574" s="580"/>
      <c r="L1574" s="401" t="s">
        <v>392</v>
      </c>
      <c r="M1574" s="401" t="s">
        <v>393</v>
      </c>
      <c r="N1574" s="401" t="s">
        <v>394</v>
      </c>
      <c r="O1574" s="401" t="s">
        <v>395</v>
      </c>
      <c r="P1574" s="401" t="s">
        <v>396</v>
      </c>
      <c r="Q1574" s="401" t="s">
        <v>397</v>
      </c>
      <c r="R1574" s="401" t="s">
        <v>398</v>
      </c>
      <c r="S1574" s="402" t="s">
        <v>399</v>
      </c>
      <c r="U1574" s="404">
        <f>+C1574</f>
        <v>8.0399999999999991</v>
      </c>
      <c r="V1574" s="405">
        <f>+S1622</f>
        <v>7</v>
      </c>
    </row>
    <row r="1575" spans="1:25">
      <c r="C1575" s="406"/>
      <c r="D1575" s="407"/>
      <c r="E1575" s="407"/>
      <c r="F1575" s="407"/>
      <c r="G1575" s="407"/>
      <c r="H1575" s="407"/>
      <c r="I1575" s="558"/>
      <c r="J1575" s="559"/>
      <c r="K1575" s="560"/>
      <c r="L1575" s="560"/>
      <c r="M1575" s="560"/>
      <c r="N1575" s="560"/>
      <c r="O1575" s="560"/>
      <c r="P1575" s="560"/>
      <c r="Q1575" s="560"/>
      <c r="R1575" s="560"/>
      <c r="S1575" s="561"/>
    </row>
    <row r="1576" spans="1:25" ht="25.5">
      <c r="A1576" s="383">
        <v>1</v>
      </c>
      <c r="C1576" s="406"/>
      <c r="D1576" s="407"/>
      <c r="E1576" s="407"/>
      <c r="F1576" s="407"/>
      <c r="G1576" s="407"/>
      <c r="H1576" s="407"/>
      <c r="I1576" s="408" t="s">
        <v>400</v>
      </c>
      <c r="J1576" s="409" t="str">
        <f t="shared" ref="J1576:J1618" si="292">+VLOOKUP(K1576,$AH$22:$AJ$58,2,)</f>
        <v>UND= Cant de elementos</v>
      </c>
      <c r="K1576" s="410" t="str">
        <f>+F1574</f>
        <v>UND</v>
      </c>
      <c r="L1576" s="411"/>
      <c r="M1576" s="412"/>
      <c r="N1576" s="442"/>
      <c r="O1576" s="442"/>
      <c r="P1576" s="413"/>
      <c r="Q1576" s="411"/>
      <c r="R1576" s="413" t="str">
        <f>IF(S1576=0,"",1)</f>
        <v/>
      </c>
      <c r="S1576" s="414">
        <f>+HLOOKUP(A1576,[238]Hoja1!$2:$78,72,FALSE)</f>
        <v>0</v>
      </c>
      <c r="X1576" s="458">
        <f t="shared" ref="X1576" si="293">+N1576*O1576*P1576</f>
        <v>0</v>
      </c>
      <c r="Y1576" s="471">
        <f t="shared" ref="Y1576" si="294">+X1576-Q1576</f>
        <v>0</v>
      </c>
    </row>
    <row r="1577" spans="1:25" ht="25.5">
      <c r="A1577" s="383">
        <v>2</v>
      </c>
      <c r="C1577" s="406"/>
      <c r="D1577" s="407"/>
      <c r="E1577" s="407"/>
      <c r="F1577" s="407"/>
      <c r="G1577" s="407"/>
      <c r="H1577" s="407"/>
      <c r="I1577" s="408" t="s">
        <v>401</v>
      </c>
      <c r="J1577" s="409" t="str">
        <f t="shared" si="292"/>
        <v>UND= Cant de elementos</v>
      </c>
      <c r="K1577" s="410" t="str">
        <f>+K1576</f>
        <v>UND</v>
      </c>
      <c r="L1577" s="411"/>
      <c r="M1577" s="412"/>
      <c r="N1577" s="442"/>
      <c r="O1577" s="442"/>
      <c r="P1577" s="413"/>
      <c r="Q1577" s="411"/>
      <c r="R1577" s="413" t="str">
        <f t="shared" ref="R1577:R1618" si="295">IF(S1577=0,"",1)</f>
        <v/>
      </c>
      <c r="S1577" s="414">
        <f>+HLOOKUP(A1577,[238]Hoja1!$2:$78,72,FALSE)</f>
        <v>0</v>
      </c>
      <c r="X1577" s="458">
        <f>+L1577*P1577</f>
        <v>0</v>
      </c>
      <c r="Y1577" s="471">
        <f>+X1577-Q1577</f>
        <v>0</v>
      </c>
    </row>
    <row r="1578" spans="1:25" ht="25.5">
      <c r="A1578" s="383">
        <v>3</v>
      </c>
      <c r="C1578" s="406"/>
      <c r="D1578" s="407"/>
      <c r="E1578" s="407"/>
      <c r="F1578" s="407"/>
      <c r="G1578" s="407"/>
      <c r="H1578" s="407"/>
      <c r="I1578" s="408" t="s">
        <v>402</v>
      </c>
      <c r="J1578" s="409" t="str">
        <f t="shared" si="292"/>
        <v>UND= Cant de elementos</v>
      </c>
      <c r="K1578" s="410" t="str">
        <f>+K1577</f>
        <v>UND</v>
      </c>
      <c r="L1578" s="411"/>
      <c r="M1578" s="412"/>
      <c r="N1578" s="442"/>
      <c r="O1578" s="442"/>
      <c r="P1578" s="413"/>
      <c r="Q1578" s="411"/>
      <c r="R1578" s="413" t="str">
        <f t="shared" si="295"/>
        <v/>
      </c>
      <c r="S1578" s="414">
        <f>+HLOOKUP(A1578,[238]Hoja1!$2:$78,72,FALSE)</f>
        <v>0</v>
      </c>
      <c r="X1578" s="458">
        <f t="shared" ref="X1578:X1580" si="296">+L1578*P1578</f>
        <v>0</v>
      </c>
      <c r="Y1578" s="471">
        <f t="shared" ref="Y1578:Y1580" si="297">+X1578-Q1578</f>
        <v>0</v>
      </c>
    </row>
    <row r="1579" spans="1:25" ht="25.5">
      <c r="A1579" s="383">
        <v>4</v>
      </c>
      <c r="C1579" s="406"/>
      <c r="D1579" s="407"/>
      <c r="E1579" s="407"/>
      <c r="F1579" s="407"/>
      <c r="G1579" s="407"/>
      <c r="H1579" s="407"/>
      <c r="I1579" s="408" t="s">
        <v>403</v>
      </c>
      <c r="J1579" s="409" t="str">
        <f t="shared" si="292"/>
        <v>UND= Cant de elementos</v>
      </c>
      <c r="K1579" s="410" t="str">
        <f>+K1578</f>
        <v>UND</v>
      </c>
      <c r="L1579" s="411"/>
      <c r="M1579" s="412"/>
      <c r="N1579" s="442"/>
      <c r="O1579" s="442"/>
      <c r="P1579" s="413"/>
      <c r="Q1579" s="411"/>
      <c r="R1579" s="413" t="str">
        <f t="shared" si="295"/>
        <v/>
      </c>
      <c r="S1579" s="414">
        <f>+HLOOKUP(A1579,[238]Hoja1!$2:$78,72,FALSE)</f>
        <v>0</v>
      </c>
      <c r="X1579" s="458">
        <f t="shared" si="296"/>
        <v>0</v>
      </c>
      <c r="Y1579" s="471">
        <f t="shared" si="297"/>
        <v>0</v>
      </c>
    </row>
    <row r="1580" spans="1:25" ht="25.5">
      <c r="A1580" s="383">
        <v>5</v>
      </c>
      <c r="C1580" s="406"/>
      <c r="D1580" s="407"/>
      <c r="E1580" s="407"/>
      <c r="F1580" s="407"/>
      <c r="G1580" s="407"/>
      <c r="H1580" s="407"/>
      <c r="I1580" s="408" t="s">
        <v>405</v>
      </c>
      <c r="J1580" s="409" t="str">
        <f t="shared" si="292"/>
        <v>UND= Cant de elementos</v>
      </c>
      <c r="K1580" s="410" t="str">
        <f>+K1579</f>
        <v>UND</v>
      </c>
      <c r="L1580" s="411"/>
      <c r="M1580" s="412"/>
      <c r="N1580" s="442"/>
      <c r="O1580" s="442"/>
      <c r="P1580" s="413"/>
      <c r="Q1580" s="411"/>
      <c r="R1580" s="413" t="str">
        <f t="shared" si="295"/>
        <v/>
      </c>
      <c r="S1580" s="414">
        <f>+HLOOKUP(A1580,[238]Hoja1!$2:$78,72,FALSE)</f>
        <v>0</v>
      </c>
      <c r="X1580" s="458">
        <f t="shared" si="296"/>
        <v>0</v>
      </c>
      <c r="Y1580" s="471">
        <f t="shared" si="297"/>
        <v>0</v>
      </c>
    </row>
    <row r="1581" spans="1:25" ht="25.5">
      <c r="A1581" s="383">
        <v>6</v>
      </c>
      <c r="C1581" s="406"/>
      <c r="D1581" s="407"/>
      <c r="E1581" s="407"/>
      <c r="F1581" s="407"/>
      <c r="G1581" s="407"/>
      <c r="H1581" s="407"/>
      <c r="I1581" s="408" t="s">
        <v>407</v>
      </c>
      <c r="J1581" s="409" t="str">
        <f t="shared" si="292"/>
        <v>UND= Cant de elementos</v>
      </c>
      <c r="K1581" s="410" t="str">
        <f>+K1580</f>
        <v>UND</v>
      </c>
      <c r="L1581" s="411"/>
      <c r="M1581" s="412"/>
      <c r="N1581" s="442"/>
      <c r="O1581" s="442"/>
      <c r="P1581" s="413"/>
      <c r="Q1581" s="411"/>
      <c r="R1581" s="413">
        <f t="shared" si="295"/>
        <v>1</v>
      </c>
      <c r="S1581" s="414">
        <f>+HLOOKUP(A1581,[238]Hoja1!$2:$78,72,FALSE)</f>
        <v>1</v>
      </c>
      <c r="X1581" s="458">
        <f>+L1581*P1581</f>
        <v>0</v>
      </c>
      <c r="Y1581" s="471">
        <f>+X1581-Q1581</f>
        <v>0</v>
      </c>
    </row>
    <row r="1582" spans="1:25" ht="25.5">
      <c r="A1582" s="383">
        <v>7</v>
      </c>
      <c r="C1582" s="406"/>
      <c r="D1582" s="407"/>
      <c r="E1582" s="407"/>
      <c r="F1582" s="407"/>
      <c r="G1582" s="407"/>
      <c r="H1582" s="407"/>
      <c r="I1582" s="408" t="s">
        <v>409</v>
      </c>
      <c r="J1582" s="409" t="str">
        <f t="shared" si="292"/>
        <v>UND= Cant de elementos</v>
      </c>
      <c r="K1582" s="410" t="str">
        <f>+K1576</f>
        <v>UND</v>
      </c>
      <c r="L1582" s="411"/>
      <c r="M1582" s="412"/>
      <c r="N1582" s="442"/>
      <c r="O1582" s="442"/>
      <c r="P1582" s="413"/>
      <c r="Q1582" s="411"/>
      <c r="R1582" s="413" t="str">
        <f t="shared" si="295"/>
        <v/>
      </c>
      <c r="S1582" s="414">
        <f>+HLOOKUP(A1582,[238]Hoja1!$2:$78,72,FALSE)</f>
        <v>0</v>
      </c>
      <c r="X1582" s="458">
        <f t="shared" ref="X1582:X1618" si="298">+L1582*P1582</f>
        <v>0</v>
      </c>
      <c r="Y1582" s="471">
        <f t="shared" ref="Y1582:Y1618" si="299">+X1582-Q1582</f>
        <v>0</v>
      </c>
    </row>
    <row r="1583" spans="1:25" ht="25.5">
      <c r="A1583" s="383">
        <v>8</v>
      </c>
      <c r="C1583" s="406"/>
      <c r="D1583" s="407"/>
      <c r="E1583" s="407"/>
      <c r="F1583" s="407"/>
      <c r="G1583" s="407"/>
      <c r="H1583" s="407"/>
      <c r="I1583" s="408" t="s">
        <v>411</v>
      </c>
      <c r="J1583" s="409" t="str">
        <f t="shared" si="292"/>
        <v>UND= Cant de elementos</v>
      </c>
      <c r="K1583" s="410" t="str">
        <f>+K1582</f>
        <v>UND</v>
      </c>
      <c r="L1583" s="411"/>
      <c r="M1583" s="412"/>
      <c r="N1583" s="442"/>
      <c r="O1583" s="442"/>
      <c r="P1583" s="413"/>
      <c r="Q1583" s="411"/>
      <c r="R1583" s="413" t="str">
        <f t="shared" si="295"/>
        <v/>
      </c>
      <c r="S1583" s="414">
        <f>+HLOOKUP(A1583,[238]Hoja1!$2:$78,72,FALSE)</f>
        <v>0</v>
      </c>
      <c r="X1583" s="458">
        <f t="shared" si="298"/>
        <v>0</v>
      </c>
      <c r="Y1583" s="471">
        <f t="shared" si="299"/>
        <v>0</v>
      </c>
    </row>
    <row r="1584" spans="1:25" ht="25.5">
      <c r="A1584" s="383">
        <v>9</v>
      </c>
      <c r="C1584" s="406"/>
      <c r="D1584" s="407"/>
      <c r="E1584" s="407"/>
      <c r="F1584" s="407"/>
      <c r="G1584" s="407"/>
      <c r="H1584" s="407"/>
      <c r="I1584" s="408" t="s">
        <v>412</v>
      </c>
      <c r="J1584" s="409" t="str">
        <f t="shared" si="292"/>
        <v>UND= Cant de elementos</v>
      </c>
      <c r="K1584" s="410" t="str">
        <f>+K1583</f>
        <v>UND</v>
      </c>
      <c r="L1584" s="411"/>
      <c r="M1584" s="412"/>
      <c r="N1584" s="442"/>
      <c r="O1584" s="442"/>
      <c r="P1584" s="413"/>
      <c r="Q1584" s="411"/>
      <c r="R1584" s="413" t="str">
        <f t="shared" si="295"/>
        <v/>
      </c>
      <c r="S1584" s="414">
        <f>+HLOOKUP(A1584,[238]Hoja1!$2:$78,72,FALSE)</f>
        <v>0</v>
      </c>
      <c r="X1584" s="458">
        <f t="shared" si="298"/>
        <v>0</v>
      </c>
      <c r="Y1584" s="471">
        <f t="shared" si="299"/>
        <v>0</v>
      </c>
    </row>
    <row r="1585" spans="1:25" ht="25.5">
      <c r="A1585" s="383">
        <v>10</v>
      </c>
      <c r="C1585" s="406"/>
      <c r="D1585" s="407"/>
      <c r="E1585" s="407"/>
      <c r="F1585" s="407"/>
      <c r="G1585" s="407"/>
      <c r="H1585" s="407"/>
      <c r="I1585" s="408" t="s">
        <v>413</v>
      </c>
      <c r="J1585" s="409" t="str">
        <f t="shared" si="292"/>
        <v>UND= Cant de elementos</v>
      </c>
      <c r="K1585" s="410" t="str">
        <f>+K1584</f>
        <v>UND</v>
      </c>
      <c r="L1585" s="411"/>
      <c r="M1585" s="412"/>
      <c r="N1585" s="441"/>
      <c r="O1585" s="442"/>
      <c r="P1585" s="412"/>
      <c r="Q1585" s="411"/>
      <c r="R1585" s="413" t="str">
        <f t="shared" si="295"/>
        <v/>
      </c>
      <c r="S1585" s="414">
        <f>+HLOOKUP(A1585,[238]Hoja1!$2:$78,72,FALSE)</f>
        <v>0</v>
      </c>
      <c r="X1585" s="458">
        <f t="shared" si="298"/>
        <v>0</v>
      </c>
      <c r="Y1585" s="471">
        <f t="shared" si="299"/>
        <v>0</v>
      </c>
    </row>
    <row r="1586" spans="1:25" ht="25.5">
      <c r="A1586" s="383">
        <v>11</v>
      </c>
      <c r="C1586" s="406"/>
      <c r="D1586" s="407"/>
      <c r="E1586" s="407"/>
      <c r="F1586" s="407"/>
      <c r="G1586" s="407"/>
      <c r="H1586" s="407"/>
      <c r="I1586" s="408" t="s">
        <v>414</v>
      </c>
      <c r="J1586" s="409" t="str">
        <f t="shared" si="292"/>
        <v>UND= Cant de elementos</v>
      </c>
      <c r="K1586" s="410" t="str">
        <f>+K1585</f>
        <v>UND</v>
      </c>
      <c r="L1586" s="411"/>
      <c r="M1586" s="412"/>
      <c r="N1586" s="443"/>
      <c r="O1586" s="442"/>
      <c r="P1586" s="412"/>
      <c r="Q1586" s="411"/>
      <c r="R1586" s="413" t="str">
        <f t="shared" si="295"/>
        <v/>
      </c>
      <c r="S1586" s="414">
        <f>+HLOOKUP(A1586,[238]Hoja1!$2:$78,72,FALSE)</f>
        <v>0</v>
      </c>
      <c r="X1586" s="458">
        <f t="shared" si="298"/>
        <v>0</v>
      </c>
      <c r="Y1586" s="471">
        <f t="shared" si="299"/>
        <v>0</v>
      </c>
    </row>
    <row r="1587" spans="1:25" ht="25.5">
      <c r="A1587" s="383">
        <v>12</v>
      </c>
      <c r="C1587" s="406"/>
      <c r="D1587" s="407"/>
      <c r="E1587" s="407"/>
      <c r="F1587" s="407"/>
      <c r="G1587" s="407"/>
      <c r="H1587" s="407"/>
      <c r="I1587" s="408" t="s">
        <v>415</v>
      </c>
      <c r="J1587" s="409" t="str">
        <f t="shared" si="292"/>
        <v>UND= Cant de elementos</v>
      </c>
      <c r="K1587" s="410" t="str">
        <f>+K1581</f>
        <v>UND</v>
      </c>
      <c r="L1587" s="411"/>
      <c r="M1587" s="412"/>
      <c r="N1587" s="442"/>
      <c r="O1587" s="442"/>
      <c r="P1587" s="413"/>
      <c r="Q1587" s="411"/>
      <c r="R1587" s="413" t="str">
        <f t="shared" si="295"/>
        <v/>
      </c>
      <c r="S1587" s="414">
        <f>+HLOOKUP(A1587,[238]Hoja1!$2:$78,72,FALSE)</f>
        <v>0</v>
      </c>
      <c r="X1587" s="458">
        <f t="shared" si="298"/>
        <v>0</v>
      </c>
      <c r="Y1587" s="471">
        <f t="shared" si="299"/>
        <v>0</v>
      </c>
    </row>
    <row r="1588" spans="1:25" ht="25.5">
      <c r="A1588" s="383">
        <v>13</v>
      </c>
      <c r="C1588" s="406"/>
      <c r="D1588" s="407"/>
      <c r="E1588" s="407"/>
      <c r="F1588" s="407"/>
      <c r="G1588" s="407"/>
      <c r="H1588" s="407"/>
      <c r="I1588" s="408" t="s">
        <v>416</v>
      </c>
      <c r="J1588" s="409" t="str">
        <f t="shared" si="292"/>
        <v>UND= Cant de elementos</v>
      </c>
      <c r="K1588" s="410" t="str">
        <f>+K1583</f>
        <v>UND</v>
      </c>
      <c r="L1588" s="411"/>
      <c r="M1588" s="412"/>
      <c r="N1588" s="442"/>
      <c r="O1588" s="442"/>
      <c r="P1588" s="413"/>
      <c r="Q1588" s="411"/>
      <c r="R1588" s="413" t="str">
        <f t="shared" si="295"/>
        <v/>
      </c>
      <c r="S1588" s="414">
        <f>+HLOOKUP(A1588,[238]Hoja1!$2:$78,72,FALSE)</f>
        <v>0</v>
      </c>
      <c r="X1588" s="458">
        <f t="shared" si="298"/>
        <v>0</v>
      </c>
      <c r="Y1588" s="471">
        <f t="shared" si="299"/>
        <v>0</v>
      </c>
    </row>
    <row r="1589" spans="1:25" ht="25.5">
      <c r="A1589" s="383">
        <v>14</v>
      </c>
      <c r="C1589" s="406"/>
      <c r="D1589" s="407"/>
      <c r="E1589" s="407"/>
      <c r="F1589" s="407"/>
      <c r="G1589" s="407"/>
      <c r="H1589" s="407"/>
      <c r="I1589" s="408" t="s">
        <v>417</v>
      </c>
      <c r="J1589" s="409" t="str">
        <f t="shared" si="292"/>
        <v>UND= Cant de elementos</v>
      </c>
      <c r="K1589" s="410" t="str">
        <f t="shared" ref="K1589:K1600" si="300">+K1588</f>
        <v>UND</v>
      </c>
      <c r="L1589" s="411"/>
      <c r="M1589" s="412"/>
      <c r="N1589" s="442"/>
      <c r="O1589" s="442"/>
      <c r="P1589" s="413"/>
      <c r="Q1589" s="411"/>
      <c r="R1589" s="413" t="str">
        <f t="shared" si="295"/>
        <v/>
      </c>
      <c r="S1589" s="414">
        <f>+HLOOKUP(A1589,[238]Hoja1!$2:$78,72,FALSE)</f>
        <v>0</v>
      </c>
      <c r="X1589" s="458">
        <f t="shared" si="298"/>
        <v>0</v>
      </c>
      <c r="Y1589" s="471">
        <f t="shared" si="299"/>
        <v>0</v>
      </c>
    </row>
    <row r="1590" spans="1:25" ht="25.5">
      <c r="A1590" s="383">
        <v>15</v>
      </c>
      <c r="C1590" s="406"/>
      <c r="D1590" s="407"/>
      <c r="E1590" s="407"/>
      <c r="F1590" s="407"/>
      <c r="G1590" s="407"/>
      <c r="H1590" s="407"/>
      <c r="I1590" s="408" t="s">
        <v>418</v>
      </c>
      <c r="J1590" s="409" t="str">
        <f t="shared" si="292"/>
        <v>UND= Cant de elementos</v>
      </c>
      <c r="K1590" s="410" t="str">
        <f t="shared" si="300"/>
        <v>UND</v>
      </c>
      <c r="L1590" s="411"/>
      <c r="M1590" s="412"/>
      <c r="N1590" s="442"/>
      <c r="O1590" s="442"/>
      <c r="P1590" s="449"/>
      <c r="Q1590" s="411"/>
      <c r="R1590" s="413" t="str">
        <f t="shared" si="295"/>
        <v/>
      </c>
      <c r="S1590" s="414">
        <f>+HLOOKUP(A1590,[238]Hoja1!$2:$78,72,FALSE)</f>
        <v>0</v>
      </c>
      <c r="X1590" s="458">
        <f t="shared" si="298"/>
        <v>0</v>
      </c>
      <c r="Y1590" s="471">
        <f t="shared" si="299"/>
        <v>0</v>
      </c>
    </row>
    <row r="1591" spans="1:25" ht="25.5">
      <c r="A1591" s="383">
        <v>16</v>
      </c>
      <c r="C1591" s="406"/>
      <c r="D1591" s="407"/>
      <c r="E1591" s="407"/>
      <c r="F1591" s="407"/>
      <c r="G1591" s="407"/>
      <c r="H1591" s="407"/>
      <c r="I1591" s="408" t="s">
        <v>419</v>
      </c>
      <c r="J1591" s="409" t="str">
        <f t="shared" si="292"/>
        <v>UND= Cant de elementos</v>
      </c>
      <c r="K1591" s="410" t="str">
        <f t="shared" si="300"/>
        <v>UND</v>
      </c>
      <c r="L1591" s="411"/>
      <c r="M1591" s="412"/>
      <c r="N1591" s="442"/>
      <c r="O1591" s="442"/>
      <c r="P1591" s="449"/>
      <c r="Q1591" s="411"/>
      <c r="R1591" s="413" t="str">
        <f t="shared" si="295"/>
        <v/>
      </c>
      <c r="S1591" s="414">
        <f>+HLOOKUP(A1591,[238]Hoja1!$2:$78,72,FALSE)</f>
        <v>0</v>
      </c>
      <c r="X1591" s="458">
        <f t="shared" si="298"/>
        <v>0</v>
      </c>
      <c r="Y1591" s="471">
        <f t="shared" si="299"/>
        <v>0</v>
      </c>
    </row>
    <row r="1592" spans="1:25" ht="25.5">
      <c r="A1592" s="383">
        <v>17</v>
      </c>
      <c r="C1592" s="406"/>
      <c r="D1592" s="407"/>
      <c r="E1592" s="407"/>
      <c r="F1592" s="407"/>
      <c r="G1592" s="407"/>
      <c r="H1592" s="407"/>
      <c r="I1592" s="408" t="s">
        <v>420</v>
      </c>
      <c r="J1592" s="409" t="str">
        <f t="shared" si="292"/>
        <v>UND= Cant de elementos</v>
      </c>
      <c r="K1592" s="410" t="str">
        <f t="shared" si="300"/>
        <v>UND</v>
      </c>
      <c r="L1592" s="411"/>
      <c r="M1592" s="412"/>
      <c r="N1592" s="442"/>
      <c r="O1592" s="442"/>
      <c r="P1592" s="448"/>
      <c r="Q1592" s="411"/>
      <c r="R1592" s="413" t="str">
        <f t="shared" si="295"/>
        <v/>
      </c>
      <c r="S1592" s="414">
        <f>+HLOOKUP(A1592,[238]Hoja1!$2:$78,72,FALSE)</f>
        <v>0</v>
      </c>
      <c r="V1592" s="383">
        <f>+P1592*O1592*N1592</f>
        <v>0</v>
      </c>
      <c r="X1592" s="458">
        <f t="shared" si="298"/>
        <v>0</v>
      </c>
      <c r="Y1592" s="471">
        <f t="shared" si="299"/>
        <v>0</v>
      </c>
    </row>
    <row r="1593" spans="1:25" ht="25.5">
      <c r="A1593" s="383">
        <v>18</v>
      </c>
      <c r="C1593" s="406"/>
      <c r="D1593" s="407"/>
      <c r="E1593" s="407"/>
      <c r="F1593" s="407"/>
      <c r="G1593" s="407"/>
      <c r="H1593" s="407"/>
      <c r="I1593" s="408" t="s">
        <v>429</v>
      </c>
      <c r="J1593" s="409" t="str">
        <f t="shared" si="292"/>
        <v>UND= Cant de elementos</v>
      </c>
      <c r="K1593" s="410" t="str">
        <f t="shared" si="300"/>
        <v>UND</v>
      </c>
      <c r="L1593" s="411"/>
      <c r="M1593" s="412"/>
      <c r="N1593" s="442"/>
      <c r="O1593" s="442"/>
      <c r="P1593" s="413"/>
      <c r="Q1593" s="411"/>
      <c r="R1593" s="413">
        <f t="shared" si="295"/>
        <v>1</v>
      </c>
      <c r="S1593" s="414">
        <f>+HLOOKUP(A1593,[238]Hoja1!$2:$78,72,FALSE)</f>
        <v>1</v>
      </c>
      <c r="X1593" s="458">
        <f t="shared" si="298"/>
        <v>0</v>
      </c>
      <c r="Y1593" s="471">
        <f t="shared" si="299"/>
        <v>0</v>
      </c>
    </row>
    <row r="1594" spans="1:25" ht="25.5">
      <c r="A1594" s="383">
        <v>19</v>
      </c>
      <c r="C1594" s="406"/>
      <c r="D1594" s="407"/>
      <c r="E1594" s="407"/>
      <c r="F1594" s="407"/>
      <c r="G1594" s="407"/>
      <c r="H1594" s="407"/>
      <c r="I1594" s="408" t="s">
        <v>430</v>
      </c>
      <c r="J1594" s="409" t="str">
        <f t="shared" si="292"/>
        <v>UND= Cant de elementos</v>
      </c>
      <c r="K1594" s="410" t="str">
        <f t="shared" si="300"/>
        <v>UND</v>
      </c>
      <c r="L1594" s="411"/>
      <c r="M1594" s="412"/>
      <c r="N1594" s="442"/>
      <c r="O1594" s="442"/>
      <c r="P1594" s="448"/>
      <c r="Q1594" s="411"/>
      <c r="R1594" s="413" t="str">
        <f t="shared" si="295"/>
        <v/>
      </c>
      <c r="S1594" s="414">
        <f>+HLOOKUP(A1594,[238]Hoja1!$2:$78,72,FALSE)</f>
        <v>0</v>
      </c>
      <c r="X1594" s="458">
        <f t="shared" si="298"/>
        <v>0</v>
      </c>
      <c r="Y1594" s="471">
        <f t="shared" si="299"/>
        <v>0</v>
      </c>
    </row>
    <row r="1595" spans="1:25" ht="25.5">
      <c r="A1595" s="383">
        <v>20</v>
      </c>
      <c r="C1595" s="406"/>
      <c r="D1595" s="407"/>
      <c r="E1595" s="407"/>
      <c r="F1595" s="407"/>
      <c r="G1595" s="407"/>
      <c r="H1595" s="407"/>
      <c r="I1595" s="408" t="s">
        <v>431</v>
      </c>
      <c r="J1595" s="409" t="str">
        <f t="shared" si="292"/>
        <v>UND= Cant de elementos</v>
      </c>
      <c r="K1595" s="410" t="str">
        <f t="shared" si="300"/>
        <v>UND</v>
      </c>
      <c r="L1595" s="411"/>
      <c r="M1595" s="412"/>
      <c r="N1595" s="442"/>
      <c r="O1595" s="442"/>
      <c r="P1595" s="413"/>
      <c r="Q1595" s="411"/>
      <c r="R1595" s="413" t="str">
        <f t="shared" si="295"/>
        <v/>
      </c>
      <c r="S1595" s="414">
        <f>+HLOOKUP(A1595,[238]Hoja1!$2:$78,72,FALSE)</f>
        <v>0</v>
      </c>
      <c r="X1595" s="458">
        <f t="shared" si="298"/>
        <v>0</v>
      </c>
      <c r="Y1595" s="471">
        <f t="shared" si="299"/>
        <v>0</v>
      </c>
    </row>
    <row r="1596" spans="1:25" ht="25.5">
      <c r="A1596" s="383">
        <v>21</v>
      </c>
      <c r="C1596" s="406"/>
      <c r="D1596" s="407"/>
      <c r="E1596" s="407"/>
      <c r="F1596" s="407"/>
      <c r="G1596" s="407"/>
      <c r="H1596" s="407"/>
      <c r="I1596" s="408" t="s">
        <v>432</v>
      </c>
      <c r="J1596" s="409" t="str">
        <f t="shared" si="292"/>
        <v>UND= Cant de elementos</v>
      </c>
      <c r="K1596" s="410" t="str">
        <f t="shared" si="300"/>
        <v>UND</v>
      </c>
      <c r="L1596" s="411"/>
      <c r="M1596" s="412"/>
      <c r="N1596" s="442"/>
      <c r="O1596" s="442"/>
      <c r="P1596" s="412"/>
      <c r="Q1596" s="411"/>
      <c r="R1596" s="413" t="str">
        <f t="shared" si="295"/>
        <v/>
      </c>
      <c r="S1596" s="414">
        <f>+HLOOKUP(A1596,[238]Hoja1!$2:$78,72,FALSE)</f>
        <v>0</v>
      </c>
      <c r="X1596" s="458">
        <f t="shared" si="298"/>
        <v>0</v>
      </c>
      <c r="Y1596" s="471">
        <f t="shared" si="299"/>
        <v>0</v>
      </c>
    </row>
    <row r="1597" spans="1:25" ht="25.5">
      <c r="A1597" s="383">
        <v>22</v>
      </c>
      <c r="C1597" s="406"/>
      <c r="D1597" s="407"/>
      <c r="E1597" s="407"/>
      <c r="F1597" s="407"/>
      <c r="G1597" s="407"/>
      <c r="H1597" s="407"/>
      <c r="I1597" s="408" t="s">
        <v>433</v>
      </c>
      <c r="J1597" s="409" t="str">
        <f t="shared" si="292"/>
        <v>UND= Cant de elementos</v>
      </c>
      <c r="K1597" s="410" t="str">
        <f t="shared" si="300"/>
        <v>UND</v>
      </c>
      <c r="L1597" s="411"/>
      <c r="M1597" s="412"/>
      <c r="N1597" s="442"/>
      <c r="O1597" s="442"/>
      <c r="P1597" s="448"/>
      <c r="Q1597" s="411"/>
      <c r="R1597" s="413" t="str">
        <f t="shared" si="295"/>
        <v/>
      </c>
      <c r="S1597" s="414">
        <f>+HLOOKUP(A1597,[238]Hoja1!$2:$78,72,FALSE)</f>
        <v>0</v>
      </c>
      <c r="X1597" s="458">
        <f t="shared" si="298"/>
        <v>0</v>
      </c>
      <c r="Y1597" s="471">
        <f t="shared" si="299"/>
        <v>0</v>
      </c>
    </row>
    <row r="1598" spans="1:25" ht="25.5">
      <c r="A1598" s="383">
        <v>23</v>
      </c>
      <c r="C1598" s="406"/>
      <c r="D1598" s="407"/>
      <c r="E1598" s="407"/>
      <c r="F1598" s="407"/>
      <c r="G1598" s="407"/>
      <c r="H1598" s="407"/>
      <c r="I1598" s="408" t="s">
        <v>434</v>
      </c>
      <c r="J1598" s="409" t="str">
        <f t="shared" si="292"/>
        <v>UND= Cant de elementos</v>
      </c>
      <c r="K1598" s="410" t="str">
        <f t="shared" si="300"/>
        <v>UND</v>
      </c>
      <c r="L1598" s="411"/>
      <c r="M1598" s="412"/>
      <c r="N1598" s="441"/>
      <c r="O1598" s="442"/>
      <c r="P1598" s="412"/>
      <c r="Q1598" s="411"/>
      <c r="R1598" s="413" t="str">
        <f t="shared" si="295"/>
        <v/>
      </c>
      <c r="S1598" s="414">
        <f>+HLOOKUP(A1598,[238]Hoja1!$2:$78,72,FALSE)</f>
        <v>0</v>
      </c>
      <c r="X1598" s="458">
        <f t="shared" si="298"/>
        <v>0</v>
      </c>
      <c r="Y1598" s="471">
        <f t="shared" si="299"/>
        <v>0</v>
      </c>
    </row>
    <row r="1599" spans="1:25" ht="25.5">
      <c r="A1599" s="383">
        <v>24</v>
      </c>
      <c r="C1599" s="406"/>
      <c r="D1599" s="407"/>
      <c r="E1599" s="407"/>
      <c r="F1599" s="407"/>
      <c r="G1599" s="407"/>
      <c r="H1599" s="407"/>
      <c r="I1599" s="408" t="s">
        <v>435</v>
      </c>
      <c r="J1599" s="409" t="str">
        <f t="shared" si="292"/>
        <v>UND= Cant de elementos</v>
      </c>
      <c r="K1599" s="410" t="str">
        <f t="shared" si="300"/>
        <v>UND</v>
      </c>
      <c r="L1599" s="411"/>
      <c r="M1599" s="412"/>
      <c r="N1599" s="442"/>
      <c r="O1599" s="442"/>
      <c r="P1599" s="413"/>
      <c r="Q1599" s="411"/>
      <c r="R1599" s="413">
        <f t="shared" si="295"/>
        <v>1</v>
      </c>
      <c r="S1599" s="414">
        <f>+HLOOKUP(A1599,[238]Hoja1!$2:$78,72,FALSE)</f>
        <v>1</v>
      </c>
      <c r="X1599" s="458">
        <f t="shared" si="298"/>
        <v>0</v>
      </c>
      <c r="Y1599" s="471">
        <f t="shared" si="299"/>
        <v>0</v>
      </c>
    </row>
    <row r="1600" spans="1:25" ht="25.5">
      <c r="A1600" s="383">
        <v>25</v>
      </c>
      <c r="C1600" s="406"/>
      <c r="D1600" s="407"/>
      <c r="E1600" s="407"/>
      <c r="F1600" s="407"/>
      <c r="G1600" s="407"/>
      <c r="H1600" s="407"/>
      <c r="I1600" s="408" t="s">
        <v>436</v>
      </c>
      <c r="J1600" s="409" t="str">
        <f t="shared" si="292"/>
        <v>UND= Cant de elementos</v>
      </c>
      <c r="K1600" s="410" t="str">
        <f t="shared" si="300"/>
        <v>UND</v>
      </c>
      <c r="L1600" s="411"/>
      <c r="M1600" s="412"/>
      <c r="N1600" s="442"/>
      <c r="O1600" s="442"/>
      <c r="P1600" s="450"/>
      <c r="Q1600" s="411"/>
      <c r="R1600" s="413" t="str">
        <f t="shared" si="295"/>
        <v/>
      </c>
      <c r="S1600" s="414">
        <f>+HLOOKUP(A1600,[238]Hoja1!$2:$78,72,FALSE)</f>
        <v>0</v>
      </c>
      <c r="X1600" s="458">
        <f t="shared" si="298"/>
        <v>0</v>
      </c>
      <c r="Y1600" s="471">
        <f t="shared" si="299"/>
        <v>0</v>
      </c>
    </row>
    <row r="1601" spans="1:25" ht="25.5">
      <c r="A1601" s="383">
        <v>26</v>
      </c>
      <c r="C1601" s="406"/>
      <c r="D1601" s="407"/>
      <c r="E1601" s="407"/>
      <c r="F1601" s="407"/>
      <c r="G1601" s="407"/>
      <c r="H1601" s="407"/>
      <c r="I1601" s="408" t="s">
        <v>437</v>
      </c>
      <c r="J1601" s="409" t="str">
        <f t="shared" si="292"/>
        <v>UND= Cant de elementos</v>
      </c>
      <c r="K1601" s="410" t="str">
        <f>+K1590</f>
        <v>UND</v>
      </c>
      <c r="L1601" s="411"/>
      <c r="M1601" s="412"/>
      <c r="N1601" s="442"/>
      <c r="O1601" s="442"/>
      <c r="P1601" s="412"/>
      <c r="Q1601" s="411"/>
      <c r="R1601" s="413" t="str">
        <f t="shared" si="295"/>
        <v/>
      </c>
      <c r="S1601" s="414">
        <f>+HLOOKUP(A1601,[238]Hoja1!$2:$78,72,FALSE)</f>
        <v>0</v>
      </c>
      <c r="X1601" s="458">
        <f t="shared" si="298"/>
        <v>0</v>
      </c>
      <c r="Y1601" s="471">
        <f t="shared" si="299"/>
        <v>0</v>
      </c>
    </row>
    <row r="1602" spans="1:25" ht="25.5">
      <c r="A1602" s="383">
        <v>27</v>
      </c>
      <c r="C1602" s="406"/>
      <c r="D1602" s="407"/>
      <c r="E1602" s="407"/>
      <c r="F1602" s="407"/>
      <c r="G1602" s="407"/>
      <c r="H1602" s="407"/>
      <c r="I1602" s="408" t="s">
        <v>438</v>
      </c>
      <c r="J1602" s="409" t="str">
        <f t="shared" si="292"/>
        <v>UND= Cant de elementos</v>
      </c>
      <c r="K1602" s="410" t="str">
        <f t="shared" ref="K1602:K1610" si="301">+K1601</f>
        <v>UND</v>
      </c>
      <c r="L1602" s="411"/>
      <c r="M1602" s="412"/>
      <c r="N1602" s="442"/>
      <c r="O1602" s="442"/>
      <c r="P1602" s="448"/>
      <c r="Q1602" s="411"/>
      <c r="R1602" s="413" t="str">
        <f t="shared" si="295"/>
        <v/>
      </c>
      <c r="S1602" s="414">
        <f>+HLOOKUP(A1602,[238]Hoja1!$2:$78,72,FALSE)</f>
        <v>0</v>
      </c>
      <c r="X1602" s="458">
        <f t="shared" si="298"/>
        <v>0</v>
      </c>
      <c r="Y1602" s="471">
        <f t="shared" si="299"/>
        <v>0</v>
      </c>
    </row>
    <row r="1603" spans="1:25" ht="25.5">
      <c r="A1603" s="383">
        <v>28</v>
      </c>
      <c r="C1603" s="406"/>
      <c r="D1603" s="440"/>
      <c r="E1603" s="407"/>
      <c r="F1603" s="407"/>
      <c r="G1603" s="407"/>
      <c r="H1603" s="437"/>
      <c r="I1603" s="408" t="s">
        <v>439</v>
      </c>
      <c r="J1603" s="409" t="str">
        <f t="shared" si="292"/>
        <v>UND= Cant de elementos</v>
      </c>
      <c r="K1603" s="410" t="str">
        <f t="shared" si="301"/>
        <v>UND</v>
      </c>
      <c r="L1603" s="411"/>
      <c r="M1603" s="412"/>
      <c r="N1603" s="442"/>
      <c r="O1603" s="442"/>
      <c r="P1603" s="413"/>
      <c r="Q1603" s="411"/>
      <c r="R1603" s="413" t="str">
        <f t="shared" si="295"/>
        <v/>
      </c>
      <c r="S1603" s="414">
        <f>+HLOOKUP(A1603,[238]Hoja1!$2:$78,72,FALSE)</f>
        <v>0</v>
      </c>
      <c r="X1603" s="458">
        <f t="shared" si="298"/>
        <v>0</v>
      </c>
      <c r="Y1603" s="471">
        <f t="shared" si="299"/>
        <v>0</v>
      </c>
    </row>
    <row r="1604" spans="1:25" ht="25.5">
      <c r="A1604" s="383">
        <v>29</v>
      </c>
      <c r="C1604" s="406"/>
      <c r="D1604" s="407"/>
      <c r="E1604" s="407"/>
      <c r="F1604" s="407"/>
      <c r="G1604" s="407"/>
      <c r="H1604" s="407"/>
      <c r="I1604" s="408" t="s">
        <v>440</v>
      </c>
      <c r="J1604" s="409" t="str">
        <f t="shared" si="292"/>
        <v>UND= Cant de elementos</v>
      </c>
      <c r="K1604" s="410" t="str">
        <f t="shared" si="301"/>
        <v>UND</v>
      </c>
      <c r="L1604" s="411"/>
      <c r="M1604" s="412"/>
      <c r="N1604" s="443"/>
      <c r="O1604" s="442"/>
      <c r="P1604" s="412"/>
      <c r="Q1604" s="411"/>
      <c r="R1604" s="413" t="str">
        <f t="shared" si="295"/>
        <v/>
      </c>
      <c r="S1604" s="414">
        <f>+HLOOKUP(A1604,[238]Hoja1!$2:$78,72,FALSE)</f>
        <v>0</v>
      </c>
      <c r="X1604" s="458">
        <f t="shared" si="298"/>
        <v>0</v>
      </c>
      <c r="Y1604" s="471">
        <f t="shared" si="299"/>
        <v>0</v>
      </c>
    </row>
    <row r="1605" spans="1:25" ht="25.5">
      <c r="A1605" s="383">
        <v>30</v>
      </c>
      <c r="C1605" s="406"/>
      <c r="D1605" s="407"/>
      <c r="E1605" s="407"/>
      <c r="F1605" s="407"/>
      <c r="G1605" s="407"/>
      <c r="H1605" s="407"/>
      <c r="I1605" s="408" t="s">
        <v>441</v>
      </c>
      <c r="J1605" s="409" t="str">
        <f t="shared" si="292"/>
        <v>UND= Cant de elementos</v>
      </c>
      <c r="K1605" s="410" t="str">
        <f t="shared" si="301"/>
        <v>UND</v>
      </c>
      <c r="L1605" s="411"/>
      <c r="M1605" s="412"/>
      <c r="N1605" s="442"/>
      <c r="O1605" s="442"/>
      <c r="P1605" s="413"/>
      <c r="Q1605" s="411"/>
      <c r="R1605" s="413" t="str">
        <f t="shared" si="295"/>
        <v/>
      </c>
      <c r="S1605" s="414">
        <f>+HLOOKUP(A1605,[238]Hoja1!$2:$78,72,FALSE)</f>
        <v>0</v>
      </c>
      <c r="X1605" s="458">
        <f t="shared" si="298"/>
        <v>0</v>
      </c>
      <c r="Y1605" s="471">
        <f t="shared" si="299"/>
        <v>0</v>
      </c>
    </row>
    <row r="1606" spans="1:25" ht="25.5">
      <c r="A1606" s="383">
        <v>31</v>
      </c>
      <c r="C1606" s="406"/>
      <c r="D1606" s="407"/>
      <c r="E1606" s="407"/>
      <c r="F1606" s="407"/>
      <c r="G1606" s="407"/>
      <c r="H1606" s="407"/>
      <c r="I1606" s="408" t="s">
        <v>442</v>
      </c>
      <c r="J1606" s="409" t="str">
        <f t="shared" si="292"/>
        <v>UND= Cant de elementos</v>
      </c>
      <c r="K1606" s="410" t="str">
        <f t="shared" si="301"/>
        <v>UND</v>
      </c>
      <c r="L1606" s="411"/>
      <c r="M1606" s="412"/>
      <c r="N1606" s="442"/>
      <c r="O1606" s="442"/>
      <c r="P1606" s="413"/>
      <c r="Q1606" s="411"/>
      <c r="R1606" s="413" t="str">
        <f t="shared" si="295"/>
        <v/>
      </c>
      <c r="S1606" s="414">
        <f>+HLOOKUP(A1606,[238]Hoja1!$2:$78,72,FALSE)</f>
        <v>0</v>
      </c>
      <c r="X1606" s="458">
        <f t="shared" si="298"/>
        <v>0</v>
      </c>
      <c r="Y1606" s="471">
        <f t="shared" si="299"/>
        <v>0</v>
      </c>
    </row>
    <row r="1607" spans="1:25" ht="25.5">
      <c r="A1607" s="383">
        <v>32</v>
      </c>
      <c r="C1607" s="406"/>
      <c r="D1607" s="407"/>
      <c r="E1607" s="407"/>
      <c r="F1607" s="407"/>
      <c r="G1607" s="407"/>
      <c r="H1607" s="407"/>
      <c r="I1607" s="408" t="s">
        <v>443</v>
      </c>
      <c r="J1607" s="409" t="str">
        <f t="shared" si="292"/>
        <v>UND= Cant de elementos</v>
      </c>
      <c r="K1607" s="410" t="str">
        <f t="shared" si="301"/>
        <v>UND</v>
      </c>
      <c r="L1607" s="411"/>
      <c r="M1607" s="412"/>
      <c r="N1607" s="442"/>
      <c r="O1607" s="442"/>
      <c r="P1607" s="413"/>
      <c r="Q1607" s="411"/>
      <c r="R1607" s="413">
        <f t="shared" si="295"/>
        <v>1</v>
      </c>
      <c r="S1607" s="414">
        <f>+HLOOKUP(A1607,[238]Hoja1!$2:$78,72,FALSE)</f>
        <v>1</v>
      </c>
      <c r="X1607" s="458">
        <f t="shared" si="298"/>
        <v>0</v>
      </c>
      <c r="Y1607" s="471">
        <f t="shared" si="299"/>
        <v>0</v>
      </c>
    </row>
    <row r="1608" spans="1:25" ht="25.5">
      <c r="A1608" s="383">
        <v>33</v>
      </c>
      <c r="C1608" s="406"/>
      <c r="D1608" s="407"/>
      <c r="E1608" s="407"/>
      <c r="F1608" s="407"/>
      <c r="G1608" s="407"/>
      <c r="H1608" s="407"/>
      <c r="I1608" s="408" t="s">
        <v>444</v>
      </c>
      <c r="J1608" s="409" t="str">
        <f t="shared" si="292"/>
        <v>UND= Cant de elementos</v>
      </c>
      <c r="K1608" s="410" t="str">
        <f t="shared" si="301"/>
        <v>UND</v>
      </c>
      <c r="L1608" s="411"/>
      <c r="M1608" s="412"/>
      <c r="N1608" s="442"/>
      <c r="O1608" s="442"/>
      <c r="P1608" s="412"/>
      <c r="Q1608" s="411"/>
      <c r="R1608" s="413" t="str">
        <f t="shared" si="295"/>
        <v/>
      </c>
      <c r="S1608" s="414">
        <f>+HLOOKUP(A1608,[238]Hoja1!$2:$78,72,FALSE)</f>
        <v>0</v>
      </c>
      <c r="X1608" s="458">
        <f t="shared" si="298"/>
        <v>0</v>
      </c>
      <c r="Y1608" s="471">
        <f t="shared" si="299"/>
        <v>0</v>
      </c>
    </row>
    <row r="1609" spans="1:25" ht="25.5">
      <c r="A1609" s="383">
        <v>34</v>
      </c>
      <c r="C1609" s="406"/>
      <c r="D1609" s="407"/>
      <c r="E1609" s="407"/>
      <c r="F1609" s="407"/>
      <c r="G1609" s="407"/>
      <c r="H1609" s="407"/>
      <c r="I1609" s="408" t="s">
        <v>445</v>
      </c>
      <c r="J1609" s="409" t="str">
        <f t="shared" si="292"/>
        <v>UND= Cant de elementos</v>
      </c>
      <c r="K1609" s="410" t="str">
        <f t="shared" si="301"/>
        <v>UND</v>
      </c>
      <c r="L1609" s="411"/>
      <c r="M1609" s="412"/>
      <c r="N1609" s="441"/>
      <c r="O1609" s="442"/>
      <c r="P1609" s="412"/>
      <c r="Q1609" s="411"/>
      <c r="R1609" s="413" t="str">
        <f t="shared" si="295"/>
        <v/>
      </c>
      <c r="S1609" s="414">
        <f>+HLOOKUP(A1609,[238]Hoja1!$2:$78,72,FALSE)</f>
        <v>0</v>
      </c>
      <c r="X1609" s="458">
        <f t="shared" si="298"/>
        <v>0</v>
      </c>
      <c r="Y1609" s="471">
        <f t="shared" si="299"/>
        <v>0</v>
      </c>
    </row>
    <row r="1610" spans="1:25" ht="25.5">
      <c r="A1610" s="383">
        <v>35</v>
      </c>
      <c r="C1610" s="406"/>
      <c r="D1610" s="440"/>
      <c r="E1610" s="407"/>
      <c r="F1610" s="407"/>
      <c r="G1610" s="407"/>
      <c r="H1610" s="437"/>
      <c r="I1610" s="408" t="s">
        <v>446</v>
      </c>
      <c r="J1610" s="409" t="str">
        <f t="shared" si="292"/>
        <v>UND= Cant de elementos</v>
      </c>
      <c r="K1610" s="410" t="str">
        <f t="shared" si="301"/>
        <v>UND</v>
      </c>
      <c r="L1610" s="411"/>
      <c r="M1610" s="412"/>
      <c r="N1610" s="442"/>
      <c r="O1610" s="442"/>
      <c r="P1610" s="413"/>
      <c r="Q1610" s="411"/>
      <c r="R1610" s="413" t="str">
        <f t="shared" si="295"/>
        <v/>
      </c>
      <c r="S1610" s="414">
        <f>+HLOOKUP(A1610,[238]Hoja1!$2:$78,72,FALSE)</f>
        <v>0</v>
      </c>
      <c r="X1610" s="458">
        <f t="shared" si="298"/>
        <v>0</v>
      </c>
      <c r="Y1610" s="471">
        <f t="shared" si="299"/>
        <v>0</v>
      </c>
    </row>
    <row r="1611" spans="1:25" ht="25.5">
      <c r="A1611" s="383">
        <v>36</v>
      </c>
      <c r="C1611" s="406"/>
      <c r="D1611" s="407"/>
      <c r="E1611" s="407"/>
      <c r="F1611" s="407"/>
      <c r="G1611" s="407"/>
      <c r="H1611" s="407"/>
      <c r="I1611" s="408" t="s">
        <v>447</v>
      </c>
      <c r="J1611" s="409" t="str">
        <f t="shared" si="292"/>
        <v>UND= Cant de elementos</v>
      </c>
      <c r="K1611" s="410" t="str">
        <f>+K1600</f>
        <v>UND</v>
      </c>
      <c r="L1611" s="411"/>
      <c r="M1611" s="412"/>
      <c r="N1611" s="442"/>
      <c r="O1611" s="442"/>
      <c r="P1611" s="449"/>
      <c r="Q1611" s="411"/>
      <c r="R1611" s="413">
        <f t="shared" si="295"/>
        <v>1</v>
      </c>
      <c r="S1611" s="414">
        <f>+HLOOKUP(A1611,[238]Hoja1!$2:$78,72,FALSE)</f>
        <v>1</v>
      </c>
      <c r="X1611" s="458">
        <f t="shared" si="298"/>
        <v>0</v>
      </c>
      <c r="Y1611" s="471">
        <f t="shared" si="299"/>
        <v>0</v>
      </c>
    </row>
    <row r="1612" spans="1:25" ht="25.5">
      <c r="A1612" s="383">
        <v>37</v>
      </c>
      <c r="C1612" s="406"/>
      <c r="D1612" s="407"/>
      <c r="E1612" s="407"/>
      <c r="F1612" s="407"/>
      <c r="G1612" s="407"/>
      <c r="H1612" s="407"/>
      <c r="I1612" s="408" t="s">
        <v>448</v>
      </c>
      <c r="J1612" s="409" t="str">
        <f t="shared" si="292"/>
        <v>UND= Cant de elementos</v>
      </c>
      <c r="K1612" s="410" t="str">
        <f t="shared" ref="K1612:K1618" si="302">+K1611</f>
        <v>UND</v>
      </c>
      <c r="L1612" s="411"/>
      <c r="M1612" s="412"/>
      <c r="N1612" s="441"/>
      <c r="O1612" s="442"/>
      <c r="P1612" s="449"/>
      <c r="Q1612" s="411"/>
      <c r="R1612" s="413" t="str">
        <f t="shared" si="295"/>
        <v/>
      </c>
      <c r="S1612" s="414">
        <f>+HLOOKUP(A1612,[238]Hoja1!$2:$78,72,FALSE)</f>
        <v>0</v>
      </c>
      <c r="X1612" s="458">
        <f t="shared" si="298"/>
        <v>0</v>
      </c>
      <c r="Y1612" s="471">
        <f t="shared" si="299"/>
        <v>0</v>
      </c>
    </row>
    <row r="1613" spans="1:25" ht="25.5">
      <c r="A1613" s="383">
        <v>38</v>
      </c>
      <c r="C1613" s="406"/>
      <c r="D1613" s="440"/>
      <c r="E1613" s="407"/>
      <c r="F1613" s="407"/>
      <c r="G1613" s="407"/>
      <c r="H1613" s="437"/>
      <c r="I1613" s="408" t="s">
        <v>449</v>
      </c>
      <c r="J1613" s="409" t="str">
        <f t="shared" si="292"/>
        <v>UND= Cant de elementos</v>
      </c>
      <c r="K1613" s="410" t="str">
        <f t="shared" si="302"/>
        <v>UND</v>
      </c>
      <c r="L1613" s="411"/>
      <c r="M1613" s="412"/>
      <c r="N1613" s="442"/>
      <c r="O1613" s="442"/>
      <c r="P1613" s="413"/>
      <c r="Q1613" s="411"/>
      <c r="R1613" s="413">
        <f t="shared" si="295"/>
        <v>1</v>
      </c>
      <c r="S1613" s="414">
        <f>+HLOOKUP(A1613,[238]Hoja1!$2:$78,72,FALSE)</f>
        <v>1</v>
      </c>
      <c r="X1613" s="458">
        <f t="shared" si="298"/>
        <v>0</v>
      </c>
      <c r="Y1613" s="471">
        <f t="shared" si="299"/>
        <v>0</v>
      </c>
    </row>
    <row r="1614" spans="1:25" ht="25.5">
      <c r="A1614" s="383">
        <v>39</v>
      </c>
      <c r="C1614" s="406"/>
      <c r="D1614" s="407"/>
      <c r="E1614" s="407"/>
      <c r="F1614" s="407"/>
      <c r="G1614" s="407"/>
      <c r="H1614" s="407"/>
      <c r="I1614" s="408" t="s">
        <v>450</v>
      </c>
      <c r="J1614" s="409" t="str">
        <f t="shared" si="292"/>
        <v>UND= Cant de elementos</v>
      </c>
      <c r="K1614" s="410" t="str">
        <f t="shared" si="302"/>
        <v>UND</v>
      </c>
      <c r="L1614" s="411"/>
      <c r="M1614" s="412"/>
      <c r="N1614" s="441"/>
      <c r="O1614" s="442"/>
      <c r="P1614" s="412"/>
      <c r="Q1614" s="411"/>
      <c r="R1614" s="413" t="str">
        <f t="shared" si="295"/>
        <v/>
      </c>
      <c r="S1614" s="414">
        <f>+HLOOKUP(A1614,[238]Hoja1!$2:$78,72,FALSE)</f>
        <v>0</v>
      </c>
      <c r="X1614" s="458">
        <f t="shared" si="298"/>
        <v>0</v>
      </c>
      <c r="Y1614" s="471">
        <f t="shared" si="299"/>
        <v>0</v>
      </c>
    </row>
    <row r="1615" spans="1:25" ht="25.5">
      <c r="A1615" s="383">
        <v>40</v>
      </c>
      <c r="C1615" s="406"/>
      <c r="D1615" s="407"/>
      <c r="E1615" s="407"/>
      <c r="F1615" s="407"/>
      <c r="G1615" s="407"/>
      <c r="H1615" s="407"/>
      <c r="I1615" s="408" t="s">
        <v>451</v>
      </c>
      <c r="J1615" s="409" t="str">
        <f t="shared" si="292"/>
        <v>UND= Cant de elementos</v>
      </c>
      <c r="K1615" s="410" t="str">
        <f t="shared" si="302"/>
        <v>UND</v>
      </c>
      <c r="L1615" s="411"/>
      <c r="M1615" s="412"/>
      <c r="N1615" s="442"/>
      <c r="O1615" s="442"/>
      <c r="P1615" s="413"/>
      <c r="Q1615" s="411"/>
      <c r="R1615" s="413">
        <f t="shared" si="295"/>
        <v>1</v>
      </c>
      <c r="S1615" s="414">
        <f>+HLOOKUP(A1615,[238]Hoja1!$2:$78,72,FALSE)</f>
        <v>1</v>
      </c>
      <c r="X1615" s="458">
        <f t="shared" si="298"/>
        <v>0</v>
      </c>
      <c r="Y1615" s="471">
        <f t="shared" si="299"/>
        <v>0</v>
      </c>
    </row>
    <row r="1616" spans="1:25" ht="25.5">
      <c r="A1616" s="383">
        <v>41</v>
      </c>
      <c r="C1616" s="406"/>
      <c r="D1616" s="407"/>
      <c r="E1616" s="407"/>
      <c r="F1616" s="407"/>
      <c r="G1616" s="407"/>
      <c r="H1616" s="407"/>
      <c r="I1616" s="408" t="s">
        <v>452</v>
      </c>
      <c r="J1616" s="409" t="str">
        <f t="shared" si="292"/>
        <v>UND= Cant de elementos</v>
      </c>
      <c r="K1616" s="410" t="str">
        <f t="shared" si="302"/>
        <v>UND</v>
      </c>
      <c r="L1616" s="411"/>
      <c r="M1616" s="412"/>
      <c r="N1616" s="442"/>
      <c r="O1616" s="442"/>
      <c r="P1616" s="413"/>
      <c r="Q1616" s="411"/>
      <c r="R1616" s="413" t="str">
        <f t="shared" si="295"/>
        <v/>
      </c>
      <c r="S1616" s="414">
        <f>+HLOOKUP(A1616,[238]Hoja1!$2:$78,72,FALSE)</f>
        <v>0</v>
      </c>
      <c r="X1616" s="458">
        <f t="shared" si="298"/>
        <v>0</v>
      </c>
      <c r="Y1616" s="471">
        <f t="shared" si="299"/>
        <v>0</v>
      </c>
    </row>
    <row r="1617" spans="1:25" ht="25.5">
      <c r="A1617" s="383">
        <v>42</v>
      </c>
      <c r="C1617" s="406"/>
      <c r="D1617" s="407"/>
      <c r="E1617" s="407"/>
      <c r="F1617" s="407"/>
      <c r="G1617" s="407"/>
      <c r="H1617" s="407"/>
      <c r="I1617" s="408" t="s">
        <v>453</v>
      </c>
      <c r="J1617" s="409" t="str">
        <f t="shared" si="292"/>
        <v>UND= Cant de elementos</v>
      </c>
      <c r="K1617" s="410" t="str">
        <f t="shared" si="302"/>
        <v>UND</v>
      </c>
      <c r="L1617" s="411"/>
      <c r="M1617" s="412"/>
      <c r="N1617" s="442"/>
      <c r="O1617" s="442"/>
      <c r="P1617" s="412"/>
      <c r="Q1617" s="411"/>
      <c r="R1617" s="413" t="str">
        <f t="shared" si="295"/>
        <v/>
      </c>
      <c r="S1617" s="414">
        <f>+HLOOKUP(A1617,[238]Hoja1!$2:$78,72,FALSE)</f>
        <v>0</v>
      </c>
      <c r="X1617" s="458">
        <f t="shared" si="298"/>
        <v>0</v>
      </c>
      <c r="Y1617" s="471">
        <f t="shared" si="299"/>
        <v>0</v>
      </c>
    </row>
    <row r="1618" spans="1:25" ht="26.25" thickBot="1">
      <c r="A1618" s="383">
        <v>43</v>
      </c>
      <c r="C1618" s="406"/>
      <c r="D1618" s="407"/>
      <c r="E1618" s="407"/>
      <c r="F1618" s="407"/>
      <c r="G1618" s="407"/>
      <c r="H1618" s="407"/>
      <c r="I1618" s="408" t="s">
        <v>454</v>
      </c>
      <c r="J1618" s="409" t="str">
        <f t="shared" si="292"/>
        <v>UND= Cant de elementos</v>
      </c>
      <c r="K1618" s="410" t="str">
        <f t="shared" si="302"/>
        <v>UND</v>
      </c>
      <c r="L1618" s="411"/>
      <c r="M1618" s="412"/>
      <c r="N1618" s="442"/>
      <c r="O1618" s="442" t="str">
        <f t="shared" ref="O1618" si="303">IF(S1618=0,"",S1618)</f>
        <v/>
      </c>
      <c r="P1618" s="412"/>
      <c r="Q1618" s="411"/>
      <c r="R1618" s="413" t="str">
        <f t="shared" si="295"/>
        <v/>
      </c>
      <c r="S1618" s="414">
        <f>+HLOOKUP(A1618,[238]Hoja1!$2:$78,72,FALSE)</f>
        <v>0</v>
      </c>
      <c r="X1618" s="458">
        <f t="shared" si="298"/>
        <v>0</v>
      </c>
      <c r="Y1618" s="471">
        <f t="shared" si="299"/>
        <v>0</v>
      </c>
    </row>
    <row r="1619" spans="1:25">
      <c r="C1619" s="384"/>
      <c r="D1619" s="419"/>
      <c r="E1619" s="420"/>
      <c r="F1619" s="421"/>
      <c r="G1619" s="421"/>
      <c r="H1619" s="421"/>
      <c r="I1619" s="421"/>
      <c r="J1619" s="422"/>
      <c r="K1619" s="421"/>
      <c r="L1619" s="421"/>
      <c r="M1619" s="421"/>
      <c r="N1619" s="421"/>
      <c r="O1619" s="421"/>
      <c r="P1619" s="421"/>
      <c r="Q1619" s="421"/>
      <c r="R1619" s="422"/>
      <c r="S1619" s="423"/>
    </row>
    <row r="1620" spans="1:25">
      <c r="C1620" s="396"/>
      <c r="D1620" s="397"/>
      <c r="E1620" s="424"/>
      <c r="F1620" s="425"/>
      <c r="G1620" s="425"/>
      <c r="H1620" s="425"/>
      <c r="I1620" s="425"/>
      <c r="J1620" s="398"/>
      <c r="K1620" s="425"/>
      <c r="L1620" s="425"/>
      <c r="M1620" s="397"/>
      <c r="N1620" s="397"/>
      <c r="O1620" s="562" t="s">
        <v>455</v>
      </c>
      <c r="P1620" s="563"/>
      <c r="Q1620" s="564"/>
      <c r="R1620" s="426"/>
      <c r="S1620" s="427">
        <f>ROUND(SUM(S1576:S1619),2)</f>
        <v>7</v>
      </c>
    </row>
    <row r="1621" spans="1:25">
      <c r="C1621" s="396"/>
      <c r="D1621" s="397"/>
      <c r="E1621" s="424"/>
      <c r="F1621" s="425"/>
      <c r="G1621" s="425"/>
      <c r="H1621" s="425"/>
      <c r="I1621" s="425"/>
      <c r="J1621" s="398"/>
      <c r="K1621" s="425"/>
      <c r="L1621" s="425"/>
      <c r="M1621" s="428"/>
      <c r="N1621" s="428"/>
      <c r="O1621" s="429"/>
      <c r="P1621" s="425"/>
      <c r="Q1621" s="425"/>
      <c r="R1621" s="430"/>
      <c r="S1621" s="431"/>
    </row>
    <row r="1622" spans="1:25">
      <c r="C1622" s="565" t="e">
        <v>#REF!</v>
      </c>
      <c r="D1622" s="566"/>
      <c r="E1622" s="566"/>
      <c r="F1622" s="566"/>
      <c r="G1622" s="566"/>
      <c r="H1622" s="566"/>
      <c r="I1622" s="566"/>
      <c r="J1622" s="566"/>
      <c r="K1622" s="566"/>
      <c r="L1622" s="566"/>
      <c r="M1622" s="566"/>
      <c r="N1622" s="567"/>
      <c r="O1622" s="568" t="s">
        <v>422</v>
      </c>
      <c r="P1622" s="568"/>
      <c r="Q1622" s="568"/>
      <c r="R1622" s="426"/>
      <c r="S1622" s="427">
        <f>S1620</f>
        <v>7</v>
      </c>
    </row>
    <row r="1623" spans="1:25">
      <c r="C1623" s="396"/>
      <c r="D1623" s="397"/>
      <c r="E1623" s="424"/>
      <c r="F1623" s="425"/>
      <c r="G1623" s="425"/>
      <c r="H1623" s="425"/>
      <c r="I1623" s="425"/>
      <c r="J1623" s="398"/>
      <c r="K1623" s="425"/>
      <c r="L1623" s="425"/>
      <c r="M1623" s="428"/>
      <c r="N1623" s="428"/>
      <c r="O1623" s="429"/>
      <c r="P1623" s="425"/>
      <c r="Q1623" s="398"/>
      <c r="R1623" s="398"/>
      <c r="S1623" s="432"/>
    </row>
    <row r="1624" spans="1:25">
      <c r="C1624" s="396"/>
      <c r="D1624" s="397"/>
      <c r="E1624" s="424"/>
      <c r="F1624" s="425"/>
      <c r="G1624" s="425"/>
      <c r="H1624" s="425"/>
      <c r="I1624" s="425"/>
      <c r="J1624" s="398"/>
      <c r="K1624" s="425"/>
      <c r="L1624" s="425"/>
      <c r="M1624" s="428"/>
      <c r="N1624" s="428"/>
      <c r="O1624" s="429"/>
      <c r="P1624" s="425"/>
      <c r="Q1624" s="398"/>
      <c r="R1624" s="398"/>
      <c r="S1624" s="432"/>
    </row>
    <row r="1625" spans="1:25">
      <c r="C1625" s="569" t="s">
        <v>423</v>
      </c>
      <c r="D1625" s="570"/>
      <c r="E1625" s="570"/>
      <c r="F1625" s="570"/>
      <c r="G1625" s="570"/>
      <c r="H1625" s="570"/>
      <c r="I1625" s="570"/>
      <c r="J1625" s="571"/>
      <c r="K1625" s="433" t="s">
        <v>424</v>
      </c>
      <c r="L1625" s="434"/>
      <c r="M1625" s="434"/>
      <c r="N1625" s="434"/>
      <c r="O1625" s="434"/>
      <c r="P1625" s="434"/>
      <c r="Q1625" s="434"/>
      <c r="R1625" s="434"/>
      <c r="S1625" s="435"/>
    </row>
    <row r="1626" spans="1:25">
      <c r="C1626" s="542"/>
      <c r="D1626" s="543"/>
      <c r="E1626" s="543"/>
      <c r="F1626" s="543"/>
      <c r="G1626" s="436"/>
      <c r="H1626" s="436"/>
      <c r="I1626" s="436"/>
      <c r="J1626" s="447"/>
      <c r="K1626" s="436"/>
      <c r="L1626" s="407"/>
      <c r="M1626" s="407"/>
      <c r="N1626" s="407"/>
      <c r="O1626" s="407"/>
      <c r="P1626" s="407"/>
      <c r="Q1626" s="407"/>
      <c r="R1626" s="407"/>
      <c r="S1626" s="437"/>
    </row>
    <row r="1627" spans="1:25">
      <c r="C1627" s="542"/>
      <c r="D1627" s="543"/>
      <c r="E1627" s="543"/>
      <c r="F1627" s="543"/>
      <c r="G1627" s="436"/>
      <c r="H1627" s="436"/>
      <c r="I1627" s="436"/>
      <c r="J1627" s="447"/>
      <c r="K1627" s="436"/>
      <c r="L1627" s="407"/>
      <c r="M1627" s="407"/>
      <c r="N1627" s="407"/>
      <c r="O1627" s="407"/>
      <c r="P1627" s="407"/>
      <c r="Q1627" s="407"/>
      <c r="R1627" s="407"/>
      <c r="S1627" s="437"/>
    </row>
    <row r="1628" spans="1:25">
      <c r="C1628" s="542" t="s">
        <v>425</v>
      </c>
      <c r="D1628" s="543"/>
      <c r="E1628" s="543" t="s">
        <v>425</v>
      </c>
      <c r="F1628" s="543"/>
      <c r="G1628" s="543" t="s">
        <v>425</v>
      </c>
      <c r="H1628" s="543"/>
      <c r="I1628" s="543" t="s">
        <v>425</v>
      </c>
      <c r="J1628" s="544"/>
      <c r="K1628" s="545" t="s">
        <v>426</v>
      </c>
      <c r="L1628" s="546"/>
      <c r="M1628" s="546"/>
      <c r="N1628" s="546"/>
      <c r="O1628" s="546"/>
      <c r="P1628" s="546"/>
      <c r="Q1628" s="546"/>
      <c r="R1628" s="546"/>
      <c r="S1628" s="547"/>
    </row>
    <row r="1629" spans="1:25">
      <c r="C1629" s="548" t="str">
        <f>+[42]DATOS!D$8</f>
        <v>HELMER EDUARDO BECERRA SANTANDER</v>
      </c>
      <c r="D1629" s="549"/>
      <c r="E1629" s="549" t="s">
        <v>427</v>
      </c>
      <c r="F1629" s="549"/>
      <c r="G1629" s="549" t="s">
        <v>427</v>
      </c>
      <c r="H1629" s="549"/>
      <c r="I1629" s="549" t="s">
        <v>427</v>
      </c>
      <c r="J1629" s="550"/>
      <c r="K1629" s="551" t="str">
        <f>+[42]DATOS!D$11</f>
        <v>JESUS IVAN QUIÑONES RUEDA</v>
      </c>
      <c r="L1629" s="549"/>
      <c r="M1629" s="549"/>
      <c r="N1629" s="549"/>
      <c r="O1629" s="549"/>
      <c r="P1629" s="549"/>
      <c r="Q1629" s="549"/>
      <c r="R1629" s="549"/>
      <c r="S1629" s="552"/>
    </row>
    <row r="1630" spans="1:25">
      <c r="C1630" s="553" t="str">
        <f>+$C$72</f>
        <v>APOYO SEC. DE PLANEACION Y OBRAS PÚBLICAS</v>
      </c>
      <c r="D1630" s="554"/>
      <c r="E1630" s="554" t="s">
        <v>428</v>
      </c>
      <c r="F1630" s="554"/>
      <c r="G1630" s="554" t="s">
        <v>428</v>
      </c>
      <c r="H1630" s="554"/>
      <c r="I1630" s="554" t="s">
        <v>428</v>
      </c>
      <c r="J1630" s="555"/>
      <c r="K1630" s="556" t="str">
        <f>+$K$72</f>
        <v>SECRETARIO DE PLANEACION Y OBRAS PÚBLICAS</v>
      </c>
      <c r="L1630" s="554"/>
      <c r="M1630" s="554"/>
      <c r="N1630" s="554"/>
      <c r="O1630" s="554"/>
      <c r="P1630" s="554"/>
      <c r="Q1630" s="554"/>
      <c r="R1630" s="554"/>
      <c r="S1630" s="557"/>
    </row>
    <row r="1631" spans="1:25">
      <c r="C1631" s="406"/>
      <c r="D1631" s="407"/>
      <c r="E1631" s="407"/>
      <c r="F1631" s="407"/>
      <c r="G1631" s="407"/>
      <c r="H1631" s="407"/>
      <c r="I1631" s="407"/>
      <c r="J1631" s="407"/>
      <c r="K1631" s="407"/>
      <c r="L1631" s="407"/>
      <c r="M1631" s="407"/>
      <c r="N1631" s="407"/>
      <c r="O1631" s="407"/>
      <c r="P1631" s="407"/>
      <c r="Q1631" s="407"/>
      <c r="R1631" s="407"/>
      <c r="S1631" s="437"/>
    </row>
    <row r="1632" spans="1:25" ht="111" customHeight="1" thickBot="1">
      <c r="C1632" s="417"/>
      <c r="D1632" s="418"/>
      <c r="E1632" s="418"/>
      <c r="F1632" s="418"/>
      <c r="G1632" s="418"/>
      <c r="H1632" s="418"/>
      <c r="I1632" s="418"/>
      <c r="J1632" s="418"/>
      <c r="K1632" s="418"/>
      <c r="L1632" s="418"/>
      <c r="M1632" s="418"/>
      <c r="N1632" s="418"/>
      <c r="O1632" s="418"/>
      <c r="P1632" s="418"/>
      <c r="Q1632" s="418"/>
      <c r="R1632" s="418"/>
      <c r="S1632" s="438"/>
    </row>
    <row r="1633" spans="3:22" ht="22.5" customHeight="1"/>
    <row r="1634" spans="3:22" ht="13.5" thickBot="1"/>
    <row r="1635" spans="3:22">
      <c r="C1635" s="384"/>
      <c r="D1635" s="385"/>
      <c r="E1635" s="385"/>
      <c r="F1635" s="385"/>
      <c r="G1635" s="385"/>
      <c r="H1635" s="385"/>
      <c r="I1635" s="385"/>
      <c r="J1635" s="445"/>
      <c r="K1635" s="385"/>
      <c r="L1635" s="385"/>
      <c r="M1635" s="385"/>
      <c r="N1635" s="385"/>
      <c r="O1635" s="385"/>
      <c r="P1635" s="385"/>
      <c r="Q1635" s="385"/>
      <c r="R1635" s="385"/>
      <c r="S1635" s="386"/>
    </row>
    <row r="1636" spans="3:22" ht="121.5" customHeight="1" thickBot="1">
      <c r="C1636" s="387"/>
      <c r="D1636" s="388"/>
      <c r="E1636" s="388"/>
      <c r="F1636" s="388"/>
      <c r="G1636" s="388"/>
      <c r="H1636" s="388"/>
      <c r="I1636" s="388"/>
      <c r="J1636" s="446"/>
      <c r="K1636" s="388"/>
      <c r="L1636" s="388"/>
      <c r="M1636" s="388"/>
      <c r="N1636" s="388"/>
      <c r="O1636" s="388"/>
      <c r="P1636" s="388"/>
      <c r="Q1636" s="388"/>
      <c r="R1636" s="388"/>
      <c r="S1636" s="389"/>
    </row>
    <row r="1637" spans="3:22">
      <c r="C1637" s="592" t="str">
        <f>+[42]DATOS!C$7</f>
        <v>MEJORAMIENTO DE VIVIENDA CON ENFOQUE DIFERENCIAL PARA POBLACIÓN VULNERABLE EN EL MUNICIPIO DE CUBARÁ, BOYACÁ (2026).</v>
      </c>
      <c r="D1637" s="593"/>
      <c r="E1637" s="593"/>
      <c r="F1637" s="593"/>
      <c r="G1637" s="593"/>
      <c r="H1637" s="593"/>
      <c r="I1637" s="593"/>
      <c r="J1637" s="593"/>
      <c r="K1637" s="593"/>
      <c r="L1637" s="593"/>
      <c r="M1637" s="593"/>
      <c r="N1637" s="593"/>
      <c r="O1637" s="593"/>
      <c r="P1637" s="593"/>
      <c r="Q1637" s="593"/>
      <c r="R1637" s="593"/>
      <c r="S1637" s="594"/>
    </row>
    <row r="1638" spans="3:22">
      <c r="C1638" s="595"/>
      <c r="D1638" s="596"/>
      <c r="E1638" s="596"/>
      <c r="F1638" s="596"/>
      <c r="G1638" s="596"/>
      <c r="H1638" s="596"/>
      <c r="I1638" s="596"/>
      <c r="J1638" s="596"/>
      <c r="K1638" s="596"/>
      <c r="L1638" s="596"/>
      <c r="M1638" s="596"/>
      <c r="N1638" s="596"/>
      <c r="O1638" s="596"/>
      <c r="P1638" s="596"/>
      <c r="Q1638" s="596"/>
      <c r="R1638" s="596"/>
      <c r="S1638" s="597"/>
    </row>
    <row r="1639" spans="3:22">
      <c r="C1639" s="598" t="s">
        <v>371</v>
      </c>
      <c r="D1639" s="599"/>
      <c r="E1639" s="599"/>
      <c r="F1639" s="599"/>
      <c r="G1639" s="599"/>
      <c r="H1639" s="599"/>
      <c r="I1639" s="599"/>
      <c r="J1639" s="599"/>
      <c r="K1639" s="599"/>
      <c r="L1639" s="599"/>
      <c r="M1639" s="599"/>
      <c r="N1639" s="599"/>
      <c r="O1639" s="599"/>
      <c r="P1639" s="599"/>
      <c r="Q1639" s="599"/>
      <c r="R1639" s="599"/>
      <c r="S1639" s="600"/>
    </row>
    <row r="1640" spans="3:22">
      <c r="C1640" s="586" t="s">
        <v>372</v>
      </c>
      <c r="D1640" s="587"/>
      <c r="E1640" s="601" t="s">
        <v>373</v>
      </c>
      <c r="F1640" s="601"/>
      <c r="G1640" s="601"/>
      <c r="H1640" s="601"/>
      <c r="I1640" s="601"/>
      <c r="J1640" s="601"/>
      <c r="K1640" s="601"/>
      <c r="L1640" s="601"/>
      <c r="M1640" s="601"/>
      <c r="N1640" s="601"/>
      <c r="O1640" s="601"/>
      <c r="P1640" s="601"/>
      <c r="Q1640" s="601"/>
      <c r="R1640" s="601"/>
      <c r="S1640" s="602"/>
    </row>
    <row r="1641" spans="3:22">
      <c r="C1641" s="586" t="s">
        <v>374</v>
      </c>
      <c r="D1641" s="587"/>
      <c r="E1641" s="603" t="s">
        <v>375</v>
      </c>
      <c r="F1641" s="604"/>
      <c r="G1641" s="604"/>
      <c r="H1641" s="604"/>
      <c r="I1641" s="604"/>
      <c r="J1641" s="604"/>
      <c r="K1641" s="604"/>
      <c r="L1641" s="604"/>
      <c r="M1641" s="604"/>
      <c r="N1641" s="604"/>
      <c r="O1641" s="604"/>
      <c r="P1641" s="604"/>
      <c r="Q1641" s="604"/>
      <c r="R1641" s="604"/>
      <c r="S1641" s="605"/>
    </row>
    <row r="1642" spans="3:22">
      <c r="C1642" s="586" t="s">
        <v>376</v>
      </c>
      <c r="D1642" s="587"/>
      <c r="E1642" s="390">
        <f>+[42]DATOS!F$5</f>
        <v>46143</v>
      </c>
      <c r="F1642" s="391"/>
      <c r="G1642" s="391"/>
      <c r="H1642" s="391"/>
      <c r="I1642" s="391"/>
      <c r="J1642" s="391"/>
      <c r="K1642" s="568" t="s">
        <v>377</v>
      </c>
      <c r="L1642" s="568"/>
      <c r="M1642" s="588" t="s">
        <v>378</v>
      </c>
      <c r="N1642" s="588"/>
      <c r="O1642" s="588"/>
      <c r="P1642" s="588"/>
      <c r="Q1642" s="588"/>
      <c r="R1642" s="588"/>
      <c r="S1642" s="589"/>
    </row>
    <row r="1643" spans="3:22" ht="25.5">
      <c r="C1643" s="586" t="s">
        <v>379</v>
      </c>
      <c r="D1643" s="587"/>
      <c r="E1643" s="590" t="s">
        <v>380</v>
      </c>
      <c r="F1643" s="591"/>
      <c r="G1643" s="392">
        <f>+[42]DATOS!E$5</f>
        <v>2026</v>
      </c>
      <c r="H1643" s="393" t="s">
        <v>381</v>
      </c>
      <c r="I1643" s="394">
        <f>+[42]DATOS!E$5</f>
        <v>2026</v>
      </c>
      <c r="J1643" s="395"/>
      <c r="K1643" s="568" t="s">
        <v>382</v>
      </c>
      <c r="L1643" s="568"/>
      <c r="M1643" s="588" t="s">
        <v>383</v>
      </c>
      <c r="N1643" s="588"/>
      <c r="O1643" s="588"/>
      <c r="P1643" s="588"/>
      <c r="Q1643" s="588"/>
      <c r="R1643" s="588"/>
      <c r="S1643" s="589"/>
    </row>
    <row r="1644" spans="3:22">
      <c r="C1644" s="396"/>
      <c r="D1644" s="397"/>
      <c r="E1644" s="397"/>
      <c r="F1644" s="398"/>
      <c r="G1644" s="398"/>
      <c r="H1644" s="398"/>
      <c r="I1644" s="398"/>
      <c r="J1644" s="398"/>
      <c r="K1644" s="398"/>
      <c r="L1644" s="398"/>
      <c r="M1644" s="398"/>
      <c r="N1644" s="398"/>
      <c r="O1644" s="398"/>
      <c r="P1644" s="398"/>
      <c r="Q1644" s="398"/>
      <c r="R1644" s="398"/>
      <c r="S1644" s="399"/>
    </row>
    <row r="1645" spans="3:22">
      <c r="C1645" s="572" t="s">
        <v>384</v>
      </c>
      <c r="D1645" s="573"/>
      <c r="E1645" s="573"/>
      <c r="F1645" s="573"/>
      <c r="G1645" s="573"/>
      <c r="H1645" s="573"/>
      <c r="I1645" s="573"/>
      <c r="J1645" s="573"/>
      <c r="K1645" s="573"/>
      <c r="L1645" s="573"/>
      <c r="M1645" s="573"/>
      <c r="N1645" s="573"/>
      <c r="O1645" s="573"/>
      <c r="P1645" s="573"/>
      <c r="Q1645" s="573"/>
      <c r="R1645" s="573"/>
      <c r="S1645" s="574"/>
    </row>
    <row r="1646" spans="3:22">
      <c r="C1646" s="396"/>
      <c r="D1646" s="397"/>
      <c r="E1646" s="397"/>
      <c r="F1646" s="398"/>
      <c r="G1646" s="398"/>
      <c r="H1646" s="398"/>
      <c r="I1646" s="398"/>
      <c r="J1646" s="398"/>
      <c r="K1646" s="398"/>
      <c r="L1646" s="398"/>
      <c r="M1646" s="398"/>
      <c r="N1646" s="398"/>
      <c r="O1646" s="398"/>
      <c r="P1646" s="398"/>
      <c r="Q1646" s="398"/>
      <c r="R1646" s="398"/>
      <c r="S1646" s="399"/>
    </row>
    <row r="1647" spans="3:22">
      <c r="C1647" s="400" t="s">
        <v>385</v>
      </c>
      <c r="D1647" s="575" t="s">
        <v>386</v>
      </c>
      <c r="E1647" s="575"/>
      <c r="F1647" s="576" t="s">
        <v>387</v>
      </c>
      <c r="G1647" s="577"/>
      <c r="H1647" s="577"/>
      <c r="I1647" s="576" t="s">
        <v>388</v>
      </c>
      <c r="J1647" s="576" t="s">
        <v>389</v>
      </c>
      <c r="K1647" s="579"/>
      <c r="L1647" s="581" t="s">
        <v>390</v>
      </c>
      <c r="M1647" s="581"/>
      <c r="N1647" s="581"/>
      <c r="O1647" s="581"/>
      <c r="P1647" s="581"/>
      <c r="Q1647" s="581"/>
      <c r="R1647" s="581" t="s">
        <v>391</v>
      </c>
      <c r="S1647" s="582"/>
    </row>
    <row r="1648" spans="3:22" ht="38.25">
      <c r="C1648" s="403">
        <f>+'PRESUPUESTO OFICIAL '!C96</f>
        <v>9.01</v>
      </c>
      <c r="D1648" s="583" t="str">
        <f>+VLOOKUP(C1648,'PRESUPUESTO OFICIAL '!$C$11:$H$103,2)</f>
        <v>SUMINISTRO E INSTALACIÓN DE PUERTA EN LÁMINA CAL. 18.</v>
      </c>
      <c r="E1648" s="584"/>
      <c r="F1648" s="585" t="str">
        <f>+VLOOKUP(C1648,'PRESUPUESTO OFICIAL '!$C$11:$H$103,3)</f>
        <v>M2</v>
      </c>
      <c r="G1648" s="585"/>
      <c r="H1648" s="585"/>
      <c r="I1648" s="578"/>
      <c r="J1648" s="578"/>
      <c r="K1648" s="580"/>
      <c r="L1648" s="401" t="s">
        <v>392</v>
      </c>
      <c r="M1648" s="401" t="s">
        <v>393</v>
      </c>
      <c r="N1648" s="401" t="s">
        <v>394</v>
      </c>
      <c r="O1648" s="401" t="s">
        <v>395</v>
      </c>
      <c r="P1648" s="401" t="s">
        <v>396</v>
      </c>
      <c r="Q1648" s="401" t="s">
        <v>397</v>
      </c>
      <c r="R1648" s="401" t="s">
        <v>398</v>
      </c>
      <c r="S1648" s="402" t="s">
        <v>399</v>
      </c>
      <c r="U1648" s="404">
        <f>+C1648</f>
        <v>9.01</v>
      </c>
      <c r="V1648" s="405">
        <f>+S1696</f>
        <v>38.24</v>
      </c>
    </row>
    <row r="1649" spans="1:25">
      <c r="C1649" s="406"/>
      <c r="D1649" s="407"/>
      <c r="E1649" s="407"/>
      <c r="F1649" s="407"/>
      <c r="G1649" s="407"/>
      <c r="H1649" s="407"/>
      <c r="I1649" s="558"/>
      <c r="J1649" s="559"/>
      <c r="K1649" s="560"/>
      <c r="L1649" s="560"/>
      <c r="M1649" s="560"/>
      <c r="N1649" s="560"/>
      <c r="O1649" s="560"/>
      <c r="P1649" s="560"/>
      <c r="Q1649" s="560"/>
      <c r="R1649" s="560"/>
      <c r="S1649" s="561"/>
    </row>
    <row r="1650" spans="1:25" ht="25.5">
      <c r="A1650" s="383">
        <v>1</v>
      </c>
      <c r="C1650" s="406"/>
      <c r="D1650" s="407"/>
      <c r="E1650" s="407"/>
      <c r="F1650" s="407"/>
      <c r="G1650" s="407"/>
      <c r="H1650" s="407"/>
      <c r="I1650" s="408" t="s">
        <v>400</v>
      </c>
      <c r="J1650" s="409" t="str">
        <f t="shared" ref="J1650:J1692" si="304">+VLOOKUP(K1650,$AH$22:$AJ$58,2,)</f>
        <v>A=(Ancho x Largo)* Cant</v>
      </c>
      <c r="K1650" s="410" t="str">
        <f>+F1648</f>
        <v>M2</v>
      </c>
      <c r="L1650" s="442" t="str">
        <f>IF(S1650=0,"",P1650*O1650)</f>
        <v/>
      </c>
      <c r="M1650" s="412"/>
      <c r="N1650" s="442"/>
      <c r="O1650" s="442"/>
      <c r="P1650" s="442"/>
      <c r="Q1650" s="411"/>
      <c r="R1650" s="413" t="str">
        <f>IF(S1650=0,"",1)</f>
        <v/>
      </c>
      <c r="S1650" s="414">
        <f>+HLOOKUP(A1650,[238]Hoja1!$2:$78,74,FALSE)</f>
        <v>0</v>
      </c>
      <c r="X1650" s="458">
        <f t="shared" ref="X1650" si="305">+N1650*O1650*P1650</f>
        <v>0</v>
      </c>
      <c r="Y1650" s="471">
        <f t="shared" ref="Y1650" si="306">+X1650-Q1650</f>
        <v>0</v>
      </c>
    </row>
    <row r="1651" spans="1:25" ht="25.5">
      <c r="A1651" s="383">
        <v>2</v>
      </c>
      <c r="C1651" s="406"/>
      <c r="D1651" s="407"/>
      <c r="E1651" s="407"/>
      <c r="F1651" s="407"/>
      <c r="G1651" s="407"/>
      <c r="H1651" s="407"/>
      <c r="I1651" s="408" t="s">
        <v>401</v>
      </c>
      <c r="J1651" s="409" t="str">
        <f t="shared" si="304"/>
        <v>A=(Ancho x Largo)* Cant</v>
      </c>
      <c r="K1651" s="410" t="str">
        <f>+K1650</f>
        <v>M2</v>
      </c>
      <c r="L1651" s="442">
        <f>IF(S1651=0,"",P1651*N1651)</f>
        <v>1.7600000000000002</v>
      </c>
      <c r="M1651" s="412"/>
      <c r="N1651" s="442">
        <f>IF(S1651=0,"",S1651/P1651)</f>
        <v>0.8</v>
      </c>
      <c r="O1651" s="442"/>
      <c r="P1651" s="442">
        <v>2.2000000000000002</v>
      </c>
      <c r="Q1651" s="411"/>
      <c r="R1651" s="413">
        <f t="shared" ref="R1651:R1692" si="307">IF(S1651=0,"",1)</f>
        <v>1</v>
      </c>
      <c r="S1651" s="414">
        <f>+HLOOKUP(A1651,[238]Hoja1!$2:$78,74,FALSE)</f>
        <v>1.7600000000000002</v>
      </c>
      <c r="X1651" s="458">
        <f>+L1651*P1651</f>
        <v>3.8720000000000008</v>
      </c>
      <c r="Y1651" s="471">
        <f>+X1651-Q1651</f>
        <v>3.8720000000000008</v>
      </c>
    </row>
    <row r="1652" spans="1:25" ht="25.5">
      <c r="A1652" s="383">
        <v>3</v>
      </c>
      <c r="C1652" s="406"/>
      <c r="D1652" s="407"/>
      <c r="E1652" s="407"/>
      <c r="F1652" s="407"/>
      <c r="G1652" s="407"/>
      <c r="H1652" s="407"/>
      <c r="I1652" s="408" t="s">
        <v>402</v>
      </c>
      <c r="J1652" s="409" t="str">
        <f t="shared" si="304"/>
        <v>A=(Ancho x Largo)* Cant</v>
      </c>
      <c r="K1652" s="410" t="str">
        <f>+K1651</f>
        <v>M2</v>
      </c>
      <c r="L1652" s="442">
        <f t="shared" ref="L1652:L1692" si="308">IF(S1652=0,"",P1652*N1652)</f>
        <v>1.7600000000000002</v>
      </c>
      <c r="M1652" s="412"/>
      <c r="N1652" s="442">
        <f t="shared" ref="N1652:N1692" si="309">IF(S1652=0,"",S1652/P1652)</f>
        <v>0.8</v>
      </c>
      <c r="O1652" s="442"/>
      <c r="P1652" s="442">
        <v>2.2000000000000002</v>
      </c>
      <c r="Q1652" s="411"/>
      <c r="R1652" s="413">
        <f t="shared" si="307"/>
        <v>1</v>
      </c>
      <c r="S1652" s="414">
        <f>+HLOOKUP(A1652,[238]Hoja1!$2:$78,74,FALSE)</f>
        <v>1.7600000000000002</v>
      </c>
      <c r="X1652" s="458">
        <f t="shared" ref="X1652:X1654" si="310">+L1652*P1652</f>
        <v>3.8720000000000008</v>
      </c>
      <c r="Y1652" s="471">
        <f t="shared" ref="Y1652:Y1654" si="311">+X1652-Q1652</f>
        <v>3.8720000000000008</v>
      </c>
    </row>
    <row r="1653" spans="1:25" ht="25.5">
      <c r="A1653" s="383">
        <v>4</v>
      </c>
      <c r="C1653" s="406"/>
      <c r="D1653" s="407"/>
      <c r="E1653" s="407"/>
      <c r="F1653" s="407"/>
      <c r="G1653" s="407"/>
      <c r="H1653" s="407"/>
      <c r="I1653" s="408" t="s">
        <v>403</v>
      </c>
      <c r="J1653" s="409" t="str">
        <f t="shared" si="304"/>
        <v>A=(Ancho x Largo)* Cant</v>
      </c>
      <c r="K1653" s="410" t="str">
        <f>+K1652</f>
        <v>M2</v>
      </c>
      <c r="L1653" s="442">
        <f t="shared" si="308"/>
        <v>1.7600000000000002</v>
      </c>
      <c r="M1653" s="412"/>
      <c r="N1653" s="442">
        <f t="shared" si="309"/>
        <v>0.8</v>
      </c>
      <c r="O1653" s="442"/>
      <c r="P1653" s="442">
        <v>2.2000000000000002</v>
      </c>
      <c r="Q1653" s="411"/>
      <c r="R1653" s="413">
        <f t="shared" si="307"/>
        <v>1</v>
      </c>
      <c r="S1653" s="414">
        <f>+HLOOKUP(A1653,[238]Hoja1!$2:$78,74,FALSE)</f>
        <v>1.7600000000000002</v>
      </c>
      <c r="X1653" s="458">
        <f t="shared" si="310"/>
        <v>3.8720000000000008</v>
      </c>
      <c r="Y1653" s="471">
        <f t="shared" si="311"/>
        <v>3.8720000000000008</v>
      </c>
    </row>
    <row r="1654" spans="1:25" ht="25.5">
      <c r="A1654" s="383">
        <v>5</v>
      </c>
      <c r="C1654" s="406"/>
      <c r="D1654" s="407"/>
      <c r="E1654" s="407"/>
      <c r="F1654" s="407"/>
      <c r="G1654" s="407"/>
      <c r="H1654" s="407"/>
      <c r="I1654" s="408" t="s">
        <v>405</v>
      </c>
      <c r="J1654" s="409" t="str">
        <f t="shared" si="304"/>
        <v>A=(Ancho x Largo)* Cant</v>
      </c>
      <c r="K1654" s="410" t="str">
        <f>+K1653</f>
        <v>M2</v>
      </c>
      <c r="L1654" s="442">
        <f t="shared" si="308"/>
        <v>1.7600000000000002</v>
      </c>
      <c r="M1654" s="412"/>
      <c r="N1654" s="442">
        <f t="shared" si="309"/>
        <v>0.8</v>
      </c>
      <c r="O1654" s="442"/>
      <c r="P1654" s="442">
        <v>2.2000000000000002</v>
      </c>
      <c r="Q1654" s="411"/>
      <c r="R1654" s="413">
        <f t="shared" si="307"/>
        <v>1</v>
      </c>
      <c r="S1654" s="414">
        <f>+HLOOKUP(A1654,[238]Hoja1!$2:$78,74,FALSE)</f>
        <v>1.7600000000000002</v>
      </c>
      <c r="X1654" s="458">
        <f t="shared" si="310"/>
        <v>3.8720000000000008</v>
      </c>
      <c r="Y1654" s="471">
        <f t="shared" si="311"/>
        <v>3.8720000000000008</v>
      </c>
    </row>
    <row r="1655" spans="1:25" ht="25.5">
      <c r="A1655" s="383">
        <v>6</v>
      </c>
      <c r="C1655" s="406"/>
      <c r="D1655" s="407"/>
      <c r="E1655" s="407"/>
      <c r="F1655" s="407"/>
      <c r="G1655" s="407"/>
      <c r="H1655" s="407"/>
      <c r="I1655" s="408" t="s">
        <v>407</v>
      </c>
      <c r="J1655" s="409" t="str">
        <f t="shared" si="304"/>
        <v>A=(Ancho x Largo)* Cant</v>
      </c>
      <c r="K1655" s="410" t="str">
        <f>+K1654</f>
        <v>M2</v>
      </c>
      <c r="L1655" s="442" t="str">
        <f t="shared" si="308"/>
        <v/>
      </c>
      <c r="M1655" s="412"/>
      <c r="N1655" s="442" t="str">
        <f t="shared" si="309"/>
        <v/>
      </c>
      <c r="O1655" s="442"/>
      <c r="P1655" s="442"/>
      <c r="Q1655" s="411"/>
      <c r="R1655" s="413" t="str">
        <f t="shared" si="307"/>
        <v/>
      </c>
      <c r="S1655" s="414">
        <f>+HLOOKUP(A1655,[238]Hoja1!$2:$78,74,FALSE)</f>
        <v>0</v>
      </c>
      <c r="X1655" s="458" t="e">
        <f>+L1655*P1655</f>
        <v>#VALUE!</v>
      </c>
      <c r="Y1655" s="471" t="e">
        <f>+X1655-Q1655</f>
        <v>#VALUE!</v>
      </c>
    </row>
    <row r="1656" spans="1:25" ht="25.5">
      <c r="A1656" s="383">
        <v>7</v>
      </c>
      <c r="C1656" s="406"/>
      <c r="D1656" s="407"/>
      <c r="E1656" s="407"/>
      <c r="F1656" s="407"/>
      <c r="G1656" s="407"/>
      <c r="H1656" s="407"/>
      <c r="I1656" s="408" t="s">
        <v>409</v>
      </c>
      <c r="J1656" s="409" t="str">
        <f t="shared" si="304"/>
        <v>A=(Ancho x Largo)* Cant</v>
      </c>
      <c r="K1656" s="410" t="str">
        <f>+K1650</f>
        <v>M2</v>
      </c>
      <c r="L1656" s="442" t="str">
        <f t="shared" si="308"/>
        <v/>
      </c>
      <c r="M1656" s="412"/>
      <c r="N1656" s="442" t="str">
        <f t="shared" si="309"/>
        <v/>
      </c>
      <c r="O1656" s="442"/>
      <c r="P1656" s="442"/>
      <c r="Q1656" s="411"/>
      <c r="R1656" s="413" t="str">
        <f t="shared" si="307"/>
        <v/>
      </c>
      <c r="S1656" s="414">
        <f>+HLOOKUP(A1656,[238]Hoja1!$2:$78,74,FALSE)</f>
        <v>0</v>
      </c>
      <c r="X1656" s="458" t="e">
        <f t="shared" ref="X1656:X1692" si="312">+L1656*P1656</f>
        <v>#VALUE!</v>
      </c>
      <c r="Y1656" s="471" t="e">
        <f t="shared" ref="Y1656:Y1692" si="313">+X1656-Q1656</f>
        <v>#VALUE!</v>
      </c>
    </row>
    <row r="1657" spans="1:25" ht="25.5">
      <c r="A1657" s="383">
        <v>8</v>
      </c>
      <c r="C1657" s="406"/>
      <c r="D1657" s="407"/>
      <c r="E1657" s="407"/>
      <c r="F1657" s="407"/>
      <c r="G1657" s="407"/>
      <c r="H1657" s="407"/>
      <c r="I1657" s="408" t="s">
        <v>411</v>
      </c>
      <c r="J1657" s="409" t="str">
        <f t="shared" si="304"/>
        <v>A=(Ancho x Largo)* Cant</v>
      </c>
      <c r="K1657" s="410" t="str">
        <f>+K1656</f>
        <v>M2</v>
      </c>
      <c r="L1657" s="442">
        <f t="shared" si="308"/>
        <v>2.2000000000000002</v>
      </c>
      <c r="M1657" s="412"/>
      <c r="N1657" s="442">
        <f t="shared" si="309"/>
        <v>1</v>
      </c>
      <c r="O1657" s="442"/>
      <c r="P1657" s="442">
        <v>2.2000000000000002</v>
      </c>
      <c r="Q1657" s="411"/>
      <c r="R1657" s="413">
        <f t="shared" si="307"/>
        <v>1</v>
      </c>
      <c r="S1657" s="414">
        <f>+HLOOKUP(A1657,[238]Hoja1!$2:$78,74,FALSE)</f>
        <v>2.2000000000000002</v>
      </c>
      <c r="X1657" s="458">
        <f t="shared" si="312"/>
        <v>4.8400000000000007</v>
      </c>
      <c r="Y1657" s="471">
        <f t="shared" si="313"/>
        <v>4.8400000000000007</v>
      </c>
    </row>
    <row r="1658" spans="1:25" ht="25.5">
      <c r="A1658" s="383">
        <v>9</v>
      </c>
      <c r="C1658" s="406"/>
      <c r="D1658" s="407"/>
      <c r="E1658" s="407"/>
      <c r="F1658" s="407"/>
      <c r="G1658" s="407"/>
      <c r="H1658" s="407"/>
      <c r="I1658" s="408" t="s">
        <v>412</v>
      </c>
      <c r="J1658" s="409" t="str">
        <f t="shared" si="304"/>
        <v>A=(Ancho x Largo)* Cant</v>
      </c>
      <c r="K1658" s="410" t="str">
        <f>+K1657</f>
        <v>M2</v>
      </c>
      <c r="L1658" s="442">
        <f t="shared" si="308"/>
        <v>1.7600000000000002</v>
      </c>
      <c r="M1658" s="412"/>
      <c r="N1658" s="442">
        <f t="shared" si="309"/>
        <v>0.8</v>
      </c>
      <c r="O1658" s="442"/>
      <c r="P1658" s="442">
        <v>2.2000000000000002</v>
      </c>
      <c r="Q1658" s="411"/>
      <c r="R1658" s="413">
        <f t="shared" si="307"/>
        <v>1</v>
      </c>
      <c r="S1658" s="414">
        <f>+HLOOKUP(A1658,[238]Hoja1!$2:$78,74,FALSE)</f>
        <v>1.7600000000000002</v>
      </c>
      <c r="X1658" s="458">
        <f t="shared" si="312"/>
        <v>3.8720000000000008</v>
      </c>
      <c r="Y1658" s="471">
        <f t="shared" si="313"/>
        <v>3.8720000000000008</v>
      </c>
    </row>
    <row r="1659" spans="1:25" ht="25.5">
      <c r="A1659" s="383">
        <v>10</v>
      </c>
      <c r="C1659" s="406"/>
      <c r="D1659" s="407"/>
      <c r="E1659" s="407"/>
      <c r="F1659" s="407"/>
      <c r="G1659" s="407"/>
      <c r="H1659" s="407"/>
      <c r="I1659" s="408" t="s">
        <v>413</v>
      </c>
      <c r="J1659" s="409" t="str">
        <f t="shared" si="304"/>
        <v>A=(Ancho x Largo)* Cant</v>
      </c>
      <c r="K1659" s="410" t="str">
        <f>+K1658</f>
        <v>M2</v>
      </c>
      <c r="L1659" s="442" t="str">
        <f t="shared" si="308"/>
        <v/>
      </c>
      <c r="M1659" s="412"/>
      <c r="N1659" s="442" t="str">
        <f t="shared" si="309"/>
        <v/>
      </c>
      <c r="O1659" s="442"/>
      <c r="P1659" s="442"/>
      <c r="Q1659" s="411"/>
      <c r="R1659" s="413" t="str">
        <f t="shared" si="307"/>
        <v/>
      </c>
      <c r="S1659" s="414">
        <f>+HLOOKUP(A1659,[238]Hoja1!$2:$78,74,FALSE)</f>
        <v>0</v>
      </c>
      <c r="X1659" s="458" t="e">
        <f t="shared" si="312"/>
        <v>#VALUE!</v>
      </c>
      <c r="Y1659" s="471" t="e">
        <f t="shared" si="313"/>
        <v>#VALUE!</v>
      </c>
    </row>
    <row r="1660" spans="1:25" ht="25.5">
      <c r="A1660" s="383">
        <v>11</v>
      </c>
      <c r="C1660" s="406"/>
      <c r="D1660" s="407"/>
      <c r="E1660" s="407"/>
      <c r="F1660" s="407"/>
      <c r="G1660" s="407"/>
      <c r="H1660" s="407"/>
      <c r="I1660" s="408" t="s">
        <v>414</v>
      </c>
      <c r="J1660" s="409" t="str">
        <f t="shared" si="304"/>
        <v>A=(Ancho x Largo)* Cant</v>
      </c>
      <c r="K1660" s="410" t="str">
        <f>+K1659</f>
        <v>M2</v>
      </c>
      <c r="L1660" s="442" t="str">
        <f t="shared" si="308"/>
        <v/>
      </c>
      <c r="M1660" s="412"/>
      <c r="N1660" s="442" t="str">
        <f t="shared" si="309"/>
        <v/>
      </c>
      <c r="O1660" s="442"/>
      <c r="P1660" s="442"/>
      <c r="Q1660" s="411"/>
      <c r="R1660" s="413" t="str">
        <f t="shared" si="307"/>
        <v/>
      </c>
      <c r="S1660" s="414">
        <f>+HLOOKUP(A1660,[238]Hoja1!$2:$78,74,FALSE)</f>
        <v>0</v>
      </c>
      <c r="X1660" s="458" t="e">
        <f t="shared" si="312"/>
        <v>#VALUE!</v>
      </c>
      <c r="Y1660" s="471" t="e">
        <f t="shared" si="313"/>
        <v>#VALUE!</v>
      </c>
    </row>
    <row r="1661" spans="1:25" ht="25.5">
      <c r="A1661" s="383">
        <v>12</v>
      </c>
      <c r="C1661" s="406"/>
      <c r="D1661" s="407"/>
      <c r="E1661" s="407"/>
      <c r="F1661" s="407"/>
      <c r="G1661" s="407"/>
      <c r="H1661" s="407"/>
      <c r="I1661" s="408" t="s">
        <v>415</v>
      </c>
      <c r="J1661" s="409" t="str">
        <f t="shared" si="304"/>
        <v>A=(Ancho x Largo)* Cant</v>
      </c>
      <c r="K1661" s="410" t="str">
        <f>+K1655</f>
        <v>M2</v>
      </c>
      <c r="L1661" s="442" t="str">
        <f t="shared" si="308"/>
        <v/>
      </c>
      <c r="M1661" s="412"/>
      <c r="N1661" s="442" t="str">
        <f t="shared" si="309"/>
        <v/>
      </c>
      <c r="O1661" s="442"/>
      <c r="P1661" s="442"/>
      <c r="Q1661" s="411"/>
      <c r="R1661" s="413" t="str">
        <f t="shared" si="307"/>
        <v/>
      </c>
      <c r="S1661" s="414">
        <f>+HLOOKUP(A1661,[238]Hoja1!$2:$78,74,FALSE)</f>
        <v>0</v>
      </c>
      <c r="X1661" s="458" t="e">
        <f t="shared" si="312"/>
        <v>#VALUE!</v>
      </c>
      <c r="Y1661" s="471" t="e">
        <f t="shared" si="313"/>
        <v>#VALUE!</v>
      </c>
    </row>
    <row r="1662" spans="1:25" ht="25.5">
      <c r="A1662" s="383">
        <v>13</v>
      </c>
      <c r="C1662" s="406"/>
      <c r="D1662" s="407"/>
      <c r="E1662" s="407"/>
      <c r="F1662" s="407"/>
      <c r="G1662" s="407"/>
      <c r="H1662" s="407"/>
      <c r="I1662" s="408" t="s">
        <v>416</v>
      </c>
      <c r="J1662" s="409" t="str">
        <f t="shared" si="304"/>
        <v>A=(Ancho x Largo)* Cant</v>
      </c>
      <c r="K1662" s="410" t="str">
        <f>+K1657</f>
        <v>M2</v>
      </c>
      <c r="L1662" s="442" t="str">
        <f t="shared" si="308"/>
        <v/>
      </c>
      <c r="M1662" s="412"/>
      <c r="N1662" s="442" t="str">
        <f t="shared" si="309"/>
        <v/>
      </c>
      <c r="O1662" s="442"/>
      <c r="P1662" s="442"/>
      <c r="Q1662" s="411"/>
      <c r="R1662" s="413" t="str">
        <f t="shared" si="307"/>
        <v/>
      </c>
      <c r="S1662" s="414">
        <f>+HLOOKUP(A1662,[238]Hoja1!$2:$78,74,FALSE)</f>
        <v>0</v>
      </c>
      <c r="X1662" s="458" t="e">
        <f t="shared" si="312"/>
        <v>#VALUE!</v>
      </c>
      <c r="Y1662" s="471" t="e">
        <f t="shared" si="313"/>
        <v>#VALUE!</v>
      </c>
    </row>
    <row r="1663" spans="1:25" ht="25.5">
      <c r="A1663" s="383">
        <v>14</v>
      </c>
      <c r="C1663" s="406"/>
      <c r="D1663" s="407"/>
      <c r="E1663" s="407"/>
      <c r="F1663" s="407"/>
      <c r="G1663" s="407"/>
      <c r="H1663" s="407"/>
      <c r="I1663" s="408" t="s">
        <v>417</v>
      </c>
      <c r="J1663" s="409" t="str">
        <f t="shared" si="304"/>
        <v>A=(Ancho x Largo)* Cant</v>
      </c>
      <c r="K1663" s="410" t="str">
        <f t="shared" ref="K1663:K1674" si="314">+K1662</f>
        <v>M2</v>
      </c>
      <c r="L1663" s="442">
        <f t="shared" si="308"/>
        <v>1.7600000000000002</v>
      </c>
      <c r="M1663" s="412"/>
      <c r="N1663" s="442">
        <f t="shared" si="309"/>
        <v>0.8</v>
      </c>
      <c r="O1663" s="442"/>
      <c r="P1663" s="442">
        <v>2.2000000000000002</v>
      </c>
      <c r="Q1663" s="411"/>
      <c r="R1663" s="413">
        <f t="shared" si="307"/>
        <v>1</v>
      </c>
      <c r="S1663" s="414">
        <f>+HLOOKUP(A1663,[238]Hoja1!$2:$78,74,FALSE)</f>
        <v>1.7600000000000002</v>
      </c>
      <c r="X1663" s="458">
        <f t="shared" si="312"/>
        <v>3.8720000000000008</v>
      </c>
      <c r="Y1663" s="471">
        <f t="shared" si="313"/>
        <v>3.8720000000000008</v>
      </c>
    </row>
    <row r="1664" spans="1:25" ht="25.5">
      <c r="A1664" s="383">
        <v>15</v>
      </c>
      <c r="C1664" s="406"/>
      <c r="D1664" s="407"/>
      <c r="E1664" s="407"/>
      <c r="F1664" s="407"/>
      <c r="G1664" s="407"/>
      <c r="H1664" s="407"/>
      <c r="I1664" s="408" t="s">
        <v>418</v>
      </c>
      <c r="J1664" s="409" t="str">
        <f t="shared" si="304"/>
        <v>A=(Ancho x Largo)* Cant</v>
      </c>
      <c r="K1664" s="410" t="str">
        <f t="shared" si="314"/>
        <v>M2</v>
      </c>
      <c r="L1664" s="442" t="str">
        <f t="shared" si="308"/>
        <v/>
      </c>
      <c r="M1664" s="412"/>
      <c r="N1664" s="442" t="str">
        <f t="shared" si="309"/>
        <v/>
      </c>
      <c r="O1664" s="442"/>
      <c r="P1664" s="442"/>
      <c r="Q1664" s="411"/>
      <c r="R1664" s="413" t="str">
        <f t="shared" si="307"/>
        <v/>
      </c>
      <c r="S1664" s="414">
        <f>+HLOOKUP(A1664,[238]Hoja1!$2:$78,74,FALSE)</f>
        <v>0</v>
      </c>
      <c r="X1664" s="458" t="e">
        <f t="shared" si="312"/>
        <v>#VALUE!</v>
      </c>
      <c r="Y1664" s="471" t="e">
        <f t="shared" si="313"/>
        <v>#VALUE!</v>
      </c>
    </row>
    <row r="1665" spans="1:25" ht="25.5">
      <c r="A1665" s="383">
        <v>16</v>
      </c>
      <c r="C1665" s="406"/>
      <c r="D1665" s="407"/>
      <c r="E1665" s="407"/>
      <c r="F1665" s="407"/>
      <c r="G1665" s="407"/>
      <c r="H1665" s="407"/>
      <c r="I1665" s="408" t="s">
        <v>419</v>
      </c>
      <c r="J1665" s="409" t="str">
        <f t="shared" si="304"/>
        <v>A=(Ancho x Largo)* Cant</v>
      </c>
      <c r="K1665" s="410" t="str">
        <f t="shared" si="314"/>
        <v>M2</v>
      </c>
      <c r="L1665" s="442">
        <f t="shared" si="308"/>
        <v>2.2000000000000002</v>
      </c>
      <c r="M1665" s="412"/>
      <c r="N1665" s="442">
        <f t="shared" si="309"/>
        <v>1</v>
      </c>
      <c r="O1665" s="442"/>
      <c r="P1665" s="442">
        <v>2.2000000000000002</v>
      </c>
      <c r="Q1665" s="411"/>
      <c r="R1665" s="413">
        <f t="shared" si="307"/>
        <v>1</v>
      </c>
      <c r="S1665" s="414">
        <f>+HLOOKUP(A1665,[238]Hoja1!$2:$78,74,FALSE)</f>
        <v>2.2000000000000002</v>
      </c>
      <c r="X1665" s="458">
        <f t="shared" si="312"/>
        <v>4.8400000000000007</v>
      </c>
      <c r="Y1665" s="471">
        <f t="shared" si="313"/>
        <v>4.8400000000000007</v>
      </c>
    </row>
    <row r="1666" spans="1:25" ht="25.5">
      <c r="A1666" s="383">
        <v>17</v>
      </c>
      <c r="C1666" s="406"/>
      <c r="D1666" s="407"/>
      <c r="E1666" s="407"/>
      <c r="F1666" s="407"/>
      <c r="G1666" s="407"/>
      <c r="H1666" s="407"/>
      <c r="I1666" s="408" t="s">
        <v>420</v>
      </c>
      <c r="J1666" s="409" t="str">
        <f t="shared" si="304"/>
        <v>A=(Ancho x Largo)* Cant</v>
      </c>
      <c r="K1666" s="410" t="str">
        <f t="shared" si="314"/>
        <v>M2</v>
      </c>
      <c r="L1666" s="442" t="str">
        <f t="shared" si="308"/>
        <v/>
      </c>
      <c r="M1666" s="412"/>
      <c r="N1666" s="442" t="str">
        <f t="shared" si="309"/>
        <v/>
      </c>
      <c r="O1666" s="442"/>
      <c r="P1666" s="442"/>
      <c r="Q1666" s="411"/>
      <c r="R1666" s="413" t="str">
        <f t="shared" si="307"/>
        <v/>
      </c>
      <c r="S1666" s="414">
        <f>+HLOOKUP(A1666,[238]Hoja1!$2:$78,74,FALSE)</f>
        <v>0</v>
      </c>
      <c r="V1666" s="383" t="e">
        <f>+P1666*O1666*N1666</f>
        <v>#VALUE!</v>
      </c>
      <c r="X1666" s="458" t="e">
        <f t="shared" si="312"/>
        <v>#VALUE!</v>
      </c>
      <c r="Y1666" s="471" t="e">
        <f t="shared" si="313"/>
        <v>#VALUE!</v>
      </c>
    </row>
    <row r="1667" spans="1:25" ht="25.5">
      <c r="A1667" s="383">
        <v>18</v>
      </c>
      <c r="C1667" s="406"/>
      <c r="D1667" s="407"/>
      <c r="E1667" s="407"/>
      <c r="F1667" s="407"/>
      <c r="G1667" s="407"/>
      <c r="H1667" s="407"/>
      <c r="I1667" s="408" t="s">
        <v>429</v>
      </c>
      <c r="J1667" s="409" t="str">
        <f t="shared" si="304"/>
        <v>A=(Ancho x Largo)* Cant</v>
      </c>
      <c r="K1667" s="410" t="str">
        <f t="shared" si="314"/>
        <v>M2</v>
      </c>
      <c r="L1667" s="442" t="str">
        <f t="shared" si="308"/>
        <v/>
      </c>
      <c r="M1667" s="412"/>
      <c r="N1667" s="442" t="str">
        <f t="shared" si="309"/>
        <v/>
      </c>
      <c r="O1667" s="442"/>
      <c r="P1667" s="442"/>
      <c r="Q1667" s="411"/>
      <c r="R1667" s="413" t="str">
        <f t="shared" si="307"/>
        <v/>
      </c>
      <c r="S1667" s="414">
        <f>+HLOOKUP(A1667,[238]Hoja1!$2:$78,74,FALSE)</f>
        <v>0</v>
      </c>
      <c r="X1667" s="458" t="e">
        <f t="shared" si="312"/>
        <v>#VALUE!</v>
      </c>
      <c r="Y1667" s="471" t="e">
        <f t="shared" si="313"/>
        <v>#VALUE!</v>
      </c>
    </row>
    <row r="1668" spans="1:25" ht="25.5">
      <c r="A1668" s="383">
        <v>19</v>
      </c>
      <c r="C1668" s="406"/>
      <c r="D1668" s="407"/>
      <c r="E1668" s="407"/>
      <c r="F1668" s="407"/>
      <c r="G1668" s="407"/>
      <c r="H1668" s="407"/>
      <c r="I1668" s="408" t="s">
        <v>430</v>
      </c>
      <c r="J1668" s="409" t="str">
        <f t="shared" si="304"/>
        <v>A=(Ancho x Largo)* Cant</v>
      </c>
      <c r="K1668" s="410" t="str">
        <f t="shared" si="314"/>
        <v>M2</v>
      </c>
      <c r="L1668" s="442">
        <f t="shared" si="308"/>
        <v>1.7600000000000002</v>
      </c>
      <c r="M1668" s="412"/>
      <c r="N1668" s="442">
        <f t="shared" si="309"/>
        <v>0.8</v>
      </c>
      <c r="O1668" s="442"/>
      <c r="P1668" s="442">
        <v>2.2000000000000002</v>
      </c>
      <c r="Q1668" s="411"/>
      <c r="R1668" s="413">
        <f t="shared" si="307"/>
        <v>1</v>
      </c>
      <c r="S1668" s="414">
        <f>+HLOOKUP(A1668,[238]Hoja1!$2:$78,74,FALSE)</f>
        <v>1.7600000000000002</v>
      </c>
      <c r="X1668" s="458">
        <f t="shared" si="312"/>
        <v>3.8720000000000008</v>
      </c>
      <c r="Y1668" s="471">
        <f t="shared" si="313"/>
        <v>3.8720000000000008</v>
      </c>
    </row>
    <row r="1669" spans="1:25" ht="25.5">
      <c r="A1669" s="383">
        <v>20</v>
      </c>
      <c r="C1669" s="406"/>
      <c r="D1669" s="407"/>
      <c r="E1669" s="407"/>
      <c r="F1669" s="407"/>
      <c r="G1669" s="407"/>
      <c r="H1669" s="407"/>
      <c r="I1669" s="408" t="s">
        <v>431</v>
      </c>
      <c r="J1669" s="409" t="str">
        <f t="shared" si="304"/>
        <v>A=(Ancho x Largo)* Cant</v>
      </c>
      <c r="K1669" s="410" t="str">
        <f t="shared" si="314"/>
        <v>M2</v>
      </c>
      <c r="L1669" s="442">
        <f t="shared" si="308"/>
        <v>2.2000000000000002</v>
      </c>
      <c r="M1669" s="412"/>
      <c r="N1669" s="442">
        <f t="shared" si="309"/>
        <v>1</v>
      </c>
      <c r="O1669" s="442"/>
      <c r="P1669" s="442">
        <v>2.2000000000000002</v>
      </c>
      <c r="Q1669" s="411"/>
      <c r="R1669" s="413">
        <f t="shared" si="307"/>
        <v>1</v>
      </c>
      <c r="S1669" s="414">
        <f>+HLOOKUP(A1669,[238]Hoja1!$2:$78,74,FALSE)</f>
        <v>2.2000000000000002</v>
      </c>
      <c r="X1669" s="458">
        <f t="shared" si="312"/>
        <v>4.8400000000000007</v>
      </c>
      <c r="Y1669" s="471">
        <f t="shared" si="313"/>
        <v>4.8400000000000007</v>
      </c>
    </row>
    <row r="1670" spans="1:25" ht="25.5">
      <c r="A1670" s="383">
        <v>21</v>
      </c>
      <c r="C1670" s="406"/>
      <c r="D1670" s="407"/>
      <c r="E1670" s="407"/>
      <c r="F1670" s="407"/>
      <c r="G1670" s="407"/>
      <c r="H1670" s="407"/>
      <c r="I1670" s="408" t="s">
        <v>432</v>
      </c>
      <c r="J1670" s="409" t="str">
        <f t="shared" si="304"/>
        <v>A=(Ancho x Largo)* Cant</v>
      </c>
      <c r="K1670" s="410" t="str">
        <f t="shared" si="314"/>
        <v>M2</v>
      </c>
      <c r="L1670" s="442" t="str">
        <f t="shared" si="308"/>
        <v/>
      </c>
      <c r="M1670" s="412"/>
      <c r="N1670" s="442" t="str">
        <f t="shared" si="309"/>
        <v/>
      </c>
      <c r="O1670" s="442"/>
      <c r="P1670" s="442">
        <v>2.2000000000000002</v>
      </c>
      <c r="Q1670" s="411"/>
      <c r="R1670" s="413" t="str">
        <f t="shared" si="307"/>
        <v/>
      </c>
      <c r="S1670" s="414">
        <f>+HLOOKUP(A1670,[238]Hoja1!$2:$78,74,FALSE)</f>
        <v>0</v>
      </c>
      <c r="X1670" s="458" t="e">
        <f t="shared" si="312"/>
        <v>#VALUE!</v>
      </c>
      <c r="Y1670" s="471" t="e">
        <f t="shared" si="313"/>
        <v>#VALUE!</v>
      </c>
    </row>
    <row r="1671" spans="1:25" ht="25.5">
      <c r="A1671" s="383">
        <v>22</v>
      </c>
      <c r="C1671" s="406"/>
      <c r="D1671" s="407"/>
      <c r="E1671" s="407"/>
      <c r="F1671" s="407"/>
      <c r="G1671" s="407"/>
      <c r="H1671" s="407"/>
      <c r="I1671" s="408" t="s">
        <v>433</v>
      </c>
      <c r="J1671" s="409" t="str">
        <f t="shared" si="304"/>
        <v>A=(Ancho x Largo)* Cant</v>
      </c>
      <c r="K1671" s="410" t="str">
        <f t="shared" si="314"/>
        <v>M2</v>
      </c>
      <c r="L1671" s="442">
        <f t="shared" si="308"/>
        <v>1.7600000000000002</v>
      </c>
      <c r="M1671" s="412"/>
      <c r="N1671" s="442">
        <f t="shared" si="309"/>
        <v>0.8</v>
      </c>
      <c r="O1671" s="442"/>
      <c r="P1671" s="442">
        <v>2.2000000000000002</v>
      </c>
      <c r="Q1671" s="411"/>
      <c r="R1671" s="413">
        <f t="shared" si="307"/>
        <v>1</v>
      </c>
      <c r="S1671" s="414">
        <f>+HLOOKUP(A1671,[238]Hoja1!$2:$78,74,FALSE)</f>
        <v>1.7600000000000002</v>
      </c>
      <c r="X1671" s="458">
        <f t="shared" si="312"/>
        <v>3.8720000000000008</v>
      </c>
      <c r="Y1671" s="471">
        <f t="shared" si="313"/>
        <v>3.8720000000000008</v>
      </c>
    </row>
    <row r="1672" spans="1:25" ht="25.5">
      <c r="A1672" s="383">
        <v>23</v>
      </c>
      <c r="C1672" s="406"/>
      <c r="D1672" s="407"/>
      <c r="E1672" s="407"/>
      <c r="F1672" s="407"/>
      <c r="G1672" s="407"/>
      <c r="H1672" s="407"/>
      <c r="I1672" s="408" t="s">
        <v>434</v>
      </c>
      <c r="J1672" s="409" t="str">
        <f t="shared" si="304"/>
        <v>A=(Ancho x Largo)* Cant</v>
      </c>
      <c r="K1672" s="410" t="str">
        <f t="shared" si="314"/>
        <v>M2</v>
      </c>
      <c r="L1672" s="442" t="str">
        <f t="shared" si="308"/>
        <v/>
      </c>
      <c r="M1672" s="412"/>
      <c r="N1672" s="442" t="str">
        <f t="shared" si="309"/>
        <v/>
      </c>
      <c r="O1672" s="442"/>
      <c r="P1672" s="442"/>
      <c r="Q1672" s="411"/>
      <c r="R1672" s="413" t="str">
        <f t="shared" si="307"/>
        <v/>
      </c>
      <c r="S1672" s="414">
        <f>+HLOOKUP(A1672,[238]Hoja1!$2:$78,74,FALSE)</f>
        <v>0</v>
      </c>
      <c r="X1672" s="458" t="e">
        <f t="shared" si="312"/>
        <v>#VALUE!</v>
      </c>
      <c r="Y1672" s="471" t="e">
        <f t="shared" si="313"/>
        <v>#VALUE!</v>
      </c>
    </row>
    <row r="1673" spans="1:25" ht="25.5">
      <c r="A1673" s="383">
        <v>24</v>
      </c>
      <c r="C1673" s="406"/>
      <c r="D1673" s="407"/>
      <c r="E1673" s="407"/>
      <c r="F1673" s="407"/>
      <c r="G1673" s="407"/>
      <c r="H1673" s="407"/>
      <c r="I1673" s="408" t="s">
        <v>435</v>
      </c>
      <c r="J1673" s="409" t="str">
        <f t="shared" si="304"/>
        <v>A=(Ancho x Largo)* Cant</v>
      </c>
      <c r="K1673" s="410" t="str">
        <f t="shared" si="314"/>
        <v>M2</v>
      </c>
      <c r="L1673" s="442" t="str">
        <f t="shared" si="308"/>
        <v/>
      </c>
      <c r="M1673" s="412"/>
      <c r="N1673" s="442" t="str">
        <f t="shared" si="309"/>
        <v/>
      </c>
      <c r="O1673" s="442"/>
      <c r="P1673" s="442"/>
      <c r="Q1673" s="411"/>
      <c r="R1673" s="413" t="str">
        <f t="shared" si="307"/>
        <v/>
      </c>
      <c r="S1673" s="414">
        <f>+HLOOKUP(A1673,[238]Hoja1!$2:$78,74,FALSE)</f>
        <v>0</v>
      </c>
      <c r="X1673" s="458" t="e">
        <f t="shared" si="312"/>
        <v>#VALUE!</v>
      </c>
      <c r="Y1673" s="471" t="e">
        <f t="shared" si="313"/>
        <v>#VALUE!</v>
      </c>
    </row>
    <row r="1674" spans="1:25" ht="25.5">
      <c r="A1674" s="383">
        <v>25</v>
      </c>
      <c r="C1674" s="406"/>
      <c r="D1674" s="407"/>
      <c r="E1674" s="407"/>
      <c r="F1674" s="407"/>
      <c r="G1674" s="407"/>
      <c r="H1674" s="407"/>
      <c r="I1674" s="408" t="s">
        <v>436</v>
      </c>
      <c r="J1674" s="409" t="str">
        <f t="shared" si="304"/>
        <v>A=(Ancho x Largo)* Cant</v>
      </c>
      <c r="K1674" s="410" t="str">
        <f t="shared" si="314"/>
        <v>M2</v>
      </c>
      <c r="L1674" s="442">
        <f t="shared" si="308"/>
        <v>2.1</v>
      </c>
      <c r="M1674" s="412"/>
      <c r="N1674" s="442">
        <f t="shared" si="309"/>
        <v>1</v>
      </c>
      <c r="O1674" s="442"/>
      <c r="P1674" s="442">
        <v>2.1</v>
      </c>
      <c r="Q1674" s="411"/>
      <c r="R1674" s="413">
        <f t="shared" si="307"/>
        <v>1</v>
      </c>
      <c r="S1674" s="414">
        <f>+HLOOKUP(A1674,[238]Hoja1!$2:$78,74,FALSE)</f>
        <v>2.1</v>
      </c>
      <c r="X1674" s="458">
        <f t="shared" si="312"/>
        <v>4.41</v>
      </c>
      <c r="Y1674" s="471">
        <f t="shared" si="313"/>
        <v>4.41</v>
      </c>
    </row>
    <row r="1675" spans="1:25" ht="25.5">
      <c r="A1675" s="383">
        <v>26</v>
      </c>
      <c r="C1675" s="406"/>
      <c r="D1675" s="407"/>
      <c r="E1675" s="407"/>
      <c r="F1675" s="407"/>
      <c r="G1675" s="407"/>
      <c r="H1675" s="407"/>
      <c r="I1675" s="408" t="s">
        <v>437</v>
      </c>
      <c r="J1675" s="409" t="str">
        <f t="shared" si="304"/>
        <v>A=(Ancho x Largo)* Cant</v>
      </c>
      <c r="K1675" s="410" t="str">
        <f>+K1664</f>
        <v>M2</v>
      </c>
      <c r="L1675" s="442" t="str">
        <f t="shared" si="308"/>
        <v/>
      </c>
      <c r="M1675" s="412"/>
      <c r="N1675" s="442" t="str">
        <f t="shared" si="309"/>
        <v/>
      </c>
      <c r="O1675" s="442"/>
      <c r="P1675" s="442"/>
      <c r="Q1675" s="411"/>
      <c r="R1675" s="413" t="str">
        <f t="shared" si="307"/>
        <v/>
      </c>
      <c r="S1675" s="414">
        <f>+HLOOKUP(A1675,[238]Hoja1!$2:$78,74,FALSE)</f>
        <v>0</v>
      </c>
      <c r="X1675" s="458" t="e">
        <f t="shared" si="312"/>
        <v>#VALUE!</v>
      </c>
      <c r="Y1675" s="471" t="e">
        <f t="shared" si="313"/>
        <v>#VALUE!</v>
      </c>
    </row>
    <row r="1676" spans="1:25" ht="25.5">
      <c r="A1676" s="383">
        <v>27</v>
      </c>
      <c r="C1676" s="406"/>
      <c r="D1676" s="407"/>
      <c r="E1676" s="407"/>
      <c r="F1676" s="407"/>
      <c r="G1676" s="407"/>
      <c r="H1676" s="407"/>
      <c r="I1676" s="408" t="s">
        <v>438</v>
      </c>
      <c r="J1676" s="409" t="str">
        <f t="shared" si="304"/>
        <v>A=(Ancho x Largo)* Cant</v>
      </c>
      <c r="K1676" s="410" t="str">
        <f t="shared" ref="K1676:K1684" si="315">+K1675</f>
        <v>M2</v>
      </c>
      <c r="L1676" s="442">
        <f t="shared" si="308"/>
        <v>1.7600000000000002</v>
      </c>
      <c r="M1676" s="412"/>
      <c r="N1676" s="442">
        <f t="shared" si="309"/>
        <v>0.8</v>
      </c>
      <c r="O1676" s="442"/>
      <c r="P1676" s="442">
        <v>2.2000000000000002</v>
      </c>
      <c r="Q1676" s="411"/>
      <c r="R1676" s="413">
        <f t="shared" si="307"/>
        <v>1</v>
      </c>
      <c r="S1676" s="414">
        <f>+HLOOKUP(A1676,[238]Hoja1!$2:$78,74,FALSE)</f>
        <v>1.7600000000000002</v>
      </c>
      <c r="X1676" s="458">
        <f t="shared" si="312"/>
        <v>3.8720000000000008</v>
      </c>
      <c r="Y1676" s="471">
        <f t="shared" si="313"/>
        <v>3.8720000000000008</v>
      </c>
    </row>
    <row r="1677" spans="1:25" ht="25.5">
      <c r="A1677" s="383">
        <v>28</v>
      </c>
      <c r="C1677" s="406"/>
      <c r="D1677" s="440"/>
      <c r="E1677" s="407"/>
      <c r="F1677" s="407"/>
      <c r="G1677" s="407"/>
      <c r="H1677" s="437"/>
      <c r="I1677" s="408" t="s">
        <v>439</v>
      </c>
      <c r="J1677" s="409" t="str">
        <f t="shared" si="304"/>
        <v>A=(Ancho x Largo)* Cant</v>
      </c>
      <c r="K1677" s="410" t="str">
        <f t="shared" si="315"/>
        <v>M2</v>
      </c>
      <c r="L1677" s="442">
        <f t="shared" si="308"/>
        <v>2.12</v>
      </c>
      <c r="M1677" s="412"/>
      <c r="N1677" s="442">
        <f t="shared" si="309"/>
        <v>0.96363636363636362</v>
      </c>
      <c r="O1677" s="442"/>
      <c r="P1677" s="442">
        <v>2.2000000000000002</v>
      </c>
      <c r="Q1677" s="411"/>
      <c r="R1677" s="413">
        <f t="shared" si="307"/>
        <v>1</v>
      </c>
      <c r="S1677" s="414">
        <f>+HLOOKUP(A1677,[238]Hoja1!$2:$78,74,FALSE)</f>
        <v>2.12</v>
      </c>
      <c r="X1677" s="458">
        <f t="shared" si="312"/>
        <v>4.6640000000000006</v>
      </c>
      <c r="Y1677" s="471">
        <f t="shared" si="313"/>
        <v>4.6640000000000006</v>
      </c>
    </row>
    <row r="1678" spans="1:25" ht="25.5">
      <c r="A1678" s="383">
        <v>29</v>
      </c>
      <c r="C1678" s="406"/>
      <c r="D1678" s="407"/>
      <c r="E1678" s="407"/>
      <c r="F1678" s="407"/>
      <c r="G1678" s="407"/>
      <c r="H1678" s="407"/>
      <c r="I1678" s="408" t="s">
        <v>440</v>
      </c>
      <c r="J1678" s="409" t="str">
        <f t="shared" si="304"/>
        <v>A=(Ancho x Largo)* Cant</v>
      </c>
      <c r="K1678" s="410" t="str">
        <f t="shared" si="315"/>
        <v>M2</v>
      </c>
      <c r="L1678" s="442">
        <f t="shared" si="308"/>
        <v>4.08</v>
      </c>
      <c r="M1678" s="412"/>
      <c r="N1678" s="442">
        <f t="shared" si="309"/>
        <v>1.9428571428571428</v>
      </c>
      <c r="O1678" s="442"/>
      <c r="P1678" s="442">
        <v>2.1</v>
      </c>
      <c r="Q1678" s="411"/>
      <c r="R1678" s="413">
        <f t="shared" si="307"/>
        <v>1</v>
      </c>
      <c r="S1678" s="414">
        <f>+HLOOKUP(A1678,[238]Hoja1!$2:$78,74,FALSE)</f>
        <v>4.08</v>
      </c>
      <c r="X1678" s="458">
        <f t="shared" si="312"/>
        <v>8.5680000000000014</v>
      </c>
      <c r="Y1678" s="471">
        <f t="shared" si="313"/>
        <v>8.5680000000000014</v>
      </c>
    </row>
    <row r="1679" spans="1:25" ht="25.5">
      <c r="A1679" s="383">
        <v>30</v>
      </c>
      <c r="C1679" s="406"/>
      <c r="D1679" s="407"/>
      <c r="E1679" s="407"/>
      <c r="F1679" s="407"/>
      <c r="G1679" s="407"/>
      <c r="H1679" s="407"/>
      <c r="I1679" s="408" t="s">
        <v>441</v>
      </c>
      <c r="J1679" s="409" t="str">
        <f t="shared" si="304"/>
        <v>A=(Ancho x Largo)* Cant</v>
      </c>
      <c r="K1679" s="410" t="str">
        <f t="shared" si="315"/>
        <v>M2</v>
      </c>
      <c r="L1679" s="442">
        <f t="shared" si="308"/>
        <v>2.2000000000000002</v>
      </c>
      <c r="M1679" s="412"/>
      <c r="N1679" s="442">
        <f t="shared" si="309"/>
        <v>1</v>
      </c>
      <c r="O1679" s="442"/>
      <c r="P1679" s="442">
        <v>2.2000000000000002</v>
      </c>
      <c r="Q1679" s="411"/>
      <c r="R1679" s="413">
        <f t="shared" si="307"/>
        <v>1</v>
      </c>
      <c r="S1679" s="414">
        <f>+HLOOKUP(A1679,[238]Hoja1!$2:$78,74,FALSE)</f>
        <v>2.2000000000000002</v>
      </c>
      <c r="X1679" s="458">
        <f t="shared" si="312"/>
        <v>4.8400000000000007</v>
      </c>
      <c r="Y1679" s="471">
        <f t="shared" si="313"/>
        <v>4.8400000000000007</v>
      </c>
    </row>
    <row r="1680" spans="1:25" ht="25.5">
      <c r="A1680" s="383">
        <v>31</v>
      </c>
      <c r="C1680" s="406"/>
      <c r="D1680" s="407"/>
      <c r="E1680" s="407"/>
      <c r="F1680" s="407"/>
      <c r="G1680" s="407"/>
      <c r="H1680" s="407"/>
      <c r="I1680" s="408" t="s">
        <v>442</v>
      </c>
      <c r="J1680" s="409" t="str">
        <f t="shared" si="304"/>
        <v>A=(Ancho x Largo)* Cant</v>
      </c>
      <c r="K1680" s="410" t="str">
        <f t="shared" si="315"/>
        <v>M2</v>
      </c>
      <c r="L1680" s="442" t="str">
        <f t="shared" si="308"/>
        <v/>
      </c>
      <c r="M1680" s="412"/>
      <c r="N1680" s="442" t="str">
        <f t="shared" si="309"/>
        <v/>
      </c>
      <c r="O1680" s="442"/>
      <c r="P1680" s="442"/>
      <c r="Q1680" s="411"/>
      <c r="R1680" s="413" t="str">
        <f t="shared" si="307"/>
        <v/>
      </c>
      <c r="S1680" s="414">
        <f>+HLOOKUP(A1680,[238]Hoja1!$2:$78,74,FALSE)</f>
        <v>0</v>
      </c>
      <c r="X1680" s="458" t="e">
        <f t="shared" si="312"/>
        <v>#VALUE!</v>
      </c>
      <c r="Y1680" s="471" t="e">
        <f t="shared" si="313"/>
        <v>#VALUE!</v>
      </c>
    </row>
    <row r="1681" spans="1:25" ht="25.5">
      <c r="A1681" s="383">
        <v>32</v>
      </c>
      <c r="C1681" s="406"/>
      <c r="D1681" s="407"/>
      <c r="E1681" s="407"/>
      <c r="F1681" s="407"/>
      <c r="G1681" s="407"/>
      <c r="H1681" s="407"/>
      <c r="I1681" s="408" t="s">
        <v>443</v>
      </c>
      <c r="J1681" s="409" t="str">
        <f t="shared" si="304"/>
        <v>A=(Ancho x Largo)* Cant</v>
      </c>
      <c r="K1681" s="410" t="str">
        <f t="shared" si="315"/>
        <v>M2</v>
      </c>
      <c r="L1681" s="442" t="str">
        <f t="shared" si="308"/>
        <v/>
      </c>
      <c r="M1681" s="412"/>
      <c r="N1681" s="442" t="str">
        <f t="shared" si="309"/>
        <v/>
      </c>
      <c r="O1681" s="442"/>
      <c r="P1681" s="442"/>
      <c r="Q1681" s="411"/>
      <c r="R1681" s="413" t="str">
        <f t="shared" si="307"/>
        <v/>
      </c>
      <c r="S1681" s="414">
        <f>+HLOOKUP(A1681,[238]Hoja1!$2:$78,74,FALSE)</f>
        <v>0</v>
      </c>
      <c r="X1681" s="458" t="e">
        <f t="shared" si="312"/>
        <v>#VALUE!</v>
      </c>
      <c r="Y1681" s="471" t="e">
        <f t="shared" si="313"/>
        <v>#VALUE!</v>
      </c>
    </row>
    <row r="1682" spans="1:25" ht="25.5">
      <c r="A1682" s="383">
        <v>33</v>
      </c>
      <c r="C1682" s="406"/>
      <c r="D1682" s="407"/>
      <c r="E1682" s="407"/>
      <c r="F1682" s="407"/>
      <c r="G1682" s="407"/>
      <c r="H1682" s="407"/>
      <c r="I1682" s="408" t="s">
        <v>444</v>
      </c>
      <c r="J1682" s="409" t="str">
        <f t="shared" si="304"/>
        <v>A=(Ancho x Largo)* Cant</v>
      </c>
      <c r="K1682" s="410" t="str">
        <f t="shared" si="315"/>
        <v>M2</v>
      </c>
      <c r="L1682" s="442" t="str">
        <f t="shared" si="308"/>
        <v/>
      </c>
      <c r="M1682" s="412"/>
      <c r="N1682" s="442" t="str">
        <f t="shared" si="309"/>
        <v/>
      </c>
      <c r="O1682" s="442"/>
      <c r="P1682" s="442"/>
      <c r="Q1682" s="411"/>
      <c r="R1682" s="413" t="str">
        <f t="shared" si="307"/>
        <v/>
      </c>
      <c r="S1682" s="414">
        <f>+HLOOKUP(A1682,[238]Hoja1!$2:$78,74,FALSE)</f>
        <v>0</v>
      </c>
      <c r="X1682" s="458" t="e">
        <f t="shared" si="312"/>
        <v>#VALUE!</v>
      </c>
      <c r="Y1682" s="471" t="e">
        <f t="shared" si="313"/>
        <v>#VALUE!</v>
      </c>
    </row>
    <row r="1683" spans="1:25" ht="25.5">
      <c r="A1683" s="383">
        <v>34</v>
      </c>
      <c r="C1683" s="406"/>
      <c r="D1683" s="407"/>
      <c r="E1683" s="407"/>
      <c r="F1683" s="407"/>
      <c r="G1683" s="407"/>
      <c r="H1683" s="407"/>
      <c r="I1683" s="408" t="s">
        <v>445</v>
      </c>
      <c r="J1683" s="409" t="str">
        <f t="shared" si="304"/>
        <v>A=(Ancho x Largo)* Cant</v>
      </c>
      <c r="K1683" s="410" t="str">
        <f t="shared" si="315"/>
        <v>M2</v>
      </c>
      <c r="L1683" s="442" t="str">
        <f t="shared" si="308"/>
        <v/>
      </c>
      <c r="M1683" s="412"/>
      <c r="N1683" s="442" t="str">
        <f t="shared" si="309"/>
        <v/>
      </c>
      <c r="O1683" s="442"/>
      <c r="P1683" s="442"/>
      <c r="Q1683" s="411"/>
      <c r="R1683" s="413" t="str">
        <f t="shared" si="307"/>
        <v/>
      </c>
      <c r="S1683" s="414">
        <f>+HLOOKUP(A1683,[238]Hoja1!$2:$78,74,FALSE)</f>
        <v>0</v>
      </c>
      <c r="X1683" s="458" t="e">
        <f t="shared" si="312"/>
        <v>#VALUE!</v>
      </c>
      <c r="Y1683" s="471" t="e">
        <f t="shared" si="313"/>
        <v>#VALUE!</v>
      </c>
    </row>
    <row r="1684" spans="1:25" ht="25.5">
      <c r="A1684" s="383">
        <v>35</v>
      </c>
      <c r="C1684" s="406"/>
      <c r="D1684" s="440"/>
      <c r="E1684" s="407"/>
      <c r="F1684" s="407"/>
      <c r="G1684" s="407"/>
      <c r="H1684" s="437"/>
      <c r="I1684" s="408" t="s">
        <v>446</v>
      </c>
      <c r="J1684" s="409" t="str">
        <f t="shared" si="304"/>
        <v>A=(Ancho x Largo)* Cant</v>
      </c>
      <c r="K1684" s="410" t="str">
        <f t="shared" si="315"/>
        <v>M2</v>
      </c>
      <c r="L1684" s="442" t="str">
        <f t="shared" si="308"/>
        <v/>
      </c>
      <c r="M1684" s="412"/>
      <c r="N1684" s="442" t="str">
        <f t="shared" si="309"/>
        <v/>
      </c>
      <c r="O1684" s="442"/>
      <c r="P1684" s="442"/>
      <c r="Q1684" s="411"/>
      <c r="R1684" s="413" t="str">
        <f t="shared" si="307"/>
        <v/>
      </c>
      <c r="S1684" s="414">
        <f>+HLOOKUP(A1684,[238]Hoja1!$2:$78,74,FALSE)</f>
        <v>0</v>
      </c>
      <c r="X1684" s="458" t="e">
        <f t="shared" si="312"/>
        <v>#VALUE!</v>
      </c>
      <c r="Y1684" s="471" t="e">
        <f t="shared" si="313"/>
        <v>#VALUE!</v>
      </c>
    </row>
    <row r="1685" spans="1:25" ht="25.5">
      <c r="A1685" s="383">
        <v>36</v>
      </c>
      <c r="C1685" s="406"/>
      <c r="D1685" s="407"/>
      <c r="E1685" s="407"/>
      <c r="F1685" s="407"/>
      <c r="G1685" s="407"/>
      <c r="H1685" s="407"/>
      <c r="I1685" s="408" t="s">
        <v>447</v>
      </c>
      <c r="J1685" s="409" t="str">
        <f t="shared" si="304"/>
        <v>A=(Ancho x Largo)* Cant</v>
      </c>
      <c r="K1685" s="410" t="str">
        <f>+K1674</f>
        <v>M2</v>
      </c>
      <c r="L1685" s="442" t="str">
        <f t="shared" si="308"/>
        <v/>
      </c>
      <c r="M1685" s="412"/>
      <c r="N1685" s="442" t="str">
        <f t="shared" si="309"/>
        <v/>
      </c>
      <c r="O1685" s="442"/>
      <c r="P1685" s="442"/>
      <c r="Q1685" s="411"/>
      <c r="R1685" s="413" t="str">
        <f t="shared" si="307"/>
        <v/>
      </c>
      <c r="S1685" s="414">
        <f>+HLOOKUP(A1685,[238]Hoja1!$2:$78,74,FALSE)</f>
        <v>0</v>
      </c>
      <c r="X1685" s="458" t="e">
        <f t="shared" si="312"/>
        <v>#VALUE!</v>
      </c>
      <c r="Y1685" s="471" t="e">
        <f t="shared" si="313"/>
        <v>#VALUE!</v>
      </c>
    </row>
    <row r="1686" spans="1:25" ht="25.5">
      <c r="A1686" s="383">
        <v>37</v>
      </c>
      <c r="C1686" s="406"/>
      <c r="D1686" s="407"/>
      <c r="E1686" s="407"/>
      <c r="F1686" s="407"/>
      <c r="G1686" s="407"/>
      <c r="H1686" s="407"/>
      <c r="I1686" s="408" t="s">
        <v>448</v>
      </c>
      <c r="J1686" s="409" t="str">
        <f t="shared" si="304"/>
        <v>A=(Ancho x Largo)* Cant</v>
      </c>
      <c r="K1686" s="410" t="str">
        <f t="shared" ref="K1686:K1692" si="316">+K1685</f>
        <v>M2</v>
      </c>
      <c r="L1686" s="442">
        <f t="shared" si="308"/>
        <v>2.15</v>
      </c>
      <c r="M1686" s="412"/>
      <c r="N1686" s="442">
        <f t="shared" si="309"/>
        <v>0.97727272727272718</v>
      </c>
      <c r="O1686" s="442"/>
      <c r="P1686" s="442">
        <v>2.2000000000000002</v>
      </c>
      <c r="Q1686" s="411"/>
      <c r="R1686" s="413">
        <f t="shared" si="307"/>
        <v>1</v>
      </c>
      <c r="S1686" s="414">
        <f>+HLOOKUP(A1686,[238]Hoja1!$2:$78,74,FALSE)</f>
        <v>2.15</v>
      </c>
      <c r="X1686" s="458">
        <f t="shared" si="312"/>
        <v>4.7300000000000004</v>
      </c>
      <c r="Y1686" s="471">
        <f t="shared" si="313"/>
        <v>4.7300000000000004</v>
      </c>
    </row>
    <row r="1687" spans="1:25" ht="25.5">
      <c r="A1687" s="383">
        <v>38</v>
      </c>
      <c r="C1687" s="406"/>
      <c r="D1687" s="440"/>
      <c r="E1687" s="407"/>
      <c r="F1687" s="407"/>
      <c r="G1687" s="407"/>
      <c r="H1687" s="437"/>
      <c r="I1687" s="408" t="s">
        <v>449</v>
      </c>
      <c r="J1687" s="409" t="str">
        <f t="shared" si="304"/>
        <v>A=(Ancho x Largo)* Cant</v>
      </c>
      <c r="K1687" s="410" t="str">
        <f t="shared" si="316"/>
        <v>M2</v>
      </c>
      <c r="L1687" s="442" t="str">
        <f t="shared" si="308"/>
        <v/>
      </c>
      <c r="M1687" s="412"/>
      <c r="N1687" s="442" t="str">
        <f t="shared" si="309"/>
        <v/>
      </c>
      <c r="O1687" s="442"/>
      <c r="P1687" s="442"/>
      <c r="Q1687" s="411"/>
      <c r="R1687" s="413" t="str">
        <f t="shared" si="307"/>
        <v/>
      </c>
      <c r="S1687" s="414">
        <f>+HLOOKUP(A1687,[238]Hoja1!$2:$78,74,FALSE)</f>
        <v>0</v>
      </c>
      <c r="X1687" s="458" t="e">
        <f t="shared" si="312"/>
        <v>#VALUE!</v>
      </c>
      <c r="Y1687" s="471" t="e">
        <f t="shared" si="313"/>
        <v>#VALUE!</v>
      </c>
    </row>
    <row r="1688" spans="1:25" ht="25.5">
      <c r="A1688" s="383">
        <v>39</v>
      </c>
      <c r="C1688" s="406"/>
      <c r="D1688" s="407"/>
      <c r="E1688" s="407"/>
      <c r="F1688" s="407"/>
      <c r="G1688" s="407"/>
      <c r="H1688" s="407"/>
      <c r="I1688" s="408" t="s">
        <v>450</v>
      </c>
      <c r="J1688" s="409" t="str">
        <f t="shared" si="304"/>
        <v>A=(Ancho x Largo)* Cant</v>
      </c>
      <c r="K1688" s="410" t="str">
        <f t="shared" si="316"/>
        <v>M2</v>
      </c>
      <c r="L1688" s="442" t="str">
        <f t="shared" si="308"/>
        <v/>
      </c>
      <c r="M1688" s="412"/>
      <c r="N1688" s="442" t="str">
        <f t="shared" si="309"/>
        <v/>
      </c>
      <c r="O1688" s="442"/>
      <c r="P1688" s="442"/>
      <c r="Q1688" s="411"/>
      <c r="R1688" s="413" t="str">
        <f t="shared" si="307"/>
        <v/>
      </c>
      <c r="S1688" s="414">
        <f>+HLOOKUP(A1688,[238]Hoja1!$2:$78,74,FALSE)</f>
        <v>0</v>
      </c>
      <c r="X1688" s="458" t="e">
        <f t="shared" si="312"/>
        <v>#VALUE!</v>
      </c>
      <c r="Y1688" s="471" t="e">
        <f t="shared" si="313"/>
        <v>#VALUE!</v>
      </c>
    </row>
    <row r="1689" spans="1:25" ht="25.5">
      <c r="A1689" s="383">
        <v>40</v>
      </c>
      <c r="C1689" s="406"/>
      <c r="D1689" s="407"/>
      <c r="E1689" s="407"/>
      <c r="F1689" s="407"/>
      <c r="G1689" s="407"/>
      <c r="H1689" s="407"/>
      <c r="I1689" s="408" t="s">
        <v>451</v>
      </c>
      <c r="J1689" s="409" t="str">
        <f t="shared" si="304"/>
        <v>A=(Ancho x Largo)* Cant</v>
      </c>
      <c r="K1689" s="410" t="str">
        <f t="shared" si="316"/>
        <v>M2</v>
      </c>
      <c r="L1689" s="442" t="str">
        <f t="shared" si="308"/>
        <v/>
      </c>
      <c r="M1689" s="412"/>
      <c r="N1689" s="442" t="str">
        <f t="shared" si="309"/>
        <v/>
      </c>
      <c r="O1689" s="442"/>
      <c r="P1689" s="442"/>
      <c r="Q1689" s="411"/>
      <c r="R1689" s="413" t="str">
        <f t="shared" si="307"/>
        <v/>
      </c>
      <c r="S1689" s="414">
        <f>+HLOOKUP(A1689,[238]Hoja1!$2:$78,74,FALSE)</f>
        <v>0</v>
      </c>
      <c r="X1689" s="458" t="e">
        <f t="shared" si="312"/>
        <v>#VALUE!</v>
      </c>
      <c r="Y1689" s="471" t="e">
        <f t="shared" si="313"/>
        <v>#VALUE!</v>
      </c>
    </row>
    <row r="1690" spans="1:25" ht="25.5">
      <c r="A1690" s="383">
        <v>41</v>
      </c>
      <c r="C1690" s="406"/>
      <c r="D1690" s="407"/>
      <c r="E1690" s="407"/>
      <c r="F1690" s="407"/>
      <c r="G1690" s="407"/>
      <c r="H1690" s="407"/>
      <c r="I1690" s="408" t="s">
        <v>452</v>
      </c>
      <c r="J1690" s="409" t="str">
        <f t="shared" si="304"/>
        <v>A=(Ancho x Largo)* Cant</v>
      </c>
      <c r="K1690" s="410" t="str">
        <f t="shared" si="316"/>
        <v>M2</v>
      </c>
      <c r="L1690" s="442">
        <f t="shared" si="308"/>
        <v>3.1500000000000004</v>
      </c>
      <c r="M1690" s="412"/>
      <c r="N1690" s="442">
        <f t="shared" si="309"/>
        <v>1.5</v>
      </c>
      <c r="O1690" s="442"/>
      <c r="P1690" s="442">
        <v>2.1</v>
      </c>
      <c r="Q1690" s="411"/>
      <c r="R1690" s="413">
        <f t="shared" si="307"/>
        <v>1</v>
      </c>
      <c r="S1690" s="414">
        <f>+HLOOKUP(A1690,[238]Hoja1!$2:$78,74,FALSE)</f>
        <v>3.1500000000000004</v>
      </c>
      <c r="X1690" s="458">
        <f t="shared" si="312"/>
        <v>6.6150000000000011</v>
      </c>
      <c r="Y1690" s="471">
        <f t="shared" si="313"/>
        <v>6.6150000000000011</v>
      </c>
    </row>
    <row r="1691" spans="1:25" ht="25.5">
      <c r="A1691" s="383">
        <v>42</v>
      </c>
      <c r="C1691" s="406"/>
      <c r="D1691" s="407"/>
      <c r="E1691" s="407"/>
      <c r="F1691" s="407"/>
      <c r="G1691" s="407"/>
      <c r="H1691" s="407"/>
      <c r="I1691" s="408" t="s">
        <v>453</v>
      </c>
      <c r="J1691" s="409" t="str">
        <f t="shared" si="304"/>
        <v>A=(Ancho x Largo)* Cant</v>
      </c>
      <c r="K1691" s="410" t="str">
        <f t="shared" si="316"/>
        <v>M2</v>
      </c>
      <c r="L1691" s="442" t="str">
        <f t="shared" si="308"/>
        <v/>
      </c>
      <c r="M1691" s="412"/>
      <c r="N1691" s="442" t="str">
        <f t="shared" si="309"/>
        <v/>
      </c>
      <c r="O1691" s="442"/>
      <c r="P1691" s="442"/>
      <c r="Q1691" s="411"/>
      <c r="R1691" s="413" t="str">
        <f t="shared" si="307"/>
        <v/>
      </c>
      <c r="S1691" s="414">
        <f>+HLOOKUP(A1691,[238]Hoja1!$2:$78,74,FALSE)</f>
        <v>0</v>
      </c>
      <c r="X1691" s="458" t="e">
        <f t="shared" si="312"/>
        <v>#VALUE!</v>
      </c>
      <c r="Y1691" s="471" t="e">
        <f t="shared" si="313"/>
        <v>#VALUE!</v>
      </c>
    </row>
    <row r="1692" spans="1:25" ht="26.25" thickBot="1">
      <c r="A1692" s="383">
        <v>43</v>
      </c>
      <c r="C1692" s="406"/>
      <c r="D1692" s="407"/>
      <c r="E1692" s="407"/>
      <c r="F1692" s="407"/>
      <c r="G1692" s="407"/>
      <c r="H1692" s="407"/>
      <c r="I1692" s="408" t="s">
        <v>454</v>
      </c>
      <c r="J1692" s="409" t="str">
        <f t="shared" si="304"/>
        <v>A=(Ancho x Largo)* Cant</v>
      </c>
      <c r="K1692" s="410" t="str">
        <f t="shared" si="316"/>
        <v>M2</v>
      </c>
      <c r="L1692" s="442" t="str">
        <f t="shared" si="308"/>
        <v/>
      </c>
      <c r="M1692" s="412"/>
      <c r="N1692" s="442" t="str">
        <f t="shared" si="309"/>
        <v/>
      </c>
      <c r="O1692" s="442"/>
      <c r="P1692" s="442"/>
      <c r="Q1692" s="411"/>
      <c r="R1692" s="413" t="str">
        <f t="shared" si="307"/>
        <v/>
      </c>
      <c r="S1692" s="414">
        <f>+HLOOKUP(A1692,[238]Hoja1!$2:$78,74,FALSE)</f>
        <v>0</v>
      </c>
      <c r="X1692" s="458" t="e">
        <f t="shared" si="312"/>
        <v>#VALUE!</v>
      </c>
      <c r="Y1692" s="471" t="e">
        <f t="shared" si="313"/>
        <v>#VALUE!</v>
      </c>
    </row>
    <row r="1693" spans="1:25">
      <c r="C1693" s="384"/>
      <c r="D1693" s="419"/>
      <c r="E1693" s="420"/>
      <c r="F1693" s="421"/>
      <c r="G1693" s="421"/>
      <c r="H1693" s="421"/>
      <c r="I1693" s="421"/>
      <c r="J1693" s="422"/>
      <c r="K1693" s="421"/>
      <c r="L1693" s="421"/>
      <c r="M1693" s="421"/>
      <c r="N1693" s="421"/>
      <c r="O1693" s="421"/>
      <c r="P1693" s="421"/>
      <c r="Q1693" s="421"/>
      <c r="R1693" s="422"/>
      <c r="S1693" s="423"/>
    </row>
    <row r="1694" spans="1:25">
      <c r="C1694" s="396"/>
      <c r="D1694" s="397"/>
      <c r="E1694" s="424"/>
      <c r="F1694" s="425"/>
      <c r="G1694" s="425"/>
      <c r="H1694" s="425"/>
      <c r="I1694" s="425"/>
      <c r="J1694" s="398"/>
      <c r="K1694" s="425"/>
      <c r="L1694" s="425"/>
      <c r="M1694" s="397"/>
      <c r="N1694" s="397"/>
      <c r="O1694" s="562" t="s">
        <v>455</v>
      </c>
      <c r="P1694" s="563"/>
      <c r="Q1694" s="564"/>
      <c r="R1694" s="426"/>
      <c r="S1694" s="427">
        <f>ROUND(SUM(S1650:S1693),2)</f>
        <v>38.24</v>
      </c>
    </row>
    <row r="1695" spans="1:25">
      <c r="C1695" s="396"/>
      <c r="D1695" s="397"/>
      <c r="E1695" s="424"/>
      <c r="F1695" s="425"/>
      <c r="G1695" s="425"/>
      <c r="H1695" s="425"/>
      <c r="I1695" s="425"/>
      <c r="J1695" s="398"/>
      <c r="K1695" s="425"/>
      <c r="L1695" s="425"/>
      <c r="M1695" s="428"/>
      <c r="N1695" s="428"/>
      <c r="O1695" s="429"/>
      <c r="P1695" s="425"/>
      <c r="Q1695" s="425"/>
      <c r="R1695" s="430"/>
      <c r="S1695" s="431"/>
    </row>
    <row r="1696" spans="1:25">
      <c r="C1696" s="565" t="e">
        <v>#REF!</v>
      </c>
      <c r="D1696" s="566"/>
      <c r="E1696" s="566"/>
      <c r="F1696" s="566"/>
      <c r="G1696" s="566"/>
      <c r="H1696" s="566"/>
      <c r="I1696" s="566"/>
      <c r="J1696" s="566"/>
      <c r="K1696" s="566"/>
      <c r="L1696" s="566"/>
      <c r="M1696" s="566"/>
      <c r="N1696" s="567"/>
      <c r="O1696" s="568" t="s">
        <v>422</v>
      </c>
      <c r="P1696" s="568"/>
      <c r="Q1696" s="568"/>
      <c r="R1696" s="426"/>
      <c r="S1696" s="427">
        <f>S1694</f>
        <v>38.24</v>
      </c>
    </row>
    <row r="1697" spans="3:19">
      <c r="C1697" s="396"/>
      <c r="D1697" s="397"/>
      <c r="E1697" s="424"/>
      <c r="F1697" s="425"/>
      <c r="G1697" s="425"/>
      <c r="H1697" s="425"/>
      <c r="I1697" s="425"/>
      <c r="J1697" s="398"/>
      <c r="K1697" s="425"/>
      <c r="L1697" s="425"/>
      <c r="M1697" s="428"/>
      <c r="N1697" s="428"/>
      <c r="O1697" s="429"/>
      <c r="P1697" s="425"/>
      <c r="Q1697" s="398"/>
      <c r="R1697" s="398"/>
      <c r="S1697" s="432"/>
    </row>
    <row r="1698" spans="3:19">
      <c r="C1698" s="396"/>
      <c r="D1698" s="397"/>
      <c r="E1698" s="424"/>
      <c r="F1698" s="425"/>
      <c r="G1698" s="425"/>
      <c r="H1698" s="425"/>
      <c r="I1698" s="425"/>
      <c r="J1698" s="398"/>
      <c r="K1698" s="425"/>
      <c r="L1698" s="425"/>
      <c r="M1698" s="428"/>
      <c r="N1698" s="428"/>
      <c r="O1698" s="429"/>
      <c r="P1698" s="425"/>
      <c r="Q1698" s="398"/>
      <c r="R1698" s="398"/>
      <c r="S1698" s="432"/>
    </row>
    <row r="1699" spans="3:19">
      <c r="C1699" s="569" t="s">
        <v>423</v>
      </c>
      <c r="D1699" s="570"/>
      <c r="E1699" s="570"/>
      <c r="F1699" s="570"/>
      <c r="G1699" s="570"/>
      <c r="H1699" s="570"/>
      <c r="I1699" s="570"/>
      <c r="J1699" s="571"/>
      <c r="K1699" s="433" t="s">
        <v>424</v>
      </c>
      <c r="L1699" s="434"/>
      <c r="M1699" s="434"/>
      <c r="N1699" s="434"/>
      <c r="O1699" s="434"/>
      <c r="P1699" s="434"/>
      <c r="Q1699" s="434"/>
      <c r="R1699" s="434"/>
      <c r="S1699" s="435"/>
    </row>
    <row r="1700" spans="3:19">
      <c r="C1700" s="542"/>
      <c r="D1700" s="543"/>
      <c r="E1700" s="543"/>
      <c r="F1700" s="543"/>
      <c r="G1700" s="436"/>
      <c r="H1700" s="436"/>
      <c r="I1700" s="436"/>
      <c r="J1700" s="447"/>
      <c r="K1700" s="436"/>
      <c r="L1700" s="407"/>
      <c r="M1700" s="407"/>
      <c r="N1700" s="407"/>
      <c r="O1700" s="407"/>
      <c r="P1700" s="407"/>
      <c r="Q1700" s="407"/>
      <c r="R1700" s="407"/>
      <c r="S1700" s="437"/>
    </row>
    <row r="1701" spans="3:19">
      <c r="C1701" s="542"/>
      <c r="D1701" s="543"/>
      <c r="E1701" s="543"/>
      <c r="F1701" s="543"/>
      <c r="G1701" s="436"/>
      <c r="H1701" s="436"/>
      <c r="I1701" s="436"/>
      <c r="J1701" s="447"/>
      <c r="K1701" s="436"/>
      <c r="L1701" s="407"/>
      <c r="M1701" s="407"/>
      <c r="N1701" s="407"/>
      <c r="O1701" s="407"/>
      <c r="P1701" s="407"/>
      <c r="Q1701" s="407"/>
      <c r="R1701" s="407"/>
      <c r="S1701" s="437"/>
    </row>
    <row r="1702" spans="3:19">
      <c r="C1702" s="542" t="s">
        <v>425</v>
      </c>
      <c r="D1702" s="543"/>
      <c r="E1702" s="543" t="s">
        <v>425</v>
      </c>
      <c r="F1702" s="543"/>
      <c r="G1702" s="543" t="s">
        <v>425</v>
      </c>
      <c r="H1702" s="543"/>
      <c r="I1702" s="543" t="s">
        <v>425</v>
      </c>
      <c r="J1702" s="544"/>
      <c r="K1702" s="545" t="s">
        <v>426</v>
      </c>
      <c r="L1702" s="546"/>
      <c r="M1702" s="546"/>
      <c r="N1702" s="546"/>
      <c r="O1702" s="546"/>
      <c r="P1702" s="546"/>
      <c r="Q1702" s="546"/>
      <c r="R1702" s="546"/>
      <c r="S1702" s="547"/>
    </row>
    <row r="1703" spans="3:19">
      <c r="C1703" s="548" t="str">
        <f>+[42]DATOS!D$8</f>
        <v>HELMER EDUARDO BECERRA SANTANDER</v>
      </c>
      <c r="D1703" s="549"/>
      <c r="E1703" s="549" t="s">
        <v>427</v>
      </c>
      <c r="F1703" s="549"/>
      <c r="G1703" s="549" t="s">
        <v>427</v>
      </c>
      <c r="H1703" s="549"/>
      <c r="I1703" s="549" t="s">
        <v>427</v>
      </c>
      <c r="J1703" s="550"/>
      <c r="K1703" s="551" t="str">
        <f>+[42]DATOS!D$11</f>
        <v>JESUS IVAN QUIÑONES RUEDA</v>
      </c>
      <c r="L1703" s="549"/>
      <c r="M1703" s="549"/>
      <c r="N1703" s="549"/>
      <c r="O1703" s="549"/>
      <c r="P1703" s="549"/>
      <c r="Q1703" s="549"/>
      <c r="R1703" s="549"/>
      <c r="S1703" s="552"/>
    </row>
    <row r="1704" spans="3:19">
      <c r="C1704" s="553" t="str">
        <f>+$C$72</f>
        <v>APOYO SEC. DE PLANEACION Y OBRAS PÚBLICAS</v>
      </c>
      <c r="D1704" s="554"/>
      <c r="E1704" s="554" t="s">
        <v>428</v>
      </c>
      <c r="F1704" s="554"/>
      <c r="G1704" s="554" t="s">
        <v>428</v>
      </c>
      <c r="H1704" s="554"/>
      <c r="I1704" s="554" t="s">
        <v>428</v>
      </c>
      <c r="J1704" s="555"/>
      <c r="K1704" s="556" t="str">
        <f>+$K$72</f>
        <v>SECRETARIO DE PLANEACION Y OBRAS PÚBLICAS</v>
      </c>
      <c r="L1704" s="554"/>
      <c r="M1704" s="554"/>
      <c r="N1704" s="554"/>
      <c r="O1704" s="554"/>
      <c r="P1704" s="554"/>
      <c r="Q1704" s="554"/>
      <c r="R1704" s="554"/>
      <c r="S1704" s="557"/>
    </row>
    <row r="1705" spans="3:19">
      <c r="C1705" s="406"/>
      <c r="D1705" s="407"/>
      <c r="E1705" s="407"/>
      <c r="F1705" s="407"/>
      <c r="G1705" s="407"/>
      <c r="H1705" s="407"/>
      <c r="I1705" s="407"/>
      <c r="J1705" s="407"/>
      <c r="K1705" s="407"/>
      <c r="L1705" s="407"/>
      <c r="M1705" s="407"/>
      <c r="N1705" s="407"/>
      <c r="O1705" s="407"/>
      <c r="P1705" s="407"/>
      <c r="Q1705" s="407"/>
      <c r="R1705" s="407"/>
      <c r="S1705" s="437"/>
    </row>
    <row r="1706" spans="3:19" ht="111" customHeight="1" thickBot="1">
      <c r="C1706" s="417"/>
      <c r="D1706" s="418"/>
      <c r="E1706" s="418"/>
      <c r="F1706" s="418"/>
      <c r="G1706" s="418"/>
      <c r="H1706" s="418"/>
      <c r="I1706" s="418"/>
      <c r="J1706" s="418"/>
      <c r="K1706" s="418"/>
      <c r="L1706" s="418"/>
      <c r="M1706" s="418"/>
      <c r="N1706" s="418"/>
      <c r="O1706" s="418"/>
      <c r="P1706" s="418"/>
      <c r="Q1706" s="418"/>
      <c r="R1706" s="418"/>
      <c r="S1706" s="438"/>
    </row>
    <row r="1707" spans="3:19" ht="22.5" customHeight="1"/>
    <row r="1708" spans="3:19" ht="13.5" thickBot="1"/>
    <row r="1709" spans="3:19">
      <c r="C1709" s="384"/>
      <c r="D1709" s="385"/>
      <c r="E1709" s="385"/>
      <c r="F1709" s="385"/>
      <c r="G1709" s="385"/>
      <c r="H1709" s="385"/>
      <c r="I1709" s="385"/>
      <c r="J1709" s="445"/>
      <c r="K1709" s="385"/>
      <c r="L1709" s="385"/>
      <c r="M1709" s="385"/>
      <c r="N1709" s="385"/>
      <c r="O1709" s="385"/>
      <c r="P1709" s="385"/>
      <c r="Q1709" s="385"/>
      <c r="R1709" s="385"/>
      <c r="S1709" s="386"/>
    </row>
    <row r="1710" spans="3:19" ht="121.5" customHeight="1" thickBot="1">
      <c r="C1710" s="387"/>
      <c r="D1710" s="388"/>
      <c r="E1710" s="388"/>
      <c r="F1710" s="388"/>
      <c r="G1710" s="388"/>
      <c r="H1710" s="388"/>
      <c r="I1710" s="388"/>
      <c r="J1710" s="446"/>
      <c r="K1710" s="388"/>
      <c r="L1710" s="388"/>
      <c r="M1710" s="388"/>
      <c r="N1710" s="388"/>
      <c r="O1710" s="388"/>
      <c r="P1710" s="388"/>
      <c r="Q1710" s="388"/>
      <c r="R1710" s="388"/>
      <c r="S1710" s="389"/>
    </row>
    <row r="1711" spans="3:19">
      <c r="C1711" s="592" t="str">
        <f>+[42]DATOS!C$7</f>
        <v>MEJORAMIENTO DE VIVIENDA CON ENFOQUE DIFERENCIAL PARA POBLACIÓN VULNERABLE EN EL MUNICIPIO DE CUBARÁ, BOYACÁ (2026).</v>
      </c>
      <c r="D1711" s="593"/>
      <c r="E1711" s="593"/>
      <c r="F1711" s="593"/>
      <c r="G1711" s="593"/>
      <c r="H1711" s="593"/>
      <c r="I1711" s="593"/>
      <c r="J1711" s="593"/>
      <c r="K1711" s="593"/>
      <c r="L1711" s="593"/>
      <c r="M1711" s="593"/>
      <c r="N1711" s="593"/>
      <c r="O1711" s="593"/>
      <c r="P1711" s="593"/>
      <c r="Q1711" s="593"/>
      <c r="R1711" s="593"/>
      <c r="S1711" s="594"/>
    </row>
    <row r="1712" spans="3:19">
      <c r="C1712" s="595"/>
      <c r="D1712" s="596"/>
      <c r="E1712" s="596"/>
      <c r="F1712" s="596"/>
      <c r="G1712" s="596"/>
      <c r="H1712" s="596"/>
      <c r="I1712" s="596"/>
      <c r="J1712" s="596"/>
      <c r="K1712" s="596"/>
      <c r="L1712" s="596"/>
      <c r="M1712" s="596"/>
      <c r="N1712" s="596"/>
      <c r="O1712" s="596"/>
      <c r="P1712" s="596"/>
      <c r="Q1712" s="596"/>
      <c r="R1712" s="596"/>
      <c r="S1712" s="597"/>
    </row>
    <row r="1713" spans="1:25">
      <c r="C1713" s="598" t="s">
        <v>371</v>
      </c>
      <c r="D1713" s="599"/>
      <c r="E1713" s="599"/>
      <c r="F1713" s="599"/>
      <c r="G1713" s="599"/>
      <c r="H1713" s="599"/>
      <c r="I1713" s="599"/>
      <c r="J1713" s="599"/>
      <c r="K1713" s="599"/>
      <c r="L1713" s="599"/>
      <c r="M1713" s="599"/>
      <c r="N1713" s="599"/>
      <c r="O1713" s="599"/>
      <c r="P1713" s="599"/>
      <c r="Q1713" s="599"/>
      <c r="R1713" s="599"/>
      <c r="S1713" s="600"/>
    </row>
    <row r="1714" spans="1:25">
      <c r="C1714" s="586" t="s">
        <v>372</v>
      </c>
      <c r="D1714" s="587"/>
      <c r="E1714" s="601" t="s">
        <v>373</v>
      </c>
      <c r="F1714" s="601"/>
      <c r="G1714" s="601"/>
      <c r="H1714" s="601"/>
      <c r="I1714" s="601"/>
      <c r="J1714" s="601"/>
      <c r="K1714" s="601"/>
      <c r="L1714" s="601"/>
      <c r="M1714" s="601"/>
      <c r="N1714" s="601"/>
      <c r="O1714" s="601"/>
      <c r="P1714" s="601"/>
      <c r="Q1714" s="601"/>
      <c r="R1714" s="601"/>
      <c r="S1714" s="602"/>
    </row>
    <row r="1715" spans="1:25">
      <c r="C1715" s="586" t="s">
        <v>374</v>
      </c>
      <c r="D1715" s="587"/>
      <c r="E1715" s="603" t="s">
        <v>375</v>
      </c>
      <c r="F1715" s="604"/>
      <c r="G1715" s="604"/>
      <c r="H1715" s="604"/>
      <c r="I1715" s="604"/>
      <c r="J1715" s="604"/>
      <c r="K1715" s="604"/>
      <c r="L1715" s="604"/>
      <c r="M1715" s="604"/>
      <c r="N1715" s="604"/>
      <c r="O1715" s="604"/>
      <c r="P1715" s="604"/>
      <c r="Q1715" s="604"/>
      <c r="R1715" s="604"/>
      <c r="S1715" s="605"/>
    </row>
    <row r="1716" spans="1:25">
      <c r="C1716" s="586" t="s">
        <v>376</v>
      </c>
      <c r="D1716" s="587"/>
      <c r="E1716" s="390">
        <f>+[42]DATOS!F$5</f>
        <v>46143</v>
      </c>
      <c r="F1716" s="391"/>
      <c r="G1716" s="391"/>
      <c r="H1716" s="391"/>
      <c r="I1716" s="391"/>
      <c r="J1716" s="391"/>
      <c r="K1716" s="568" t="s">
        <v>377</v>
      </c>
      <c r="L1716" s="568"/>
      <c r="M1716" s="588" t="s">
        <v>378</v>
      </c>
      <c r="N1716" s="588"/>
      <c r="O1716" s="588"/>
      <c r="P1716" s="588"/>
      <c r="Q1716" s="588"/>
      <c r="R1716" s="588"/>
      <c r="S1716" s="589"/>
    </row>
    <row r="1717" spans="1:25" ht="25.5">
      <c r="C1717" s="586" t="s">
        <v>379</v>
      </c>
      <c r="D1717" s="587"/>
      <c r="E1717" s="590" t="s">
        <v>380</v>
      </c>
      <c r="F1717" s="591"/>
      <c r="G1717" s="392">
        <f>+[42]DATOS!E$5</f>
        <v>2026</v>
      </c>
      <c r="H1717" s="393" t="s">
        <v>381</v>
      </c>
      <c r="I1717" s="394">
        <f>+[42]DATOS!E$5</f>
        <v>2026</v>
      </c>
      <c r="J1717" s="395"/>
      <c r="K1717" s="568" t="s">
        <v>382</v>
      </c>
      <c r="L1717" s="568"/>
      <c r="M1717" s="588" t="s">
        <v>383</v>
      </c>
      <c r="N1717" s="588"/>
      <c r="O1717" s="588"/>
      <c r="P1717" s="588"/>
      <c r="Q1717" s="588"/>
      <c r="R1717" s="588"/>
      <c r="S1717" s="589"/>
    </row>
    <row r="1718" spans="1:25">
      <c r="C1718" s="396"/>
      <c r="D1718" s="397"/>
      <c r="E1718" s="397"/>
      <c r="F1718" s="398"/>
      <c r="G1718" s="398"/>
      <c r="H1718" s="398"/>
      <c r="I1718" s="398"/>
      <c r="J1718" s="398"/>
      <c r="K1718" s="398"/>
      <c r="L1718" s="398"/>
      <c r="M1718" s="398"/>
      <c r="N1718" s="398"/>
      <c r="O1718" s="398"/>
      <c r="P1718" s="398"/>
      <c r="Q1718" s="398"/>
      <c r="R1718" s="398"/>
      <c r="S1718" s="399"/>
    </row>
    <row r="1719" spans="1:25">
      <c r="C1719" s="572" t="s">
        <v>384</v>
      </c>
      <c r="D1719" s="573"/>
      <c r="E1719" s="573"/>
      <c r="F1719" s="573"/>
      <c r="G1719" s="573"/>
      <c r="H1719" s="573"/>
      <c r="I1719" s="573"/>
      <c r="J1719" s="573"/>
      <c r="K1719" s="573"/>
      <c r="L1719" s="573"/>
      <c r="M1719" s="573"/>
      <c r="N1719" s="573"/>
      <c r="O1719" s="573"/>
      <c r="P1719" s="573"/>
      <c r="Q1719" s="573"/>
      <c r="R1719" s="573"/>
      <c r="S1719" s="574"/>
    </row>
    <row r="1720" spans="1:25">
      <c r="C1720" s="396"/>
      <c r="D1720" s="397"/>
      <c r="E1720" s="397"/>
      <c r="F1720" s="398"/>
      <c r="G1720" s="398"/>
      <c r="H1720" s="398"/>
      <c r="I1720" s="398"/>
      <c r="J1720" s="398"/>
      <c r="K1720" s="398"/>
      <c r="L1720" s="398"/>
      <c r="M1720" s="398"/>
      <c r="N1720" s="398"/>
      <c r="O1720" s="398"/>
      <c r="P1720" s="398"/>
      <c r="Q1720" s="398"/>
      <c r="R1720" s="398"/>
      <c r="S1720" s="399"/>
    </row>
    <row r="1721" spans="1:25">
      <c r="C1721" s="400" t="s">
        <v>385</v>
      </c>
      <c r="D1721" s="575" t="s">
        <v>386</v>
      </c>
      <c r="E1721" s="575"/>
      <c r="F1721" s="576" t="s">
        <v>387</v>
      </c>
      <c r="G1721" s="577"/>
      <c r="H1721" s="577"/>
      <c r="I1721" s="576" t="s">
        <v>388</v>
      </c>
      <c r="J1721" s="576" t="s">
        <v>389</v>
      </c>
      <c r="K1721" s="579"/>
      <c r="L1721" s="581" t="s">
        <v>390</v>
      </c>
      <c r="M1721" s="581"/>
      <c r="N1721" s="581"/>
      <c r="O1721" s="581"/>
      <c r="P1721" s="581"/>
      <c r="Q1721" s="581"/>
      <c r="R1721" s="581" t="s">
        <v>391</v>
      </c>
      <c r="S1721" s="582"/>
    </row>
    <row r="1722" spans="1:25" ht="38.25">
      <c r="C1722" s="403">
        <f>+'PRESUPUESTO OFICIAL '!C97</f>
        <v>9.02</v>
      </c>
      <c r="D1722" s="583" t="str">
        <f>+VLOOKUP(C1722,'PRESUPUESTO OFICIAL '!$C$11:$H$103,2)</f>
        <v>SUMINISTRO E INSTALACIÓN DE VENTANA EN LÁMINA COLD ROLLED CAL.18 CON VIDRIO. (INCLUYE ANTICORROSIVO).</v>
      </c>
      <c r="E1722" s="584"/>
      <c r="F1722" s="585" t="str">
        <f>+VLOOKUP(C1722,'PRESUPUESTO OFICIAL '!$C$11:$H$103,3)</f>
        <v>M2</v>
      </c>
      <c r="G1722" s="585"/>
      <c r="H1722" s="585"/>
      <c r="I1722" s="578"/>
      <c r="J1722" s="578"/>
      <c r="K1722" s="580"/>
      <c r="L1722" s="401" t="s">
        <v>392</v>
      </c>
      <c r="M1722" s="401" t="s">
        <v>393</v>
      </c>
      <c r="N1722" s="401" t="s">
        <v>394</v>
      </c>
      <c r="O1722" s="401" t="s">
        <v>395</v>
      </c>
      <c r="P1722" s="401" t="s">
        <v>396</v>
      </c>
      <c r="Q1722" s="401" t="s">
        <v>397</v>
      </c>
      <c r="R1722" s="401" t="s">
        <v>398</v>
      </c>
      <c r="S1722" s="402" t="s">
        <v>399</v>
      </c>
      <c r="U1722" s="404">
        <f>+C1722</f>
        <v>9.02</v>
      </c>
      <c r="V1722" s="405">
        <f>+S1770</f>
        <v>23.2</v>
      </c>
    </row>
    <row r="1723" spans="1:25">
      <c r="C1723" s="406"/>
      <c r="D1723" s="407"/>
      <c r="E1723" s="407"/>
      <c r="F1723" s="407"/>
      <c r="G1723" s="407"/>
      <c r="H1723" s="407"/>
      <c r="I1723" s="558"/>
      <c r="J1723" s="559"/>
      <c r="K1723" s="560"/>
      <c r="L1723" s="560"/>
      <c r="M1723" s="560"/>
      <c r="N1723" s="560"/>
      <c r="O1723" s="560"/>
      <c r="P1723" s="560"/>
      <c r="Q1723" s="560"/>
      <c r="R1723" s="560"/>
      <c r="S1723" s="561"/>
    </row>
    <row r="1724" spans="1:25" ht="25.5">
      <c r="A1724" s="383">
        <v>1</v>
      </c>
      <c r="C1724" s="406"/>
      <c r="D1724" s="407"/>
      <c r="E1724" s="407"/>
      <c r="F1724" s="407"/>
      <c r="G1724" s="407"/>
      <c r="H1724" s="407"/>
      <c r="I1724" s="408" t="s">
        <v>400</v>
      </c>
      <c r="J1724" s="409" t="str">
        <f t="shared" ref="J1724:J1766" si="317">+VLOOKUP(K1724,$AH$22:$AJ$58,2,)</f>
        <v>A=(Ancho x Largo)* Cant</v>
      </c>
      <c r="K1724" s="410" t="str">
        <f>+F1722</f>
        <v>M2</v>
      </c>
      <c r="L1724" s="442" t="str">
        <f>IF(S1724=0,"",P1724*O1724)</f>
        <v/>
      </c>
      <c r="M1724" s="412"/>
      <c r="N1724" s="442"/>
      <c r="O1724" s="442"/>
      <c r="P1724" s="442" t="str">
        <f>IF(S1724=0,"",1)</f>
        <v/>
      </c>
      <c r="Q1724" s="411"/>
      <c r="R1724" s="413" t="str">
        <f>IF(S1724=0,"",1)</f>
        <v/>
      </c>
      <c r="S1724" s="414">
        <f>+HLOOKUP(A1724,[238]Hoja1!$2:$78,75,FALSE)</f>
        <v>0</v>
      </c>
      <c r="X1724" s="458" t="e">
        <f t="shared" ref="X1724" si="318">+N1724*O1724*P1724</f>
        <v>#VALUE!</v>
      </c>
      <c r="Y1724" s="471" t="e">
        <f t="shared" ref="Y1724" si="319">+X1724-Q1724</f>
        <v>#VALUE!</v>
      </c>
    </row>
    <row r="1725" spans="1:25" ht="25.5">
      <c r="A1725" s="383">
        <v>2</v>
      </c>
      <c r="C1725" s="406"/>
      <c r="D1725" s="407"/>
      <c r="E1725" s="407"/>
      <c r="F1725" s="407"/>
      <c r="G1725" s="407"/>
      <c r="H1725" s="407"/>
      <c r="I1725" s="408" t="s">
        <v>401</v>
      </c>
      <c r="J1725" s="409" t="str">
        <f t="shared" si="317"/>
        <v>A=(Ancho x Largo)* Cant</v>
      </c>
      <c r="K1725" s="410" t="str">
        <f>+K1724</f>
        <v>M2</v>
      </c>
      <c r="L1725" s="442">
        <f>IF(S1725=0,"",P1725*N1725)</f>
        <v>0.32000000000000006</v>
      </c>
      <c r="M1725" s="412"/>
      <c r="N1725" s="442">
        <f>IF(S1725=0,"",S1725/P1725)</f>
        <v>0.32000000000000006</v>
      </c>
      <c r="O1725" s="442"/>
      <c r="P1725" s="442">
        <f t="shared" ref="P1725:P1766" si="320">IF(S1725=0,"",1)</f>
        <v>1</v>
      </c>
      <c r="Q1725" s="411"/>
      <c r="R1725" s="413">
        <f t="shared" ref="R1725:R1766" si="321">IF(S1725=0,"",1)</f>
        <v>1</v>
      </c>
      <c r="S1725" s="414">
        <f>+HLOOKUP(A1725,[238]Hoja1!$2:$78,75,FALSE)</f>
        <v>0.32000000000000006</v>
      </c>
      <c r="X1725" s="458">
        <f>+L1725*P1725</f>
        <v>0.32000000000000006</v>
      </c>
      <c r="Y1725" s="471">
        <f>+X1725-Q1725</f>
        <v>0.32000000000000006</v>
      </c>
    </row>
    <row r="1726" spans="1:25" ht="25.5">
      <c r="A1726" s="383">
        <v>3</v>
      </c>
      <c r="C1726" s="406"/>
      <c r="D1726" s="407"/>
      <c r="E1726" s="407"/>
      <c r="F1726" s="407"/>
      <c r="G1726" s="407"/>
      <c r="H1726" s="407"/>
      <c r="I1726" s="408" t="s">
        <v>402</v>
      </c>
      <c r="J1726" s="409" t="str">
        <f t="shared" si="317"/>
        <v>A=(Ancho x Largo)* Cant</v>
      </c>
      <c r="K1726" s="410" t="str">
        <f>+K1725</f>
        <v>M2</v>
      </c>
      <c r="L1726" s="442">
        <f t="shared" ref="L1726:L1766" si="322">IF(S1726=0,"",P1726*N1726)</f>
        <v>0.32000000000000006</v>
      </c>
      <c r="M1726" s="412"/>
      <c r="N1726" s="442">
        <f t="shared" ref="N1726:N1766" si="323">IF(S1726=0,"",S1726/P1726)</f>
        <v>0.32000000000000006</v>
      </c>
      <c r="O1726" s="442"/>
      <c r="P1726" s="442">
        <f t="shared" si="320"/>
        <v>1</v>
      </c>
      <c r="Q1726" s="411"/>
      <c r="R1726" s="413">
        <f t="shared" si="321"/>
        <v>1</v>
      </c>
      <c r="S1726" s="414">
        <f>+HLOOKUP(A1726,[238]Hoja1!$2:$78,75,FALSE)</f>
        <v>0.32000000000000006</v>
      </c>
      <c r="X1726" s="458">
        <f t="shared" ref="X1726:X1728" si="324">+L1726*P1726</f>
        <v>0.32000000000000006</v>
      </c>
      <c r="Y1726" s="471">
        <f t="shared" ref="Y1726:Y1728" si="325">+X1726-Q1726</f>
        <v>0.32000000000000006</v>
      </c>
    </row>
    <row r="1727" spans="1:25" ht="25.5">
      <c r="A1727" s="383">
        <v>4</v>
      </c>
      <c r="C1727" s="406"/>
      <c r="D1727" s="407"/>
      <c r="E1727" s="407"/>
      <c r="F1727" s="407"/>
      <c r="G1727" s="407"/>
      <c r="H1727" s="407"/>
      <c r="I1727" s="408" t="s">
        <v>403</v>
      </c>
      <c r="J1727" s="409" t="str">
        <f t="shared" si="317"/>
        <v>A=(Ancho x Largo)* Cant</v>
      </c>
      <c r="K1727" s="410" t="str">
        <f>+K1726</f>
        <v>M2</v>
      </c>
      <c r="L1727" s="442">
        <f t="shared" si="322"/>
        <v>0.32000000000000006</v>
      </c>
      <c r="M1727" s="412"/>
      <c r="N1727" s="442">
        <f t="shared" si="323"/>
        <v>0.32000000000000006</v>
      </c>
      <c r="O1727" s="442"/>
      <c r="P1727" s="442">
        <f t="shared" si="320"/>
        <v>1</v>
      </c>
      <c r="Q1727" s="411"/>
      <c r="R1727" s="413">
        <f t="shared" si="321"/>
        <v>1</v>
      </c>
      <c r="S1727" s="414">
        <f>+HLOOKUP(A1727,[238]Hoja1!$2:$78,75,FALSE)</f>
        <v>0.32000000000000006</v>
      </c>
      <c r="X1727" s="458">
        <f t="shared" si="324"/>
        <v>0.32000000000000006</v>
      </c>
      <c r="Y1727" s="471">
        <f t="shared" si="325"/>
        <v>0.32000000000000006</v>
      </c>
    </row>
    <row r="1728" spans="1:25" ht="25.5">
      <c r="A1728" s="383">
        <v>5</v>
      </c>
      <c r="C1728" s="406"/>
      <c r="D1728" s="407"/>
      <c r="E1728" s="407"/>
      <c r="F1728" s="407"/>
      <c r="G1728" s="407"/>
      <c r="H1728" s="407"/>
      <c r="I1728" s="408" t="s">
        <v>405</v>
      </c>
      <c r="J1728" s="409" t="str">
        <f t="shared" si="317"/>
        <v>A=(Ancho x Largo)* Cant</v>
      </c>
      <c r="K1728" s="410" t="str">
        <f>+K1727</f>
        <v>M2</v>
      </c>
      <c r="L1728" s="442">
        <f t="shared" si="322"/>
        <v>0.32000000000000006</v>
      </c>
      <c r="M1728" s="412"/>
      <c r="N1728" s="442">
        <f t="shared" si="323"/>
        <v>0.32000000000000006</v>
      </c>
      <c r="O1728" s="442"/>
      <c r="P1728" s="442">
        <f t="shared" si="320"/>
        <v>1</v>
      </c>
      <c r="Q1728" s="411"/>
      <c r="R1728" s="413">
        <f t="shared" si="321"/>
        <v>1</v>
      </c>
      <c r="S1728" s="414">
        <f>+HLOOKUP(A1728,[238]Hoja1!$2:$78,75,FALSE)</f>
        <v>0.32000000000000006</v>
      </c>
      <c r="X1728" s="458">
        <f t="shared" si="324"/>
        <v>0.32000000000000006</v>
      </c>
      <c r="Y1728" s="471">
        <f t="shared" si="325"/>
        <v>0.32000000000000006</v>
      </c>
    </row>
    <row r="1729" spans="1:25" ht="25.5">
      <c r="A1729" s="383">
        <v>6</v>
      </c>
      <c r="C1729" s="406"/>
      <c r="D1729" s="407"/>
      <c r="E1729" s="407"/>
      <c r="F1729" s="407"/>
      <c r="G1729" s="407"/>
      <c r="H1729" s="407"/>
      <c r="I1729" s="408" t="s">
        <v>407</v>
      </c>
      <c r="J1729" s="409" t="str">
        <f t="shared" si="317"/>
        <v>A=(Ancho x Largo)* Cant</v>
      </c>
      <c r="K1729" s="410" t="str">
        <f>+K1728</f>
        <v>M2</v>
      </c>
      <c r="L1729" s="442">
        <f t="shared" si="322"/>
        <v>1.2189999999999999</v>
      </c>
      <c r="M1729" s="412"/>
      <c r="N1729" s="442">
        <f t="shared" si="323"/>
        <v>1.2189999999999999</v>
      </c>
      <c r="O1729" s="442"/>
      <c r="P1729" s="442">
        <f t="shared" si="320"/>
        <v>1</v>
      </c>
      <c r="Q1729" s="411"/>
      <c r="R1729" s="413">
        <f t="shared" si="321"/>
        <v>1</v>
      </c>
      <c r="S1729" s="414">
        <f>+HLOOKUP(A1729,[238]Hoja1!$2:$78,75,FALSE)</f>
        <v>1.2189999999999999</v>
      </c>
      <c r="X1729" s="458">
        <f>+L1729*P1729</f>
        <v>1.2189999999999999</v>
      </c>
      <c r="Y1729" s="471">
        <f>+X1729-Q1729</f>
        <v>1.2189999999999999</v>
      </c>
    </row>
    <row r="1730" spans="1:25" ht="25.5">
      <c r="A1730" s="383">
        <v>7</v>
      </c>
      <c r="C1730" s="406"/>
      <c r="D1730" s="407"/>
      <c r="E1730" s="407"/>
      <c r="F1730" s="407"/>
      <c r="G1730" s="407"/>
      <c r="H1730" s="407"/>
      <c r="I1730" s="408" t="s">
        <v>409</v>
      </c>
      <c r="J1730" s="409" t="str">
        <f t="shared" si="317"/>
        <v>A=(Ancho x Largo)* Cant</v>
      </c>
      <c r="K1730" s="410" t="str">
        <f>+K1724</f>
        <v>M2</v>
      </c>
      <c r="L1730" s="442" t="str">
        <f t="shared" si="322"/>
        <v/>
      </c>
      <c r="M1730" s="412"/>
      <c r="N1730" s="442" t="str">
        <f t="shared" si="323"/>
        <v/>
      </c>
      <c r="O1730" s="442"/>
      <c r="P1730" s="442" t="str">
        <f t="shared" si="320"/>
        <v/>
      </c>
      <c r="Q1730" s="411"/>
      <c r="R1730" s="413" t="str">
        <f t="shared" si="321"/>
        <v/>
      </c>
      <c r="S1730" s="414">
        <f>+HLOOKUP(A1730,[238]Hoja1!$2:$78,75,FALSE)</f>
        <v>0</v>
      </c>
      <c r="X1730" s="458" t="e">
        <f t="shared" ref="X1730:X1766" si="326">+L1730*P1730</f>
        <v>#VALUE!</v>
      </c>
      <c r="Y1730" s="471" t="e">
        <f t="shared" ref="Y1730:Y1766" si="327">+X1730-Q1730</f>
        <v>#VALUE!</v>
      </c>
    </row>
    <row r="1731" spans="1:25" ht="25.5">
      <c r="A1731" s="383">
        <v>8</v>
      </c>
      <c r="C1731" s="406"/>
      <c r="D1731" s="407"/>
      <c r="E1731" s="407"/>
      <c r="F1731" s="407"/>
      <c r="G1731" s="407"/>
      <c r="H1731" s="407"/>
      <c r="I1731" s="408" t="s">
        <v>411</v>
      </c>
      <c r="J1731" s="409" t="str">
        <f t="shared" si="317"/>
        <v>A=(Ancho x Largo)* Cant</v>
      </c>
      <c r="K1731" s="410" t="str">
        <f>+K1730</f>
        <v>M2</v>
      </c>
      <c r="L1731" s="442">
        <f t="shared" si="322"/>
        <v>1.2</v>
      </c>
      <c r="M1731" s="412"/>
      <c r="N1731" s="442">
        <f t="shared" si="323"/>
        <v>1.2</v>
      </c>
      <c r="O1731" s="442"/>
      <c r="P1731" s="442">
        <f t="shared" si="320"/>
        <v>1</v>
      </c>
      <c r="Q1731" s="411"/>
      <c r="R1731" s="413">
        <f t="shared" si="321"/>
        <v>1</v>
      </c>
      <c r="S1731" s="414">
        <f>+HLOOKUP(A1731,[238]Hoja1!$2:$78,75,FALSE)</f>
        <v>1.2</v>
      </c>
      <c r="X1731" s="458">
        <f t="shared" si="326"/>
        <v>1.2</v>
      </c>
      <c r="Y1731" s="471">
        <f t="shared" si="327"/>
        <v>1.2</v>
      </c>
    </row>
    <row r="1732" spans="1:25" ht="25.5">
      <c r="A1732" s="383">
        <v>9</v>
      </c>
      <c r="C1732" s="406"/>
      <c r="D1732" s="407"/>
      <c r="E1732" s="407"/>
      <c r="F1732" s="407"/>
      <c r="G1732" s="407"/>
      <c r="H1732" s="407"/>
      <c r="I1732" s="408" t="s">
        <v>412</v>
      </c>
      <c r="J1732" s="409" t="str">
        <f t="shared" si="317"/>
        <v>A=(Ancho x Largo)* Cant</v>
      </c>
      <c r="K1732" s="410" t="str">
        <f>+K1731</f>
        <v>M2</v>
      </c>
      <c r="L1732" s="442">
        <f t="shared" si="322"/>
        <v>0.32000000000000006</v>
      </c>
      <c r="M1732" s="412"/>
      <c r="N1732" s="442">
        <f t="shared" si="323"/>
        <v>0.32000000000000006</v>
      </c>
      <c r="O1732" s="442"/>
      <c r="P1732" s="442">
        <f t="shared" si="320"/>
        <v>1</v>
      </c>
      <c r="Q1732" s="411"/>
      <c r="R1732" s="413">
        <f t="shared" si="321"/>
        <v>1</v>
      </c>
      <c r="S1732" s="414">
        <f>+HLOOKUP(A1732,[238]Hoja1!$2:$78,75,FALSE)</f>
        <v>0.32000000000000006</v>
      </c>
      <c r="X1732" s="458">
        <f t="shared" si="326"/>
        <v>0.32000000000000006</v>
      </c>
      <c r="Y1732" s="471">
        <f t="shared" si="327"/>
        <v>0.32000000000000006</v>
      </c>
    </row>
    <row r="1733" spans="1:25" ht="25.5">
      <c r="A1733" s="383">
        <v>10</v>
      </c>
      <c r="C1733" s="406"/>
      <c r="D1733" s="407"/>
      <c r="E1733" s="407"/>
      <c r="F1733" s="407"/>
      <c r="G1733" s="407"/>
      <c r="H1733" s="407"/>
      <c r="I1733" s="408" t="s">
        <v>413</v>
      </c>
      <c r="J1733" s="409" t="str">
        <f t="shared" si="317"/>
        <v>A=(Ancho x Largo)* Cant</v>
      </c>
      <c r="K1733" s="410" t="str">
        <f>+K1732</f>
        <v>M2</v>
      </c>
      <c r="L1733" s="442" t="str">
        <f t="shared" si="322"/>
        <v/>
      </c>
      <c r="M1733" s="412"/>
      <c r="N1733" s="442" t="str">
        <f t="shared" si="323"/>
        <v/>
      </c>
      <c r="O1733" s="442"/>
      <c r="P1733" s="442" t="str">
        <f t="shared" si="320"/>
        <v/>
      </c>
      <c r="Q1733" s="411"/>
      <c r="R1733" s="413" t="str">
        <f t="shared" si="321"/>
        <v/>
      </c>
      <c r="S1733" s="414">
        <f>+HLOOKUP(A1733,[238]Hoja1!$2:$78,75,FALSE)</f>
        <v>0</v>
      </c>
      <c r="X1733" s="458" t="e">
        <f t="shared" si="326"/>
        <v>#VALUE!</v>
      </c>
      <c r="Y1733" s="471" t="e">
        <f t="shared" si="327"/>
        <v>#VALUE!</v>
      </c>
    </row>
    <row r="1734" spans="1:25" ht="25.5">
      <c r="A1734" s="383">
        <v>11</v>
      </c>
      <c r="C1734" s="406"/>
      <c r="D1734" s="407"/>
      <c r="E1734" s="407"/>
      <c r="F1734" s="407"/>
      <c r="G1734" s="407"/>
      <c r="H1734" s="407"/>
      <c r="I1734" s="408" t="s">
        <v>414</v>
      </c>
      <c r="J1734" s="409" t="str">
        <f t="shared" si="317"/>
        <v>A=(Ancho x Largo)* Cant</v>
      </c>
      <c r="K1734" s="410" t="str">
        <f>+K1733</f>
        <v>M2</v>
      </c>
      <c r="L1734" s="442" t="str">
        <f t="shared" si="322"/>
        <v/>
      </c>
      <c r="M1734" s="412"/>
      <c r="N1734" s="442" t="str">
        <f t="shared" si="323"/>
        <v/>
      </c>
      <c r="O1734" s="442"/>
      <c r="P1734" s="442" t="str">
        <f t="shared" si="320"/>
        <v/>
      </c>
      <c r="Q1734" s="411"/>
      <c r="R1734" s="413" t="str">
        <f t="shared" si="321"/>
        <v/>
      </c>
      <c r="S1734" s="414">
        <f>+HLOOKUP(A1734,[238]Hoja1!$2:$78,75,FALSE)</f>
        <v>0</v>
      </c>
      <c r="X1734" s="458" t="e">
        <f t="shared" si="326"/>
        <v>#VALUE!</v>
      </c>
      <c r="Y1734" s="471" t="e">
        <f t="shared" si="327"/>
        <v>#VALUE!</v>
      </c>
    </row>
    <row r="1735" spans="1:25" ht="25.5">
      <c r="A1735" s="383">
        <v>12</v>
      </c>
      <c r="C1735" s="406"/>
      <c r="D1735" s="407"/>
      <c r="E1735" s="407"/>
      <c r="F1735" s="407"/>
      <c r="G1735" s="407"/>
      <c r="H1735" s="407"/>
      <c r="I1735" s="408" t="s">
        <v>415</v>
      </c>
      <c r="J1735" s="409" t="str">
        <f t="shared" si="317"/>
        <v>A=(Ancho x Largo)* Cant</v>
      </c>
      <c r="K1735" s="410" t="str">
        <f>+K1729</f>
        <v>M2</v>
      </c>
      <c r="L1735" s="442" t="str">
        <f t="shared" si="322"/>
        <v/>
      </c>
      <c r="M1735" s="412"/>
      <c r="N1735" s="442" t="str">
        <f t="shared" si="323"/>
        <v/>
      </c>
      <c r="O1735" s="442"/>
      <c r="P1735" s="442" t="str">
        <f t="shared" si="320"/>
        <v/>
      </c>
      <c r="Q1735" s="411"/>
      <c r="R1735" s="413" t="str">
        <f t="shared" si="321"/>
        <v/>
      </c>
      <c r="S1735" s="414">
        <f>+HLOOKUP(A1735,[238]Hoja1!$2:$78,75,FALSE)</f>
        <v>0</v>
      </c>
      <c r="X1735" s="458" t="e">
        <f t="shared" si="326"/>
        <v>#VALUE!</v>
      </c>
      <c r="Y1735" s="471" t="e">
        <f t="shared" si="327"/>
        <v>#VALUE!</v>
      </c>
    </row>
    <row r="1736" spans="1:25" ht="25.5">
      <c r="A1736" s="383">
        <v>13</v>
      </c>
      <c r="C1736" s="406"/>
      <c r="D1736" s="407"/>
      <c r="E1736" s="407"/>
      <c r="F1736" s="407"/>
      <c r="G1736" s="407"/>
      <c r="H1736" s="407"/>
      <c r="I1736" s="408" t="s">
        <v>416</v>
      </c>
      <c r="J1736" s="409" t="str">
        <f t="shared" si="317"/>
        <v>A=(Ancho x Largo)* Cant</v>
      </c>
      <c r="K1736" s="410" t="str">
        <f>+K1731</f>
        <v>M2</v>
      </c>
      <c r="L1736" s="442" t="str">
        <f t="shared" si="322"/>
        <v/>
      </c>
      <c r="M1736" s="412"/>
      <c r="N1736" s="442" t="str">
        <f t="shared" si="323"/>
        <v/>
      </c>
      <c r="O1736" s="442"/>
      <c r="P1736" s="442" t="str">
        <f t="shared" si="320"/>
        <v/>
      </c>
      <c r="Q1736" s="411"/>
      <c r="R1736" s="413" t="str">
        <f t="shared" si="321"/>
        <v/>
      </c>
      <c r="S1736" s="414">
        <f>+HLOOKUP(A1736,[238]Hoja1!$2:$78,75,FALSE)</f>
        <v>0</v>
      </c>
      <c r="X1736" s="458" t="e">
        <f t="shared" si="326"/>
        <v>#VALUE!</v>
      </c>
      <c r="Y1736" s="471" t="e">
        <f t="shared" si="327"/>
        <v>#VALUE!</v>
      </c>
    </row>
    <row r="1737" spans="1:25" ht="25.5">
      <c r="A1737" s="383">
        <v>14</v>
      </c>
      <c r="C1737" s="406"/>
      <c r="D1737" s="407"/>
      <c r="E1737" s="407"/>
      <c r="F1737" s="407"/>
      <c r="G1737" s="407"/>
      <c r="H1737" s="407"/>
      <c r="I1737" s="408" t="s">
        <v>417</v>
      </c>
      <c r="J1737" s="409" t="str">
        <f t="shared" si="317"/>
        <v>A=(Ancho x Largo)* Cant</v>
      </c>
      <c r="K1737" s="410" t="str">
        <f t="shared" ref="K1737:K1748" si="328">+K1736</f>
        <v>M2</v>
      </c>
      <c r="L1737" s="442">
        <f t="shared" si="322"/>
        <v>0.32000000000000006</v>
      </c>
      <c r="M1737" s="412"/>
      <c r="N1737" s="442">
        <f t="shared" si="323"/>
        <v>0.32000000000000006</v>
      </c>
      <c r="O1737" s="442"/>
      <c r="P1737" s="442">
        <f t="shared" si="320"/>
        <v>1</v>
      </c>
      <c r="Q1737" s="411"/>
      <c r="R1737" s="413">
        <f t="shared" si="321"/>
        <v>1</v>
      </c>
      <c r="S1737" s="414">
        <f>+HLOOKUP(A1737,[238]Hoja1!$2:$78,75,FALSE)</f>
        <v>0.32000000000000006</v>
      </c>
      <c r="X1737" s="458">
        <f t="shared" si="326"/>
        <v>0.32000000000000006</v>
      </c>
      <c r="Y1737" s="471">
        <f t="shared" si="327"/>
        <v>0.32000000000000006</v>
      </c>
    </row>
    <row r="1738" spans="1:25" ht="25.5">
      <c r="A1738" s="383">
        <v>15</v>
      </c>
      <c r="C1738" s="406"/>
      <c r="D1738" s="407"/>
      <c r="E1738" s="407"/>
      <c r="F1738" s="407"/>
      <c r="G1738" s="407"/>
      <c r="H1738" s="407"/>
      <c r="I1738" s="408" t="s">
        <v>418</v>
      </c>
      <c r="J1738" s="409" t="str">
        <f t="shared" si="317"/>
        <v>A=(Ancho x Largo)* Cant</v>
      </c>
      <c r="K1738" s="410" t="str">
        <f t="shared" si="328"/>
        <v>M2</v>
      </c>
      <c r="L1738" s="442" t="str">
        <f t="shared" si="322"/>
        <v/>
      </c>
      <c r="M1738" s="412"/>
      <c r="N1738" s="442" t="str">
        <f t="shared" si="323"/>
        <v/>
      </c>
      <c r="O1738" s="442"/>
      <c r="P1738" s="442" t="str">
        <f t="shared" si="320"/>
        <v/>
      </c>
      <c r="Q1738" s="411"/>
      <c r="R1738" s="413" t="str">
        <f t="shared" si="321"/>
        <v/>
      </c>
      <c r="S1738" s="414">
        <f>+HLOOKUP(A1738,[238]Hoja1!$2:$78,75,FALSE)</f>
        <v>0</v>
      </c>
      <c r="X1738" s="458" t="e">
        <f t="shared" si="326"/>
        <v>#VALUE!</v>
      </c>
      <c r="Y1738" s="471" t="e">
        <f t="shared" si="327"/>
        <v>#VALUE!</v>
      </c>
    </row>
    <row r="1739" spans="1:25" ht="25.5">
      <c r="A1739" s="383">
        <v>16</v>
      </c>
      <c r="C1739" s="406"/>
      <c r="D1739" s="407"/>
      <c r="E1739" s="407"/>
      <c r="F1739" s="407"/>
      <c r="G1739" s="407"/>
      <c r="H1739" s="407"/>
      <c r="I1739" s="408" t="s">
        <v>419</v>
      </c>
      <c r="J1739" s="409" t="str">
        <f t="shared" si="317"/>
        <v>A=(Ancho x Largo)* Cant</v>
      </c>
      <c r="K1739" s="410" t="str">
        <f t="shared" si="328"/>
        <v>M2</v>
      </c>
      <c r="L1739" s="442">
        <f t="shared" si="322"/>
        <v>1.2</v>
      </c>
      <c r="M1739" s="412"/>
      <c r="N1739" s="442">
        <f t="shared" si="323"/>
        <v>1.2</v>
      </c>
      <c r="O1739" s="442"/>
      <c r="P1739" s="442">
        <f t="shared" si="320"/>
        <v>1</v>
      </c>
      <c r="Q1739" s="411"/>
      <c r="R1739" s="413">
        <f t="shared" si="321"/>
        <v>1</v>
      </c>
      <c r="S1739" s="414">
        <f>+HLOOKUP(A1739,[238]Hoja1!$2:$78,75,FALSE)</f>
        <v>1.2</v>
      </c>
      <c r="X1739" s="458">
        <f t="shared" si="326"/>
        <v>1.2</v>
      </c>
      <c r="Y1739" s="471">
        <f t="shared" si="327"/>
        <v>1.2</v>
      </c>
    </row>
    <row r="1740" spans="1:25" ht="25.5">
      <c r="A1740" s="383">
        <v>17</v>
      </c>
      <c r="C1740" s="406"/>
      <c r="D1740" s="407"/>
      <c r="E1740" s="407"/>
      <c r="F1740" s="407"/>
      <c r="G1740" s="407"/>
      <c r="H1740" s="407"/>
      <c r="I1740" s="408" t="s">
        <v>420</v>
      </c>
      <c r="J1740" s="409" t="str">
        <f t="shared" si="317"/>
        <v>A=(Ancho x Largo)* Cant</v>
      </c>
      <c r="K1740" s="410" t="str">
        <f t="shared" si="328"/>
        <v>M2</v>
      </c>
      <c r="L1740" s="442" t="str">
        <f t="shared" si="322"/>
        <v/>
      </c>
      <c r="M1740" s="412"/>
      <c r="N1740" s="442" t="str">
        <f t="shared" si="323"/>
        <v/>
      </c>
      <c r="O1740" s="442"/>
      <c r="P1740" s="442" t="str">
        <f t="shared" si="320"/>
        <v/>
      </c>
      <c r="Q1740" s="411"/>
      <c r="R1740" s="413" t="str">
        <f t="shared" si="321"/>
        <v/>
      </c>
      <c r="S1740" s="414">
        <f>+HLOOKUP(A1740,[238]Hoja1!$2:$78,75,FALSE)</f>
        <v>0</v>
      </c>
      <c r="V1740" s="383" t="e">
        <f>+P1740*O1740*N1740</f>
        <v>#VALUE!</v>
      </c>
      <c r="X1740" s="458" t="e">
        <f t="shared" si="326"/>
        <v>#VALUE!</v>
      </c>
      <c r="Y1740" s="471" t="e">
        <f t="shared" si="327"/>
        <v>#VALUE!</v>
      </c>
    </row>
    <row r="1741" spans="1:25" ht="25.5">
      <c r="A1741" s="383">
        <v>18</v>
      </c>
      <c r="C1741" s="406"/>
      <c r="D1741" s="407"/>
      <c r="E1741" s="407"/>
      <c r="F1741" s="407"/>
      <c r="G1741" s="407"/>
      <c r="H1741" s="407"/>
      <c r="I1741" s="408" t="s">
        <v>429</v>
      </c>
      <c r="J1741" s="409" t="str">
        <f t="shared" si="317"/>
        <v>A=(Ancho x Largo)* Cant</v>
      </c>
      <c r="K1741" s="410" t="str">
        <f t="shared" si="328"/>
        <v>M2</v>
      </c>
      <c r="L1741" s="442">
        <f t="shared" si="322"/>
        <v>1.2189999999999999</v>
      </c>
      <c r="M1741" s="412"/>
      <c r="N1741" s="442">
        <f t="shared" si="323"/>
        <v>1.2189999999999999</v>
      </c>
      <c r="O1741" s="442"/>
      <c r="P1741" s="442">
        <f t="shared" si="320"/>
        <v>1</v>
      </c>
      <c r="Q1741" s="411"/>
      <c r="R1741" s="413">
        <f t="shared" si="321"/>
        <v>1</v>
      </c>
      <c r="S1741" s="414">
        <f>+HLOOKUP(A1741,[238]Hoja1!$2:$78,75,FALSE)</f>
        <v>1.2189999999999999</v>
      </c>
      <c r="X1741" s="458">
        <f t="shared" si="326"/>
        <v>1.2189999999999999</v>
      </c>
      <c r="Y1741" s="471">
        <f t="shared" si="327"/>
        <v>1.2189999999999999</v>
      </c>
    </row>
    <row r="1742" spans="1:25" ht="25.5">
      <c r="A1742" s="383">
        <v>19</v>
      </c>
      <c r="C1742" s="406"/>
      <c r="D1742" s="407"/>
      <c r="E1742" s="407"/>
      <c r="F1742" s="407"/>
      <c r="G1742" s="407"/>
      <c r="H1742" s="407"/>
      <c r="I1742" s="408" t="s">
        <v>430</v>
      </c>
      <c r="J1742" s="409" t="str">
        <f t="shared" si="317"/>
        <v>A=(Ancho x Largo)* Cant</v>
      </c>
      <c r="K1742" s="410" t="str">
        <f t="shared" si="328"/>
        <v>M2</v>
      </c>
      <c r="L1742" s="442">
        <f t="shared" si="322"/>
        <v>0.32000000000000006</v>
      </c>
      <c r="M1742" s="412"/>
      <c r="N1742" s="442">
        <f t="shared" si="323"/>
        <v>0.32000000000000006</v>
      </c>
      <c r="O1742" s="442"/>
      <c r="P1742" s="442">
        <f t="shared" si="320"/>
        <v>1</v>
      </c>
      <c r="Q1742" s="411"/>
      <c r="R1742" s="413">
        <f t="shared" si="321"/>
        <v>1</v>
      </c>
      <c r="S1742" s="414">
        <f>+HLOOKUP(A1742,[238]Hoja1!$2:$78,75,FALSE)</f>
        <v>0.32000000000000006</v>
      </c>
      <c r="X1742" s="458">
        <f t="shared" si="326"/>
        <v>0.32000000000000006</v>
      </c>
      <c r="Y1742" s="471">
        <f t="shared" si="327"/>
        <v>0.32000000000000006</v>
      </c>
    </row>
    <row r="1743" spans="1:25" ht="25.5">
      <c r="A1743" s="383">
        <v>20</v>
      </c>
      <c r="C1743" s="406"/>
      <c r="D1743" s="407"/>
      <c r="E1743" s="407"/>
      <c r="F1743" s="407"/>
      <c r="G1743" s="407"/>
      <c r="H1743" s="407"/>
      <c r="I1743" s="408" t="s">
        <v>431</v>
      </c>
      <c r="J1743" s="409" t="str">
        <f t="shared" si="317"/>
        <v>A=(Ancho x Largo)* Cant</v>
      </c>
      <c r="K1743" s="410" t="str">
        <f t="shared" si="328"/>
        <v>M2</v>
      </c>
      <c r="L1743" s="442">
        <f t="shared" si="322"/>
        <v>1.2</v>
      </c>
      <c r="M1743" s="412"/>
      <c r="N1743" s="442">
        <f t="shared" si="323"/>
        <v>1.2</v>
      </c>
      <c r="O1743" s="442"/>
      <c r="P1743" s="442">
        <f t="shared" si="320"/>
        <v>1</v>
      </c>
      <c r="Q1743" s="411"/>
      <c r="R1743" s="413">
        <f t="shared" si="321"/>
        <v>1</v>
      </c>
      <c r="S1743" s="414">
        <f>+HLOOKUP(A1743,[238]Hoja1!$2:$78,75,FALSE)</f>
        <v>1.2</v>
      </c>
      <c r="X1743" s="458">
        <f t="shared" si="326"/>
        <v>1.2</v>
      </c>
      <c r="Y1743" s="471">
        <f t="shared" si="327"/>
        <v>1.2</v>
      </c>
    </row>
    <row r="1744" spans="1:25" ht="25.5">
      <c r="A1744" s="383">
        <v>21</v>
      </c>
      <c r="C1744" s="406"/>
      <c r="D1744" s="407"/>
      <c r="E1744" s="407"/>
      <c r="F1744" s="407"/>
      <c r="G1744" s="407"/>
      <c r="H1744" s="407"/>
      <c r="I1744" s="408" t="s">
        <v>432</v>
      </c>
      <c r="J1744" s="409" t="str">
        <f t="shared" si="317"/>
        <v>A=(Ancho x Largo)* Cant</v>
      </c>
      <c r="K1744" s="410" t="str">
        <f t="shared" si="328"/>
        <v>M2</v>
      </c>
      <c r="L1744" s="442" t="str">
        <f t="shared" si="322"/>
        <v/>
      </c>
      <c r="M1744" s="412"/>
      <c r="N1744" s="442" t="str">
        <f t="shared" si="323"/>
        <v/>
      </c>
      <c r="O1744" s="442"/>
      <c r="P1744" s="442" t="str">
        <f t="shared" si="320"/>
        <v/>
      </c>
      <c r="Q1744" s="411"/>
      <c r="R1744" s="413" t="str">
        <f t="shared" si="321"/>
        <v/>
      </c>
      <c r="S1744" s="414">
        <f>+HLOOKUP(A1744,[238]Hoja1!$2:$78,75,FALSE)</f>
        <v>0</v>
      </c>
      <c r="X1744" s="458" t="e">
        <f t="shared" si="326"/>
        <v>#VALUE!</v>
      </c>
      <c r="Y1744" s="471" t="e">
        <f t="shared" si="327"/>
        <v>#VALUE!</v>
      </c>
    </row>
    <row r="1745" spans="1:25" ht="25.5">
      <c r="A1745" s="383">
        <v>22</v>
      </c>
      <c r="C1745" s="406"/>
      <c r="D1745" s="407"/>
      <c r="E1745" s="407"/>
      <c r="F1745" s="407"/>
      <c r="G1745" s="407"/>
      <c r="H1745" s="407"/>
      <c r="I1745" s="408" t="s">
        <v>433</v>
      </c>
      <c r="J1745" s="409" t="str">
        <f t="shared" si="317"/>
        <v>A=(Ancho x Largo)* Cant</v>
      </c>
      <c r="K1745" s="410" t="str">
        <f t="shared" si="328"/>
        <v>M2</v>
      </c>
      <c r="L1745" s="442">
        <f t="shared" si="322"/>
        <v>0.32000000000000006</v>
      </c>
      <c r="M1745" s="412"/>
      <c r="N1745" s="442">
        <f t="shared" si="323"/>
        <v>0.32000000000000006</v>
      </c>
      <c r="O1745" s="442"/>
      <c r="P1745" s="442">
        <f t="shared" si="320"/>
        <v>1</v>
      </c>
      <c r="Q1745" s="411"/>
      <c r="R1745" s="413">
        <f t="shared" si="321"/>
        <v>1</v>
      </c>
      <c r="S1745" s="414">
        <f>+HLOOKUP(A1745,[238]Hoja1!$2:$78,75,FALSE)</f>
        <v>0.32000000000000006</v>
      </c>
      <c r="X1745" s="458">
        <f t="shared" si="326"/>
        <v>0.32000000000000006</v>
      </c>
      <c r="Y1745" s="471">
        <f t="shared" si="327"/>
        <v>0.32000000000000006</v>
      </c>
    </row>
    <row r="1746" spans="1:25" ht="25.5">
      <c r="A1746" s="383">
        <v>23</v>
      </c>
      <c r="C1746" s="406"/>
      <c r="D1746" s="407"/>
      <c r="E1746" s="407"/>
      <c r="F1746" s="407"/>
      <c r="G1746" s="407"/>
      <c r="H1746" s="407"/>
      <c r="I1746" s="408" t="s">
        <v>434</v>
      </c>
      <c r="J1746" s="409" t="str">
        <f t="shared" si="317"/>
        <v>A=(Ancho x Largo)* Cant</v>
      </c>
      <c r="K1746" s="410" t="str">
        <f t="shared" si="328"/>
        <v>M2</v>
      </c>
      <c r="L1746" s="442" t="str">
        <f t="shared" si="322"/>
        <v/>
      </c>
      <c r="M1746" s="412"/>
      <c r="N1746" s="442" t="str">
        <f t="shared" si="323"/>
        <v/>
      </c>
      <c r="O1746" s="442"/>
      <c r="P1746" s="442" t="str">
        <f t="shared" si="320"/>
        <v/>
      </c>
      <c r="Q1746" s="411"/>
      <c r="R1746" s="413" t="str">
        <f t="shared" si="321"/>
        <v/>
      </c>
      <c r="S1746" s="414">
        <f>+HLOOKUP(A1746,[238]Hoja1!$2:$78,75,FALSE)</f>
        <v>0</v>
      </c>
      <c r="X1746" s="458" t="e">
        <f t="shared" si="326"/>
        <v>#VALUE!</v>
      </c>
      <c r="Y1746" s="471" t="e">
        <f t="shared" si="327"/>
        <v>#VALUE!</v>
      </c>
    </row>
    <row r="1747" spans="1:25" ht="25.5">
      <c r="A1747" s="383">
        <v>24</v>
      </c>
      <c r="C1747" s="406"/>
      <c r="D1747" s="407"/>
      <c r="E1747" s="407"/>
      <c r="F1747" s="407"/>
      <c r="G1747" s="407"/>
      <c r="H1747" s="407"/>
      <c r="I1747" s="408" t="s">
        <v>435</v>
      </c>
      <c r="J1747" s="409" t="str">
        <f t="shared" si="317"/>
        <v>A=(Ancho x Largo)* Cant</v>
      </c>
      <c r="K1747" s="410" t="str">
        <f t="shared" si="328"/>
        <v>M2</v>
      </c>
      <c r="L1747" s="442" t="str">
        <f t="shared" si="322"/>
        <v/>
      </c>
      <c r="M1747" s="412"/>
      <c r="N1747" s="442" t="str">
        <f t="shared" si="323"/>
        <v/>
      </c>
      <c r="O1747" s="442"/>
      <c r="P1747" s="442" t="str">
        <f t="shared" si="320"/>
        <v/>
      </c>
      <c r="Q1747" s="411"/>
      <c r="R1747" s="413" t="str">
        <f t="shared" si="321"/>
        <v/>
      </c>
      <c r="S1747" s="414">
        <f>+HLOOKUP(A1747,[238]Hoja1!$2:$78,75,FALSE)</f>
        <v>0</v>
      </c>
      <c r="X1747" s="458" t="e">
        <f t="shared" si="326"/>
        <v>#VALUE!</v>
      </c>
      <c r="Y1747" s="471" t="e">
        <f t="shared" si="327"/>
        <v>#VALUE!</v>
      </c>
    </row>
    <row r="1748" spans="1:25" ht="25.5">
      <c r="A1748" s="383">
        <v>25</v>
      </c>
      <c r="C1748" s="406"/>
      <c r="D1748" s="407"/>
      <c r="E1748" s="407"/>
      <c r="F1748" s="407"/>
      <c r="G1748" s="407"/>
      <c r="H1748" s="407"/>
      <c r="I1748" s="408" t="s">
        <v>436</v>
      </c>
      <c r="J1748" s="409" t="str">
        <f t="shared" si="317"/>
        <v>A=(Ancho x Largo)* Cant</v>
      </c>
      <c r="K1748" s="410" t="str">
        <f t="shared" si="328"/>
        <v>M2</v>
      </c>
      <c r="L1748" s="442">
        <f t="shared" si="322"/>
        <v>2.907</v>
      </c>
      <c r="M1748" s="412"/>
      <c r="N1748" s="442">
        <f t="shared" si="323"/>
        <v>2.907</v>
      </c>
      <c r="O1748" s="442"/>
      <c r="P1748" s="442">
        <f t="shared" si="320"/>
        <v>1</v>
      </c>
      <c r="Q1748" s="411"/>
      <c r="R1748" s="413">
        <f t="shared" si="321"/>
        <v>1</v>
      </c>
      <c r="S1748" s="414">
        <f>+HLOOKUP(A1748,[238]Hoja1!$2:$78,75,FALSE)</f>
        <v>2.907</v>
      </c>
      <c r="X1748" s="458">
        <f t="shared" si="326"/>
        <v>2.907</v>
      </c>
      <c r="Y1748" s="471">
        <f t="shared" si="327"/>
        <v>2.907</v>
      </c>
    </row>
    <row r="1749" spans="1:25" ht="25.5">
      <c r="A1749" s="383">
        <v>26</v>
      </c>
      <c r="C1749" s="406"/>
      <c r="D1749" s="407"/>
      <c r="E1749" s="407"/>
      <c r="F1749" s="407"/>
      <c r="G1749" s="407"/>
      <c r="H1749" s="407"/>
      <c r="I1749" s="408" t="s">
        <v>437</v>
      </c>
      <c r="J1749" s="409" t="str">
        <f t="shared" si="317"/>
        <v>A=(Ancho x Largo)* Cant</v>
      </c>
      <c r="K1749" s="410" t="str">
        <f>+K1738</f>
        <v>M2</v>
      </c>
      <c r="L1749" s="442" t="str">
        <f t="shared" si="322"/>
        <v/>
      </c>
      <c r="M1749" s="412"/>
      <c r="N1749" s="442" t="str">
        <f t="shared" si="323"/>
        <v/>
      </c>
      <c r="O1749" s="442"/>
      <c r="P1749" s="442" t="str">
        <f t="shared" si="320"/>
        <v/>
      </c>
      <c r="Q1749" s="411"/>
      <c r="R1749" s="413" t="str">
        <f t="shared" si="321"/>
        <v/>
      </c>
      <c r="S1749" s="414">
        <f>+HLOOKUP(A1749,[238]Hoja1!$2:$78,75,FALSE)</f>
        <v>0</v>
      </c>
      <c r="X1749" s="458" t="e">
        <f t="shared" si="326"/>
        <v>#VALUE!</v>
      </c>
      <c r="Y1749" s="471" t="e">
        <f t="shared" si="327"/>
        <v>#VALUE!</v>
      </c>
    </row>
    <row r="1750" spans="1:25" ht="25.5">
      <c r="A1750" s="383">
        <v>27</v>
      </c>
      <c r="C1750" s="406"/>
      <c r="D1750" s="407"/>
      <c r="E1750" s="407"/>
      <c r="F1750" s="407"/>
      <c r="G1750" s="407"/>
      <c r="H1750" s="407"/>
      <c r="I1750" s="408" t="s">
        <v>438</v>
      </c>
      <c r="J1750" s="409" t="str">
        <f t="shared" si="317"/>
        <v>A=(Ancho x Largo)* Cant</v>
      </c>
      <c r="K1750" s="410" t="str">
        <f t="shared" ref="K1750:K1758" si="329">+K1749</f>
        <v>M2</v>
      </c>
      <c r="L1750" s="442">
        <f t="shared" si="322"/>
        <v>0.32000000000000006</v>
      </c>
      <c r="M1750" s="412"/>
      <c r="N1750" s="442">
        <f t="shared" si="323"/>
        <v>0.32000000000000006</v>
      </c>
      <c r="O1750" s="442"/>
      <c r="P1750" s="442">
        <f t="shared" si="320"/>
        <v>1</v>
      </c>
      <c r="Q1750" s="411"/>
      <c r="R1750" s="413">
        <f t="shared" si="321"/>
        <v>1</v>
      </c>
      <c r="S1750" s="414">
        <f>+HLOOKUP(A1750,[238]Hoja1!$2:$78,75,FALSE)</f>
        <v>0.32000000000000006</v>
      </c>
      <c r="X1750" s="458">
        <f t="shared" si="326"/>
        <v>0.32000000000000006</v>
      </c>
      <c r="Y1750" s="471">
        <f t="shared" si="327"/>
        <v>0.32000000000000006</v>
      </c>
    </row>
    <row r="1751" spans="1:25" ht="25.5">
      <c r="A1751" s="383">
        <v>28</v>
      </c>
      <c r="C1751" s="406"/>
      <c r="D1751" s="440"/>
      <c r="E1751" s="407"/>
      <c r="F1751" s="407"/>
      <c r="G1751" s="407"/>
      <c r="H1751" s="437"/>
      <c r="I1751" s="408" t="s">
        <v>439</v>
      </c>
      <c r="J1751" s="409" t="str">
        <f t="shared" si="317"/>
        <v>A=(Ancho x Largo)* Cant</v>
      </c>
      <c r="K1751" s="410" t="str">
        <f t="shared" si="329"/>
        <v>M2</v>
      </c>
      <c r="L1751" s="442">
        <f t="shared" si="322"/>
        <v>2.44</v>
      </c>
      <c r="M1751" s="412"/>
      <c r="N1751" s="442">
        <f t="shared" si="323"/>
        <v>2.44</v>
      </c>
      <c r="O1751" s="442"/>
      <c r="P1751" s="442">
        <f t="shared" si="320"/>
        <v>1</v>
      </c>
      <c r="Q1751" s="411"/>
      <c r="R1751" s="413">
        <f t="shared" si="321"/>
        <v>1</v>
      </c>
      <c r="S1751" s="414">
        <f>+HLOOKUP(A1751,[238]Hoja1!$2:$78,75,FALSE)</f>
        <v>2.44</v>
      </c>
      <c r="X1751" s="458">
        <f t="shared" si="326"/>
        <v>2.44</v>
      </c>
      <c r="Y1751" s="471">
        <f t="shared" si="327"/>
        <v>2.44</v>
      </c>
    </row>
    <row r="1752" spans="1:25" ht="25.5">
      <c r="A1752" s="383">
        <v>29</v>
      </c>
      <c r="C1752" s="406"/>
      <c r="D1752" s="407"/>
      <c r="E1752" s="407"/>
      <c r="F1752" s="407"/>
      <c r="G1752" s="407"/>
      <c r="H1752" s="407"/>
      <c r="I1752" s="408" t="s">
        <v>440</v>
      </c>
      <c r="J1752" s="409" t="str">
        <f t="shared" si="317"/>
        <v>A=(Ancho x Largo)* Cant</v>
      </c>
      <c r="K1752" s="410" t="str">
        <f t="shared" si="329"/>
        <v>M2</v>
      </c>
      <c r="L1752" s="442">
        <f t="shared" si="322"/>
        <v>2.4</v>
      </c>
      <c r="M1752" s="412"/>
      <c r="N1752" s="442">
        <f t="shared" si="323"/>
        <v>2.4</v>
      </c>
      <c r="O1752" s="442"/>
      <c r="P1752" s="442">
        <f t="shared" si="320"/>
        <v>1</v>
      </c>
      <c r="Q1752" s="411"/>
      <c r="R1752" s="413">
        <f t="shared" si="321"/>
        <v>1</v>
      </c>
      <c r="S1752" s="414">
        <f>+HLOOKUP(A1752,[238]Hoja1!$2:$78,75,FALSE)</f>
        <v>2.4</v>
      </c>
      <c r="X1752" s="458">
        <f t="shared" si="326"/>
        <v>2.4</v>
      </c>
      <c r="Y1752" s="471">
        <f t="shared" si="327"/>
        <v>2.4</v>
      </c>
    </row>
    <row r="1753" spans="1:25" ht="25.5">
      <c r="A1753" s="383">
        <v>30</v>
      </c>
      <c r="C1753" s="406"/>
      <c r="D1753" s="407"/>
      <c r="E1753" s="407"/>
      <c r="F1753" s="407"/>
      <c r="G1753" s="407"/>
      <c r="H1753" s="407"/>
      <c r="I1753" s="408" t="s">
        <v>441</v>
      </c>
      <c r="J1753" s="409" t="str">
        <f t="shared" si="317"/>
        <v>A=(Ancho x Largo)* Cant</v>
      </c>
      <c r="K1753" s="410" t="str">
        <f t="shared" si="329"/>
        <v>M2</v>
      </c>
      <c r="L1753" s="442">
        <f t="shared" si="322"/>
        <v>1.2</v>
      </c>
      <c r="M1753" s="412"/>
      <c r="N1753" s="442">
        <f t="shared" si="323"/>
        <v>1.2</v>
      </c>
      <c r="O1753" s="442"/>
      <c r="P1753" s="442">
        <f t="shared" si="320"/>
        <v>1</v>
      </c>
      <c r="Q1753" s="411"/>
      <c r="R1753" s="413">
        <f t="shared" si="321"/>
        <v>1</v>
      </c>
      <c r="S1753" s="414">
        <f>+HLOOKUP(A1753,[238]Hoja1!$2:$78,75,FALSE)</f>
        <v>1.2</v>
      </c>
      <c r="X1753" s="458">
        <f t="shared" si="326"/>
        <v>1.2</v>
      </c>
      <c r="Y1753" s="471">
        <f t="shared" si="327"/>
        <v>1.2</v>
      </c>
    </row>
    <row r="1754" spans="1:25" ht="25.5">
      <c r="A1754" s="383">
        <v>31</v>
      </c>
      <c r="C1754" s="406"/>
      <c r="D1754" s="407"/>
      <c r="E1754" s="407"/>
      <c r="F1754" s="407"/>
      <c r="G1754" s="407"/>
      <c r="H1754" s="407"/>
      <c r="I1754" s="408" t="s">
        <v>442</v>
      </c>
      <c r="J1754" s="409" t="str">
        <f t="shared" si="317"/>
        <v>A=(Ancho x Largo)* Cant</v>
      </c>
      <c r="K1754" s="410" t="str">
        <f t="shared" si="329"/>
        <v>M2</v>
      </c>
      <c r="L1754" s="442" t="str">
        <f t="shared" si="322"/>
        <v/>
      </c>
      <c r="M1754" s="412"/>
      <c r="N1754" s="442" t="str">
        <f t="shared" si="323"/>
        <v/>
      </c>
      <c r="O1754" s="442"/>
      <c r="P1754" s="442" t="str">
        <f t="shared" si="320"/>
        <v/>
      </c>
      <c r="Q1754" s="411"/>
      <c r="R1754" s="413" t="str">
        <f t="shared" si="321"/>
        <v/>
      </c>
      <c r="S1754" s="414">
        <f>+HLOOKUP(A1754,[238]Hoja1!$2:$78,75,FALSE)</f>
        <v>0</v>
      </c>
      <c r="X1754" s="458" t="e">
        <f t="shared" si="326"/>
        <v>#VALUE!</v>
      </c>
      <c r="Y1754" s="471" t="e">
        <f t="shared" si="327"/>
        <v>#VALUE!</v>
      </c>
    </row>
    <row r="1755" spans="1:25" ht="25.5">
      <c r="A1755" s="383">
        <v>32</v>
      </c>
      <c r="C1755" s="406"/>
      <c r="D1755" s="407"/>
      <c r="E1755" s="407"/>
      <c r="F1755" s="407"/>
      <c r="G1755" s="407"/>
      <c r="H1755" s="407"/>
      <c r="I1755" s="408" t="s">
        <v>443</v>
      </c>
      <c r="J1755" s="409" t="str">
        <f t="shared" si="317"/>
        <v>A=(Ancho x Largo)* Cant</v>
      </c>
      <c r="K1755" s="410" t="str">
        <f t="shared" si="329"/>
        <v>M2</v>
      </c>
      <c r="L1755" s="442">
        <f t="shared" si="322"/>
        <v>1.2189999999999999</v>
      </c>
      <c r="M1755" s="412"/>
      <c r="N1755" s="442">
        <f t="shared" si="323"/>
        <v>1.2189999999999999</v>
      </c>
      <c r="O1755" s="442"/>
      <c r="P1755" s="442">
        <f t="shared" si="320"/>
        <v>1</v>
      </c>
      <c r="Q1755" s="411"/>
      <c r="R1755" s="413">
        <f t="shared" si="321"/>
        <v>1</v>
      </c>
      <c r="S1755" s="414">
        <f>+HLOOKUP(A1755,[238]Hoja1!$2:$78,75,FALSE)</f>
        <v>1.2189999999999999</v>
      </c>
      <c r="X1755" s="458">
        <f t="shared" si="326"/>
        <v>1.2189999999999999</v>
      </c>
      <c r="Y1755" s="471">
        <f t="shared" si="327"/>
        <v>1.2189999999999999</v>
      </c>
    </row>
    <row r="1756" spans="1:25" ht="25.5">
      <c r="A1756" s="383">
        <v>33</v>
      </c>
      <c r="C1756" s="406"/>
      <c r="D1756" s="407"/>
      <c r="E1756" s="407"/>
      <c r="F1756" s="407"/>
      <c r="G1756" s="407"/>
      <c r="H1756" s="407"/>
      <c r="I1756" s="408" t="s">
        <v>444</v>
      </c>
      <c r="J1756" s="409" t="str">
        <f t="shared" si="317"/>
        <v>A=(Ancho x Largo)* Cant</v>
      </c>
      <c r="K1756" s="410" t="str">
        <f t="shared" si="329"/>
        <v>M2</v>
      </c>
      <c r="L1756" s="442" t="str">
        <f t="shared" si="322"/>
        <v/>
      </c>
      <c r="M1756" s="412"/>
      <c r="N1756" s="442" t="str">
        <f t="shared" si="323"/>
        <v/>
      </c>
      <c r="O1756" s="442"/>
      <c r="P1756" s="442" t="str">
        <f t="shared" si="320"/>
        <v/>
      </c>
      <c r="Q1756" s="411"/>
      <c r="R1756" s="413" t="str">
        <f t="shared" si="321"/>
        <v/>
      </c>
      <c r="S1756" s="414">
        <f>+HLOOKUP(A1756,[238]Hoja1!$2:$78,75,FALSE)</f>
        <v>0</v>
      </c>
      <c r="X1756" s="458" t="e">
        <f t="shared" si="326"/>
        <v>#VALUE!</v>
      </c>
      <c r="Y1756" s="471" t="e">
        <f t="shared" si="327"/>
        <v>#VALUE!</v>
      </c>
    </row>
    <row r="1757" spans="1:25" ht="25.5">
      <c r="A1757" s="383">
        <v>34</v>
      </c>
      <c r="C1757" s="406"/>
      <c r="D1757" s="407"/>
      <c r="E1757" s="407"/>
      <c r="F1757" s="407"/>
      <c r="G1757" s="407"/>
      <c r="H1757" s="407"/>
      <c r="I1757" s="408" t="s">
        <v>445</v>
      </c>
      <c r="J1757" s="409" t="str">
        <f t="shared" si="317"/>
        <v>A=(Ancho x Largo)* Cant</v>
      </c>
      <c r="K1757" s="410" t="str">
        <f t="shared" si="329"/>
        <v>M2</v>
      </c>
      <c r="L1757" s="442" t="str">
        <f t="shared" si="322"/>
        <v/>
      </c>
      <c r="M1757" s="412"/>
      <c r="N1757" s="442" t="str">
        <f t="shared" si="323"/>
        <v/>
      </c>
      <c r="O1757" s="442"/>
      <c r="P1757" s="442" t="str">
        <f t="shared" si="320"/>
        <v/>
      </c>
      <c r="Q1757" s="411"/>
      <c r="R1757" s="413" t="str">
        <f t="shared" si="321"/>
        <v/>
      </c>
      <c r="S1757" s="414">
        <f>+HLOOKUP(A1757,[238]Hoja1!$2:$78,75,FALSE)</f>
        <v>0</v>
      </c>
      <c r="X1757" s="458" t="e">
        <f t="shared" si="326"/>
        <v>#VALUE!</v>
      </c>
      <c r="Y1757" s="471" t="e">
        <f t="shared" si="327"/>
        <v>#VALUE!</v>
      </c>
    </row>
    <row r="1758" spans="1:25" ht="25.5">
      <c r="A1758" s="383">
        <v>35</v>
      </c>
      <c r="C1758" s="406"/>
      <c r="D1758" s="440"/>
      <c r="E1758" s="407"/>
      <c r="F1758" s="407"/>
      <c r="G1758" s="407"/>
      <c r="H1758" s="437"/>
      <c r="I1758" s="408" t="s">
        <v>446</v>
      </c>
      <c r="J1758" s="409" t="str">
        <f t="shared" si="317"/>
        <v>A=(Ancho x Largo)* Cant</v>
      </c>
      <c r="K1758" s="410" t="str">
        <f t="shared" si="329"/>
        <v>M2</v>
      </c>
      <c r="L1758" s="442" t="str">
        <f t="shared" si="322"/>
        <v/>
      </c>
      <c r="M1758" s="412"/>
      <c r="N1758" s="442" t="str">
        <f t="shared" si="323"/>
        <v/>
      </c>
      <c r="O1758" s="442"/>
      <c r="P1758" s="442" t="str">
        <f t="shared" si="320"/>
        <v/>
      </c>
      <c r="Q1758" s="411"/>
      <c r="R1758" s="413" t="str">
        <f t="shared" si="321"/>
        <v/>
      </c>
      <c r="S1758" s="414">
        <f>+HLOOKUP(A1758,[238]Hoja1!$2:$78,75,FALSE)</f>
        <v>0</v>
      </c>
      <c r="X1758" s="458" t="e">
        <f t="shared" si="326"/>
        <v>#VALUE!</v>
      </c>
      <c r="Y1758" s="471" t="e">
        <f t="shared" si="327"/>
        <v>#VALUE!</v>
      </c>
    </row>
    <row r="1759" spans="1:25" ht="25.5">
      <c r="A1759" s="383">
        <v>36</v>
      </c>
      <c r="C1759" s="406"/>
      <c r="D1759" s="407"/>
      <c r="E1759" s="407"/>
      <c r="F1759" s="407"/>
      <c r="G1759" s="407"/>
      <c r="H1759" s="407"/>
      <c r="I1759" s="408" t="s">
        <v>447</v>
      </c>
      <c r="J1759" s="409" t="str">
        <f t="shared" si="317"/>
        <v>A=(Ancho x Largo)* Cant</v>
      </c>
      <c r="K1759" s="410" t="str">
        <f>+K1748</f>
        <v>M2</v>
      </c>
      <c r="L1759" s="442">
        <f t="shared" si="322"/>
        <v>1.2189999999999999</v>
      </c>
      <c r="M1759" s="412"/>
      <c r="N1759" s="442">
        <f t="shared" si="323"/>
        <v>1.2189999999999999</v>
      </c>
      <c r="O1759" s="442"/>
      <c r="P1759" s="442">
        <f t="shared" si="320"/>
        <v>1</v>
      </c>
      <c r="Q1759" s="411"/>
      <c r="R1759" s="413">
        <f t="shared" si="321"/>
        <v>1</v>
      </c>
      <c r="S1759" s="414">
        <f>+HLOOKUP(A1759,[238]Hoja1!$2:$78,75,FALSE)</f>
        <v>1.2189999999999999</v>
      </c>
      <c r="X1759" s="458">
        <f t="shared" si="326"/>
        <v>1.2189999999999999</v>
      </c>
      <c r="Y1759" s="471">
        <f t="shared" si="327"/>
        <v>1.2189999999999999</v>
      </c>
    </row>
    <row r="1760" spans="1:25" ht="25.5">
      <c r="A1760" s="383">
        <v>37</v>
      </c>
      <c r="C1760" s="406"/>
      <c r="D1760" s="407"/>
      <c r="E1760" s="407"/>
      <c r="F1760" s="407"/>
      <c r="G1760" s="407"/>
      <c r="H1760" s="407"/>
      <c r="I1760" s="408" t="s">
        <v>448</v>
      </c>
      <c r="J1760" s="409" t="str">
        <f t="shared" si="317"/>
        <v>A=(Ancho x Largo)* Cant</v>
      </c>
      <c r="K1760" s="410" t="str">
        <f t="shared" ref="K1760:K1766" si="330">+K1759</f>
        <v>M2</v>
      </c>
      <c r="L1760" s="442">
        <f t="shared" si="322"/>
        <v>1.2</v>
      </c>
      <c r="M1760" s="412"/>
      <c r="N1760" s="442">
        <f t="shared" si="323"/>
        <v>1.2</v>
      </c>
      <c r="O1760" s="442"/>
      <c r="P1760" s="442">
        <f t="shared" si="320"/>
        <v>1</v>
      </c>
      <c r="Q1760" s="411"/>
      <c r="R1760" s="413">
        <f t="shared" si="321"/>
        <v>1</v>
      </c>
      <c r="S1760" s="414">
        <f>+HLOOKUP(A1760,[238]Hoja1!$2:$78,75,FALSE)</f>
        <v>1.2</v>
      </c>
      <c r="X1760" s="458">
        <f t="shared" si="326"/>
        <v>1.2</v>
      </c>
      <c r="Y1760" s="471">
        <f t="shared" si="327"/>
        <v>1.2</v>
      </c>
    </row>
    <row r="1761" spans="1:25" ht="25.5">
      <c r="A1761" s="383">
        <v>38</v>
      </c>
      <c r="C1761" s="406"/>
      <c r="D1761" s="440"/>
      <c r="E1761" s="407"/>
      <c r="F1761" s="407"/>
      <c r="G1761" s="407"/>
      <c r="H1761" s="437"/>
      <c r="I1761" s="408" t="s">
        <v>449</v>
      </c>
      <c r="J1761" s="409" t="str">
        <f t="shared" si="317"/>
        <v>A=(Ancho x Largo)* Cant</v>
      </c>
      <c r="K1761" s="410" t="str">
        <f t="shared" si="330"/>
        <v>M2</v>
      </c>
      <c r="L1761" s="442" t="str">
        <f t="shared" si="322"/>
        <v/>
      </c>
      <c r="M1761" s="412"/>
      <c r="N1761" s="442" t="str">
        <f t="shared" si="323"/>
        <v/>
      </c>
      <c r="O1761" s="442"/>
      <c r="P1761" s="442" t="str">
        <f t="shared" si="320"/>
        <v/>
      </c>
      <c r="Q1761" s="411"/>
      <c r="R1761" s="413" t="str">
        <f t="shared" si="321"/>
        <v/>
      </c>
      <c r="S1761" s="414">
        <f>+HLOOKUP(A1761,[238]Hoja1!$2:$78,75,FALSE)</f>
        <v>0</v>
      </c>
      <c r="X1761" s="458" t="e">
        <f t="shared" si="326"/>
        <v>#VALUE!</v>
      </c>
      <c r="Y1761" s="471" t="e">
        <f t="shared" si="327"/>
        <v>#VALUE!</v>
      </c>
    </row>
    <row r="1762" spans="1:25" ht="25.5">
      <c r="A1762" s="383">
        <v>39</v>
      </c>
      <c r="C1762" s="406"/>
      <c r="D1762" s="407"/>
      <c r="E1762" s="407"/>
      <c r="F1762" s="407"/>
      <c r="G1762" s="407"/>
      <c r="H1762" s="407"/>
      <c r="I1762" s="408" t="s">
        <v>450</v>
      </c>
      <c r="J1762" s="409" t="str">
        <f t="shared" si="317"/>
        <v>A=(Ancho x Largo)* Cant</v>
      </c>
      <c r="K1762" s="410" t="str">
        <f t="shared" si="330"/>
        <v>M2</v>
      </c>
      <c r="L1762" s="442" t="str">
        <f t="shared" si="322"/>
        <v/>
      </c>
      <c r="M1762" s="412"/>
      <c r="N1762" s="442" t="str">
        <f t="shared" si="323"/>
        <v/>
      </c>
      <c r="O1762" s="442"/>
      <c r="P1762" s="442" t="str">
        <f t="shared" si="320"/>
        <v/>
      </c>
      <c r="Q1762" s="411"/>
      <c r="R1762" s="413" t="str">
        <f t="shared" si="321"/>
        <v/>
      </c>
      <c r="S1762" s="414">
        <f>+HLOOKUP(A1762,[238]Hoja1!$2:$78,75,FALSE)</f>
        <v>0</v>
      </c>
      <c r="X1762" s="458" t="e">
        <f t="shared" si="326"/>
        <v>#VALUE!</v>
      </c>
      <c r="Y1762" s="471" t="e">
        <f t="shared" si="327"/>
        <v>#VALUE!</v>
      </c>
    </row>
    <row r="1763" spans="1:25" ht="25.5">
      <c r="A1763" s="383">
        <v>40</v>
      </c>
      <c r="C1763" s="406"/>
      <c r="D1763" s="407"/>
      <c r="E1763" s="407"/>
      <c r="F1763" s="407"/>
      <c r="G1763" s="407"/>
      <c r="H1763" s="407"/>
      <c r="I1763" s="408" t="s">
        <v>451</v>
      </c>
      <c r="J1763" s="409" t="str">
        <f t="shared" si="317"/>
        <v>A=(Ancho x Largo)* Cant</v>
      </c>
      <c r="K1763" s="410" t="str">
        <f t="shared" si="330"/>
        <v>M2</v>
      </c>
      <c r="L1763" s="442">
        <f t="shared" si="322"/>
        <v>1.2189999999999999</v>
      </c>
      <c r="M1763" s="412"/>
      <c r="N1763" s="442">
        <f t="shared" si="323"/>
        <v>1.2189999999999999</v>
      </c>
      <c r="O1763" s="442"/>
      <c r="P1763" s="442">
        <f t="shared" si="320"/>
        <v>1</v>
      </c>
      <c r="Q1763" s="411"/>
      <c r="R1763" s="413">
        <f t="shared" si="321"/>
        <v>1</v>
      </c>
      <c r="S1763" s="414">
        <f>+HLOOKUP(A1763,[238]Hoja1!$2:$78,75,FALSE)</f>
        <v>1.2189999999999999</v>
      </c>
      <c r="X1763" s="458">
        <f t="shared" si="326"/>
        <v>1.2189999999999999</v>
      </c>
      <c r="Y1763" s="471">
        <f t="shared" si="327"/>
        <v>1.2189999999999999</v>
      </c>
    </row>
    <row r="1764" spans="1:25" ht="25.5">
      <c r="A1764" s="383">
        <v>41</v>
      </c>
      <c r="C1764" s="406"/>
      <c r="D1764" s="407"/>
      <c r="E1764" s="407"/>
      <c r="F1764" s="407"/>
      <c r="G1764" s="407"/>
      <c r="H1764" s="407"/>
      <c r="I1764" s="408" t="s">
        <v>452</v>
      </c>
      <c r="J1764" s="409" t="str">
        <f t="shared" si="317"/>
        <v>A=(Ancho x Largo)* Cant</v>
      </c>
      <c r="K1764" s="410" t="str">
        <f t="shared" si="330"/>
        <v>M2</v>
      </c>
      <c r="L1764" s="442">
        <f t="shared" si="322"/>
        <v>0.48</v>
      </c>
      <c r="M1764" s="412"/>
      <c r="N1764" s="442">
        <f t="shared" si="323"/>
        <v>0.48</v>
      </c>
      <c r="O1764" s="442"/>
      <c r="P1764" s="442">
        <f t="shared" si="320"/>
        <v>1</v>
      </c>
      <c r="Q1764" s="411"/>
      <c r="R1764" s="413">
        <f t="shared" si="321"/>
        <v>1</v>
      </c>
      <c r="S1764" s="414">
        <f>+HLOOKUP(A1764,[238]Hoja1!$2:$78,75,FALSE)</f>
        <v>0.48</v>
      </c>
      <c r="X1764" s="458">
        <f t="shared" si="326"/>
        <v>0.48</v>
      </c>
      <c r="Y1764" s="471">
        <f t="shared" si="327"/>
        <v>0.48</v>
      </c>
    </row>
    <row r="1765" spans="1:25" ht="25.5">
      <c r="A1765" s="383">
        <v>42</v>
      </c>
      <c r="C1765" s="406"/>
      <c r="D1765" s="407"/>
      <c r="E1765" s="407"/>
      <c r="F1765" s="407"/>
      <c r="G1765" s="407"/>
      <c r="H1765" s="407"/>
      <c r="I1765" s="408" t="s">
        <v>453</v>
      </c>
      <c r="J1765" s="409" t="str">
        <f t="shared" si="317"/>
        <v>A=(Ancho x Largo)* Cant</v>
      </c>
      <c r="K1765" s="410" t="str">
        <f t="shared" si="330"/>
        <v>M2</v>
      </c>
      <c r="L1765" s="442" t="str">
        <f t="shared" si="322"/>
        <v/>
      </c>
      <c r="M1765" s="412"/>
      <c r="N1765" s="442" t="str">
        <f t="shared" si="323"/>
        <v/>
      </c>
      <c r="O1765" s="442"/>
      <c r="P1765" s="442" t="str">
        <f t="shared" si="320"/>
        <v/>
      </c>
      <c r="Q1765" s="411"/>
      <c r="R1765" s="413" t="str">
        <f t="shared" si="321"/>
        <v/>
      </c>
      <c r="S1765" s="414">
        <f>+HLOOKUP(A1765,[238]Hoja1!$2:$78,75,FALSE)</f>
        <v>0</v>
      </c>
      <c r="X1765" s="458" t="e">
        <f t="shared" si="326"/>
        <v>#VALUE!</v>
      </c>
      <c r="Y1765" s="471" t="e">
        <f t="shared" si="327"/>
        <v>#VALUE!</v>
      </c>
    </row>
    <row r="1766" spans="1:25" ht="26.25" thickBot="1">
      <c r="A1766" s="383">
        <v>43</v>
      </c>
      <c r="C1766" s="406"/>
      <c r="D1766" s="407"/>
      <c r="E1766" s="407"/>
      <c r="F1766" s="407"/>
      <c r="G1766" s="407"/>
      <c r="H1766" s="407"/>
      <c r="I1766" s="408" t="s">
        <v>454</v>
      </c>
      <c r="J1766" s="409" t="str">
        <f t="shared" si="317"/>
        <v>A=(Ancho x Largo)* Cant</v>
      </c>
      <c r="K1766" s="410" t="str">
        <f t="shared" si="330"/>
        <v>M2</v>
      </c>
      <c r="L1766" s="442" t="str">
        <f t="shared" si="322"/>
        <v/>
      </c>
      <c r="M1766" s="412"/>
      <c r="N1766" s="442" t="str">
        <f t="shared" si="323"/>
        <v/>
      </c>
      <c r="O1766" s="442"/>
      <c r="P1766" s="442" t="str">
        <f t="shared" si="320"/>
        <v/>
      </c>
      <c r="Q1766" s="411"/>
      <c r="R1766" s="413" t="str">
        <f t="shared" si="321"/>
        <v/>
      </c>
      <c r="S1766" s="414">
        <f>+HLOOKUP(A1766,[238]Hoja1!$2:$78,75,FALSE)</f>
        <v>0</v>
      </c>
      <c r="X1766" s="458" t="e">
        <f t="shared" si="326"/>
        <v>#VALUE!</v>
      </c>
      <c r="Y1766" s="471" t="e">
        <f t="shared" si="327"/>
        <v>#VALUE!</v>
      </c>
    </row>
    <row r="1767" spans="1:25">
      <c r="C1767" s="384"/>
      <c r="D1767" s="419"/>
      <c r="E1767" s="420"/>
      <c r="F1767" s="421"/>
      <c r="G1767" s="421"/>
      <c r="H1767" s="421"/>
      <c r="I1767" s="421"/>
      <c r="J1767" s="422"/>
      <c r="K1767" s="421"/>
      <c r="L1767" s="421"/>
      <c r="M1767" s="421"/>
      <c r="N1767" s="421"/>
      <c r="O1767" s="421"/>
      <c r="P1767" s="421"/>
      <c r="Q1767" s="421"/>
      <c r="R1767" s="422"/>
      <c r="S1767" s="423"/>
    </row>
    <row r="1768" spans="1:25">
      <c r="C1768" s="396"/>
      <c r="D1768" s="397"/>
      <c r="E1768" s="424"/>
      <c r="F1768" s="425"/>
      <c r="G1768" s="425"/>
      <c r="H1768" s="425"/>
      <c r="I1768" s="425"/>
      <c r="J1768" s="398"/>
      <c r="K1768" s="425"/>
      <c r="L1768" s="425"/>
      <c r="M1768" s="397"/>
      <c r="N1768" s="397"/>
      <c r="O1768" s="562" t="s">
        <v>455</v>
      </c>
      <c r="P1768" s="563"/>
      <c r="Q1768" s="564"/>
      <c r="R1768" s="426"/>
      <c r="S1768" s="427">
        <f>ROUND(SUM(S1724:S1767),2)</f>
        <v>23.2</v>
      </c>
    </row>
    <row r="1769" spans="1:25">
      <c r="C1769" s="396"/>
      <c r="D1769" s="397"/>
      <c r="E1769" s="424"/>
      <c r="F1769" s="425"/>
      <c r="G1769" s="425"/>
      <c r="H1769" s="425"/>
      <c r="I1769" s="425"/>
      <c r="J1769" s="398"/>
      <c r="K1769" s="425"/>
      <c r="L1769" s="425"/>
      <c r="M1769" s="428"/>
      <c r="N1769" s="428"/>
      <c r="O1769" s="429"/>
      <c r="P1769" s="425"/>
      <c r="Q1769" s="425"/>
      <c r="R1769" s="430"/>
      <c r="S1769" s="431"/>
    </row>
    <row r="1770" spans="1:25">
      <c r="C1770" s="565" t="e">
        <v>#REF!</v>
      </c>
      <c r="D1770" s="566"/>
      <c r="E1770" s="566"/>
      <c r="F1770" s="566"/>
      <c r="G1770" s="566"/>
      <c r="H1770" s="566"/>
      <c r="I1770" s="566"/>
      <c r="J1770" s="566"/>
      <c r="K1770" s="566"/>
      <c r="L1770" s="566"/>
      <c r="M1770" s="566"/>
      <c r="N1770" s="567"/>
      <c r="O1770" s="568" t="s">
        <v>422</v>
      </c>
      <c r="P1770" s="568"/>
      <c r="Q1770" s="568"/>
      <c r="R1770" s="426"/>
      <c r="S1770" s="427">
        <f>S1768</f>
        <v>23.2</v>
      </c>
    </row>
    <row r="1771" spans="1:25">
      <c r="C1771" s="396"/>
      <c r="D1771" s="397"/>
      <c r="E1771" s="424"/>
      <c r="F1771" s="425"/>
      <c r="G1771" s="425"/>
      <c r="H1771" s="425"/>
      <c r="I1771" s="425"/>
      <c r="J1771" s="398"/>
      <c r="K1771" s="425"/>
      <c r="L1771" s="425"/>
      <c r="M1771" s="428"/>
      <c r="N1771" s="428"/>
      <c r="O1771" s="429"/>
      <c r="P1771" s="425"/>
      <c r="Q1771" s="398"/>
      <c r="R1771" s="398"/>
      <c r="S1771" s="432"/>
    </row>
    <row r="1772" spans="1:25">
      <c r="C1772" s="396"/>
      <c r="D1772" s="397"/>
      <c r="E1772" s="424"/>
      <c r="F1772" s="425"/>
      <c r="G1772" s="425"/>
      <c r="H1772" s="425"/>
      <c r="I1772" s="425"/>
      <c r="J1772" s="398"/>
      <c r="K1772" s="425"/>
      <c r="L1772" s="425"/>
      <c r="M1772" s="428"/>
      <c r="N1772" s="428"/>
      <c r="O1772" s="429"/>
      <c r="P1772" s="425"/>
      <c r="Q1772" s="398"/>
      <c r="R1772" s="398"/>
      <c r="S1772" s="432"/>
    </row>
    <row r="1773" spans="1:25">
      <c r="C1773" s="569" t="s">
        <v>423</v>
      </c>
      <c r="D1773" s="570"/>
      <c r="E1773" s="570"/>
      <c r="F1773" s="570"/>
      <c r="G1773" s="570"/>
      <c r="H1773" s="570"/>
      <c r="I1773" s="570"/>
      <c r="J1773" s="571"/>
      <c r="K1773" s="433" t="s">
        <v>424</v>
      </c>
      <c r="L1773" s="434"/>
      <c r="M1773" s="434"/>
      <c r="N1773" s="434"/>
      <c r="O1773" s="434"/>
      <c r="P1773" s="434"/>
      <c r="Q1773" s="434"/>
      <c r="R1773" s="434"/>
      <c r="S1773" s="435"/>
    </row>
    <row r="1774" spans="1:25">
      <c r="C1774" s="542"/>
      <c r="D1774" s="543"/>
      <c r="E1774" s="543"/>
      <c r="F1774" s="543"/>
      <c r="G1774" s="436"/>
      <c r="H1774" s="436"/>
      <c r="I1774" s="436"/>
      <c r="J1774" s="447"/>
      <c r="K1774" s="436"/>
      <c r="L1774" s="407"/>
      <c r="M1774" s="407"/>
      <c r="N1774" s="407"/>
      <c r="O1774" s="407"/>
      <c r="P1774" s="407"/>
      <c r="Q1774" s="407"/>
      <c r="R1774" s="407"/>
      <c r="S1774" s="437"/>
    </row>
    <row r="1775" spans="1:25">
      <c r="C1775" s="542"/>
      <c r="D1775" s="543"/>
      <c r="E1775" s="543"/>
      <c r="F1775" s="543"/>
      <c r="G1775" s="436"/>
      <c r="H1775" s="436"/>
      <c r="I1775" s="436"/>
      <c r="J1775" s="447"/>
      <c r="K1775" s="436"/>
      <c r="L1775" s="407"/>
      <c r="M1775" s="407"/>
      <c r="N1775" s="407"/>
      <c r="O1775" s="407"/>
      <c r="P1775" s="407"/>
      <c r="Q1775" s="407"/>
      <c r="R1775" s="407"/>
      <c r="S1775" s="437"/>
    </row>
    <row r="1776" spans="1:25">
      <c r="C1776" s="542" t="s">
        <v>425</v>
      </c>
      <c r="D1776" s="543"/>
      <c r="E1776" s="543" t="s">
        <v>425</v>
      </c>
      <c r="F1776" s="543"/>
      <c r="G1776" s="543" t="s">
        <v>425</v>
      </c>
      <c r="H1776" s="543"/>
      <c r="I1776" s="543" t="s">
        <v>425</v>
      </c>
      <c r="J1776" s="544"/>
      <c r="K1776" s="545" t="s">
        <v>426</v>
      </c>
      <c r="L1776" s="546"/>
      <c r="M1776" s="546"/>
      <c r="N1776" s="546"/>
      <c r="O1776" s="546"/>
      <c r="P1776" s="546"/>
      <c r="Q1776" s="546"/>
      <c r="R1776" s="546"/>
      <c r="S1776" s="547"/>
    </row>
    <row r="1777" spans="3:19">
      <c r="C1777" s="548" t="str">
        <f>+[42]DATOS!D$8</f>
        <v>HELMER EDUARDO BECERRA SANTANDER</v>
      </c>
      <c r="D1777" s="549"/>
      <c r="E1777" s="549" t="s">
        <v>427</v>
      </c>
      <c r="F1777" s="549"/>
      <c r="G1777" s="549" t="s">
        <v>427</v>
      </c>
      <c r="H1777" s="549"/>
      <c r="I1777" s="549" t="s">
        <v>427</v>
      </c>
      <c r="J1777" s="550"/>
      <c r="K1777" s="551" t="str">
        <f>+[42]DATOS!D$11</f>
        <v>JESUS IVAN QUIÑONES RUEDA</v>
      </c>
      <c r="L1777" s="549"/>
      <c r="M1777" s="549"/>
      <c r="N1777" s="549"/>
      <c r="O1777" s="549"/>
      <c r="P1777" s="549"/>
      <c r="Q1777" s="549"/>
      <c r="R1777" s="549"/>
      <c r="S1777" s="552"/>
    </row>
    <row r="1778" spans="3:19">
      <c r="C1778" s="553" t="str">
        <f>+$C$72</f>
        <v>APOYO SEC. DE PLANEACION Y OBRAS PÚBLICAS</v>
      </c>
      <c r="D1778" s="554"/>
      <c r="E1778" s="554" t="s">
        <v>428</v>
      </c>
      <c r="F1778" s="554"/>
      <c r="G1778" s="554" t="s">
        <v>428</v>
      </c>
      <c r="H1778" s="554"/>
      <c r="I1778" s="554" t="s">
        <v>428</v>
      </c>
      <c r="J1778" s="555"/>
      <c r="K1778" s="556" t="str">
        <f>+$K$72</f>
        <v>SECRETARIO DE PLANEACION Y OBRAS PÚBLICAS</v>
      </c>
      <c r="L1778" s="554"/>
      <c r="M1778" s="554"/>
      <c r="N1778" s="554"/>
      <c r="O1778" s="554"/>
      <c r="P1778" s="554"/>
      <c r="Q1778" s="554"/>
      <c r="R1778" s="554"/>
      <c r="S1778" s="557"/>
    </row>
    <row r="1779" spans="3:19">
      <c r="C1779" s="406"/>
      <c r="D1779" s="407"/>
      <c r="E1779" s="407"/>
      <c r="F1779" s="407"/>
      <c r="G1779" s="407"/>
      <c r="H1779" s="407"/>
      <c r="I1779" s="407"/>
      <c r="J1779" s="407"/>
      <c r="K1779" s="407"/>
      <c r="L1779" s="407"/>
      <c r="M1779" s="407"/>
      <c r="N1779" s="407"/>
      <c r="O1779" s="407"/>
      <c r="P1779" s="407"/>
      <c r="Q1779" s="407"/>
      <c r="R1779" s="407"/>
      <c r="S1779" s="437"/>
    </row>
    <row r="1780" spans="3:19" ht="111" customHeight="1" thickBot="1">
      <c r="C1780" s="417"/>
      <c r="D1780" s="418"/>
      <c r="E1780" s="418"/>
      <c r="F1780" s="418"/>
      <c r="G1780" s="418"/>
      <c r="H1780" s="418"/>
      <c r="I1780" s="418"/>
      <c r="J1780" s="418"/>
      <c r="K1780" s="418"/>
      <c r="L1780" s="418"/>
      <c r="M1780" s="418"/>
      <c r="N1780" s="418"/>
      <c r="O1780" s="418"/>
      <c r="P1780" s="418"/>
      <c r="Q1780" s="418"/>
      <c r="R1780" s="418"/>
      <c r="S1780" s="438"/>
    </row>
    <row r="1781" spans="3:19" ht="22.5" customHeight="1"/>
    <row r="1782" spans="3:19" ht="13.5" thickBot="1"/>
    <row r="1783" spans="3:19">
      <c r="C1783" s="384"/>
      <c r="D1783" s="385"/>
      <c r="E1783" s="385"/>
      <c r="F1783" s="385"/>
      <c r="G1783" s="385"/>
      <c r="H1783" s="385"/>
      <c r="I1783" s="385"/>
      <c r="J1783" s="445"/>
      <c r="K1783" s="385"/>
      <c r="L1783" s="385"/>
      <c r="M1783" s="385"/>
      <c r="N1783" s="385"/>
      <c r="O1783" s="385"/>
      <c r="P1783" s="385"/>
      <c r="Q1783" s="385"/>
      <c r="R1783" s="385"/>
      <c r="S1783" s="386"/>
    </row>
    <row r="1784" spans="3:19" ht="121.5" customHeight="1" thickBot="1">
      <c r="C1784" s="387"/>
      <c r="D1784" s="388"/>
      <c r="E1784" s="388"/>
      <c r="F1784" s="388"/>
      <c r="G1784" s="388"/>
      <c r="H1784" s="388"/>
      <c r="I1784" s="388"/>
      <c r="J1784" s="446"/>
      <c r="K1784" s="388"/>
      <c r="L1784" s="388"/>
      <c r="M1784" s="388"/>
      <c r="N1784" s="388"/>
      <c r="O1784" s="388"/>
      <c r="P1784" s="388"/>
      <c r="Q1784" s="388"/>
      <c r="R1784" s="388"/>
      <c r="S1784" s="389"/>
    </row>
    <row r="1785" spans="3:19">
      <c r="C1785" s="592" t="str">
        <f>+[42]DATOS!C$7</f>
        <v>MEJORAMIENTO DE VIVIENDA CON ENFOQUE DIFERENCIAL PARA POBLACIÓN VULNERABLE EN EL MUNICIPIO DE CUBARÁ, BOYACÁ (2026).</v>
      </c>
      <c r="D1785" s="593"/>
      <c r="E1785" s="593"/>
      <c r="F1785" s="593"/>
      <c r="G1785" s="593"/>
      <c r="H1785" s="593"/>
      <c r="I1785" s="593"/>
      <c r="J1785" s="593"/>
      <c r="K1785" s="593"/>
      <c r="L1785" s="593"/>
      <c r="M1785" s="593"/>
      <c r="N1785" s="593"/>
      <c r="O1785" s="593"/>
      <c r="P1785" s="593"/>
      <c r="Q1785" s="593"/>
      <c r="R1785" s="593"/>
      <c r="S1785" s="594"/>
    </row>
    <row r="1786" spans="3:19">
      <c r="C1786" s="595"/>
      <c r="D1786" s="596"/>
      <c r="E1786" s="596"/>
      <c r="F1786" s="596"/>
      <c r="G1786" s="596"/>
      <c r="H1786" s="596"/>
      <c r="I1786" s="596"/>
      <c r="J1786" s="596"/>
      <c r="K1786" s="596"/>
      <c r="L1786" s="596"/>
      <c r="M1786" s="596"/>
      <c r="N1786" s="596"/>
      <c r="O1786" s="596"/>
      <c r="P1786" s="596"/>
      <c r="Q1786" s="596"/>
      <c r="R1786" s="596"/>
      <c r="S1786" s="597"/>
    </row>
    <row r="1787" spans="3:19">
      <c r="C1787" s="598" t="s">
        <v>371</v>
      </c>
      <c r="D1787" s="599"/>
      <c r="E1787" s="599"/>
      <c r="F1787" s="599"/>
      <c r="G1787" s="599"/>
      <c r="H1787" s="599"/>
      <c r="I1787" s="599"/>
      <c r="J1787" s="599"/>
      <c r="K1787" s="599"/>
      <c r="L1787" s="599"/>
      <c r="M1787" s="599"/>
      <c r="N1787" s="599"/>
      <c r="O1787" s="599"/>
      <c r="P1787" s="599"/>
      <c r="Q1787" s="599"/>
      <c r="R1787" s="599"/>
      <c r="S1787" s="600"/>
    </row>
    <row r="1788" spans="3:19">
      <c r="C1788" s="586" t="s">
        <v>372</v>
      </c>
      <c r="D1788" s="587"/>
      <c r="E1788" s="601" t="s">
        <v>373</v>
      </c>
      <c r="F1788" s="601"/>
      <c r="G1788" s="601"/>
      <c r="H1788" s="601"/>
      <c r="I1788" s="601"/>
      <c r="J1788" s="601"/>
      <c r="K1788" s="601"/>
      <c r="L1788" s="601"/>
      <c r="M1788" s="601"/>
      <c r="N1788" s="601"/>
      <c r="O1788" s="601"/>
      <c r="P1788" s="601"/>
      <c r="Q1788" s="601"/>
      <c r="R1788" s="601"/>
      <c r="S1788" s="602"/>
    </row>
    <row r="1789" spans="3:19">
      <c r="C1789" s="586" t="s">
        <v>374</v>
      </c>
      <c r="D1789" s="587"/>
      <c r="E1789" s="603" t="s">
        <v>375</v>
      </c>
      <c r="F1789" s="604"/>
      <c r="G1789" s="604"/>
      <c r="H1789" s="604"/>
      <c r="I1789" s="604"/>
      <c r="J1789" s="604"/>
      <c r="K1789" s="604"/>
      <c r="L1789" s="604"/>
      <c r="M1789" s="604"/>
      <c r="N1789" s="604"/>
      <c r="O1789" s="604"/>
      <c r="P1789" s="604"/>
      <c r="Q1789" s="604"/>
      <c r="R1789" s="604"/>
      <c r="S1789" s="605"/>
    </row>
    <row r="1790" spans="3:19">
      <c r="C1790" s="586" t="s">
        <v>376</v>
      </c>
      <c r="D1790" s="587"/>
      <c r="E1790" s="390">
        <f>+[42]DATOS!F$5</f>
        <v>46143</v>
      </c>
      <c r="F1790" s="391"/>
      <c r="G1790" s="391"/>
      <c r="H1790" s="391"/>
      <c r="I1790" s="391"/>
      <c r="J1790" s="391"/>
      <c r="K1790" s="568" t="s">
        <v>377</v>
      </c>
      <c r="L1790" s="568"/>
      <c r="M1790" s="588" t="s">
        <v>378</v>
      </c>
      <c r="N1790" s="588"/>
      <c r="O1790" s="588"/>
      <c r="P1790" s="588"/>
      <c r="Q1790" s="588"/>
      <c r="R1790" s="588"/>
      <c r="S1790" s="589"/>
    </row>
    <row r="1791" spans="3:19" ht="25.5">
      <c r="C1791" s="586" t="s">
        <v>379</v>
      </c>
      <c r="D1791" s="587"/>
      <c r="E1791" s="590" t="s">
        <v>380</v>
      </c>
      <c r="F1791" s="591"/>
      <c r="G1791" s="392">
        <f>+[42]DATOS!E$5</f>
        <v>2026</v>
      </c>
      <c r="H1791" s="393" t="s">
        <v>381</v>
      </c>
      <c r="I1791" s="394">
        <f>+[42]DATOS!E$5</f>
        <v>2026</v>
      </c>
      <c r="J1791" s="395"/>
      <c r="K1791" s="568" t="s">
        <v>382</v>
      </c>
      <c r="L1791" s="568"/>
      <c r="M1791" s="588" t="s">
        <v>383</v>
      </c>
      <c r="N1791" s="588"/>
      <c r="O1791" s="588"/>
      <c r="P1791" s="588"/>
      <c r="Q1791" s="588"/>
      <c r="R1791" s="588"/>
      <c r="S1791" s="589"/>
    </row>
    <row r="1792" spans="3:19">
      <c r="C1792" s="396"/>
      <c r="D1792" s="397"/>
      <c r="E1792" s="397"/>
      <c r="F1792" s="398"/>
      <c r="G1792" s="398"/>
      <c r="H1792" s="398"/>
      <c r="I1792" s="398"/>
      <c r="J1792" s="398"/>
      <c r="K1792" s="398"/>
      <c r="L1792" s="398"/>
      <c r="M1792" s="398"/>
      <c r="N1792" s="398"/>
      <c r="O1792" s="398"/>
      <c r="P1792" s="398"/>
      <c r="Q1792" s="398"/>
      <c r="R1792" s="398"/>
      <c r="S1792" s="399"/>
    </row>
    <row r="1793" spans="1:25">
      <c r="C1793" s="572" t="s">
        <v>384</v>
      </c>
      <c r="D1793" s="573"/>
      <c r="E1793" s="573"/>
      <c r="F1793" s="573"/>
      <c r="G1793" s="573"/>
      <c r="H1793" s="573"/>
      <c r="I1793" s="573"/>
      <c r="J1793" s="573"/>
      <c r="K1793" s="573"/>
      <c r="L1793" s="573"/>
      <c r="M1793" s="573"/>
      <c r="N1793" s="573"/>
      <c r="O1793" s="573"/>
      <c r="P1793" s="573"/>
      <c r="Q1793" s="573"/>
      <c r="R1793" s="573"/>
      <c r="S1793" s="574"/>
    </row>
    <row r="1794" spans="1:25">
      <c r="C1794" s="396"/>
      <c r="D1794" s="397"/>
      <c r="E1794" s="397"/>
      <c r="F1794" s="398"/>
      <c r="G1794" s="398"/>
      <c r="H1794" s="398"/>
      <c r="I1794" s="398"/>
      <c r="J1794" s="398"/>
      <c r="K1794" s="398"/>
      <c r="L1794" s="398"/>
      <c r="M1794" s="398"/>
      <c r="N1794" s="398"/>
      <c r="O1794" s="398"/>
      <c r="P1794" s="398"/>
      <c r="Q1794" s="398"/>
      <c r="R1794" s="398"/>
      <c r="S1794" s="399"/>
    </row>
    <row r="1795" spans="1:25">
      <c r="C1795" s="400" t="s">
        <v>385</v>
      </c>
      <c r="D1795" s="575" t="s">
        <v>386</v>
      </c>
      <c r="E1795" s="575"/>
      <c r="F1795" s="576" t="s">
        <v>387</v>
      </c>
      <c r="G1795" s="577"/>
      <c r="H1795" s="577"/>
      <c r="I1795" s="576" t="s">
        <v>388</v>
      </c>
      <c r="J1795" s="576" t="s">
        <v>389</v>
      </c>
      <c r="K1795" s="579"/>
      <c r="L1795" s="581" t="s">
        <v>390</v>
      </c>
      <c r="M1795" s="581"/>
      <c r="N1795" s="581"/>
      <c r="O1795" s="581"/>
      <c r="P1795" s="581"/>
      <c r="Q1795" s="581"/>
      <c r="R1795" s="581" t="s">
        <v>391</v>
      </c>
      <c r="S1795" s="582"/>
    </row>
    <row r="1796" spans="1:25" ht="38.25">
      <c r="C1796" s="403">
        <f>+'PRESUPUESTO OFICIAL '!C98</f>
        <v>9.0299999999999994</v>
      </c>
      <c r="D1796" s="583" t="str">
        <f>+VLOOKUP(C1796,'PRESUPUESTO OFICIAL '!$C$11:$H$103,2)</f>
        <v>SUMINISTRO E INSTALACIÓN DE CANAL EN LÁMINA GALVANIZADA CAL.20 DESARROLLO HASTA 0.60 M</v>
      </c>
      <c r="E1796" s="584"/>
      <c r="F1796" s="585" t="str">
        <f>+VLOOKUP(C1796,'PRESUPUESTO OFICIAL '!$C$11:$H$103,3)</f>
        <v>M</v>
      </c>
      <c r="G1796" s="585"/>
      <c r="H1796" s="585"/>
      <c r="I1796" s="578"/>
      <c r="J1796" s="578"/>
      <c r="K1796" s="580"/>
      <c r="L1796" s="401" t="s">
        <v>392</v>
      </c>
      <c r="M1796" s="401" t="s">
        <v>393</v>
      </c>
      <c r="N1796" s="401" t="s">
        <v>394</v>
      </c>
      <c r="O1796" s="401" t="s">
        <v>395</v>
      </c>
      <c r="P1796" s="401" t="s">
        <v>396</v>
      </c>
      <c r="Q1796" s="401" t="s">
        <v>397</v>
      </c>
      <c r="R1796" s="401" t="s">
        <v>398</v>
      </c>
      <c r="S1796" s="402" t="s">
        <v>399</v>
      </c>
      <c r="U1796" s="404">
        <f>+C1796</f>
        <v>9.0299999999999994</v>
      </c>
      <c r="V1796" s="405">
        <f>+S1844</f>
        <v>40.9</v>
      </c>
    </row>
    <row r="1797" spans="1:25">
      <c r="C1797" s="406"/>
      <c r="D1797" s="407"/>
      <c r="E1797" s="407"/>
      <c r="F1797" s="407"/>
      <c r="G1797" s="407"/>
      <c r="H1797" s="407"/>
      <c r="I1797" s="558"/>
      <c r="J1797" s="559"/>
      <c r="K1797" s="560"/>
      <c r="L1797" s="560"/>
      <c r="M1797" s="560"/>
      <c r="N1797" s="560"/>
      <c r="O1797" s="560"/>
      <c r="P1797" s="560"/>
      <c r="Q1797" s="560"/>
      <c r="R1797" s="560"/>
      <c r="S1797" s="561"/>
    </row>
    <row r="1798" spans="1:25">
      <c r="A1798" s="383">
        <v>1</v>
      </c>
      <c r="C1798" s="406"/>
      <c r="D1798" s="407"/>
      <c r="E1798" s="407"/>
      <c r="F1798" s="407"/>
      <c r="G1798" s="407"/>
      <c r="H1798" s="407"/>
      <c r="I1798" s="408" t="s">
        <v>400</v>
      </c>
      <c r="J1798" s="409" t="str">
        <f t="shared" ref="J1798:J1840" si="331">+VLOOKUP(K1798,$AH$22:$AJ$58,2,)</f>
        <v>M=(Largo) x Cant</v>
      </c>
      <c r="K1798" s="410" t="str">
        <f>+F1796</f>
        <v>M</v>
      </c>
      <c r="L1798" s="411"/>
      <c r="M1798" s="412"/>
      <c r="N1798" s="442"/>
      <c r="O1798" s="413">
        <f>IF(S1798=0,"",S1798)</f>
        <v>7</v>
      </c>
      <c r="P1798" s="413"/>
      <c r="Q1798" s="411"/>
      <c r="R1798" s="413">
        <f>IF(S1798=0,"",1)</f>
        <v>1</v>
      </c>
      <c r="S1798" s="414">
        <f>+HLOOKUP(A1798,[238]Hoja1!$2:$78,77,FALSE)</f>
        <v>7</v>
      </c>
      <c r="X1798" s="458">
        <f t="shared" ref="X1798" si="332">+N1798*O1798*P1798</f>
        <v>0</v>
      </c>
      <c r="Y1798" s="471">
        <f t="shared" ref="Y1798" si="333">+X1798-Q1798</f>
        <v>0</v>
      </c>
    </row>
    <row r="1799" spans="1:25">
      <c r="A1799" s="383">
        <v>2</v>
      </c>
      <c r="C1799" s="406"/>
      <c r="D1799" s="407"/>
      <c r="E1799" s="407"/>
      <c r="F1799" s="407"/>
      <c r="G1799" s="407"/>
      <c r="H1799" s="407"/>
      <c r="I1799" s="408" t="s">
        <v>401</v>
      </c>
      <c r="J1799" s="409" t="str">
        <f t="shared" si="331"/>
        <v>M=(Largo) x Cant</v>
      </c>
      <c r="K1799" s="410" t="str">
        <f>+K1798</f>
        <v>M</v>
      </c>
      <c r="L1799" s="411"/>
      <c r="M1799" s="412"/>
      <c r="N1799" s="442"/>
      <c r="O1799" s="413" t="str">
        <f t="shared" ref="O1799:O1840" si="334">IF(S1799=0,"",S1799)</f>
        <v/>
      </c>
      <c r="P1799" s="413"/>
      <c r="Q1799" s="411"/>
      <c r="R1799" s="413" t="str">
        <f t="shared" ref="R1799:R1840" si="335">IF(S1799=0,"",1)</f>
        <v/>
      </c>
      <c r="S1799" s="414">
        <f>+HLOOKUP(A1799,[238]Hoja1!$2:$78,77,FALSE)</f>
        <v>0</v>
      </c>
      <c r="X1799" s="458">
        <f>+L1799*P1799</f>
        <v>0</v>
      </c>
      <c r="Y1799" s="471">
        <f>+X1799-Q1799</f>
        <v>0</v>
      </c>
    </row>
    <row r="1800" spans="1:25">
      <c r="A1800" s="383">
        <v>3</v>
      </c>
      <c r="C1800" s="406"/>
      <c r="D1800" s="407"/>
      <c r="E1800" s="407"/>
      <c r="F1800" s="407"/>
      <c r="G1800" s="407"/>
      <c r="H1800" s="407"/>
      <c r="I1800" s="408" t="s">
        <v>402</v>
      </c>
      <c r="J1800" s="409" t="str">
        <f t="shared" si="331"/>
        <v>M=(Largo) x Cant</v>
      </c>
      <c r="K1800" s="410" t="str">
        <f>+K1799</f>
        <v>M</v>
      </c>
      <c r="L1800" s="411"/>
      <c r="M1800" s="412"/>
      <c r="N1800" s="442"/>
      <c r="O1800" s="413" t="str">
        <f t="shared" si="334"/>
        <v/>
      </c>
      <c r="P1800" s="413"/>
      <c r="Q1800" s="411"/>
      <c r="R1800" s="413" t="str">
        <f t="shared" si="335"/>
        <v/>
      </c>
      <c r="S1800" s="414">
        <f>+HLOOKUP(A1800,[238]Hoja1!$2:$78,77,FALSE)</f>
        <v>0</v>
      </c>
      <c r="X1800" s="458">
        <f t="shared" ref="X1800:X1802" si="336">+L1800*P1800</f>
        <v>0</v>
      </c>
      <c r="Y1800" s="471">
        <f t="shared" ref="Y1800:Y1802" si="337">+X1800-Q1800</f>
        <v>0</v>
      </c>
    </row>
    <row r="1801" spans="1:25">
      <c r="A1801" s="383">
        <v>4</v>
      </c>
      <c r="C1801" s="406"/>
      <c r="D1801" s="407"/>
      <c r="E1801" s="407"/>
      <c r="F1801" s="407"/>
      <c r="G1801" s="407"/>
      <c r="H1801" s="407"/>
      <c r="I1801" s="408" t="s">
        <v>403</v>
      </c>
      <c r="J1801" s="409" t="str">
        <f t="shared" si="331"/>
        <v>M=(Largo) x Cant</v>
      </c>
      <c r="K1801" s="410" t="str">
        <f>+K1800</f>
        <v>M</v>
      </c>
      <c r="L1801" s="411"/>
      <c r="M1801" s="412"/>
      <c r="N1801" s="442"/>
      <c r="O1801" s="413">
        <f t="shared" si="334"/>
        <v>3.2</v>
      </c>
      <c r="P1801" s="413"/>
      <c r="Q1801" s="411"/>
      <c r="R1801" s="413">
        <f t="shared" si="335"/>
        <v>1</v>
      </c>
      <c r="S1801" s="414">
        <f>+HLOOKUP(A1801,[238]Hoja1!$2:$78,77,FALSE)</f>
        <v>3.2</v>
      </c>
      <c r="X1801" s="458">
        <f t="shared" si="336"/>
        <v>0</v>
      </c>
      <c r="Y1801" s="471">
        <f t="shared" si="337"/>
        <v>0</v>
      </c>
    </row>
    <row r="1802" spans="1:25">
      <c r="A1802" s="383">
        <v>5</v>
      </c>
      <c r="C1802" s="406"/>
      <c r="D1802" s="407"/>
      <c r="E1802" s="407"/>
      <c r="F1802" s="407"/>
      <c r="G1802" s="407"/>
      <c r="H1802" s="407"/>
      <c r="I1802" s="408" t="s">
        <v>405</v>
      </c>
      <c r="J1802" s="409" t="str">
        <f t="shared" si="331"/>
        <v>M=(Largo) x Cant</v>
      </c>
      <c r="K1802" s="410" t="str">
        <f>+K1801</f>
        <v>M</v>
      </c>
      <c r="L1802" s="411"/>
      <c r="M1802" s="412"/>
      <c r="N1802" s="442"/>
      <c r="O1802" s="413" t="str">
        <f t="shared" si="334"/>
        <v/>
      </c>
      <c r="P1802" s="413"/>
      <c r="Q1802" s="411"/>
      <c r="R1802" s="413" t="str">
        <f t="shared" si="335"/>
        <v/>
      </c>
      <c r="S1802" s="414">
        <f>+HLOOKUP(A1802,[238]Hoja1!$2:$78,77,FALSE)</f>
        <v>0</v>
      </c>
      <c r="X1802" s="458">
        <f t="shared" si="336"/>
        <v>0</v>
      </c>
      <c r="Y1802" s="471">
        <f t="shared" si="337"/>
        <v>0</v>
      </c>
    </row>
    <row r="1803" spans="1:25">
      <c r="A1803" s="383">
        <v>6</v>
      </c>
      <c r="C1803" s="406"/>
      <c r="D1803" s="407"/>
      <c r="E1803" s="407"/>
      <c r="F1803" s="407"/>
      <c r="G1803" s="407"/>
      <c r="H1803" s="407"/>
      <c r="I1803" s="408" t="s">
        <v>407</v>
      </c>
      <c r="J1803" s="409" t="str">
        <f t="shared" si="331"/>
        <v>M=(Largo) x Cant</v>
      </c>
      <c r="K1803" s="410" t="str">
        <f>+K1802</f>
        <v>M</v>
      </c>
      <c r="L1803" s="411"/>
      <c r="M1803" s="412"/>
      <c r="N1803" s="442"/>
      <c r="O1803" s="413" t="str">
        <f t="shared" si="334"/>
        <v/>
      </c>
      <c r="P1803" s="413"/>
      <c r="Q1803" s="411"/>
      <c r="R1803" s="413" t="str">
        <f t="shared" si="335"/>
        <v/>
      </c>
      <c r="S1803" s="414">
        <f>+HLOOKUP(A1803,[238]Hoja1!$2:$78,77,FALSE)</f>
        <v>0</v>
      </c>
      <c r="X1803" s="458">
        <f>+L1803*P1803</f>
        <v>0</v>
      </c>
      <c r="Y1803" s="471">
        <f>+X1803-Q1803</f>
        <v>0</v>
      </c>
    </row>
    <row r="1804" spans="1:25">
      <c r="A1804" s="383">
        <v>7</v>
      </c>
      <c r="C1804" s="406"/>
      <c r="D1804" s="407"/>
      <c r="E1804" s="407"/>
      <c r="F1804" s="407"/>
      <c r="G1804" s="407"/>
      <c r="H1804" s="407"/>
      <c r="I1804" s="408" t="s">
        <v>409</v>
      </c>
      <c r="J1804" s="409" t="str">
        <f t="shared" si="331"/>
        <v>M=(Largo) x Cant</v>
      </c>
      <c r="K1804" s="410" t="str">
        <f>+K1798</f>
        <v>M</v>
      </c>
      <c r="L1804" s="411"/>
      <c r="M1804" s="412"/>
      <c r="N1804" s="442"/>
      <c r="O1804" s="413" t="str">
        <f t="shared" si="334"/>
        <v/>
      </c>
      <c r="P1804" s="413"/>
      <c r="Q1804" s="411"/>
      <c r="R1804" s="413" t="str">
        <f t="shared" si="335"/>
        <v/>
      </c>
      <c r="S1804" s="414">
        <f>+HLOOKUP(A1804,[238]Hoja1!$2:$78,77,FALSE)</f>
        <v>0</v>
      </c>
      <c r="X1804" s="458">
        <f t="shared" ref="X1804:X1840" si="338">+L1804*P1804</f>
        <v>0</v>
      </c>
      <c r="Y1804" s="471">
        <f t="shared" ref="Y1804:Y1840" si="339">+X1804-Q1804</f>
        <v>0</v>
      </c>
    </row>
    <row r="1805" spans="1:25">
      <c r="A1805" s="383">
        <v>8</v>
      </c>
      <c r="C1805" s="406"/>
      <c r="D1805" s="407"/>
      <c r="E1805" s="407"/>
      <c r="F1805" s="407"/>
      <c r="G1805" s="407"/>
      <c r="H1805" s="407"/>
      <c r="I1805" s="408" t="s">
        <v>411</v>
      </c>
      <c r="J1805" s="409" t="str">
        <f t="shared" si="331"/>
        <v>M=(Largo) x Cant</v>
      </c>
      <c r="K1805" s="410" t="str">
        <f>+K1804</f>
        <v>M</v>
      </c>
      <c r="L1805" s="411"/>
      <c r="M1805" s="412"/>
      <c r="N1805" s="442"/>
      <c r="O1805" s="413">
        <f t="shared" si="334"/>
        <v>4.5</v>
      </c>
      <c r="P1805" s="413"/>
      <c r="Q1805" s="411"/>
      <c r="R1805" s="413">
        <f t="shared" si="335"/>
        <v>1</v>
      </c>
      <c r="S1805" s="414">
        <f>+HLOOKUP(A1805,[238]Hoja1!$2:$78,77,FALSE)</f>
        <v>4.5</v>
      </c>
      <c r="X1805" s="458">
        <f t="shared" si="338"/>
        <v>0</v>
      </c>
      <c r="Y1805" s="471">
        <f t="shared" si="339"/>
        <v>0</v>
      </c>
    </row>
    <row r="1806" spans="1:25">
      <c r="A1806" s="383">
        <v>9</v>
      </c>
      <c r="C1806" s="406"/>
      <c r="D1806" s="407"/>
      <c r="E1806" s="407"/>
      <c r="F1806" s="407"/>
      <c r="G1806" s="407"/>
      <c r="H1806" s="407"/>
      <c r="I1806" s="408" t="s">
        <v>412</v>
      </c>
      <c r="J1806" s="409" t="str">
        <f t="shared" si="331"/>
        <v>M=(Largo) x Cant</v>
      </c>
      <c r="K1806" s="410" t="str">
        <f>+K1805</f>
        <v>M</v>
      </c>
      <c r="L1806" s="411"/>
      <c r="M1806" s="412"/>
      <c r="N1806" s="442"/>
      <c r="O1806" s="413" t="str">
        <f t="shared" si="334"/>
        <v/>
      </c>
      <c r="P1806" s="413"/>
      <c r="Q1806" s="411"/>
      <c r="R1806" s="413" t="str">
        <f t="shared" si="335"/>
        <v/>
      </c>
      <c r="S1806" s="414">
        <f>+HLOOKUP(A1806,[238]Hoja1!$2:$78,77,FALSE)</f>
        <v>0</v>
      </c>
      <c r="X1806" s="458">
        <f t="shared" si="338"/>
        <v>0</v>
      </c>
      <c r="Y1806" s="471">
        <f t="shared" si="339"/>
        <v>0</v>
      </c>
    </row>
    <row r="1807" spans="1:25">
      <c r="A1807" s="383">
        <v>10</v>
      </c>
      <c r="C1807" s="406"/>
      <c r="D1807" s="407"/>
      <c r="E1807" s="407"/>
      <c r="F1807" s="407"/>
      <c r="G1807" s="407"/>
      <c r="H1807" s="407"/>
      <c r="I1807" s="408" t="s">
        <v>413</v>
      </c>
      <c r="J1807" s="409" t="str">
        <f t="shared" si="331"/>
        <v>M=(Largo) x Cant</v>
      </c>
      <c r="K1807" s="410" t="str">
        <f>+K1806</f>
        <v>M</v>
      </c>
      <c r="L1807" s="411"/>
      <c r="M1807" s="412"/>
      <c r="N1807" s="441"/>
      <c r="O1807" s="413" t="str">
        <f t="shared" si="334"/>
        <v/>
      </c>
      <c r="P1807" s="413"/>
      <c r="Q1807" s="411"/>
      <c r="R1807" s="413" t="str">
        <f t="shared" si="335"/>
        <v/>
      </c>
      <c r="S1807" s="414">
        <f>+HLOOKUP(A1807,[238]Hoja1!$2:$78,77,FALSE)</f>
        <v>0</v>
      </c>
      <c r="X1807" s="458">
        <f t="shared" si="338"/>
        <v>0</v>
      </c>
      <c r="Y1807" s="471">
        <f t="shared" si="339"/>
        <v>0</v>
      </c>
    </row>
    <row r="1808" spans="1:25">
      <c r="A1808" s="383">
        <v>11</v>
      </c>
      <c r="C1808" s="406"/>
      <c r="D1808" s="407"/>
      <c r="E1808" s="407"/>
      <c r="F1808" s="407"/>
      <c r="G1808" s="407"/>
      <c r="H1808" s="407"/>
      <c r="I1808" s="408" t="s">
        <v>414</v>
      </c>
      <c r="J1808" s="409" t="str">
        <f t="shared" si="331"/>
        <v>M=(Largo) x Cant</v>
      </c>
      <c r="K1808" s="410" t="str">
        <f>+K1807</f>
        <v>M</v>
      </c>
      <c r="L1808" s="411"/>
      <c r="M1808" s="412"/>
      <c r="N1808" s="443"/>
      <c r="O1808" s="413" t="str">
        <f t="shared" si="334"/>
        <v/>
      </c>
      <c r="P1808" s="413"/>
      <c r="Q1808" s="411"/>
      <c r="R1808" s="413" t="str">
        <f t="shared" si="335"/>
        <v/>
      </c>
      <c r="S1808" s="414">
        <f>+HLOOKUP(A1808,[238]Hoja1!$2:$78,77,FALSE)</f>
        <v>0</v>
      </c>
      <c r="X1808" s="458">
        <f t="shared" si="338"/>
        <v>0</v>
      </c>
      <c r="Y1808" s="471">
        <f t="shared" si="339"/>
        <v>0</v>
      </c>
    </row>
    <row r="1809" spans="1:25">
      <c r="A1809" s="383">
        <v>12</v>
      </c>
      <c r="C1809" s="406"/>
      <c r="D1809" s="407"/>
      <c r="E1809" s="407"/>
      <c r="F1809" s="407"/>
      <c r="G1809" s="407"/>
      <c r="H1809" s="407"/>
      <c r="I1809" s="408" t="s">
        <v>415</v>
      </c>
      <c r="J1809" s="409" t="str">
        <f t="shared" si="331"/>
        <v>M=(Largo) x Cant</v>
      </c>
      <c r="K1809" s="410" t="str">
        <f>+K1803</f>
        <v>M</v>
      </c>
      <c r="L1809" s="411"/>
      <c r="M1809" s="412"/>
      <c r="N1809" s="442"/>
      <c r="O1809" s="413">
        <f t="shared" si="334"/>
        <v>8.6999999999999993</v>
      </c>
      <c r="P1809" s="413"/>
      <c r="Q1809" s="411"/>
      <c r="R1809" s="413">
        <f t="shared" si="335"/>
        <v>1</v>
      </c>
      <c r="S1809" s="414">
        <f>+HLOOKUP(A1809,[238]Hoja1!$2:$78,77,FALSE)</f>
        <v>8.6999999999999993</v>
      </c>
      <c r="X1809" s="458">
        <f t="shared" si="338"/>
        <v>0</v>
      </c>
      <c r="Y1809" s="471">
        <f t="shared" si="339"/>
        <v>0</v>
      </c>
    </row>
    <row r="1810" spans="1:25">
      <c r="A1810" s="383">
        <v>13</v>
      </c>
      <c r="C1810" s="406"/>
      <c r="D1810" s="407"/>
      <c r="E1810" s="407"/>
      <c r="F1810" s="407"/>
      <c r="G1810" s="407"/>
      <c r="H1810" s="407"/>
      <c r="I1810" s="408" t="s">
        <v>416</v>
      </c>
      <c r="J1810" s="409" t="str">
        <f t="shared" si="331"/>
        <v>M=(Largo) x Cant</v>
      </c>
      <c r="K1810" s="410" t="str">
        <f>+K1805</f>
        <v>M</v>
      </c>
      <c r="L1810" s="411"/>
      <c r="M1810" s="412"/>
      <c r="N1810" s="442"/>
      <c r="O1810" s="413">
        <f t="shared" si="334"/>
        <v>9</v>
      </c>
      <c r="P1810" s="413"/>
      <c r="Q1810" s="411"/>
      <c r="R1810" s="413">
        <f t="shared" si="335"/>
        <v>1</v>
      </c>
      <c r="S1810" s="414">
        <f>+HLOOKUP(A1810,[238]Hoja1!$2:$78,77,FALSE)</f>
        <v>9</v>
      </c>
      <c r="X1810" s="458">
        <f t="shared" si="338"/>
        <v>0</v>
      </c>
      <c r="Y1810" s="471">
        <f t="shared" si="339"/>
        <v>0</v>
      </c>
    </row>
    <row r="1811" spans="1:25">
      <c r="A1811" s="383">
        <v>14</v>
      </c>
      <c r="C1811" s="406"/>
      <c r="D1811" s="407"/>
      <c r="E1811" s="407"/>
      <c r="F1811" s="407"/>
      <c r="G1811" s="407"/>
      <c r="H1811" s="407"/>
      <c r="I1811" s="408" t="s">
        <v>417</v>
      </c>
      <c r="J1811" s="409" t="str">
        <f t="shared" si="331"/>
        <v>M=(Largo) x Cant</v>
      </c>
      <c r="K1811" s="410" t="str">
        <f t="shared" ref="K1811:K1822" si="340">+K1810</f>
        <v>M</v>
      </c>
      <c r="L1811" s="411"/>
      <c r="M1811" s="412"/>
      <c r="N1811" s="442"/>
      <c r="O1811" s="413" t="str">
        <f t="shared" si="334"/>
        <v/>
      </c>
      <c r="P1811" s="413"/>
      <c r="Q1811" s="411"/>
      <c r="R1811" s="413" t="str">
        <f t="shared" si="335"/>
        <v/>
      </c>
      <c r="S1811" s="414">
        <f>+HLOOKUP(A1811,[238]Hoja1!$2:$78,77,FALSE)</f>
        <v>0</v>
      </c>
      <c r="X1811" s="458">
        <f t="shared" si="338"/>
        <v>0</v>
      </c>
      <c r="Y1811" s="471">
        <f t="shared" si="339"/>
        <v>0</v>
      </c>
    </row>
    <row r="1812" spans="1:25">
      <c r="A1812" s="383">
        <v>15</v>
      </c>
      <c r="C1812" s="406"/>
      <c r="D1812" s="407"/>
      <c r="E1812" s="407"/>
      <c r="F1812" s="407"/>
      <c r="G1812" s="407"/>
      <c r="H1812" s="407"/>
      <c r="I1812" s="408" t="s">
        <v>418</v>
      </c>
      <c r="J1812" s="409" t="str">
        <f t="shared" si="331"/>
        <v>M=(Largo) x Cant</v>
      </c>
      <c r="K1812" s="410" t="str">
        <f t="shared" si="340"/>
        <v>M</v>
      </c>
      <c r="L1812" s="411"/>
      <c r="M1812" s="412"/>
      <c r="N1812" s="442"/>
      <c r="O1812" s="413">
        <f t="shared" si="334"/>
        <v>8.5</v>
      </c>
      <c r="P1812" s="413"/>
      <c r="Q1812" s="411"/>
      <c r="R1812" s="413">
        <f t="shared" si="335"/>
        <v>1</v>
      </c>
      <c r="S1812" s="414">
        <f>+HLOOKUP(A1812,[238]Hoja1!$2:$78,77,FALSE)</f>
        <v>8.5</v>
      </c>
      <c r="X1812" s="458">
        <f t="shared" si="338"/>
        <v>0</v>
      </c>
      <c r="Y1812" s="471">
        <f t="shared" si="339"/>
        <v>0</v>
      </c>
    </row>
    <row r="1813" spans="1:25">
      <c r="A1813" s="383">
        <v>16</v>
      </c>
      <c r="C1813" s="406"/>
      <c r="D1813" s="407"/>
      <c r="E1813" s="407"/>
      <c r="F1813" s="407"/>
      <c r="G1813" s="407"/>
      <c r="H1813" s="407"/>
      <c r="I1813" s="408" t="s">
        <v>419</v>
      </c>
      <c r="J1813" s="409" t="str">
        <f t="shared" si="331"/>
        <v>M=(Largo) x Cant</v>
      </c>
      <c r="K1813" s="410" t="str">
        <f t="shared" si="340"/>
        <v>M</v>
      </c>
      <c r="L1813" s="411"/>
      <c r="M1813" s="412"/>
      <c r="N1813" s="442"/>
      <c r="O1813" s="413" t="str">
        <f t="shared" si="334"/>
        <v/>
      </c>
      <c r="P1813" s="413"/>
      <c r="Q1813" s="411"/>
      <c r="R1813" s="413" t="str">
        <f t="shared" si="335"/>
        <v/>
      </c>
      <c r="S1813" s="414">
        <f>+HLOOKUP(A1813,[238]Hoja1!$2:$78,77,FALSE)</f>
        <v>0</v>
      </c>
      <c r="X1813" s="458">
        <f t="shared" si="338"/>
        <v>0</v>
      </c>
      <c r="Y1813" s="471">
        <f t="shared" si="339"/>
        <v>0</v>
      </c>
    </row>
    <row r="1814" spans="1:25">
      <c r="A1814" s="383">
        <v>17</v>
      </c>
      <c r="C1814" s="406"/>
      <c r="D1814" s="407"/>
      <c r="E1814" s="407"/>
      <c r="F1814" s="407"/>
      <c r="G1814" s="407"/>
      <c r="H1814" s="407"/>
      <c r="I1814" s="408" t="s">
        <v>420</v>
      </c>
      <c r="J1814" s="409" t="str">
        <f t="shared" si="331"/>
        <v>M=(Largo) x Cant</v>
      </c>
      <c r="K1814" s="410" t="str">
        <f t="shared" si="340"/>
        <v>M</v>
      </c>
      <c r="L1814" s="411"/>
      <c r="M1814" s="412"/>
      <c r="N1814" s="442"/>
      <c r="O1814" s="413" t="str">
        <f t="shared" si="334"/>
        <v/>
      </c>
      <c r="P1814" s="413"/>
      <c r="Q1814" s="411"/>
      <c r="R1814" s="413" t="str">
        <f t="shared" si="335"/>
        <v/>
      </c>
      <c r="S1814" s="414">
        <f>+HLOOKUP(A1814,[238]Hoja1!$2:$78,77,FALSE)</f>
        <v>0</v>
      </c>
      <c r="V1814" s="383" t="e">
        <f>+P1814*O1814*N1814</f>
        <v>#VALUE!</v>
      </c>
      <c r="X1814" s="458">
        <f t="shared" si="338"/>
        <v>0</v>
      </c>
      <c r="Y1814" s="471">
        <f t="shared" si="339"/>
        <v>0</v>
      </c>
    </row>
    <row r="1815" spans="1:25">
      <c r="A1815" s="383">
        <v>18</v>
      </c>
      <c r="C1815" s="406"/>
      <c r="D1815" s="407"/>
      <c r="E1815" s="407"/>
      <c r="F1815" s="407"/>
      <c r="G1815" s="407"/>
      <c r="H1815" s="407"/>
      <c r="I1815" s="408" t="s">
        <v>429</v>
      </c>
      <c r="J1815" s="409" t="str">
        <f t="shared" si="331"/>
        <v>M=(Largo) x Cant</v>
      </c>
      <c r="K1815" s="410" t="str">
        <f t="shared" si="340"/>
        <v>M</v>
      </c>
      <c r="L1815" s="411"/>
      <c r="M1815" s="412"/>
      <c r="N1815" s="442"/>
      <c r="O1815" s="413" t="str">
        <f t="shared" si="334"/>
        <v/>
      </c>
      <c r="P1815" s="413"/>
      <c r="Q1815" s="411"/>
      <c r="R1815" s="413" t="str">
        <f t="shared" si="335"/>
        <v/>
      </c>
      <c r="S1815" s="414">
        <f>+HLOOKUP(A1815,[238]Hoja1!$2:$78,77,FALSE)</f>
        <v>0</v>
      </c>
      <c r="X1815" s="458">
        <f t="shared" si="338"/>
        <v>0</v>
      </c>
      <c r="Y1815" s="471">
        <f t="shared" si="339"/>
        <v>0</v>
      </c>
    </row>
    <row r="1816" spans="1:25">
      <c r="A1816" s="383">
        <v>19</v>
      </c>
      <c r="C1816" s="406"/>
      <c r="D1816" s="407"/>
      <c r="E1816" s="407"/>
      <c r="F1816" s="407"/>
      <c r="G1816" s="407"/>
      <c r="H1816" s="407"/>
      <c r="I1816" s="408" t="s">
        <v>430</v>
      </c>
      <c r="J1816" s="409" t="str">
        <f t="shared" si="331"/>
        <v>M=(Largo) x Cant</v>
      </c>
      <c r="K1816" s="410" t="str">
        <f t="shared" si="340"/>
        <v>M</v>
      </c>
      <c r="L1816" s="411"/>
      <c r="M1816" s="412"/>
      <c r="N1816" s="442"/>
      <c r="O1816" s="413" t="str">
        <f t="shared" si="334"/>
        <v/>
      </c>
      <c r="P1816" s="413"/>
      <c r="Q1816" s="411"/>
      <c r="R1816" s="413" t="str">
        <f t="shared" si="335"/>
        <v/>
      </c>
      <c r="S1816" s="414">
        <f>+HLOOKUP(A1816,[238]Hoja1!$2:$78,77,FALSE)</f>
        <v>0</v>
      </c>
      <c r="X1816" s="458">
        <f t="shared" si="338"/>
        <v>0</v>
      </c>
      <c r="Y1816" s="471">
        <f t="shared" si="339"/>
        <v>0</v>
      </c>
    </row>
    <row r="1817" spans="1:25">
      <c r="A1817" s="383">
        <v>20</v>
      </c>
      <c r="C1817" s="406"/>
      <c r="D1817" s="407"/>
      <c r="E1817" s="407"/>
      <c r="F1817" s="407"/>
      <c r="G1817" s="407"/>
      <c r="H1817" s="407"/>
      <c r="I1817" s="408" t="s">
        <v>431</v>
      </c>
      <c r="J1817" s="409" t="str">
        <f t="shared" si="331"/>
        <v>M=(Largo) x Cant</v>
      </c>
      <c r="K1817" s="410" t="str">
        <f t="shared" si="340"/>
        <v>M</v>
      </c>
      <c r="L1817" s="411"/>
      <c r="M1817" s="412"/>
      <c r="N1817" s="442"/>
      <c r="O1817" s="413" t="str">
        <f t="shared" si="334"/>
        <v/>
      </c>
      <c r="P1817" s="413"/>
      <c r="Q1817" s="411"/>
      <c r="R1817" s="413" t="str">
        <f t="shared" si="335"/>
        <v/>
      </c>
      <c r="S1817" s="414">
        <f>+HLOOKUP(A1817,[238]Hoja1!$2:$78,77,FALSE)</f>
        <v>0</v>
      </c>
      <c r="X1817" s="458">
        <f t="shared" si="338"/>
        <v>0</v>
      </c>
      <c r="Y1817" s="471">
        <f t="shared" si="339"/>
        <v>0</v>
      </c>
    </row>
    <row r="1818" spans="1:25">
      <c r="A1818" s="383">
        <v>21</v>
      </c>
      <c r="C1818" s="406"/>
      <c r="D1818" s="407"/>
      <c r="E1818" s="407"/>
      <c r="F1818" s="407"/>
      <c r="G1818" s="407"/>
      <c r="H1818" s="407"/>
      <c r="I1818" s="408" t="s">
        <v>432</v>
      </c>
      <c r="J1818" s="409" t="str">
        <f t="shared" si="331"/>
        <v>M=(Largo) x Cant</v>
      </c>
      <c r="K1818" s="410" t="str">
        <f t="shared" si="340"/>
        <v>M</v>
      </c>
      <c r="L1818" s="411"/>
      <c r="M1818" s="412"/>
      <c r="N1818" s="442"/>
      <c r="O1818" s="413" t="str">
        <f t="shared" si="334"/>
        <v/>
      </c>
      <c r="P1818" s="413"/>
      <c r="Q1818" s="411"/>
      <c r="R1818" s="413" t="str">
        <f t="shared" si="335"/>
        <v/>
      </c>
      <c r="S1818" s="414">
        <f>+HLOOKUP(A1818,[238]Hoja1!$2:$78,77,FALSE)</f>
        <v>0</v>
      </c>
      <c r="X1818" s="458">
        <f t="shared" si="338"/>
        <v>0</v>
      </c>
      <c r="Y1818" s="471">
        <f t="shared" si="339"/>
        <v>0</v>
      </c>
    </row>
    <row r="1819" spans="1:25">
      <c r="A1819" s="383">
        <v>22</v>
      </c>
      <c r="C1819" s="406"/>
      <c r="D1819" s="407"/>
      <c r="E1819" s="407"/>
      <c r="F1819" s="407"/>
      <c r="G1819" s="407"/>
      <c r="H1819" s="407"/>
      <c r="I1819" s="408" t="s">
        <v>433</v>
      </c>
      <c r="J1819" s="409" t="str">
        <f t="shared" si="331"/>
        <v>M=(Largo) x Cant</v>
      </c>
      <c r="K1819" s="410" t="str">
        <f t="shared" si="340"/>
        <v>M</v>
      </c>
      <c r="L1819" s="411"/>
      <c r="M1819" s="412"/>
      <c r="N1819" s="442"/>
      <c r="O1819" s="413" t="str">
        <f t="shared" si="334"/>
        <v/>
      </c>
      <c r="P1819" s="413"/>
      <c r="Q1819" s="411"/>
      <c r="R1819" s="413" t="str">
        <f t="shared" si="335"/>
        <v/>
      </c>
      <c r="S1819" s="414">
        <f>+HLOOKUP(A1819,[238]Hoja1!$2:$78,77,FALSE)</f>
        <v>0</v>
      </c>
      <c r="X1819" s="458">
        <f t="shared" si="338"/>
        <v>0</v>
      </c>
      <c r="Y1819" s="471">
        <f t="shared" si="339"/>
        <v>0</v>
      </c>
    </row>
    <row r="1820" spans="1:25">
      <c r="A1820" s="383">
        <v>23</v>
      </c>
      <c r="C1820" s="406"/>
      <c r="D1820" s="407"/>
      <c r="E1820" s="407"/>
      <c r="F1820" s="407"/>
      <c r="G1820" s="407"/>
      <c r="H1820" s="407"/>
      <c r="I1820" s="408" t="s">
        <v>434</v>
      </c>
      <c r="J1820" s="409" t="str">
        <f t="shared" si="331"/>
        <v>M=(Largo) x Cant</v>
      </c>
      <c r="K1820" s="410" t="str">
        <f t="shared" si="340"/>
        <v>M</v>
      </c>
      <c r="L1820" s="411"/>
      <c r="M1820" s="412"/>
      <c r="N1820" s="441"/>
      <c r="O1820" s="413" t="str">
        <f t="shared" si="334"/>
        <v/>
      </c>
      <c r="P1820" s="413"/>
      <c r="Q1820" s="411"/>
      <c r="R1820" s="413" t="str">
        <f t="shared" si="335"/>
        <v/>
      </c>
      <c r="S1820" s="414">
        <f>+HLOOKUP(A1820,[238]Hoja1!$2:$78,77,FALSE)</f>
        <v>0</v>
      </c>
      <c r="X1820" s="458">
        <f t="shared" si="338"/>
        <v>0</v>
      </c>
      <c r="Y1820" s="471">
        <f t="shared" si="339"/>
        <v>0</v>
      </c>
    </row>
    <row r="1821" spans="1:25">
      <c r="A1821" s="383">
        <v>24</v>
      </c>
      <c r="C1821" s="406"/>
      <c r="D1821" s="407"/>
      <c r="E1821" s="407"/>
      <c r="F1821" s="407"/>
      <c r="G1821" s="407"/>
      <c r="H1821" s="407"/>
      <c r="I1821" s="408" t="s">
        <v>435</v>
      </c>
      <c r="J1821" s="409" t="str">
        <f t="shared" si="331"/>
        <v>M=(Largo) x Cant</v>
      </c>
      <c r="K1821" s="410" t="str">
        <f t="shared" si="340"/>
        <v>M</v>
      </c>
      <c r="L1821" s="411"/>
      <c r="M1821" s="412"/>
      <c r="N1821" s="442"/>
      <c r="O1821" s="413" t="str">
        <f t="shared" si="334"/>
        <v/>
      </c>
      <c r="P1821" s="413"/>
      <c r="Q1821" s="411"/>
      <c r="R1821" s="413" t="str">
        <f t="shared" si="335"/>
        <v/>
      </c>
      <c r="S1821" s="414">
        <f>+HLOOKUP(A1821,[238]Hoja1!$2:$78,77,FALSE)</f>
        <v>0</v>
      </c>
      <c r="X1821" s="458">
        <f t="shared" si="338"/>
        <v>0</v>
      </c>
      <c r="Y1821" s="471">
        <f t="shared" si="339"/>
        <v>0</v>
      </c>
    </row>
    <row r="1822" spans="1:25">
      <c r="A1822" s="383">
        <v>25</v>
      </c>
      <c r="C1822" s="406"/>
      <c r="D1822" s="407"/>
      <c r="E1822" s="407"/>
      <c r="F1822" s="407"/>
      <c r="G1822" s="407"/>
      <c r="H1822" s="407"/>
      <c r="I1822" s="408" t="s">
        <v>436</v>
      </c>
      <c r="J1822" s="409" t="str">
        <f t="shared" si="331"/>
        <v>M=(Largo) x Cant</v>
      </c>
      <c r="K1822" s="410" t="str">
        <f t="shared" si="340"/>
        <v>M</v>
      </c>
      <c r="L1822" s="411"/>
      <c r="M1822" s="412"/>
      <c r="N1822" s="442"/>
      <c r="O1822" s="413" t="str">
        <f t="shared" si="334"/>
        <v/>
      </c>
      <c r="P1822" s="413"/>
      <c r="Q1822" s="411"/>
      <c r="R1822" s="413" t="str">
        <f t="shared" si="335"/>
        <v/>
      </c>
      <c r="S1822" s="414">
        <f>+HLOOKUP(A1822,[238]Hoja1!$2:$78,77,FALSE)</f>
        <v>0</v>
      </c>
      <c r="X1822" s="458">
        <f t="shared" si="338"/>
        <v>0</v>
      </c>
      <c r="Y1822" s="471">
        <f t="shared" si="339"/>
        <v>0</v>
      </c>
    </row>
    <row r="1823" spans="1:25">
      <c r="A1823" s="383">
        <v>26</v>
      </c>
      <c r="C1823" s="406"/>
      <c r="D1823" s="407"/>
      <c r="E1823" s="407"/>
      <c r="F1823" s="407"/>
      <c r="G1823" s="407"/>
      <c r="H1823" s="407"/>
      <c r="I1823" s="408" t="s">
        <v>437</v>
      </c>
      <c r="J1823" s="409" t="str">
        <f t="shared" si="331"/>
        <v>M=(Largo) x Cant</v>
      </c>
      <c r="K1823" s="410" t="str">
        <f>+K1812</f>
        <v>M</v>
      </c>
      <c r="L1823" s="411"/>
      <c r="M1823" s="412"/>
      <c r="N1823" s="442"/>
      <c r="O1823" s="413" t="str">
        <f t="shared" si="334"/>
        <v/>
      </c>
      <c r="P1823" s="413"/>
      <c r="Q1823" s="411"/>
      <c r="R1823" s="413" t="str">
        <f t="shared" si="335"/>
        <v/>
      </c>
      <c r="S1823" s="414">
        <f>+HLOOKUP(A1823,[238]Hoja1!$2:$78,77,FALSE)</f>
        <v>0</v>
      </c>
      <c r="X1823" s="458">
        <f t="shared" si="338"/>
        <v>0</v>
      </c>
      <c r="Y1823" s="471">
        <f t="shared" si="339"/>
        <v>0</v>
      </c>
    </row>
    <row r="1824" spans="1:25">
      <c r="A1824" s="383">
        <v>27</v>
      </c>
      <c r="C1824" s="406"/>
      <c r="D1824" s="407"/>
      <c r="E1824" s="407"/>
      <c r="F1824" s="407"/>
      <c r="G1824" s="407"/>
      <c r="H1824" s="407"/>
      <c r="I1824" s="408" t="s">
        <v>438</v>
      </c>
      <c r="J1824" s="409" t="str">
        <f t="shared" si="331"/>
        <v>M=(Largo) x Cant</v>
      </c>
      <c r="K1824" s="410" t="str">
        <f t="shared" ref="K1824:K1832" si="341">+K1823</f>
        <v>M</v>
      </c>
      <c r="L1824" s="411"/>
      <c r="M1824" s="412"/>
      <c r="N1824" s="442"/>
      <c r="O1824" s="413" t="str">
        <f t="shared" si="334"/>
        <v/>
      </c>
      <c r="P1824" s="413"/>
      <c r="Q1824" s="411"/>
      <c r="R1824" s="413" t="str">
        <f t="shared" si="335"/>
        <v/>
      </c>
      <c r="S1824" s="414">
        <f>+HLOOKUP(A1824,[238]Hoja1!$2:$78,77,FALSE)</f>
        <v>0</v>
      </c>
      <c r="X1824" s="458">
        <f t="shared" si="338"/>
        <v>0</v>
      </c>
      <c r="Y1824" s="471">
        <f t="shared" si="339"/>
        <v>0</v>
      </c>
    </row>
    <row r="1825" spans="1:25">
      <c r="A1825" s="383">
        <v>28</v>
      </c>
      <c r="C1825" s="406"/>
      <c r="D1825" s="440"/>
      <c r="E1825" s="407"/>
      <c r="F1825" s="407"/>
      <c r="G1825" s="407"/>
      <c r="H1825" s="437"/>
      <c r="I1825" s="408" t="s">
        <v>439</v>
      </c>
      <c r="J1825" s="409" t="str">
        <f t="shared" si="331"/>
        <v>M=(Largo) x Cant</v>
      </c>
      <c r="K1825" s="410" t="str">
        <f t="shared" si="341"/>
        <v>M</v>
      </c>
      <c r="L1825" s="411"/>
      <c r="M1825" s="412"/>
      <c r="N1825" s="442"/>
      <c r="O1825" s="413" t="str">
        <f t="shared" si="334"/>
        <v/>
      </c>
      <c r="P1825" s="413"/>
      <c r="Q1825" s="411"/>
      <c r="R1825" s="413" t="str">
        <f t="shared" si="335"/>
        <v/>
      </c>
      <c r="S1825" s="414">
        <f>+HLOOKUP(A1825,[238]Hoja1!$2:$78,77,FALSE)</f>
        <v>0</v>
      </c>
      <c r="X1825" s="458">
        <f t="shared" si="338"/>
        <v>0</v>
      </c>
      <c r="Y1825" s="471">
        <f t="shared" si="339"/>
        <v>0</v>
      </c>
    </row>
    <row r="1826" spans="1:25">
      <c r="A1826" s="383">
        <v>29</v>
      </c>
      <c r="C1826" s="406"/>
      <c r="D1826" s="407"/>
      <c r="E1826" s="407"/>
      <c r="F1826" s="407"/>
      <c r="G1826" s="407"/>
      <c r="H1826" s="407"/>
      <c r="I1826" s="408" t="s">
        <v>440</v>
      </c>
      <c r="J1826" s="409" t="str">
        <f t="shared" si="331"/>
        <v>M=(Largo) x Cant</v>
      </c>
      <c r="K1826" s="410" t="str">
        <f t="shared" si="341"/>
        <v>M</v>
      </c>
      <c r="L1826" s="411"/>
      <c r="M1826" s="412"/>
      <c r="N1826" s="443"/>
      <c r="O1826" s="413" t="str">
        <f t="shared" si="334"/>
        <v/>
      </c>
      <c r="P1826" s="413"/>
      <c r="Q1826" s="411"/>
      <c r="R1826" s="413" t="str">
        <f t="shared" si="335"/>
        <v/>
      </c>
      <c r="S1826" s="414">
        <f>+HLOOKUP(A1826,[238]Hoja1!$2:$78,77,FALSE)</f>
        <v>0</v>
      </c>
      <c r="X1826" s="458">
        <f t="shared" si="338"/>
        <v>0</v>
      </c>
      <c r="Y1826" s="471">
        <f t="shared" si="339"/>
        <v>0</v>
      </c>
    </row>
    <row r="1827" spans="1:25">
      <c r="A1827" s="383">
        <v>30</v>
      </c>
      <c r="C1827" s="406"/>
      <c r="D1827" s="407"/>
      <c r="E1827" s="407"/>
      <c r="F1827" s="407"/>
      <c r="G1827" s="407"/>
      <c r="H1827" s="407"/>
      <c r="I1827" s="408" t="s">
        <v>441</v>
      </c>
      <c r="J1827" s="409" t="str">
        <f t="shared" si="331"/>
        <v>M=(Largo) x Cant</v>
      </c>
      <c r="K1827" s="410" t="str">
        <f t="shared" si="341"/>
        <v>M</v>
      </c>
      <c r="L1827" s="411"/>
      <c r="M1827" s="412"/>
      <c r="N1827" s="442"/>
      <c r="O1827" s="413" t="str">
        <f t="shared" si="334"/>
        <v/>
      </c>
      <c r="P1827" s="413"/>
      <c r="Q1827" s="411"/>
      <c r="R1827" s="413" t="str">
        <f t="shared" si="335"/>
        <v/>
      </c>
      <c r="S1827" s="414">
        <f>+HLOOKUP(A1827,[238]Hoja1!$2:$78,77,FALSE)</f>
        <v>0</v>
      </c>
      <c r="X1827" s="458">
        <f t="shared" si="338"/>
        <v>0</v>
      </c>
      <c r="Y1827" s="471">
        <f t="shared" si="339"/>
        <v>0</v>
      </c>
    </row>
    <row r="1828" spans="1:25">
      <c r="A1828" s="383">
        <v>31</v>
      </c>
      <c r="C1828" s="406"/>
      <c r="D1828" s="407"/>
      <c r="E1828" s="407"/>
      <c r="F1828" s="407"/>
      <c r="G1828" s="407"/>
      <c r="H1828" s="407"/>
      <c r="I1828" s="408" t="s">
        <v>442</v>
      </c>
      <c r="J1828" s="409" t="str">
        <f t="shared" si="331"/>
        <v>M=(Largo) x Cant</v>
      </c>
      <c r="K1828" s="410" t="str">
        <f t="shared" si="341"/>
        <v>M</v>
      </c>
      <c r="L1828" s="411"/>
      <c r="M1828" s="412"/>
      <c r="N1828" s="442"/>
      <c r="O1828" s="413" t="str">
        <f t="shared" si="334"/>
        <v/>
      </c>
      <c r="P1828" s="413"/>
      <c r="Q1828" s="411"/>
      <c r="R1828" s="413" t="str">
        <f t="shared" si="335"/>
        <v/>
      </c>
      <c r="S1828" s="414">
        <f>+HLOOKUP(A1828,[238]Hoja1!$2:$78,77,FALSE)</f>
        <v>0</v>
      </c>
      <c r="X1828" s="458">
        <f t="shared" si="338"/>
        <v>0</v>
      </c>
      <c r="Y1828" s="471">
        <f t="shared" si="339"/>
        <v>0</v>
      </c>
    </row>
    <row r="1829" spans="1:25">
      <c r="A1829" s="383">
        <v>32</v>
      </c>
      <c r="C1829" s="406"/>
      <c r="D1829" s="407"/>
      <c r="E1829" s="407"/>
      <c r="F1829" s="407"/>
      <c r="G1829" s="407"/>
      <c r="H1829" s="407"/>
      <c r="I1829" s="408" t="s">
        <v>443</v>
      </c>
      <c r="J1829" s="409" t="str">
        <f t="shared" si="331"/>
        <v>M=(Largo) x Cant</v>
      </c>
      <c r="K1829" s="410" t="str">
        <f t="shared" si="341"/>
        <v>M</v>
      </c>
      <c r="L1829" s="411"/>
      <c r="M1829" s="412"/>
      <c r="N1829" s="442"/>
      <c r="O1829" s="413" t="str">
        <f t="shared" si="334"/>
        <v/>
      </c>
      <c r="P1829" s="413"/>
      <c r="Q1829" s="411"/>
      <c r="R1829" s="413" t="str">
        <f t="shared" si="335"/>
        <v/>
      </c>
      <c r="S1829" s="414">
        <f>+HLOOKUP(A1829,[238]Hoja1!$2:$78,77,FALSE)</f>
        <v>0</v>
      </c>
      <c r="X1829" s="458">
        <f t="shared" si="338"/>
        <v>0</v>
      </c>
      <c r="Y1829" s="471">
        <f t="shared" si="339"/>
        <v>0</v>
      </c>
    </row>
    <row r="1830" spans="1:25">
      <c r="A1830" s="383">
        <v>33</v>
      </c>
      <c r="C1830" s="406"/>
      <c r="D1830" s="407"/>
      <c r="E1830" s="407"/>
      <c r="F1830" s="407"/>
      <c r="G1830" s="407"/>
      <c r="H1830" s="407"/>
      <c r="I1830" s="408" t="s">
        <v>444</v>
      </c>
      <c r="J1830" s="409" t="str">
        <f t="shared" si="331"/>
        <v>M=(Largo) x Cant</v>
      </c>
      <c r="K1830" s="410" t="str">
        <f t="shared" si="341"/>
        <v>M</v>
      </c>
      <c r="L1830" s="411"/>
      <c r="M1830" s="412"/>
      <c r="N1830" s="442"/>
      <c r="O1830" s="413" t="str">
        <f t="shared" si="334"/>
        <v/>
      </c>
      <c r="P1830" s="413"/>
      <c r="Q1830" s="411"/>
      <c r="R1830" s="413" t="str">
        <f t="shared" si="335"/>
        <v/>
      </c>
      <c r="S1830" s="414">
        <f>+HLOOKUP(A1830,[238]Hoja1!$2:$78,77,FALSE)</f>
        <v>0</v>
      </c>
      <c r="X1830" s="458">
        <f t="shared" si="338"/>
        <v>0</v>
      </c>
      <c r="Y1830" s="471">
        <f t="shared" si="339"/>
        <v>0</v>
      </c>
    </row>
    <row r="1831" spans="1:25">
      <c r="A1831" s="383">
        <v>34</v>
      </c>
      <c r="C1831" s="406"/>
      <c r="D1831" s="407"/>
      <c r="E1831" s="407"/>
      <c r="F1831" s="407"/>
      <c r="G1831" s="407"/>
      <c r="H1831" s="407"/>
      <c r="I1831" s="408" t="s">
        <v>445</v>
      </c>
      <c r="J1831" s="409" t="str">
        <f t="shared" si="331"/>
        <v>M=(Largo) x Cant</v>
      </c>
      <c r="K1831" s="410" t="str">
        <f t="shared" si="341"/>
        <v>M</v>
      </c>
      <c r="L1831" s="411"/>
      <c r="M1831" s="412"/>
      <c r="N1831" s="441"/>
      <c r="O1831" s="413" t="str">
        <f t="shared" si="334"/>
        <v/>
      </c>
      <c r="P1831" s="413"/>
      <c r="Q1831" s="411"/>
      <c r="R1831" s="413" t="str">
        <f t="shared" si="335"/>
        <v/>
      </c>
      <c r="S1831" s="414">
        <f>+HLOOKUP(A1831,[238]Hoja1!$2:$78,77,FALSE)</f>
        <v>0</v>
      </c>
      <c r="X1831" s="458">
        <f t="shared" si="338"/>
        <v>0</v>
      </c>
      <c r="Y1831" s="471">
        <f t="shared" si="339"/>
        <v>0</v>
      </c>
    </row>
    <row r="1832" spans="1:25">
      <c r="A1832" s="383">
        <v>35</v>
      </c>
      <c r="C1832" s="406"/>
      <c r="D1832" s="440"/>
      <c r="E1832" s="407"/>
      <c r="F1832" s="407"/>
      <c r="G1832" s="407"/>
      <c r="H1832" s="437"/>
      <c r="I1832" s="408" t="s">
        <v>446</v>
      </c>
      <c r="J1832" s="409" t="str">
        <f t="shared" si="331"/>
        <v>M=(Largo) x Cant</v>
      </c>
      <c r="K1832" s="410" t="str">
        <f t="shared" si="341"/>
        <v>M</v>
      </c>
      <c r="L1832" s="411"/>
      <c r="M1832" s="412"/>
      <c r="N1832" s="442"/>
      <c r="O1832" s="413" t="str">
        <f t="shared" si="334"/>
        <v/>
      </c>
      <c r="P1832" s="413"/>
      <c r="Q1832" s="411"/>
      <c r="R1832" s="413" t="str">
        <f t="shared" si="335"/>
        <v/>
      </c>
      <c r="S1832" s="414">
        <f>+HLOOKUP(A1832,[238]Hoja1!$2:$78,77,FALSE)</f>
        <v>0</v>
      </c>
      <c r="X1832" s="458">
        <f t="shared" si="338"/>
        <v>0</v>
      </c>
      <c r="Y1832" s="471">
        <f t="shared" si="339"/>
        <v>0</v>
      </c>
    </row>
    <row r="1833" spans="1:25">
      <c r="A1833" s="383">
        <v>36</v>
      </c>
      <c r="C1833" s="406"/>
      <c r="D1833" s="407"/>
      <c r="E1833" s="407"/>
      <c r="F1833" s="407"/>
      <c r="G1833" s="407"/>
      <c r="H1833" s="407"/>
      <c r="I1833" s="408" t="s">
        <v>447</v>
      </c>
      <c r="J1833" s="409" t="str">
        <f t="shared" si="331"/>
        <v>M=(Largo) x Cant</v>
      </c>
      <c r="K1833" s="410" t="str">
        <f>+K1822</f>
        <v>M</v>
      </c>
      <c r="L1833" s="411"/>
      <c r="M1833" s="412"/>
      <c r="N1833" s="442"/>
      <c r="O1833" s="413" t="str">
        <f t="shared" si="334"/>
        <v/>
      </c>
      <c r="P1833" s="413"/>
      <c r="Q1833" s="411"/>
      <c r="R1833" s="413" t="str">
        <f t="shared" si="335"/>
        <v/>
      </c>
      <c r="S1833" s="414">
        <f>+HLOOKUP(A1833,[238]Hoja1!$2:$78,77,FALSE)</f>
        <v>0</v>
      </c>
      <c r="X1833" s="458">
        <f t="shared" si="338"/>
        <v>0</v>
      </c>
      <c r="Y1833" s="471">
        <f t="shared" si="339"/>
        <v>0</v>
      </c>
    </row>
    <row r="1834" spans="1:25">
      <c r="A1834" s="383">
        <v>37</v>
      </c>
      <c r="C1834" s="406"/>
      <c r="D1834" s="407"/>
      <c r="E1834" s="407"/>
      <c r="F1834" s="407"/>
      <c r="G1834" s="407"/>
      <c r="H1834" s="407"/>
      <c r="I1834" s="408" t="s">
        <v>448</v>
      </c>
      <c r="J1834" s="409" t="str">
        <f t="shared" si="331"/>
        <v>M=(Largo) x Cant</v>
      </c>
      <c r="K1834" s="410" t="str">
        <f t="shared" ref="K1834:K1840" si="342">+K1833</f>
        <v>M</v>
      </c>
      <c r="L1834" s="411"/>
      <c r="M1834" s="412"/>
      <c r="N1834" s="441"/>
      <c r="O1834" s="413" t="str">
        <f t="shared" si="334"/>
        <v/>
      </c>
      <c r="P1834" s="413"/>
      <c r="Q1834" s="411"/>
      <c r="R1834" s="413" t="str">
        <f t="shared" si="335"/>
        <v/>
      </c>
      <c r="S1834" s="414">
        <f>+HLOOKUP(A1834,[238]Hoja1!$2:$78,77,FALSE)</f>
        <v>0</v>
      </c>
      <c r="X1834" s="458">
        <f t="shared" si="338"/>
        <v>0</v>
      </c>
      <c r="Y1834" s="471">
        <f t="shared" si="339"/>
        <v>0</v>
      </c>
    </row>
    <row r="1835" spans="1:25">
      <c r="A1835" s="383">
        <v>38</v>
      </c>
      <c r="C1835" s="406"/>
      <c r="D1835" s="440"/>
      <c r="E1835" s="407"/>
      <c r="F1835" s="407"/>
      <c r="G1835" s="407"/>
      <c r="H1835" s="437"/>
      <c r="I1835" s="408" t="s">
        <v>449</v>
      </c>
      <c r="J1835" s="409" t="str">
        <f t="shared" si="331"/>
        <v>M=(Largo) x Cant</v>
      </c>
      <c r="K1835" s="410" t="str">
        <f t="shared" si="342"/>
        <v>M</v>
      </c>
      <c r="L1835" s="411"/>
      <c r="M1835" s="412"/>
      <c r="N1835" s="442"/>
      <c r="O1835" s="413" t="str">
        <f t="shared" si="334"/>
        <v/>
      </c>
      <c r="P1835" s="413"/>
      <c r="Q1835" s="411"/>
      <c r="R1835" s="413" t="str">
        <f t="shared" si="335"/>
        <v/>
      </c>
      <c r="S1835" s="414">
        <f>+HLOOKUP(A1835,[238]Hoja1!$2:$78,77,FALSE)</f>
        <v>0</v>
      </c>
      <c r="X1835" s="458">
        <f t="shared" si="338"/>
        <v>0</v>
      </c>
      <c r="Y1835" s="471">
        <f t="shared" si="339"/>
        <v>0</v>
      </c>
    </row>
    <row r="1836" spans="1:25">
      <c r="A1836" s="383">
        <v>39</v>
      </c>
      <c r="C1836" s="406"/>
      <c r="D1836" s="407"/>
      <c r="E1836" s="407"/>
      <c r="F1836" s="407"/>
      <c r="G1836" s="407"/>
      <c r="H1836" s="407"/>
      <c r="I1836" s="408" t="s">
        <v>450</v>
      </c>
      <c r="J1836" s="409" t="str">
        <f t="shared" si="331"/>
        <v>M=(Largo) x Cant</v>
      </c>
      <c r="K1836" s="410" t="str">
        <f t="shared" si="342"/>
        <v>M</v>
      </c>
      <c r="L1836" s="411"/>
      <c r="M1836" s="412"/>
      <c r="N1836" s="441"/>
      <c r="O1836" s="413" t="str">
        <f t="shared" si="334"/>
        <v/>
      </c>
      <c r="P1836" s="413"/>
      <c r="Q1836" s="411"/>
      <c r="R1836" s="413" t="str">
        <f t="shared" si="335"/>
        <v/>
      </c>
      <c r="S1836" s="414">
        <f>+HLOOKUP(A1836,[238]Hoja1!$2:$78,77,FALSE)</f>
        <v>0</v>
      </c>
      <c r="X1836" s="458">
        <f t="shared" si="338"/>
        <v>0</v>
      </c>
      <c r="Y1836" s="471">
        <f t="shared" si="339"/>
        <v>0</v>
      </c>
    </row>
    <row r="1837" spans="1:25">
      <c r="A1837" s="383">
        <v>40</v>
      </c>
      <c r="C1837" s="406"/>
      <c r="D1837" s="407"/>
      <c r="E1837" s="407"/>
      <c r="F1837" s="407"/>
      <c r="G1837" s="407"/>
      <c r="H1837" s="407"/>
      <c r="I1837" s="408" t="s">
        <v>451</v>
      </c>
      <c r="J1837" s="409" t="str">
        <f t="shared" si="331"/>
        <v>M=(Largo) x Cant</v>
      </c>
      <c r="K1837" s="410" t="str">
        <f t="shared" si="342"/>
        <v>M</v>
      </c>
      <c r="L1837" s="411"/>
      <c r="M1837" s="412"/>
      <c r="N1837" s="442"/>
      <c r="O1837" s="413" t="str">
        <f t="shared" si="334"/>
        <v/>
      </c>
      <c r="P1837" s="413"/>
      <c r="Q1837" s="411"/>
      <c r="R1837" s="413" t="str">
        <f t="shared" si="335"/>
        <v/>
      </c>
      <c r="S1837" s="414">
        <f>+HLOOKUP(A1837,[238]Hoja1!$2:$78,77,FALSE)</f>
        <v>0</v>
      </c>
      <c r="X1837" s="458">
        <f t="shared" si="338"/>
        <v>0</v>
      </c>
      <c r="Y1837" s="471">
        <f t="shared" si="339"/>
        <v>0</v>
      </c>
    </row>
    <row r="1838" spans="1:25">
      <c r="A1838" s="383">
        <v>41</v>
      </c>
      <c r="C1838" s="406"/>
      <c r="D1838" s="407"/>
      <c r="E1838" s="407"/>
      <c r="F1838" s="407"/>
      <c r="G1838" s="407"/>
      <c r="H1838" s="407"/>
      <c r="I1838" s="408" t="s">
        <v>452</v>
      </c>
      <c r="J1838" s="409" t="str">
        <f t="shared" si="331"/>
        <v>M=(Largo) x Cant</v>
      </c>
      <c r="K1838" s="410" t="str">
        <f t="shared" si="342"/>
        <v>M</v>
      </c>
      <c r="L1838" s="411"/>
      <c r="M1838" s="412"/>
      <c r="N1838" s="442"/>
      <c r="O1838" s="413" t="str">
        <f t="shared" si="334"/>
        <v/>
      </c>
      <c r="P1838" s="413"/>
      <c r="Q1838" s="411"/>
      <c r="R1838" s="413" t="str">
        <f t="shared" si="335"/>
        <v/>
      </c>
      <c r="S1838" s="414">
        <f>+HLOOKUP(A1838,[238]Hoja1!$2:$78,77,FALSE)</f>
        <v>0</v>
      </c>
      <c r="X1838" s="458">
        <f t="shared" si="338"/>
        <v>0</v>
      </c>
      <c r="Y1838" s="471">
        <f t="shared" si="339"/>
        <v>0</v>
      </c>
    </row>
    <row r="1839" spans="1:25">
      <c r="A1839" s="383">
        <v>42</v>
      </c>
      <c r="C1839" s="406"/>
      <c r="D1839" s="407"/>
      <c r="E1839" s="407"/>
      <c r="F1839" s="407"/>
      <c r="G1839" s="407"/>
      <c r="H1839" s="407"/>
      <c r="I1839" s="408" t="s">
        <v>453</v>
      </c>
      <c r="J1839" s="409" t="str">
        <f t="shared" si="331"/>
        <v>M=(Largo) x Cant</v>
      </c>
      <c r="K1839" s="410" t="str">
        <f t="shared" si="342"/>
        <v>M</v>
      </c>
      <c r="L1839" s="411"/>
      <c r="M1839" s="412"/>
      <c r="N1839" s="442"/>
      <c r="O1839" s="413" t="str">
        <f t="shared" si="334"/>
        <v/>
      </c>
      <c r="P1839" s="413"/>
      <c r="Q1839" s="411"/>
      <c r="R1839" s="413" t="str">
        <f t="shared" si="335"/>
        <v/>
      </c>
      <c r="S1839" s="414">
        <f>+HLOOKUP(A1839,[238]Hoja1!$2:$78,77,FALSE)</f>
        <v>0</v>
      </c>
      <c r="X1839" s="458">
        <f t="shared" si="338"/>
        <v>0</v>
      </c>
      <c r="Y1839" s="471">
        <f t="shared" si="339"/>
        <v>0</v>
      </c>
    </row>
    <row r="1840" spans="1:25" ht="13.5" thickBot="1">
      <c r="A1840" s="383">
        <v>43</v>
      </c>
      <c r="C1840" s="406"/>
      <c r="D1840" s="407"/>
      <c r="E1840" s="407"/>
      <c r="F1840" s="407"/>
      <c r="G1840" s="407"/>
      <c r="H1840" s="407"/>
      <c r="I1840" s="408" t="s">
        <v>454</v>
      </c>
      <c r="J1840" s="409" t="str">
        <f t="shared" si="331"/>
        <v>M=(Largo) x Cant</v>
      </c>
      <c r="K1840" s="410" t="str">
        <f t="shared" si="342"/>
        <v>M</v>
      </c>
      <c r="L1840" s="411"/>
      <c r="M1840" s="412"/>
      <c r="N1840" s="442"/>
      <c r="O1840" s="413" t="str">
        <f t="shared" si="334"/>
        <v/>
      </c>
      <c r="P1840" s="413"/>
      <c r="Q1840" s="411"/>
      <c r="R1840" s="413" t="str">
        <f t="shared" si="335"/>
        <v/>
      </c>
      <c r="S1840" s="414">
        <f>+HLOOKUP(A1840,[238]Hoja1!$2:$78,77,FALSE)</f>
        <v>0</v>
      </c>
      <c r="X1840" s="458">
        <f t="shared" si="338"/>
        <v>0</v>
      </c>
      <c r="Y1840" s="471">
        <f t="shared" si="339"/>
        <v>0</v>
      </c>
    </row>
    <row r="1841" spans="3:19">
      <c r="C1841" s="384"/>
      <c r="D1841" s="419"/>
      <c r="E1841" s="420"/>
      <c r="F1841" s="421"/>
      <c r="G1841" s="421"/>
      <c r="H1841" s="421"/>
      <c r="I1841" s="421"/>
      <c r="J1841" s="422"/>
      <c r="K1841" s="421"/>
      <c r="L1841" s="421"/>
      <c r="M1841" s="421"/>
      <c r="N1841" s="421"/>
      <c r="O1841" s="421"/>
      <c r="P1841" s="421"/>
      <c r="Q1841" s="421"/>
      <c r="R1841" s="422"/>
      <c r="S1841" s="423"/>
    </row>
    <row r="1842" spans="3:19">
      <c r="C1842" s="396"/>
      <c r="D1842" s="397"/>
      <c r="E1842" s="424"/>
      <c r="F1842" s="425"/>
      <c r="G1842" s="425"/>
      <c r="H1842" s="425"/>
      <c r="I1842" s="425"/>
      <c r="J1842" s="398"/>
      <c r="K1842" s="425"/>
      <c r="L1842" s="425"/>
      <c r="M1842" s="397"/>
      <c r="N1842" s="397"/>
      <c r="O1842" s="562" t="s">
        <v>455</v>
      </c>
      <c r="P1842" s="563"/>
      <c r="Q1842" s="564"/>
      <c r="R1842" s="426"/>
      <c r="S1842" s="427">
        <f>ROUND(SUM(S1798:S1841),2)</f>
        <v>40.9</v>
      </c>
    </row>
    <row r="1843" spans="3:19">
      <c r="C1843" s="396"/>
      <c r="D1843" s="397"/>
      <c r="E1843" s="424"/>
      <c r="F1843" s="425"/>
      <c r="G1843" s="425"/>
      <c r="H1843" s="425"/>
      <c r="I1843" s="425"/>
      <c r="J1843" s="398"/>
      <c r="K1843" s="425"/>
      <c r="L1843" s="425"/>
      <c r="M1843" s="428"/>
      <c r="N1843" s="428"/>
      <c r="O1843" s="429"/>
      <c r="P1843" s="425"/>
      <c r="Q1843" s="425"/>
      <c r="R1843" s="430"/>
      <c r="S1843" s="431"/>
    </row>
    <row r="1844" spans="3:19">
      <c r="C1844" s="565" t="e">
        <v>#REF!</v>
      </c>
      <c r="D1844" s="566"/>
      <c r="E1844" s="566"/>
      <c r="F1844" s="566"/>
      <c r="G1844" s="566"/>
      <c r="H1844" s="566"/>
      <c r="I1844" s="566"/>
      <c r="J1844" s="566"/>
      <c r="K1844" s="566"/>
      <c r="L1844" s="566"/>
      <c r="M1844" s="566"/>
      <c r="N1844" s="567"/>
      <c r="O1844" s="568" t="s">
        <v>422</v>
      </c>
      <c r="P1844" s="568"/>
      <c r="Q1844" s="568"/>
      <c r="R1844" s="426"/>
      <c r="S1844" s="427">
        <f>S1842</f>
        <v>40.9</v>
      </c>
    </row>
    <row r="1845" spans="3:19">
      <c r="C1845" s="396"/>
      <c r="D1845" s="397"/>
      <c r="E1845" s="424"/>
      <c r="F1845" s="425"/>
      <c r="G1845" s="425"/>
      <c r="H1845" s="425"/>
      <c r="I1845" s="425"/>
      <c r="J1845" s="398"/>
      <c r="K1845" s="425"/>
      <c r="L1845" s="425"/>
      <c r="M1845" s="428"/>
      <c r="N1845" s="428"/>
      <c r="O1845" s="429"/>
      <c r="P1845" s="425"/>
      <c r="Q1845" s="398"/>
      <c r="R1845" s="398"/>
      <c r="S1845" s="432"/>
    </row>
    <row r="1846" spans="3:19">
      <c r="C1846" s="396"/>
      <c r="D1846" s="397"/>
      <c r="E1846" s="424"/>
      <c r="F1846" s="425"/>
      <c r="G1846" s="425"/>
      <c r="H1846" s="425"/>
      <c r="I1846" s="425"/>
      <c r="J1846" s="398"/>
      <c r="K1846" s="425"/>
      <c r="L1846" s="425"/>
      <c r="M1846" s="428"/>
      <c r="N1846" s="428"/>
      <c r="O1846" s="429"/>
      <c r="P1846" s="425"/>
      <c r="Q1846" s="398"/>
      <c r="R1846" s="398"/>
      <c r="S1846" s="432"/>
    </row>
    <row r="1847" spans="3:19">
      <c r="C1847" s="569" t="s">
        <v>423</v>
      </c>
      <c r="D1847" s="570"/>
      <c r="E1847" s="570"/>
      <c r="F1847" s="570"/>
      <c r="G1847" s="570"/>
      <c r="H1847" s="570"/>
      <c r="I1847" s="570"/>
      <c r="J1847" s="571"/>
      <c r="K1847" s="433" t="s">
        <v>424</v>
      </c>
      <c r="L1847" s="434"/>
      <c r="M1847" s="434"/>
      <c r="N1847" s="434"/>
      <c r="O1847" s="434"/>
      <c r="P1847" s="434"/>
      <c r="Q1847" s="434"/>
      <c r="R1847" s="434"/>
      <c r="S1847" s="435"/>
    </row>
    <row r="1848" spans="3:19">
      <c r="C1848" s="542"/>
      <c r="D1848" s="543"/>
      <c r="E1848" s="543"/>
      <c r="F1848" s="543"/>
      <c r="G1848" s="436"/>
      <c r="H1848" s="436"/>
      <c r="I1848" s="436"/>
      <c r="J1848" s="447"/>
      <c r="K1848" s="436"/>
      <c r="L1848" s="407"/>
      <c r="M1848" s="407"/>
      <c r="N1848" s="407"/>
      <c r="O1848" s="407"/>
      <c r="P1848" s="407"/>
      <c r="Q1848" s="407"/>
      <c r="R1848" s="407"/>
      <c r="S1848" s="437"/>
    </row>
    <row r="1849" spans="3:19">
      <c r="C1849" s="542"/>
      <c r="D1849" s="543"/>
      <c r="E1849" s="543"/>
      <c r="F1849" s="543"/>
      <c r="G1849" s="436"/>
      <c r="H1849" s="436"/>
      <c r="I1849" s="436"/>
      <c r="J1849" s="447"/>
      <c r="K1849" s="436"/>
      <c r="L1849" s="407"/>
      <c r="M1849" s="407"/>
      <c r="N1849" s="407"/>
      <c r="O1849" s="407"/>
      <c r="P1849" s="407"/>
      <c r="Q1849" s="407"/>
      <c r="R1849" s="407"/>
      <c r="S1849" s="437"/>
    </row>
    <row r="1850" spans="3:19">
      <c r="C1850" s="542" t="s">
        <v>425</v>
      </c>
      <c r="D1850" s="543"/>
      <c r="E1850" s="543" t="s">
        <v>425</v>
      </c>
      <c r="F1850" s="543"/>
      <c r="G1850" s="543" t="s">
        <v>425</v>
      </c>
      <c r="H1850" s="543"/>
      <c r="I1850" s="543" t="s">
        <v>425</v>
      </c>
      <c r="J1850" s="544"/>
      <c r="K1850" s="545" t="s">
        <v>426</v>
      </c>
      <c r="L1850" s="546"/>
      <c r="M1850" s="546"/>
      <c r="N1850" s="546"/>
      <c r="O1850" s="546"/>
      <c r="P1850" s="546"/>
      <c r="Q1850" s="546"/>
      <c r="R1850" s="546"/>
      <c r="S1850" s="547"/>
    </row>
    <row r="1851" spans="3:19">
      <c r="C1851" s="548" t="str">
        <f>+[42]DATOS!D$8</f>
        <v>HELMER EDUARDO BECERRA SANTANDER</v>
      </c>
      <c r="D1851" s="549"/>
      <c r="E1851" s="549" t="s">
        <v>427</v>
      </c>
      <c r="F1851" s="549"/>
      <c r="G1851" s="549" t="s">
        <v>427</v>
      </c>
      <c r="H1851" s="549"/>
      <c r="I1851" s="549" t="s">
        <v>427</v>
      </c>
      <c r="J1851" s="550"/>
      <c r="K1851" s="551" t="str">
        <f>+[42]DATOS!D$11</f>
        <v>JESUS IVAN QUIÑONES RUEDA</v>
      </c>
      <c r="L1851" s="549"/>
      <c r="M1851" s="549"/>
      <c r="N1851" s="549"/>
      <c r="O1851" s="549"/>
      <c r="P1851" s="549"/>
      <c r="Q1851" s="549"/>
      <c r="R1851" s="549"/>
      <c r="S1851" s="552"/>
    </row>
    <row r="1852" spans="3:19">
      <c r="C1852" s="553" t="str">
        <f>+$C$72</f>
        <v>APOYO SEC. DE PLANEACION Y OBRAS PÚBLICAS</v>
      </c>
      <c r="D1852" s="554"/>
      <c r="E1852" s="554" t="s">
        <v>428</v>
      </c>
      <c r="F1852" s="554"/>
      <c r="G1852" s="554" t="s">
        <v>428</v>
      </c>
      <c r="H1852" s="554"/>
      <c r="I1852" s="554" t="s">
        <v>428</v>
      </c>
      <c r="J1852" s="555"/>
      <c r="K1852" s="556" t="str">
        <f>+$K$72</f>
        <v>SECRETARIO DE PLANEACION Y OBRAS PÚBLICAS</v>
      </c>
      <c r="L1852" s="554"/>
      <c r="M1852" s="554"/>
      <c r="N1852" s="554"/>
      <c r="O1852" s="554"/>
      <c r="P1852" s="554"/>
      <c r="Q1852" s="554"/>
      <c r="R1852" s="554"/>
      <c r="S1852" s="557"/>
    </row>
    <row r="1853" spans="3:19">
      <c r="C1853" s="406"/>
      <c r="D1853" s="407"/>
      <c r="E1853" s="407"/>
      <c r="F1853" s="407"/>
      <c r="G1853" s="407"/>
      <c r="H1853" s="407"/>
      <c r="I1853" s="407"/>
      <c r="J1853" s="407"/>
      <c r="K1853" s="407"/>
      <c r="L1853" s="407"/>
      <c r="M1853" s="407"/>
      <c r="N1853" s="407"/>
      <c r="O1853" s="407"/>
      <c r="P1853" s="407"/>
      <c r="Q1853" s="407"/>
      <c r="R1853" s="407"/>
      <c r="S1853" s="437"/>
    </row>
    <row r="1854" spans="3:19" ht="111" customHeight="1" thickBot="1">
      <c r="C1854" s="417"/>
      <c r="D1854" s="418"/>
      <c r="E1854" s="418"/>
      <c r="F1854" s="418"/>
      <c r="G1854" s="418"/>
      <c r="H1854" s="418"/>
      <c r="I1854" s="418"/>
      <c r="J1854" s="418"/>
      <c r="K1854" s="418"/>
      <c r="L1854" s="418"/>
      <c r="M1854" s="418"/>
      <c r="N1854" s="418"/>
      <c r="O1854" s="418"/>
      <c r="P1854" s="418"/>
      <c r="Q1854" s="418"/>
      <c r="R1854" s="418"/>
      <c r="S1854" s="438"/>
    </row>
    <row r="1855" spans="3:19" ht="22.5" customHeight="1"/>
    <row r="1856" spans="3:19" ht="13.5" thickBot="1"/>
    <row r="1857" spans="1:32">
      <c r="C1857" s="384"/>
      <c r="D1857" s="385"/>
      <c r="E1857" s="385"/>
      <c r="F1857" s="385"/>
      <c r="G1857" s="385"/>
      <c r="H1857" s="385"/>
      <c r="I1857" s="385"/>
      <c r="J1857" s="445"/>
      <c r="K1857" s="385"/>
      <c r="L1857" s="385"/>
      <c r="M1857" s="385"/>
      <c r="N1857" s="385"/>
      <c r="O1857" s="385"/>
      <c r="P1857" s="385"/>
      <c r="Q1857" s="385"/>
      <c r="R1857" s="385"/>
      <c r="S1857" s="386"/>
    </row>
    <row r="1858" spans="1:32" ht="121.5" customHeight="1" thickBot="1">
      <c r="C1858" s="387"/>
      <c r="D1858" s="388"/>
      <c r="E1858" s="388"/>
      <c r="F1858" s="388"/>
      <c r="G1858" s="388"/>
      <c r="H1858" s="388"/>
      <c r="I1858" s="388"/>
      <c r="J1858" s="446"/>
      <c r="K1858" s="388"/>
      <c r="L1858" s="388"/>
      <c r="M1858" s="388"/>
      <c r="N1858" s="388"/>
      <c r="O1858" s="388"/>
      <c r="P1858" s="388"/>
      <c r="Q1858" s="388"/>
      <c r="R1858" s="388"/>
      <c r="S1858" s="389"/>
    </row>
    <row r="1859" spans="1:32">
      <c r="C1859" s="592" t="str">
        <f>+[42]DATOS!C$7</f>
        <v>MEJORAMIENTO DE VIVIENDA CON ENFOQUE DIFERENCIAL PARA POBLACIÓN VULNERABLE EN EL MUNICIPIO DE CUBARÁ, BOYACÁ (2026).</v>
      </c>
      <c r="D1859" s="593"/>
      <c r="E1859" s="593"/>
      <c r="F1859" s="593"/>
      <c r="G1859" s="593"/>
      <c r="H1859" s="593"/>
      <c r="I1859" s="593"/>
      <c r="J1859" s="593"/>
      <c r="K1859" s="593"/>
      <c r="L1859" s="593"/>
      <c r="M1859" s="593"/>
      <c r="N1859" s="593"/>
      <c r="O1859" s="593"/>
      <c r="P1859" s="593"/>
      <c r="Q1859" s="593"/>
      <c r="R1859" s="593"/>
      <c r="S1859" s="594"/>
    </row>
    <row r="1860" spans="1:32">
      <c r="C1860" s="595"/>
      <c r="D1860" s="596"/>
      <c r="E1860" s="596"/>
      <c r="F1860" s="596"/>
      <c r="G1860" s="596"/>
      <c r="H1860" s="596"/>
      <c r="I1860" s="596"/>
      <c r="J1860" s="596"/>
      <c r="K1860" s="596"/>
      <c r="L1860" s="596"/>
      <c r="M1860" s="596"/>
      <c r="N1860" s="596"/>
      <c r="O1860" s="596"/>
      <c r="P1860" s="596"/>
      <c r="Q1860" s="596"/>
      <c r="R1860" s="596"/>
      <c r="S1860" s="597"/>
    </row>
    <row r="1861" spans="1:32">
      <c r="C1861" s="598" t="s">
        <v>371</v>
      </c>
      <c r="D1861" s="599"/>
      <c r="E1861" s="599"/>
      <c r="F1861" s="599"/>
      <c r="G1861" s="599"/>
      <c r="H1861" s="599"/>
      <c r="I1861" s="599"/>
      <c r="J1861" s="599"/>
      <c r="K1861" s="599"/>
      <c r="L1861" s="599"/>
      <c r="M1861" s="599"/>
      <c r="N1861" s="599"/>
      <c r="O1861" s="599"/>
      <c r="P1861" s="599"/>
      <c r="Q1861" s="599"/>
      <c r="R1861" s="599"/>
      <c r="S1861" s="600"/>
    </row>
    <row r="1862" spans="1:32">
      <c r="C1862" s="586" t="s">
        <v>372</v>
      </c>
      <c r="D1862" s="587"/>
      <c r="E1862" s="601" t="s">
        <v>373</v>
      </c>
      <c r="F1862" s="601"/>
      <c r="G1862" s="601"/>
      <c r="H1862" s="601"/>
      <c r="I1862" s="601"/>
      <c r="J1862" s="601"/>
      <c r="K1862" s="601"/>
      <c r="L1862" s="601"/>
      <c r="M1862" s="601"/>
      <c r="N1862" s="601"/>
      <c r="O1862" s="601"/>
      <c r="P1862" s="601"/>
      <c r="Q1862" s="601"/>
      <c r="R1862" s="601"/>
      <c r="S1862" s="602"/>
    </row>
    <row r="1863" spans="1:32">
      <c r="C1863" s="586" t="s">
        <v>374</v>
      </c>
      <c r="D1863" s="587"/>
      <c r="E1863" s="603" t="s">
        <v>375</v>
      </c>
      <c r="F1863" s="604"/>
      <c r="G1863" s="604"/>
      <c r="H1863" s="604"/>
      <c r="I1863" s="604"/>
      <c r="J1863" s="604"/>
      <c r="K1863" s="604"/>
      <c r="L1863" s="604"/>
      <c r="M1863" s="604"/>
      <c r="N1863" s="604"/>
      <c r="O1863" s="604"/>
      <c r="P1863" s="604"/>
      <c r="Q1863" s="604"/>
      <c r="R1863" s="604"/>
      <c r="S1863" s="605"/>
    </row>
    <row r="1864" spans="1:32">
      <c r="C1864" s="586" t="s">
        <v>376</v>
      </c>
      <c r="D1864" s="587"/>
      <c r="E1864" s="390">
        <f>+[42]DATOS!F$5</f>
        <v>46143</v>
      </c>
      <c r="F1864" s="391"/>
      <c r="G1864" s="391"/>
      <c r="H1864" s="391"/>
      <c r="I1864" s="391"/>
      <c r="J1864" s="391"/>
      <c r="K1864" s="568" t="s">
        <v>377</v>
      </c>
      <c r="L1864" s="568"/>
      <c r="M1864" s="588" t="s">
        <v>378</v>
      </c>
      <c r="N1864" s="588"/>
      <c r="O1864" s="588"/>
      <c r="P1864" s="588"/>
      <c r="Q1864" s="588"/>
      <c r="R1864" s="588"/>
      <c r="S1864" s="589"/>
    </row>
    <row r="1865" spans="1:32" ht="25.5">
      <c r="C1865" s="586" t="s">
        <v>379</v>
      </c>
      <c r="D1865" s="587"/>
      <c r="E1865" s="590" t="s">
        <v>380</v>
      </c>
      <c r="F1865" s="591"/>
      <c r="G1865" s="392">
        <f>+[42]DATOS!E$5</f>
        <v>2026</v>
      </c>
      <c r="H1865" s="393" t="s">
        <v>381</v>
      </c>
      <c r="I1865" s="394">
        <f>+[42]DATOS!E$5</f>
        <v>2026</v>
      </c>
      <c r="J1865" s="395"/>
      <c r="K1865" s="568" t="s">
        <v>382</v>
      </c>
      <c r="L1865" s="568"/>
      <c r="M1865" s="588" t="s">
        <v>383</v>
      </c>
      <c r="N1865" s="588"/>
      <c r="O1865" s="588"/>
      <c r="P1865" s="588"/>
      <c r="Q1865" s="588"/>
      <c r="R1865" s="588"/>
      <c r="S1865" s="589"/>
    </row>
    <row r="1866" spans="1:32">
      <c r="C1866" s="396"/>
      <c r="D1866" s="397"/>
      <c r="E1866" s="397"/>
      <c r="F1866" s="398"/>
      <c r="G1866" s="398"/>
      <c r="H1866" s="398"/>
      <c r="I1866" s="398"/>
      <c r="J1866" s="398"/>
      <c r="K1866" s="398"/>
      <c r="L1866" s="398"/>
      <c r="M1866" s="398"/>
      <c r="N1866" s="398"/>
      <c r="O1866" s="398"/>
      <c r="P1866" s="398"/>
      <c r="Q1866" s="398"/>
      <c r="R1866" s="398"/>
      <c r="S1866" s="399"/>
    </row>
    <row r="1867" spans="1:32">
      <c r="C1867" s="572" t="s">
        <v>384</v>
      </c>
      <c r="D1867" s="573"/>
      <c r="E1867" s="573"/>
      <c r="F1867" s="573"/>
      <c r="G1867" s="573"/>
      <c r="H1867" s="573"/>
      <c r="I1867" s="573"/>
      <c r="J1867" s="573"/>
      <c r="K1867" s="573"/>
      <c r="L1867" s="573"/>
      <c r="M1867" s="573"/>
      <c r="N1867" s="573"/>
      <c r="O1867" s="573"/>
      <c r="P1867" s="573"/>
      <c r="Q1867" s="573"/>
      <c r="R1867" s="573"/>
      <c r="S1867" s="574"/>
    </row>
    <row r="1868" spans="1:32">
      <c r="C1868" s="396"/>
      <c r="D1868" s="397"/>
      <c r="E1868" s="397"/>
      <c r="F1868" s="398"/>
      <c r="G1868" s="398"/>
      <c r="H1868" s="398"/>
      <c r="I1868" s="398"/>
      <c r="J1868" s="398"/>
      <c r="K1868" s="398"/>
      <c r="L1868" s="398"/>
      <c r="M1868" s="398"/>
      <c r="N1868" s="398"/>
      <c r="O1868" s="398"/>
      <c r="P1868" s="398"/>
      <c r="Q1868" s="398"/>
      <c r="R1868" s="398"/>
      <c r="S1868" s="399"/>
    </row>
    <row r="1869" spans="1:32">
      <c r="C1869" s="400" t="s">
        <v>385</v>
      </c>
      <c r="D1869" s="575" t="s">
        <v>386</v>
      </c>
      <c r="E1869" s="575"/>
      <c r="F1869" s="576" t="s">
        <v>387</v>
      </c>
      <c r="G1869" s="577"/>
      <c r="H1869" s="577"/>
      <c r="I1869" s="576" t="s">
        <v>388</v>
      </c>
      <c r="J1869" s="576" t="s">
        <v>389</v>
      </c>
      <c r="K1869" s="579"/>
      <c r="L1869" s="581" t="s">
        <v>390</v>
      </c>
      <c r="M1869" s="581"/>
      <c r="N1869" s="581"/>
      <c r="O1869" s="581"/>
      <c r="P1869" s="581"/>
      <c r="Q1869" s="581"/>
      <c r="R1869" s="581" t="s">
        <v>391</v>
      </c>
      <c r="S1869" s="582"/>
      <c r="X1869" s="540" t="s">
        <v>462</v>
      </c>
      <c r="Y1869" s="541"/>
    </row>
    <row r="1870" spans="1:32" ht="38.25">
      <c r="C1870" s="403">
        <f>+'PRESUPUESTO OFICIAL '!C102</f>
        <v>10.01</v>
      </c>
      <c r="D1870" s="583" t="str">
        <f>+VLOOKUP(C1870,'PRESUPUESTO OFICIAL '!$C$11:$H$103,2)</f>
        <v>TRANSPORTE EN CAMIÓN CON CAPACIDAD DE CARGA DE 3.5 TON (INCLUYE CARGUE Y DESCARGUE).</v>
      </c>
      <c r="E1870" s="584"/>
      <c r="F1870" s="585" t="str">
        <f>+VLOOKUP(C1870,'PRESUPUESTO OFICIAL '!$C$11:$H$103,3)</f>
        <v>DIA</v>
      </c>
      <c r="G1870" s="585"/>
      <c r="H1870" s="585"/>
      <c r="I1870" s="578"/>
      <c r="J1870" s="578"/>
      <c r="K1870" s="580"/>
      <c r="L1870" s="401" t="s">
        <v>392</v>
      </c>
      <c r="M1870" s="401" t="s">
        <v>463</v>
      </c>
      <c r="N1870" s="401" t="s">
        <v>464</v>
      </c>
      <c r="O1870" s="401" t="s">
        <v>395</v>
      </c>
      <c r="P1870" s="401" t="s">
        <v>396</v>
      </c>
      <c r="Q1870" s="401" t="s">
        <v>397</v>
      </c>
      <c r="R1870" s="401" t="s">
        <v>398</v>
      </c>
      <c r="S1870" s="402" t="s">
        <v>399</v>
      </c>
      <c r="U1870" s="404">
        <f>+C1870</f>
        <v>10.01</v>
      </c>
      <c r="V1870" s="405">
        <f>+S1918</f>
        <v>7</v>
      </c>
      <c r="X1870" s="539" t="s">
        <v>460</v>
      </c>
      <c r="Y1870" s="479" t="s">
        <v>461</v>
      </c>
    </row>
    <row r="1871" spans="1:32">
      <c r="C1871" s="406"/>
      <c r="D1871" s="407"/>
      <c r="E1871" s="407"/>
      <c r="F1871" s="407"/>
      <c r="G1871" s="407"/>
      <c r="H1871" s="407"/>
      <c r="I1871" s="558"/>
      <c r="J1871" s="559"/>
      <c r="K1871" s="560"/>
      <c r="L1871" s="560"/>
      <c r="M1871" s="560"/>
      <c r="N1871" s="560"/>
      <c r="O1871" s="560"/>
      <c r="P1871" s="560"/>
      <c r="Q1871" s="560"/>
      <c r="R1871" s="560"/>
      <c r="S1871" s="561"/>
      <c r="X1871" s="539"/>
    </row>
    <row r="1872" spans="1:32">
      <c r="A1872" s="383">
        <v>1</v>
      </c>
      <c r="C1872" s="406"/>
      <c r="D1872" s="407"/>
      <c r="E1872" s="407"/>
      <c r="F1872" s="407"/>
      <c r="G1872" s="407"/>
      <c r="H1872" s="407"/>
      <c r="I1872" s="408" t="s">
        <v>400</v>
      </c>
      <c r="J1872" s="468" t="str">
        <f>+K1872</f>
        <v>DIA</v>
      </c>
      <c r="K1872" s="410" t="str">
        <f>+F1870</f>
        <v>DIA</v>
      </c>
      <c r="L1872" s="411"/>
      <c r="M1872" s="459" t="str">
        <f>IF(X1872=0,"",X1872+Y1872)</f>
        <v/>
      </c>
      <c r="N1872" s="457" t="str">
        <f t="shared" ref="N1872:N1877" si="343">IF(X1872=0,"",AA1872)</f>
        <v/>
      </c>
      <c r="O1872" s="442"/>
      <c r="P1872" s="413"/>
      <c r="Q1872" s="411"/>
      <c r="R1872" s="413" t="str">
        <f>IF(S1872=0,"",S1872)</f>
        <v/>
      </c>
      <c r="S1872" s="472" t="str">
        <f>IF(N1872=0,"0",N1872)</f>
        <v/>
      </c>
      <c r="W1872" s="383">
        <v>1</v>
      </c>
      <c r="Y1872" s="471" t="str">
        <f t="shared" ref="Y1872:Y1878" si="344">IF(X1872=0,"",AF1872)</f>
        <v/>
      </c>
      <c r="Z1872" s="471" t="str">
        <f>IF(X1872=0,"",((Y1872+X1872)/8))</f>
        <v/>
      </c>
      <c r="AC1872" s="480">
        <v>13449038.878615385</v>
      </c>
      <c r="AD1872" s="481">
        <f>+AC1872/AC$1916</f>
        <v>1.6088719795849419E-2</v>
      </c>
      <c r="AE1872" s="383">
        <f>+AD1872*100</f>
        <v>1.608871979584942</v>
      </c>
      <c r="AF1872" s="383">
        <f>+ROUND(AE1872,0)</f>
        <v>2</v>
      </c>
    </row>
    <row r="1873" spans="1:32">
      <c r="A1873" s="383">
        <v>2</v>
      </c>
      <c r="C1873" s="406"/>
      <c r="D1873" s="407"/>
      <c r="E1873" s="407"/>
      <c r="F1873" s="407"/>
      <c r="G1873" s="407"/>
      <c r="H1873" s="407"/>
      <c r="I1873" s="408" t="s">
        <v>401</v>
      </c>
      <c r="J1873" s="468" t="str">
        <f t="shared" ref="J1873:J1914" si="345">+K1873</f>
        <v>DIA</v>
      </c>
      <c r="K1873" s="410" t="str">
        <f>+K1872</f>
        <v>DIA</v>
      </c>
      <c r="L1873" s="411"/>
      <c r="M1873" s="469">
        <f t="shared" ref="M1873:M1914" si="346">IF(X1873=0,"",X1873+Y1873)</f>
        <v>3.5833333333333335</v>
      </c>
      <c r="N1873" s="457">
        <f t="shared" si="343"/>
        <v>0.45</v>
      </c>
      <c r="O1873" s="442"/>
      <c r="P1873" s="413"/>
      <c r="Q1873" s="411"/>
      <c r="R1873" s="413">
        <f t="shared" ref="R1873:R1914" si="347">IF(S1873=0,"",S1873)</f>
        <v>0.45</v>
      </c>
      <c r="S1873" s="472">
        <f t="shared" ref="S1873:S1914" si="348">IF(N1873=0,"0",N1873)</f>
        <v>0.45</v>
      </c>
      <c r="W1873" s="383">
        <v>2</v>
      </c>
      <c r="X1873" s="471">
        <v>0.58333333333333337</v>
      </c>
      <c r="Y1873" s="471">
        <f t="shared" si="344"/>
        <v>3</v>
      </c>
      <c r="Z1873" s="471">
        <f t="shared" ref="Z1873:Z1878" si="349">IF(X1873=0,"",((Y1873+X1873)/8))</f>
        <v>0.44791666666666669</v>
      </c>
      <c r="AA1873" s="471">
        <f>+ROUND(Z1873,2)</f>
        <v>0.45</v>
      </c>
      <c r="AC1873" s="480">
        <v>22163963.365846153</v>
      </c>
      <c r="AD1873" s="481">
        <f t="shared" ref="AD1873:AD1913" si="350">+AC1873/AC$1916</f>
        <v>2.6514147172670095E-2</v>
      </c>
      <c r="AE1873" s="383">
        <f t="shared" ref="AE1873:AE1914" si="351">+AD1873*100</f>
        <v>2.6514147172670097</v>
      </c>
      <c r="AF1873" s="383">
        <f t="shared" ref="AF1873:AF1914" si="352">+ROUND(AE1873,0)</f>
        <v>3</v>
      </c>
    </row>
    <row r="1874" spans="1:32">
      <c r="A1874" s="383">
        <v>3</v>
      </c>
      <c r="C1874" s="406"/>
      <c r="D1874" s="407"/>
      <c r="E1874" s="407"/>
      <c r="F1874" s="407"/>
      <c r="G1874" s="407"/>
      <c r="H1874" s="407"/>
      <c r="I1874" s="408" t="s">
        <v>402</v>
      </c>
      <c r="J1874" s="468" t="str">
        <f t="shared" si="345"/>
        <v>DIA</v>
      </c>
      <c r="K1874" s="410" t="str">
        <f>+K1873</f>
        <v>DIA</v>
      </c>
      <c r="L1874" s="411"/>
      <c r="M1874" s="469">
        <f t="shared" si="346"/>
        <v>4</v>
      </c>
      <c r="N1874" s="457">
        <f t="shared" si="343"/>
        <v>0.5</v>
      </c>
      <c r="O1874" s="442"/>
      <c r="P1874" s="413"/>
      <c r="Q1874" s="411"/>
      <c r="R1874" s="413">
        <f t="shared" si="347"/>
        <v>0.5</v>
      </c>
      <c r="S1874" s="472">
        <f t="shared" si="348"/>
        <v>0.5</v>
      </c>
      <c r="W1874" s="383">
        <v>3</v>
      </c>
      <c r="X1874" s="458">
        <f>+X1876</f>
        <v>1</v>
      </c>
      <c r="Y1874" s="471">
        <f t="shared" si="344"/>
        <v>3</v>
      </c>
      <c r="Z1874" s="471">
        <f t="shared" si="349"/>
        <v>0.5</v>
      </c>
      <c r="AA1874" s="471">
        <f t="shared" ref="AA1874:AA1912" si="353">+ROUND(Z1874,2)</f>
        <v>0.5</v>
      </c>
      <c r="AC1874" s="480">
        <v>21602012.03833846</v>
      </c>
      <c r="AD1874" s="481">
        <f t="shared" si="350"/>
        <v>2.5841900067967868E-2</v>
      </c>
      <c r="AE1874" s="383">
        <f t="shared" si="351"/>
        <v>2.5841900067967867</v>
      </c>
      <c r="AF1874" s="383">
        <f t="shared" si="352"/>
        <v>3</v>
      </c>
    </row>
    <row r="1875" spans="1:32">
      <c r="A1875" s="383">
        <v>4</v>
      </c>
      <c r="C1875" s="406"/>
      <c r="D1875" s="407"/>
      <c r="F1875" s="407"/>
      <c r="G1875" s="407"/>
      <c r="H1875" s="407"/>
      <c r="I1875" s="408" t="s">
        <v>403</v>
      </c>
      <c r="J1875" s="468" t="str">
        <f t="shared" si="345"/>
        <v>DIA</v>
      </c>
      <c r="K1875" s="410" t="str">
        <f>+K1874</f>
        <v>DIA</v>
      </c>
      <c r="L1875" s="411"/>
      <c r="M1875" s="469">
        <f t="shared" si="346"/>
        <v>3.5</v>
      </c>
      <c r="N1875" s="457">
        <f t="shared" si="343"/>
        <v>0.44</v>
      </c>
      <c r="O1875" s="442"/>
      <c r="P1875" s="413"/>
      <c r="Q1875" s="411"/>
      <c r="R1875" s="413">
        <f t="shared" si="347"/>
        <v>0.44</v>
      </c>
      <c r="S1875" s="472">
        <f t="shared" si="348"/>
        <v>0.44</v>
      </c>
      <c r="W1875" s="383">
        <v>4</v>
      </c>
      <c r="X1875" s="458">
        <v>0.5</v>
      </c>
      <c r="Y1875" s="471">
        <f t="shared" si="344"/>
        <v>3</v>
      </c>
      <c r="Z1875" s="471">
        <f t="shared" si="349"/>
        <v>0.4375</v>
      </c>
      <c r="AA1875" s="471">
        <f t="shared" si="353"/>
        <v>0.44</v>
      </c>
      <c r="AC1875" s="480">
        <v>20898946.69833846</v>
      </c>
      <c r="AD1875" s="481">
        <f t="shared" si="350"/>
        <v>2.5000842104233426E-2</v>
      </c>
      <c r="AE1875" s="383">
        <f t="shared" si="351"/>
        <v>2.5000842104233425</v>
      </c>
      <c r="AF1875" s="383">
        <f t="shared" si="352"/>
        <v>3</v>
      </c>
    </row>
    <row r="1876" spans="1:32">
      <c r="A1876" s="383">
        <v>5</v>
      </c>
      <c r="C1876" s="406"/>
      <c r="D1876" s="407"/>
      <c r="E1876" s="407"/>
      <c r="F1876" s="407"/>
      <c r="G1876" s="407"/>
      <c r="H1876" s="407"/>
      <c r="I1876" s="408" t="s">
        <v>405</v>
      </c>
      <c r="J1876" s="468" t="str">
        <f t="shared" si="345"/>
        <v>DIA</v>
      </c>
      <c r="K1876" s="410" t="str">
        <f>+K1875</f>
        <v>DIA</v>
      </c>
      <c r="L1876" s="411"/>
      <c r="M1876" s="469">
        <f t="shared" si="346"/>
        <v>4</v>
      </c>
      <c r="N1876" s="457">
        <f t="shared" si="343"/>
        <v>0.5</v>
      </c>
      <c r="O1876" s="442"/>
      <c r="P1876" s="413"/>
      <c r="Q1876" s="411"/>
      <c r="R1876" s="413">
        <f t="shared" si="347"/>
        <v>0.5</v>
      </c>
      <c r="S1876" s="472">
        <f t="shared" si="348"/>
        <v>0.5</v>
      </c>
      <c r="W1876" s="383">
        <v>5</v>
      </c>
      <c r="X1876" s="470">
        <v>1</v>
      </c>
      <c r="Y1876" s="471">
        <f t="shared" si="344"/>
        <v>3</v>
      </c>
      <c r="Z1876" s="471">
        <f t="shared" si="349"/>
        <v>0.5</v>
      </c>
      <c r="AA1876" s="471">
        <f t="shared" si="353"/>
        <v>0.5</v>
      </c>
      <c r="AC1876" s="480">
        <v>22100536.007846154</v>
      </c>
      <c r="AD1876" s="481">
        <f t="shared" si="350"/>
        <v>2.6438270747636067E-2</v>
      </c>
      <c r="AE1876" s="383">
        <f t="shared" si="351"/>
        <v>2.6438270747636068</v>
      </c>
      <c r="AF1876" s="383">
        <f t="shared" si="352"/>
        <v>3</v>
      </c>
    </row>
    <row r="1877" spans="1:32">
      <c r="A1877" s="383">
        <v>6</v>
      </c>
      <c r="C1877" s="406"/>
      <c r="D1877" s="407"/>
      <c r="E1877" s="407"/>
      <c r="F1877" s="407"/>
      <c r="G1877" s="407"/>
      <c r="H1877" s="407"/>
      <c r="I1877" s="408" t="s">
        <v>407</v>
      </c>
      <c r="J1877" s="468" t="str">
        <f t="shared" si="345"/>
        <v>DIA</v>
      </c>
      <c r="K1877" s="410" t="str">
        <f>+K1876</f>
        <v>DIA</v>
      </c>
      <c r="L1877" s="411"/>
      <c r="M1877" s="469">
        <f t="shared" si="346"/>
        <v>2.5</v>
      </c>
      <c r="N1877" s="457">
        <f t="shared" si="343"/>
        <v>0.31</v>
      </c>
      <c r="O1877" s="442"/>
      <c r="P1877" s="413"/>
      <c r="Q1877" s="411"/>
      <c r="R1877" s="413">
        <f t="shared" si="347"/>
        <v>0.31</v>
      </c>
      <c r="S1877" s="472">
        <f t="shared" si="348"/>
        <v>0.31</v>
      </c>
      <c r="W1877" s="383">
        <v>6</v>
      </c>
      <c r="X1877" s="485">
        <v>0.5</v>
      </c>
      <c r="Y1877" s="471">
        <f t="shared" si="344"/>
        <v>2</v>
      </c>
      <c r="Z1877" s="471">
        <f t="shared" si="349"/>
        <v>0.3125</v>
      </c>
      <c r="AA1877" s="471">
        <f t="shared" si="353"/>
        <v>0.31</v>
      </c>
      <c r="AC1877" s="480">
        <v>19865461.33208308</v>
      </c>
      <c r="AD1877" s="481">
        <f t="shared" si="350"/>
        <v>2.3764511640706247E-2</v>
      </c>
      <c r="AE1877" s="383">
        <f t="shared" si="351"/>
        <v>2.3764511640706245</v>
      </c>
      <c r="AF1877" s="383">
        <f t="shared" si="352"/>
        <v>2</v>
      </c>
    </row>
    <row r="1878" spans="1:32">
      <c r="A1878" s="383">
        <v>7</v>
      </c>
      <c r="C1878" s="406"/>
      <c r="D1878" s="407"/>
      <c r="E1878" s="407"/>
      <c r="F1878" s="407"/>
      <c r="G1878" s="407"/>
      <c r="H1878" s="407"/>
      <c r="I1878" s="408" t="s">
        <v>409</v>
      </c>
      <c r="J1878" s="468" t="str">
        <f t="shared" si="345"/>
        <v>DIA</v>
      </c>
      <c r="K1878" s="410" t="str">
        <f>+K1872</f>
        <v>DIA</v>
      </c>
      <c r="L1878" s="411"/>
      <c r="M1878" s="469">
        <f t="shared" si="346"/>
        <v>4.333333333333333</v>
      </c>
      <c r="N1878" s="457">
        <f>IF(X1878=0,"",AA1878)</f>
        <v>0.54</v>
      </c>
      <c r="O1878" s="442"/>
      <c r="P1878" s="413"/>
      <c r="Q1878" s="411"/>
      <c r="R1878" s="413">
        <f t="shared" si="347"/>
        <v>0.54</v>
      </c>
      <c r="S1878" s="472">
        <f t="shared" si="348"/>
        <v>0.54</v>
      </c>
      <c r="W1878" s="383">
        <v>7</v>
      </c>
      <c r="X1878" s="458">
        <f>+(40+40)/60</f>
        <v>1.3333333333333333</v>
      </c>
      <c r="Y1878" s="471">
        <f t="shared" si="344"/>
        <v>3</v>
      </c>
      <c r="Z1878" s="471">
        <f t="shared" si="349"/>
        <v>0.54166666666666663</v>
      </c>
      <c r="AA1878" s="471">
        <f t="shared" si="353"/>
        <v>0.54</v>
      </c>
      <c r="AC1878" s="480">
        <v>25393034.0526</v>
      </c>
      <c r="AD1878" s="481">
        <f t="shared" si="350"/>
        <v>3.0376996700362313E-2</v>
      </c>
      <c r="AE1878" s="383">
        <f t="shared" si="351"/>
        <v>3.0376996700362313</v>
      </c>
      <c r="AF1878" s="383">
        <f t="shared" si="352"/>
        <v>3</v>
      </c>
    </row>
    <row r="1879" spans="1:32">
      <c r="A1879" s="383">
        <v>8</v>
      </c>
      <c r="C1879" s="406"/>
      <c r="D1879" s="407"/>
      <c r="E1879" s="407"/>
      <c r="F1879" s="407"/>
      <c r="G1879" s="407"/>
      <c r="H1879" s="407"/>
      <c r="I1879" s="408" t="s">
        <v>411</v>
      </c>
      <c r="J1879" s="468" t="str">
        <f t="shared" si="345"/>
        <v>DIA</v>
      </c>
      <c r="K1879" s="410" t="str">
        <f>+K1878</f>
        <v>DIA</v>
      </c>
      <c r="L1879" s="411"/>
      <c r="M1879" s="469" t="str">
        <f t="shared" si="346"/>
        <v/>
      </c>
      <c r="N1879" s="457" t="str">
        <f t="shared" ref="N1879:N1914" si="354">IF(X1879=0,"",AA1879)</f>
        <v/>
      </c>
      <c r="O1879" s="442"/>
      <c r="P1879" s="413"/>
      <c r="Q1879" s="411"/>
      <c r="R1879" s="413" t="str">
        <f t="shared" si="347"/>
        <v/>
      </c>
      <c r="S1879" s="472" t="str">
        <f t="shared" si="348"/>
        <v/>
      </c>
      <c r="W1879" s="383">
        <v>8</v>
      </c>
      <c r="Y1879" s="471" t="str">
        <f t="shared" ref="Y1879:Y1914" si="355">IF(X1879=0,"",AF1879)</f>
        <v/>
      </c>
      <c r="Z1879" s="471" t="str">
        <f t="shared" ref="Z1879:Z1914" si="356">IF(X1879=0,"",((Y1879+X1879)/8))</f>
        <v/>
      </c>
      <c r="AC1879" s="480">
        <v>26454771.780797541</v>
      </c>
      <c r="AD1879" s="481">
        <f t="shared" si="350"/>
        <v>3.1647124696855294E-2</v>
      </c>
      <c r="AE1879" s="383">
        <f t="shared" si="351"/>
        <v>3.1647124696855293</v>
      </c>
      <c r="AF1879" s="383">
        <f t="shared" si="352"/>
        <v>3</v>
      </c>
    </row>
    <row r="1880" spans="1:32">
      <c r="A1880" s="383">
        <v>9</v>
      </c>
      <c r="C1880" s="406"/>
      <c r="D1880" s="407"/>
      <c r="E1880" s="407"/>
      <c r="F1880" s="407"/>
      <c r="G1880" s="407"/>
      <c r="H1880" s="407"/>
      <c r="I1880" s="408" t="s">
        <v>412</v>
      </c>
      <c r="J1880" s="468" t="str">
        <f t="shared" si="345"/>
        <v>DIA</v>
      </c>
      <c r="K1880" s="410" t="str">
        <f>+K1879</f>
        <v>DIA</v>
      </c>
      <c r="L1880" s="411"/>
      <c r="M1880" s="469">
        <f t="shared" si="346"/>
        <v>4.5</v>
      </c>
      <c r="N1880" s="457">
        <f t="shared" si="354"/>
        <v>0.56000000000000005</v>
      </c>
      <c r="O1880" s="442"/>
      <c r="P1880" s="413"/>
      <c r="Q1880" s="411"/>
      <c r="R1880" s="413">
        <f t="shared" si="347"/>
        <v>0.56000000000000005</v>
      </c>
      <c r="S1880" s="472">
        <f t="shared" si="348"/>
        <v>0.56000000000000005</v>
      </c>
      <c r="W1880" s="383">
        <v>9</v>
      </c>
      <c r="X1880" s="458">
        <f>+(45+45)/60</f>
        <v>1.5</v>
      </c>
      <c r="Y1880" s="471">
        <f t="shared" si="355"/>
        <v>3</v>
      </c>
      <c r="Z1880" s="471">
        <f t="shared" si="356"/>
        <v>0.5625</v>
      </c>
      <c r="AA1880" s="471">
        <f t="shared" si="353"/>
        <v>0.56000000000000005</v>
      </c>
      <c r="AB1880" s="383">
        <v>12</v>
      </c>
      <c r="AC1880" s="480">
        <v>22100536.007846154</v>
      </c>
      <c r="AD1880" s="481">
        <f t="shared" si="350"/>
        <v>2.6438270747636067E-2</v>
      </c>
      <c r="AE1880" s="383">
        <f t="shared" si="351"/>
        <v>2.6438270747636068</v>
      </c>
      <c r="AF1880" s="383">
        <f t="shared" si="352"/>
        <v>3</v>
      </c>
    </row>
    <row r="1881" spans="1:32">
      <c r="A1881" s="383">
        <v>10</v>
      </c>
      <c r="C1881" s="406"/>
      <c r="D1881" s="407"/>
      <c r="E1881" s="407"/>
      <c r="F1881" s="407"/>
      <c r="G1881" s="407"/>
      <c r="H1881" s="407"/>
      <c r="I1881" s="408" t="s">
        <v>413</v>
      </c>
      <c r="J1881" s="468" t="str">
        <f t="shared" si="345"/>
        <v>DIA</v>
      </c>
      <c r="K1881" s="410" t="str">
        <f>+K1880</f>
        <v>DIA</v>
      </c>
      <c r="L1881" s="411"/>
      <c r="M1881" s="469" t="str">
        <f t="shared" si="346"/>
        <v/>
      </c>
      <c r="N1881" s="457" t="str">
        <f t="shared" si="354"/>
        <v/>
      </c>
      <c r="O1881" s="442"/>
      <c r="P1881" s="413"/>
      <c r="Q1881" s="411"/>
      <c r="R1881" s="413" t="str">
        <f t="shared" si="347"/>
        <v/>
      </c>
      <c r="S1881" s="472" t="str">
        <f t="shared" si="348"/>
        <v/>
      </c>
      <c r="W1881" s="383">
        <v>10</v>
      </c>
      <c r="Y1881" s="471" t="str">
        <f t="shared" si="355"/>
        <v/>
      </c>
      <c r="Z1881" s="471" t="str">
        <f t="shared" si="356"/>
        <v/>
      </c>
      <c r="AC1881" s="480">
        <v>16372127.689999999</v>
      </c>
      <c r="AD1881" s="481">
        <f t="shared" si="350"/>
        <v>1.9585531519661709E-2</v>
      </c>
      <c r="AE1881" s="383">
        <f t="shared" si="351"/>
        <v>1.958553151966171</v>
      </c>
      <c r="AF1881" s="383">
        <f t="shared" si="352"/>
        <v>2</v>
      </c>
    </row>
    <row r="1882" spans="1:32">
      <c r="A1882" s="383">
        <v>11</v>
      </c>
      <c r="C1882" s="406"/>
      <c r="D1882" s="407"/>
      <c r="E1882" s="407"/>
      <c r="F1882" s="407"/>
      <c r="G1882" s="407"/>
      <c r="H1882" s="407"/>
      <c r="I1882" s="408" t="s">
        <v>414</v>
      </c>
      <c r="J1882" s="468" t="str">
        <f t="shared" si="345"/>
        <v>DIA</v>
      </c>
      <c r="K1882" s="410" t="str">
        <f>+K1881</f>
        <v>DIA</v>
      </c>
      <c r="L1882" s="411"/>
      <c r="M1882" s="469" t="str">
        <f t="shared" si="346"/>
        <v/>
      </c>
      <c r="N1882" s="457" t="str">
        <f t="shared" si="354"/>
        <v/>
      </c>
      <c r="O1882" s="442"/>
      <c r="P1882" s="413"/>
      <c r="Q1882" s="411"/>
      <c r="R1882" s="413" t="str">
        <f t="shared" si="347"/>
        <v/>
      </c>
      <c r="S1882" s="472" t="str">
        <f t="shared" si="348"/>
        <v/>
      </c>
      <c r="W1882" s="383">
        <v>11</v>
      </c>
      <c r="Y1882" s="471" t="str">
        <f t="shared" si="355"/>
        <v/>
      </c>
      <c r="Z1882" s="471" t="str">
        <f t="shared" si="356"/>
        <v/>
      </c>
      <c r="AC1882" s="480">
        <v>20020144.582000002</v>
      </c>
      <c r="AD1882" s="481">
        <f t="shared" si="350"/>
        <v>2.3949555009789059E-2</v>
      </c>
      <c r="AE1882" s="383">
        <f t="shared" si="351"/>
        <v>2.3949555009789059</v>
      </c>
      <c r="AF1882" s="383">
        <f t="shared" si="352"/>
        <v>2</v>
      </c>
    </row>
    <row r="1883" spans="1:32">
      <c r="A1883" s="383">
        <v>12</v>
      </c>
      <c r="C1883" s="406"/>
      <c r="D1883" s="407"/>
      <c r="E1883" s="407"/>
      <c r="F1883" s="407"/>
      <c r="G1883" s="407"/>
      <c r="H1883" s="407"/>
      <c r="I1883" s="408" t="s">
        <v>415</v>
      </c>
      <c r="J1883" s="468" t="str">
        <f t="shared" si="345"/>
        <v>DIA</v>
      </c>
      <c r="K1883" s="410" t="str">
        <f>+K1877</f>
        <v>DIA</v>
      </c>
      <c r="L1883" s="411"/>
      <c r="M1883" s="469" t="str">
        <f t="shared" si="346"/>
        <v/>
      </c>
      <c r="N1883" s="457" t="str">
        <f t="shared" si="354"/>
        <v/>
      </c>
      <c r="O1883" s="442"/>
      <c r="P1883" s="413"/>
      <c r="Q1883" s="411"/>
      <c r="R1883" s="413" t="str">
        <f t="shared" si="347"/>
        <v/>
      </c>
      <c r="S1883" s="472" t="str">
        <f t="shared" si="348"/>
        <v/>
      </c>
      <c r="W1883" s="383">
        <v>12</v>
      </c>
      <c r="Y1883" s="471" t="str">
        <f t="shared" si="355"/>
        <v/>
      </c>
      <c r="Z1883" s="471" t="str">
        <f t="shared" si="356"/>
        <v/>
      </c>
      <c r="AC1883" s="480">
        <v>16882411.039999999</v>
      </c>
      <c r="AD1883" s="481">
        <f t="shared" si="350"/>
        <v>2.0195969626706767E-2</v>
      </c>
      <c r="AE1883" s="383">
        <f t="shared" si="351"/>
        <v>2.0195969626706769</v>
      </c>
      <c r="AF1883" s="383">
        <f t="shared" si="352"/>
        <v>2</v>
      </c>
    </row>
    <row r="1884" spans="1:32">
      <c r="A1884" s="383">
        <v>13</v>
      </c>
      <c r="C1884" s="406"/>
      <c r="D1884" s="407"/>
      <c r="E1884" s="407"/>
      <c r="F1884" s="407"/>
      <c r="G1884" s="407"/>
      <c r="H1884" s="407"/>
      <c r="I1884" s="408" t="s">
        <v>416</v>
      </c>
      <c r="J1884" s="468" t="str">
        <f t="shared" si="345"/>
        <v>DIA</v>
      </c>
      <c r="K1884" s="410" t="str">
        <f>+K1879</f>
        <v>DIA</v>
      </c>
      <c r="L1884" s="411"/>
      <c r="M1884" s="469" t="str">
        <f t="shared" si="346"/>
        <v/>
      </c>
      <c r="N1884" s="457" t="str">
        <f t="shared" si="354"/>
        <v/>
      </c>
      <c r="O1884" s="442"/>
      <c r="P1884" s="413"/>
      <c r="Q1884" s="411"/>
      <c r="R1884" s="413" t="str">
        <f t="shared" si="347"/>
        <v/>
      </c>
      <c r="S1884" s="472" t="str">
        <f t="shared" si="348"/>
        <v/>
      </c>
      <c r="W1884" s="383">
        <v>13</v>
      </c>
      <c r="Y1884" s="471" t="str">
        <f t="shared" si="355"/>
        <v/>
      </c>
      <c r="Z1884" s="471" t="str">
        <f t="shared" si="356"/>
        <v/>
      </c>
      <c r="AC1884" s="480">
        <v>7325545.04</v>
      </c>
      <c r="AD1884" s="481">
        <f t="shared" si="350"/>
        <v>8.7633504939773343E-3</v>
      </c>
      <c r="AE1884" s="383">
        <f t="shared" si="351"/>
        <v>0.87633504939773343</v>
      </c>
      <c r="AF1884" s="383">
        <f t="shared" si="352"/>
        <v>1</v>
      </c>
    </row>
    <row r="1885" spans="1:32">
      <c r="A1885" s="383">
        <v>14</v>
      </c>
      <c r="C1885" s="406"/>
      <c r="D1885" s="407"/>
      <c r="E1885" s="407"/>
      <c r="F1885" s="407"/>
      <c r="G1885" s="407"/>
      <c r="H1885" s="407"/>
      <c r="I1885" s="408" t="s">
        <v>417</v>
      </c>
      <c r="J1885" s="468" t="str">
        <f t="shared" si="345"/>
        <v>DIA</v>
      </c>
      <c r="K1885" s="410" t="str">
        <f t="shared" ref="K1885:K1896" si="357">+K1884</f>
        <v>DIA</v>
      </c>
      <c r="L1885" s="411"/>
      <c r="M1885" s="469">
        <f t="shared" si="346"/>
        <v>3.5833333333333335</v>
      </c>
      <c r="N1885" s="457">
        <f t="shared" si="354"/>
        <v>0.45</v>
      </c>
      <c r="O1885" s="442"/>
      <c r="P1885" s="413"/>
      <c r="Q1885" s="411"/>
      <c r="R1885" s="413">
        <f t="shared" si="347"/>
        <v>0.45</v>
      </c>
      <c r="S1885" s="472">
        <f t="shared" si="348"/>
        <v>0.45</v>
      </c>
      <c r="W1885" s="383">
        <v>14</v>
      </c>
      <c r="X1885" s="458">
        <v>0.58333333333333337</v>
      </c>
      <c r="Y1885" s="471">
        <f t="shared" si="355"/>
        <v>3</v>
      </c>
      <c r="Z1885" s="471">
        <f t="shared" si="356"/>
        <v>0.44791666666666669</v>
      </c>
      <c r="AA1885" s="471">
        <f t="shared" si="353"/>
        <v>0.45</v>
      </c>
      <c r="AC1885" s="480">
        <v>22100536.007846154</v>
      </c>
      <c r="AD1885" s="481">
        <f t="shared" si="350"/>
        <v>2.6438270747636067E-2</v>
      </c>
      <c r="AE1885" s="383">
        <f t="shared" si="351"/>
        <v>2.6438270747636068</v>
      </c>
      <c r="AF1885" s="383">
        <f t="shared" si="352"/>
        <v>3</v>
      </c>
    </row>
    <row r="1886" spans="1:32">
      <c r="A1886" s="383">
        <v>15</v>
      </c>
      <c r="C1886" s="406"/>
      <c r="D1886" s="407"/>
      <c r="E1886" s="407"/>
      <c r="F1886" s="407"/>
      <c r="G1886" s="407"/>
      <c r="H1886" s="407"/>
      <c r="I1886" s="408" t="s">
        <v>418</v>
      </c>
      <c r="J1886" s="468" t="str">
        <f t="shared" si="345"/>
        <v>DIA</v>
      </c>
      <c r="K1886" s="410" t="str">
        <f t="shared" si="357"/>
        <v>DIA</v>
      </c>
      <c r="L1886" s="411"/>
      <c r="M1886" s="469">
        <f t="shared" si="346"/>
        <v>3.5833333333333335</v>
      </c>
      <c r="N1886" s="457">
        <f t="shared" si="354"/>
        <v>0.45</v>
      </c>
      <c r="O1886" s="442"/>
      <c r="P1886" s="413"/>
      <c r="Q1886" s="411"/>
      <c r="R1886" s="413">
        <f t="shared" si="347"/>
        <v>0.45</v>
      </c>
      <c r="S1886" s="472">
        <f t="shared" si="348"/>
        <v>0.45</v>
      </c>
      <c r="W1886" s="383">
        <v>15</v>
      </c>
      <c r="X1886" s="458">
        <v>0.58333333333333337</v>
      </c>
      <c r="Y1886" s="471">
        <f t="shared" si="355"/>
        <v>3</v>
      </c>
      <c r="Z1886" s="471">
        <f t="shared" si="356"/>
        <v>0.44791666666666669</v>
      </c>
      <c r="AA1886" s="471">
        <f t="shared" si="353"/>
        <v>0.45</v>
      </c>
      <c r="AC1886" s="480">
        <v>22254402.483424615</v>
      </c>
      <c r="AD1886" s="481">
        <f t="shared" si="350"/>
        <v>2.6622337031769795E-2</v>
      </c>
      <c r="AE1886" s="383">
        <f t="shared" si="351"/>
        <v>2.6622337031769794</v>
      </c>
      <c r="AF1886" s="383">
        <f t="shared" si="352"/>
        <v>3</v>
      </c>
    </row>
    <row r="1887" spans="1:32">
      <c r="A1887" s="383">
        <v>16</v>
      </c>
      <c r="C1887" s="406"/>
      <c r="D1887" s="407"/>
      <c r="E1887" s="407"/>
      <c r="F1887" s="407"/>
      <c r="G1887" s="407"/>
      <c r="H1887" s="407"/>
      <c r="I1887" s="408" t="s">
        <v>419</v>
      </c>
      <c r="J1887" s="468" t="str">
        <f t="shared" si="345"/>
        <v>DIA</v>
      </c>
      <c r="K1887" s="410" t="str">
        <f t="shared" si="357"/>
        <v>DIA</v>
      </c>
      <c r="L1887" s="411"/>
      <c r="M1887" s="469">
        <f t="shared" si="346"/>
        <v>4.58</v>
      </c>
      <c r="N1887" s="457">
        <f t="shared" si="354"/>
        <v>0.56999999999999995</v>
      </c>
      <c r="O1887" s="442"/>
      <c r="P1887" s="413"/>
      <c r="Q1887" s="411"/>
      <c r="R1887" s="413">
        <f t="shared" si="347"/>
        <v>0.56999999999999995</v>
      </c>
      <c r="S1887" s="472">
        <f t="shared" si="348"/>
        <v>0.56999999999999995</v>
      </c>
      <c r="W1887" s="383">
        <v>16</v>
      </c>
      <c r="X1887" s="458">
        <v>0.57999999999999996</v>
      </c>
      <c r="Y1887" s="471">
        <f t="shared" si="355"/>
        <v>4</v>
      </c>
      <c r="Z1887" s="471">
        <f t="shared" si="356"/>
        <v>0.57250000000000001</v>
      </c>
      <c r="AA1887" s="471">
        <f t="shared" si="353"/>
        <v>0.56999999999999995</v>
      </c>
      <c r="AC1887" s="480">
        <v>29575702.994070772</v>
      </c>
      <c r="AD1887" s="481">
        <f t="shared" si="350"/>
        <v>3.5380609910606327E-2</v>
      </c>
      <c r="AE1887" s="383">
        <f t="shared" si="351"/>
        <v>3.5380609910606329</v>
      </c>
      <c r="AF1887" s="383">
        <f t="shared" si="352"/>
        <v>4</v>
      </c>
    </row>
    <row r="1888" spans="1:32">
      <c r="A1888" s="383">
        <v>17</v>
      </c>
      <c r="C1888" s="406"/>
      <c r="D1888" s="407"/>
      <c r="E1888" s="407"/>
      <c r="F1888" s="407"/>
      <c r="G1888" s="407"/>
      <c r="H1888" s="407"/>
      <c r="I1888" s="408" t="s">
        <v>420</v>
      </c>
      <c r="J1888" s="468" t="str">
        <f t="shared" si="345"/>
        <v>DIA</v>
      </c>
      <c r="K1888" s="410" t="str">
        <f t="shared" si="357"/>
        <v>DIA</v>
      </c>
      <c r="L1888" s="411"/>
      <c r="M1888" s="469">
        <f t="shared" si="346"/>
        <v>3.5833333333333335</v>
      </c>
      <c r="N1888" s="457">
        <f t="shared" si="354"/>
        <v>0.45</v>
      </c>
      <c r="O1888" s="442"/>
      <c r="P1888" s="413"/>
      <c r="Q1888" s="411"/>
      <c r="R1888" s="413">
        <f t="shared" si="347"/>
        <v>0.45</v>
      </c>
      <c r="S1888" s="472">
        <f t="shared" si="348"/>
        <v>0.45</v>
      </c>
      <c r="V1888" s="383">
        <f>+P1888*O1888*N1888</f>
        <v>0</v>
      </c>
      <c r="W1888" s="383">
        <v>17</v>
      </c>
      <c r="X1888" s="458">
        <v>0.58333333333333337</v>
      </c>
      <c r="Y1888" s="471">
        <f t="shared" si="355"/>
        <v>3</v>
      </c>
      <c r="Z1888" s="471">
        <f t="shared" si="356"/>
        <v>0.44791666666666669</v>
      </c>
      <c r="AA1888" s="471">
        <f t="shared" si="353"/>
        <v>0.45</v>
      </c>
      <c r="AC1888" s="480">
        <v>22195006.437946156</v>
      </c>
      <c r="AD1888" s="481">
        <f t="shared" si="350"/>
        <v>2.6551283156373246E-2</v>
      </c>
      <c r="AE1888" s="383">
        <f t="shared" si="351"/>
        <v>2.6551283156373247</v>
      </c>
      <c r="AF1888" s="383">
        <f t="shared" si="352"/>
        <v>3</v>
      </c>
    </row>
    <row r="1889" spans="1:32">
      <c r="A1889" s="383">
        <v>18</v>
      </c>
      <c r="C1889" s="406"/>
      <c r="D1889" s="407"/>
      <c r="E1889" s="407"/>
      <c r="F1889" s="407"/>
      <c r="G1889" s="407"/>
      <c r="H1889" s="407"/>
      <c r="I1889" s="408" t="s">
        <v>429</v>
      </c>
      <c r="J1889" s="468" t="str">
        <f t="shared" si="345"/>
        <v>DIA</v>
      </c>
      <c r="K1889" s="410" t="str">
        <f t="shared" si="357"/>
        <v>DIA</v>
      </c>
      <c r="L1889" s="411"/>
      <c r="M1889" s="469">
        <f t="shared" si="346"/>
        <v>3.5833333333333335</v>
      </c>
      <c r="N1889" s="457">
        <f t="shared" si="354"/>
        <v>0.45</v>
      </c>
      <c r="O1889" s="442"/>
      <c r="P1889" s="413"/>
      <c r="Q1889" s="411"/>
      <c r="R1889" s="413">
        <f t="shared" si="347"/>
        <v>0.45</v>
      </c>
      <c r="S1889" s="472">
        <f t="shared" si="348"/>
        <v>0.45</v>
      </c>
      <c r="W1889" s="383">
        <v>18</v>
      </c>
      <c r="X1889" s="458">
        <v>0.58333333333333337</v>
      </c>
      <c r="Y1889" s="471">
        <f t="shared" si="355"/>
        <v>3</v>
      </c>
      <c r="Z1889" s="471">
        <f t="shared" si="356"/>
        <v>0.44791666666666669</v>
      </c>
      <c r="AA1889" s="471">
        <f t="shared" si="353"/>
        <v>0.45</v>
      </c>
      <c r="AC1889" s="480">
        <v>21229356.747781537</v>
      </c>
      <c r="AD1889" s="481">
        <f t="shared" si="350"/>
        <v>2.539610266903668E-2</v>
      </c>
      <c r="AE1889" s="383">
        <f t="shared" si="351"/>
        <v>2.5396102669036682</v>
      </c>
      <c r="AF1889" s="383">
        <f t="shared" si="352"/>
        <v>3</v>
      </c>
    </row>
    <row r="1890" spans="1:32">
      <c r="A1890" s="383">
        <v>19</v>
      </c>
      <c r="C1890" s="406"/>
      <c r="D1890" s="407"/>
      <c r="E1890" s="407"/>
      <c r="F1890" s="407"/>
      <c r="G1890" s="407"/>
      <c r="H1890" s="407"/>
      <c r="I1890" s="408" t="s">
        <v>430</v>
      </c>
      <c r="J1890" s="468" t="str">
        <f t="shared" si="345"/>
        <v>DIA</v>
      </c>
      <c r="K1890" s="410" t="str">
        <f t="shared" si="357"/>
        <v>DIA</v>
      </c>
      <c r="L1890" s="411"/>
      <c r="M1890" s="469" t="str">
        <f t="shared" si="346"/>
        <v/>
      </c>
      <c r="N1890" s="457" t="str">
        <f t="shared" si="354"/>
        <v/>
      </c>
      <c r="O1890" s="442"/>
      <c r="P1890" s="413"/>
      <c r="Q1890" s="411"/>
      <c r="R1890" s="413" t="str">
        <f t="shared" si="347"/>
        <v/>
      </c>
      <c r="S1890" s="472" t="str">
        <f t="shared" si="348"/>
        <v/>
      </c>
      <c r="W1890" s="383">
        <v>19</v>
      </c>
      <c r="Y1890" s="471" t="str">
        <f t="shared" si="355"/>
        <v/>
      </c>
      <c r="Z1890" s="471" t="str">
        <f t="shared" si="356"/>
        <v/>
      </c>
      <c r="AC1890" s="480">
        <v>22252655.735846154</v>
      </c>
      <c r="AD1890" s="481">
        <f t="shared" si="350"/>
        <v>2.6620247445101365E-2</v>
      </c>
      <c r="AE1890" s="383">
        <f t="shared" si="351"/>
        <v>2.6620247445101364</v>
      </c>
      <c r="AF1890" s="383">
        <f t="shared" si="352"/>
        <v>3</v>
      </c>
    </row>
    <row r="1891" spans="1:32">
      <c r="A1891" s="383">
        <v>20</v>
      </c>
      <c r="C1891" s="406"/>
      <c r="D1891" s="407"/>
      <c r="E1891" s="407"/>
      <c r="F1891" s="407"/>
      <c r="G1891" s="407"/>
      <c r="H1891" s="407"/>
      <c r="I1891" s="408" t="s">
        <v>431</v>
      </c>
      <c r="J1891" s="468" t="str">
        <f t="shared" si="345"/>
        <v>DIA</v>
      </c>
      <c r="K1891" s="410" t="str">
        <f t="shared" si="357"/>
        <v>DIA</v>
      </c>
      <c r="L1891" s="411"/>
      <c r="M1891" s="469" t="str">
        <f t="shared" si="346"/>
        <v/>
      </c>
      <c r="N1891" s="457" t="str">
        <f t="shared" si="354"/>
        <v/>
      </c>
      <c r="O1891" s="442"/>
      <c r="P1891" s="413"/>
      <c r="Q1891" s="411"/>
      <c r="R1891" s="413" t="str">
        <f t="shared" si="347"/>
        <v/>
      </c>
      <c r="S1891" s="472" t="str">
        <f t="shared" si="348"/>
        <v/>
      </c>
      <c r="W1891" s="383">
        <v>20</v>
      </c>
      <c r="Y1891" s="471" t="str">
        <f t="shared" si="355"/>
        <v/>
      </c>
      <c r="Z1891" s="471" t="str">
        <f t="shared" si="356"/>
        <v/>
      </c>
      <c r="AC1891" s="480">
        <v>25170394.98079754</v>
      </c>
      <c r="AD1891" s="481">
        <f t="shared" si="350"/>
        <v>3.0110659627938997E-2</v>
      </c>
      <c r="AE1891" s="383">
        <f t="shared" si="351"/>
        <v>3.0110659627938996</v>
      </c>
      <c r="AF1891" s="383">
        <f t="shared" si="352"/>
        <v>3</v>
      </c>
    </row>
    <row r="1892" spans="1:32">
      <c r="A1892" s="383">
        <v>21</v>
      </c>
      <c r="C1892" s="406"/>
      <c r="D1892" s="407"/>
      <c r="E1892" s="407"/>
      <c r="F1892" s="407"/>
      <c r="G1892" s="407"/>
      <c r="H1892" s="407"/>
      <c r="I1892" s="408" t="s">
        <v>432</v>
      </c>
      <c r="J1892" s="468" t="str">
        <f t="shared" si="345"/>
        <v>DIA</v>
      </c>
      <c r="K1892" s="410" t="str">
        <f t="shared" si="357"/>
        <v>DIA</v>
      </c>
      <c r="L1892" s="411"/>
      <c r="M1892" s="469" t="str">
        <f t="shared" si="346"/>
        <v/>
      </c>
      <c r="N1892" s="457" t="str">
        <f t="shared" si="354"/>
        <v/>
      </c>
      <c r="O1892" s="442"/>
      <c r="P1892" s="413"/>
      <c r="Q1892" s="411"/>
      <c r="R1892" s="413" t="str">
        <f t="shared" si="347"/>
        <v/>
      </c>
      <c r="S1892" s="472" t="str">
        <f t="shared" si="348"/>
        <v/>
      </c>
      <c r="W1892" s="383">
        <v>21</v>
      </c>
      <c r="Y1892" s="471" t="str">
        <f t="shared" si="355"/>
        <v/>
      </c>
      <c r="Z1892" s="471" t="str">
        <f t="shared" si="356"/>
        <v/>
      </c>
      <c r="AC1892" s="480">
        <v>23522055.706600003</v>
      </c>
      <c r="AD1892" s="481">
        <f t="shared" si="350"/>
        <v>2.8138796140115673E-2</v>
      </c>
      <c r="AE1892" s="383">
        <f t="shared" si="351"/>
        <v>2.8138796140115674</v>
      </c>
      <c r="AF1892" s="383">
        <f t="shared" si="352"/>
        <v>3</v>
      </c>
    </row>
    <row r="1893" spans="1:32">
      <c r="A1893" s="383">
        <v>22</v>
      </c>
      <c r="C1893" s="406"/>
      <c r="D1893" s="407"/>
      <c r="E1893" s="407"/>
      <c r="F1893" s="407"/>
      <c r="G1893" s="407"/>
      <c r="H1893" s="407"/>
      <c r="I1893" s="408" t="s">
        <v>433</v>
      </c>
      <c r="J1893" s="468" t="str">
        <f t="shared" si="345"/>
        <v>DIA</v>
      </c>
      <c r="K1893" s="410" t="str">
        <f t="shared" si="357"/>
        <v>DIA</v>
      </c>
      <c r="L1893" s="411"/>
      <c r="M1893" s="469" t="str">
        <f t="shared" si="346"/>
        <v/>
      </c>
      <c r="N1893" s="457" t="str">
        <f t="shared" si="354"/>
        <v/>
      </c>
      <c r="O1893" s="442"/>
      <c r="P1893" s="413"/>
      <c r="Q1893" s="411"/>
      <c r="R1893" s="413" t="str">
        <f t="shared" si="347"/>
        <v/>
      </c>
      <c r="S1893" s="472" t="str">
        <f t="shared" si="348"/>
        <v/>
      </c>
      <c r="W1893" s="383">
        <v>22</v>
      </c>
      <c r="Y1893" s="471" t="str">
        <f t="shared" si="355"/>
        <v/>
      </c>
      <c r="Z1893" s="471" t="str">
        <f t="shared" si="356"/>
        <v/>
      </c>
      <c r="AC1893" s="480">
        <v>22252655.735846154</v>
      </c>
      <c r="AD1893" s="481">
        <f t="shared" si="350"/>
        <v>2.6620247445101365E-2</v>
      </c>
      <c r="AE1893" s="383">
        <f t="shared" si="351"/>
        <v>2.6620247445101364</v>
      </c>
      <c r="AF1893" s="383">
        <f t="shared" si="352"/>
        <v>3</v>
      </c>
    </row>
    <row r="1894" spans="1:32">
      <c r="A1894" s="383">
        <v>23</v>
      </c>
      <c r="C1894" s="406"/>
      <c r="D1894" s="407"/>
      <c r="E1894" s="407"/>
      <c r="F1894" s="407"/>
      <c r="G1894" s="407"/>
      <c r="H1894" s="407"/>
      <c r="I1894" s="408" t="s">
        <v>434</v>
      </c>
      <c r="J1894" s="468" t="str">
        <f t="shared" si="345"/>
        <v>DIA</v>
      </c>
      <c r="K1894" s="410" t="str">
        <f t="shared" si="357"/>
        <v>DIA</v>
      </c>
      <c r="L1894" s="411"/>
      <c r="M1894" s="469" t="str">
        <f t="shared" si="346"/>
        <v/>
      </c>
      <c r="N1894" s="457" t="str">
        <f t="shared" si="354"/>
        <v/>
      </c>
      <c r="O1894" s="442"/>
      <c r="P1894" s="413"/>
      <c r="Q1894" s="411"/>
      <c r="R1894" s="413" t="str">
        <f t="shared" si="347"/>
        <v/>
      </c>
      <c r="S1894" s="472" t="str">
        <f t="shared" si="348"/>
        <v/>
      </c>
      <c r="W1894" s="383">
        <v>23</v>
      </c>
      <c r="Y1894" s="471" t="str">
        <f t="shared" si="355"/>
        <v/>
      </c>
      <c r="Z1894" s="471" t="str">
        <f t="shared" si="356"/>
        <v/>
      </c>
      <c r="AC1894" s="480">
        <v>26271850.647815384</v>
      </c>
      <c r="AD1894" s="481">
        <f t="shared" si="350"/>
        <v>3.1428301115493752E-2</v>
      </c>
      <c r="AE1894" s="383">
        <f t="shared" si="351"/>
        <v>3.1428301115493751</v>
      </c>
      <c r="AF1894" s="383">
        <f t="shared" si="352"/>
        <v>3</v>
      </c>
    </row>
    <row r="1895" spans="1:32">
      <c r="A1895" s="383">
        <v>24</v>
      </c>
      <c r="C1895" s="406"/>
      <c r="D1895" s="407"/>
      <c r="E1895" s="407"/>
      <c r="F1895" s="407"/>
      <c r="G1895" s="407"/>
      <c r="H1895" s="407"/>
      <c r="I1895" s="408" t="s">
        <v>435</v>
      </c>
      <c r="J1895" s="468" t="str">
        <f t="shared" si="345"/>
        <v>DIA</v>
      </c>
      <c r="K1895" s="410" t="str">
        <f t="shared" si="357"/>
        <v>DIA</v>
      </c>
      <c r="L1895" s="411"/>
      <c r="M1895" s="469" t="str">
        <f t="shared" si="346"/>
        <v/>
      </c>
      <c r="N1895" s="457" t="str">
        <f t="shared" si="354"/>
        <v/>
      </c>
      <c r="O1895" s="442"/>
      <c r="P1895" s="413"/>
      <c r="Q1895" s="411"/>
      <c r="R1895" s="413" t="str">
        <f t="shared" si="347"/>
        <v/>
      </c>
      <c r="S1895" s="472" t="str">
        <f t="shared" si="348"/>
        <v/>
      </c>
      <c r="W1895" s="383">
        <v>24</v>
      </c>
      <c r="Y1895" s="471" t="str">
        <f t="shared" si="355"/>
        <v/>
      </c>
      <c r="Z1895" s="471" t="str">
        <f t="shared" si="356"/>
        <v/>
      </c>
      <c r="AC1895" s="480">
        <v>9699596.129999999</v>
      </c>
      <c r="AD1895" s="481">
        <f t="shared" si="350"/>
        <v>1.1603363309225677E-2</v>
      </c>
      <c r="AE1895" s="383">
        <f t="shared" si="351"/>
        <v>1.1603363309225676</v>
      </c>
      <c r="AF1895" s="383">
        <f t="shared" si="352"/>
        <v>1</v>
      </c>
    </row>
    <row r="1896" spans="1:32">
      <c r="A1896" s="383">
        <v>25</v>
      </c>
      <c r="C1896" s="406"/>
      <c r="D1896" s="407"/>
      <c r="E1896" s="407"/>
      <c r="F1896" s="407"/>
      <c r="G1896" s="407"/>
      <c r="H1896" s="407"/>
      <c r="I1896" s="408" t="s">
        <v>436</v>
      </c>
      <c r="J1896" s="468" t="str">
        <f t="shared" si="345"/>
        <v>DIA</v>
      </c>
      <c r="K1896" s="410" t="str">
        <f t="shared" si="357"/>
        <v>DIA</v>
      </c>
      <c r="L1896" s="411"/>
      <c r="M1896" s="469" t="str">
        <f t="shared" si="346"/>
        <v/>
      </c>
      <c r="N1896" s="457" t="str">
        <f t="shared" si="354"/>
        <v/>
      </c>
      <c r="O1896" s="442"/>
      <c r="P1896" s="413"/>
      <c r="Q1896" s="411"/>
      <c r="R1896" s="413" t="str">
        <f t="shared" si="347"/>
        <v/>
      </c>
      <c r="S1896" s="472" t="str">
        <f t="shared" si="348"/>
        <v/>
      </c>
      <c r="W1896" s="383">
        <v>25</v>
      </c>
      <c r="Y1896" s="471" t="str">
        <f t="shared" si="355"/>
        <v/>
      </c>
      <c r="Z1896" s="471" t="str">
        <f t="shared" si="356"/>
        <v/>
      </c>
      <c r="AC1896" s="480">
        <v>20974543.729976922</v>
      </c>
      <c r="AD1896" s="481">
        <f t="shared" si="350"/>
        <v>2.5091276779187269E-2</v>
      </c>
      <c r="AE1896" s="383">
        <f t="shared" si="351"/>
        <v>2.5091276779187268</v>
      </c>
      <c r="AF1896" s="383">
        <f t="shared" si="352"/>
        <v>3</v>
      </c>
    </row>
    <row r="1897" spans="1:32">
      <c r="A1897" s="383">
        <v>26</v>
      </c>
      <c r="C1897" s="406"/>
      <c r="D1897" s="407"/>
      <c r="E1897" s="407"/>
      <c r="F1897" s="407"/>
      <c r="G1897" s="407"/>
      <c r="H1897" s="407"/>
      <c r="I1897" s="408" t="s">
        <v>437</v>
      </c>
      <c r="J1897" s="468" t="str">
        <f t="shared" si="345"/>
        <v>DIA</v>
      </c>
      <c r="K1897" s="410" t="str">
        <f>+K1886</f>
        <v>DIA</v>
      </c>
      <c r="L1897" s="411"/>
      <c r="M1897" s="469" t="str">
        <f t="shared" si="346"/>
        <v/>
      </c>
      <c r="N1897" s="457" t="str">
        <f t="shared" si="354"/>
        <v/>
      </c>
      <c r="O1897" s="442"/>
      <c r="P1897" s="413"/>
      <c r="Q1897" s="411"/>
      <c r="R1897" s="413" t="str">
        <f t="shared" si="347"/>
        <v/>
      </c>
      <c r="S1897" s="472" t="str">
        <f t="shared" si="348"/>
        <v/>
      </c>
      <c r="W1897" s="383">
        <v>26</v>
      </c>
      <c r="Y1897" s="471" t="str">
        <f t="shared" si="355"/>
        <v/>
      </c>
      <c r="Z1897" s="471" t="str">
        <f t="shared" si="356"/>
        <v/>
      </c>
      <c r="AC1897" s="480">
        <v>20112299.800000001</v>
      </c>
      <c r="AD1897" s="481">
        <f t="shared" si="350"/>
        <v>2.4059797793196048E-2</v>
      </c>
      <c r="AE1897" s="383">
        <f t="shared" si="351"/>
        <v>2.4059797793196047</v>
      </c>
      <c r="AF1897" s="383">
        <f t="shared" si="352"/>
        <v>2</v>
      </c>
    </row>
    <row r="1898" spans="1:32">
      <c r="A1898" s="383">
        <v>27</v>
      </c>
      <c r="C1898" s="406"/>
      <c r="D1898" s="407"/>
      <c r="E1898" s="407"/>
      <c r="F1898" s="407"/>
      <c r="G1898" s="407"/>
      <c r="H1898" s="407"/>
      <c r="I1898" s="408" t="s">
        <v>438</v>
      </c>
      <c r="J1898" s="468" t="str">
        <f t="shared" si="345"/>
        <v>DIA</v>
      </c>
      <c r="K1898" s="410" t="str">
        <f t="shared" ref="K1898:K1906" si="358">+K1897</f>
        <v>DIA</v>
      </c>
      <c r="L1898" s="411"/>
      <c r="M1898" s="469" t="str">
        <f t="shared" si="346"/>
        <v/>
      </c>
      <c r="N1898" s="457" t="str">
        <f t="shared" si="354"/>
        <v/>
      </c>
      <c r="O1898" s="442"/>
      <c r="P1898" s="413"/>
      <c r="Q1898" s="411"/>
      <c r="R1898" s="413" t="str">
        <f t="shared" si="347"/>
        <v/>
      </c>
      <c r="S1898" s="472" t="str">
        <f t="shared" si="348"/>
        <v/>
      </c>
      <c r="W1898" s="383">
        <v>27</v>
      </c>
      <c r="Y1898" s="471" t="str">
        <f t="shared" si="355"/>
        <v/>
      </c>
      <c r="Z1898" s="471" t="str">
        <f t="shared" si="356"/>
        <v/>
      </c>
      <c r="AC1898" s="480">
        <v>21924778.479846153</v>
      </c>
      <c r="AD1898" s="481">
        <f t="shared" si="350"/>
        <v>2.6228016792277264E-2</v>
      </c>
      <c r="AE1898" s="383">
        <f t="shared" si="351"/>
        <v>2.6228016792277264</v>
      </c>
      <c r="AF1898" s="383">
        <f t="shared" si="352"/>
        <v>3</v>
      </c>
    </row>
    <row r="1899" spans="1:32">
      <c r="A1899" s="383">
        <v>28</v>
      </c>
      <c r="C1899" s="406"/>
      <c r="D1899" s="440"/>
      <c r="E1899" s="407"/>
      <c r="F1899" s="407"/>
      <c r="G1899" s="407"/>
      <c r="H1899" s="437"/>
      <c r="I1899" s="408" t="s">
        <v>439</v>
      </c>
      <c r="J1899" s="468" t="str">
        <f t="shared" si="345"/>
        <v>DIA</v>
      </c>
      <c r="K1899" s="410" t="str">
        <f t="shared" si="358"/>
        <v>DIA</v>
      </c>
      <c r="L1899" s="411"/>
      <c r="M1899" s="469" t="str">
        <f t="shared" si="346"/>
        <v/>
      </c>
      <c r="N1899" s="457" t="str">
        <f t="shared" si="354"/>
        <v/>
      </c>
      <c r="O1899" s="442"/>
      <c r="P1899" s="413"/>
      <c r="Q1899" s="411"/>
      <c r="R1899" s="413" t="str">
        <f t="shared" si="347"/>
        <v/>
      </c>
      <c r="S1899" s="472" t="str">
        <f t="shared" si="348"/>
        <v/>
      </c>
      <c r="W1899" s="383">
        <v>28</v>
      </c>
      <c r="Y1899" s="471" t="str">
        <f t="shared" si="355"/>
        <v/>
      </c>
      <c r="Z1899" s="471" t="str">
        <f t="shared" si="356"/>
        <v/>
      </c>
      <c r="AC1899" s="480">
        <v>11023548.860000001</v>
      </c>
      <c r="AD1899" s="481">
        <f t="shared" si="350"/>
        <v>1.3187171987910445E-2</v>
      </c>
      <c r="AE1899" s="383">
        <f t="shared" si="351"/>
        <v>1.3187171987910444</v>
      </c>
      <c r="AF1899" s="383">
        <f t="shared" si="352"/>
        <v>1</v>
      </c>
    </row>
    <row r="1900" spans="1:32">
      <c r="A1900" s="383">
        <v>29</v>
      </c>
      <c r="C1900" s="406"/>
      <c r="D1900" s="407"/>
      <c r="E1900" s="407"/>
      <c r="F1900" s="407"/>
      <c r="G1900" s="407"/>
      <c r="H1900" s="407"/>
      <c r="I1900" s="408" t="s">
        <v>440</v>
      </c>
      <c r="J1900" s="468" t="str">
        <f t="shared" si="345"/>
        <v>DIA</v>
      </c>
      <c r="K1900" s="410" t="str">
        <f t="shared" si="358"/>
        <v>DIA</v>
      </c>
      <c r="L1900" s="411"/>
      <c r="M1900" s="469" t="str">
        <f t="shared" si="346"/>
        <v/>
      </c>
      <c r="N1900" s="457" t="str">
        <f t="shared" si="354"/>
        <v/>
      </c>
      <c r="O1900" s="442"/>
      <c r="P1900" s="413"/>
      <c r="Q1900" s="411"/>
      <c r="R1900" s="413" t="str">
        <f t="shared" si="347"/>
        <v/>
      </c>
      <c r="S1900" s="472" t="str">
        <f t="shared" si="348"/>
        <v/>
      </c>
      <c r="W1900" s="383">
        <v>29</v>
      </c>
      <c r="Y1900" s="471" t="str">
        <f t="shared" si="355"/>
        <v/>
      </c>
      <c r="Z1900" s="471" t="str">
        <f t="shared" si="356"/>
        <v/>
      </c>
      <c r="AC1900" s="480">
        <v>5088666.3287999984</v>
      </c>
      <c r="AD1900" s="481">
        <f t="shared" si="350"/>
        <v>6.0874332684705329E-3</v>
      </c>
      <c r="AE1900" s="383">
        <f t="shared" si="351"/>
        <v>0.60874332684705323</v>
      </c>
      <c r="AF1900" s="383">
        <f t="shared" si="352"/>
        <v>1</v>
      </c>
    </row>
    <row r="1901" spans="1:32">
      <c r="A1901" s="383">
        <v>30</v>
      </c>
      <c r="C1901" s="406"/>
      <c r="D1901" s="407"/>
      <c r="E1901" s="407"/>
      <c r="F1901" s="407"/>
      <c r="G1901" s="407"/>
      <c r="H1901" s="407"/>
      <c r="I1901" s="408" t="s">
        <v>441</v>
      </c>
      <c r="J1901" s="468" t="str">
        <f t="shared" si="345"/>
        <v>DIA</v>
      </c>
      <c r="K1901" s="410" t="str">
        <f t="shared" si="358"/>
        <v>DIA</v>
      </c>
      <c r="L1901" s="411"/>
      <c r="M1901" s="469" t="str">
        <f t="shared" si="346"/>
        <v/>
      </c>
      <c r="N1901" s="457" t="str">
        <f t="shared" si="354"/>
        <v/>
      </c>
      <c r="O1901" s="442"/>
      <c r="P1901" s="413"/>
      <c r="Q1901" s="411"/>
      <c r="R1901" s="413" t="str">
        <f t="shared" si="347"/>
        <v/>
      </c>
      <c r="S1901" s="472" t="str">
        <f t="shared" si="348"/>
        <v/>
      </c>
      <c r="W1901" s="383">
        <v>30</v>
      </c>
      <c r="Y1901" s="471" t="str">
        <f t="shared" si="355"/>
        <v/>
      </c>
      <c r="Z1901" s="471" t="str">
        <f t="shared" si="356"/>
        <v/>
      </c>
      <c r="AC1901" s="480">
        <v>25723111.100797541</v>
      </c>
      <c r="AD1901" s="481">
        <f t="shared" si="350"/>
        <v>3.0771858904823278E-2</v>
      </c>
      <c r="AE1901" s="383">
        <f t="shared" si="351"/>
        <v>3.0771858904823279</v>
      </c>
      <c r="AF1901" s="383">
        <f t="shared" si="352"/>
        <v>3</v>
      </c>
    </row>
    <row r="1902" spans="1:32">
      <c r="A1902" s="383">
        <v>31</v>
      </c>
      <c r="C1902" s="406"/>
      <c r="D1902" s="407"/>
      <c r="E1902" s="407"/>
      <c r="F1902" s="407"/>
      <c r="G1902" s="407"/>
      <c r="H1902" s="407"/>
      <c r="I1902" s="408" t="s">
        <v>442</v>
      </c>
      <c r="J1902" s="468" t="str">
        <f t="shared" si="345"/>
        <v>DIA</v>
      </c>
      <c r="K1902" s="410" t="str">
        <f t="shared" si="358"/>
        <v>DIA</v>
      </c>
      <c r="L1902" s="411"/>
      <c r="M1902" s="469" t="str">
        <f t="shared" si="346"/>
        <v/>
      </c>
      <c r="N1902" s="457" t="str">
        <f t="shared" si="354"/>
        <v/>
      </c>
      <c r="O1902" s="442"/>
      <c r="P1902" s="413"/>
      <c r="Q1902" s="411"/>
      <c r="R1902" s="413" t="str">
        <f t="shared" si="347"/>
        <v/>
      </c>
      <c r="S1902" s="472" t="str">
        <f t="shared" si="348"/>
        <v/>
      </c>
      <c r="W1902" s="383">
        <v>31</v>
      </c>
      <c r="Y1902" s="471" t="str">
        <f t="shared" si="355"/>
        <v/>
      </c>
      <c r="Z1902" s="471" t="str">
        <f t="shared" si="356"/>
        <v/>
      </c>
      <c r="AC1902" s="480">
        <v>14488806.918015385</v>
      </c>
      <c r="AD1902" s="481">
        <f t="shared" si="350"/>
        <v>1.7332566050557292E-2</v>
      </c>
      <c r="AE1902" s="383">
        <f t="shared" si="351"/>
        <v>1.7332566050557292</v>
      </c>
      <c r="AF1902" s="383">
        <f t="shared" si="352"/>
        <v>2</v>
      </c>
    </row>
    <row r="1903" spans="1:32">
      <c r="A1903" s="383">
        <v>32</v>
      </c>
      <c r="C1903" s="406"/>
      <c r="D1903" s="407"/>
      <c r="E1903" s="407"/>
      <c r="F1903" s="407"/>
      <c r="G1903" s="407"/>
      <c r="H1903" s="407"/>
      <c r="I1903" s="408" t="s">
        <v>443</v>
      </c>
      <c r="J1903" s="468" t="str">
        <f t="shared" si="345"/>
        <v>DIA</v>
      </c>
      <c r="K1903" s="410" t="str">
        <f t="shared" si="358"/>
        <v>DIA</v>
      </c>
      <c r="L1903" s="411"/>
      <c r="M1903" s="469" t="str">
        <f t="shared" si="346"/>
        <v/>
      </c>
      <c r="N1903" s="457" t="str">
        <f t="shared" si="354"/>
        <v/>
      </c>
      <c r="O1903" s="442"/>
      <c r="P1903" s="413"/>
      <c r="Q1903" s="411"/>
      <c r="R1903" s="413" t="str">
        <f t="shared" si="347"/>
        <v/>
      </c>
      <c r="S1903" s="472" t="str">
        <f t="shared" si="348"/>
        <v/>
      </c>
      <c r="W1903" s="383">
        <v>32</v>
      </c>
      <c r="Y1903" s="471" t="str">
        <f t="shared" si="355"/>
        <v/>
      </c>
      <c r="Z1903" s="471" t="str">
        <f t="shared" si="356"/>
        <v/>
      </c>
      <c r="AC1903" s="480">
        <v>21271952.532083079</v>
      </c>
      <c r="AD1903" s="481">
        <f t="shared" si="350"/>
        <v>2.5447058848455686E-2</v>
      </c>
      <c r="AE1903" s="383">
        <f t="shared" si="351"/>
        <v>2.5447058848455684</v>
      </c>
      <c r="AF1903" s="383">
        <f t="shared" si="352"/>
        <v>3</v>
      </c>
    </row>
    <row r="1904" spans="1:32">
      <c r="A1904" s="383">
        <v>33</v>
      </c>
      <c r="C1904" s="406"/>
      <c r="D1904" s="407"/>
      <c r="E1904" s="407"/>
      <c r="F1904" s="407"/>
      <c r="G1904" s="407"/>
      <c r="H1904" s="407"/>
      <c r="I1904" s="408" t="s">
        <v>444</v>
      </c>
      <c r="J1904" s="468" t="str">
        <f t="shared" si="345"/>
        <v>DIA</v>
      </c>
      <c r="K1904" s="410" t="str">
        <f t="shared" si="358"/>
        <v>DIA</v>
      </c>
      <c r="L1904" s="411"/>
      <c r="M1904" s="469" t="str">
        <f t="shared" si="346"/>
        <v/>
      </c>
      <c r="N1904" s="457" t="str">
        <f t="shared" si="354"/>
        <v/>
      </c>
      <c r="O1904" s="442"/>
      <c r="P1904" s="413"/>
      <c r="Q1904" s="411"/>
      <c r="R1904" s="413" t="str">
        <f t="shared" si="347"/>
        <v/>
      </c>
      <c r="S1904" s="472" t="str">
        <f t="shared" si="348"/>
        <v/>
      </c>
      <c r="W1904" s="383">
        <v>33</v>
      </c>
      <c r="Y1904" s="471" t="str">
        <f t="shared" si="355"/>
        <v/>
      </c>
      <c r="Z1904" s="471" t="str">
        <f t="shared" si="356"/>
        <v/>
      </c>
      <c r="AC1904" s="480">
        <v>23052831.245384611</v>
      </c>
      <c r="AD1904" s="481">
        <f t="shared" si="350"/>
        <v>2.7577475666140654E-2</v>
      </c>
      <c r="AE1904" s="383">
        <f t="shared" si="351"/>
        <v>2.7577475666140652</v>
      </c>
      <c r="AF1904" s="383">
        <f t="shared" si="352"/>
        <v>3</v>
      </c>
    </row>
    <row r="1905" spans="1:32">
      <c r="A1905" s="383">
        <v>34</v>
      </c>
      <c r="C1905" s="406"/>
      <c r="D1905" s="407"/>
      <c r="E1905" s="407"/>
      <c r="F1905" s="407"/>
      <c r="G1905" s="407"/>
      <c r="H1905" s="407"/>
      <c r="I1905" s="408" t="s">
        <v>445</v>
      </c>
      <c r="J1905" s="468" t="str">
        <f t="shared" si="345"/>
        <v>DIA</v>
      </c>
      <c r="K1905" s="410" t="str">
        <f t="shared" si="358"/>
        <v>DIA</v>
      </c>
      <c r="L1905" s="411"/>
      <c r="M1905" s="469" t="str">
        <f t="shared" si="346"/>
        <v/>
      </c>
      <c r="N1905" s="457" t="str">
        <f t="shared" si="354"/>
        <v/>
      </c>
      <c r="O1905" s="442"/>
      <c r="P1905" s="413"/>
      <c r="Q1905" s="411"/>
      <c r="R1905" s="413" t="str">
        <f t="shared" si="347"/>
        <v/>
      </c>
      <c r="S1905" s="472" t="str">
        <f t="shared" si="348"/>
        <v/>
      </c>
      <c r="W1905" s="383">
        <v>34</v>
      </c>
      <c r="Y1905" s="471" t="str">
        <f t="shared" si="355"/>
        <v/>
      </c>
      <c r="Z1905" s="471" t="str">
        <f t="shared" si="356"/>
        <v/>
      </c>
      <c r="AC1905" s="480">
        <v>11381616.820000002</v>
      </c>
      <c r="AD1905" s="481">
        <f t="shared" si="350"/>
        <v>1.3615518959638771E-2</v>
      </c>
      <c r="AE1905" s="383">
        <f t="shared" si="351"/>
        <v>1.361551895963877</v>
      </c>
      <c r="AF1905" s="383">
        <f t="shared" si="352"/>
        <v>1</v>
      </c>
    </row>
    <row r="1906" spans="1:32">
      <c r="A1906" s="383">
        <v>35</v>
      </c>
      <c r="C1906" s="406"/>
      <c r="D1906" s="440"/>
      <c r="E1906" s="407"/>
      <c r="F1906" s="407"/>
      <c r="G1906" s="407"/>
      <c r="H1906" s="437"/>
      <c r="I1906" s="408" t="s">
        <v>446</v>
      </c>
      <c r="J1906" s="468" t="str">
        <f t="shared" si="345"/>
        <v>DIA</v>
      </c>
      <c r="K1906" s="410" t="str">
        <f t="shared" si="358"/>
        <v>DIA</v>
      </c>
      <c r="L1906" s="411"/>
      <c r="M1906" s="469" t="str">
        <f t="shared" si="346"/>
        <v/>
      </c>
      <c r="N1906" s="457" t="str">
        <f t="shared" si="354"/>
        <v/>
      </c>
      <c r="O1906" s="442"/>
      <c r="P1906" s="413"/>
      <c r="Q1906" s="411"/>
      <c r="R1906" s="413" t="str">
        <f t="shared" si="347"/>
        <v/>
      </c>
      <c r="S1906" s="472" t="str">
        <f t="shared" si="348"/>
        <v/>
      </c>
      <c r="W1906" s="383">
        <v>35</v>
      </c>
      <c r="Y1906" s="471" t="str">
        <f t="shared" si="355"/>
        <v/>
      </c>
      <c r="Z1906" s="471" t="str">
        <f t="shared" si="356"/>
        <v/>
      </c>
      <c r="AC1906" s="480">
        <v>15899499.300000001</v>
      </c>
      <c r="AD1906" s="481">
        <f t="shared" si="350"/>
        <v>1.9020139018167487E-2</v>
      </c>
      <c r="AE1906" s="383">
        <f t="shared" si="351"/>
        <v>1.9020139018167486</v>
      </c>
      <c r="AF1906" s="383">
        <f t="shared" si="352"/>
        <v>2</v>
      </c>
    </row>
    <row r="1907" spans="1:32">
      <c r="A1907" s="383">
        <v>36</v>
      </c>
      <c r="C1907" s="406"/>
      <c r="D1907" s="407"/>
      <c r="E1907" s="407"/>
      <c r="F1907" s="407"/>
      <c r="G1907" s="407"/>
      <c r="H1907" s="407"/>
      <c r="I1907" s="408" t="s">
        <v>447</v>
      </c>
      <c r="J1907" s="468" t="str">
        <f t="shared" si="345"/>
        <v>DIA</v>
      </c>
      <c r="K1907" s="410" t="str">
        <f>+K1896</f>
        <v>DIA</v>
      </c>
      <c r="L1907" s="411"/>
      <c r="M1907" s="469" t="str">
        <f t="shared" si="346"/>
        <v/>
      </c>
      <c r="N1907" s="457" t="str">
        <f t="shared" si="354"/>
        <v/>
      </c>
      <c r="O1907" s="442"/>
      <c r="P1907" s="413"/>
      <c r="Q1907" s="411"/>
      <c r="R1907" s="413" t="str">
        <f t="shared" si="347"/>
        <v/>
      </c>
      <c r="S1907" s="472" t="str">
        <f t="shared" si="348"/>
        <v/>
      </c>
      <c r="W1907" s="383">
        <v>36</v>
      </c>
      <c r="Y1907" s="471" t="str">
        <f t="shared" si="355"/>
        <v/>
      </c>
      <c r="Z1907" s="471" t="str">
        <f t="shared" si="356"/>
        <v/>
      </c>
      <c r="AC1907" s="480">
        <v>17154867.32912923</v>
      </c>
      <c r="AD1907" s="481">
        <f t="shared" si="350"/>
        <v>2.0521901682668556E-2</v>
      </c>
      <c r="AE1907" s="383">
        <f t="shared" si="351"/>
        <v>2.0521901682668555</v>
      </c>
      <c r="AF1907" s="383">
        <f t="shared" si="352"/>
        <v>2</v>
      </c>
    </row>
    <row r="1908" spans="1:32">
      <c r="A1908" s="383">
        <v>37</v>
      </c>
      <c r="C1908" s="406"/>
      <c r="D1908" s="407"/>
      <c r="E1908" s="407"/>
      <c r="F1908" s="407"/>
      <c r="G1908" s="407"/>
      <c r="H1908" s="407"/>
      <c r="I1908" s="408" t="s">
        <v>448</v>
      </c>
      <c r="J1908" s="468" t="str">
        <f t="shared" si="345"/>
        <v>DIA</v>
      </c>
      <c r="K1908" s="410" t="str">
        <f t="shared" ref="K1908:K1914" si="359">+K1907</f>
        <v>DIA</v>
      </c>
      <c r="L1908" s="411"/>
      <c r="M1908" s="469">
        <f t="shared" si="346"/>
        <v>4.59</v>
      </c>
      <c r="N1908" s="457">
        <f t="shared" si="354"/>
        <v>0.56999999999999995</v>
      </c>
      <c r="O1908" s="442"/>
      <c r="P1908" s="413"/>
      <c r="Q1908" s="411"/>
      <c r="R1908" s="413">
        <f t="shared" si="347"/>
        <v>0.56999999999999995</v>
      </c>
      <c r="S1908" s="472">
        <f t="shared" si="348"/>
        <v>0.56999999999999995</v>
      </c>
      <c r="W1908" s="383">
        <v>37</v>
      </c>
      <c r="X1908" s="458">
        <v>1.59</v>
      </c>
      <c r="Y1908" s="471">
        <f t="shared" si="355"/>
        <v>3</v>
      </c>
      <c r="Z1908" s="471">
        <f t="shared" si="356"/>
        <v>0.57374999999999998</v>
      </c>
      <c r="AA1908" s="471">
        <f t="shared" si="353"/>
        <v>0.56999999999999995</v>
      </c>
      <c r="AB1908" s="383">
        <v>12</v>
      </c>
      <c r="AC1908" s="480">
        <v>25787911.734335385</v>
      </c>
      <c r="AD1908" s="481">
        <f t="shared" si="350"/>
        <v>3.08493781420709E-2</v>
      </c>
      <c r="AE1908" s="383">
        <f t="shared" si="351"/>
        <v>3.0849378142070902</v>
      </c>
      <c r="AF1908" s="383">
        <f t="shared" si="352"/>
        <v>3</v>
      </c>
    </row>
    <row r="1909" spans="1:32">
      <c r="A1909" s="383">
        <v>38</v>
      </c>
      <c r="C1909" s="406"/>
      <c r="D1909" s="440"/>
      <c r="E1909" s="407"/>
      <c r="F1909" s="407"/>
      <c r="G1909" s="407"/>
      <c r="H1909" s="437"/>
      <c r="I1909" s="408" t="s">
        <v>449</v>
      </c>
      <c r="J1909" s="468" t="str">
        <f t="shared" si="345"/>
        <v>DIA</v>
      </c>
      <c r="K1909" s="410" t="str">
        <f t="shared" si="359"/>
        <v>DIA</v>
      </c>
      <c r="L1909" s="411"/>
      <c r="M1909" s="469" t="str">
        <f t="shared" si="346"/>
        <v/>
      </c>
      <c r="N1909" s="457" t="str">
        <f t="shared" si="354"/>
        <v/>
      </c>
      <c r="O1909" s="442"/>
      <c r="P1909" s="413"/>
      <c r="Q1909" s="411"/>
      <c r="R1909" s="413" t="str">
        <f t="shared" si="347"/>
        <v/>
      </c>
      <c r="S1909" s="472" t="str">
        <f t="shared" si="348"/>
        <v/>
      </c>
      <c r="W1909" s="383">
        <v>38</v>
      </c>
      <c r="Y1909" s="471" t="str">
        <f t="shared" si="355"/>
        <v/>
      </c>
      <c r="Z1909" s="471" t="str">
        <f t="shared" si="356"/>
        <v/>
      </c>
      <c r="AC1909" s="480">
        <v>13865902.1448</v>
      </c>
      <c r="AD1909" s="481">
        <f t="shared" si="350"/>
        <v>1.658740199487934E-2</v>
      </c>
      <c r="AE1909" s="383">
        <f t="shared" si="351"/>
        <v>1.6587401994879341</v>
      </c>
      <c r="AF1909" s="383">
        <f t="shared" si="352"/>
        <v>2</v>
      </c>
    </row>
    <row r="1910" spans="1:32">
      <c r="A1910" s="383">
        <v>39</v>
      </c>
      <c r="C1910" s="406"/>
      <c r="D1910" s="407"/>
      <c r="E1910" s="407"/>
      <c r="F1910" s="407"/>
      <c r="G1910" s="407"/>
      <c r="H1910" s="407"/>
      <c r="I1910" s="408" t="s">
        <v>450</v>
      </c>
      <c r="J1910" s="468" t="str">
        <f t="shared" si="345"/>
        <v>DIA</v>
      </c>
      <c r="K1910" s="410" t="str">
        <f t="shared" si="359"/>
        <v>DIA</v>
      </c>
      <c r="L1910" s="411"/>
      <c r="M1910" s="469" t="str">
        <f t="shared" si="346"/>
        <v/>
      </c>
      <c r="N1910" s="457" t="str">
        <f t="shared" si="354"/>
        <v/>
      </c>
      <c r="O1910" s="442"/>
      <c r="P1910" s="413"/>
      <c r="Q1910" s="411"/>
      <c r="R1910" s="413" t="str">
        <f t="shared" si="347"/>
        <v/>
      </c>
      <c r="S1910" s="472" t="str">
        <f t="shared" si="348"/>
        <v/>
      </c>
      <c r="W1910" s="383">
        <v>39</v>
      </c>
      <c r="Y1910" s="471" t="str">
        <f t="shared" si="355"/>
        <v/>
      </c>
      <c r="Z1910" s="471" t="str">
        <f t="shared" si="356"/>
        <v/>
      </c>
      <c r="AC1910" s="480">
        <v>24630634.379999999</v>
      </c>
      <c r="AD1910" s="481">
        <f t="shared" si="350"/>
        <v>2.9464958686671063E-2</v>
      </c>
      <c r="AE1910" s="383">
        <f t="shared" si="351"/>
        <v>2.9464958686671063</v>
      </c>
      <c r="AF1910" s="383">
        <f t="shared" si="352"/>
        <v>3</v>
      </c>
    </row>
    <row r="1911" spans="1:32">
      <c r="A1911" s="383">
        <v>40</v>
      </c>
      <c r="C1911" s="406"/>
      <c r="D1911" s="407"/>
      <c r="E1911" s="407"/>
      <c r="F1911" s="407"/>
      <c r="G1911" s="407"/>
      <c r="H1911" s="407"/>
      <c r="I1911" s="408" t="s">
        <v>451</v>
      </c>
      <c r="J1911" s="468" t="str">
        <f t="shared" si="345"/>
        <v>DIA</v>
      </c>
      <c r="K1911" s="410" t="str">
        <f t="shared" si="359"/>
        <v>DIA</v>
      </c>
      <c r="L1911" s="411"/>
      <c r="M1911" s="469">
        <f t="shared" si="346"/>
        <v>3.5833333333333335</v>
      </c>
      <c r="N1911" s="457">
        <f t="shared" si="354"/>
        <v>0.45</v>
      </c>
      <c r="O1911" s="442"/>
      <c r="P1911" s="413"/>
      <c r="Q1911" s="411"/>
      <c r="R1911" s="413">
        <f t="shared" si="347"/>
        <v>0.45</v>
      </c>
      <c r="S1911" s="472">
        <f t="shared" si="348"/>
        <v>0.45</v>
      </c>
      <c r="W1911" s="383">
        <v>40</v>
      </c>
      <c r="X1911" s="458">
        <v>0.58333333333333337</v>
      </c>
      <c r="Y1911" s="471">
        <f t="shared" si="355"/>
        <v>3</v>
      </c>
      <c r="Z1911" s="471">
        <f t="shared" si="356"/>
        <v>0.44791666666666669</v>
      </c>
      <c r="AA1911" s="471">
        <f t="shared" si="353"/>
        <v>0.45</v>
      </c>
      <c r="AC1911" s="480">
        <v>21590769.982083078</v>
      </c>
      <c r="AD1911" s="481">
        <f t="shared" si="350"/>
        <v>2.5828451501519779E-2</v>
      </c>
      <c r="AE1911" s="383">
        <f t="shared" si="351"/>
        <v>2.5828451501519778</v>
      </c>
      <c r="AF1911" s="383">
        <f t="shared" si="352"/>
        <v>3</v>
      </c>
    </row>
    <row r="1912" spans="1:32">
      <c r="A1912" s="383">
        <v>41</v>
      </c>
      <c r="C1912" s="406"/>
      <c r="D1912" s="407"/>
      <c r="E1912" s="407"/>
      <c r="F1912" s="407"/>
      <c r="G1912" s="407"/>
      <c r="H1912" s="407"/>
      <c r="I1912" s="408" t="s">
        <v>452</v>
      </c>
      <c r="J1912" s="468" t="str">
        <f t="shared" si="345"/>
        <v>DIA</v>
      </c>
      <c r="K1912" s="410" t="str">
        <f t="shared" si="359"/>
        <v>DIA</v>
      </c>
      <c r="L1912" s="411"/>
      <c r="M1912" s="469">
        <f t="shared" si="346"/>
        <v>2.5</v>
      </c>
      <c r="N1912" s="457">
        <f t="shared" si="354"/>
        <v>0.31</v>
      </c>
      <c r="O1912" s="442"/>
      <c r="P1912" s="413"/>
      <c r="Q1912" s="411"/>
      <c r="R1912" s="413">
        <f t="shared" si="347"/>
        <v>0.31</v>
      </c>
      <c r="S1912" s="472">
        <f t="shared" si="348"/>
        <v>0.31</v>
      </c>
      <c r="W1912" s="383">
        <v>41</v>
      </c>
      <c r="X1912" s="485">
        <f>+X1877</f>
        <v>0.5</v>
      </c>
      <c r="Y1912" s="471">
        <v>2</v>
      </c>
      <c r="Z1912" s="471">
        <f t="shared" si="356"/>
        <v>0.3125</v>
      </c>
      <c r="AA1912" s="471">
        <f t="shared" si="353"/>
        <v>0.31</v>
      </c>
      <c r="AC1912" s="480">
        <v>18846297.628084619</v>
      </c>
      <c r="AD1912" s="481">
        <f t="shared" si="350"/>
        <v>2.2545313792612928E-2</v>
      </c>
      <c r="AE1912" s="383">
        <f t="shared" si="351"/>
        <v>2.2545313792612927</v>
      </c>
      <c r="AF1912" s="383">
        <f t="shared" si="352"/>
        <v>2</v>
      </c>
    </row>
    <row r="1913" spans="1:32">
      <c r="A1913" s="383">
        <v>42</v>
      </c>
      <c r="C1913" s="406"/>
      <c r="D1913" s="407"/>
      <c r="E1913" s="407"/>
      <c r="F1913" s="407"/>
      <c r="G1913" s="407"/>
      <c r="H1913" s="407"/>
      <c r="I1913" s="408" t="s">
        <v>453</v>
      </c>
      <c r="J1913" s="468" t="str">
        <f t="shared" si="345"/>
        <v>DIA</v>
      </c>
      <c r="K1913" s="410" t="str">
        <f t="shared" si="359"/>
        <v>DIA</v>
      </c>
      <c r="L1913" s="411"/>
      <c r="M1913" s="469" t="str">
        <f t="shared" si="346"/>
        <v/>
      </c>
      <c r="N1913" s="457" t="str">
        <f t="shared" si="354"/>
        <v/>
      </c>
      <c r="O1913" s="442"/>
      <c r="P1913" s="413"/>
      <c r="Q1913" s="411"/>
      <c r="R1913" s="413" t="str">
        <f t="shared" si="347"/>
        <v/>
      </c>
      <c r="S1913" s="472" t="str">
        <f t="shared" si="348"/>
        <v/>
      </c>
      <c r="W1913" s="383">
        <v>42</v>
      </c>
      <c r="Y1913" s="471" t="str">
        <f t="shared" si="355"/>
        <v/>
      </c>
      <c r="Z1913" s="471" t="str">
        <f t="shared" si="356"/>
        <v/>
      </c>
      <c r="AC1913" s="480">
        <v>8352782.4000000004</v>
      </c>
      <c r="AD1913" s="481">
        <f t="shared" si="350"/>
        <v>9.9922066373815087E-3</v>
      </c>
      <c r="AE1913" s="383">
        <f t="shared" si="351"/>
        <v>0.99922066373815088</v>
      </c>
      <c r="AF1913" s="383">
        <f t="shared" si="352"/>
        <v>1</v>
      </c>
    </row>
    <row r="1914" spans="1:32" ht="13.5" thickBot="1">
      <c r="A1914" s="383">
        <v>43</v>
      </c>
      <c r="C1914" s="406"/>
      <c r="D1914" s="407"/>
      <c r="E1914" s="407"/>
      <c r="F1914" s="407"/>
      <c r="G1914" s="407"/>
      <c r="H1914" s="407"/>
      <c r="I1914" s="408" t="s">
        <v>454</v>
      </c>
      <c r="J1914" s="468" t="str">
        <f t="shared" si="345"/>
        <v>DIA</v>
      </c>
      <c r="K1914" s="410" t="str">
        <f t="shared" si="359"/>
        <v>DIA</v>
      </c>
      <c r="L1914" s="411"/>
      <c r="M1914" s="469" t="str">
        <f t="shared" si="346"/>
        <v/>
      </c>
      <c r="N1914" s="457" t="str">
        <f t="shared" si="354"/>
        <v/>
      </c>
      <c r="O1914" s="442"/>
      <c r="P1914" s="413"/>
      <c r="Q1914" s="411"/>
      <c r="R1914" s="413" t="str">
        <f t="shared" si="347"/>
        <v/>
      </c>
      <c r="S1914" s="472" t="str">
        <f t="shared" si="348"/>
        <v/>
      </c>
      <c r="W1914" s="383">
        <v>43</v>
      </c>
      <c r="Y1914" s="471" t="str">
        <f t="shared" si="355"/>
        <v/>
      </c>
      <c r="Z1914" s="471" t="str">
        <f t="shared" si="356"/>
        <v/>
      </c>
      <c r="AC1914" s="480">
        <v>13606147.5</v>
      </c>
      <c r="AD1914" s="481">
        <f>+AC1914/AC$1916</f>
        <v>1.6276664570920921E-2</v>
      </c>
      <c r="AE1914" s="383">
        <f t="shared" si="351"/>
        <v>1.6276664570920922</v>
      </c>
      <c r="AF1914" s="383">
        <f t="shared" si="352"/>
        <v>2</v>
      </c>
    </row>
    <row r="1915" spans="1:32" ht="13.5" thickBot="1">
      <c r="C1915" s="384"/>
      <c r="D1915" s="419"/>
      <c r="E1915" s="420"/>
      <c r="F1915" s="421"/>
      <c r="G1915" s="421"/>
      <c r="H1915" s="421"/>
      <c r="I1915" s="421"/>
      <c r="J1915" s="422"/>
      <c r="K1915" s="421"/>
      <c r="L1915" s="421"/>
      <c r="M1915" s="421"/>
      <c r="N1915" s="421"/>
      <c r="O1915" s="421"/>
      <c r="P1915" s="421"/>
      <c r="Q1915" s="421"/>
      <c r="R1915" s="422"/>
      <c r="S1915" s="423"/>
      <c r="W1915" s="383">
        <v>44</v>
      </c>
      <c r="Z1915" s="471">
        <f t="shared" ref="Z1915:Z1916" si="360">+(X1915+Y1915)/8</f>
        <v>0</v>
      </c>
    </row>
    <row r="1916" spans="1:32">
      <c r="C1916" s="396"/>
      <c r="D1916" s="397"/>
      <c r="E1916" s="424"/>
      <c r="F1916" s="425"/>
      <c r="G1916" s="425"/>
      <c r="H1916" s="425"/>
      <c r="I1916" s="425"/>
      <c r="J1916" s="398"/>
      <c r="K1916" s="425"/>
      <c r="L1916" s="425"/>
      <c r="M1916" s="397"/>
      <c r="N1916" s="397"/>
      <c r="O1916" s="562" t="s">
        <v>455</v>
      </c>
      <c r="P1916" s="563"/>
      <c r="Q1916" s="564"/>
      <c r="R1916" s="426"/>
      <c r="S1916" s="427">
        <f>ROUND(SUM(S1872:S1915),2)</f>
        <v>7</v>
      </c>
      <c r="X1916" s="482">
        <f>+SUM(X1872:X1914)</f>
        <v>12.003333333333334</v>
      </c>
      <c r="Y1916" s="474">
        <f>+SUM(Y1872:Y1914)</f>
        <v>44</v>
      </c>
      <c r="Z1916" s="475">
        <f t="shared" si="360"/>
        <v>7.0004166666666663</v>
      </c>
      <c r="AA1916" s="471">
        <f>+Y1916+X1916</f>
        <v>56.00333333333333</v>
      </c>
      <c r="AC1916" s="480">
        <v>835929710.3356216</v>
      </c>
    </row>
    <row r="1917" spans="1:32">
      <c r="C1917" s="396"/>
      <c r="D1917" s="397"/>
      <c r="E1917" s="424"/>
      <c r="F1917" s="425"/>
      <c r="G1917" s="425"/>
      <c r="H1917" s="425"/>
      <c r="I1917" s="425"/>
      <c r="J1917" s="398"/>
      <c r="K1917" s="425"/>
      <c r="L1917" s="425"/>
      <c r="M1917" s="428"/>
      <c r="N1917" s="428"/>
      <c r="O1917" s="429"/>
      <c r="P1917" s="425"/>
      <c r="Q1917" s="425"/>
      <c r="R1917" s="430"/>
      <c r="S1917" s="431"/>
      <c r="X1917" s="483"/>
      <c r="Z1917" s="476"/>
    </row>
    <row r="1918" spans="1:32" ht="13.5" thickBot="1">
      <c r="C1918" s="565" t="e">
        <v>#REF!</v>
      </c>
      <c r="D1918" s="566"/>
      <c r="E1918" s="566"/>
      <c r="F1918" s="566"/>
      <c r="G1918" s="566"/>
      <c r="H1918" s="566"/>
      <c r="I1918" s="566"/>
      <c r="J1918" s="566"/>
      <c r="K1918" s="566"/>
      <c r="L1918" s="566"/>
      <c r="M1918" s="566"/>
      <c r="N1918" s="567"/>
      <c r="O1918" s="568" t="s">
        <v>422</v>
      </c>
      <c r="P1918" s="568"/>
      <c r="Q1918" s="568"/>
      <c r="R1918" s="426"/>
      <c r="S1918" s="427">
        <f>S1916</f>
        <v>7</v>
      </c>
      <c r="X1918" s="484">
        <f>+X1916/8</f>
        <v>1.5004166666666667</v>
      </c>
      <c r="Y1918" s="477">
        <f>+Y1916/8</f>
        <v>5.5</v>
      </c>
      <c r="Z1918" s="478">
        <f>+Y1918+X1918</f>
        <v>7.0004166666666663</v>
      </c>
    </row>
    <row r="1919" spans="1:32">
      <c r="C1919" s="396"/>
      <c r="D1919" s="397"/>
      <c r="E1919" s="424"/>
      <c r="F1919" s="425"/>
      <c r="G1919" s="425"/>
      <c r="H1919" s="425"/>
      <c r="I1919" s="425"/>
      <c r="J1919" s="398"/>
      <c r="K1919" s="425"/>
      <c r="L1919" s="425"/>
      <c r="M1919" s="428"/>
      <c r="N1919" s="428"/>
      <c r="O1919" s="429"/>
      <c r="P1919" s="425"/>
      <c r="Q1919" s="398"/>
      <c r="R1919" s="398"/>
      <c r="S1919" s="432"/>
    </row>
    <row r="1920" spans="1:32">
      <c r="C1920" s="396"/>
      <c r="D1920" s="397"/>
      <c r="E1920" s="424"/>
      <c r="F1920" s="425"/>
      <c r="G1920" s="425"/>
      <c r="H1920" s="425"/>
      <c r="I1920" s="425"/>
      <c r="J1920" s="398"/>
      <c r="K1920" s="425"/>
      <c r="L1920" s="425"/>
      <c r="M1920" s="428"/>
      <c r="N1920" s="428"/>
      <c r="O1920" s="429"/>
      <c r="P1920" s="425"/>
      <c r="Q1920" s="398"/>
      <c r="R1920" s="398"/>
      <c r="S1920" s="432"/>
    </row>
    <row r="1921" spans="3:25">
      <c r="C1921" s="569" t="s">
        <v>423</v>
      </c>
      <c r="D1921" s="570"/>
      <c r="E1921" s="570"/>
      <c r="F1921" s="570"/>
      <c r="G1921" s="570"/>
      <c r="H1921" s="570"/>
      <c r="I1921" s="570"/>
      <c r="J1921" s="571"/>
      <c r="K1921" s="433" t="s">
        <v>424</v>
      </c>
      <c r="L1921" s="434"/>
      <c r="M1921" s="434"/>
      <c r="N1921" s="434"/>
      <c r="O1921" s="434"/>
      <c r="P1921" s="434"/>
      <c r="Q1921" s="434"/>
      <c r="R1921" s="434"/>
      <c r="S1921" s="435"/>
      <c r="Y1921" s="473">
        <f>7-Y1918</f>
        <v>1.5</v>
      </c>
    </row>
    <row r="1922" spans="3:25">
      <c r="C1922" s="542"/>
      <c r="D1922" s="543"/>
      <c r="E1922" s="543"/>
      <c r="F1922" s="543"/>
      <c r="G1922" s="436"/>
      <c r="H1922" s="436"/>
      <c r="I1922" s="436"/>
      <c r="J1922" s="447"/>
      <c r="K1922" s="436"/>
      <c r="L1922" s="407"/>
      <c r="M1922" s="407"/>
      <c r="N1922" s="407"/>
      <c r="O1922" s="407"/>
      <c r="P1922" s="407"/>
      <c r="Q1922" s="407"/>
      <c r="R1922" s="407"/>
      <c r="S1922" s="437"/>
    </row>
    <row r="1923" spans="3:25">
      <c r="C1923" s="542"/>
      <c r="D1923" s="543"/>
      <c r="E1923" s="543"/>
      <c r="F1923" s="543"/>
      <c r="G1923" s="436"/>
      <c r="H1923" s="436"/>
      <c r="I1923" s="436"/>
      <c r="J1923" s="447"/>
      <c r="K1923" s="436"/>
      <c r="L1923" s="407"/>
      <c r="M1923" s="407"/>
      <c r="N1923" s="407"/>
      <c r="O1923" s="407"/>
      <c r="P1923" s="407"/>
      <c r="Q1923" s="407"/>
      <c r="R1923" s="407"/>
      <c r="S1923" s="437"/>
    </row>
    <row r="1924" spans="3:25">
      <c r="C1924" s="542" t="s">
        <v>425</v>
      </c>
      <c r="D1924" s="543"/>
      <c r="E1924" s="543" t="s">
        <v>425</v>
      </c>
      <c r="F1924" s="543"/>
      <c r="G1924" s="543" t="s">
        <v>425</v>
      </c>
      <c r="H1924" s="543"/>
      <c r="I1924" s="543" t="s">
        <v>425</v>
      </c>
      <c r="J1924" s="544"/>
      <c r="K1924" s="545" t="s">
        <v>426</v>
      </c>
      <c r="L1924" s="546"/>
      <c r="M1924" s="546"/>
      <c r="N1924" s="546"/>
      <c r="O1924" s="546"/>
      <c r="P1924" s="546"/>
      <c r="Q1924" s="546"/>
      <c r="R1924" s="546"/>
      <c r="S1924" s="547"/>
    </row>
    <row r="1925" spans="3:25">
      <c r="C1925" s="548" t="str">
        <f>+[42]DATOS!D$8</f>
        <v>HELMER EDUARDO BECERRA SANTANDER</v>
      </c>
      <c r="D1925" s="549"/>
      <c r="E1925" s="549" t="s">
        <v>427</v>
      </c>
      <c r="F1925" s="549"/>
      <c r="G1925" s="549" t="s">
        <v>427</v>
      </c>
      <c r="H1925" s="549"/>
      <c r="I1925" s="549" t="s">
        <v>427</v>
      </c>
      <c r="J1925" s="550"/>
      <c r="K1925" s="551" t="str">
        <f>+[42]DATOS!D$11</f>
        <v>JESUS IVAN QUIÑONES RUEDA</v>
      </c>
      <c r="L1925" s="549"/>
      <c r="M1925" s="549"/>
      <c r="N1925" s="549"/>
      <c r="O1925" s="549"/>
      <c r="P1925" s="549"/>
      <c r="Q1925" s="549"/>
      <c r="R1925" s="549"/>
      <c r="S1925" s="552"/>
    </row>
    <row r="1926" spans="3:25">
      <c r="C1926" s="553" t="str">
        <f>+$C$72</f>
        <v>APOYO SEC. DE PLANEACION Y OBRAS PÚBLICAS</v>
      </c>
      <c r="D1926" s="554"/>
      <c r="E1926" s="554" t="s">
        <v>428</v>
      </c>
      <c r="F1926" s="554"/>
      <c r="G1926" s="554" t="s">
        <v>428</v>
      </c>
      <c r="H1926" s="554"/>
      <c r="I1926" s="554" t="s">
        <v>428</v>
      </c>
      <c r="J1926" s="555"/>
      <c r="K1926" s="556" t="str">
        <f>+$K$72</f>
        <v>SECRETARIO DE PLANEACION Y OBRAS PÚBLICAS</v>
      </c>
      <c r="L1926" s="554"/>
      <c r="M1926" s="554"/>
      <c r="N1926" s="554"/>
      <c r="O1926" s="554"/>
      <c r="P1926" s="554"/>
      <c r="Q1926" s="554"/>
      <c r="R1926" s="554"/>
      <c r="S1926" s="557"/>
    </row>
    <row r="1927" spans="3:25">
      <c r="C1927" s="406"/>
      <c r="D1927" s="407"/>
      <c r="E1927" s="407"/>
      <c r="F1927" s="407"/>
      <c r="G1927" s="407"/>
      <c r="H1927" s="407"/>
      <c r="I1927" s="407"/>
      <c r="J1927" s="407"/>
      <c r="K1927" s="407"/>
      <c r="L1927" s="407"/>
      <c r="M1927" s="407"/>
      <c r="N1927" s="407"/>
      <c r="O1927" s="407"/>
      <c r="P1927" s="407"/>
      <c r="Q1927" s="407"/>
      <c r="R1927" s="407"/>
      <c r="S1927" s="437"/>
    </row>
    <row r="1928" spans="3:25" ht="111" customHeight="1" thickBot="1">
      <c r="C1928" s="417"/>
      <c r="D1928" s="418"/>
      <c r="E1928" s="418"/>
      <c r="F1928" s="418"/>
      <c r="G1928" s="418"/>
      <c r="H1928" s="418"/>
      <c r="I1928" s="418"/>
      <c r="J1928" s="418"/>
      <c r="K1928" s="418"/>
      <c r="L1928" s="418"/>
      <c r="M1928" s="418"/>
      <c r="N1928" s="418"/>
      <c r="O1928" s="418"/>
      <c r="P1928" s="418"/>
      <c r="Q1928" s="418"/>
      <c r="R1928" s="418"/>
      <c r="S1928" s="438"/>
    </row>
    <row r="1929" spans="3:25" ht="22.5" customHeight="1"/>
    <row r="1931" spans="3:25" ht="13.5" thickBot="1"/>
    <row r="1932" spans="3:25">
      <c r="C1932" s="384"/>
      <c r="D1932" s="385"/>
      <c r="E1932" s="385"/>
      <c r="F1932" s="385"/>
      <c r="G1932" s="385"/>
      <c r="H1932" s="385"/>
      <c r="I1932" s="385"/>
      <c r="J1932" s="445"/>
      <c r="K1932" s="385"/>
      <c r="L1932" s="385"/>
      <c r="M1932" s="385"/>
      <c r="N1932" s="385"/>
      <c r="O1932" s="385"/>
      <c r="P1932" s="385"/>
      <c r="Q1932" s="385"/>
      <c r="R1932" s="385"/>
      <c r="S1932" s="386"/>
    </row>
    <row r="1933" spans="3:25" ht="121.5" customHeight="1" thickBot="1">
      <c r="C1933" s="387"/>
      <c r="D1933" s="388"/>
      <c r="E1933" s="388"/>
      <c r="F1933" s="388"/>
      <c r="G1933" s="388"/>
      <c r="H1933" s="388"/>
      <c r="I1933" s="388"/>
      <c r="J1933" s="446"/>
      <c r="K1933" s="388"/>
      <c r="L1933" s="388"/>
      <c r="M1933" s="388"/>
      <c r="N1933" s="388"/>
      <c r="O1933" s="388"/>
      <c r="P1933" s="388"/>
      <c r="Q1933" s="388"/>
      <c r="R1933" s="388"/>
      <c r="S1933" s="389"/>
    </row>
    <row r="1934" spans="3:25">
      <c r="C1934" s="592" t="str">
        <f>+[42]DATOS!C$7</f>
        <v>MEJORAMIENTO DE VIVIENDA CON ENFOQUE DIFERENCIAL PARA POBLACIÓN VULNERABLE EN EL MUNICIPIO DE CUBARÁ, BOYACÁ (2026).</v>
      </c>
      <c r="D1934" s="593"/>
      <c r="E1934" s="593"/>
      <c r="F1934" s="593"/>
      <c r="G1934" s="593"/>
      <c r="H1934" s="593"/>
      <c r="I1934" s="593"/>
      <c r="J1934" s="593"/>
      <c r="K1934" s="593"/>
      <c r="L1934" s="593"/>
      <c r="M1934" s="593"/>
      <c r="N1934" s="593"/>
      <c r="O1934" s="593"/>
      <c r="P1934" s="593"/>
      <c r="Q1934" s="593"/>
      <c r="R1934" s="593"/>
      <c r="S1934" s="594"/>
    </row>
    <row r="1935" spans="3:25">
      <c r="C1935" s="595"/>
      <c r="D1935" s="596"/>
      <c r="E1935" s="596"/>
      <c r="F1935" s="596"/>
      <c r="G1935" s="596"/>
      <c r="H1935" s="596"/>
      <c r="I1935" s="596"/>
      <c r="J1935" s="596"/>
      <c r="K1935" s="596"/>
      <c r="L1935" s="596"/>
      <c r="M1935" s="596"/>
      <c r="N1935" s="596"/>
      <c r="O1935" s="596"/>
      <c r="P1935" s="596"/>
      <c r="Q1935" s="596"/>
      <c r="R1935" s="596"/>
      <c r="S1935" s="597"/>
    </row>
    <row r="1936" spans="3:25">
      <c r="C1936" s="598" t="s">
        <v>371</v>
      </c>
      <c r="D1936" s="599"/>
      <c r="E1936" s="599"/>
      <c r="F1936" s="599"/>
      <c r="G1936" s="599"/>
      <c r="H1936" s="599"/>
      <c r="I1936" s="599"/>
      <c r="J1936" s="599"/>
      <c r="K1936" s="599"/>
      <c r="L1936" s="599"/>
      <c r="M1936" s="599"/>
      <c r="N1936" s="599"/>
      <c r="O1936" s="599"/>
      <c r="P1936" s="599"/>
      <c r="Q1936" s="599"/>
      <c r="R1936" s="599"/>
      <c r="S1936" s="600"/>
    </row>
    <row r="1937" spans="1:25">
      <c r="C1937" s="586" t="s">
        <v>372</v>
      </c>
      <c r="D1937" s="587"/>
      <c r="E1937" s="601" t="s">
        <v>373</v>
      </c>
      <c r="F1937" s="601"/>
      <c r="G1937" s="601"/>
      <c r="H1937" s="601"/>
      <c r="I1937" s="601"/>
      <c r="J1937" s="601"/>
      <c r="K1937" s="601"/>
      <c r="L1937" s="601"/>
      <c r="M1937" s="601"/>
      <c r="N1937" s="601"/>
      <c r="O1937" s="601"/>
      <c r="P1937" s="601"/>
      <c r="Q1937" s="601"/>
      <c r="R1937" s="601"/>
      <c r="S1937" s="602"/>
    </row>
    <row r="1938" spans="1:25">
      <c r="C1938" s="586" t="s">
        <v>374</v>
      </c>
      <c r="D1938" s="587"/>
      <c r="E1938" s="603" t="s">
        <v>375</v>
      </c>
      <c r="F1938" s="604"/>
      <c r="G1938" s="604"/>
      <c r="H1938" s="604"/>
      <c r="I1938" s="604"/>
      <c r="J1938" s="604"/>
      <c r="K1938" s="604"/>
      <c r="L1938" s="604"/>
      <c r="M1938" s="604"/>
      <c r="N1938" s="604"/>
      <c r="O1938" s="604"/>
      <c r="P1938" s="604"/>
      <c r="Q1938" s="604"/>
      <c r="R1938" s="604"/>
      <c r="S1938" s="605"/>
    </row>
    <row r="1939" spans="1:25">
      <c r="C1939" s="586" t="s">
        <v>376</v>
      </c>
      <c r="D1939" s="587"/>
      <c r="E1939" s="390">
        <f>+[42]DATOS!F$5</f>
        <v>46143</v>
      </c>
      <c r="F1939" s="391"/>
      <c r="G1939" s="391"/>
      <c r="H1939" s="391"/>
      <c r="I1939" s="391"/>
      <c r="J1939" s="391"/>
      <c r="K1939" s="568" t="s">
        <v>377</v>
      </c>
      <c r="L1939" s="568"/>
      <c r="M1939" s="588" t="s">
        <v>378</v>
      </c>
      <c r="N1939" s="588"/>
      <c r="O1939" s="588"/>
      <c r="P1939" s="588"/>
      <c r="Q1939" s="588"/>
      <c r="R1939" s="588"/>
      <c r="S1939" s="589"/>
    </row>
    <row r="1940" spans="1:25" ht="25.5">
      <c r="C1940" s="586" t="s">
        <v>379</v>
      </c>
      <c r="D1940" s="587"/>
      <c r="E1940" s="590" t="s">
        <v>380</v>
      </c>
      <c r="F1940" s="591"/>
      <c r="G1940" s="392">
        <f>+[42]DATOS!E$5</f>
        <v>2026</v>
      </c>
      <c r="H1940" s="393" t="s">
        <v>381</v>
      </c>
      <c r="I1940" s="394">
        <f>+[42]DATOS!E$5</f>
        <v>2026</v>
      </c>
      <c r="J1940" s="395"/>
      <c r="K1940" s="568" t="s">
        <v>382</v>
      </c>
      <c r="L1940" s="568"/>
      <c r="M1940" s="588" t="s">
        <v>383</v>
      </c>
      <c r="N1940" s="588"/>
      <c r="O1940" s="588"/>
      <c r="P1940" s="588"/>
      <c r="Q1940" s="588"/>
      <c r="R1940" s="588"/>
      <c r="S1940" s="589"/>
    </row>
    <row r="1941" spans="1:25">
      <c r="C1941" s="396"/>
      <c r="D1941" s="397"/>
      <c r="E1941" s="397"/>
      <c r="F1941" s="398"/>
      <c r="G1941" s="398"/>
      <c r="H1941" s="398"/>
      <c r="I1941" s="398"/>
      <c r="J1941" s="398"/>
      <c r="K1941" s="398"/>
      <c r="L1941" s="398"/>
      <c r="M1941" s="398"/>
      <c r="N1941" s="398"/>
      <c r="O1941" s="398"/>
      <c r="P1941" s="398"/>
      <c r="Q1941" s="398"/>
      <c r="R1941" s="398"/>
      <c r="S1941" s="399"/>
    </row>
    <row r="1942" spans="1:25">
      <c r="C1942" s="572" t="s">
        <v>384</v>
      </c>
      <c r="D1942" s="573"/>
      <c r="E1942" s="573"/>
      <c r="F1942" s="573"/>
      <c r="G1942" s="573"/>
      <c r="H1942" s="573"/>
      <c r="I1942" s="573"/>
      <c r="J1942" s="573"/>
      <c r="K1942" s="573"/>
      <c r="L1942" s="573"/>
      <c r="M1942" s="573"/>
      <c r="N1942" s="573"/>
      <c r="O1942" s="573"/>
      <c r="P1942" s="573"/>
      <c r="Q1942" s="573"/>
      <c r="R1942" s="573"/>
      <c r="S1942" s="574"/>
    </row>
    <row r="1943" spans="1:25">
      <c r="C1943" s="396"/>
      <c r="D1943" s="397"/>
      <c r="E1943" s="397"/>
      <c r="F1943" s="398"/>
      <c r="G1943" s="398"/>
      <c r="H1943" s="398"/>
      <c r="I1943" s="398"/>
      <c r="J1943" s="398"/>
      <c r="K1943" s="398"/>
      <c r="L1943" s="398"/>
      <c r="M1943" s="398"/>
      <c r="N1943" s="398"/>
      <c r="O1943" s="398"/>
      <c r="P1943" s="398"/>
      <c r="Q1943" s="398"/>
      <c r="R1943" s="398"/>
      <c r="S1943" s="399"/>
    </row>
    <row r="1944" spans="1:25">
      <c r="C1944" s="400" t="s">
        <v>385</v>
      </c>
      <c r="D1944" s="575" t="s">
        <v>386</v>
      </c>
      <c r="E1944" s="575"/>
      <c r="F1944" s="576" t="s">
        <v>387</v>
      </c>
      <c r="G1944" s="577"/>
      <c r="H1944" s="577"/>
      <c r="I1944" s="576" t="s">
        <v>388</v>
      </c>
      <c r="J1944" s="576" t="s">
        <v>389</v>
      </c>
      <c r="K1944" s="579"/>
      <c r="L1944" s="581" t="s">
        <v>390</v>
      </c>
      <c r="M1944" s="581"/>
      <c r="N1944" s="581"/>
      <c r="O1944" s="581"/>
      <c r="P1944" s="581"/>
      <c r="Q1944" s="581"/>
      <c r="R1944" s="581" t="s">
        <v>391</v>
      </c>
      <c r="S1944" s="582"/>
    </row>
    <row r="1945" spans="1:25" ht="38.25">
      <c r="C1945" s="403">
        <f>+'PRESUPUESTO OFICIAL '!C536</f>
        <v>0</v>
      </c>
      <c r="D1945" s="583" t="e">
        <f>+VLOOKUP(C1945,'PRESUPUESTO OFICIAL '!$C$11:$H$103,2)</f>
        <v>#N/A</v>
      </c>
      <c r="E1945" s="584"/>
      <c r="F1945" s="585" t="e">
        <f>+VLOOKUP(C1945,'PRESUPUESTO OFICIAL '!$C$11:$H$103,3)</f>
        <v>#N/A</v>
      </c>
      <c r="G1945" s="585"/>
      <c r="H1945" s="585"/>
      <c r="I1945" s="578"/>
      <c r="J1945" s="578"/>
      <c r="K1945" s="580"/>
      <c r="L1945" s="401" t="s">
        <v>392</v>
      </c>
      <c r="M1945" s="401" t="s">
        <v>393</v>
      </c>
      <c r="N1945" s="401" t="s">
        <v>394</v>
      </c>
      <c r="O1945" s="401" t="s">
        <v>395</v>
      </c>
      <c r="P1945" s="401" t="s">
        <v>396</v>
      </c>
      <c r="Q1945" s="401" t="s">
        <v>397</v>
      </c>
      <c r="R1945" s="401" t="s">
        <v>398</v>
      </c>
      <c r="S1945" s="402" t="s">
        <v>399</v>
      </c>
      <c r="U1945" s="404">
        <f>+C1945</f>
        <v>0</v>
      </c>
      <c r="V1945" s="405">
        <f>+S1993</f>
        <v>11</v>
      </c>
    </row>
    <row r="1946" spans="1:25">
      <c r="C1946" s="406"/>
      <c r="D1946" s="407"/>
      <c r="E1946" s="407"/>
      <c r="F1946" s="407"/>
      <c r="G1946" s="407"/>
      <c r="H1946" s="407"/>
      <c r="I1946" s="558"/>
      <c r="J1946" s="559"/>
      <c r="K1946" s="560"/>
      <c r="L1946" s="560"/>
      <c r="M1946" s="560"/>
      <c r="N1946" s="560"/>
      <c r="O1946" s="560"/>
      <c r="P1946" s="560"/>
      <c r="Q1946" s="560"/>
      <c r="R1946" s="560"/>
      <c r="S1946" s="561"/>
    </row>
    <row r="1947" spans="1:25">
      <c r="A1947" s="383">
        <v>1</v>
      </c>
      <c r="C1947" s="406"/>
      <c r="D1947" s="407"/>
      <c r="E1947" s="407"/>
      <c r="F1947" s="407"/>
      <c r="G1947" s="407"/>
      <c r="H1947" s="407"/>
      <c r="I1947" s="408" t="s">
        <v>400</v>
      </c>
      <c r="J1947" s="409" t="e">
        <f t="shared" ref="J1947:J1989" si="361">+VLOOKUP(K1947,$AH$22:$AJ$58,2,)</f>
        <v>#N/A</v>
      </c>
      <c r="K1947" s="410" t="e">
        <f>+F1945</f>
        <v>#N/A</v>
      </c>
      <c r="L1947" s="411"/>
      <c r="M1947" s="412"/>
      <c r="N1947" s="442"/>
      <c r="O1947" s="442"/>
      <c r="P1947" s="413"/>
      <c r="Q1947" s="411"/>
      <c r="R1947" s="413" t="str">
        <f>IF(S1947=0,"",S1947)</f>
        <v/>
      </c>
      <c r="S1947" s="414">
        <f>+HLOOKUP(A1947,[238]Hoja1!$2:$78,71,FALSE)</f>
        <v>0</v>
      </c>
      <c r="X1947" s="458">
        <f t="shared" ref="X1947" si="362">+N1947*O1947*P1947</f>
        <v>0</v>
      </c>
      <c r="Y1947" s="471">
        <f t="shared" ref="Y1947" si="363">+X1947-Q1947</f>
        <v>0</v>
      </c>
    </row>
    <row r="1948" spans="1:25">
      <c r="A1948" s="383">
        <v>2</v>
      </c>
      <c r="C1948" s="406"/>
      <c r="D1948" s="407"/>
      <c r="E1948" s="407"/>
      <c r="F1948" s="407"/>
      <c r="G1948" s="407"/>
      <c r="H1948" s="407"/>
      <c r="I1948" s="408" t="s">
        <v>401</v>
      </c>
      <c r="J1948" s="409" t="e">
        <f t="shared" si="361"/>
        <v>#N/A</v>
      </c>
      <c r="K1948" s="410" t="e">
        <f>+K1947</f>
        <v>#N/A</v>
      </c>
      <c r="L1948" s="411"/>
      <c r="M1948" s="412"/>
      <c r="N1948" s="442"/>
      <c r="O1948" s="442"/>
      <c r="P1948" s="413"/>
      <c r="Q1948" s="411"/>
      <c r="R1948" s="413">
        <f t="shared" ref="R1948:R1989" si="364">IF(S1948=0,"",S1948)</f>
        <v>1</v>
      </c>
      <c r="S1948" s="414">
        <f>+HLOOKUP(A1948,[238]Hoja1!$2:$78,71,FALSE)</f>
        <v>1</v>
      </c>
      <c r="X1948" s="458">
        <f>+L1948*P1948</f>
        <v>0</v>
      </c>
      <c r="Y1948" s="471">
        <f>+X1948-Q1948</f>
        <v>0</v>
      </c>
    </row>
    <row r="1949" spans="1:25">
      <c r="A1949" s="383">
        <v>3</v>
      </c>
      <c r="C1949" s="406"/>
      <c r="D1949" s="407"/>
      <c r="E1949" s="407"/>
      <c r="F1949" s="407"/>
      <c r="G1949" s="407"/>
      <c r="H1949" s="407"/>
      <c r="I1949" s="408" t="s">
        <v>402</v>
      </c>
      <c r="J1949" s="409" t="e">
        <f t="shared" si="361"/>
        <v>#N/A</v>
      </c>
      <c r="K1949" s="410" t="e">
        <f>+K1948</f>
        <v>#N/A</v>
      </c>
      <c r="L1949" s="411"/>
      <c r="M1949" s="412"/>
      <c r="N1949" s="442"/>
      <c r="O1949" s="442"/>
      <c r="P1949" s="413"/>
      <c r="Q1949" s="411"/>
      <c r="R1949" s="413">
        <f t="shared" si="364"/>
        <v>1</v>
      </c>
      <c r="S1949" s="414">
        <f>+HLOOKUP(A1949,[238]Hoja1!$2:$78,71,FALSE)</f>
        <v>1</v>
      </c>
      <c r="X1949" s="458">
        <f t="shared" ref="X1949:X1951" si="365">+L1949*P1949</f>
        <v>0</v>
      </c>
      <c r="Y1949" s="471">
        <f t="shared" ref="Y1949:Y1951" si="366">+X1949-Q1949</f>
        <v>0</v>
      </c>
    </row>
    <row r="1950" spans="1:25">
      <c r="A1950" s="383">
        <v>4</v>
      </c>
      <c r="C1950" s="406"/>
      <c r="D1950" s="407"/>
      <c r="E1950" s="407"/>
      <c r="F1950" s="407"/>
      <c r="G1950" s="407"/>
      <c r="H1950" s="407"/>
      <c r="I1950" s="408" t="s">
        <v>403</v>
      </c>
      <c r="J1950" s="409" t="e">
        <f t="shared" si="361"/>
        <v>#N/A</v>
      </c>
      <c r="K1950" s="410" t="e">
        <f>+K1949</f>
        <v>#N/A</v>
      </c>
      <c r="L1950" s="411"/>
      <c r="M1950" s="412"/>
      <c r="N1950" s="442"/>
      <c r="O1950" s="442"/>
      <c r="P1950" s="413"/>
      <c r="Q1950" s="411"/>
      <c r="R1950" s="413">
        <f t="shared" si="364"/>
        <v>1</v>
      </c>
      <c r="S1950" s="414">
        <f>+HLOOKUP(A1950,[238]Hoja1!$2:$78,71,FALSE)</f>
        <v>1</v>
      </c>
      <c r="X1950" s="458">
        <f t="shared" si="365"/>
        <v>0</v>
      </c>
      <c r="Y1950" s="471">
        <f t="shared" si="366"/>
        <v>0</v>
      </c>
    </row>
    <row r="1951" spans="1:25">
      <c r="A1951" s="383">
        <v>5</v>
      </c>
      <c r="C1951" s="406"/>
      <c r="D1951" s="407"/>
      <c r="E1951" s="407"/>
      <c r="F1951" s="407"/>
      <c r="G1951" s="407"/>
      <c r="H1951" s="407"/>
      <c r="I1951" s="408" t="s">
        <v>405</v>
      </c>
      <c r="J1951" s="409" t="e">
        <f t="shared" si="361"/>
        <v>#N/A</v>
      </c>
      <c r="K1951" s="410" t="e">
        <f>+K1950</f>
        <v>#N/A</v>
      </c>
      <c r="L1951" s="411"/>
      <c r="M1951" s="412"/>
      <c r="N1951" s="442"/>
      <c r="O1951" s="442"/>
      <c r="P1951" s="413"/>
      <c r="Q1951" s="411"/>
      <c r="R1951" s="413">
        <f t="shared" si="364"/>
        <v>1</v>
      </c>
      <c r="S1951" s="414">
        <f>+HLOOKUP(A1951,[238]Hoja1!$2:$78,71,FALSE)</f>
        <v>1</v>
      </c>
      <c r="X1951" s="458">
        <f t="shared" si="365"/>
        <v>0</v>
      </c>
      <c r="Y1951" s="471">
        <f t="shared" si="366"/>
        <v>0</v>
      </c>
    </row>
    <row r="1952" spans="1:25">
      <c r="A1952" s="383">
        <v>6</v>
      </c>
      <c r="C1952" s="406"/>
      <c r="D1952" s="407"/>
      <c r="E1952" s="407"/>
      <c r="F1952" s="407"/>
      <c r="G1952" s="407"/>
      <c r="H1952" s="407"/>
      <c r="I1952" s="408" t="s">
        <v>407</v>
      </c>
      <c r="J1952" s="409" t="e">
        <f t="shared" si="361"/>
        <v>#N/A</v>
      </c>
      <c r="K1952" s="410" t="e">
        <f>+K1951</f>
        <v>#N/A</v>
      </c>
      <c r="L1952" s="411"/>
      <c r="M1952" s="412"/>
      <c r="N1952" s="442"/>
      <c r="O1952" s="442"/>
      <c r="P1952" s="413"/>
      <c r="Q1952" s="411"/>
      <c r="R1952" s="413" t="str">
        <f t="shared" si="364"/>
        <v/>
      </c>
      <c r="S1952" s="414">
        <f>+HLOOKUP(A1952,[238]Hoja1!$2:$78,71,FALSE)</f>
        <v>0</v>
      </c>
      <c r="X1952" s="458">
        <f>+L1952*P1952</f>
        <v>0</v>
      </c>
      <c r="Y1952" s="471">
        <f>+X1952-Q1952</f>
        <v>0</v>
      </c>
    </row>
    <row r="1953" spans="1:25">
      <c r="A1953" s="383">
        <v>7</v>
      </c>
      <c r="C1953" s="406"/>
      <c r="D1953" s="407"/>
      <c r="E1953" s="407"/>
      <c r="F1953" s="407"/>
      <c r="G1953" s="407"/>
      <c r="H1953" s="407"/>
      <c r="I1953" s="408" t="s">
        <v>409</v>
      </c>
      <c r="J1953" s="409" t="e">
        <f t="shared" si="361"/>
        <v>#N/A</v>
      </c>
      <c r="K1953" s="410" t="e">
        <f>+K1947</f>
        <v>#N/A</v>
      </c>
      <c r="L1953" s="411"/>
      <c r="M1953" s="412"/>
      <c r="N1953" s="442"/>
      <c r="O1953" s="442"/>
      <c r="P1953" s="413"/>
      <c r="Q1953" s="411"/>
      <c r="R1953" s="413" t="str">
        <f t="shared" si="364"/>
        <v/>
      </c>
      <c r="S1953" s="414">
        <f>+HLOOKUP(A1953,[238]Hoja1!$2:$78,71,FALSE)</f>
        <v>0</v>
      </c>
      <c r="X1953" s="458">
        <f t="shared" ref="X1953:X1989" si="367">+L1953*P1953</f>
        <v>0</v>
      </c>
      <c r="Y1953" s="471">
        <f t="shared" ref="Y1953:Y1989" si="368">+X1953-Q1953</f>
        <v>0</v>
      </c>
    </row>
    <row r="1954" spans="1:25">
      <c r="A1954" s="383">
        <v>8</v>
      </c>
      <c r="C1954" s="406"/>
      <c r="D1954" s="407"/>
      <c r="E1954" s="407"/>
      <c r="F1954" s="407"/>
      <c r="G1954" s="407"/>
      <c r="H1954" s="407"/>
      <c r="I1954" s="408" t="s">
        <v>411</v>
      </c>
      <c r="J1954" s="409" t="e">
        <f t="shared" si="361"/>
        <v>#N/A</v>
      </c>
      <c r="K1954" s="410" t="e">
        <f>+K1953</f>
        <v>#N/A</v>
      </c>
      <c r="L1954" s="411"/>
      <c r="M1954" s="412"/>
      <c r="N1954" s="442"/>
      <c r="O1954" s="442"/>
      <c r="P1954" s="413"/>
      <c r="Q1954" s="411"/>
      <c r="R1954" s="413" t="str">
        <f t="shared" si="364"/>
        <v/>
      </c>
      <c r="S1954" s="414">
        <f>+HLOOKUP(A1954,[238]Hoja1!$2:$78,71,FALSE)</f>
        <v>0</v>
      </c>
      <c r="X1954" s="458">
        <f t="shared" si="367"/>
        <v>0</v>
      </c>
      <c r="Y1954" s="471">
        <f t="shared" si="368"/>
        <v>0</v>
      </c>
    </row>
    <row r="1955" spans="1:25">
      <c r="A1955" s="383">
        <v>9</v>
      </c>
      <c r="C1955" s="406"/>
      <c r="D1955" s="407"/>
      <c r="E1955" s="407"/>
      <c r="F1955" s="407"/>
      <c r="G1955" s="407"/>
      <c r="H1955" s="407"/>
      <c r="I1955" s="408" t="s">
        <v>412</v>
      </c>
      <c r="J1955" s="409" t="e">
        <f t="shared" si="361"/>
        <v>#N/A</v>
      </c>
      <c r="K1955" s="410" t="e">
        <f>+K1954</f>
        <v>#N/A</v>
      </c>
      <c r="L1955" s="411"/>
      <c r="M1955" s="412"/>
      <c r="N1955" s="442"/>
      <c r="O1955" s="442"/>
      <c r="P1955" s="413"/>
      <c r="Q1955" s="411"/>
      <c r="R1955" s="413">
        <f t="shared" si="364"/>
        <v>1</v>
      </c>
      <c r="S1955" s="414">
        <f>+HLOOKUP(A1955,[238]Hoja1!$2:$78,71,FALSE)</f>
        <v>1</v>
      </c>
      <c r="X1955" s="458">
        <f t="shared" si="367"/>
        <v>0</v>
      </c>
      <c r="Y1955" s="471">
        <f t="shared" si="368"/>
        <v>0</v>
      </c>
    </row>
    <row r="1956" spans="1:25">
      <c r="A1956" s="383">
        <v>10</v>
      </c>
      <c r="C1956" s="406"/>
      <c r="D1956" s="407"/>
      <c r="E1956" s="407"/>
      <c r="F1956" s="407"/>
      <c r="G1956" s="407"/>
      <c r="H1956" s="407"/>
      <c r="I1956" s="408" t="s">
        <v>413</v>
      </c>
      <c r="J1956" s="409" t="e">
        <f t="shared" si="361"/>
        <v>#N/A</v>
      </c>
      <c r="K1956" s="410" t="e">
        <f>+K1955</f>
        <v>#N/A</v>
      </c>
      <c r="L1956" s="411"/>
      <c r="M1956" s="412"/>
      <c r="N1956" s="441"/>
      <c r="O1956" s="442"/>
      <c r="P1956" s="413"/>
      <c r="Q1956" s="411"/>
      <c r="R1956" s="413" t="str">
        <f t="shared" si="364"/>
        <v/>
      </c>
      <c r="S1956" s="414">
        <f>+HLOOKUP(A1956,[238]Hoja1!$2:$78,71,FALSE)</f>
        <v>0</v>
      </c>
      <c r="X1956" s="458">
        <f t="shared" si="367"/>
        <v>0</v>
      </c>
      <c r="Y1956" s="471">
        <f t="shared" si="368"/>
        <v>0</v>
      </c>
    </row>
    <row r="1957" spans="1:25">
      <c r="A1957" s="383">
        <v>11</v>
      </c>
      <c r="C1957" s="406"/>
      <c r="D1957" s="407"/>
      <c r="E1957" s="407"/>
      <c r="F1957" s="407"/>
      <c r="G1957" s="407"/>
      <c r="H1957" s="407"/>
      <c r="I1957" s="408" t="s">
        <v>414</v>
      </c>
      <c r="J1957" s="409" t="e">
        <f t="shared" si="361"/>
        <v>#N/A</v>
      </c>
      <c r="K1957" s="410" t="e">
        <f>+K1956</f>
        <v>#N/A</v>
      </c>
      <c r="L1957" s="411"/>
      <c r="M1957" s="412"/>
      <c r="N1957" s="443"/>
      <c r="O1957" s="442"/>
      <c r="P1957" s="413"/>
      <c r="Q1957" s="411"/>
      <c r="R1957" s="413" t="str">
        <f t="shared" si="364"/>
        <v/>
      </c>
      <c r="S1957" s="414">
        <f>+HLOOKUP(A1957,[238]Hoja1!$2:$78,71,FALSE)</f>
        <v>0</v>
      </c>
      <c r="X1957" s="458">
        <f t="shared" si="367"/>
        <v>0</v>
      </c>
      <c r="Y1957" s="471">
        <f t="shared" si="368"/>
        <v>0</v>
      </c>
    </row>
    <row r="1958" spans="1:25">
      <c r="A1958" s="383">
        <v>12</v>
      </c>
      <c r="C1958" s="406"/>
      <c r="D1958" s="407"/>
      <c r="E1958" s="407"/>
      <c r="F1958" s="407"/>
      <c r="G1958" s="407"/>
      <c r="H1958" s="407"/>
      <c r="I1958" s="408" t="s">
        <v>415</v>
      </c>
      <c r="J1958" s="409" t="e">
        <f t="shared" si="361"/>
        <v>#N/A</v>
      </c>
      <c r="K1958" s="410" t="e">
        <f>+K1952</f>
        <v>#N/A</v>
      </c>
      <c r="L1958" s="411"/>
      <c r="M1958" s="412"/>
      <c r="N1958" s="442"/>
      <c r="O1958" s="442"/>
      <c r="P1958" s="413"/>
      <c r="Q1958" s="411"/>
      <c r="R1958" s="413" t="str">
        <f t="shared" si="364"/>
        <v/>
      </c>
      <c r="S1958" s="414">
        <f>+HLOOKUP(A1958,[238]Hoja1!$2:$78,71,FALSE)</f>
        <v>0</v>
      </c>
      <c r="X1958" s="458">
        <f t="shared" si="367"/>
        <v>0</v>
      </c>
      <c r="Y1958" s="471">
        <f t="shared" si="368"/>
        <v>0</v>
      </c>
    </row>
    <row r="1959" spans="1:25">
      <c r="A1959" s="383">
        <v>13</v>
      </c>
      <c r="C1959" s="406"/>
      <c r="D1959" s="407"/>
      <c r="E1959" s="407"/>
      <c r="F1959" s="407"/>
      <c r="G1959" s="407"/>
      <c r="H1959" s="407"/>
      <c r="I1959" s="408" t="s">
        <v>416</v>
      </c>
      <c r="J1959" s="409" t="e">
        <f t="shared" si="361"/>
        <v>#N/A</v>
      </c>
      <c r="K1959" s="410" t="e">
        <f>+K1954</f>
        <v>#N/A</v>
      </c>
      <c r="L1959" s="411"/>
      <c r="M1959" s="412"/>
      <c r="N1959" s="442"/>
      <c r="O1959" s="442"/>
      <c r="P1959" s="413"/>
      <c r="Q1959" s="411"/>
      <c r="R1959" s="413" t="str">
        <f t="shared" si="364"/>
        <v/>
      </c>
      <c r="S1959" s="414">
        <f>+HLOOKUP(A1959,[238]Hoja1!$2:$78,71,FALSE)</f>
        <v>0</v>
      </c>
      <c r="X1959" s="458">
        <f t="shared" si="367"/>
        <v>0</v>
      </c>
      <c r="Y1959" s="471">
        <f t="shared" si="368"/>
        <v>0</v>
      </c>
    </row>
    <row r="1960" spans="1:25">
      <c r="A1960" s="383">
        <v>14</v>
      </c>
      <c r="C1960" s="406"/>
      <c r="D1960" s="407"/>
      <c r="E1960" s="407"/>
      <c r="F1960" s="407"/>
      <c r="G1960" s="407"/>
      <c r="H1960" s="407"/>
      <c r="I1960" s="408" t="s">
        <v>417</v>
      </c>
      <c r="J1960" s="409" t="e">
        <f t="shared" si="361"/>
        <v>#N/A</v>
      </c>
      <c r="K1960" s="410" t="e">
        <f t="shared" ref="K1960:K1971" si="369">+K1959</f>
        <v>#N/A</v>
      </c>
      <c r="L1960" s="411"/>
      <c r="M1960" s="412"/>
      <c r="N1960" s="442"/>
      <c r="O1960" s="442"/>
      <c r="P1960" s="413"/>
      <c r="Q1960" s="411"/>
      <c r="R1960" s="413">
        <f t="shared" si="364"/>
        <v>1</v>
      </c>
      <c r="S1960" s="414">
        <f>+HLOOKUP(A1960,[238]Hoja1!$2:$78,71,FALSE)</f>
        <v>1</v>
      </c>
      <c r="X1960" s="458">
        <f t="shared" si="367"/>
        <v>0</v>
      </c>
      <c r="Y1960" s="471">
        <f t="shared" si="368"/>
        <v>0</v>
      </c>
    </row>
    <row r="1961" spans="1:25">
      <c r="A1961" s="383">
        <v>15</v>
      </c>
      <c r="C1961" s="406"/>
      <c r="D1961" s="407"/>
      <c r="E1961" s="407"/>
      <c r="F1961" s="407"/>
      <c r="G1961" s="407"/>
      <c r="H1961" s="407"/>
      <c r="I1961" s="408" t="s">
        <v>418</v>
      </c>
      <c r="J1961" s="409" t="e">
        <f t="shared" si="361"/>
        <v>#N/A</v>
      </c>
      <c r="K1961" s="410" t="e">
        <f t="shared" si="369"/>
        <v>#N/A</v>
      </c>
      <c r="L1961" s="411"/>
      <c r="M1961" s="412"/>
      <c r="N1961" s="442"/>
      <c r="O1961" s="442"/>
      <c r="P1961" s="413"/>
      <c r="Q1961" s="411"/>
      <c r="R1961" s="413" t="str">
        <f t="shared" si="364"/>
        <v/>
      </c>
      <c r="S1961" s="414">
        <f>+HLOOKUP(A1961,[238]Hoja1!$2:$78,71,FALSE)</f>
        <v>0</v>
      </c>
      <c r="X1961" s="458">
        <f t="shared" si="367"/>
        <v>0</v>
      </c>
      <c r="Y1961" s="471">
        <f t="shared" si="368"/>
        <v>0</v>
      </c>
    </row>
    <row r="1962" spans="1:25">
      <c r="A1962" s="383">
        <v>16</v>
      </c>
      <c r="C1962" s="406"/>
      <c r="D1962" s="407"/>
      <c r="E1962" s="407"/>
      <c r="F1962" s="407"/>
      <c r="G1962" s="407"/>
      <c r="H1962" s="407"/>
      <c r="I1962" s="408" t="s">
        <v>419</v>
      </c>
      <c r="J1962" s="409" t="e">
        <f t="shared" si="361"/>
        <v>#N/A</v>
      </c>
      <c r="K1962" s="410" t="e">
        <f t="shared" si="369"/>
        <v>#N/A</v>
      </c>
      <c r="L1962" s="411"/>
      <c r="M1962" s="412"/>
      <c r="N1962" s="442"/>
      <c r="O1962" s="442"/>
      <c r="P1962" s="413"/>
      <c r="Q1962" s="411"/>
      <c r="R1962" s="413" t="str">
        <f t="shared" si="364"/>
        <v/>
      </c>
      <c r="S1962" s="414">
        <f>+HLOOKUP(A1962,[238]Hoja1!$2:$78,71,FALSE)</f>
        <v>0</v>
      </c>
      <c r="X1962" s="458">
        <f t="shared" si="367"/>
        <v>0</v>
      </c>
      <c r="Y1962" s="471">
        <f t="shared" si="368"/>
        <v>0</v>
      </c>
    </row>
    <row r="1963" spans="1:25">
      <c r="A1963" s="383">
        <v>17</v>
      </c>
      <c r="C1963" s="406"/>
      <c r="D1963" s="407"/>
      <c r="E1963" s="407"/>
      <c r="F1963" s="407"/>
      <c r="G1963" s="407"/>
      <c r="H1963" s="407"/>
      <c r="I1963" s="408" t="s">
        <v>420</v>
      </c>
      <c r="J1963" s="409" t="e">
        <f t="shared" si="361"/>
        <v>#N/A</v>
      </c>
      <c r="K1963" s="410" t="e">
        <f t="shared" si="369"/>
        <v>#N/A</v>
      </c>
      <c r="L1963" s="411"/>
      <c r="M1963" s="412"/>
      <c r="N1963" s="442"/>
      <c r="O1963" s="442"/>
      <c r="P1963" s="413"/>
      <c r="Q1963" s="411"/>
      <c r="R1963" s="413" t="str">
        <f t="shared" si="364"/>
        <v/>
      </c>
      <c r="S1963" s="414">
        <f>+HLOOKUP(A1963,[238]Hoja1!$2:$78,71,FALSE)</f>
        <v>0</v>
      </c>
      <c r="V1963" s="383">
        <f>+P1963*O1963*N1963</f>
        <v>0</v>
      </c>
      <c r="X1963" s="458">
        <f t="shared" si="367"/>
        <v>0</v>
      </c>
      <c r="Y1963" s="471">
        <f t="shared" si="368"/>
        <v>0</v>
      </c>
    </row>
    <row r="1964" spans="1:25">
      <c r="A1964" s="383">
        <v>18</v>
      </c>
      <c r="C1964" s="406"/>
      <c r="D1964" s="407"/>
      <c r="E1964" s="407"/>
      <c r="F1964" s="407"/>
      <c r="G1964" s="407"/>
      <c r="H1964" s="407"/>
      <c r="I1964" s="408" t="s">
        <v>429</v>
      </c>
      <c r="J1964" s="409" t="e">
        <f t="shared" si="361"/>
        <v>#N/A</v>
      </c>
      <c r="K1964" s="410" t="e">
        <f t="shared" si="369"/>
        <v>#N/A</v>
      </c>
      <c r="L1964" s="411"/>
      <c r="M1964" s="412"/>
      <c r="N1964" s="442"/>
      <c r="O1964" s="442"/>
      <c r="P1964" s="413"/>
      <c r="Q1964" s="411"/>
      <c r="R1964" s="413" t="str">
        <f t="shared" si="364"/>
        <v/>
      </c>
      <c r="S1964" s="414">
        <f>+HLOOKUP(A1964,[238]Hoja1!$2:$78,71,FALSE)</f>
        <v>0</v>
      </c>
      <c r="X1964" s="458">
        <f t="shared" si="367"/>
        <v>0</v>
      </c>
      <c r="Y1964" s="471">
        <f t="shared" si="368"/>
        <v>0</v>
      </c>
    </row>
    <row r="1965" spans="1:25">
      <c r="A1965" s="383">
        <v>19</v>
      </c>
      <c r="C1965" s="406"/>
      <c r="D1965" s="407"/>
      <c r="E1965" s="407"/>
      <c r="F1965" s="407"/>
      <c r="G1965" s="407"/>
      <c r="H1965" s="407"/>
      <c r="I1965" s="408" t="s">
        <v>430</v>
      </c>
      <c r="J1965" s="409" t="e">
        <f t="shared" si="361"/>
        <v>#N/A</v>
      </c>
      <c r="K1965" s="410" t="e">
        <f t="shared" si="369"/>
        <v>#N/A</v>
      </c>
      <c r="L1965" s="411"/>
      <c r="M1965" s="412"/>
      <c r="N1965" s="442"/>
      <c r="O1965" s="442"/>
      <c r="P1965" s="413"/>
      <c r="Q1965" s="411"/>
      <c r="R1965" s="413">
        <f t="shared" si="364"/>
        <v>1</v>
      </c>
      <c r="S1965" s="414">
        <f>+HLOOKUP(A1965,[238]Hoja1!$2:$78,71,FALSE)</f>
        <v>1</v>
      </c>
      <c r="X1965" s="458">
        <f t="shared" si="367"/>
        <v>0</v>
      </c>
      <c r="Y1965" s="471">
        <f t="shared" si="368"/>
        <v>0</v>
      </c>
    </row>
    <row r="1966" spans="1:25">
      <c r="A1966" s="383">
        <v>20</v>
      </c>
      <c r="C1966" s="406"/>
      <c r="D1966" s="407"/>
      <c r="E1966" s="407"/>
      <c r="F1966" s="407"/>
      <c r="G1966" s="407"/>
      <c r="H1966" s="407"/>
      <c r="I1966" s="408" t="s">
        <v>431</v>
      </c>
      <c r="J1966" s="409" t="e">
        <f t="shared" si="361"/>
        <v>#N/A</v>
      </c>
      <c r="K1966" s="410" t="e">
        <f t="shared" si="369"/>
        <v>#N/A</v>
      </c>
      <c r="L1966" s="411"/>
      <c r="M1966" s="412"/>
      <c r="N1966" s="442"/>
      <c r="O1966" s="442"/>
      <c r="P1966" s="413"/>
      <c r="Q1966" s="411"/>
      <c r="R1966" s="413" t="str">
        <f t="shared" si="364"/>
        <v/>
      </c>
      <c r="S1966" s="414">
        <f>+HLOOKUP(A1966,[238]Hoja1!$2:$78,71,FALSE)</f>
        <v>0</v>
      </c>
      <c r="X1966" s="458">
        <f t="shared" si="367"/>
        <v>0</v>
      </c>
      <c r="Y1966" s="471">
        <f t="shared" si="368"/>
        <v>0</v>
      </c>
    </row>
    <row r="1967" spans="1:25">
      <c r="A1967" s="383">
        <v>21</v>
      </c>
      <c r="C1967" s="406"/>
      <c r="D1967" s="407"/>
      <c r="E1967" s="407"/>
      <c r="F1967" s="407"/>
      <c r="G1967" s="407"/>
      <c r="H1967" s="407"/>
      <c r="I1967" s="408" t="s">
        <v>432</v>
      </c>
      <c r="J1967" s="409" t="e">
        <f t="shared" si="361"/>
        <v>#N/A</v>
      </c>
      <c r="K1967" s="410" t="e">
        <f t="shared" si="369"/>
        <v>#N/A</v>
      </c>
      <c r="L1967" s="411"/>
      <c r="M1967" s="412"/>
      <c r="N1967" s="442"/>
      <c r="O1967" s="442"/>
      <c r="P1967" s="413"/>
      <c r="Q1967" s="411"/>
      <c r="R1967" s="413" t="str">
        <f t="shared" si="364"/>
        <v/>
      </c>
      <c r="S1967" s="414">
        <f>+HLOOKUP(A1967,[238]Hoja1!$2:$78,71,FALSE)</f>
        <v>0</v>
      </c>
      <c r="X1967" s="458">
        <f t="shared" si="367"/>
        <v>0</v>
      </c>
      <c r="Y1967" s="471">
        <f t="shared" si="368"/>
        <v>0</v>
      </c>
    </row>
    <row r="1968" spans="1:25">
      <c r="A1968" s="383">
        <v>22</v>
      </c>
      <c r="C1968" s="406"/>
      <c r="D1968" s="407"/>
      <c r="E1968" s="407"/>
      <c r="F1968" s="407"/>
      <c r="G1968" s="407"/>
      <c r="H1968" s="407"/>
      <c r="I1968" s="408" t="s">
        <v>433</v>
      </c>
      <c r="J1968" s="409" t="e">
        <f t="shared" si="361"/>
        <v>#N/A</v>
      </c>
      <c r="K1968" s="410" t="e">
        <f t="shared" si="369"/>
        <v>#N/A</v>
      </c>
      <c r="L1968" s="411"/>
      <c r="M1968" s="412"/>
      <c r="N1968" s="442"/>
      <c r="O1968" s="442"/>
      <c r="P1968" s="413"/>
      <c r="Q1968" s="411"/>
      <c r="R1968" s="413">
        <f t="shared" si="364"/>
        <v>1</v>
      </c>
      <c r="S1968" s="414">
        <f>+HLOOKUP(A1968,[238]Hoja1!$2:$78,71,FALSE)</f>
        <v>1</v>
      </c>
      <c r="X1968" s="458">
        <f t="shared" si="367"/>
        <v>0</v>
      </c>
      <c r="Y1968" s="471">
        <f t="shared" si="368"/>
        <v>0</v>
      </c>
    </row>
    <row r="1969" spans="1:25">
      <c r="A1969" s="383">
        <v>23</v>
      </c>
      <c r="C1969" s="406"/>
      <c r="D1969" s="407"/>
      <c r="E1969" s="407"/>
      <c r="F1969" s="407"/>
      <c r="G1969" s="407"/>
      <c r="H1969" s="407"/>
      <c r="I1969" s="408" t="s">
        <v>434</v>
      </c>
      <c r="J1969" s="409" t="e">
        <f t="shared" si="361"/>
        <v>#N/A</v>
      </c>
      <c r="K1969" s="410" t="e">
        <f t="shared" si="369"/>
        <v>#N/A</v>
      </c>
      <c r="L1969" s="411"/>
      <c r="M1969" s="412"/>
      <c r="N1969" s="441"/>
      <c r="O1969" s="442"/>
      <c r="P1969" s="413"/>
      <c r="Q1969" s="411"/>
      <c r="R1969" s="413" t="str">
        <f t="shared" si="364"/>
        <v/>
      </c>
      <c r="S1969" s="414">
        <f>+HLOOKUP(A1969,[238]Hoja1!$2:$78,71,FALSE)</f>
        <v>0</v>
      </c>
      <c r="X1969" s="458">
        <f t="shared" si="367"/>
        <v>0</v>
      </c>
      <c r="Y1969" s="471">
        <f t="shared" si="368"/>
        <v>0</v>
      </c>
    </row>
    <row r="1970" spans="1:25">
      <c r="A1970" s="383">
        <v>24</v>
      </c>
      <c r="C1970" s="406"/>
      <c r="D1970" s="407"/>
      <c r="E1970" s="407"/>
      <c r="F1970" s="407"/>
      <c r="G1970" s="407"/>
      <c r="H1970" s="407"/>
      <c r="I1970" s="408" t="s">
        <v>435</v>
      </c>
      <c r="J1970" s="409" t="e">
        <f t="shared" si="361"/>
        <v>#N/A</v>
      </c>
      <c r="K1970" s="410" t="e">
        <f t="shared" si="369"/>
        <v>#N/A</v>
      </c>
      <c r="L1970" s="411"/>
      <c r="M1970" s="412"/>
      <c r="N1970" s="442"/>
      <c r="O1970" s="442"/>
      <c r="P1970" s="413"/>
      <c r="Q1970" s="411"/>
      <c r="R1970" s="413" t="str">
        <f t="shared" si="364"/>
        <v/>
      </c>
      <c r="S1970" s="414">
        <f>+HLOOKUP(A1970,[238]Hoja1!$2:$78,71,FALSE)</f>
        <v>0</v>
      </c>
      <c r="X1970" s="458">
        <f t="shared" si="367"/>
        <v>0</v>
      </c>
      <c r="Y1970" s="471">
        <f t="shared" si="368"/>
        <v>0</v>
      </c>
    </row>
    <row r="1971" spans="1:25">
      <c r="A1971" s="383">
        <v>25</v>
      </c>
      <c r="C1971" s="406"/>
      <c r="D1971" s="407"/>
      <c r="E1971" s="407"/>
      <c r="F1971" s="407"/>
      <c r="G1971" s="407"/>
      <c r="H1971" s="407"/>
      <c r="I1971" s="408" t="s">
        <v>436</v>
      </c>
      <c r="J1971" s="409" t="e">
        <f t="shared" si="361"/>
        <v>#N/A</v>
      </c>
      <c r="K1971" s="410" t="e">
        <f t="shared" si="369"/>
        <v>#N/A</v>
      </c>
      <c r="L1971" s="411"/>
      <c r="M1971" s="412"/>
      <c r="N1971" s="442"/>
      <c r="O1971" s="442"/>
      <c r="P1971" s="413"/>
      <c r="Q1971" s="411"/>
      <c r="R1971" s="413" t="str">
        <f t="shared" si="364"/>
        <v/>
      </c>
      <c r="S1971" s="414">
        <f>+HLOOKUP(A1971,[238]Hoja1!$2:$78,71,FALSE)</f>
        <v>0</v>
      </c>
      <c r="X1971" s="458">
        <f t="shared" si="367"/>
        <v>0</v>
      </c>
      <c r="Y1971" s="471">
        <f t="shared" si="368"/>
        <v>0</v>
      </c>
    </row>
    <row r="1972" spans="1:25">
      <c r="A1972" s="383">
        <v>26</v>
      </c>
      <c r="C1972" s="406"/>
      <c r="D1972" s="407"/>
      <c r="E1972" s="407"/>
      <c r="F1972" s="407"/>
      <c r="G1972" s="407"/>
      <c r="H1972" s="407"/>
      <c r="I1972" s="408" t="s">
        <v>437</v>
      </c>
      <c r="J1972" s="409" t="e">
        <f t="shared" si="361"/>
        <v>#N/A</v>
      </c>
      <c r="K1972" s="410" t="e">
        <f>+K1961</f>
        <v>#N/A</v>
      </c>
      <c r="L1972" s="411"/>
      <c r="M1972" s="412"/>
      <c r="N1972" s="442"/>
      <c r="O1972" s="442"/>
      <c r="P1972" s="413"/>
      <c r="Q1972" s="411"/>
      <c r="R1972" s="413" t="str">
        <f t="shared" si="364"/>
        <v/>
      </c>
      <c r="S1972" s="414">
        <f>+HLOOKUP(A1972,[238]Hoja1!$2:$78,71,FALSE)</f>
        <v>0</v>
      </c>
      <c r="X1972" s="458">
        <f t="shared" si="367"/>
        <v>0</v>
      </c>
      <c r="Y1972" s="471">
        <f t="shared" si="368"/>
        <v>0</v>
      </c>
    </row>
    <row r="1973" spans="1:25">
      <c r="A1973" s="383">
        <v>27</v>
      </c>
      <c r="C1973" s="406"/>
      <c r="D1973" s="407"/>
      <c r="E1973" s="407"/>
      <c r="F1973" s="407"/>
      <c r="G1973" s="407"/>
      <c r="H1973" s="407"/>
      <c r="I1973" s="408" t="s">
        <v>438</v>
      </c>
      <c r="J1973" s="409" t="e">
        <f t="shared" si="361"/>
        <v>#N/A</v>
      </c>
      <c r="K1973" s="410" t="e">
        <f t="shared" ref="K1973:K1981" si="370">+K1972</f>
        <v>#N/A</v>
      </c>
      <c r="L1973" s="411"/>
      <c r="M1973" s="412"/>
      <c r="N1973" s="442"/>
      <c r="O1973" s="442"/>
      <c r="P1973" s="413"/>
      <c r="Q1973" s="411"/>
      <c r="R1973" s="413">
        <f t="shared" si="364"/>
        <v>1</v>
      </c>
      <c r="S1973" s="414">
        <f>+HLOOKUP(A1973,[238]Hoja1!$2:$78,71,FALSE)</f>
        <v>1</v>
      </c>
      <c r="X1973" s="458">
        <f t="shared" si="367"/>
        <v>0</v>
      </c>
      <c r="Y1973" s="471">
        <f t="shared" si="368"/>
        <v>0</v>
      </c>
    </row>
    <row r="1974" spans="1:25">
      <c r="A1974" s="383">
        <v>28</v>
      </c>
      <c r="C1974" s="406"/>
      <c r="D1974" s="440"/>
      <c r="E1974" s="407"/>
      <c r="F1974" s="407"/>
      <c r="G1974" s="407"/>
      <c r="H1974" s="437"/>
      <c r="I1974" s="408" t="s">
        <v>439</v>
      </c>
      <c r="J1974" s="409" t="e">
        <f t="shared" si="361"/>
        <v>#N/A</v>
      </c>
      <c r="K1974" s="410" t="e">
        <f t="shared" si="370"/>
        <v>#N/A</v>
      </c>
      <c r="L1974" s="411"/>
      <c r="M1974" s="412"/>
      <c r="N1974" s="442"/>
      <c r="O1974" s="442"/>
      <c r="P1974" s="413"/>
      <c r="Q1974" s="411"/>
      <c r="R1974" s="413" t="str">
        <f t="shared" si="364"/>
        <v/>
      </c>
      <c r="S1974" s="414">
        <f>+HLOOKUP(A1974,[238]Hoja1!$2:$78,71,FALSE)</f>
        <v>0</v>
      </c>
      <c r="X1974" s="458">
        <f t="shared" si="367"/>
        <v>0</v>
      </c>
      <c r="Y1974" s="471">
        <f t="shared" si="368"/>
        <v>0</v>
      </c>
    </row>
    <row r="1975" spans="1:25">
      <c r="A1975" s="383">
        <v>29</v>
      </c>
      <c r="C1975" s="406"/>
      <c r="D1975" s="407"/>
      <c r="E1975" s="407"/>
      <c r="F1975" s="407"/>
      <c r="G1975" s="407"/>
      <c r="H1975" s="407"/>
      <c r="I1975" s="408" t="s">
        <v>440</v>
      </c>
      <c r="J1975" s="409" t="e">
        <f t="shared" si="361"/>
        <v>#N/A</v>
      </c>
      <c r="K1975" s="410" t="e">
        <f t="shared" si="370"/>
        <v>#N/A</v>
      </c>
      <c r="L1975" s="411"/>
      <c r="M1975" s="412"/>
      <c r="N1975" s="443"/>
      <c r="O1975" s="442"/>
      <c r="P1975" s="413"/>
      <c r="Q1975" s="411"/>
      <c r="R1975" s="413" t="str">
        <f t="shared" si="364"/>
        <v/>
      </c>
      <c r="S1975" s="414">
        <f>+HLOOKUP(A1975,[238]Hoja1!$2:$78,71,FALSE)</f>
        <v>0</v>
      </c>
      <c r="X1975" s="458">
        <f t="shared" si="367"/>
        <v>0</v>
      </c>
      <c r="Y1975" s="471">
        <f t="shared" si="368"/>
        <v>0</v>
      </c>
    </row>
    <row r="1976" spans="1:25">
      <c r="A1976" s="383">
        <v>30</v>
      </c>
      <c r="C1976" s="406"/>
      <c r="D1976" s="407"/>
      <c r="E1976" s="407"/>
      <c r="F1976" s="407"/>
      <c r="G1976" s="407"/>
      <c r="H1976" s="407"/>
      <c r="I1976" s="408" t="s">
        <v>441</v>
      </c>
      <c r="J1976" s="409" t="e">
        <f t="shared" si="361"/>
        <v>#N/A</v>
      </c>
      <c r="K1976" s="410" t="e">
        <f t="shared" si="370"/>
        <v>#N/A</v>
      </c>
      <c r="L1976" s="411"/>
      <c r="M1976" s="412"/>
      <c r="N1976" s="442"/>
      <c r="O1976" s="442"/>
      <c r="P1976" s="413"/>
      <c r="Q1976" s="411"/>
      <c r="R1976" s="413" t="str">
        <f t="shared" si="364"/>
        <v/>
      </c>
      <c r="S1976" s="414">
        <f>+HLOOKUP(A1976,[238]Hoja1!$2:$78,71,FALSE)</f>
        <v>0</v>
      </c>
      <c r="X1976" s="458">
        <f t="shared" si="367"/>
        <v>0</v>
      </c>
      <c r="Y1976" s="471">
        <f t="shared" si="368"/>
        <v>0</v>
      </c>
    </row>
    <row r="1977" spans="1:25">
      <c r="A1977" s="383">
        <v>31</v>
      </c>
      <c r="C1977" s="406"/>
      <c r="D1977" s="407"/>
      <c r="E1977" s="407"/>
      <c r="F1977" s="407"/>
      <c r="G1977" s="407"/>
      <c r="H1977" s="407"/>
      <c r="I1977" s="408" t="s">
        <v>442</v>
      </c>
      <c r="J1977" s="409" t="e">
        <f t="shared" si="361"/>
        <v>#N/A</v>
      </c>
      <c r="K1977" s="410" t="e">
        <f t="shared" si="370"/>
        <v>#N/A</v>
      </c>
      <c r="L1977" s="411"/>
      <c r="M1977" s="412"/>
      <c r="N1977" s="442"/>
      <c r="O1977" s="442"/>
      <c r="P1977" s="413"/>
      <c r="Q1977" s="411"/>
      <c r="R1977" s="413" t="str">
        <f t="shared" si="364"/>
        <v/>
      </c>
      <c r="S1977" s="414">
        <f>+HLOOKUP(A1977,[238]Hoja1!$2:$78,71,FALSE)</f>
        <v>0</v>
      </c>
      <c r="X1977" s="458">
        <f t="shared" si="367"/>
        <v>0</v>
      </c>
      <c r="Y1977" s="471">
        <f t="shared" si="368"/>
        <v>0</v>
      </c>
    </row>
    <row r="1978" spans="1:25">
      <c r="A1978" s="383">
        <v>32</v>
      </c>
      <c r="C1978" s="406"/>
      <c r="D1978" s="407"/>
      <c r="E1978" s="407"/>
      <c r="F1978" s="407"/>
      <c r="G1978" s="407"/>
      <c r="H1978" s="407"/>
      <c r="I1978" s="408" t="s">
        <v>443</v>
      </c>
      <c r="J1978" s="409" t="e">
        <f t="shared" si="361"/>
        <v>#N/A</v>
      </c>
      <c r="K1978" s="410" t="e">
        <f t="shared" si="370"/>
        <v>#N/A</v>
      </c>
      <c r="L1978" s="411"/>
      <c r="M1978" s="412"/>
      <c r="N1978" s="442"/>
      <c r="O1978" s="442"/>
      <c r="P1978" s="413"/>
      <c r="Q1978" s="411"/>
      <c r="R1978" s="413" t="str">
        <f t="shared" si="364"/>
        <v/>
      </c>
      <c r="S1978" s="414">
        <f>+HLOOKUP(A1978,[238]Hoja1!$2:$78,71,FALSE)</f>
        <v>0</v>
      </c>
      <c r="X1978" s="458">
        <f t="shared" si="367"/>
        <v>0</v>
      </c>
      <c r="Y1978" s="471">
        <f t="shared" si="368"/>
        <v>0</v>
      </c>
    </row>
    <row r="1979" spans="1:25">
      <c r="A1979" s="383">
        <v>33</v>
      </c>
      <c r="C1979" s="406"/>
      <c r="D1979" s="407"/>
      <c r="E1979" s="407"/>
      <c r="F1979" s="407"/>
      <c r="G1979" s="407"/>
      <c r="H1979" s="407"/>
      <c r="I1979" s="408" t="s">
        <v>444</v>
      </c>
      <c r="J1979" s="409" t="e">
        <f t="shared" si="361"/>
        <v>#N/A</v>
      </c>
      <c r="K1979" s="410" t="e">
        <f t="shared" si="370"/>
        <v>#N/A</v>
      </c>
      <c r="L1979" s="411"/>
      <c r="M1979" s="412"/>
      <c r="N1979" s="442"/>
      <c r="O1979" s="442"/>
      <c r="P1979" s="413"/>
      <c r="Q1979" s="411"/>
      <c r="R1979" s="413" t="str">
        <f t="shared" si="364"/>
        <v/>
      </c>
      <c r="S1979" s="414">
        <f>+HLOOKUP(A1979,[238]Hoja1!$2:$78,71,FALSE)</f>
        <v>0</v>
      </c>
      <c r="X1979" s="458">
        <f t="shared" si="367"/>
        <v>0</v>
      </c>
      <c r="Y1979" s="471">
        <f t="shared" si="368"/>
        <v>0</v>
      </c>
    </row>
    <row r="1980" spans="1:25">
      <c r="A1980" s="383">
        <v>34</v>
      </c>
      <c r="C1980" s="406"/>
      <c r="D1980" s="407"/>
      <c r="E1980" s="407"/>
      <c r="F1980" s="407"/>
      <c r="G1980" s="407"/>
      <c r="H1980" s="407"/>
      <c r="I1980" s="408" t="s">
        <v>445</v>
      </c>
      <c r="J1980" s="409" t="e">
        <f t="shared" si="361"/>
        <v>#N/A</v>
      </c>
      <c r="K1980" s="410" t="e">
        <f t="shared" si="370"/>
        <v>#N/A</v>
      </c>
      <c r="L1980" s="411"/>
      <c r="M1980" s="412"/>
      <c r="N1980" s="441"/>
      <c r="O1980" s="442"/>
      <c r="P1980" s="413"/>
      <c r="Q1980" s="411"/>
      <c r="R1980" s="413" t="str">
        <f t="shared" si="364"/>
        <v/>
      </c>
      <c r="S1980" s="414">
        <f>+HLOOKUP(A1980,[238]Hoja1!$2:$78,71,FALSE)</f>
        <v>0</v>
      </c>
      <c r="X1980" s="458">
        <f t="shared" si="367"/>
        <v>0</v>
      </c>
      <c r="Y1980" s="471">
        <f t="shared" si="368"/>
        <v>0</v>
      </c>
    </row>
    <row r="1981" spans="1:25">
      <c r="A1981" s="383">
        <v>35</v>
      </c>
      <c r="C1981" s="406"/>
      <c r="D1981" s="440"/>
      <c r="E1981" s="407"/>
      <c r="F1981" s="407"/>
      <c r="G1981" s="407"/>
      <c r="H1981" s="437"/>
      <c r="I1981" s="408" t="s">
        <v>446</v>
      </c>
      <c r="J1981" s="409" t="e">
        <f t="shared" si="361"/>
        <v>#N/A</v>
      </c>
      <c r="K1981" s="410" t="e">
        <f t="shared" si="370"/>
        <v>#N/A</v>
      </c>
      <c r="L1981" s="411"/>
      <c r="M1981" s="412"/>
      <c r="N1981" s="442"/>
      <c r="O1981" s="442"/>
      <c r="P1981" s="413"/>
      <c r="Q1981" s="411"/>
      <c r="R1981" s="413" t="str">
        <f t="shared" si="364"/>
        <v/>
      </c>
      <c r="S1981" s="414">
        <f>+HLOOKUP(A1981,[238]Hoja1!$2:$78,71,FALSE)</f>
        <v>0</v>
      </c>
      <c r="X1981" s="458">
        <f t="shared" si="367"/>
        <v>0</v>
      </c>
      <c r="Y1981" s="471">
        <f t="shared" si="368"/>
        <v>0</v>
      </c>
    </row>
    <row r="1982" spans="1:25">
      <c r="A1982" s="383">
        <v>36</v>
      </c>
      <c r="C1982" s="406"/>
      <c r="D1982" s="407"/>
      <c r="E1982" s="407"/>
      <c r="F1982" s="407"/>
      <c r="G1982" s="407"/>
      <c r="H1982" s="407"/>
      <c r="I1982" s="408" t="s">
        <v>447</v>
      </c>
      <c r="J1982" s="409" t="e">
        <f t="shared" si="361"/>
        <v>#N/A</v>
      </c>
      <c r="K1982" s="410" t="e">
        <f>+K1971</f>
        <v>#N/A</v>
      </c>
      <c r="L1982" s="411"/>
      <c r="M1982" s="412"/>
      <c r="N1982" s="442"/>
      <c r="O1982" s="442"/>
      <c r="P1982" s="413"/>
      <c r="Q1982" s="411"/>
      <c r="R1982" s="413" t="str">
        <f t="shared" si="364"/>
        <v/>
      </c>
      <c r="S1982" s="414">
        <f>+HLOOKUP(A1982,[238]Hoja1!$2:$78,71,FALSE)</f>
        <v>0</v>
      </c>
      <c r="X1982" s="458">
        <f t="shared" si="367"/>
        <v>0</v>
      </c>
      <c r="Y1982" s="471">
        <f t="shared" si="368"/>
        <v>0</v>
      </c>
    </row>
    <row r="1983" spans="1:25">
      <c r="A1983" s="383">
        <v>37</v>
      </c>
      <c r="C1983" s="406"/>
      <c r="D1983" s="407"/>
      <c r="E1983" s="407"/>
      <c r="F1983" s="407"/>
      <c r="G1983" s="407"/>
      <c r="H1983" s="407"/>
      <c r="I1983" s="408" t="s">
        <v>448</v>
      </c>
      <c r="J1983" s="409" t="e">
        <f t="shared" si="361"/>
        <v>#N/A</v>
      </c>
      <c r="K1983" s="410" t="e">
        <f t="shared" ref="K1983:K1989" si="371">+K1982</f>
        <v>#N/A</v>
      </c>
      <c r="L1983" s="411"/>
      <c r="M1983" s="412"/>
      <c r="N1983" s="441"/>
      <c r="O1983" s="442"/>
      <c r="P1983" s="413"/>
      <c r="Q1983" s="411"/>
      <c r="R1983" s="413" t="str">
        <f t="shared" si="364"/>
        <v/>
      </c>
      <c r="S1983" s="414">
        <f>+HLOOKUP(A1983,[238]Hoja1!$2:$78,71,FALSE)</f>
        <v>0</v>
      </c>
      <c r="X1983" s="458">
        <f t="shared" si="367"/>
        <v>0</v>
      </c>
      <c r="Y1983" s="471">
        <f t="shared" si="368"/>
        <v>0</v>
      </c>
    </row>
    <row r="1984" spans="1:25">
      <c r="A1984" s="383">
        <v>38</v>
      </c>
      <c r="C1984" s="406"/>
      <c r="D1984" s="440"/>
      <c r="E1984" s="407"/>
      <c r="F1984" s="407"/>
      <c r="G1984" s="407"/>
      <c r="H1984" s="437"/>
      <c r="I1984" s="408" t="s">
        <v>449</v>
      </c>
      <c r="J1984" s="409" t="e">
        <f t="shared" si="361"/>
        <v>#N/A</v>
      </c>
      <c r="K1984" s="410" t="e">
        <f t="shared" si="371"/>
        <v>#N/A</v>
      </c>
      <c r="L1984" s="411"/>
      <c r="M1984" s="412"/>
      <c r="N1984" s="442"/>
      <c r="O1984" s="442"/>
      <c r="P1984" s="413"/>
      <c r="Q1984" s="411"/>
      <c r="R1984" s="413">
        <f t="shared" si="364"/>
        <v>1</v>
      </c>
      <c r="S1984" s="414">
        <f>+HLOOKUP(A1984,[238]Hoja1!$2:$78,71,FALSE)</f>
        <v>1</v>
      </c>
      <c r="X1984" s="458">
        <f t="shared" si="367"/>
        <v>0</v>
      </c>
      <c r="Y1984" s="471">
        <f t="shared" si="368"/>
        <v>0</v>
      </c>
    </row>
    <row r="1985" spans="1:25">
      <c r="A1985" s="383">
        <v>39</v>
      </c>
      <c r="C1985" s="406"/>
      <c r="D1985" s="407"/>
      <c r="E1985" s="407"/>
      <c r="F1985" s="407"/>
      <c r="G1985" s="407"/>
      <c r="H1985" s="407"/>
      <c r="I1985" s="408" t="s">
        <v>450</v>
      </c>
      <c r="J1985" s="409" t="e">
        <f t="shared" si="361"/>
        <v>#N/A</v>
      </c>
      <c r="K1985" s="410" t="e">
        <f t="shared" si="371"/>
        <v>#N/A</v>
      </c>
      <c r="L1985" s="411"/>
      <c r="M1985" s="412"/>
      <c r="N1985" s="441"/>
      <c r="O1985" s="442"/>
      <c r="P1985" s="413"/>
      <c r="Q1985" s="411"/>
      <c r="R1985" s="413" t="str">
        <f t="shared" si="364"/>
        <v/>
      </c>
      <c r="S1985" s="414">
        <f>+HLOOKUP(A1985,[238]Hoja1!$2:$78,71,FALSE)</f>
        <v>0</v>
      </c>
      <c r="X1985" s="458">
        <f t="shared" si="367"/>
        <v>0</v>
      </c>
      <c r="Y1985" s="471">
        <f t="shared" si="368"/>
        <v>0</v>
      </c>
    </row>
    <row r="1986" spans="1:25">
      <c r="A1986" s="383">
        <v>40</v>
      </c>
      <c r="C1986" s="406"/>
      <c r="D1986" s="407"/>
      <c r="E1986" s="407"/>
      <c r="F1986" s="407"/>
      <c r="G1986" s="407"/>
      <c r="H1986" s="407"/>
      <c r="I1986" s="408" t="s">
        <v>451</v>
      </c>
      <c r="J1986" s="409" t="e">
        <f t="shared" si="361"/>
        <v>#N/A</v>
      </c>
      <c r="K1986" s="410" t="e">
        <f t="shared" si="371"/>
        <v>#N/A</v>
      </c>
      <c r="L1986" s="411"/>
      <c r="M1986" s="412"/>
      <c r="N1986" s="442"/>
      <c r="O1986" s="442"/>
      <c r="P1986" s="413"/>
      <c r="Q1986" s="411"/>
      <c r="R1986" s="413" t="str">
        <f t="shared" si="364"/>
        <v/>
      </c>
      <c r="S1986" s="414">
        <f>+HLOOKUP(A1986,[238]Hoja1!$2:$78,71,FALSE)</f>
        <v>0</v>
      </c>
      <c r="X1986" s="458">
        <f t="shared" si="367"/>
        <v>0</v>
      </c>
      <c r="Y1986" s="471">
        <f t="shared" si="368"/>
        <v>0</v>
      </c>
    </row>
    <row r="1987" spans="1:25">
      <c r="A1987" s="383">
        <v>41</v>
      </c>
      <c r="C1987" s="406"/>
      <c r="D1987" s="407"/>
      <c r="E1987" s="407"/>
      <c r="F1987" s="407"/>
      <c r="G1987" s="407"/>
      <c r="H1987" s="407"/>
      <c r="I1987" s="408" t="s">
        <v>452</v>
      </c>
      <c r="J1987" s="409" t="e">
        <f t="shared" si="361"/>
        <v>#N/A</v>
      </c>
      <c r="K1987" s="410" t="e">
        <f t="shared" si="371"/>
        <v>#N/A</v>
      </c>
      <c r="L1987" s="411"/>
      <c r="M1987" s="412"/>
      <c r="N1987" s="442"/>
      <c r="O1987" s="442"/>
      <c r="P1987" s="413"/>
      <c r="Q1987" s="411"/>
      <c r="R1987" s="413">
        <f t="shared" si="364"/>
        <v>1</v>
      </c>
      <c r="S1987" s="414">
        <f>+HLOOKUP(A1987,[238]Hoja1!$2:$78,71,FALSE)</f>
        <v>1</v>
      </c>
      <c r="X1987" s="458">
        <f t="shared" si="367"/>
        <v>0</v>
      </c>
      <c r="Y1987" s="471">
        <f t="shared" si="368"/>
        <v>0</v>
      </c>
    </row>
    <row r="1988" spans="1:25">
      <c r="A1988" s="383">
        <v>42</v>
      </c>
      <c r="C1988" s="406"/>
      <c r="D1988" s="407"/>
      <c r="E1988" s="407"/>
      <c r="F1988" s="407"/>
      <c r="G1988" s="407"/>
      <c r="H1988" s="407"/>
      <c r="I1988" s="408" t="s">
        <v>453</v>
      </c>
      <c r="J1988" s="409" t="e">
        <f t="shared" si="361"/>
        <v>#N/A</v>
      </c>
      <c r="K1988" s="410" t="e">
        <f t="shared" si="371"/>
        <v>#N/A</v>
      </c>
      <c r="L1988" s="411"/>
      <c r="M1988" s="412"/>
      <c r="N1988" s="442"/>
      <c r="O1988" s="442"/>
      <c r="P1988" s="413"/>
      <c r="Q1988" s="411"/>
      <c r="R1988" s="413" t="str">
        <f t="shared" si="364"/>
        <v/>
      </c>
      <c r="S1988" s="414">
        <f>+HLOOKUP(A1988,[238]Hoja1!$2:$78,71,FALSE)</f>
        <v>0</v>
      </c>
      <c r="X1988" s="458">
        <f t="shared" si="367"/>
        <v>0</v>
      </c>
      <c r="Y1988" s="471">
        <f t="shared" si="368"/>
        <v>0</v>
      </c>
    </row>
    <row r="1989" spans="1:25" ht="13.5" thickBot="1">
      <c r="A1989" s="383">
        <v>43</v>
      </c>
      <c r="C1989" s="406"/>
      <c r="D1989" s="407"/>
      <c r="E1989" s="407"/>
      <c r="F1989" s="407"/>
      <c r="G1989" s="407"/>
      <c r="H1989" s="407"/>
      <c r="I1989" s="408" t="s">
        <v>454</v>
      </c>
      <c r="J1989" s="409" t="e">
        <f t="shared" si="361"/>
        <v>#N/A</v>
      </c>
      <c r="K1989" s="410" t="e">
        <f t="shared" si="371"/>
        <v>#N/A</v>
      </c>
      <c r="L1989" s="411"/>
      <c r="M1989" s="412"/>
      <c r="N1989" s="442"/>
      <c r="O1989" s="442"/>
      <c r="P1989" s="413"/>
      <c r="Q1989" s="411"/>
      <c r="R1989" s="413" t="str">
        <f t="shared" si="364"/>
        <v/>
      </c>
      <c r="S1989" s="414">
        <f>+HLOOKUP(A1989,[238]Hoja1!$2:$78,71,FALSE)</f>
        <v>0</v>
      </c>
      <c r="X1989" s="458">
        <f t="shared" si="367"/>
        <v>0</v>
      </c>
      <c r="Y1989" s="471">
        <f t="shared" si="368"/>
        <v>0</v>
      </c>
    </row>
    <row r="1990" spans="1:25">
      <c r="C1990" s="384"/>
      <c r="D1990" s="419"/>
      <c r="E1990" s="420"/>
      <c r="F1990" s="421"/>
      <c r="G1990" s="421"/>
      <c r="H1990" s="421"/>
      <c r="I1990" s="421"/>
      <c r="J1990" s="422"/>
      <c r="K1990" s="421"/>
      <c r="L1990" s="421"/>
      <c r="M1990" s="421"/>
      <c r="N1990" s="421"/>
      <c r="O1990" s="421"/>
      <c r="P1990" s="421"/>
      <c r="Q1990" s="421"/>
      <c r="R1990" s="422"/>
      <c r="S1990" s="423"/>
    </row>
    <row r="1991" spans="1:25">
      <c r="C1991" s="396"/>
      <c r="D1991" s="397"/>
      <c r="E1991" s="424"/>
      <c r="F1991" s="425"/>
      <c r="G1991" s="425"/>
      <c r="H1991" s="425"/>
      <c r="I1991" s="425"/>
      <c r="J1991" s="398"/>
      <c r="K1991" s="425"/>
      <c r="L1991" s="425"/>
      <c r="M1991" s="397"/>
      <c r="N1991" s="397"/>
      <c r="O1991" s="562" t="s">
        <v>455</v>
      </c>
      <c r="P1991" s="563"/>
      <c r="Q1991" s="564"/>
      <c r="R1991" s="426"/>
      <c r="S1991" s="427">
        <f>SUM(S1947:S1990)</f>
        <v>11</v>
      </c>
    </row>
    <row r="1992" spans="1:25">
      <c r="C1992" s="396"/>
      <c r="D1992" s="397"/>
      <c r="E1992" s="424"/>
      <c r="F1992" s="425"/>
      <c r="G1992" s="425"/>
      <c r="H1992" s="425"/>
      <c r="I1992" s="425"/>
      <c r="J1992" s="398"/>
      <c r="K1992" s="425"/>
      <c r="L1992" s="425"/>
      <c r="M1992" s="428"/>
      <c r="N1992" s="428"/>
      <c r="O1992" s="429"/>
      <c r="P1992" s="425"/>
      <c r="Q1992" s="425"/>
      <c r="R1992" s="430"/>
      <c r="S1992" s="431"/>
    </row>
    <row r="1993" spans="1:25">
      <c r="C1993" s="565" t="e">
        <v>#REF!</v>
      </c>
      <c r="D1993" s="566"/>
      <c r="E1993" s="566"/>
      <c r="F1993" s="566"/>
      <c r="G1993" s="566"/>
      <c r="H1993" s="566"/>
      <c r="I1993" s="566"/>
      <c r="J1993" s="566"/>
      <c r="K1993" s="566"/>
      <c r="L1993" s="566"/>
      <c r="M1993" s="566"/>
      <c r="N1993" s="567"/>
      <c r="O1993" s="568" t="s">
        <v>422</v>
      </c>
      <c r="P1993" s="568"/>
      <c r="Q1993" s="568"/>
      <c r="R1993" s="426"/>
      <c r="S1993" s="427">
        <f>S1991</f>
        <v>11</v>
      </c>
    </row>
    <row r="1994" spans="1:25">
      <c r="C1994" s="396"/>
      <c r="D1994" s="397"/>
      <c r="E1994" s="424"/>
      <c r="F1994" s="425"/>
      <c r="G1994" s="425"/>
      <c r="H1994" s="425"/>
      <c r="I1994" s="425"/>
      <c r="J1994" s="398"/>
      <c r="K1994" s="425"/>
      <c r="L1994" s="425"/>
      <c r="M1994" s="428"/>
      <c r="N1994" s="428"/>
      <c r="O1994" s="429"/>
      <c r="P1994" s="425"/>
      <c r="Q1994" s="398"/>
      <c r="R1994" s="398"/>
      <c r="S1994" s="432"/>
    </row>
    <row r="1995" spans="1:25">
      <c r="C1995" s="396"/>
      <c r="D1995" s="397"/>
      <c r="E1995" s="424"/>
      <c r="F1995" s="425"/>
      <c r="G1995" s="425"/>
      <c r="H1995" s="425"/>
      <c r="I1995" s="425"/>
      <c r="J1995" s="398"/>
      <c r="K1995" s="425"/>
      <c r="L1995" s="425"/>
      <c r="M1995" s="428"/>
      <c r="N1995" s="428"/>
      <c r="O1995" s="429"/>
      <c r="P1995" s="425"/>
      <c r="Q1995" s="398"/>
      <c r="R1995" s="398"/>
      <c r="S1995" s="432"/>
    </row>
    <row r="1996" spans="1:25">
      <c r="C1996" s="569" t="s">
        <v>423</v>
      </c>
      <c r="D1996" s="570"/>
      <c r="E1996" s="570"/>
      <c r="F1996" s="570"/>
      <c r="G1996" s="570"/>
      <c r="H1996" s="570"/>
      <c r="I1996" s="570"/>
      <c r="J1996" s="571"/>
      <c r="K1996" s="433" t="s">
        <v>424</v>
      </c>
      <c r="L1996" s="434"/>
      <c r="M1996" s="434"/>
      <c r="N1996" s="434"/>
      <c r="O1996" s="434"/>
      <c r="P1996" s="434"/>
      <c r="Q1996" s="434"/>
      <c r="R1996" s="434"/>
      <c r="S1996" s="435"/>
    </row>
    <row r="1997" spans="1:25">
      <c r="C1997" s="542"/>
      <c r="D1997" s="543"/>
      <c r="E1997" s="543"/>
      <c r="F1997" s="543"/>
      <c r="G1997" s="436"/>
      <c r="H1997" s="436"/>
      <c r="I1997" s="436"/>
      <c r="J1997" s="447"/>
      <c r="K1997" s="436"/>
      <c r="L1997" s="407"/>
      <c r="M1997" s="407"/>
      <c r="N1997" s="407"/>
      <c r="O1997" s="407"/>
      <c r="P1997" s="407"/>
      <c r="Q1997" s="407"/>
      <c r="R1997" s="407"/>
      <c r="S1997" s="437"/>
    </row>
    <row r="1998" spans="1:25">
      <c r="C1998" s="542"/>
      <c r="D1998" s="543"/>
      <c r="E1998" s="543"/>
      <c r="F1998" s="543"/>
      <c r="G1998" s="436"/>
      <c r="H1998" s="436"/>
      <c r="I1998" s="436"/>
      <c r="J1998" s="447"/>
      <c r="K1998" s="436"/>
      <c r="L1998" s="407"/>
      <c r="M1998" s="407"/>
      <c r="N1998" s="407"/>
      <c r="O1998" s="407"/>
      <c r="P1998" s="407"/>
      <c r="Q1998" s="407"/>
      <c r="R1998" s="407"/>
      <c r="S1998" s="437"/>
    </row>
    <row r="1999" spans="1:25">
      <c r="C1999" s="542" t="s">
        <v>425</v>
      </c>
      <c r="D1999" s="543"/>
      <c r="E1999" s="543" t="s">
        <v>425</v>
      </c>
      <c r="F1999" s="543"/>
      <c r="G1999" s="543" t="s">
        <v>425</v>
      </c>
      <c r="H1999" s="543"/>
      <c r="I1999" s="543" t="s">
        <v>425</v>
      </c>
      <c r="J1999" s="544"/>
      <c r="K1999" s="545" t="s">
        <v>426</v>
      </c>
      <c r="L1999" s="546"/>
      <c r="M1999" s="546"/>
      <c r="N1999" s="546"/>
      <c r="O1999" s="546"/>
      <c r="P1999" s="546"/>
      <c r="Q1999" s="546"/>
      <c r="R1999" s="546"/>
      <c r="S1999" s="547"/>
    </row>
    <row r="2000" spans="1:25">
      <c r="C2000" s="548" t="str">
        <f>+[42]DATOS!D$8</f>
        <v>HELMER EDUARDO BECERRA SANTANDER</v>
      </c>
      <c r="D2000" s="549"/>
      <c r="E2000" s="549" t="s">
        <v>427</v>
      </c>
      <c r="F2000" s="549"/>
      <c r="G2000" s="549" t="s">
        <v>427</v>
      </c>
      <c r="H2000" s="549"/>
      <c r="I2000" s="549" t="s">
        <v>427</v>
      </c>
      <c r="J2000" s="550"/>
      <c r="K2000" s="551" t="str">
        <f>+[42]DATOS!D$11</f>
        <v>JESUS IVAN QUIÑONES RUEDA</v>
      </c>
      <c r="L2000" s="549"/>
      <c r="M2000" s="549"/>
      <c r="N2000" s="549"/>
      <c r="O2000" s="549"/>
      <c r="P2000" s="549"/>
      <c r="Q2000" s="549"/>
      <c r="R2000" s="549"/>
      <c r="S2000" s="552"/>
    </row>
    <row r="2001" spans="3:19">
      <c r="C2001" s="553" t="str">
        <f>+$C$72</f>
        <v>APOYO SEC. DE PLANEACION Y OBRAS PÚBLICAS</v>
      </c>
      <c r="D2001" s="554"/>
      <c r="E2001" s="554" t="s">
        <v>428</v>
      </c>
      <c r="F2001" s="554"/>
      <c r="G2001" s="554" t="s">
        <v>428</v>
      </c>
      <c r="H2001" s="554"/>
      <c r="I2001" s="554" t="s">
        <v>428</v>
      </c>
      <c r="J2001" s="555"/>
      <c r="K2001" s="556" t="str">
        <f>+$K$72</f>
        <v>SECRETARIO DE PLANEACION Y OBRAS PÚBLICAS</v>
      </c>
      <c r="L2001" s="554"/>
      <c r="M2001" s="554"/>
      <c r="N2001" s="554"/>
      <c r="O2001" s="554"/>
      <c r="P2001" s="554"/>
      <c r="Q2001" s="554"/>
      <c r="R2001" s="554"/>
      <c r="S2001" s="557"/>
    </row>
    <row r="2002" spans="3:19">
      <c r="C2002" s="406"/>
      <c r="D2002" s="407"/>
      <c r="E2002" s="407"/>
      <c r="F2002" s="407"/>
      <c r="G2002" s="407"/>
      <c r="H2002" s="407"/>
      <c r="I2002" s="407"/>
      <c r="J2002" s="407"/>
      <c r="K2002" s="407"/>
      <c r="L2002" s="407"/>
      <c r="M2002" s="407"/>
      <c r="N2002" s="407"/>
      <c r="O2002" s="407"/>
      <c r="P2002" s="407"/>
      <c r="Q2002" s="407"/>
      <c r="R2002" s="407"/>
      <c r="S2002" s="437"/>
    </row>
    <row r="2003" spans="3:19" ht="111" customHeight="1" thickBot="1">
      <c r="C2003" s="417"/>
      <c r="D2003" s="418"/>
      <c r="E2003" s="418"/>
      <c r="F2003" s="418"/>
      <c r="G2003" s="418"/>
      <c r="H2003" s="418"/>
      <c r="I2003" s="418"/>
      <c r="J2003" s="418"/>
      <c r="K2003" s="418"/>
      <c r="L2003" s="418"/>
      <c r="M2003" s="418"/>
      <c r="N2003" s="418"/>
      <c r="O2003" s="418"/>
      <c r="P2003" s="418"/>
      <c r="Q2003" s="418"/>
      <c r="R2003" s="418"/>
      <c r="S2003" s="438"/>
    </row>
    <row r="2004" spans="3:19" ht="22.5" customHeight="1"/>
  </sheetData>
  <mergeCells count="947">
    <mergeCell ref="C10:D10"/>
    <mergeCell ref="K10:L10"/>
    <mergeCell ref="M10:S10"/>
    <mergeCell ref="C11:D11"/>
    <mergeCell ref="E11:F11"/>
    <mergeCell ref="K11:L11"/>
    <mergeCell ref="M11:S11"/>
    <mergeCell ref="C5:S6"/>
    <mergeCell ref="C7:S7"/>
    <mergeCell ref="C8:D8"/>
    <mergeCell ref="E8:S8"/>
    <mergeCell ref="C9:D9"/>
    <mergeCell ref="E9:S9"/>
    <mergeCell ref="C13:S13"/>
    <mergeCell ref="D15:E15"/>
    <mergeCell ref="F15:H15"/>
    <mergeCell ref="I15:I16"/>
    <mergeCell ref="J15:K16"/>
    <mergeCell ref="L15:Q15"/>
    <mergeCell ref="R15:S15"/>
    <mergeCell ref="D16:E16"/>
    <mergeCell ref="F16:H16"/>
    <mergeCell ref="C69:F69"/>
    <mergeCell ref="C70:J70"/>
    <mergeCell ref="K70:S70"/>
    <mergeCell ref="C71:J71"/>
    <mergeCell ref="K71:S71"/>
    <mergeCell ref="C72:J72"/>
    <mergeCell ref="K72:S72"/>
    <mergeCell ref="I17:S17"/>
    <mergeCell ref="O62:Q62"/>
    <mergeCell ref="C64:N64"/>
    <mergeCell ref="O64:Q64"/>
    <mergeCell ref="C67:J67"/>
    <mergeCell ref="C68:F68"/>
    <mergeCell ref="C85:D85"/>
    <mergeCell ref="K85:L85"/>
    <mergeCell ref="M85:S85"/>
    <mergeCell ref="C86:D86"/>
    <mergeCell ref="E86:F86"/>
    <mergeCell ref="K86:L86"/>
    <mergeCell ref="M86:S86"/>
    <mergeCell ref="C80:S81"/>
    <mergeCell ref="C82:S82"/>
    <mergeCell ref="C83:D83"/>
    <mergeCell ref="E83:S83"/>
    <mergeCell ref="C84:D84"/>
    <mergeCell ref="E84:S84"/>
    <mergeCell ref="C88:S88"/>
    <mergeCell ref="D90:E90"/>
    <mergeCell ref="F90:H90"/>
    <mergeCell ref="I90:I91"/>
    <mergeCell ref="J90:K91"/>
    <mergeCell ref="L90:Q90"/>
    <mergeCell ref="R90:S90"/>
    <mergeCell ref="D91:E91"/>
    <mergeCell ref="F91:H91"/>
    <mergeCell ref="C144:F144"/>
    <mergeCell ref="C145:J145"/>
    <mergeCell ref="K145:S145"/>
    <mergeCell ref="C146:J146"/>
    <mergeCell ref="K146:S146"/>
    <mergeCell ref="C147:J147"/>
    <mergeCell ref="K147:S147"/>
    <mergeCell ref="I92:S92"/>
    <mergeCell ref="O137:Q137"/>
    <mergeCell ref="C139:N139"/>
    <mergeCell ref="O139:Q139"/>
    <mergeCell ref="C142:J142"/>
    <mergeCell ref="C143:F143"/>
    <mergeCell ref="C159:D159"/>
    <mergeCell ref="K159:L159"/>
    <mergeCell ref="M159:S159"/>
    <mergeCell ref="C160:D160"/>
    <mergeCell ref="E160:F160"/>
    <mergeCell ref="K160:L160"/>
    <mergeCell ref="M160:S160"/>
    <mergeCell ref="C154:S155"/>
    <mergeCell ref="C156:S156"/>
    <mergeCell ref="C157:D157"/>
    <mergeCell ref="E157:S157"/>
    <mergeCell ref="C158:D158"/>
    <mergeCell ref="E158:S158"/>
    <mergeCell ref="C162:S162"/>
    <mergeCell ref="D164:E164"/>
    <mergeCell ref="F164:H164"/>
    <mergeCell ref="I164:I165"/>
    <mergeCell ref="J164:K165"/>
    <mergeCell ref="L164:Q164"/>
    <mergeCell ref="R164:S164"/>
    <mergeCell ref="D165:E165"/>
    <mergeCell ref="F165:H165"/>
    <mergeCell ref="C218:F218"/>
    <mergeCell ref="C219:J219"/>
    <mergeCell ref="K219:S219"/>
    <mergeCell ref="C220:J220"/>
    <mergeCell ref="K220:S220"/>
    <mergeCell ref="C221:J221"/>
    <mergeCell ref="K221:S221"/>
    <mergeCell ref="I166:S166"/>
    <mergeCell ref="O211:Q211"/>
    <mergeCell ref="C213:N213"/>
    <mergeCell ref="O213:Q213"/>
    <mergeCell ref="C216:J216"/>
    <mergeCell ref="C217:F217"/>
    <mergeCell ref="C233:D233"/>
    <mergeCell ref="K233:L233"/>
    <mergeCell ref="M233:S233"/>
    <mergeCell ref="C234:D234"/>
    <mergeCell ref="E234:F234"/>
    <mergeCell ref="K234:L234"/>
    <mergeCell ref="M234:S234"/>
    <mergeCell ref="C228:S229"/>
    <mergeCell ref="C230:S230"/>
    <mergeCell ref="C231:D231"/>
    <mergeCell ref="E231:S231"/>
    <mergeCell ref="C232:D232"/>
    <mergeCell ref="E232:S232"/>
    <mergeCell ref="C236:S236"/>
    <mergeCell ref="D238:E238"/>
    <mergeCell ref="F238:H238"/>
    <mergeCell ref="I238:I239"/>
    <mergeCell ref="J238:K239"/>
    <mergeCell ref="L238:Q238"/>
    <mergeCell ref="R238:S238"/>
    <mergeCell ref="D239:E239"/>
    <mergeCell ref="F239:H239"/>
    <mergeCell ref="C292:F292"/>
    <mergeCell ref="C293:J293"/>
    <mergeCell ref="K293:S293"/>
    <mergeCell ref="C294:J294"/>
    <mergeCell ref="K294:S294"/>
    <mergeCell ref="C295:J295"/>
    <mergeCell ref="K295:S295"/>
    <mergeCell ref="I240:S240"/>
    <mergeCell ref="O285:Q285"/>
    <mergeCell ref="C287:N287"/>
    <mergeCell ref="O287:Q287"/>
    <mergeCell ref="C290:J290"/>
    <mergeCell ref="C291:F291"/>
    <mergeCell ref="C308:D308"/>
    <mergeCell ref="K308:L308"/>
    <mergeCell ref="M308:S308"/>
    <mergeCell ref="C309:D309"/>
    <mergeCell ref="E309:F309"/>
    <mergeCell ref="K309:L309"/>
    <mergeCell ref="M309:S309"/>
    <mergeCell ref="C303:S304"/>
    <mergeCell ref="C305:S305"/>
    <mergeCell ref="C306:D306"/>
    <mergeCell ref="E306:S306"/>
    <mergeCell ref="C307:D307"/>
    <mergeCell ref="E307:S307"/>
    <mergeCell ref="C311:S311"/>
    <mergeCell ref="D313:E313"/>
    <mergeCell ref="F313:H313"/>
    <mergeCell ref="I313:I314"/>
    <mergeCell ref="J313:K314"/>
    <mergeCell ref="L313:Q313"/>
    <mergeCell ref="R313:S313"/>
    <mergeCell ref="D314:E314"/>
    <mergeCell ref="F314:H314"/>
    <mergeCell ref="C367:F367"/>
    <mergeCell ref="C368:J368"/>
    <mergeCell ref="K368:S368"/>
    <mergeCell ref="C369:J369"/>
    <mergeCell ref="K369:S369"/>
    <mergeCell ref="C370:J370"/>
    <mergeCell ref="K370:S370"/>
    <mergeCell ref="I315:S315"/>
    <mergeCell ref="O360:Q360"/>
    <mergeCell ref="C362:N362"/>
    <mergeCell ref="O362:Q362"/>
    <mergeCell ref="C365:J365"/>
    <mergeCell ref="C366:F366"/>
    <mergeCell ref="C382:D382"/>
    <mergeCell ref="K382:L382"/>
    <mergeCell ref="M382:S382"/>
    <mergeCell ref="C383:D383"/>
    <mergeCell ref="E383:F383"/>
    <mergeCell ref="K383:L383"/>
    <mergeCell ref="M383:S383"/>
    <mergeCell ref="C377:S378"/>
    <mergeCell ref="C379:S379"/>
    <mergeCell ref="C380:D380"/>
    <mergeCell ref="E380:S380"/>
    <mergeCell ref="C381:D381"/>
    <mergeCell ref="E381:S381"/>
    <mergeCell ref="C385:S385"/>
    <mergeCell ref="D387:E387"/>
    <mergeCell ref="F387:H387"/>
    <mergeCell ref="I387:I388"/>
    <mergeCell ref="J387:K388"/>
    <mergeCell ref="L387:Q387"/>
    <mergeCell ref="R387:S387"/>
    <mergeCell ref="D388:E388"/>
    <mergeCell ref="F388:H388"/>
    <mergeCell ref="C441:F441"/>
    <mergeCell ref="C442:J442"/>
    <mergeCell ref="K442:S442"/>
    <mergeCell ref="C443:J443"/>
    <mergeCell ref="K443:S443"/>
    <mergeCell ref="C444:J444"/>
    <mergeCell ref="K444:S444"/>
    <mergeCell ref="I389:S389"/>
    <mergeCell ref="O434:Q434"/>
    <mergeCell ref="C436:N436"/>
    <mergeCell ref="O436:Q436"/>
    <mergeCell ref="C439:J439"/>
    <mergeCell ref="C440:F440"/>
    <mergeCell ref="C456:D456"/>
    <mergeCell ref="K456:L456"/>
    <mergeCell ref="M456:S456"/>
    <mergeCell ref="C457:D457"/>
    <mergeCell ref="E457:F457"/>
    <mergeCell ref="K457:L457"/>
    <mergeCell ref="M457:S457"/>
    <mergeCell ref="C451:S452"/>
    <mergeCell ref="C453:S453"/>
    <mergeCell ref="C454:D454"/>
    <mergeCell ref="E454:S454"/>
    <mergeCell ref="C455:D455"/>
    <mergeCell ref="E455:S455"/>
    <mergeCell ref="C459:S459"/>
    <mergeCell ref="D461:E461"/>
    <mergeCell ref="F461:H461"/>
    <mergeCell ref="I461:I462"/>
    <mergeCell ref="J461:K462"/>
    <mergeCell ref="L461:Q461"/>
    <mergeCell ref="R461:S461"/>
    <mergeCell ref="D462:E462"/>
    <mergeCell ref="F462:H462"/>
    <mergeCell ref="C515:F515"/>
    <mergeCell ref="C516:J516"/>
    <mergeCell ref="K516:S516"/>
    <mergeCell ref="C517:J517"/>
    <mergeCell ref="K517:S517"/>
    <mergeCell ref="C518:J518"/>
    <mergeCell ref="K518:S518"/>
    <mergeCell ref="I463:S463"/>
    <mergeCell ref="O508:Q508"/>
    <mergeCell ref="C510:N510"/>
    <mergeCell ref="O510:Q510"/>
    <mergeCell ref="C513:J513"/>
    <mergeCell ref="C514:F514"/>
    <mergeCell ref="C530:D530"/>
    <mergeCell ref="K530:L530"/>
    <mergeCell ref="M530:S530"/>
    <mergeCell ref="C531:D531"/>
    <mergeCell ref="E531:F531"/>
    <mergeCell ref="K531:L531"/>
    <mergeCell ref="M531:S531"/>
    <mergeCell ref="C525:S526"/>
    <mergeCell ref="C527:S527"/>
    <mergeCell ref="C528:D528"/>
    <mergeCell ref="E528:S528"/>
    <mergeCell ref="C529:D529"/>
    <mergeCell ref="E529:S529"/>
    <mergeCell ref="C533:S533"/>
    <mergeCell ref="D535:E535"/>
    <mergeCell ref="F535:H535"/>
    <mergeCell ref="I535:I536"/>
    <mergeCell ref="J535:K536"/>
    <mergeCell ref="L535:Q535"/>
    <mergeCell ref="R535:S535"/>
    <mergeCell ref="D536:E536"/>
    <mergeCell ref="F536:H536"/>
    <mergeCell ref="C589:F589"/>
    <mergeCell ref="C590:J590"/>
    <mergeCell ref="K590:S590"/>
    <mergeCell ref="C591:J591"/>
    <mergeCell ref="K591:S591"/>
    <mergeCell ref="C592:J592"/>
    <mergeCell ref="K592:S592"/>
    <mergeCell ref="I537:S537"/>
    <mergeCell ref="O582:Q582"/>
    <mergeCell ref="C584:N584"/>
    <mergeCell ref="O584:Q584"/>
    <mergeCell ref="C587:J587"/>
    <mergeCell ref="C588:F588"/>
    <mergeCell ref="C604:D604"/>
    <mergeCell ref="K604:L604"/>
    <mergeCell ref="M604:S604"/>
    <mergeCell ref="C605:D605"/>
    <mergeCell ref="E605:F605"/>
    <mergeCell ref="K605:L605"/>
    <mergeCell ref="M605:S605"/>
    <mergeCell ref="C599:S600"/>
    <mergeCell ref="C601:S601"/>
    <mergeCell ref="C602:D602"/>
    <mergeCell ref="E602:S602"/>
    <mergeCell ref="C603:D603"/>
    <mergeCell ref="E603:S603"/>
    <mergeCell ref="C607:S607"/>
    <mergeCell ref="D609:E609"/>
    <mergeCell ref="F609:H609"/>
    <mergeCell ref="I609:I610"/>
    <mergeCell ref="J609:K610"/>
    <mergeCell ref="L609:Q609"/>
    <mergeCell ref="R609:S609"/>
    <mergeCell ref="D610:E610"/>
    <mergeCell ref="F610:H610"/>
    <mergeCell ref="C663:F663"/>
    <mergeCell ref="C664:J664"/>
    <mergeCell ref="K664:S664"/>
    <mergeCell ref="C665:J665"/>
    <mergeCell ref="K665:S665"/>
    <mergeCell ref="C666:J666"/>
    <mergeCell ref="K666:S666"/>
    <mergeCell ref="I611:S611"/>
    <mergeCell ref="O656:Q656"/>
    <mergeCell ref="C658:N658"/>
    <mergeCell ref="O658:Q658"/>
    <mergeCell ref="C661:J661"/>
    <mergeCell ref="C662:F662"/>
    <mergeCell ref="C678:D678"/>
    <mergeCell ref="K678:L678"/>
    <mergeCell ref="M678:S678"/>
    <mergeCell ref="C679:D679"/>
    <mergeCell ref="E679:F679"/>
    <mergeCell ref="K679:L679"/>
    <mergeCell ref="M679:S679"/>
    <mergeCell ref="C673:S674"/>
    <mergeCell ref="C675:S675"/>
    <mergeCell ref="C676:D676"/>
    <mergeCell ref="E676:S676"/>
    <mergeCell ref="C677:D677"/>
    <mergeCell ref="E677:S677"/>
    <mergeCell ref="C681:S681"/>
    <mergeCell ref="D683:E683"/>
    <mergeCell ref="F683:H683"/>
    <mergeCell ref="I683:I684"/>
    <mergeCell ref="J683:K684"/>
    <mergeCell ref="L683:Q683"/>
    <mergeCell ref="R683:S683"/>
    <mergeCell ref="D684:E684"/>
    <mergeCell ref="F684:H684"/>
    <mergeCell ref="C737:F737"/>
    <mergeCell ref="C738:J738"/>
    <mergeCell ref="K738:S738"/>
    <mergeCell ref="C739:J739"/>
    <mergeCell ref="K739:S739"/>
    <mergeCell ref="C740:J740"/>
    <mergeCell ref="K740:S740"/>
    <mergeCell ref="I685:S685"/>
    <mergeCell ref="O730:Q730"/>
    <mergeCell ref="C732:N732"/>
    <mergeCell ref="O732:Q732"/>
    <mergeCell ref="C735:J735"/>
    <mergeCell ref="C736:F736"/>
    <mergeCell ref="C752:D752"/>
    <mergeCell ref="K752:L752"/>
    <mergeCell ref="M752:S752"/>
    <mergeCell ref="C753:D753"/>
    <mergeCell ref="E753:F753"/>
    <mergeCell ref="K753:L753"/>
    <mergeCell ref="M753:S753"/>
    <mergeCell ref="C747:S748"/>
    <mergeCell ref="C749:S749"/>
    <mergeCell ref="C750:D750"/>
    <mergeCell ref="E750:S750"/>
    <mergeCell ref="C751:D751"/>
    <mergeCell ref="E751:S751"/>
    <mergeCell ref="C755:S755"/>
    <mergeCell ref="D757:E757"/>
    <mergeCell ref="F757:H757"/>
    <mergeCell ref="I757:I758"/>
    <mergeCell ref="J757:K758"/>
    <mergeCell ref="L757:Q757"/>
    <mergeCell ref="R757:S757"/>
    <mergeCell ref="D758:E758"/>
    <mergeCell ref="F758:H758"/>
    <mergeCell ref="C811:F811"/>
    <mergeCell ref="C812:J812"/>
    <mergeCell ref="K812:S812"/>
    <mergeCell ref="C813:J813"/>
    <mergeCell ref="K813:S813"/>
    <mergeCell ref="C814:J814"/>
    <mergeCell ref="K814:S814"/>
    <mergeCell ref="I759:S759"/>
    <mergeCell ref="O804:Q804"/>
    <mergeCell ref="C806:N806"/>
    <mergeCell ref="O806:Q806"/>
    <mergeCell ref="C809:J809"/>
    <mergeCell ref="C810:F810"/>
    <mergeCell ref="C826:D826"/>
    <mergeCell ref="K826:L826"/>
    <mergeCell ref="M826:S826"/>
    <mergeCell ref="C827:D827"/>
    <mergeCell ref="E827:F827"/>
    <mergeCell ref="K827:L827"/>
    <mergeCell ref="M827:S827"/>
    <mergeCell ref="C821:S822"/>
    <mergeCell ref="C823:S823"/>
    <mergeCell ref="C824:D824"/>
    <mergeCell ref="E824:S824"/>
    <mergeCell ref="C825:D825"/>
    <mergeCell ref="E825:S825"/>
    <mergeCell ref="C829:S829"/>
    <mergeCell ref="D831:E831"/>
    <mergeCell ref="F831:H831"/>
    <mergeCell ref="I831:I832"/>
    <mergeCell ref="J831:K832"/>
    <mergeCell ref="L831:Q831"/>
    <mergeCell ref="R831:S831"/>
    <mergeCell ref="D832:E832"/>
    <mergeCell ref="F832:H832"/>
    <mergeCell ref="C885:F885"/>
    <mergeCell ref="C886:J886"/>
    <mergeCell ref="K886:S886"/>
    <mergeCell ref="C887:J887"/>
    <mergeCell ref="K887:S887"/>
    <mergeCell ref="C888:J888"/>
    <mergeCell ref="K888:S888"/>
    <mergeCell ref="I833:S833"/>
    <mergeCell ref="O878:Q878"/>
    <mergeCell ref="C880:N880"/>
    <mergeCell ref="O880:Q880"/>
    <mergeCell ref="C883:J883"/>
    <mergeCell ref="C884:F884"/>
    <mergeCell ref="C900:D900"/>
    <mergeCell ref="K900:L900"/>
    <mergeCell ref="M900:S900"/>
    <mergeCell ref="C901:D901"/>
    <mergeCell ref="E901:F901"/>
    <mergeCell ref="K901:L901"/>
    <mergeCell ref="M901:S901"/>
    <mergeCell ref="C895:S896"/>
    <mergeCell ref="C897:S897"/>
    <mergeCell ref="C898:D898"/>
    <mergeCell ref="E898:S898"/>
    <mergeCell ref="C899:D899"/>
    <mergeCell ref="E899:S899"/>
    <mergeCell ref="C903:S903"/>
    <mergeCell ref="D905:E905"/>
    <mergeCell ref="F905:H905"/>
    <mergeCell ref="I905:I906"/>
    <mergeCell ref="J905:K906"/>
    <mergeCell ref="L905:Q905"/>
    <mergeCell ref="R905:S905"/>
    <mergeCell ref="D906:E906"/>
    <mergeCell ref="F906:H906"/>
    <mergeCell ref="C959:F959"/>
    <mergeCell ref="C960:J960"/>
    <mergeCell ref="K960:S960"/>
    <mergeCell ref="C961:J961"/>
    <mergeCell ref="K961:S961"/>
    <mergeCell ref="C962:J962"/>
    <mergeCell ref="K962:S962"/>
    <mergeCell ref="I907:S907"/>
    <mergeCell ref="O952:Q952"/>
    <mergeCell ref="C954:N954"/>
    <mergeCell ref="O954:Q954"/>
    <mergeCell ref="C957:J957"/>
    <mergeCell ref="C958:F958"/>
    <mergeCell ref="C974:D974"/>
    <mergeCell ref="K974:L974"/>
    <mergeCell ref="M974:S974"/>
    <mergeCell ref="C975:D975"/>
    <mergeCell ref="E975:F975"/>
    <mergeCell ref="K975:L975"/>
    <mergeCell ref="M975:S975"/>
    <mergeCell ref="C969:S970"/>
    <mergeCell ref="C971:S971"/>
    <mergeCell ref="C972:D972"/>
    <mergeCell ref="E972:S972"/>
    <mergeCell ref="C973:D973"/>
    <mergeCell ref="E973:S973"/>
    <mergeCell ref="C977:S977"/>
    <mergeCell ref="D979:E979"/>
    <mergeCell ref="F979:H979"/>
    <mergeCell ref="I979:I980"/>
    <mergeCell ref="J979:K980"/>
    <mergeCell ref="L979:Q979"/>
    <mergeCell ref="R979:S979"/>
    <mergeCell ref="D980:E980"/>
    <mergeCell ref="F980:H980"/>
    <mergeCell ref="C1033:F1033"/>
    <mergeCell ref="C1034:J1034"/>
    <mergeCell ref="K1034:S1034"/>
    <mergeCell ref="C1035:J1035"/>
    <mergeCell ref="K1035:S1035"/>
    <mergeCell ref="C1036:J1036"/>
    <mergeCell ref="K1036:S1036"/>
    <mergeCell ref="I981:S981"/>
    <mergeCell ref="O1026:Q1026"/>
    <mergeCell ref="C1028:N1028"/>
    <mergeCell ref="O1028:Q1028"/>
    <mergeCell ref="C1031:J1031"/>
    <mergeCell ref="C1032:F1032"/>
    <mergeCell ref="C1048:D1048"/>
    <mergeCell ref="K1048:L1048"/>
    <mergeCell ref="M1048:S1048"/>
    <mergeCell ref="C1049:D1049"/>
    <mergeCell ref="E1049:F1049"/>
    <mergeCell ref="K1049:L1049"/>
    <mergeCell ref="M1049:S1049"/>
    <mergeCell ref="C1043:S1044"/>
    <mergeCell ref="C1045:S1045"/>
    <mergeCell ref="C1046:D1046"/>
    <mergeCell ref="E1046:S1046"/>
    <mergeCell ref="C1047:D1047"/>
    <mergeCell ref="E1047:S1047"/>
    <mergeCell ref="C1051:S1051"/>
    <mergeCell ref="D1053:E1053"/>
    <mergeCell ref="F1053:H1053"/>
    <mergeCell ref="I1053:I1054"/>
    <mergeCell ref="J1053:K1054"/>
    <mergeCell ref="L1053:Q1053"/>
    <mergeCell ref="R1053:S1053"/>
    <mergeCell ref="D1054:E1054"/>
    <mergeCell ref="F1054:H1054"/>
    <mergeCell ref="C1107:F1107"/>
    <mergeCell ref="C1108:J1108"/>
    <mergeCell ref="K1108:S1108"/>
    <mergeCell ref="C1109:J1109"/>
    <mergeCell ref="K1109:S1109"/>
    <mergeCell ref="C1110:J1110"/>
    <mergeCell ref="K1110:S1110"/>
    <mergeCell ref="I1055:S1055"/>
    <mergeCell ref="O1100:Q1100"/>
    <mergeCell ref="C1102:N1102"/>
    <mergeCell ref="O1102:Q1102"/>
    <mergeCell ref="C1105:J1105"/>
    <mergeCell ref="C1106:F1106"/>
    <mergeCell ref="C1122:D1122"/>
    <mergeCell ref="K1122:L1122"/>
    <mergeCell ref="M1122:S1122"/>
    <mergeCell ref="C1123:D1123"/>
    <mergeCell ref="E1123:F1123"/>
    <mergeCell ref="K1123:L1123"/>
    <mergeCell ref="M1123:S1123"/>
    <mergeCell ref="C1117:S1118"/>
    <mergeCell ref="C1119:S1119"/>
    <mergeCell ref="C1120:D1120"/>
    <mergeCell ref="E1120:S1120"/>
    <mergeCell ref="C1121:D1121"/>
    <mergeCell ref="E1121:S1121"/>
    <mergeCell ref="C1125:S1125"/>
    <mergeCell ref="D1127:E1127"/>
    <mergeCell ref="F1127:H1127"/>
    <mergeCell ref="I1127:I1128"/>
    <mergeCell ref="J1127:K1128"/>
    <mergeCell ref="L1127:Q1127"/>
    <mergeCell ref="R1127:S1127"/>
    <mergeCell ref="D1128:E1128"/>
    <mergeCell ref="F1128:H1128"/>
    <mergeCell ref="C1181:F1181"/>
    <mergeCell ref="C1182:J1182"/>
    <mergeCell ref="K1182:S1182"/>
    <mergeCell ref="C1183:J1183"/>
    <mergeCell ref="K1183:S1183"/>
    <mergeCell ref="C1184:J1184"/>
    <mergeCell ref="K1184:S1184"/>
    <mergeCell ref="I1129:S1129"/>
    <mergeCell ref="O1174:Q1174"/>
    <mergeCell ref="C1176:N1176"/>
    <mergeCell ref="O1176:Q1176"/>
    <mergeCell ref="C1179:J1179"/>
    <mergeCell ref="C1180:F1180"/>
    <mergeCell ref="C1196:D1196"/>
    <mergeCell ref="K1196:L1196"/>
    <mergeCell ref="M1196:S1196"/>
    <mergeCell ref="C1197:D1197"/>
    <mergeCell ref="E1197:F1197"/>
    <mergeCell ref="K1197:L1197"/>
    <mergeCell ref="M1197:S1197"/>
    <mergeCell ref="C1191:S1192"/>
    <mergeCell ref="C1193:S1193"/>
    <mergeCell ref="C1194:D1194"/>
    <mergeCell ref="E1194:S1194"/>
    <mergeCell ref="C1195:D1195"/>
    <mergeCell ref="E1195:S1195"/>
    <mergeCell ref="C1199:S1199"/>
    <mergeCell ref="D1201:E1201"/>
    <mergeCell ref="F1201:H1201"/>
    <mergeCell ref="I1201:I1202"/>
    <mergeCell ref="J1201:K1202"/>
    <mergeCell ref="L1201:Q1201"/>
    <mergeCell ref="R1201:S1201"/>
    <mergeCell ref="D1202:E1202"/>
    <mergeCell ref="F1202:H1202"/>
    <mergeCell ref="C1255:F1255"/>
    <mergeCell ref="C1256:J1256"/>
    <mergeCell ref="K1256:S1256"/>
    <mergeCell ref="C1257:J1257"/>
    <mergeCell ref="K1257:S1257"/>
    <mergeCell ref="C1258:J1258"/>
    <mergeCell ref="K1258:S1258"/>
    <mergeCell ref="I1203:S1203"/>
    <mergeCell ref="O1248:Q1248"/>
    <mergeCell ref="C1250:N1250"/>
    <mergeCell ref="O1250:Q1250"/>
    <mergeCell ref="C1253:J1253"/>
    <mergeCell ref="C1254:F1254"/>
    <mergeCell ref="C1270:D1270"/>
    <mergeCell ref="K1270:L1270"/>
    <mergeCell ref="M1270:S1270"/>
    <mergeCell ref="C1271:D1271"/>
    <mergeCell ref="E1271:F1271"/>
    <mergeCell ref="K1271:L1271"/>
    <mergeCell ref="M1271:S1271"/>
    <mergeCell ref="C1265:S1266"/>
    <mergeCell ref="C1267:S1267"/>
    <mergeCell ref="C1268:D1268"/>
    <mergeCell ref="E1268:S1268"/>
    <mergeCell ref="C1269:D1269"/>
    <mergeCell ref="E1269:S1269"/>
    <mergeCell ref="C1273:S1273"/>
    <mergeCell ref="D1275:E1275"/>
    <mergeCell ref="F1275:H1275"/>
    <mergeCell ref="I1275:I1276"/>
    <mergeCell ref="J1275:K1276"/>
    <mergeCell ref="L1275:Q1275"/>
    <mergeCell ref="R1275:S1275"/>
    <mergeCell ref="D1276:E1276"/>
    <mergeCell ref="F1276:H1276"/>
    <mergeCell ref="C1329:F1329"/>
    <mergeCell ref="C1330:J1330"/>
    <mergeCell ref="K1330:S1330"/>
    <mergeCell ref="C1331:J1331"/>
    <mergeCell ref="K1331:S1331"/>
    <mergeCell ref="C1332:J1332"/>
    <mergeCell ref="K1332:S1332"/>
    <mergeCell ref="I1277:S1277"/>
    <mergeCell ref="O1322:Q1322"/>
    <mergeCell ref="C1324:N1324"/>
    <mergeCell ref="O1324:Q1324"/>
    <mergeCell ref="C1327:J1327"/>
    <mergeCell ref="C1328:F1328"/>
    <mergeCell ref="C1345:D1345"/>
    <mergeCell ref="K1345:L1345"/>
    <mergeCell ref="M1345:S1345"/>
    <mergeCell ref="C1346:D1346"/>
    <mergeCell ref="E1346:F1346"/>
    <mergeCell ref="K1346:L1346"/>
    <mergeCell ref="M1346:S1346"/>
    <mergeCell ref="C1340:S1341"/>
    <mergeCell ref="C1342:S1342"/>
    <mergeCell ref="C1343:D1343"/>
    <mergeCell ref="E1343:S1343"/>
    <mergeCell ref="C1344:D1344"/>
    <mergeCell ref="E1344:S1344"/>
    <mergeCell ref="C1348:S1348"/>
    <mergeCell ref="D1350:E1350"/>
    <mergeCell ref="F1350:H1350"/>
    <mergeCell ref="I1350:I1351"/>
    <mergeCell ref="J1350:K1351"/>
    <mergeCell ref="L1350:Q1350"/>
    <mergeCell ref="R1350:S1350"/>
    <mergeCell ref="D1351:E1351"/>
    <mergeCell ref="F1351:H1351"/>
    <mergeCell ref="C1404:F1404"/>
    <mergeCell ref="C1405:J1405"/>
    <mergeCell ref="K1405:S1405"/>
    <mergeCell ref="C1406:J1406"/>
    <mergeCell ref="K1406:S1406"/>
    <mergeCell ref="C1407:J1407"/>
    <mergeCell ref="K1407:S1407"/>
    <mergeCell ref="I1352:S1352"/>
    <mergeCell ref="O1397:Q1397"/>
    <mergeCell ref="C1399:N1399"/>
    <mergeCell ref="O1399:Q1399"/>
    <mergeCell ref="C1402:J1402"/>
    <mergeCell ref="C1403:F1403"/>
    <mergeCell ref="C1419:D1419"/>
    <mergeCell ref="K1419:L1419"/>
    <mergeCell ref="M1419:S1419"/>
    <mergeCell ref="C1420:D1420"/>
    <mergeCell ref="E1420:F1420"/>
    <mergeCell ref="K1420:L1420"/>
    <mergeCell ref="M1420:S1420"/>
    <mergeCell ref="C1414:S1415"/>
    <mergeCell ref="C1416:S1416"/>
    <mergeCell ref="C1417:D1417"/>
    <mergeCell ref="E1417:S1417"/>
    <mergeCell ref="C1418:D1418"/>
    <mergeCell ref="E1418:S1418"/>
    <mergeCell ref="C1422:S1422"/>
    <mergeCell ref="D1424:E1424"/>
    <mergeCell ref="F1424:H1424"/>
    <mergeCell ref="I1424:I1425"/>
    <mergeCell ref="J1424:K1425"/>
    <mergeCell ref="L1424:Q1424"/>
    <mergeCell ref="R1424:S1424"/>
    <mergeCell ref="D1425:E1425"/>
    <mergeCell ref="F1425:H1425"/>
    <mergeCell ref="C1478:F1478"/>
    <mergeCell ref="C1479:J1479"/>
    <mergeCell ref="K1479:S1479"/>
    <mergeCell ref="C1480:J1480"/>
    <mergeCell ref="K1480:S1480"/>
    <mergeCell ref="C1481:J1481"/>
    <mergeCell ref="K1481:S1481"/>
    <mergeCell ref="I1426:S1426"/>
    <mergeCell ref="O1471:Q1471"/>
    <mergeCell ref="C1473:N1473"/>
    <mergeCell ref="O1473:Q1473"/>
    <mergeCell ref="C1476:J1476"/>
    <mergeCell ref="C1477:F1477"/>
    <mergeCell ref="C1494:D1494"/>
    <mergeCell ref="K1494:L1494"/>
    <mergeCell ref="M1494:S1494"/>
    <mergeCell ref="C1495:D1495"/>
    <mergeCell ref="E1495:F1495"/>
    <mergeCell ref="K1495:L1495"/>
    <mergeCell ref="M1495:S1495"/>
    <mergeCell ref="C1489:S1490"/>
    <mergeCell ref="C1491:S1491"/>
    <mergeCell ref="C1492:D1492"/>
    <mergeCell ref="E1492:S1492"/>
    <mergeCell ref="C1493:D1493"/>
    <mergeCell ref="E1493:S1493"/>
    <mergeCell ref="C1497:S1497"/>
    <mergeCell ref="D1499:E1499"/>
    <mergeCell ref="F1499:H1499"/>
    <mergeCell ref="I1499:I1500"/>
    <mergeCell ref="J1499:K1500"/>
    <mergeCell ref="L1499:Q1499"/>
    <mergeCell ref="R1499:S1499"/>
    <mergeCell ref="D1500:E1500"/>
    <mergeCell ref="F1500:H1500"/>
    <mergeCell ref="C1553:F1553"/>
    <mergeCell ref="C1554:J1554"/>
    <mergeCell ref="K1554:S1554"/>
    <mergeCell ref="C1555:J1555"/>
    <mergeCell ref="K1555:S1555"/>
    <mergeCell ref="C1556:J1556"/>
    <mergeCell ref="K1556:S1556"/>
    <mergeCell ref="I1501:S1501"/>
    <mergeCell ref="O1546:Q1546"/>
    <mergeCell ref="C1548:N1548"/>
    <mergeCell ref="O1548:Q1548"/>
    <mergeCell ref="C1551:J1551"/>
    <mergeCell ref="C1552:F1552"/>
    <mergeCell ref="C1568:D1568"/>
    <mergeCell ref="K1568:L1568"/>
    <mergeCell ref="M1568:S1568"/>
    <mergeCell ref="C1569:D1569"/>
    <mergeCell ref="E1569:F1569"/>
    <mergeCell ref="K1569:L1569"/>
    <mergeCell ref="M1569:S1569"/>
    <mergeCell ref="C1563:S1564"/>
    <mergeCell ref="C1565:S1565"/>
    <mergeCell ref="C1566:D1566"/>
    <mergeCell ref="E1566:S1566"/>
    <mergeCell ref="C1567:D1567"/>
    <mergeCell ref="E1567:S1567"/>
    <mergeCell ref="C1571:S1571"/>
    <mergeCell ref="D1573:E1573"/>
    <mergeCell ref="F1573:H1573"/>
    <mergeCell ref="I1573:I1574"/>
    <mergeCell ref="J1573:K1574"/>
    <mergeCell ref="L1573:Q1573"/>
    <mergeCell ref="R1573:S1573"/>
    <mergeCell ref="D1574:E1574"/>
    <mergeCell ref="F1574:H1574"/>
    <mergeCell ref="C1627:F1627"/>
    <mergeCell ref="C1628:J1628"/>
    <mergeCell ref="K1628:S1628"/>
    <mergeCell ref="C1629:J1629"/>
    <mergeCell ref="K1629:S1629"/>
    <mergeCell ref="C1630:J1630"/>
    <mergeCell ref="K1630:S1630"/>
    <mergeCell ref="I1575:S1575"/>
    <mergeCell ref="O1620:Q1620"/>
    <mergeCell ref="C1622:N1622"/>
    <mergeCell ref="O1622:Q1622"/>
    <mergeCell ref="C1625:J1625"/>
    <mergeCell ref="C1626:F1626"/>
    <mergeCell ref="C1642:D1642"/>
    <mergeCell ref="K1642:L1642"/>
    <mergeCell ref="M1642:S1642"/>
    <mergeCell ref="C1643:D1643"/>
    <mergeCell ref="E1643:F1643"/>
    <mergeCell ref="K1643:L1643"/>
    <mergeCell ref="M1643:S1643"/>
    <mergeCell ref="C1637:S1638"/>
    <mergeCell ref="C1639:S1639"/>
    <mergeCell ref="C1640:D1640"/>
    <mergeCell ref="E1640:S1640"/>
    <mergeCell ref="C1641:D1641"/>
    <mergeCell ref="E1641:S1641"/>
    <mergeCell ref="C1645:S1645"/>
    <mergeCell ref="D1647:E1647"/>
    <mergeCell ref="F1647:H1647"/>
    <mergeCell ref="I1647:I1648"/>
    <mergeCell ref="J1647:K1648"/>
    <mergeCell ref="L1647:Q1647"/>
    <mergeCell ref="R1647:S1647"/>
    <mergeCell ref="D1648:E1648"/>
    <mergeCell ref="F1648:H1648"/>
    <mergeCell ref="C1701:F1701"/>
    <mergeCell ref="C1702:J1702"/>
    <mergeCell ref="K1702:S1702"/>
    <mergeCell ref="C1703:J1703"/>
    <mergeCell ref="K1703:S1703"/>
    <mergeCell ref="C1704:J1704"/>
    <mergeCell ref="K1704:S1704"/>
    <mergeCell ref="I1649:S1649"/>
    <mergeCell ref="O1694:Q1694"/>
    <mergeCell ref="C1696:N1696"/>
    <mergeCell ref="O1696:Q1696"/>
    <mergeCell ref="C1699:J1699"/>
    <mergeCell ref="C1700:F1700"/>
    <mergeCell ref="C1716:D1716"/>
    <mergeCell ref="K1716:L1716"/>
    <mergeCell ref="M1716:S1716"/>
    <mergeCell ref="C1717:D1717"/>
    <mergeCell ref="E1717:F1717"/>
    <mergeCell ref="K1717:L1717"/>
    <mergeCell ref="M1717:S1717"/>
    <mergeCell ref="C1711:S1712"/>
    <mergeCell ref="C1713:S1713"/>
    <mergeCell ref="C1714:D1714"/>
    <mergeCell ref="E1714:S1714"/>
    <mergeCell ref="C1715:D1715"/>
    <mergeCell ref="E1715:S1715"/>
    <mergeCell ref="C1719:S1719"/>
    <mergeCell ref="D1721:E1721"/>
    <mergeCell ref="F1721:H1721"/>
    <mergeCell ref="I1721:I1722"/>
    <mergeCell ref="J1721:K1722"/>
    <mergeCell ref="L1721:Q1721"/>
    <mergeCell ref="R1721:S1721"/>
    <mergeCell ref="D1722:E1722"/>
    <mergeCell ref="F1722:H1722"/>
    <mergeCell ref="C1775:F1775"/>
    <mergeCell ref="C1776:J1776"/>
    <mergeCell ref="K1776:S1776"/>
    <mergeCell ref="C1777:J1777"/>
    <mergeCell ref="K1777:S1777"/>
    <mergeCell ref="C1778:J1778"/>
    <mergeCell ref="K1778:S1778"/>
    <mergeCell ref="I1723:S1723"/>
    <mergeCell ref="O1768:Q1768"/>
    <mergeCell ref="C1770:N1770"/>
    <mergeCell ref="O1770:Q1770"/>
    <mergeCell ref="C1773:J1773"/>
    <mergeCell ref="C1774:F1774"/>
    <mergeCell ref="C1790:D1790"/>
    <mergeCell ref="K1790:L1790"/>
    <mergeCell ref="M1790:S1790"/>
    <mergeCell ref="C1791:D1791"/>
    <mergeCell ref="E1791:F1791"/>
    <mergeCell ref="K1791:L1791"/>
    <mergeCell ref="M1791:S1791"/>
    <mergeCell ref="C1785:S1786"/>
    <mergeCell ref="C1787:S1787"/>
    <mergeCell ref="C1788:D1788"/>
    <mergeCell ref="E1788:S1788"/>
    <mergeCell ref="C1789:D1789"/>
    <mergeCell ref="E1789:S1789"/>
    <mergeCell ref="C1793:S1793"/>
    <mergeCell ref="D1795:E1795"/>
    <mergeCell ref="F1795:H1795"/>
    <mergeCell ref="I1795:I1796"/>
    <mergeCell ref="J1795:K1796"/>
    <mergeCell ref="L1795:Q1795"/>
    <mergeCell ref="R1795:S1795"/>
    <mergeCell ref="D1796:E1796"/>
    <mergeCell ref="F1796:H1796"/>
    <mergeCell ref="C1849:F1849"/>
    <mergeCell ref="C1850:J1850"/>
    <mergeCell ref="K1850:S1850"/>
    <mergeCell ref="C1851:J1851"/>
    <mergeCell ref="K1851:S1851"/>
    <mergeCell ref="C1852:J1852"/>
    <mergeCell ref="K1852:S1852"/>
    <mergeCell ref="I1797:S1797"/>
    <mergeCell ref="O1842:Q1842"/>
    <mergeCell ref="C1844:N1844"/>
    <mergeCell ref="O1844:Q1844"/>
    <mergeCell ref="C1847:J1847"/>
    <mergeCell ref="C1848:F1848"/>
    <mergeCell ref="C1864:D1864"/>
    <mergeCell ref="K1864:L1864"/>
    <mergeCell ref="M1864:S1864"/>
    <mergeCell ref="C1865:D1865"/>
    <mergeCell ref="E1865:F1865"/>
    <mergeCell ref="K1865:L1865"/>
    <mergeCell ref="M1865:S1865"/>
    <mergeCell ref="C1859:S1860"/>
    <mergeCell ref="C1861:S1861"/>
    <mergeCell ref="C1862:D1862"/>
    <mergeCell ref="E1862:S1862"/>
    <mergeCell ref="C1863:D1863"/>
    <mergeCell ref="E1863:S1863"/>
    <mergeCell ref="C1867:S1867"/>
    <mergeCell ref="D1869:E1869"/>
    <mergeCell ref="F1869:H1869"/>
    <mergeCell ref="I1869:I1870"/>
    <mergeCell ref="J1869:K1870"/>
    <mergeCell ref="L1869:Q1869"/>
    <mergeCell ref="R1869:S1869"/>
    <mergeCell ref="D1870:E1870"/>
    <mergeCell ref="F1870:H1870"/>
    <mergeCell ref="C1923:F1923"/>
    <mergeCell ref="C1924:J1924"/>
    <mergeCell ref="K1924:S1924"/>
    <mergeCell ref="C1925:J1925"/>
    <mergeCell ref="K1925:S1925"/>
    <mergeCell ref="C1926:J1926"/>
    <mergeCell ref="K1926:S1926"/>
    <mergeCell ref="I1871:S1871"/>
    <mergeCell ref="O1916:Q1916"/>
    <mergeCell ref="C1918:N1918"/>
    <mergeCell ref="O1918:Q1918"/>
    <mergeCell ref="C1921:J1921"/>
    <mergeCell ref="C1922:F1922"/>
    <mergeCell ref="C1939:D1939"/>
    <mergeCell ref="K1939:L1939"/>
    <mergeCell ref="M1939:S1939"/>
    <mergeCell ref="C1940:D1940"/>
    <mergeCell ref="E1940:F1940"/>
    <mergeCell ref="K1940:L1940"/>
    <mergeCell ref="M1940:S1940"/>
    <mergeCell ref="C1934:S1935"/>
    <mergeCell ref="C1936:S1936"/>
    <mergeCell ref="C1937:D1937"/>
    <mergeCell ref="E1937:S1937"/>
    <mergeCell ref="C1938:D1938"/>
    <mergeCell ref="E1938:S1938"/>
    <mergeCell ref="X1870:X1871"/>
    <mergeCell ref="X1869:Y1869"/>
    <mergeCell ref="C1998:F1998"/>
    <mergeCell ref="C1999:J1999"/>
    <mergeCell ref="K1999:S1999"/>
    <mergeCell ref="C2000:J2000"/>
    <mergeCell ref="K2000:S2000"/>
    <mergeCell ref="C2001:J2001"/>
    <mergeCell ref="K2001:S2001"/>
    <mergeCell ref="I1946:S1946"/>
    <mergeCell ref="O1991:Q1991"/>
    <mergeCell ref="C1993:N1993"/>
    <mergeCell ref="O1993:Q1993"/>
    <mergeCell ref="C1996:J1996"/>
    <mergeCell ref="C1997:F1997"/>
    <mergeCell ref="C1942:S1942"/>
    <mergeCell ref="D1944:E1944"/>
    <mergeCell ref="F1944:H1944"/>
    <mergeCell ref="I1944:I1945"/>
    <mergeCell ref="J1944:K1945"/>
    <mergeCell ref="L1944:Q1944"/>
    <mergeCell ref="R1944:S1944"/>
    <mergeCell ref="D1945:E1945"/>
    <mergeCell ref="F1945:H1945"/>
  </mergeCells>
  <conditionalFormatting sqref="U241:U283">
    <cfRule type="colorScale" priority="4">
      <colorScale>
        <cfvo type="min"/>
        <cfvo type="percentile" val="50"/>
        <cfvo type="max"/>
        <color rgb="FF63BE7B"/>
        <color rgb="FFFFEB84"/>
        <color rgb="FFF8696B"/>
      </colorScale>
    </cfRule>
  </conditionalFormatting>
  <conditionalFormatting sqref="U315:U358">
    <cfRule type="colorScale" priority="5">
      <colorScale>
        <cfvo type="min"/>
        <cfvo type="percentile" val="50"/>
        <cfvo type="max"/>
        <color rgb="FF63BE7B"/>
        <color rgb="FFFFEB84"/>
        <color rgb="FFF8696B"/>
      </colorScale>
    </cfRule>
  </conditionalFormatting>
  <conditionalFormatting sqref="U982:U1024">
    <cfRule type="colorScale" priority="3">
      <colorScale>
        <cfvo type="min"/>
        <cfvo type="percentile" val="50"/>
        <cfvo type="max"/>
        <color rgb="FFF8696B"/>
        <color rgb="FFFFEB84"/>
        <color rgb="FF63BE7B"/>
      </colorScale>
    </cfRule>
  </conditionalFormatting>
  <conditionalFormatting sqref="AC1872:AC1914">
    <cfRule type="colorScale" priority="1">
      <colorScale>
        <cfvo type="min"/>
        <cfvo type="max"/>
        <color rgb="FFFCFCFF"/>
        <color rgb="FF63BE7B"/>
      </colorScale>
    </cfRule>
  </conditionalFormatting>
  <printOptions horizontalCentered="1"/>
  <pageMargins left="0.70866141732283472" right="0.70866141732283472" top="0.74803149606299213" bottom="0.74803149606299213" header="0.31496062992125984" footer="0.31496062992125984"/>
  <pageSetup scale="39" fitToHeight="0" orientation="portrait" r:id="rId1"/>
  <rowBreaks count="25" manualBreakCount="25">
    <brk id="75" min="1" max="19" man="1"/>
    <brk id="150" min="1" max="19" man="1"/>
    <brk id="224" min="1" max="19" man="1"/>
    <brk id="299" min="1" max="19" man="1"/>
    <brk id="373" min="1" max="19" man="1"/>
    <brk id="447" min="1" max="19" man="1"/>
    <brk id="521" min="1" max="19" man="1"/>
    <brk id="595" min="1" max="19" man="1"/>
    <brk id="669" min="1" max="19" man="1"/>
    <brk id="743" min="1" max="19" man="1"/>
    <brk id="817" min="1" max="19" man="1"/>
    <brk id="891" min="1" max="19" man="1"/>
    <brk id="965" min="1" max="19" man="1"/>
    <brk id="1039" min="1" max="19" man="1"/>
    <brk id="1113" min="1" max="19" man="1"/>
    <brk id="1187" min="1" max="19" man="1"/>
    <brk id="1261" min="1" max="19" man="1"/>
    <brk id="1335" min="1" max="19" man="1"/>
    <brk id="1410" min="1" max="19" man="1"/>
    <brk id="1484" min="1" max="19" man="1"/>
    <brk id="1559" min="1" max="19" man="1"/>
    <brk id="1633" min="1" max="19" man="1"/>
    <brk id="1707" min="1" max="19" man="1"/>
    <brk id="1781" min="1" max="19" man="1"/>
    <brk id="1855" min="1" max="1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EDD31D-51FB-42C6-A782-009ED6C152F4}">
  <sheetPr>
    <pageSetUpPr fitToPage="1"/>
  </sheetPr>
  <dimension ref="A2:AM1559"/>
  <sheetViews>
    <sheetView view="pageBreakPreview" topLeftCell="A1446" zoomScale="60" zoomScaleNormal="60" workbookViewId="0">
      <selection activeCell="Y1413" sqref="Y1413"/>
    </sheetView>
  </sheetViews>
  <sheetFormatPr baseColWidth="10" defaultColWidth="11.42578125" defaultRowHeight="12.75"/>
  <cols>
    <col min="1" max="1" width="11.42578125" style="383"/>
    <col min="2" max="2" width="19.140625" style="383" customWidth="1"/>
    <col min="3" max="3" width="9" style="383" customWidth="1"/>
    <col min="4" max="5" width="11.42578125" style="383"/>
    <col min="6" max="6" width="14" style="383" customWidth="1"/>
    <col min="7" max="9" width="11.42578125" style="383"/>
    <col min="10" max="10" width="18.85546875" style="383" customWidth="1"/>
    <col min="11" max="11" width="20.42578125" style="444" customWidth="1"/>
    <col min="12" max="19" width="11.42578125" style="383"/>
    <col min="20" max="20" width="16.7109375" style="383" customWidth="1"/>
    <col min="21" max="21" width="11.42578125" style="383" customWidth="1"/>
    <col min="22" max="16384" width="11.42578125" style="383"/>
  </cols>
  <sheetData>
    <row r="2" spans="4:23" ht="13.5" thickBot="1"/>
    <row r="3" spans="4:23">
      <c r="D3" s="384"/>
      <c r="E3" s="385"/>
      <c r="F3" s="385"/>
      <c r="G3" s="385"/>
      <c r="H3" s="385"/>
      <c r="I3" s="385"/>
      <c r="J3" s="385"/>
      <c r="K3" s="445"/>
      <c r="L3" s="385"/>
      <c r="M3" s="385"/>
      <c r="N3" s="385"/>
      <c r="O3" s="385"/>
      <c r="P3" s="385"/>
      <c r="Q3" s="385"/>
      <c r="R3" s="385"/>
      <c r="S3" s="385"/>
      <c r="T3" s="386"/>
    </row>
    <row r="4" spans="4:23" ht="117" customHeight="1" thickBot="1">
      <c r="D4" s="387"/>
      <c r="E4" s="388"/>
      <c r="F4" s="388"/>
      <c r="G4" s="388"/>
      <c r="H4" s="388"/>
      <c r="I4" s="388"/>
      <c r="J4" s="388"/>
      <c r="K4" s="446"/>
      <c r="L4" s="388"/>
      <c r="M4" s="388"/>
      <c r="N4" s="388"/>
      <c r="O4" s="388"/>
      <c r="P4" s="388"/>
      <c r="Q4" s="388"/>
      <c r="R4" s="388"/>
      <c r="S4" s="388"/>
      <c r="T4" s="389"/>
    </row>
    <row r="5" spans="4:23">
      <c r="D5" s="592" t="str">
        <f>+[42]DATOS!C$7</f>
        <v>MEJORAMIENTO DE VIVIENDA CON ENFOQUE DIFERENCIAL PARA POBLACIÓN VULNERABLE EN EL MUNICIPIO DE CUBARÁ, BOYACÁ (2026).</v>
      </c>
      <c r="E5" s="593"/>
      <c r="F5" s="593"/>
      <c r="G5" s="593"/>
      <c r="H5" s="593"/>
      <c r="I5" s="593"/>
      <c r="J5" s="593"/>
      <c r="K5" s="593"/>
      <c r="L5" s="593"/>
      <c r="M5" s="593"/>
      <c r="N5" s="593"/>
      <c r="O5" s="593"/>
      <c r="P5" s="593"/>
      <c r="Q5" s="593"/>
      <c r="R5" s="593"/>
      <c r="S5" s="593"/>
      <c r="T5" s="594"/>
    </row>
    <row r="6" spans="4:23">
      <c r="D6" s="595"/>
      <c r="E6" s="596"/>
      <c r="F6" s="596"/>
      <c r="G6" s="596"/>
      <c r="H6" s="596"/>
      <c r="I6" s="596"/>
      <c r="J6" s="596"/>
      <c r="K6" s="596"/>
      <c r="L6" s="596"/>
      <c r="M6" s="596"/>
      <c r="N6" s="596"/>
      <c r="O6" s="596"/>
      <c r="P6" s="596"/>
      <c r="Q6" s="596"/>
      <c r="R6" s="596"/>
      <c r="S6" s="596"/>
      <c r="T6" s="597"/>
    </row>
    <row r="7" spans="4:23">
      <c r="D7" s="598" t="s">
        <v>371</v>
      </c>
      <c r="E7" s="599"/>
      <c r="F7" s="599"/>
      <c r="G7" s="599"/>
      <c r="H7" s="599"/>
      <c r="I7" s="599"/>
      <c r="J7" s="599"/>
      <c r="K7" s="599"/>
      <c r="L7" s="599"/>
      <c r="M7" s="599"/>
      <c r="N7" s="599"/>
      <c r="O7" s="599"/>
      <c r="P7" s="599"/>
      <c r="Q7" s="599"/>
      <c r="R7" s="599"/>
      <c r="S7" s="599"/>
      <c r="T7" s="600"/>
    </row>
    <row r="8" spans="4:23">
      <c r="D8" s="586" t="s">
        <v>372</v>
      </c>
      <c r="E8" s="587"/>
      <c r="F8" s="601" t="s">
        <v>373</v>
      </c>
      <c r="G8" s="601"/>
      <c r="H8" s="601"/>
      <c r="I8" s="601"/>
      <c r="J8" s="601"/>
      <c r="K8" s="601"/>
      <c r="L8" s="601"/>
      <c r="M8" s="601"/>
      <c r="N8" s="601"/>
      <c r="O8" s="601"/>
      <c r="P8" s="601"/>
      <c r="Q8" s="601"/>
      <c r="R8" s="601"/>
      <c r="S8" s="601"/>
      <c r="T8" s="602"/>
    </row>
    <row r="9" spans="4:23">
      <c r="D9" s="586" t="s">
        <v>374</v>
      </c>
      <c r="E9" s="587"/>
      <c r="F9" s="603" t="s">
        <v>375</v>
      </c>
      <c r="G9" s="604"/>
      <c r="H9" s="604"/>
      <c r="I9" s="604"/>
      <c r="J9" s="604"/>
      <c r="K9" s="604"/>
      <c r="L9" s="604"/>
      <c r="M9" s="604"/>
      <c r="N9" s="604"/>
      <c r="O9" s="604"/>
      <c r="P9" s="604"/>
      <c r="Q9" s="604"/>
      <c r="R9" s="604"/>
      <c r="S9" s="604"/>
      <c r="T9" s="605"/>
    </row>
    <row r="10" spans="4:23">
      <c r="D10" s="586" t="s">
        <v>376</v>
      </c>
      <c r="E10" s="587"/>
      <c r="F10" s="390">
        <f>+[42]DATOS!F$5</f>
        <v>46143</v>
      </c>
      <c r="G10" s="391"/>
      <c r="H10" s="391"/>
      <c r="I10" s="391"/>
      <c r="J10" s="391"/>
      <c r="K10" s="391"/>
      <c r="L10" s="568" t="s">
        <v>377</v>
      </c>
      <c r="M10" s="568"/>
      <c r="N10" s="588" t="s">
        <v>378</v>
      </c>
      <c r="O10" s="588"/>
      <c r="P10" s="588"/>
      <c r="Q10" s="588"/>
      <c r="R10" s="588"/>
      <c r="S10" s="588"/>
      <c r="T10" s="589"/>
    </row>
    <row r="11" spans="4:23" ht="25.5">
      <c r="D11" s="586" t="s">
        <v>379</v>
      </c>
      <c r="E11" s="587"/>
      <c r="F11" s="590" t="s">
        <v>380</v>
      </c>
      <c r="G11" s="591"/>
      <c r="H11" s="392">
        <f>+[42]DATOS!E$5</f>
        <v>2026</v>
      </c>
      <c r="I11" s="393" t="s">
        <v>381</v>
      </c>
      <c r="J11" s="394">
        <f>+[42]DATOS!E$5</f>
        <v>2026</v>
      </c>
      <c r="K11" s="395"/>
      <c r="L11" s="568" t="s">
        <v>382</v>
      </c>
      <c r="M11" s="568"/>
      <c r="N11" s="588" t="s">
        <v>383</v>
      </c>
      <c r="O11" s="588"/>
      <c r="P11" s="588"/>
      <c r="Q11" s="588"/>
      <c r="R11" s="588"/>
      <c r="S11" s="588"/>
      <c r="T11" s="589"/>
    </row>
    <row r="12" spans="4:23">
      <c r="D12" s="396"/>
      <c r="E12" s="397"/>
      <c r="F12" s="397"/>
      <c r="G12" s="398"/>
      <c r="H12" s="398"/>
      <c r="I12" s="398"/>
      <c r="J12" s="398"/>
      <c r="K12" s="398"/>
      <c r="L12" s="398"/>
      <c r="M12" s="398"/>
      <c r="N12" s="398"/>
      <c r="O12" s="398"/>
      <c r="P12" s="398"/>
      <c r="Q12" s="398"/>
      <c r="R12" s="398"/>
      <c r="S12" s="398"/>
      <c r="T12" s="399"/>
    </row>
    <row r="13" spans="4:23">
      <c r="D13" s="572" t="s">
        <v>384</v>
      </c>
      <c r="E13" s="573"/>
      <c r="F13" s="573"/>
      <c r="G13" s="573"/>
      <c r="H13" s="573"/>
      <c r="I13" s="573"/>
      <c r="J13" s="573"/>
      <c r="K13" s="573"/>
      <c r="L13" s="573"/>
      <c r="M13" s="573"/>
      <c r="N13" s="573"/>
      <c r="O13" s="573"/>
      <c r="P13" s="573"/>
      <c r="Q13" s="573"/>
      <c r="R13" s="573"/>
      <c r="S13" s="573"/>
      <c r="T13" s="574"/>
    </row>
    <row r="14" spans="4:23">
      <c r="D14" s="396"/>
      <c r="E14" s="397"/>
      <c r="F14" s="397"/>
      <c r="G14" s="398"/>
      <c r="H14" s="398"/>
      <c r="I14" s="398"/>
      <c r="J14" s="398"/>
      <c r="K14" s="398"/>
      <c r="L14" s="398"/>
      <c r="M14" s="398"/>
      <c r="N14" s="398"/>
      <c r="O14" s="398"/>
      <c r="P14" s="398"/>
      <c r="Q14" s="398"/>
      <c r="R14" s="398"/>
      <c r="S14" s="398"/>
      <c r="T14" s="399"/>
    </row>
    <row r="15" spans="4:23">
      <c r="D15" s="400" t="s">
        <v>385</v>
      </c>
      <c r="E15" s="575" t="s">
        <v>386</v>
      </c>
      <c r="F15" s="575"/>
      <c r="G15" s="576" t="s">
        <v>387</v>
      </c>
      <c r="H15" s="577"/>
      <c r="I15" s="577"/>
      <c r="J15" s="576" t="s">
        <v>388</v>
      </c>
      <c r="K15" s="576" t="s">
        <v>389</v>
      </c>
      <c r="L15" s="579"/>
      <c r="M15" s="581" t="s">
        <v>390</v>
      </c>
      <c r="N15" s="581"/>
      <c r="O15" s="581"/>
      <c r="P15" s="581"/>
      <c r="Q15" s="581"/>
      <c r="R15" s="581"/>
      <c r="S15" s="581" t="s">
        <v>391</v>
      </c>
      <c r="T15" s="582"/>
    </row>
    <row r="16" spans="4:23" ht="38.25">
      <c r="D16" s="403">
        <f>+'PRESUPUESTO OFICIAL '!C30</f>
        <v>2.0099999999999998</v>
      </c>
      <c r="E16" s="583" t="str">
        <f>+VLOOKUP(D16,'PRESUPUESTO OFICIAL '!$C$11:$H$103,2)</f>
        <v>SOLADO CONCRETO f'c = 2000 psi (14 MPa), ESPESOR 0.05 M</v>
      </c>
      <c r="F16" s="584"/>
      <c r="G16" s="585" t="str">
        <f>+VLOOKUP(D16,'PRESUPUESTO OFICIAL '!$C$11:$H$103,3)</f>
        <v>M2</v>
      </c>
      <c r="H16" s="585"/>
      <c r="I16" s="585"/>
      <c r="J16" s="578"/>
      <c r="K16" s="578"/>
      <c r="L16" s="580"/>
      <c r="M16" s="401" t="s">
        <v>392</v>
      </c>
      <c r="N16" s="401" t="s">
        <v>393</v>
      </c>
      <c r="O16" s="401" t="s">
        <v>394</v>
      </c>
      <c r="P16" s="401" t="s">
        <v>395</v>
      </c>
      <c r="Q16" s="401" t="s">
        <v>396</v>
      </c>
      <c r="R16" s="401" t="s">
        <v>397</v>
      </c>
      <c r="S16" s="401" t="s">
        <v>398</v>
      </c>
      <c r="T16" s="402" t="s">
        <v>399</v>
      </c>
      <c r="V16" s="404">
        <f>+D16</f>
        <v>2.0099999999999998</v>
      </c>
      <c r="W16" s="405">
        <f>+T64</f>
        <v>17.399999999999999</v>
      </c>
    </row>
    <row r="17" spans="1:39">
      <c r="D17" s="406"/>
      <c r="E17" s="407"/>
      <c r="F17" s="407"/>
      <c r="G17" s="407"/>
      <c r="H17" s="407"/>
      <c r="I17" s="407"/>
      <c r="J17" s="558"/>
      <c r="K17" s="559"/>
      <c r="L17" s="560"/>
      <c r="M17" s="560"/>
      <c r="N17" s="560"/>
      <c r="O17" s="560"/>
      <c r="P17" s="560"/>
      <c r="Q17" s="560"/>
      <c r="R17" s="560"/>
      <c r="S17" s="560"/>
      <c r="T17" s="561"/>
    </row>
    <row r="18" spans="1:39" ht="25.5">
      <c r="A18" s="453">
        <f>+D16</f>
        <v>2.0099999999999998</v>
      </c>
      <c r="B18" s="383">
        <v>1</v>
      </c>
      <c r="D18" s="406"/>
      <c r="E18" s="407"/>
      <c r="F18" s="407"/>
      <c r="G18" s="407"/>
      <c r="H18" s="407"/>
      <c r="I18" s="407"/>
      <c r="J18" s="408" t="s">
        <v>400</v>
      </c>
      <c r="K18" s="409" t="str">
        <f t="shared" ref="K18:K60" si="0">+VLOOKUP(L18,$AH$22:$AJ$58,2,)</f>
        <v>A=(Ancho x Largo)* Cant</v>
      </c>
      <c r="L18" s="410" t="str">
        <f>+G16</f>
        <v>M2</v>
      </c>
      <c r="M18" s="411">
        <f>+HLOOKUP(B18,[238]Hoja1!$2:$78,23,FALSE)</f>
        <v>1</v>
      </c>
      <c r="N18" s="412"/>
      <c r="O18" s="442">
        <v>0.5</v>
      </c>
      <c r="P18" s="442">
        <f>0.5*4</f>
        <v>2</v>
      </c>
      <c r="Q18" s="413"/>
      <c r="R18" s="413"/>
      <c r="S18" s="486">
        <f>IF(M18=0," ",1)</f>
        <v>1</v>
      </c>
      <c r="T18" s="414">
        <f>+S18*M18</f>
        <v>1</v>
      </c>
      <c r="Y18" s="439">
        <f t="shared" ref="Y18:Y39" si="1">+O18*P18</f>
        <v>1</v>
      </c>
    </row>
    <row r="19" spans="1:39" ht="25.5">
      <c r="A19" s="453">
        <f>+A18</f>
        <v>2.0099999999999998</v>
      </c>
      <c r="B19" s="383">
        <v>2</v>
      </c>
      <c r="D19" s="406"/>
      <c r="E19" s="407"/>
      <c r="F19" s="407"/>
      <c r="G19" s="407"/>
      <c r="H19" s="407"/>
      <c r="I19" s="407"/>
      <c r="J19" s="408" t="s">
        <v>401</v>
      </c>
      <c r="K19" s="409" t="str">
        <f t="shared" si="0"/>
        <v>A=(Ancho x Largo)* Cant</v>
      </c>
      <c r="L19" s="410" t="str">
        <f>+L18</f>
        <v>M2</v>
      </c>
      <c r="M19" s="411">
        <f>+HLOOKUP(B19,[238]Hoja1!$2:$78,23,FALSE)</f>
        <v>0</v>
      </c>
      <c r="N19" s="412"/>
      <c r="O19" s="442"/>
      <c r="P19" s="442"/>
      <c r="Q19" s="413"/>
      <c r="R19" s="413"/>
      <c r="S19" s="486"/>
      <c r="T19" s="414">
        <f t="shared" ref="T19:T60" si="2">+S19*M19</f>
        <v>0</v>
      </c>
      <c r="Y19" s="439">
        <f t="shared" si="1"/>
        <v>0</v>
      </c>
      <c r="Z19" s="439">
        <f t="shared" ref="Z19:Z39" si="3">+Y19 -M19</f>
        <v>0</v>
      </c>
    </row>
    <row r="20" spans="1:39" ht="25.5">
      <c r="A20" s="453">
        <f t="shared" ref="A20:A60" si="4">+A19</f>
        <v>2.0099999999999998</v>
      </c>
      <c r="B20" s="383">
        <v>3</v>
      </c>
      <c r="D20" s="406"/>
      <c r="E20" s="407"/>
      <c r="F20" s="407"/>
      <c r="G20" s="407"/>
      <c r="H20" s="407"/>
      <c r="I20" s="407"/>
      <c r="J20" s="408" t="s">
        <v>402</v>
      </c>
      <c r="K20" s="409" t="str">
        <f t="shared" si="0"/>
        <v>A=(Ancho x Largo)* Cant</v>
      </c>
      <c r="L20" s="410" t="str">
        <f>+L19</f>
        <v>M2</v>
      </c>
      <c r="M20" s="411">
        <f>+HLOOKUP(B20,[238]Hoja1!$2:$78,23,FALSE)</f>
        <v>0</v>
      </c>
      <c r="N20" s="412"/>
      <c r="O20" s="442"/>
      <c r="P20" s="442"/>
      <c r="Q20" s="413"/>
      <c r="R20" s="413"/>
      <c r="S20" s="486"/>
      <c r="T20" s="414">
        <f t="shared" si="2"/>
        <v>0</v>
      </c>
      <c r="Y20" s="439">
        <f t="shared" si="1"/>
        <v>0</v>
      </c>
      <c r="Z20" s="439">
        <f t="shared" si="3"/>
        <v>0</v>
      </c>
    </row>
    <row r="21" spans="1:39" ht="25.5">
      <c r="A21" s="453">
        <f t="shared" si="4"/>
        <v>2.0099999999999998</v>
      </c>
      <c r="B21" s="383">
        <v>4</v>
      </c>
      <c r="D21" s="406"/>
      <c r="E21" s="407"/>
      <c r="F21" s="407"/>
      <c r="G21" s="407"/>
      <c r="H21" s="407"/>
      <c r="I21" s="407"/>
      <c r="J21" s="408" t="s">
        <v>403</v>
      </c>
      <c r="K21" s="409" t="str">
        <f t="shared" si="0"/>
        <v>A=(Ancho x Largo)* Cant</v>
      </c>
      <c r="L21" s="410" t="str">
        <f>+L20</f>
        <v>M2</v>
      </c>
      <c r="M21" s="411">
        <f>+HLOOKUP(B21,[238]Hoja1!$2:$78,23,FALSE)</f>
        <v>0</v>
      </c>
      <c r="N21" s="412"/>
      <c r="O21" s="442"/>
      <c r="P21" s="442"/>
      <c r="Q21" s="413"/>
      <c r="R21" s="413"/>
      <c r="S21" s="486"/>
      <c r="T21" s="414">
        <f t="shared" si="2"/>
        <v>0</v>
      </c>
      <c r="Y21" s="439">
        <f t="shared" si="1"/>
        <v>0</v>
      </c>
      <c r="Z21" s="439">
        <f t="shared" si="3"/>
        <v>0</v>
      </c>
      <c r="AK21" s="415" t="s">
        <v>162</v>
      </c>
      <c r="AL21" s="415" t="s">
        <v>404</v>
      </c>
      <c r="AM21" s="415"/>
    </row>
    <row r="22" spans="1:39" ht="25.5">
      <c r="A22" s="453">
        <f t="shared" si="4"/>
        <v>2.0099999999999998</v>
      </c>
      <c r="B22" s="383">
        <v>5</v>
      </c>
      <c r="D22" s="406"/>
      <c r="E22" s="407"/>
      <c r="F22" s="407"/>
      <c r="G22" s="407"/>
      <c r="H22" s="407"/>
      <c r="I22" s="407"/>
      <c r="J22" s="408" t="s">
        <v>405</v>
      </c>
      <c r="K22" s="409" t="str">
        <f t="shared" si="0"/>
        <v>A=(Ancho x Largo)* Cant</v>
      </c>
      <c r="L22" s="410" t="str">
        <f>+L21</f>
        <v>M2</v>
      </c>
      <c r="M22" s="411">
        <f>+HLOOKUP(B22,[238]Hoja1!$2:$78,23,FALSE)</f>
        <v>0</v>
      </c>
      <c r="N22" s="412"/>
      <c r="O22" s="442"/>
      <c r="P22" s="442"/>
      <c r="Q22" s="413"/>
      <c r="R22" s="413"/>
      <c r="S22" s="486"/>
      <c r="T22" s="414">
        <f t="shared" si="2"/>
        <v>0</v>
      </c>
      <c r="Y22" s="439">
        <f t="shared" si="1"/>
        <v>0</v>
      </c>
      <c r="Z22" s="439">
        <f t="shared" si="3"/>
        <v>0</v>
      </c>
      <c r="AH22" s="416" t="s">
        <v>162</v>
      </c>
      <c r="AI22" s="416" t="s">
        <v>404</v>
      </c>
      <c r="AK22" s="415" t="s">
        <v>49</v>
      </c>
      <c r="AL22" s="415" t="s">
        <v>406</v>
      </c>
      <c r="AM22" s="415"/>
    </row>
    <row r="23" spans="1:39" ht="25.5">
      <c r="A23" s="453">
        <f t="shared" si="4"/>
        <v>2.0099999999999998</v>
      </c>
      <c r="B23" s="383">
        <v>6</v>
      </c>
      <c r="D23" s="406"/>
      <c r="E23" s="407"/>
      <c r="F23" s="407"/>
      <c r="G23" s="407"/>
      <c r="H23" s="407"/>
      <c r="I23" s="407"/>
      <c r="J23" s="408" t="s">
        <v>407</v>
      </c>
      <c r="K23" s="409" t="str">
        <f t="shared" si="0"/>
        <v>A=(Ancho x Largo)* Cant</v>
      </c>
      <c r="L23" s="410" t="str">
        <f>+L22</f>
        <v>M2</v>
      </c>
      <c r="M23" s="411">
        <f>+HLOOKUP(B23,[238]Hoja1!$2:$78,23,FALSE)</f>
        <v>0</v>
      </c>
      <c r="N23" s="412"/>
      <c r="O23" s="442"/>
      <c r="P23" s="442"/>
      <c r="Q23" s="413"/>
      <c r="R23" s="413"/>
      <c r="S23" s="486"/>
      <c r="T23" s="414">
        <f t="shared" si="2"/>
        <v>0</v>
      </c>
      <c r="Y23" s="439">
        <f t="shared" si="1"/>
        <v>0</v>
      </c>
      <c r="Z23" s="439">
        <f t="shared" si="3"/>
        <v>0</v>
      </c>
      <c r="AH23" s="416" t="s">
        <v>49</v>
      </c>
      <c r="AI23" s="416" t="s">
        <v>406</v>
      </c>
      <c r="AK23" s="415" t="s">
        <v>173</v>
      </c>
      <c r="AL23" s="415" t="s">
        <v>408</v>
      </c>
      <c r="AM23" s="415"/>
    </row>
    <row r="24" spans="1:39" ht="25.5">
      <c r="A24" s="453">
        <f t="shared" si="4"/>
        <v>2.0099999999999998</v>
      </c>
      <c r="B24" s="383">
        <v>7</v>
      </c>
      <c r="D24" s="406"/>
      <c r="E24" s="407"/>
      <c r="F24" s="407"/>
      <c r="G24" s="407"/>
      <c r="H24" s="407"/>
      <c r="I24" s="407"/>
      <c r="J24" s="408" t="s">
        <v>409</v>
      </c>
      <c r="K24" s="409" t="str">
        <f t="shared" si="0"/>
        <v>A=(Ancho x Largo)* Cant</v>
      </c>
      <c r="L24" s="410" t="str">
        <f>+L18</f>
        <v>M2</v>
      </c>
      <c r="M24" s="411">
        <f>+HLOOKUP(B24,[238]Hoja1!$2:$78,23,FALSE)</f>
        <v>0</v>
      </c>
      <c r="N24" s="412"/>
      <c r="O24" s="442"/>
      <c r="P24" s="442"/>
      <c r="Q24" s="413"/>
      <c r="R24" s="413"/>
      <c r="S24" s="486"/>
      <c r="T24" s="414">
        <f t="shared" si="2"/>
        <v>0</v>
      </c>
      <c r="Y24" s="439">
        <f t="shared" si="1"/>
        <v>0</v>
      </c>
      <c r="Z24" s="439">
        <f t="shared" si="3"/>
        <v>0</v>
      </c>
      <c r="AH24" s="383" t="s">
        <v>173</v>
      </c>
      <c r="AI24" s="383" t="s">
        <v>408</v>
      </c>
      <c r="AK24" s="415" t="s">
        <v>156</v>
      </c>
      <c r="AL24" s="415" t="s">
        <v>410</v>
      </c>
      <c r="AM24" s="415"/>
    </row>
    <row r="25" spans="1:39" ht="25.5">
      <c r="A25" s="453">
        <f t="shared" si="4"/>
        <v>2.0099999999999998</v>
      </c>
      <c r="B25" s="383">
        <v>8</v>
      </c>
      <c r="D25" s="406"/>
      <c r="E25" s="407"/>
      <c r="F25" s="407"/>
      <c r="G25" s="407"/>
      <c r="H25" s="407"/>
      <c r="I25" s="407"/>
      <c r="J25" s="408" t="s">
        <v>411</v>
      </c>
      <c r="K25" s="409" t="str">
        <f t="shared" si="0"/>
        <v>A=(Ancho x Largo)* Cant</v>
      </c>
      <c r="L25" s="410" t="str">
        <f>+L24</f>
        <v>M2</v>
      </c>
      <c r="M25" s="411">
        <f>+HLOOKUP(B25,[238]Hoja1!$2:$78,23,FALSE)</f>
        <v>3.6599999999999997</v>
      </c>
      <c r="N25" s="412"/>
      <c r="O25" s="442">
        <f>+M25/0.3</f>
        <v>12.2</v>
      </c>
      <c r="P25" s="442">
        <v>0.3</v>
      </c>
      <c r="Q25" s="413"/>
      <c r="R25" s="413"/>
      <c r="S25" s="486">
        <f t="shared" ref="S25:S48" si="5">IF(M25=0,"0",1)</f>
        <v>1</v>
      </c>
      <c r="T25" s="414">
        <f t="shared" si="2"/>
        <v>3.6599999999999997</v>
      </c>
      <c r="Y25" s="439">
        <f t="shared" si="1"/>
        <v>3.6599999999999997</v>
      </c>
      <c r="Z25" s="439">
        <f t="shared" si="3"/>
        <v>0</v>
      </c>
      <c r="AH25" s="383" t="s">
        <v>156</v>
      </c>
      <c r="AI25" s="383" t="s">
        <v>410</v>
      </c>
    </row>
    <row r="26" spans="1:39" ht="25.5">
      <c r="A26" s="453">
        <f t="shared" si="4"/>
        <v>2.0099999999999998</v>
      </c>
      <c r="B26" s="383">
        <v>9</v>
      </c>
      <c r="D26" s="406"/>
      <c r="E26" s="407"/>
      <c r="F26" s="407"/>
      <c r="G26" s="407"/>
      <c r="H26" s="407"/>
      <c r="I26" s="407"/>
      <c r="J26" s="408" t="s">
        <v>412</v>
      </c>
      <c r="K26" s="409" t="str">
        <f t="shared" si="0"/>
        <v>A=(Ancho x Largo)* Cant</v>
      </c>
      <c r="L26" s="410" t="str">
        <f>+L25</f>
        <v>M2</v>
      </c>
      <c r="M26" s="411">
        <f>+HLOOKUP(B26,[238]Hoja1!$2:$78,23,FALSE)</f>
        <v>0</v>
      </c>
      <c r="N26" s="412"/>
      <c r="O26" s="442"/>
      <c r="P26" s="442"/>
      <c r="Q26" s="412"/>
      <c r="R26" s="412"/>
      <c r="S26" s="486"/>
      <c r="T26" s="414">
        <f t="shared" si="2"/>
        <v>0</v>
      </c>
      <c r="Y26" s="439">
        <f t="shared" si="1"/>
        <v>0</v>
      </c>
      <c r="Z26" s="439">
        <f t="shared" si="3"/>
        <v>0</v>
      </c>
      <c r="AH26" s="455" t="s">
        <v>50</v>
      </c>
      <c r="AI26" s="455" t="s">
        <v>458</v>
      </c>
    </row>
    <row r="27" spans="1:39" ht="25.5">
      <c r="A27" s="453">
        <f t="shared" si="4"/>
        <v>2.0099999999999998</v>
      </c>
      <c r="B27" s="383">
        <v>10</v>
      </c>
      <c r="D27" s="406"/>
      <c r="E27" s="407"/>
      <c r="F27" s="407"/>
      <c r="G27" s="407"/>
      <c r="H27" s="407"/>
      <c r="I27" s="407"/>
      <c r="J27" s="408" t="s">
        <v>413</v>
      </c>
      <c r="K27" s="409" t="str">
        <f t="shared" si="0"/>
        <v>A=(Ancho x Largo)* Cant</v>
      </c>
      <c r="L27" s="410" t="str">
        <f>+L26</f>
        <v>M2</v>
      </c>
      <c r="M27" s="411">
        <f>+HLOOKUP(B27,[238]Hoja1!$2:$78,23,FALSE)</f>
        <v>0</v>
      </c>
      <c r="N27" s="412"/>
      <c r="O27" s="441"/>
      <c r="P27" s="441"/>
      <c r="Q27" s="412"/>
      <c r="R27" s="412"/>
      <c r="S27" s="486"/>
      <c r="T27" s="414">
        <f t="shared" si="2"/>
        <v>0</v>
      </c>
      <c r="Y27" s="439">
        <f t="shared" si="1"/>
        <v>0</v>
      </c>
      <c r="Z27" s="439">
        <f t="shared" si="3"/>
        <v>0</v>
      </c>
    </row>
    <row r="28" spans="1:39" ht="25.5">
      <c r="A28" s="453">
        <f t="shared" si="4"/>
        <v>2.0099999999999998</v>
      </c>
      <c r="B28" s="383">
        <v>11</v>
      </c>
      <c r="D28" s="406"/>
      <c r="E28" s="407"/>
      <c r="F28" s="407"/>
      <c r="G28" s="407"/>
      <c r="H28" s="407"/>
      <c r="I28" s="407"/>
      <c r="J28" s="408" t="s">
        <v>414</v>
      </c>
      <c r="K28" s="409" t="str">
        <f t="shared" si="0"/>
        <v>A=(Ancho x Largo)* Cant</v>
      </c>
      <c r="L28" s="410" t="str">
        <f>+L27</f>
        <v>M2</v>
      </c>
      <c r="M28" s="411">
        <f>+HLOOKUP(B28,[238]Hoja1!$2:$78,23,FALSE)</f>
        <v>0</v>
      </c>
      <c r="N28" s="412"/>
      <c r="O28" s="443"/>
      <c r="P28" s="443"/>
      <c r="Q28" s="412"/>
      <c r="R28" s="412"/>
      <c r="S28" s="486"/>
      <c r="T28" s="414">
        <f t="shared" si="2"/>
        <v>0</v>
      </c>
      <c r="Y28" s="439">
        <f t="shared" si="1"/>
        <v>0</v>
      </c>
      <c r="Z28" s="439">
        <f t="shared" si="3"/>
        <v>0</v>
      </c>
    </row>
    <row r="29" spans="1:39" ht="25.5">
      <c r="A29" s="453">
        <f t="shared" si="4"/>
        <v>2.0099999999999998</v>
      </c>
      <c r="B29" s="383">
        <v>12</v>
      </c>
      <c r="D29" s="406"/>
      <c r="E29" s="407"/>
      <c r="F29" s="407"/>
      <c r="G29" s="407"/>
      <c r="H29" s="407"/>
      <c r="I29" s="407"/>
      <c r="J29" s="408" t="s">
        <v>415</v>
      </c>
      <c r="K29" s="409" t="str">
        <f t="shared" si="0"/>
        <v>A=(Ancho x Largo)* Cant</v>
      </c>
      <c r="L29" s="410" t="str">
        <f>+L23</f>
        <v>M2</v>
      </c>
      <c r="M29" s="411">
        <f>+HLOOKUP(B29,[238]Hoja1!$2:$78,23,FALSE)</f>
        <v>0</v>
      </c>
      <c r="N29" s="412"/>
      <c r="O29" s="442"/>
      <c r="P29" s="442"/>
      <c r="Q29" s="413"/>
      <c r="R29" s="413"/>
      <c r="S29" s="486"/>
      <c r="T29" s="414">
        <f t="shared" si="2"/>
        <v>0</v>
      </c>
      <c r="Y29" s="439">
        <f t="shared" si="1"/>
        <v>0</v>
      </c>
      <c r="Z29" s="439">
        <f t="shared" si="3"/>
        <v>0</v>
      </c>
      <c r="AH29" s="383" t="s">
        <v>173</v>
      </c>
      <c r="AI29" s="383" t="s">
        <v>408</v>
      </c>
      <c r="AK29" s="415" t="s">
        <v>156</v>
      </c>
      <c r="AL29" s="415" t="s">
        <v>410</v>
      </c>
      <c r="AM29" s="415"/>
    </row>
    <row r="30" spans="1:39" ht="25.5">
      <c r="A30" s="453">
        <f t="shared" si="4"/>
        <v>2.0099999999999998</v>
      </c>
      <c r="B30" s="383">
        <v>13</v>
      </c>
      <c r="D30" s="406"/>
      <c r="E30" s="407"/>
      <c r="F30" s="407"/>
      <c r="G30" s="407"/>
      <c r="H30" s="407"/>
      <c r="I30" s="407"/>
      <c r="J30" s="408" t="s">
        <v>416</v>
      </c>
      <c r="K30" s="409" t="str">
        <f t="shared" si="0"/>
        <v>A=(Ancho x Largo)* Cant</v>
      </c>
      <c r="L30" s="410" t="str">
        <f>+L25</f>
        <v>M2</v>
      </c>
      <c r="M30" s="411">
        <f>+HLOOKUP(B30,[238]Hoja1!$2:$78,23,FALSE)</f>
        <v>0</v>
      </c>
      <c r="N30" s="412"/>
      <c r="O30" s="442"/>
      <c r="P30" s="442"/>
      <c r="Q30" s="413"/>
      <c r="R30" s="413"/>
      <c r="S30" s="486"/>
      <c r="T30" s="414">
        <f t="shared" si="2"/>
        <v>0</v>
      </c>
      <c r="Y30" s="439">
        <f t="shared" si="1"/>
        <v>0</v>
      </c>
      <c r="Z30" s="439">
        <f t="shared" si="3"/>
        <v>0</v>
      </c>
      <c r="AH30" s="383" t="s">
        <v>156</v>
      </c>
      <c r="AI30" s="383" t="s">
        <v>410</v>
      </c>
    </row>
    <row r="31" spans="1:39" ht="25.5">
      <c r="A31" s="453">
        <f t="shared" si="4"/>
        <v>2.0099999999999998</v>
      </c>
      <c r="B31" s="383">
        <v>14</v>
      </c>
      <c r="D31" s="406"/>
      <c r="E31" s="407"/>
      <c r="F31" s="407"/>
      <c r="G31" s="407"/>
      <c r="H31" s="407"/>
      <c r="I31" s="407"/>
      <c r="J31" s="408" t="s">
        <v>417</v>
      </c>
      <c r="K31" s="409" t="str">
        <f t="shared" si="0"/>
        <v>A=(Ancho x Largo)* Cant</v>
      </c>
      <c r="L31" s="410" t="str">
        <f>+L30</f>
        <v>M2</v>
      </c>
      <c r="M31" s="411">
        <f>+HLOOKUP(B31,[238]Hoja1!$2:$78,23,FALSE)</f>
        <v>0</v>
      </c>
      <c r="N31" s="412"/>
      <c r="O31" s="442"/>
      <c r="P31" s="442"/>
      <c r="Q31" s="412"/>
      <c r="R31" s="412"/>
      <c r="S31" s="486"/>
      <c r="T31" s="414">
        <f t="shared" si="2"/>
        <v>0</v>
      </c>
      <c r="Y31" s="439">
        <f t="shared" si="1"/>
        <v>0</v>
      </c>
      <c r="Z31" s="439">
        <f t="shared" si="3"/>
        <v>0</v>
      </c>
    </row>
    <row r="32" spans="1:39" ht="25.5">
      <c r="A32" s="453">
        <f t="shared" si="4"/>
        <v>2.0099999999999998</v>
      </c>
      <c r="B32" s="383">
        <v>15</v>
      </c>
      <c r="D32" s="406"/>
      <c r="E32" s="407"/>
      <c r="F32" s="407"/>
      <c r="G32" s="407"/>
      <c r="H32" s="407"/>
      <c r="I32" s="407"/>
      <c r="J32" s="408" t="s">
        <v>418</v>
      </c>
      <c r="K32" s="409" t="str">
        <f t="shared" si="0"/>
        <v>A=(Ancho x Largo)* Cant</v>
      </c>
      <c r="L32" s="410" t="str">
        <f>+L31</f>
        <v>M2</v>
      </c>
      <c r="M32" s="411">
        <f>+HLOOKUP(B32,[238]Hoja1!$2:$78,23,FALSE)</f>
        <v>1.5</v>
      </c>
      <c r="N32" s="412"/>
      <c r="O32" s="442">
        <v>0.5</v>
      </c>
      <c r="P32" s="442">
        <f>0.5*6</f>
        <v>3</v>
      </c>
      <c r="Q32" s="412"/>
      <c r="R32" s="412"/>
      <c r="S32" s="486">
        <f t="shared" si="5"/>
        <v>1</v>
      </c>
      <c r="T32" s="414">
        <f t="shared" si="2"/>
        <v>1.5</v>
      </c>
      <c r="Y32" s="439">
        <f t="shared" si="1"/>
        <v>1.5</v>
      </c>
      <c r="Z32" s="439">
        <f t="shared" si="3"/>
        <v>0</v>
      </c>
    </row>
    <row r="33" spans="1:35" ht="25.5">
      <c r="A33" s="453">
        <f t="shared" si="4"/>
        <v>2.0099999999999998</v>
      </c>
      <c r="B33" s="383">
        <v>16</v>
      </c>
      <c r="D33" s="406"/>
      <c r="E33" s="407"/>
      <c r="F33" s="407"/>
      <c r="G33" s="407"/>
      <c r="H33" s="407"/>
      <c r="I33" s="407"/>
      <c r="J33" s="408" t="s">
        <v>419</v>
      </c>
      <c r="K33" s="409" t="str">
        <f t="shared" si="0"/>
        <v>A=(Ancho x Largo)* Cant</v>
      </c>
      <c r="L33" s="410" t="str">
        <f>+L32</f>
        <v>M2</v>
      </c>
      <c r="M33" s="411">
        <f>+HLOOKUP(B33,[238]Hoja1!$2:$78,23,FALSE)</f>
        <v>4.9679999999999991</v>
      </c>
      <c r="N33" s="412"/>
      <c r="O33" s="442">
        <v>0.3</v>
      </c>
      <c r="P33" s="442">
        <v>16.559999999999999</v>
      </c>
      <c r="Q33" s="412"/>
      <c r="R33" s="412"/>
      <c r="S33" s="486">
        <f t="shared" si="5"/>
        <v>1</v>
      </c>
      <c r="T33" s="414">
        <f t="shared" si="2"/>
        <v>4.9679999999999991</v>
      </c>
      <c r="Y33" s="439">
        <f t="shared" si="1"/>
        <v>4.9679999999999991</v>
      </c>
      <c r="Z33" s="439">
        <f t="shared" si="3"/>
        <v>0</v>
      </c>
    </row>
    <row r="34" spans="1:35" ht="25.5">
      <c r="A34" s="453">
        <f t="shared" si="4"/>
        <v>2.0099999999999998</v>
      </c>
      <c r="B34" s="383">
        <v>17</v>
      </c>
      <c r="D34" s="406"/>
      <c r="E34" s="407"/>
      <c r="F34" s="407"/>
      <c r="G34" s="407"/>
      <c r="H34" s="407"/>
      <c r="I34" s="407"/>
      <c r="J34" s="408" t="s">
        <v>420</v>
      </c>
      <c r="K34" s="409" t="str">
        <f t="shared" si="0"/>
        <v>A=(Ancho x Largo)* Cant</v>
      </c>
      <c r="L34" s="410" t="str">
        <f>+L33</f>
        <v>M2</v>
      </c>
      <c r="M34" s="411">
        <f>+HLOOKUP(B34,[238]Hoja1!$2:$78,23,FALSE)</f>
        <v>0</v>
      </c>
      <c r="N34" s="412"/>
      <c r="O34" s="442"/>
      <c r="P34" s="442"/>
      <c r="Q34" s="412"/>
      <c r="R34" s="412"/>
      <c r="S34" s="486"/>
      <c r="T34" s="414">
        <f t="shared" si="2"/>
        <v>0</v>
      </c>
      <c r="Y34" s="439">
        <f t="shared" si="1"/>
        <v>0</v>
      </c>
      <c r="Z34" s="439">
        <f t="shared" si="3"/>
        <v>0</v>
      </c>
    </row>
    <row r="35" spans="1:35" ht="25.5">
      <c r="A35" s="453">
        <f t="shared" si="4"/>
        <v>2.0099999999999998</v>
      </c>
      <c r="B35" s="383">
        <v>18</v>
      </c>
      <c r="D35" s="406"/>
      <c r="E35" s="407"/>
      <c r="F35" s="407"/>
      <c r="G35" s="407"/>
      <c r="H35" s="407"/>
      <c r="I35" s="407"/>
      <c r="J35" s="408" t="s">
        <v>429</v>
      </c>
      <c r="K35" s="409" t="str">
        <f t="shared" si="0"/>
        <v>A=(Ancho x Largo)* Cant</v>
      </c>
      <c r="L35" s="410" t="str">
        <f>+L34</f>
        <v>M2</v>
      </c>
      <c r="M35" s="411">
        <f>+HLOOKUP(B35,[238]Hoja1!$2:$78,23,FALSE)</f>
        <v>0</v>
      </c>
      <c r="N35" s="412"/>
      <c r="O35" s="442"/>
      <c r="P35" s="442"/>
      <c r="Q35" s="412"/>
      <c r="R35" s="412"/>
      <c r="S35" s="486"/>
      <c r="T35" s="414">
        <f t="shared" si="2"/>
        <v>0</v>
      </c>
      <c r="Y35" s="439">
        <f t="shared" si="1"/>
        <v>0</v>
      </c>
      <c r="Z35" s="439">
        <f t="shared" si="3"/>
        <v>0</v>
      </c>
    </row>
    <row r="36" spans="1:35" ht="25.5">
      <c r="A36" s="453">
        <f t="shared" si="4"/>
        <v>2.0099999999999998</v>
      </c>
      <c r="B36" s="383">
        <v>19</v>
      </c>
      <c r="D36" s="406"/>
      <c r="E36" s="407"/>
      <c r="F36" s="407"/>
      <c r="G36" s="407"/>
      <c r="H36" s="407"/>
      <c r="I36" s="407"/>
      <c r="J36" s="408" t="s">
        <v>430</v>
      </c>
      <c r="K36" s="409" t="str">
        <f t="shared" si="0"/>
        <v>A=(Ancho x Largo)* Cant</v>
      </c>
      <c r="L36" s="410" t="str">
        <f t="shared" ref="L36:L60" si="6">+L35</f>
        <v>M2</v>
      </c>
      <c r="M36" s="411">
        <f>+HLOOKUP(B36,[238]Hoja1!$2:$78,23,FALSE)</f>
        <v>0</v>
      </c>
      <c r="N36" s="412"/>
      <c r="O36" s="442"/>
      <c r="P36" s="442"/>
      <c r="Q36" s="412"/>
      <c r="R36" s="412"/>
      <c r="S36" s="486"/>
      <c r="T36" s="414">
        <f t="shared" si="2"/>
        <v>0</v>
      </c>
      <c r="Y36" s="439">
        <f t="shared" si="1"/>
        <v>0</v>
      </c>
      <c r="Z36" s="439">
        <f t="shared" si="3"/>
        <v>0</v>
      </c>
    </row>
    <row r="37" spans="1:35" ht="25.5">
      <c r="A37" s="453">
        <f t="shared" si="4"/>
        <v>2.0099999999999998</v>
      </c>
      <c r="B37" s="383">
        <v>20</v>
      </c>
      <c r="D37" s="406"/>
      <c r="E37" s="407"/>
      <c r="F37" s="407"/>
      <c r="G37" s="407"/>
      <c r="H37" s="407"/>
      <c r="I37" s="407"/>
      <c r="J37" s="408" t="s">
        <v>431</v>
      </c>
      <c r="K37" s="409" t="str">
        <f t="shared" si="0"/>
        <v>A=(Ancho x Largo)* Cant</v>
      </c>
      <c r="L37" s="410" t="str">
        <f t="shared" si="6"/>
        <v>M2</v>
      </c>
      <c r="M37" s="411">
        <f>+HLOOKUP(B37,[238]Hoja1!$2:$78,23,FALSE)</f>
        <v>0</v>
      </c>
      <c r="N37" s="412"/>
      <c r="O37" s="442"/>
      <c r="P37" s="442"/>
      <c r="Q37" s="412"/>
      <c r="R37" s="412"/>
      <c r="S37" s="486"/>
      <c r="T37" s="414">
        <f t="shared" si="2"/>
        <v>0</v>
      </c>
      <c r="Y37" s="439">
        <f t="shared" si="1"/>
        <v>0</v>
      </c>
      <c r="Z37" s="439">
        <f t="shared" si="3"/>
        <v>0</v>
      </c>
    </row>
    <row r="38" spans="1:35" ht="25.5">
      <c r="A38" s="453">
        <f t="shared" si="4"/>
        <v>2.0099999999999998</v>
      </c>
      <c r="B38" s="383">
        <v>21</v>
      </c>
      <c r="D38" s="406"/>
      <c r="E38" s="407"/>
      <c r="F38" s="407"/>
      <c r="G38" s="407"/>
      <c r="H38" s="407"/>
      <c r="I38" s="407"/>
      <c r="J38" s="408" t="s">
        <v>432</v>
      </c>
      <c r="K38" s="409" t="str">
        <f t="shared" si="0"/>
        <v>A=(Ancho x Largo)* Cant</v>
      </c>
      <c r="L38" s="410" t="str">
        <f t="shared" si="6"/>
        <v>M2</v>
      </c>
      <c r="M38" s="411">
        <f>+HLOOKUP(B38,[238]Hoja1!$2:$78,23,FALSE)</f>
        <v>2.1924999999999999</v>
      </c>
      <c r="N38" s="412"/>
      <c r="O38" s="442"/>
      <c r="P38" s="442"/>
      <c r="Q38" s="412"/>
      <c r="R38" s="412"/>
      <c r="S38" s="486">
        <f t="shared" si="5"/>
        <v>1</v>
      </c>
      <c r="T38" s="414">
        <f t="shared" si="2"/>
        <v>2.1924999999999999</v>
      </c>
      <c r="Y38" s="439">
        <f t="shared" si="1"/>
        <v>0</v>
      </c>
      <c r="Z38" s="439">
        <f t="shared" si="3"/>
        <v>-2.1924999999999999</v>
      </c>
    </row>
    <row r="39" spans="1:35" ht="25.5">
      <c r="A39" s="453">
        <f t="shared" si="4"/>
        <v>2.0099999999999998</v>
      </c>
      <c r="B39" s="383">
        <v>22</v>
      </c>
      <c r="D39" s="406"/>
      <c r="E39" s="407"/>
      <c r="F39" s="407"/>
      <c r="G39" s="407"/>
      <c r="H39" s="407"/>
      <c r="I39" s="407"/>
      <c r="J39" s="408" t="s">
        <v>433</v>
      </c>
      <c r="K39" s="409" t="str">
        <f t="shared" si="0"/>
        <v>A=(Ancho x Largo)* Cant</v>
      </c>
      <c r="L39" s="410" t="str">
        <f t="shared" si="6"/>
        <v>M2</v>
      </c>
      <c r="M39" s="411">
        <f>+HLOOKUP(B39,[238]Hoja1!$2:$78,23,FALSE)</f>
        <v>0</v>
      </c>
      <c r="N39" s="412"/>
      <c r="O39" s="442"/>
      <c r="P39" s="442"/>
      <c r="Q39" s="412"/>
      <c r="R39" s="412"/>
      <c r="S39" s="486"/>
      <c r="T39" s="414">
        <f t="shared" si="2"/>
        <v>0</v>
      </c>
      <c r="Y39" s="439">
        <f t="shared" si="1"/>
        <v>0</v>
      </c>
      <c r="Z39" s="439">
        <f t="shared" si="3"/>
        <v>0</v>
      </c>
    </row>
    <row r="40" spans="1:35" ht="25.5">
      <c r="A40" s="453">
        <f t="shared" si="4"/>
        <v>2.0099999999999998</v>
      </c>
      <c r="B40" s="383">
        <v>23</v>
      </c>
      <c r="D40" s="406"/>
      <c r="E40" s="407"/>
      <c r="F40" s="407"/>
      <c r="G40" s="407"/>
      <c r="H40" s="407"/>
      <c r="I40" s="407"/>
      <c r="J40" s="408" t="s">
        <v>434</v>
      </c>
      <c r="K40" s="409" t="str">
        <f t="shared" si="0"/>
        <v>A=(Ancho x Largo)* Cant</v>
      </c>
      <c r="L40" s="410" t="str">
        <f t="shared" si="6"/>
        <v>M2</v>
      </c>
      <c r="M40" s="411">
        <f>+HLOOKUP(B40,[238]Hoja1!$2:$78,23,FALSE)</f>
        <v>0</v>
      </c>
      <c r="N40" s="412"/>
      <c r="O40" s="441"/>
      <c r="P40" s="441"/>
      <c r="Q40" s="412"/>
      <c r="R40" s="412"/>
      <c r="S40" s="486"/>
      <c r="T40" s="414">
        <f t="shared" si="2"/>
        <v>0</v>
      </c>
      <c r="Y40" s="439">
        <f>+O40*P40</f>
        <v>0</v>
      </c>
      <c r="Z40" s="439">
        <f>+Y40 -M40</f>
        <v>0</v>
      </c>
    </row>
    <row r="41" spans="1:35" ht="25.5">
      <c r="A41" s="453">
        <f t="shared" si="4"/>
        <v>2.0099999999999998</v>
      </c>
      <c r="B41" s="383">
        <v>24</v>
      </c>
      <c r="D41" s="406"/>
      <c r="E41" s="407"/>
      <c r="F41" s="407"/>
      <c r="G41" s="407"/>
      <c r="H41" s="407"/>
      <c r="I41" s="407"/>
      <c r="J41" s="408" t="s">
        <v>435</v>
      </c>
      <c r="K41" s="409" t="str">
        <f t="shared" si="0"/>
        <v>A=(Ancho x Largo)* Cant</v>
      </c>
      <c r="L41" s="410" t="str">
        <f t="shared" si="6"/>
        <v>M2</v>
      </c>
      <c r="M41" s="411">
        <f>+HLOOKUP(B41,[238]Hoja1!$2:$78,23,FALSE)</f>
        <v>0</v>
      </c>
      <c r="N41" s="412"/>
      <c r="O41" s="442"/>
      <c r="P41" s="442"/>
      <c r="Q41" s="413"/>
      <c r="R41" s="413"/>
      <c r="S41" s="486"/>
      <c r="T41" s="414">
        <f t="shared" si="2"/>
        <v>0</v>
      </c>
      <c r="Y41" s="439">
        <f>+O41*P41</f>
        <v>0</v>
      </c>
      <c r="Z41" s="439">
        <f>+Y41 -M41</f>
        <v>0</v>
      </c>
      <c r="AH41" s="383" t="s">
        <v>156</v>
      </c>
      <c r="AI41" s="383" t="s">
        <v>410</v>
      </c>
    </row>
    <row r="42" spans="1:35" ht="25.5">
      <c r="A42" s="453">
        <f t="shared" si="4"/>
        <v>2.0099999999999998</v>
      </c>
      <c r="B42" s="383">
        <v>25</v>
      </c>
      <c r="D42" s="406"/>
      <c r="E42" s="407"/>
      <c r="F42" s="407"/>
      <c r="G42" s="407"/>
      <c r="H42" s="407"/>
      <c r="I42" s="407"/>
      <c r="J42" s="408" t="s">
        <v>436</v>
      </c>
      <c r="K42" s="409" t="str">
        <f t="shared" si="0"/>
        <v>A=(Ancho x Largo)* Cant</v>
      </c>
      <c r="L42" s="410" t="str">
        <f t="shared" si="6"/>
        <v>M2</v>
      </c>
      <c r="M42" s="411">
        <f>+HLOOKUP(B42,[238]Hoja1!$2:$78,23,FALSE)</f>
        <v>3.3299999999999996</v>
      </c>
      <c r="N42" s="412"/>
      <c r="O42" s="442">
        <v>0.3</v>
      </c>
      <c r="P42" s="442">
        <f>+M42/0.3</f>
        <v>11.1</v>
      </c>
      <c r="Q42" s="412"/>
      <c r="R42" s="412"/>
      <c r="S42" s="486">
        <f t="shared" si="5"/>
        <v>1</v>
      </c>
      <c r="T42" s="414">
        <f t="shared" si="2"/>
        <v>3.3299999999999996</v>
      </c>
      <c r="Y42" s="439">
        <f>+O42*P42</f>
        <v>3.3299999999999996</v>
      </c>
      <c r="Z42" s="439">
        <f>+Y42 -M42</f>
        <v>0</v>
      </c>
    </row>
    <row r="43" spans="1:35" ht="25.5">
      <c r="A43" s="453">
        <f t="shared" si="4"/>
        <v>2.0099999999999998</v>
      </c>
      <c r="B43" s="383">
        <v>26</v>
      </c>
      <c r="D43" s="406"/>
      <c r="E43" s="407"/>
      <c r="F43" s="407"/>
      <c r="G43" s="407"/>
      <c r="H43" s="407"/>
      <c r="I43" s="407"/>
      <c r="J43" s="408" t="s">
        <v>437</v>
      </c>
      <c r="K43" s="409" t="str">
        <f t="shared" si="0"/>
        <v>A=(Ancho x Largo)* Cant</v>
      </c>
      <c r="L43" s="410" t="str">
        <f>+L32</f>
        <v>M2</v>
      </c>
      <c r="M43" s="411">
        <f>+HLOOKUP(B43,[238]Hoja1!$2:$78,23,FALSE)</f>
        <v>0</v>
      </c>
      <c r="N43" s="412"/>
      <c r="O43" s="442"/>
      <c r="P43" s="442"/>
      <c r="Q43" s="412"/>
      <c r="R43" s="412"/>
      <c r="S43" s="486"/>
      <c r="T43" s="414">
        <f t="shared" si="2"/>
        <v>0</v>
      </c>
      <c r="Y43" s="439">
        <f t="shared" ref="Y43:Y60" si="7">+O43*P43</f>
        <v>0</v>
      </c>
      <c r="Z43" s="439">
        <f t="shared" ref="Z43:Z60" si="8">+Y43 -M43</f>
        <v>0</v>
      </c>
    </row>
    <row r="44" spans="1:35" ht="25.5">
      <c r="A44" s="453">
        <f t="shared" si="4"/>
        <v>2.0099999999999998</v>
      </c>
      <c r="B44" s="383">
        <v>27</v>
      </c>
      <c r="D44" s="406"/>
      <c r="E44" s="407"/>
      <c r="F44" s="407"/>
      <c r="G44" s="407"/>
      <c r="H44" s="407"/>
      <c r="I44" s="407"/>
      <c r="J44" s="408" t="s">
        <v>438</v>
      </c>
      <c r="K44" s="409" t="str">
        <f t="shared" si="0"/>
        <v>A=(Ancho x Largo)* Cant</v>
      </c>
      <c r="L44" s="410" t="str">
        <f t="shared" ref="L44:L52" si="9">+L43</f>
        <v>M2</v>
      </c>
      <c r="M44" s="411">
        <f>+HLOOKUP(B44,[238]Hoja1!$2:$78,23,FALSE)</f>
        <v>0</v>
      </c>
      <c r="N44" s="412"/>
      <c r="O44" s="442"/>
      <c r="P44" s="442"/>
      <c r="Q44" s="412"/>
      <c r="R44" s="412"/>
      <c r="S44" s="486"/>
      <c r="T44" s="414">
        <f t="shared" si="2"/>
        <v>0</v>
      </c>
      <c r="Y44" s="439">
        <f t="shared" si="7"/>
        <v>0</v>
      </c>
      <c r="Z44" s="439">
        <f t="shared" si="8"/>
        <v>0</v>
      </c>
    </row>
    <row r="45" spans="1:35" ht="21.75" customHeight="1">
      <c r="A45" s="453">
        <f t="shared" si="4"/>
        <v>2.0099999999999998</v>
      </c>
      <c r="B45" s="383">
        <v>28</v>
      </c>
      <c r="D45" s="406"/>
      <c r="E45" s="440"/>
      <c r="F45" s="407"/>
      <c r="G45" s="407"/>
      <c r="H45" s="407"/>
      <c r="I45" s="437"/>
      <c r="J45" s="408" t="s">
        <v>439</v>
      </c>
      <c r="K45" s="409" t="str">
        <f t="shared" si="0"/>
        <v>A=(Ancho x Largo)* Cant</v>
      </c>
      <c r="L45" s="410" t="str">
        <f t="shared" si="9"/>
        <v>M2</v>
      </c>
      <c r="M45" s="411">
        <f>+HLOOKUP(B45,[238]Hoja1!$2:$78,23,FALSE)</f>
        <v>0</v>
      </c>
      <c r="N45" s="412"/>
      <c r="O45" s="442"/>
      <c r="P45" s="442"/>
      <c r="Q45" s="413"/>
      <c r="R45" s="413"/>
      <c r="S45" s="486"/>
      <c r="T45" s="414">
        <f t="shared" si="2"/>
        <v>0</v>
      </c>
      <c r="Y45" s="439">
        <f t="shared" si="7"/>
        <v>0</v>
      </c>
      <c r="Z45" s="439">
        <f t="shared" si="8"/>
        <v>0</v>
      </c>
    </row>
    <row r="46" spans="1:35" ht="25.5">
      <c r="A46" s="453">
        <f t="shared" si="4"/>
        <v>2.0099999999999998</v>
      </c>
      <c r="B46" s="383">
        <v>29</v>
      </c>
      <c r="D46" s="406"/>
      <c r="E46" s="407"/>
      <c r="F46" s="407"/>
      <c r="G46" s="407"/>
      <c r="H46" s="407"/>
      <c r="I46" s="407"/>
      <c r="J46" s="408" t="s">
        <v>440</v>
      </c>
      <c r="K46" s="409" t="str">
        <f t="shared" si="0"/>
        <v>A=(Ancho x Largo)* Cant</v>
      </c>
      <c r="L46" s="410" t="str">
        <f t="shared" si="9"/>
        <v>M2</v>
      </c>
      <c r="M46" s="411">
        <f>+HLOOKUP(B46,[238]Hoja1!$2:$78,23,FALSE)</f>
        <v>0</v>
      </c>
      <c r="N46" s="412"/>
      <c r="O46" s="443"/>
      <c r="P46" s="443"/>
      <c r="Q46" s="412"/>
      <c r="R46" s="412"/>
      <c r="S46" s="486"/>
      <c r="T46" s="414">
        <f t="shared" si="2"/>
        <v>0</v>
      </c>
      <c r="Y46" s="439">
        <f t="shared" si="7"/>
        <v>0</v>
      </c>
      <c r="Z46" s="439">
        <f t="shared" si="8"/>
        <v>0</v>
      </c>
    </row>
    <row r="47" spans="1:35" ht="25.5">
      <c r="A47" s="453">
        <f t="shared" si="4"/>
        <v>2.0099999999999998</v>
      </c>
      <c r="B47" s="383">
        <v>30</v>
      </c>
      <c r="D47" s="406"/>
      <c r="E47" s="407"/>
      <c r="F47" s="407"/>
      <c r="G47" s="407"/>
      <c r="H47" s="407"/>
      <c r="I47" s="407"/>
      <c r="J47" s="408" t="s">
        <v>441</v>
      </c>
      <c r="K47" s="409" t="str">
        <f t="shared" si="0"/>
        <v>A=(Ancho x Largo)* Cant</v>
      </c>
      <c r="L47" s="410" t="str">
        <f t="shared" si="9"/>
        <v>M2</v>
      </c>
      <c r="M47" s="411">
        <f>+HLOOKUP(B47,[238]Hoja1!$2:$78,23,FALSE)</f>
        <v>0</v>
      </c>
      <c r="N47" s="412"/>
      <c r="O47" s="442"/>
      <c r="P47" s="442"/>
      <c r="Q47" s="412"/>
      <c r="R47" s="412"/>
      <c r="S47" s="486"/>
      <c r="T47" s="414">
        <f t="shared" si="2"/>
        <v>0</v>
      </c>
      <c r="Y47" s="439">
        <f t="shared" si="7"/>
        <v>0</v>
      </c>
      <c r="Z47" s="439">
        <f t="shared" si="8"/>
        <v>0</v>
      </c>
    </row>
    <row r="48" spans="1:35" ht="25.5">
      <c r="A48" s="453">
        <f t="shared" si="4"/>
        <v>2.0099999999999998</v>
      </c>
      <c r="B48" s="383">
        <v>31</v>
      </c>
      <c r="D48" s="406"/>
      <c r="E48" s="407"/>
      <c r="F48" s="407"/>
      <c r="G48" s="407"/>
      <c r="H48" s="407"/>
      <c r="I48" s="407"/>
      <c r="J48" s="408" t="s">
        <v>442</v>
      </c>
      <c r="K48" s="409" t="str">
        <f t="shared" si="0"/>
        <v>A=(Ancho x Largo)* Cant</v>
      </c>
      <c r="L48" s="410" t="str">
        <f t="shared" si="9"/>
        <v>M2</v>
      </c>
      <c r="M48" s="411">
        <f>+HLOOKUP(B48,[238]Hoja1!$2:$78,23,FALSE)</f>
        <v>0.75</v>
      </c>
      <c r="N48" s="412"/>
      <c r="O48" s="442">
        <v>0.5</v>
      </c>
      <c r="P48" s="442">
        <f>0.5*3</f>
        <v>1.5</v>
      </c>
      <c r="Q48" s="413"/>
      <c r="R48" s="413"/>
      <c r="S48" s="486">
        <f t="shared" si="5"/>
        <v>1</v>
      </c>
      <c r="T48" s="414">
        <f t="shared" si="2"/>
        <v>0.75</v>
      </c>
      <c r="Y48" s="439">
        <f t="shared" si="7"/>
        <v>0.75</v>
      </c>
      <c r="Z48" s="439">
        <f t="shared" si="8"/>
        <v>0</v>
      </c>
      <c r="AH48" s="383" t="s">
        <v>156</v>
      </c>
      <c r="AI48" s="383" t="s">
        <v>410</v>
      </c>
    </row>
    <row r="49" spans="1:35" ht="25.5">
      <c r="A49" s="453">
        <f t="shared" si="4"/>
        <v>2.0099999999999998</v>
      </c>
      <c r="B49" s="383">
        <v>32</v>
      </c>
      <c r="D49" s="406"/>
      <c r="E49" s="407"/>
      <c r="F49" s="407"/>
      <c r="G49" s="407"/>
      <c r="H49" s="407"/>
      <c r="I49" s="407"/>
      <c r="J49" s="408" t="s">
        <v>443</v>
      </c>
      <c r="K49" s="409" t="str">
        <f t="shared" si="0"/>
        <v>A=(Ancho x Largo)* Cant</v>
      </c>
      <c r="L49" s="410" t="str">
        <f t="shared" si="9"/>
        <v>M2</v>
      </c>
      <c r="M49" s="411">
        <f>+HLOOKUP(B49,[238]Hoja1!$2:$78,23,FALSE)</f>
        <v>0</v>
      </c>
      <c r="N49" s="412"/>
      <c r="O49" s="442"/>
      <c r="P49" s="442"/>
      <c r="Q49" s="412"/>
      <c r="R49" s="412"/>
      <c r="S49" s="486"/>
      <c r="T49" s="414">
        <f t="shared" si="2"/>
        <v>0</v>
      </c>
      <c r="Y49" s="439">
        <f t="shared" si="7"/>
        <v>0</v>
      </c>
      <c r="Z49" s="439">
        <f t="shared" si="8"/>
        <v>0</v>
      </c>
    </row>
    <row r="50" spans="1:35" ht="25.5">
      <c r="A50" s="453">
        <f t="shared" si="4"/>
        <v>2.0099999999999998</v>
      </c>
      <c r="B50" s="383">
        <v>33</v>
      </c>
      <c r="D50" s="406"/>
      <c r="E50" s="407"/>
      <c r="F50" s="407"/>
      <c r="G50" s="407"/>
      <c r="H50" s="407"/>
      <c r="I50" s="407"/>
      <c r="J50" s="408" t="s">
        <v>444</v>
      </c>
      <c r="K50" s="409" t="str">
        <f t="shared" si="0"/>
        <v>A=(Ancho x Largo)* Cant</v>
      </c>
      <c r="L50" s="410" t="str">
        <f t="shared" si="9"/>
        <v>M2</v>
      </c>
      <c r="M50" s="411">
        <f>+HLOOKUP(B50,[238]Hoja1!$2:$78,23,FALSE)</f>
        <v>0</v>
      </c>
      <c r="N50" s="412"/>
      <c r="O50" s="442"/>
      <c r="P50" s="442"/>
      <c r="Q50" s="412"/>
      <c r="R50" s="412"/>
      <c r="S50" s="486"/>
      <c r="T50" s="414">
        <f t="shared" si="2"/>
        <v>0</v>
      </c>
      <c r="Y50" s="439">
        <f t="shared" si="7"/>
        <v>0</v>
      </c>
      <c r="Z50" s="439">
        <f t="shared" si="8"/>
        <v>0</v>
      </c>
    </row>
    <row r="51" spans="1:35" ht="25.5">
      <c r="A51" s="453">
        <f t="shared" si="4"/>
        <v>2.0099999999999998</v>
      </c>
      <c r="B51" s="383">
        <v>34</v>
      </c>
      <c r="D51" s="406"/>
      <c r="E51" s="407"/>
      <c r="F51" s="407"/>
      <c r="G51" s="407"/>
      <c r="H51" s="407"/>
      <c r="I51" s="407"/>
      <c r="J51" s="408" t="s">
        <v>445</v>
      </c>
      <c r="K51" s="409" t="str">
        <f t="shared" si="0"/>
        <v>A=(Ancho x Largo)* Cant</v>
      </c>
      <c r="L51" s="410" t="str">
        <f t="shared" si="9"/>
        <v>M2</v>
      </c>
      <c r="M51" s="411">
        <f>+HLOOKUP(B51,[238]Hoja1!$2:$78,23,FALSE)</f>
        <v>0</v>
      </c>
      <c r="N51" s="412"/>
      <c r="O51" s="443"/>
      <c r="P51" s="443"/>
      <c r="Q51" s="412"/>
      <c r="R51" s="412"/>
      <c r="S51" s="486"/>
      <c r="T51" s="414">
        <f t="shared" si="2"/>
        <v>0</v>
      </c>
      <c r="Y51" s="439">
        <f t="shared" si="7"/>
        <v>0</v>
      </c>
      <c r="Z51" s="439">
        <f t="shared" si="8"/>
        <v>0</v>
      </c>
    </row>
    <row r="52" spans="1:35" ht="21.75" customHeight="1">
      <c r="A52" s="453">
        <f t="shared" si="4"/>
        <v>2.0099999999999998</v>
      </c>
      <c r="B52" s="383">
        <v>35</v>
      </c>
      <c r="D52" s="406"/>
      <c r="E52" s="440"/>
      <c r="F52" s="407"/>
      <c r="G52" s="407"/>
      <c r="H52" s="407"/>
      <c r="I52" s="437"/>
      <c r="J52" s="408" t="s">
        <v>446</v>
      </c>
      <c r="K52" s="409" t="str">
        <f t="shared" si="0"/>
        <v>A=(Ancho x Largo)* Cant</v>
      </c>
      <c r="L52" s="410" t="str">
        <f t="shared" si="9"/>
        <v>M2</v>
      </c>
      <c r="M52" s="411">
        <f>+HLOOKUP(B52,[238]Hoja1!$2:$78,23,FALSE)</f>
        <v>0</v>
      </c>
      <c r="N52" s="412"/>
      <c r="O52" s="442"/>
      <c r="P52" s="442"/>
      <c r="Q52" s="413"/>
      <c r="R52" s="413"/>
      <c r="S52" s="486"/>
      <c r="T52" s="414">
        <f t="shared" si="2"/>
        <v>0</v>
      </c>
      <c r="Y52" s="439">
        <f t="shared" si="7"/>
        <v>0</v>
      </c>
      <c r="Z52" s="439">
        <f t="shared" si="8"/>
        <v>0</v>
      </c>
    </row>
    <row r="53" spans="1:35" ht="25.5">
      <c r="A53" s="453">
        <f t="shared" si="4"/>
        <v>2.0099999999999998</v>
      </c>
      <c r="B53" s="383">
        <v>36</v>
      </c>
      <c r="D53" s="406"/>
      <c r="E53" s="407"/>
      <c r="F53" s="407"/>
      <c r="G53" s="407"/>
      <c r="H53" s="407"/>
      <c r="I53" s="407"/>
      <c r="J53" s="408" t="s">
        <v>447</v>
      </c>
      <c r="K53" s="409" t="str">
        <f t="shared" si="0"/>
        <v>A=(Ancho x Largo)* Cant</v>
      </c>
      <c r="L53" s="410" t="str">
        <f>+L42</f>
        <v>M2</v>
      </c>
      <c r="M53" s="411">
        <f>+HLOOKUP(B53,[238]Hoja1!$2:$78,23,FALSE)</f>
        <v>0</v>
      </c>
      <c r="N53" s="412"/>
      <c r="O53" s="442"/>
      <c r="P53" s="442"/>
      <c r="Q53" s="412"/>
      <c r="R53" s="412"/>
      <c r="S53" s="486"/>
      <c r="T53" s="414">
        <f t="shared" si="2"/>
        <v>0</v>
      </c>
      <c r="Y53" s="439">
        <f t="shared" si="7"/>
        <v>0</v>
      </c>
      <c r="Z53" s="439">
        <f t="shared" si="8"/>
        <v>0</v>
      </c>
    </row>
    <row r="54" spans="1:35" ht="25.5">
      <c r="A54" s="453">
        <f t="shared" si="4"/>
        <v>2.0099999999999998</v>
      </c>
      <c r="B54" s="383">
        <v>37</v>
      </c>
      <c r="D54" s="406"/>
      <c r="E54" s="407"/>
      <c r="F54" s="407"/>
      <c r="G54" s="407"/>
      <c r="H54" s="407"/>
      <c r="I54" s="407"/>
      <c r="J54" s="408" t="s">
        <v>448</v>
      </c>
      <c r="K54" s="409" t="str">
        <f t="shared" si="0"/>
        <v>A=(Ancho x Largo)* Cant</v>
      </c>
      <c r="L54" s="410" t="str">
        <f t="shared" si="6"/>
        <v>M2</v>
      </c>
      <c r="M54" s="411">
        <f>+HLOOKUP(B54,[238]Hoja1!$2:$78,23,FALSE)</f>
        <v>0</v>
      </c>
      <c r="N54" s="412"/>
      <c r="O54" s="441"/>
      <c r="P54" s="441"/>
      <c r="Q54" s="412"/>
      <c r="R54" s="412"/>
      <c r="S54" s="486"/>
      <c r="T54" s="414">
        <f t="shared" si="2"/>
        <v>0</v>
      </c>
      <c r="Y54" s="439">
        <f t="shared" si="7"/>
        <v>0</v>
      </c>
      <c r="Z54" s="439">
        <f t="shared" si="8"/>
        <v>0</v>
      </c>
    </row>
    <row r="55" spans="1:35" ht="21.75" customHeight="1">
      <c r="A55" s="453">
        <f t="shared" si="4"/>
        <v>2.0099999999999998</v>
      </c>
      <c r="B55" s="383">
        <v>38</v>
      </c>
      <c r="D55" s="406"/>
      <c r="E55" s="440"/>
      <c r="F55" s="407"/>
      <c r="G55" s="407"/>
      <c r="H55" s="407"/>
      <c r="I55" s="437"/>
      <c r="J55" s="408" t="s">
        <v>449</v>
      </c>
      <c r="K55" s="409" t="str">
        <f t="shared" si="0"/>
        <v>A=(Ancho x Largo)* Cant</v>
      </c>
      <c r="L55" s="410" t="str">
        <f t="shared" si="6"/>
        <v>M2</v>
      </c>
      <c r="M55" s="411">
        <f>+HLOOKUP(B55,[238]Hoja1!$2:$78,23,FALSE)</f>
        <v>0</v>
      </c>
      <c r="N55" s="412"/>
      <c r="O55" s="442"/>
      <c r="P55" s="442"/>
      <c r="Q55" s="413"/>
      <c r="R55" s="413"/>
      <c r="S55" s="486"/>
      <c r="T55" s="414">
        <f t="shared" si="2"/>
        <v>0</v>
      </c>
      <c r="Y55" s="439">
        <f t="shared" si="7"/>
        <v>0</v>
      </c>
      <c r="Z55" s="439">
        <f t="shared" si="8"/>
        <v>0</v>
      </c>
    </row>
    <row r="56" spans="1:35" ht="25.5">
      <c r="A56" s="453">
        <f t="shared" si="4"/>
        <v>2.0099999999999998</v>
      </c>
      <c r="B56" s="383">
        <v>39</v>
      </c>
      <c r="D56" s="406"/>
      <c r="E56" s="407"/>
      <c r="F56" s="407"/>
      <c r="G56" s="407"/>
      <c r="H56" s="407"/>
      <c r="I56" s="407"/>
      <c r="J56" s="408" t="s">
        <v>450</v>
      </c>
      <c r="K56" s="409" t="str">
        <f t="shared" si="0"/>
        <v>A=(Ancho x Largo)* Cant</v>
      </c>
      <c r="L56" s="410" t="str">
        <f t="shared" si="6"/>
        <v>M2</v>
      </c>
      <c r="M56" s="411">
        <f>+HLOOKUP(B56,[238]Hoja1!$2:$78,23,FALSE)</f>
        <v>0</v>
      </c>
      <c r="N56" s="412"/>
      <c r="O56" s="441"/>
      <c r="P56" s="441"/>
      <c r="Q56" s="412"/>
      <c r="R56" s="412"/>
      <c r="S56" s="486"/>
      <c r="T56" s="414">
        <f t="shared" si="2"/>
        <v>0</v>
      </c>
      <c r="Y56" s="439">
        <f t="shared" si="7"/>
        <v>0</v>
      </c>
      <c r="Z56" s="439">
        <f t="shared" si="8"/>
        <v>0</v>
      </c>
    </row>
    <row r="57" spans="1:35" ht="25.5">
      <c r="A57" s="453">
        <f t="shared" si="4"/>
        <v>2.0099999999999998</v>
      </c>
      <c r="B57" s="383">
        <v>40</v>
      </c>
      <c r="D57" s="406"/>
      <c r="E57" s="407"/>
      <c r="F57" s="407"/>
      <c r="G57" s="407"/>
      <c r="H57" s="407"/>
      <c r="I57" s="407"/>
      <c r="J57" s="408" t="s">
        <v>451</v>
      </c>
      <c r="K57" s="409" t="str">
        <f t="shared" si="0"/>
        <v>A=(Ancho x Largo)* Cant</v>
      </c>
      <c r="L57" s="410" t="str">
        <f t="shared" si="6"/>
        <v>M2</v>
      </c>
      <c r="M57" s="411">
        <f>+HLOOKUP(B57,[238]Hoja1!$2:$78,23,FALSE)</f>
        <v>0</v>
      </c>
      <c r="N57" s="412"/>
      <c r="O57" s="442"/>
      <c r="P57" s="442"/>
      <c r="Q57" s="412"/>
      <c r="R57" s="412"/>
      <c r="S57" s="486"/>
      <c r="T57" s="414">
        <f t="shared" si="2"/>
        <v>0</v>
      </c>
      <c r="Y57" s="439">
        <f t="shared" si="7"/>
        <v>0</v>
      </c>
      <c r="Z57" s="439">
        <f t="shared" si="8"/>
        <v>0</v>
      </c>
    </row>
    <row r="58" spans="1:35" ht="25.5">
      <c r="A58" s="453">
        <f t="shared" si="4"/>
        <v>2.0099999999999998</v>
      </c>
      <c r="B58" s="383">
        <v>41</v>
      </c>
      <c r="D58" s="406"/>
      <c r="E58" s="407"/>
      <c r="F58" s="407"/>
      <c r="G58" s="407"/>
      <c r="H58" s="407"/>
      <c r="I58" s="407"/>
      <c r="J58" s="408" t="s">
        <v>452</v>
      </c>
      <c r="K58" s="409" t="str">
        <f t="shared" si="0"/>
        <v>A=(Ancho x Largo)* Cant</v>
      </c>
      <c r="L58" s="410" t="str">
        <f t="shared" si="6"/>
        <v>M2</v>
      </c>
      <c r="M58" s="411">
        <f>+HLOOKUP(B58,[238]Hoja1!$2:$78,23,FALSE)</f>
        <v>0</v>
      </c>
      <c r="N58" s="412"/>
      <c r="O58" s="442"/>
      <c r="P58" s="442"/>
      <c r="Q58" s="413"/>
      <c r="R58" s="413"/>
      <c r="S58" s="486"/>
      <c r="T58" s="414">
        <f t="shared" si="2"/>
        <v>0</v>
      </c>
      <c r="Y58" s="439">
        <f t="shared" si="7"/>
        <v>0</v>
      </c>
      <c r="Z58" s="439">
        <f t="shared" si="8"/>
        <v>0</v>
      </c>
      <c r="AH58" s="383" t="s">
        <v>156</v>
      </c>
      <c r="AI58" s="383" t="s">
        <v>410</v>
      </c>
    </row>
    <row r="59" spans="1:35" ht="25.5">
      <c r="A59" s="453">
        <f t="shared" si="4"/>
        <v>2.0099999999999998</v>
      </c>
      <c r="B59" s="383">
        <v>42</v>
      </c>
      <c r="D59" s="406"/>
      <c r="E59" s="407"/>
      <c r="F59" s="407"/>
      <c r="G59" s="407"/>
      <c r="H59" s="407"/>
      <c r="I59" s="407"/>
      <c r="J59" s="408" t="s">
        <v>453</v>
      </c>
      <c r="K59" s="409" t="str">
        <f t="shared" si="0"/>
        <v>A=(Ancho x Largo)* Cant</v>
      </c>
      <c r="L59" s="410" t="str">
        <f t="shared" si="6"/>
        <v>M2</v>
      </c>
      <c r="M59" s="411">
        <f>+HLOOKUP(B59,[238]Hoja1!$2:$78,23,FALSE)</f>
        <v>0</v>
      </c>
      <c r="N59" s="412"/>
      <c r="O59" s="442"/>
      <c r="P59" s="442"/>
      <c r="Q59" s="412"/>
      <c r="R59" s="412"/>
      <c r="S59" s="486"/>
      <c r="T59" s="414">
        <f t="shared" si="2"/>
        <v>0</v>
      </c>
      <c r="Y59" s="439">
        <f t="shared" si="7"/>
        <v>0</v>
      </c>
      <c r="Z59" s="439">
        <f t="shared" si="8"/>
        <v>0</v>
      </c>
    </row>
    <row r="60" spans="1:35" ht="26.25" thickBot="1">
      <c r="A60" s="453">
        <f t="shared" si="4"/>
        <v>2.0099999999999998</v>
      </c>
      <c r="B60" s="383">
        <v>43</v>
      </c>
      <c r="D60" s="406"/>
      <c r="E60" s="407"/>
      <c r="F60" s="407"/>
      <c r="G60" s="407"/>
      <c r="H60" s="407"/>
      <c r="I60" s="407"/>
      <c r="J60" s="408" t="s">
        <v>454</v>
      </c>
      <c r="K60" s="409" t="str">
        <f t="shared" si="0"/>
        <v>A=(Ancho x Largo)* Cant</v>
      </c>
      <c r="L60" s="410" t="str">
        <f t="shared" si="6"/>
        <v>M2</v>
      </c>
      <c r="M60" s="411">
        <f>+HLOOKUP(B60,[238]Hoja1!$2:$78,23,FALSE)</f>
        <v>0</v>
      </c>
      <c r="N60" s="412"/>
      <c r="O60" s="442"/>
      <c r="P60" s="442"/>
      <c r="Q60" s="412"/>
      <c r="R60" s="412"/>
      <c r="S60" s="486"/>
      <c r="T60" s="414">
        <f t="shared" si="2"/>
        <v>0</v>
      </c>
      <c r="Y60" s="439">
        <f t="shared" si="7"/>
        <v>0</v>
      </c>
      <c r="Z60" s="439">
        <f t="shared" si="8"/>
        <v>0</v>
      </c>
    </row>
    <row r="61" spans="1:35">
      <c r="D61" s="384"/>
      <c r="E61" s="419"/>
      <c r="F61" s="420"/>
      <c r="G61" s="421"/>
      <c r="H61" s="421"/>
      <c r="I61" s="421"/>
      <c r="J61" s="421"/>
      <c r="K61" s="422"/>
      <c r="L61" s="421"/>
      <c r="M61" s="421"/>
      <c r="N61" s="421"/>
      <c r="O61" s="421"/>
      <c r="P61" s="421"/>
      <c r="Q61" s="421"/>
      <c r="R61" s="421"/>
      <c r="S61" s="422"/>
      <c r="T61" s="423"/>
    </row>
    <row r="62" spans="1:35">
      <c r="D62" s="396"/>
      <c r="E62" s="397"/>
      <c r="F62" s="424"/>
      <c r="G62" s="425"/>
      <c r="H62" s="425"/>
      <c r="I62" s="425"/>
      <c r="J62" s="425"/>
      <c r="K62" s="398"/>
      <c r="L62" s="425"/>
      <c r="M62" s="425"/>
      <c r="N62" s="397"/>
      <c r="O62" s="397"/>
      <c r="P62" s="562" t="s">
        <v>421</v>
      </c>
      <c r="Q62" s="563"/>
      <c r="R62" s="564"/>
      <c r="S62" s="426"/>
      <c r="T62" s="427">
        <f>ROUND(SUM(T18:T61),2)</f>
        <v>17.399999999999999</v>
      </c>
    </row>
    <row r="63" spans="1:35">
      <c r="D63" s="396"/>
      <c r="E63" s="397"/>
      <c r="F63" s="424"/>
      <c r="G63" s="425"/>
      <c r="H63" s="425"/>
      <c r="I63" s="425"/>
      <c r="J63" s="425"/>
      <c r="K63" s="398"/>
      <c r="L63" s="425"/>
      <c r="M63" s="425"/>
      <c r="N63" s="428"/>
      <c r="O63" s="428"/>
      <c r="P63" s="429"/>
      <c r="Q63" s="425"/>
      <c r="R63" s="425"/>
      <c r="S63" s="430"/>
      <c r="T63" s="431"/>
    </row>
    <row r="64" spans="1:35">
      <c r="D64" s="565" t="e">
        <v>#REF!</v>
      </c>
      <c r="E64" s="566"/>
      <c r="F64" s="566"/>
      <c r="G64" s="566"/>
      <c r="H64" s="566"/>
      <c r="I64" s="566"/>
      <c r="J64" s="566"/>
      <c r="K64" s="566"/>
      <c r="L64" s="566"/>
      <c r="M64" s="566"/>
      <c r="N64" s="566"/>
      <c r="O64" s="567"/>
      <c r="P64" s="568" t="s">
        <v>422</v>
      </c>
      <c r="Q64" s="568"/>
      <c r="R64" s="568"/>
      <c r="S64" s="426"/>
      <c r="T64" s="427">
        <f>T62</f>
        <v>17.399999999999999</v>
      </c>
    </row>
    <row r="65" spans="4:20">
      <c r="D65" s="396"/>
      <c r="E65" s="397"/>
      <c r="F65" s="424"/>
      <c r="G65" s="425"/>
      <c r="H65" s="425"/>
      <c r="I65" s="425"/>
      <c r="J65" s="425"/>
      <c r="K65" s="398"/>
      <c r="L65" s="425"/>
      <c r="M65" s="425"/>
      <c r="N65" s="428"/>
      <c r="O65" s="428"/>
      <c r="P65" s="429"/>
      <c r="Q65" s="425"/>
      <c r="R65" s="398"/>
      <c r="S65" s="398"/>
      <c r="T65" s="432"/>
    </row>
    <row r="66" spans="4:20">
      <c r="D66" s="396"/>
      <c r="E66" s="397"/>
      <c r="F66" s="424"/>
      <c r="G66" s="425"/>
      <c r="H66" s="425"/>
      <c r="I66" s="425"/>
      <c r="J66" s="425"/>
      <c r="K66" s="398"/>
      <c r="L66" s="425"/>
      <c r="M66" s="425"/>
      <c r="N66" s="428"/>
      <c r="O66" s="428"/>
      <c r="P66" s="429"/>
      <c r="Q66" s="425"/>
      <c r="R66" s="398"/>
      <c r="S66" s="398"/>
      <c r="T66" s="432"/>
    </row>
    <row r="67" spans="4:20">
      <c r="D67" s="569" t="s">
        <v>423</v>
      </c>
      <c r="E67" s="570"/>
      <c r="F67" s="570"/>
      <c r="G67" s="570"/>
      <c r="H67" s="570"/>
      <c r="I67" s="570"/>
      <c r="J67" s="570"/>
      <c r="K67" s="571"/>
      <c r="L67" s="433" t="s">
        <v>424</v>
      </c>
      <c r="M67" s="434"/>
      <c r="N67" s="434"/>
      <c r="O67" s="434"/>
      <c r="P67" s="434"/>
      <c r="Q67" s="434"/>
      <c r="R67" s="434"/>
      <c r="S67" s="434"/>
      <c r="T67" s="435"/>
    </row>
    <row r="68" spans="4:20">
      <c r="D68" s="542"/>
      <c r="E68" s="543"/>
      <c r="F68" s="543"/>
      <c r="G68" s="543"/>
      <c r="H68" s="436"/>
      <c r="I68" s="436"/>
      <c r="J68" s="436"/>
      <c r="K68" s="447"/>
      <c r="L68" s="436"/>
      <c r="M68" s="407"/>
      <c r="N68" s="407"/>
      <c r="O68" s="407"/>
      <c r="P68" s="407"/>
      <c r="Q68" s="407"/>
      <c r="R68" s="407"/>
      <c r="S68" s="407"/>
      <c r="T68" s="437"/>
    </row>
    <row r="69" spans="4:20">
      <c r="D69" s="542"/>
      <c r="E69" s="543"/>
      <c r="F69" s="543"/>
      <c r="G69" s="543"/>
      <c r="H69" s="436"/>
      <c r="I69" s="436"/>
      <c r="J69" s="436"/>
      <c r="K69" s="447"/>
      <c r="L69" s="436"/>
      <c r="M69" s="407"/>
      <c r="N69" s="407"/>
      <c r="O69" s="407"/>
      <c r="P69" s="407"/>
      <c r="Q69" s="407"/>
      <c r="R69" s="407"/>
      <c r="S69" s="407"/>
      <c r="T69" s="437"/>
    </row>
    <row r="70" spans="4:20">
      <c r="D70" s="542" t="s">
        <v>425</v>
      </c>
      <c r="E70" s="543"/>
      <c r="F70" s="543" t="s">
        <v>425</v>
      </c>
      <c r="G70" s="543"/>
      <c r="H70" s="543" t="s">
        <v>425</v>
      </c>
      <c r="I70" s="543"/>
      <c r="J70" s="543" t="s">
        <v>425</v>
      </c>
      <c r="K70" s="544"/>
      <c r="L70" s="545" t="s">
        <v>426</v>
      </c>
      <c r="M70" s="546"/>
      <c r="N70" s="546"/>
      <c r="O70" s="546"/>
      <c r="P70" s="546"/>
      <c r="Q70" s="546"/>
      <c r="R70" s="546"/>
      <c r="S70" s="546"/>
      <c r="T70" s="547"/>
    </row>
    <row r="71" spans="4:20">
      <c r="D71" s="548" t="str">
        <f>+[42]DATOS!D$8</f>
        <v>HELMER EDUARDO BECERRA SANTANDER</v>
      </c>
      <c r="E71" s="549"/>
      <c r="F71" s="549" t="s">
        <v>427</v>
      </c>
      <c r="G71" s="549"/>
      <c r="H71" s="549" t="s">
        <v>427</v>
      </c>
      <c r="I71" s="549"/>
      <c r="J71" s="549" t="s">
        <v>427</v>
      </c>
      <c r="K71" s="550"/>
      <c r="L71" s="551" t="str">
        <f>+[42]DATOS!D$11</f>
        <v>JESUS IVAN QUIÑONES RUEDA</v>
      </c>
      <c r="M71" s="549"/>
      <c r="N71" s="549"/>
      <c r="O71" s="549"/>
      <c r="P71" s="549"/>
      <c r="Q71" s="549"/>
      <c r="R71" s="549"/>
      <c r="S71" s="549"/>
      <c r="T71" s="552"/>
    </row>
    <row r="72" spans="4:20">
      <c r="D72" s="553" t="str">
        <f>+[42]DATOS!D9</f>
        <v>APOYO SEC. DE PLANEACION Y OBRAS PÚBLICAS</v>
      </c>
      <c r="E72" s="554"/>
      <c r="F72" s="554" t="s">
        <v>428</v>
      </c>
      <c r="G72" s="554"/>
      <c r="H72" s="554" t="s">
        <v>428</v>
      </c>
      <c r="I72" s="554"/>
      <c r="J72" s="554" t="s">
        <v>428</v>
      </c>
      <c r="K72" s="555"/>
      <c r="L72" s="556" t="str">
        <f>+[42]DATOS!D12</f>
        <v>SECRETARIO DE PLANEACION Y OBRAS PÚBLICAS</v>
      </c>
      <c r="M72" s="554"/>
      <c r="N72" s="554"/>
      <c r="O72" s="554"/>
      <c r="P72" s="554"/>
      <c r="Q72" s="554"/>
      <c r="R72" s="554"/>
      <c r="S72" s="554"/>
      <c r="T72" s="557"/>
    </row>
    <row r="73" spans="4:20">
      <c r="D73" s="406"/>
      <c r="E73" s="407"/>
      <c r="F73" s="407"/>
      <c r="G73" s="407"/>
      <c r="H73" s="407"/>
      <c r="I73" s="407"/>
      <c r="J73" s="407"/>
      <c r="K73" s="407"/>
      <c r="L73" s="407"/>
      <c r="M73" s="407"/>
      <c r="N73" s="407"/>
      <c r="O73" s="407"/>
      <c r="P73" s="407"/>
      <c r="Q73" s="407"/>
      <c r="R73" s="407"/>
      <c r="S73" s="407"/>
      <c r="T73" s="437"/>
    </row>
    <row r="74" spans="4:20" ht="111.6" customHeight="1" thickBot="1">
      <c r="D74" s="417"/>
      <c r="E74" s="418"/>
      <c r="F74" s="418"/>
      <c r="G74" s="418"/>
      <c r="H74" s="418"/>
      <c r="I74" s="418"/>
      <c r="J74" s="418"/>
      <c r="K74" s="418"/>
      <c r="L74" s="418"/>
      <c r="M74" s="418"/>
      <c r="N74" s="418"/>
      <c r="O74" s="418"/>
      <c r="P74" s="418"/>
      <c r="Q74" s="418"/>
      <c r="R74" s="418"/>
      <c r="S74" s="418"/>
      <c r="T74" s="438"/>
    </row>
    <row r="77" spans="4:20" ht="13.5" thickBot="1"/>
    <row r="78" spans="4:20">
      <c r="D78" s="384"/>
      <c r="E78" s="385"/>
      <c r="F78" s="385"/>
      <c r="G78" s="385"/>
      <c r="H78" s="385"/>
      <c r="I78" s="385"/>
      <c r="J78" s="385"/>
      <c r="K78" s="445"/>
      <c r="L78" s="385"/>
      <c r="M78" s="385"/>
      <c r="N78" s="385"/>
      <c r="O78" s="385"/>
      <c r="P78" s="385"/>
      <c r="Q78" s="385"/>
      <c r="R78" s="385"/>
      <c r="S78" s="385"/>
      <c r="T78" s="386"/>
    </row>
    <row r="79" spans="4:20" ht="121.5" customHeight="1" thickBot="1">
      <c r="D79" s="387"/>
      <c r="E79" s="388"/>
      <c r="F79" s="388"/>
      <c r="G79" s="388"/>
      <c r="H79" s="388"/>
      <c r="I79" s="388"/>
      <c r="J79" s="388"/>
      <c r="K79" s="446"/>
      <c r="L79" s="388"/>
      <c r="M79" s="388"/>
      <c r="N79" s="388"/>
      <c r="O79" s="388"/>
      <c r="P79" s="388"/>
      <c r="Q79" s="388"/>
      <c r="R79" s="388"/>
      <c r="S79" s="388"/>
      <c r="T79" s="389"/>
    </row>
    <row r="80" spans="4:20">
      <c r="D80" s="592" t="str">
        <f>+[42]DATOS!C$7</f>
        <v>MEJORAMIENTO DE VIVIENDA CON ENFOQUE DIFERENCIAL PARA POBLACIÓN VULNERABLE EN EL MUNICIPIO DE CUBARÁ, BOYACÁ (2026).</v>
      </c>
      <c r="E80" s="593"/>
      <c r="F80" s="593"/>
      <c r="G80" s="593"/>
      <c r="H80" s="593"/>
      <c r="I80" s="593"/>
      <c r="J80" s="593"/>
      <c r="K80" s="593"/>
      <c r="L80" s="593"/>
      <c r="M80" s="593"/>
      <c r="N80" s="593"/>
      <c r="O80" s="593"/>
      <c r="P80" s="593"/>
      <c r="Q80" s="593"/>
      <c r="R80" s="593"/>
      <c r="S80" s="593"/>
      <c r="T80" s="594"/>
    </row>
    <row r="81" spans="1:26">
      <c r="D81" s="595"/>
      <c r="E81" s="596"/>
      <c r="F81" s="596"/>
      <c r="G81" s="596"/>
      <c r="H81" s="596"/>
      <c r="I81" s="596"/>
      <c r="J81" s="596"/>
      <c r="K81" s="596"/>
      <c r="L81" s="596"/>
      <c r="M81" s="596"/>
      <c r="N81" s="596"/>
      <c r="O81" s="596"/>
      <c r="P81" s="596"/>
      <c r="Q81" s="596"/>
      <c r="R81" s="596"/>
      <c r="S81" s="596"/>
      <c r="T81" s="597"/>
    </row>
    <row r="82" spans="1:26">
      <c r="D82" s="598" t="s">
        <v>371</v>
      </c>
      <c r="E82" s="599"/>
      <c r="F82" s="599"/>
      <c r="G82" s="599"/>
      <c r="H82" s="599"/>
      <c r="I82" s="599"/>
      <c r="J82" s="599"/>
      <c r="K82" s="599"/>
      <c r="L82" s="599"/>
      <c r="M82" s="599"/>
      <c r="N82" s="599"/>
      <c r="O82" s="599"/>
      <c r="P82" s="599"/>
      <c r="Q82" s="599"/>
      <c r="R82" s="599"/>
      <c r="S82" s="599"/>
      <c r="T82" s="600"/>
    </row>
    <row r="83" spans="1:26">
      <c r="D83" s="586" t="s">
        <v>372</v>
      </c>
      <c r="E83" s="587"/>
      <c r="F83" s="601" t="s">
        <v>373</v>
      </c>
      <c r="G83" s="601"/>
      <c r="H83" s="601"/>
      <c r="I83" s="601"/>
      <c r="J83" s="601"/>
      <c r="K83" s="601"/>
      <c r="L83" s="601"/>
      <c r="M83" s="601"/>
      <c r="N83" s="601"/>
      <c r="O83" s="601"/>
      <c r="P83" s="601"/>
      <c r="Q83" s="601"/>
      <c r="R83" s="601"/>
      <c r="S83" s="601"/>
      <c r="T83" s="602"/>
    </row>
    <row r="84" spans="1:26">
      <c r="D84" s="586" t="s">
        <v>374</v>
      </c>
      <c r="E84" s="587"/>
      <c r="F84" s="603" t="s">
        <v>375</v>
      </c>
      <c r="G84" s="604"/>
      <c r="H84" s="604"/>
      <c r="I84" s="604"/>
      <c r="J84" s="604"/>
      <c r="K84" s="604"/>
      <c r="L84" s="604"/>
      <c r="M84" s="604"/>
      <c r="N84" s="604"/>
      <c r="O84" s="604"/>
      <c r="P84" s="604"/>
      <c r="Q84" s="604"/>
      <c r="R84" s="604"/>
      <c r="S84" s="604"/>
      <c r="T84" s="605"/>
    </row>
    <row r="85" spans="1:26">
      <c r="D85" s="586" t="s">
        <v>376</v>
      </c>
      <c r="E85" s="587"/>
      <c r="F85" s="390">
        <f>+[42]DATOS!F$5</f>
        <v>46143</v>
      </c>
      <c r="G85" s="391"/>
      <c r="H85" s="391"/>
      <c r="I85" s="391"/>
      <c r="J85" s="391"/>
      <c r="K85" s="391"/>
      <c r="L85" s="568" t="s">
        <v>377</v>
      </c>
      <c r="M85" s="568"/>
      <c r="N85" s="588" t="s">
        <v>378</v>
      </c>
      <c r="O85" s="588"/>
      <c r="P85" s="588"/>
      <c r="Q85" s="588"/>
      <c r="R85" s="588"/>
      <c r="S85" s="588"/>
      <c r="T85" s="589"/>
    </row>
    <row r="86" spans="1:26" ht="25.5">
      <c r="D86" s="586" t="s">
        <v>379</v>
      </c>
      <c r="E86" s="587"/>
      <c r="F86" s="590" t="s">
        <v>380</v>
      </c>
      <c r="G86" s="591"/>
      <c r="H86" s="392">
        <f>+[42]DATOS!E$5</f>
        <v>2026</v>
      </c>
      <c r="I86" s="393" t="s">
        <v>381</v>
      </c>
      <c r="J86" s="394">
        <f>+[42]DATOS!E$5</f>
        <v>2026</v>
      </c>
      <c r="K86" s="395"/>
      <c r="L86" s="568" t="s">
        <v>382</v>
      </c>
      <c r="M86" s="568"/>
      <c r="N86" s="588" t="s">
        <v>383</v>
      </c>
      <c r="O86" s="588"/>
      <c r="P86" s="588"/>
      <c r="Q86" s="588"/>
      <c r="R86" s="588"/>
      <c r="S86" s="588"/>
      <c r="T86" s="589"/>
    </row>
    <row r="87" spans="1:26">
      <c r="D87" s="396"/>
      <c r="E87" s="397"/>
      <c r="F87" s="397"/>
      <c r="G87" s="398"/>
      <c r="H87" s="398"/>
      <c r="I87" s="398"/>
      <c r="J87" s="398"/>
      <c r="K87" s="398"/>
      <c r="L87" s="398"/>
      <c r="M87" s="398"/>
      <c r="N87" s="398"/>
      <c r="O87" s="398"/>
      <c r="P87" s="398"/>
      <c r="Q87" s="398"/>
      <c r="R87" s="398"/>
      <c r="S87" s="398"/>
      <c r="T87" s="399"/>
    </row>
    <row r="88" spans="1:26">
      <c r="D88" s="572" t="s">
        <v>384</v>
      </c>
      <c r="E88" s="573"/>
      <c r="F88" s="573"/>
      <c r="G88" s="573"/>
      <c r="H88" s="573"/>
      <c r="I88" s="573"/>
      <c r="J88" s="573"/>
      <c r="K88" s="573"/>
      <c r="L88" s="573"/>
      <c r="M88" s="573"/>
      <c r="N88" s="573"/>
      <c r="O88" s="573"/>
      <c r="P88" s="573"/>
      <c r="Q88" s="573"/>
      <c r="R88" s="573"/>
      <c r="S88" s="573"/>
      <c r="T88" s="574"/>
    </row>
    <row r="89" spans="1:26">
      <c r="D89" s="396"/>
      <c r="E89" s="397"/>
      <c r="F89" s="397"/>
      <c r="G89" s="398"/>
      <c r="H89" s="398"/>
      <c r="I89" s="398"/>
      <c r="J89" s="398"/>
      <c r="K89" s="398"/>
      <c r="L89" s="398"/>
      <c r="M89" s="398"/>
      <c r="N89" s="398"/>
      <c r="O89" s="398"/>
      <c r="P89" s="398"/>
      <c r="Q89" s="398"/>
      <c r="R89" s="398"/>
      <c r="S89" s="398"/>
      <c r="T89" s="399"/>
    </row>
    <row r="90" spans="1:26">
      <c r="D90" s="400" t="s">
        <v>385</v>
      </c>
      <c r="E90" s="575" t="s">
        <v>386</v>
      </c>
      <c r="F90" s="575"/>
      <c r="G90" s="576" t="s">
        <v>387</v>
      </c>
      <c r="H90" s="577"/>
      <c r="I90" s="577"/>
      <c r="J90" s="576" t="s">
        <v>388</v>
      </c>
      <c r="K90" s="576" t="s">
        <v>389</v>
      </c>
      <c r="L90" s="579"/>
      <c r="M90" s="581" t="s">
        <v>390</v>
      </c>
      <c r="N90" s="581"/>
      <c r="O90" s="581"/>
      <c r="P90" s="581"/>
      <c r="Q90" s="581"/>
      <c r="R90" s="581"/>
      <c r="S90" s="581" t="s">
        <v>391</v>
      </c>
      <c r="T90" s="582"/>
    </row>
    <row r="91" spans="1:26" ht="38.25">
      <c r="D91" s="403">
        <f>+'PRESUPUESTO OFICIAL '!C31</f>
        <v>2.02</v>
      </c>
      <c r="E91" s="583" t="str">
        <f>+VLOOKUP(D91,'PRESUPUESTO OFICIAL '!$C$11:$H$103,2)</f>
        <v>ZAPATA CUADRADA EN CONCRETO f'c = 3000 PSI (21MPa).</v>
      </c>
      <c r="F91" s="584"/>
      <c r="G91" s="585" t="str">
        <f>+VLOOKUP(D91,'PRESUPUESTO OFICIAL '!$C$11:$H$103,3)</f>
        <v>M3</v>
      </c>
      <c r="H91" s="585"/>
      <c r="I91" s="585"/>
      <c r="J91" s="578"/>
      <c r="K91" s="578"/>
      <c r="L91" s="580"/>
      <c r="M91" s="401" t="s">
        <v>392</v>
      </c>
      <c r="N91" s="401" t="s">
        <v>393</v>
      </c>
      <c r="O91" s="401" t="s">
        <v>394</v>
      </c>
      <c r="P91" s="401" t="s">
        <v>395</v>
      </c>
      <c r="Q91" s="401" t="s">
        <v>396</v>
      </c>
      <c r="R91" s="401" t="s">
        <v>397</v>
      </c>
      <c r="S91" s="401" t="s">
        <v>398</v>
      </c>
      <c r="T91" s="402" t="s">
        <v>399</v>
      </c>
      <c r="V91" s="404">
        <f>+D91</f>
        <v>2.02</v>
      </c>
      <c r="W91" s="405">
        <f>+T139</f>
        <v>1.0900000000000001</v>
      </c>
    </row>
    <row r="92" spans="1:26">
      <c r="D92" s="406"/>
      <c r="E92" s="407"/>
      <c r="F92" s="407"/>
      <c r="G92" s="407"/>
      <c r="H92" s="407"/>
      <c r="I92" s="407"/>
      <c r="J92" s="558"/>
      <c r="K92" s="559"/>
      <c r="L92" s="560"/>
      <c r="M92" s="560"/>
      <c r="N92" s="560"/>
      <c r="O92" s="560"/>
      <c r="P92" s="560"/>
      <c r="Q92" s="560"/>
      <c r="R92" s="560"/>
      <c r="S92" s="560"/>
      <c r="T92" s="561"/>
    </row>
    <row r="93" spans="1:26" ht="25.5">
      <c r="A93" s="453">
        <f>+D91</f>
        <v>2.02</v>
      </c>
      <c r="B93" s="383">
        <v>1</v>
      </c>
      <c r="D93" s="406"/>
      <c r="E93" s="407"/>
      <c r="F93" s="407"/>
      <c r="G93" s="407"/>
      <c r="H93" s="407"/>
      <c r="I93" s="407"/>
      <c r="J93" s="408" t="s">
        <v>400</v>
      </c>
      <c r="K93" s="409" t="str">
        <f t="shared" ref="K93:K135" si="10">+VLOOKUP(L93,$AH$22:$AJ$58,2,)</f>
        <v>V=(Ancho x Largo x Alto)* Cant</v>
      </c>
      <c r="L93" s="410" t="str">
        <f>+G91</f>
        <v>M3</v>
      </c>
      <c r="M93" s="411"/>
      <c r="N93" s="412"/>
      <c r="O93" s="442">
        <v>0.5</v>
      </c>
      <c r="P93" s="442">
        <v>0.5</v>
      </c>
      <c r="Q93" s="413">
        <v>0.15</v>
      </c>
      <c r="R93" s="411">
        <f>+Q93*P93*O93</f>
        <v>3.7499999999999999E-2</v>
      </c>
      <c r="S93" s="413">
        <v>4</v>
      </c>
      <c r="T93" s="414">
        <f t="shared" ref="T93:T135" si="11">+S93*Q93*P93*O93</f>
        <v>0.15</v>
      </c>
      <c r="Y93" s="439">
        <f>+O93*P93*Q93*S93</f>
        <v>0.15</v>
      </c>
      <c r="Z93" s="439">
        <f>+Y93-T93</f>
        <v>0</v>
      </c>
    </row>
    <row r="94" spans="1:26" ht="25.5">
      <c r="A94" s="453">
        <f>+A93</f>
        <v>2.02</v>
      </c>
      <c r="B94" s="383">
        <v>2</v>
      </c>
      <c r="D94" s="406"/>
      <c r="E94" s="407"/>
      <c r="F94" s="407"/>
      <c r="G94" s="407"/>
      <c r="H94" s="407"/>
      <c r="I94" s="407"/>
      <c r="J94" s="408" t="s">
        <v>401</v>
      </c>
      <c r="K94" s="409" t="str">
        <f t="shared" si="10"/>
        <v>V=(Ancho x Largo x Alto)* Cant</v>
      </c>
      <c r="L94" s="410" t="str">
        <f>+L93</f>
        <v>M3</v>
      </c>
      <c r="M94" s="411"/>
      <c r="N94" s="412"/>
      <c r="O94" s="442"/>
      <c r="P94" s="442"/>
      <c r="Q94" s="413"/>
      <c r="R94" s="411">
        <f>+HLOOKUP(B94,[238]Hoja1!$2:$78,24,FALSE)</f>
        <v>0</v>
      </c>
      <c r="S94" s="413"/>
      <c r="T94" s="414">
        <f t="shared" si="11"/>
        <v>0</v>
      </c>
      <c r="Y94" s="439">
        <f t="shared" ref="Y94:Y135" si="12">+O94*P94*Q94*S94</f>
        <v>0</v>
      </c>
      <c r="Z94" s="439">
        <f t="shared" ref="Z94:Z135" si="13">+Y94-M94</f>
        <v>0</v>
      </c>
    </row>
    <row r="95" spans="1:26" ht="25.5">
      <c r="A95" s="453">
        <f t="shared" ref="A95:A135" si="14">+A94</f>
        <v>2.02</v>
      </c>
      <c r="B95" s="383">
        <v>3</v>
      </c>
      <c r="D95" s="406"/>
      <c r="E95" s="407"/>
      <c r="F95" s="407"/>
      <c r="G95" s="407"/>
      <c r="H95" s="407"/>
      <c r="I95" s="407"/>
      <c r="J95" s="408" t="s">
        <v>402</v>
      </c>
      <c r="K95" s="409" t="str">
        <f t="shared" si="10"/>
        <v>V=(Ancho x Largo x Alto)* Cant</v>
      </c>
      <c r="L95" s="410" t="str">
        <f>+L94</f>
        <v>M3</v>
      </c>
      <c r="M95" s="411"/>
      <c r="N95" s="412"/>
      <c r="O95" s="442"/>
      <c r="P95" s="442"/>
      <c r="Q95" s="413"/>
      <c r="R95" s="411">
        <f>+HLOOKUP(B95,[238]Hoja1!$2:$78,24,FALSE)</f>
        <v>0</v>
      </c>
      <c r="S95" s="413"/>
      <c r="T95" s="414">
        <f t="shared" si="11"/>
        <v>0</v>
      </c>
      <c r="Y95" s="439">
        <f t="shared" si="12"/>
        <v>0</v>
      </c>
      <c r="Z95" s="439">
        <f t="shared" si="13"/>
        <v>0</v>
      </c>
    </row>
    <row r="96" spans="1:26" ht="25.5">
      <c r="A96" s="453">
        <f t="shared" si="14"/>
        <v>2.02</v>
      </c>
      <c r="B96" s="383">
        <v>4</v>
      </c>
      <c r="D96" s="406"/>
      <c r="E96" s="407"/>
      <c r="F96" s="407"/>
      <c r="G96" s="407"/>
      <c r="H96" s="407"/>
      <c r="I96" s="407"/>
      <c r="J96" s="408" t="s">
        <v>403</v>
      </c>
      <c r="K96" s="409" t="str">
        <f t="shared" si="10"/>
        <v>V=(Ancho x Largo x Alto)* Cant</v>
      </c>
      <c r="L96" s="410" t="str">
        <f>+L95</f>
        <v>M3</v>
      </c>
      <c r="M96" s="411"/>
      <c r="N96" s="412"/>
      <c r="O96" s="442"/>
      <c r="P96" s="442"/>
      <c r="Q96" s="413"/>
      <c r="R96" s="411">
        <f>+HLOOKUP(B96,[238]Hoja1!$2:$78,24,FALSE)</f>
        <v>0</v>
      </c>
      <c r="S96" s="413"/>
      <c r="T96" s="414">
        <f t="shared" si="11"/>
        <v>0</v>
      </c>
      <c r="Y96" s="439">
        <f t="shared" si="12"/>
        <v>0</v>
      </c>
      <c r="Z96" s="439">
        <f t="shared" si="13"/>
        <v>0</v>
      </c>
    </row>
    <row r="97" spans="1:26" ht="25.5">
      <c r="A97" s="453">
        <f t="shared" si="14"/>
        <v>2.02</v>
      </c>
      <c r="B97" s="383">
        <v>5</v>
      </c>
      <c r="D97" s="406"/>
      <c r="E97" s="407"/>
      <c r="F97" s="407"/>
      <c r="G97" s="407"/>
      <c r="H97" s="407"/>
      <c r="I97" s="407"/>
      <c r="J97" s="408" t="s">
        <v>405</v>
      </c>
      <c r="K97" s="409" t="str">
        <f t="shared" si="10"/>
        <v>V=(Ancho x Largo x Alto)* Cant</v>
      </c>
      <c r="L97" s="410" t="str">
        <f>+L96</f>
        <v>M3</v>
      </c>
      <c r="M97" s="411"/>
      <c r="N97" s="412"/>
      <c r="O97" s="442"/>
      <c r="P97" s="442"/>
      <c r="Q97" s="413"/>
      <c r="R97" s="411">
        <f>+HLOOKUP(B97,[238]Hoja1!$2:$78,24,FALSE)</f>
        <v>0</v>
      </c>
      <c r="S97" s="413"/>
      <c r="T97" s="414">
        <f t="shared" si="11"/>
        <v>0</v>
      </c>
      <c r="Y97" s="439">
        <f t="shared" si="12"/>
        <v>0</v>
      </c>
      <c r="Z97" s="439">
        <f t="shared" si="13"/>
        <v>0</v>
      </c>
    </row>
    <row r="98" spans="1:26" ht="25.5">
      <c r="A98" s="453">
        <f t="shared" si="14"/>
        <v>2.02</v>
      </c>
      <c r="B98" s="383">
        <v>6</v>
      </c>
      <c r="D98" s="406"/>
      <c r="E98" s="407"/>
      <c r="F98" s="407"/>
      <c r="G98" s="407"/>
      <c r="H98" s="407"/>
      <c r="I98" s="407"/>
      <c r="J98" s="408" t="s">
        <v>407</v>
      </c>
      <c r="K98" s="409" t="str">
        <f t="shared" si="10"/>
        <v>V=(Ancho x Largo x Alto)* Cant</v>
      </c>
      <c r="L98" s="410" t="str">
        <f>+L97</f>
        <v>M3</v>
      </c>
      <c r="M98" s="411"/>
      <c r="N98" s="412"/>
      <c r="O98" s="442"/>
      <c r="P98" s="442"/>
      <c r="Q98" s="413"/>
      <c r="R98" s="411">
        <f>+HLOOKUP(B98,[238]Hoja1!$2:$78,24,FALSE)</f>
        <v>0</v>
      </c>
      <c r="S98" s="413"/>
      <c r="T98" s="414">
        <f t="shared" si="11"/>
        <v>0</v>
      </c>
      <c r="Y98" s="439">
        <f t="shared" si="12"/>
        <v>0</v>
      </c>
      <c r="Z98" s="439">
        <f t="shared" si="13"/>
        <v>0</v>
      </c>
    </row>
    <row r="99" spans="1:26" ht="25.5">
      <c r="A99" s="453">
        <f t="shared" si="14"/>
        <v>2.02</v>
      </c>
      <c r="B99" s="383">
        <v>7</v>
      </c>
      <c r="D99" s="406"/>
      <c r="E99" s="407"/>
      <c r="F99" s="407"/>
      <c r="G99" s="407"/>
      <c r="H99" s="407"/>
      <c r="I99" s="407"/>
      <c r="J99" s="408" t="s">
        <v>409</v>
      </c>
      <c r="K99" s="409" t="str">
        <f t="shared" si="10"/>
        <v>V=(Ancho x Largo x Alto)* Cant</v>
      </c>
      <c r="L99" s="410" t="str">
        <f>+L93</f>
        <v>M3</v>
      </c>
      <c r="M99" s="411"/>
      <c r="N99" s="412"/>
      <c r="O99" s="442">
        <v>0.5</v>
      </c>
      <c r="P99" s="442">
        <v>0.5</v>
      </c>
      <c r="Q99" s="413">
        <v>0.2</v>
      </c>
      <c r="R99" s="411">
        <f>+Q99*P99*O99</f>
        <v>0.05</v>
      </c>
      <c r="S99" s="413">
        <v>6</v>
      </c>
      <c r="T99" s="414">
        <f t="shared" si="11"/>
        <v>0.30000000000000004</v>
      </c>
      <c r="Y99" s="439">
        <f t="shared" si="12"/>
        <v>0.30000000000000004</v>
      </c>
      <c r="Z99" s="439">
        <f t="shared" si="13"/>
        <v>0.30000000000000004</v>
      </c>
    </row>
    <row r="100" spans="1:26" ht="25.5">
      <c r="A100" s="453">
        <f t="shared" si="14"/>
        <v>2.02</v>
      </c>
      <c r="B100" s="383">
        <v>8</v>
      </c>
      <c r="D100" s="406"/>
      <c r="E100" s="407"/>
      <c r="F100" s="407"/>
      <c r="G100" s="407"/>
      <c r="H100" s="407"/>
      <c r="I100" s="407"/>
      <c r="J100" s="408" t="s">
        <v>411</v>
      </c>
      <c r="K100" s="409" t="str">
        <f t="shared" si="10"/>
        <v>V=(Ancho x Largo x Alto)* Cant</v>
      </c>
      <c r="L100" s="410" t="str">
        <f>+L99</f>
        <v>M3</v>
      </c>
      <c r="M100" s="411"/>
      <c r="N100" s="412"/>
      <c r="O100" s="442"/>
      <c r="P100" s="442"/>
      <c r="Q100" s="413"/>
      <c r="R100" s="411">
        <f>+HLOOKUP(B100,[238]Hoja1!$2:$78,24,FALSE)</f>
        <v>0</v>
      </c>
      <c r="S100" s="413"/>
      <c r="T100" s="414">
        <f t="shared" si="11"/>
        <v>0</v>
      </c>
      <c r="Y100" s="439">
        <f t="shared" si="12"/>
        <v>0</v>
      </c>
      <c r="Z100" s="439">
        <f t="shared" si="13"/>
        <v>0</v>
      </c>
    </row>
    <row r="101" spans="1:26" ht="25.5">
      <c r="A101" s="453">
        <f t="shared" si="14"/>
        <v>2.02</v>
      </c>
      <c r="B101" s="383">
        <v>9</v>
      </c>
      <c r="D101" s="406"/>
      <c r="E101" s="407"/>
      <c r="F101" s="407"/>
      <c r="G101" s="407"/>
      <c r="H101" s="407"/>
      <c r="I101" s="407"/>
      <c r="J101" s="408" t="s">
        <v>412</v>
      </c>
      <c r="K101" s="409" t="str">
        <f t="shared" si="10"/>
        <v>V=(Ancho x Largo x Alto)* Cant</v>
      </c>
      <c r="L101" s="410" t="str">
        <f>+L100</f>
        <v>M3</v>
      </c>
      <c r="M101" s="411"/>
      <c r="N101" s="412"/>
      <c r="O101" s="442"/>
      <c r="P101" s="442"/>
      <c r="Q101" s="412"/>
      <c r="R101" s="411">
        <f>+HLOOKUP(B101,[238]Hoja1!$2:$78,24,FALSE)</f>
        <v>0</v>
      </c>
      <c r="S101" s="413"/>
      <c r="T101" s="414">
        <f t="shared" si="11"/>
        <v>0</v>
      </c>
      <c r="Y101" s="439">
        <f t="shared" si="12"/>
        <v>0</v>
      </c>
      <c r="Z101" s="439">
        <f t="shared" si="13"/>
        <v>0</v>
      </c>
    </row>
    <row r="102" spans="1:26" ht="25.5">
      <c r="A102" s="453">
        <f t="shared" si="14"/>
        <v>2.02</v>
      </c>
      <c r="B102" s="383">
        <v>10</v>
      </c>
      <c r="D102" s="406"/>
      <c r="E102" s="407"/>
      <c r="F102" s="407"/>
      <c r="G102" s="407"/>
      <c r="H102" s="407"/>
      <c r="I102" s="407"/>
      <c r="J102" s="408" t="s">
        <v>413</v>
      </c>
      <c r="K102" s="409" t="str">
        <f t="shared" si="10"/>
        <v>V=(Ancho x Largo x Alto)* Cant</v>
      </c>
      <c r="L102" s="410" t="str">
        <f>+L101</f>
        <v>M3</v>
      </c>
      <c r="M102" s="411"/>
      <c r="N102" s="412"/>
      <c r="O102" s="441"/>
      <c r="P102" s="441"/>
      <c r="Q102" s="412"/>
      <c r="R102" s="411">
        <f>+HLOOKUP(B102,[238]Hoja1!$2:$78,24,FALSE)</f>
        <v>0</v>
      </c>
      <c r="S102" s="413"/>
      <c r="T102" s="414">
        <f t="shared" si="11"/>
        <v>0</v>
      </c>
      <c r="Y102" s="439">
        <f t="shared" si="12"/>
        <v>0</v>
      </c>
      <c r="Z102" s="439">
        <f t="shared" si="13"/>
        <v>0</v>
      </c>
    </row>
    <row r="103" spans="1:26" ht="25.5">
      <c r="A103" s="453">
        <f t="shared" si="14"/>
        <v>2.02</v>
      </c>
      <c r="B103" s="383">
        <v>11</v>
      </c>
      <c r="D103" s="406"/>
      <c r="E103" s="407"/>
      <c r="F103" s="407"/>
      <c r="G103" s="407"/>
      <c r="H103" s="407"/>
      <c r="I103" s="407"/>
      <c r="J103" s="408" t="s">
        <v>414</v>
      </c>
      <c r="K103" s="409" t="str">
        <f t="shared" si="10"/>
        <v>V=(Ancho x Largo x Alto)* Cant</v>
      </c>
      <c r="L103" s="410" t="str">
        <f>+L102</f>
        <v>M3</v>
      </c>
      <c r="M103" s="411"/>
      <c r="N103" s="412"/>
      <c r="O103" s="443"/>
      <c r="P103" s="443"/>
      <c r="Q103" s="412"/>
      <c r="R103" s="411">
        <f>+HLOOKUP(B103,[238]Hoja1!$2:$78,24,FALSE)</f>
        <v>0</v>
      </c>
      <c r="S103" s="413"/>
      <c r="T103" s="414">
        <f t="shared" si="11"/>
        <v>0</v>
      </c>
      <c r="Y103" s="439">
        <f t="shared" si="12"/>
        <v>0</v>
      </c>
      <c r="Z103" s="439">
        <f t="shared" si="13"/>
        <v>0</v>
      </c>
    </row>
    <row r="104" spans="1:26" ht="25.5">
      <c r="A104" s="453">
        <f t="shared" si="14"/>
        <v>2.02</v>
      </c>
      <c r="B104" s="383">
        <v>12</v>
      </c>
      <c r="D104" s="406"/>
      <c r="E104" s="407"/>
      <c r="F104" s="407"/>
      <c r="G104" s="407"/>
      <c r="H104" s="407"/>
      <c r="I104" s="407"/>
      <c r="J104" s="408" t="s">
        <v>415</v>
      </c>
      <c r="K104" s="409" t="str">
        <f t="shared" si="10"/>
        <v>V=(Ancho x Largo x Alto)* Cant</v>
      </c>
      <c r="L104" s="410" t="str">
        <f>+L98</f>
        <v>M3</v>
      </c>
      <c r="M104" s="411"/>
      <c r="N104" s="412"/>
      <c r="O104" s="442"/>
      <c r="P104" s="442"/>
      <c r="Q104" s="413"/>
      <c r="R104" s="411">
        <f>+HLOOKUP(B104,[238]Hoja1!$2:$78,24,FALSE)</f>
        <v>0</v>
      </c>
      <c r="S104" s="413"/>
      <c r="T104" s="414">
        <f t="shared" si="11"/>
        <v>0</v>
      </c>
      <c r="Y104" s="439">
        <f t="shared" si="12"/>
        <v>0</v>
      </c>
      <c r="Z104" s="439">
        <f t="shared" si="13"/>
        <v>0</v>
      </c>
    </row>
    <row r="105" spans="1:26" ht="25.5">
      <c r="A105" s="453">
        <f t="shared" si="14"/>
        <v>2.02</v>
      </c>
      <c r="B105" s="383">
        <v>13</v>
      </c>
      <c r="D105" s="406"/>
      <c r="E105" s="407"/>
      <c r="F105" s="407"/>
      <c r="G105" s="407"/>
      <c r="H105" s="407"/>
      <c r="I105" s="407"/>
      <c r="J105" s="408" t="s">
        <v>416</v>
      </c>
      <c r="K105" s="409" t="str">
        <f t="shared" si="10"/>
        <v>V=(Ancho x Largo x Alto)* Cant</v>
      </c>
      <c r="L105" s="410" t="str">
        <f>+L100</f>
        <v>M3</v>
      </c>
      <c r="M105" s="411"/>
      <c r="N105" s="412"/>
      <c r="O105" s="442"/>
      <c r="P105" s="442"/>
      <c r="Q105" s="413"/>
      <c r="R105" s="411">
        <f>+HLOOKUP(B105,[238]Hoja1!$2:$78,24,FALSE)</f>
        <v>0</v>
      </c>
      <c r="S105" s="413"/>
      <c r="T105" s="414">
        <f t="shared" si="11"/>
        <v>0</v>
      </c>
      <c r="Y105" s="439">
        <f t="shared" si="12"/>
        <v>0</v>
      </c>
      <c r="Z105" s="439">
        <f t="shared" si="13"/>
        <v>0</v>
      </c>
    </row>
    <row r="106" spans="1:26" ht="25.5">
      <c r="A106" s="453">
        <f t="shared" si="14"/>
        <v>2.02</v>
      </c>
      <c r="B106" s="383">
        <v>14</v>
      </c>
      <c r="D106" s="406"/>
      <c r="E106" s="407"/>
      <c r="F106" s="407"/>
      <c r="G106" s="407"/>
      <c r="H106" s="407"/>
      <c r="I106" s="407"/>
      <c r="J106" s="408" t="s">
        <v>417</v>
      </c>
      <c r="K106" s="409" t="str">
        <f t="shared" si="10"/>
        <v>V=(Ancho x Largo x Alto)* Cant</v>
      </c>
      <c r="L106" s="410" t="str">
        <f t="shared" ref="L106:L117" si="15">+L105</f>
        <v>M3</v>
      </c>
      <c r="M106" s="411"/>
      <c r="N106" s="412"/>
      <c r="O106" s="442"/>
      <c r="P106" s="442"/>
      <c r="Q106" s="412"/>
      <c r="R106" s="411">
        <f>+HLOOKUP(B106,[238]Hoja1!$2:$78,24,FALSE)</f>
        <v>0</v>
      </c>
      <c r="S106" s="413"/>
      <c r="T106" s="414">
        <f t="shared" si="11"/>
        <v>0</v>
      </c>
      <c r="Y106" s="439">
        <f t="shared" si="12"/>
        <v>0</v>
      </c>
      <c r="Z106" s="439">
        <f t="shared" si="13"/>
        <v>0</v>
      </c>
    </row>
    <row r="107" spans="1:26" ht="25.5">
      <c r="A107" s="453">
        <f t="shared" si="14"/>
        <v>2.02</v>
      </c>
      <c r="B107" s="383">
        <v>15</v>
      </c>
      <c r="D107" s="406"/>
      <c r="E107" s="407"/>
      <c r="F107" s="407"/>
      <c r="G107" s="407"/>
      <c r="H107" s="407"/>
      <c r="I107" s="407"/>
      <c r="J107" s="408" t="s">
        <v>418</v>
      </c>
      <c r="K107" s="409" t="str">
        <f t="shared" si="10"/>
        <v>V=(Ancho x Largo x Alto)* Cant</v>
      </c>
      <c r="L107" s="410" t="str">
        <f t="shared" si="15"/>
        <v>M3</v>
      </c>
      <c r="M107" s="411"/>
      <c r="N107" s="412"/>
      <c r="O107" s="442">
        <v>0.5</v>
      </c>
      <c r="P107" s="442">
        <v>0.5</v>
      </c>
      <c r="Q107" s="413">
        <v>0.2</v>
      </c>
      <c r="R107" s="411">
        <f>+Q107*P107*O107</f>
        <v>0.05</v>
      </c>
      <c r="S107" s="413">
        <v>6</v>
      </c>
      <c r="T107" s="414">
        <f t="shared" si="11"/>
        <v>0.30000000000000004</v>
      </c>
      <c r="Y107" s="439">
        <f t="shared" si="12"/>
        <v>0.30000000000000004</v>
      </c>
      <c r="Z107" s="439">
        <f t="shared" si="13"/>
        <v>0.30000000000000004</v>
      </c>
    </row>
    <row r="108" spans="1:26" ht="25.5">
      <c r="A108" s="453">
        <f t="shared" si="14"/>
        <v>2.02</v>
      </c>
      <c r="B108" s="383">
        <v>16</v>
      </c>
      <c r="D108" s="406"/>
      <c r="E108" s="407"/>
      <c r="F108" s="407"/>
      <c r="G108" s="407"/>
      <c r="H108" s="407"/>
      <c r="I108" s="407"/>
      <c r="J108" s="408" t="s">
        <v>419</v>
      </c>
      <c r="K108" s="409" t="str">
        <f t="shared" si="10"/>
        <v>V=(Ancho x Largo x Alto)* Cant</v>
      </c>
      <c r="L108" s="410" t="str">
        <f t="shared" si="15"/>
        <v>M3</v>
      </c>
      <c r="M108" s="411"/>
      <c r="N108" s="412"/>
      <c r="O108" s="442"/>
      <c r="P108" s="442"/>
      <c r="Q108" s="412"/>
      <c r="R108" s="411">
        <f>+HLOOKUP(B108,[238]Hoja1!$2:$78,24,FALSE)</f>
        <v>0</v>
      </c>
      <c r="S108" s="413"/>
      <c r="T108" s="414">
        <f t="shared" si="11"/>
        <v>0</v>
      </c>
      <c r="Y108" s="439">
        <f t="shared" si="12"/>
        <v>0</v>
      </c>
      <c r="Z108" s="439">
        <f t="shared" si="13"/>
        <v>0</v>
      </c>
    </row>
    <row r="109" spans="1:26" ht="25.5">
      <c r="A109" s="453">
        <f t="shared" si="14"/>
        <v>2.02</v>
      </c>
      <c r="B109" s="383">
        <v>17</v>
      </c>
      <c r="D109" s="406"/>
      <c r="E109" s="407"/>
      <c r="F109" s="407"/>
      <c r="G109" s="407"/>
      <c r="H109" s="407"/>
      <c r="I109" s="407"/>
      <c r="J109" s="408" t="s">
        <v>420</v>
      </c>
      <c r="K109" s="409" t="str">
        <f t="shared" si="10"/>
        <v>V=(Ancho x Largo x Alto)* Cant</v>
      </c>
      <c r="L109" s="410" t="str">
        <f t="shared" si="15"/>
        <v>M3</v>
      </c>
      <c r="M109" s="411"/>
      <c r="N109" s="412"/>
      <c r="O109" s="442"/>
      <c r="P109" s="442"/>
      <c r="Q109" s="412"/>
      <c r="R109" s="411">
        <f>+HLOOKUP(B109,[238]Hoja1!$2:$78,24,FALSE)</f>
        <v>0</v>
      </c>
      <c r="S109" s="413"/>
      <c r="T109" s="414">
        <f t="shared" si="11"/>
        <v>0</v>
      </c>
      <c r="Y109" s="439">
        <f t="shared" si="12"/>
        <v>0</v>
      </c>
      <c r="Z109" s="439">
        <f t="shared" si="13"/>
        <v>0</v>
      </c>
    </row>
    <row r="110" spans="1:26" ht="25.5">
      <c r="A110" s="453">
        <f t="shared" si="14"/>
        <v>2.02</v>
      </c>
      <c r="B110" s="383">
        <v>18</v>
      </c>
      <c r="D110" s="406"/>
      <c r="E110" s="407"/>
      <c r="F110" s="407"/>
      <c r="G110" s="407"/>
      <c r="H110" s="407"/>
      <c r="I110" s="407"/>
      <c r="J110" s="408" t="s">
        <v>429</v>
      </c>
      <c r="K110" s="409" t="str">
        <f t="shared" si="10"/>
        <v>V=(Ancho x Largo x Alto)* Cant</v>
      </c>
      <c r="L110" s="410" t="str">
        <f t="shared" si="15"/>
        <v>M3</v>
      </c>
      <c r="M110" s="411"/>
      <c r="N110" s="412"/>
      <c r="O110" s="442"/>
      <c r="P110" s="442"/>
      <c r="Q110" s="412"/>
      <c r="R110" s="411">
        <f>+HLOOKUP(B110,[238]Hoja1!$2:$78,24,FALSE)</f>
        <v>0</v>
      </c>
      <c r="S110" s="413"/>
      <c r="T110" s="414">
        <f t="shared" si="11"/>
        <v>0</v>
      </c>
      <c r="Y110" s="439">
        <f t="shared" si="12"/>
        <v>0</v>
      </c>
      <c r="Z110" s="439">
        <f t="shared" si="13"/>
        <v>0</v>
      </c>
    </row>
    <row r="111" spans="1:26" ht="25.5">
      <c r="A111" s="453">
        <f t="shared" si="14"/>
        <v>2.02</v>
      </c>
      <c r="B111" s="383">
        <v>19</v>
      </c>
      <c r="D111" s="406"/>
      <c r="E111" s="407"/>
      <c r="F111" s="407"/>
      <c r="G111" s="407"/>
      <c r="H111" s="407"/>
      <c r="I111" s="407"/>
      <c r="J111" s="408" t="s">
        <v>430</v>
      </c>
      <c r="K111" s="409" t="str">
        <f t="shared" si="10"/>
        <v>V=(Ancho x Largo x Alto)* Cant</v>
      </c>
      <c r="L111" s="410" t="str">
        <f t="shared" si="15"/>
        <v>M3</v>
      </c>
      <c r="M111" s="411"/>
      <c r="N111" s="412"/>
      <c r="O111" s="442"/>
      <c r="P111" s="442"/>
      <c r="Q111" s="412"/>
      <c r="R111" s="411">
        <f>+HLOOKUP(B111,[238]Hoja1!$2:$78,24,FALSE)</f>
        <v>0</v>
      </c>
      <c r="S111" s="413"/>
      <c r="T111" s="414">
        <f t="shared" si="11"/>
        <v>0</v>
      </c>
      <c r="Y111" s="439">
        <f t="shared" si="12"/>
        <v>0</v>
      </c>
      <c r="Z111" s="439">
        <f t="shared" si="13"/>
        <v>0</v>
      </c>
    </row>
    <row r="112" spans="1:26" ht="25.5">
      <c r="A112" s="453">
        <f t="shared" si="14"/>
        <v>2.02</v>
      </c>
      <c r="B112" s="383">
        <v>20</v>
      </c>
      <c r="D112" s="406"/>
      <c r="E112" s="407"/>
      <c r="F112" s="407"/>
      <c r="G112" s="407"/>
      <c r="H112" s="407"/>
      <c r="I112" s="407"/>
      <c r="J112" s="408" t="s">
        <v>431</v>
      </c>
      <c r="K112" s="409" t="str">
        <f t="shared" si="10"/>
        <v>V=(Ancho x Largo x Alto)* Cant</v>
      </c>
      <c r="L112" s="410" t="str">
        <f t="shared" si="15"/>
        <v>M3</v>
      </c>
      <c r="M112" s="411"/>
      <c r="N112" s="412"/>
      <c r="O112" s="442"/>
      <c r="P112" s="442"/>
      <c r="Q112" s="412"/>
      <c r="R112" s="411">
        <f>+HLOOKUP(B112,[238]Hoja1!$2:$78,24,FALSE)</f>
        <v>0</v>
      </c>
      <c r="S112" s="413"/>
      <c r="T112" s="414">
        <f t="shared" si="11"/>
        <v>0</v>
      </c>
      <c r="Y112" s="439">
        <f t="shared" si="12"/>
        <v>0</v>
      </c>
      <c r="Z112" s="439">
        <f t="shared" si="13"/>
        <v>0</v>
      </c>
    </row>
    <row r="113" spans="1:26" ht="25.5">
      <c r="A113" s="453">
        <f t="shared" si="14"/>
        <v>2.02</v>
      </c>
      <c r="B113" s="383">
        <v>21</v>
      </c>
      <c r="D113" s="406"/>
      <c r="E113" s="407"/>
      <c r="F113" s="407"/>
      <c r="G113" s="407"/>
      <c r="H113" s="407"/>
      <c r="I113" s="407"/>
      <c r="J113" s="408" t="s">
        <v>432</v>
      </c>
      <c r="K113" s="409" t="str">
        <f t="shared" si="10"/>
        <v>V=(Ancho x Largo x Alto)* Cant</v>
      </c>
      <c r="L113" s="410" t="str">
        <f t="shared" si="15"/>
        <v>M3</v>
      </c>
      <c r="M113" s="411"/>
      <c r="N113" s="412"/>
      <c r="O113" s="442">
        <v>0.6</v>
      </c>
      <c r="P113" s="442">
        <v>0.6</v>
      </c>
      <c r="Q113" s="412">
        <v>0.2</v>
      </c>
      <c r="R113" s="411">
        <f>+Q113*P113*O113</f>
        <v>7.1999999999999995E-2</v>
      </c>
      <c r="S113" s="413">
        <v>2</v>
      </c>
      <c r="T113" s="414">
        <f t="shared" si="11"/>
        <v>0.14399999999999999</v>
      </c>
      <c r="Y113" s="439">
        <f t="shared" si="12"/>
        <v>0.14399999999999999</v>
      </c>
      <c r="Z113" s="439">
        <f t="shared" si="13"/>
        <v>0.14399999999999999</v>
      </c>
    </row>
    <row r="114" spans="1:26" ht="25.5">
      <c r="A114" s="453">
        <f t="shared" si="14"/>
        <v>2.02</v>
      </c>
      <c r="B114" s="383">
        <v>22</v>
      </c>
      <c r="D114" s="406"/>
      <c r="E114" s="407"/>
      <c r="F114" s="407"/>
      <c r="G114" s="407"/>
      <c r="H114" s="407"/>
      <c r="I114" s="407"/>
      <c r="J114" s="408" t="s">
        <v>433</v>
      </c>
      <c r="K114" s="409" t="str">
        <f t="shared" si="10"/>
        <v>V=(Ancho x Largo x Alto)* Cant</v>
      </c>
      <c r="L114" s="410" t="str">
        <f t="shared" si="15"/>
        <v>M3</v>
      </c>
      <c r="M114" s="411"/>
      <c r="N114" s="412"/>
      <c r="O114" s="442"/>
      <c r="P114" s="442"/>
      <c r="Q114" s="412"/>
      <c r="R114" s="411">
        <f>+HLOOKUP(B114,[238]Hoja1!$2:$78,24,FALSE)</f>
        <v>0</v>
      </c>
      <c r="S114" s="413"/>
      <c r="T114" s="414">
        <f t="shared" si="11"/>
        <v>0</v>
      </c>
      <c r="Y114" s="439">
        <f t="shared" si="12"/>
        <v>0</v>
      </c>
      <c r="Z114" s="439">
        <f t="shared" si="13"/>
        <v>0</v>
      </c>
    </row>
    <row r="115" spans="1:26" ht="25.5">
      <c r="A115" s="453">
        <f t="shared" si="14"/>
        <v>2.02</v>
      </c>
      <c r="B115" s="383">
        <v>23</v>
      </c>
      <c r="D115" s="406"/>
      <c r="E115" s="407"/>
      <c r="F115" s="407"/>
      <c r="G115" s="407"/>
      <c r="H115" s="407"/>
      <c r="I115" s="407"/>
      <c r="J115" s="408" t="s">
        <v>434</v>
      </c>
      <c r="K115" s="409" t="str">
        <f t="shared" si="10"/>
        <v>V=(Ancho x Largo x Alto)* Cant</v>
      </c>
      <c r="L115" s="410" t="str">
        <f t="shared" si="15"/>
        <v>M3</v>
      </c>
      <c r="M115" s="411"/>
      <c r="N115" s="412"/>
      <c r="O115" s="441">
        <v>0.5</v>
      </c>
      <c r="P115" s="441">
        <v>0.5</v>
      </c>
      <c r="Q115" s="412">
        <v>0.2</v>
      </c>
      <c r="R115" s="411">
        <f>+Q115*P115*O115</f>
        <v>0.05</v>
      </c>
      <c r="S115" s="413">
        <v>4</v>
      </c>
      <c r="T115" s="414">
        <f t="shared" si="11"/>
        <v>0.2</v>
      </c>
      <c r="Y115" s="439">
        <f t="shared" si="12"/>
        <v>0.2</v>
      </c>
      <c r="Z115" s="439">
        <f t="shared" si="13"/>
        <v>0.2</v>
      </c>
    </row>
    <row r="116" spans="1:26" ht="25.5">
      <c r="A116" s="453">
        <f t="shared" si="14"/>
        <v>2.02</v>
      </c>
      <c r="B116" s="383">
        <v>24</v>
      </c>
      <c r="D116" s="406"/>
      <c r="E116" s="407"/>
      <c r="F116" s="407"/>
      <c r="G116" s="407"/>
      <c r="H116" s="407"/>
      <c r="I116" s="407"/>
      <c r="J116" s="408" t="s">
        <v>435</v>
      </c>
      <c r="K116" s="409" t="str">
        <f t="shared" si="10"/>
        <v>V=(Ancho x Largo x Alto)* Cant</v>
      </c>
      <c r="L116" s="410" t="str">
        <f t="shared" si="15"/>
        <v>M3</v>
      </c>
      <c r="M116" s="411"/>
      <c r="N116" s="412"/>
      <c r="O116" s="442"/>
      <c r="P116" s="442"/>
      <c r="Q116" s="413"/>
      <c r="R116" s="411">
        <f>+HLOOKUP(B116,[238]Hoja1!$2:$78,24,FALSE)</f>
        <v>0</v>
      </c>
      <c r="S116" s="413"/>
      <c r="T116" s="414">
        <f t="shared" si="11"/>
        <v>0</v>
      </c>
      <c r="Y116" s="439">
        <f t="shared" si="12"/>
        <v>0</v>
      </c>
      <c r="Z116" s="439">
        <f t="shared" si="13"/>
        <v>0</v>
      </c>
    </row>
    <row r="117" spans="1:26" ht="25.5">
      <c r="A117" s="453">
        <f t="shared" si="14"/>
        <v>2.02</v>
      </c>
      <c r="B117" s="383">
        <v>25</v>
      </c>
      <c r="D117" s="406"/>
      <c r="E117" s="407"/>
      <c r="F117" s="407"/>
      <c r="G117" s="407"/>
      <c r="H117" s="407"/>
      <c r="I117" s="407"/>
      <c r="J117" s="408" t="s">
        <v>436</v>
      </c>
      <c r="K117" s="409" t="str">
        <f t="shared" si="10"/>
        <v>V=(Ancho x Largo x Alto)* Cant</v>
      </c>
      <c r="L117" s="410" t="str">
        <f t="shared" si="15"/>
        <v>M3</v>
      </c>
      <c r="M117" s="411"/>
      <c r="N117" s="412"/>
      <c r="O117" s="442"/>
      <c r="P117" s="442"/>
      <c r="Q117" s="412"/>
      <c r="R117" s="411">
        <f>+HLOOKUP(B117,[238]Hoja1!$2:$78,24,FALSE)</f>
        <v>0</v>
      </c>
      <c r="S117" s="413"/>
      <c r="T117" s="414">
        <f t="shared" si="11"/>
        <v>0</v>
      </c>
      <c r="Y117" s="439">
        <f t="shared" si="12"/>
        <v>0</v>
      </c>
      <c r="Z117" s="439">
        <f t="shared" si="13"/>
        <v>0</v>
      </c>
    </row>
    <row r="118" spans="1:26" ht="25.5">
      <c r="A118" s="453">
        <f t="shared" si="14"/>
        <v>2.02</v>
      </c>
      <c r="B118" s="383">
        <v>26</v>
      </c>
      <c r="D118" s="406"/>
      <c r="E118" s="407"/>
      <c r="F118" s="407"/>
      <c r="G118" s="407"/>
      <c r="H118" s="407"/>
      <c r="I118" s="407"/>
      <c r="J118" s="408" t="s">
        <v>437</v>
      </c>
      <c r="K118" s="409" t="str">
        <f t="shared" si="10"/>
        <v>V=(Ancho x Largo x Alto)* Cant</v>
      </c>
      <c r="L118" s="410" t="str">
        <f>+L107</f>
        <v>M3</v>
      </c>
      <c r="M118" s="411"/>
      <c r="N118" s="412"/>
      <c r="O118" s="442"/>
      <c r="P118" s="442"/>
      <c r="Q118" s="412"/>
      <c r="R118" s="411">
        <f>+HLOOKUP(B118,[238]Hoja1!$2:$78,24,FALSE)</f>
        <v>0</v>
      </c>
      <c r="S118" s="413"/>
      <c r="T118" s="414">
        <f t="shared" si="11"/>
        <v>0</v>
      </c>
      <c r="Y118" s="439">
        <f t="shared" si="12"/>
        <v>0</v>
      </c>
      <c r="Z118" s="439">
        <f t="shared" si="13"/>
        <v>0</v>
      </c>
    </row>
    <row r="119" spans="1:26" ht="25.5">
      <c r="A119" s="453">
        <f t="shared" si="14"/>
        <v>2.02</v>
      </c>
      <c r="B119" s="383">
        <v>27</v>
      </c>
      <c r="D119" s="406"/>
      <c r="E119" s="407"/>
      <c r="F119" s="407"/>
      <c r="G119" s="407"/>
      <c r="H119" s="407"/>
      <c r="I119" s="407"/>
      <c r="J119" s="408" t="s">
        <v>438</v>
      </c>
      <c r="K119" s="409" t="str">
        <f t="shared" si="10"/>
        <v>V=(Ancho x Largo x Alto)* Cant</v>
      </c>
      <c r="L119" s="410" t="str">
        <f t="shared" ref="L119:L127" si="16">+L118</f>
        <v>M3</v>
      </c>
      <c r="M119" s="411"/>
      <c r="N119" s="412"/>
      <c r="O119" s="442"/>
      <c r="P119" s="442"/>
      <c r="Q119" s="412"/>
      <c r="R119" s="411">
        <f>+HLOOKUP(B119,[238]Hoja1!$2:$78,24,FALSE)</f>
        <v>0</v>
      </c>
      <c r="S119" s="413"/>
      <c r="T119" s="414">
        <f t="shared" si="11"/>
        <v>0</v>
      </c>
      <c r="Y119" s="439">
        <f t="shared" si="12"/>
        <v>0</v>
      </c>
      <c r="Z119" s="439">
        <f t="shared" si="13"/>
        <v>0</v>
      </c>
    </row>
    <row r="120" spans="1:26" ht="25.5">
      <c r="A120" s="453">
        <f t="shared" si="14"/>
        <v>2.02</v>
      </c>
      <c r="B120" s="383">
        <v>28</v>
      </c>
      <c r="D120" s="406"/>
      <c r="E120" s="440"/>
      <c r="F120" s="407"/>
      <c r="G120" s="407"/>
      <c r="H120" s="407"/>
      <c r="I120" s="437"/>
      <c r="J120" s="408" t="s">
        <v>439</v>
      </c>
      <c r="K120" s="409" t="str">
        <f t="shared" si="10"/>
        <v>V=(Ancho x Largo x Alto)* Cant</v>
      </c>
      <c r="L120" s="410" t="str">
        <f t="shared" si="16"/>
        <v>M3</v>
      </c>
      <c r="M120" s="411"/>
      <c r="N120" s="412"/>
      <c r="O120" s="442"/>
      <c r="P120" s="442"/>
      <c r="Q120" s="413"/>
      <c r="R120" s="411">
        <f>+HLOOKUP(B120,[238]Hoja1!$2:$78,24,FALSE)</f>
        <v>0</v>
      </c>
      <c r="S120" s="413"/>
      <c r="T120" s="414">
        <f t="shared" si="11"/>
        <v>0</v>
      </c>
      <c r="Y120" s="439">
        <f t="shared" si="12"/>
        <v>0</v>
      </c>
      <c r="Z120" s="439">
        <f t="shared" si="13"/>
        <v>0</v>
      </c>
    </row>
    <row r="121" spans="1:26" ht="25.5">
      <c r="A121" s="453">
        <f t="shared" si="14"/>
        <v>2.02</v>
      </c>
      <c r="B121" s="383">
        <v>29</v>
      </c>
      <c r="D121" s="406"/>
      <c r="E121" s="407"/>
      <c r="F121" s="407"/>
      <c r="G121" s="407"/>
      <c r="H121" s="407"/>
      <c r="I121" s="407"/>
      <c r="J121" s="408" t="s">
        <v>440</v>
      </c>
      <c r="K121" s="409" t="str">
        <f t="shared" si="10"/>
        <v>V=(Ancho x Largo x Alto)* Cant</v>
      </c>
      <c r="L121" s="410" t="str">
        <f t="shared" si="16"/>
        <v>M3</v>
      </c>
      <c r="M121" s="411"/>
      <c r="N121" s="412"/>
      <c r="O121" s="443"/>
      <c r="P121" s="443"/>
      <c r="Q121" s="412"/>
      <c r="R121" s="411">
        <f>+HLOOKUP(B121,[238]Hoja1!$2:$78,24,FALSE)</f>
        <v>0</v>
      </c>
      <c r="S121" s="413"/>
      <c r="T121" s="414">
        <f t="shared" si="11"/>
        <v>0</v>
      </c>
      <c r="Y121" s="439">
        <f t="shared" si="12"/>
        <v>0</v>
      </c>
      <c r="Z121" s="439">
        <f t="shared" si="13"/>
        <v>0</v>
      </c>
    </row>
    <row r="122" spans="1:26" ht="25.5">
      <c r="A122" s="453">
        <f t="shared" si="14"/>
        <v>2.02</v>
      </c>
      <c r="B122" s="383">
        <v>30</v>
      </c>
      <c r="D122" s="406"/>
      <c r="E122" s="407"/>
      <c r="F122" s="407"/>
      <c r="G122" s="407"/>
      <c r="H122" s="407"/>
      <c r="I122" s="407"/>
      <c r="J122" s="408" t="s">
        <v>441</v>
      </c>
      <c r="K122" s="409" t="str">
        <f t="shared" si="10"/>
        <v>V=(Ancho x Largo x Alto)* Cant</v>
      </c>
      <c r="L122" s="410" t="str">
        <f t="shared" si="16"/>
        <v>M3</v>
      </c>
      <c r="M122" s="411"/>
      <c r="N122" s="412"/>
      <c r="O122" s="442"/>
      <c r="P122" s="442"/>
      <c r="Q122" s="412"/>
      <c r="R122" s="411">
        <f>+HLOOKUP(B122,[238]Hoja1!$2:$78,24,FALSE)</f>
        <v>0</v>
      </c>
      <c r="S122" s="413"/>
      <c r="T122" s="414">
        <f t="shared" si="11"/>
        <v>0</v>
      </c>
      <c r="Y122" s="439">
        <f t="shared" si="12"/>
        <v>0</v>
      </c>
      <c r="Z122" s="439">
        <f t="shared" si="13"/>
        <v>0</v>
      </c>
    </row>
    <row r="123" spans="1:26" ht="25.5">
      <c r="A123" s="453">
        <f t="shared" si="14"/>
        <v>2.02</v>
      </c>
      <c r="B123" s="383">
        <v>31</v>
      </c>
      <c r="D123" s="406"/>
      <c r="E123" s="407"/>
      <c r="F123" s="407"/>
      <c r="G123" s="407"/>
      <c r="H123" s="407"/>
      <c r="I123" s="407"/>
      <c r="J123" s="408" t="s">
        <v>442</v>
      </c>
      <c r="K123" s="409" t="str">
        <f t="shared" si="10"/>
        <v>V=(Ancho x Largo x Alto)* Cant</v>
      </c>
      <c r="L123" s="410" t="str">
        <f t="shared" si="16"/>
        <v>M3</v>
      </c>
      <c r="M123" s="411"/>
      <c r="N123" s="412"/>
      <c r="O123" s="442"/>
      <c r="P123" s="442"/>
      <c r="Q123" s="413"/>
      <c r="R123" s="411">
        <f>+HLOOKUP(B123,[238]Hoja1!$2:$78,24,FALSE)</f>
        <v>0</v>
      </c>
      <c r="S123" s="413"/>
      <c r="T123" s="414">
        <f t="shared" si="11"/>
        <v>0</v>
      </c>
      <c r="Y123" s="439">
        <f t="shared" si="12"/>
        <v>0</v>
      </c>
      <c r="Z123" s="439">
        <f t="shared" si="13"/>
        <v>0</v>
      </c>
    </row>
    <row r="124" spans="1:26" ht="25.5">
      <c r="A124" s="453">
        <f t="shared" si="14"/>
        <v>2.02</v>
      </c>
      <c r="B124" s="383">
        <v>32</v>
      </c>
      <c r="D124" s="406"/>
      <c r="E124" s="407"/>
      <c r="F124" s="407"/>
      <c r="G124" s="407"/>
      <c r="H124" s="407"/>
      <c r="I124" s="407"/>
      <c r="J124" s="408" t="s">
        <v>443</v>
      </c>
      <c r="K124" s="409" t="str">
        <f t="shared" si="10"/>
        <v>V=(Ancho x Largo x Alto)* Cant</v>
      </c>
      <c r="L124" s="410" t="str">
        <f t="shared" si="16"/>
        <v>M3</v>
      </c>
      <c r="M124" s="411"/>
      <c r="N124" s="412"/>
      <c r="O124" s="442"/>
      <c r="P124" s="442"/>
      <c r="Q124" s="412"/>
      <c r="R124" s="411">
        <f>+HLOOKUP(B124,[238]Hoja1!$2:$78,24,FALSE)</f>
        <v>0</v>
      </c>
      <c r="S124" s="413"/>
      <c r="T124" s="414">
        <f t="shared" si="11"/>
        <v>0</v>
      </c>
      <c r="Y124" s="439">
        <f t="shared" si="12"/>
        <v>0</v>
      </c>
      <c r="Z124" s="439">
        <f t="shared" si="13"/>
        <v>0</v>
      </c>
    </row>
    <row r="125" spans="1:26" ht="25.5">
      <c r="A125" s="453">
        <f t="shared" si="14"/>
        <v>2.02</v>
      </c>
      <c r="B125" s="383">
        <v>33</v>
      </c>
      <c r="D125" s="406"/>
      <c r="E125" s="407"/>
      <c r="F125" s="407"/>
      <c r="G125" s="407"/>
      <c r="H125" s="407"/>
      <c r="I125" s="407"/>
      <c r="J125" s="408" t="s">
        <v>444</v>
      </c>
      <c r="K125" s="409" t="str">
        <f t="shared" si="10"/>
        <v>V=(Ancho x Largo x Alto)* Cant</v>
      </c>
      <c r="L125" s="410" t="str">
        <f t="shared" si="16"/>
        <v>M3</v>
      </c>
      <c r="M125" s="411"/>
      <c r="N125" s="412"/>
      <c r="O125" s="442"/>
      <c r="P125" s="442"/>
      <c r="Q125" s="412"/>
      <c r="R125" s="411">
        <f>+HLOOKUP(B125,[238]Hoja1!$2:$78,24,FALSE)</f>
        <v>0</v>
      </c>
      <c r="S125" s="413"/>
      <c r="T125" s="414">
        <f t="shared" si="11"/>
        <v>0</v>
      </c>
      <c r="Y125" s="439">
        <f t="shared" si="12"/>
        <v>0</v>
      </c>
      <c r="Z125" s="439">
        <f t="shared" si="13"/>
        <v>0</v>
      </c>
    </row>
    <row r="126" spans="1:26" ht="25.5">
      <c r="A126" s="453">
        <f t="shared" si="14"/>
        <v>2.02</v>
      </c>
      <c r="B126" s="383">
        <v>34</v>
      </c>
      <c r="D126" s="406"/>
      <c r="E126" s="407"/>
      <c r="F126" s="407"/>
      <c r="G126" s="407"/>
      <c r="H126" s="407"/>
      <c r="I126" s="407"/>
      <c r="J126" s="408" t="s">
        <v>445</v>
      </c>
      <c r="K126" s="409" t="str">
        <f t="shared" si="10"/>
        <v>V=(Ancho x Largo x Alto)* Cant</v>
      </c>
      <c r="L126" s="410" t="str">
        <f t="shared" si="16"/>
        <v>M3</v>
      </c>
      <c r="M126" s="411"/>
      <c r="N126" s="412"/>
      <c r="O126" s="443"/>
      <c r="P126" s="443"/>
      <c r="Q126" s="412"/>
      <c r="R126" s="411">
        <f>+HLOOKUP(B126,[238]Hoja1!$2:$78,24,FALSE)</f>
        <v>0</v>
      </c>
      <c r="S126" s="413"/>
      <c r="T126" s="414">
        <f t="shared" si="11"/>
        <v>0</v>
      </c>
      <c r="Y126" s="439">
        <f t="shared" si="12"/>
        <v>0</v>
      </c>
      <c r="Z126" s="439">
        <f t="shared" si="13"/>
        <v>0</v>
      </c>
    </row>
    <row r="127" spans="1:26" ht="25.5">
      <c r="A127" s="453">
        <f t="shared" si="14"/>
        <v>2.02</v>
      </c>
      <c r="B127" s="383">
        <v>35</v>
      </c>
      <c r="D127" s="406"/>
      <c r="E127" s="440"/>
      <c r="F127" s="407"/>
      <c r="G127" s="407"/>
      <c r="H127" s="407"/>
      <c r="I127" s="437"/>
      <c r="J127" s="408" t="s">
        <v>446</v>
      </c>
      <c r="K127" s="409" t="str">
        <f t="shared" si="10"/>
        <v>V=(Ancho x Largo x Alto)* Cant</v>
      </c>
      <c r="L127" s="410" t="str">
        <f t="shared" si="16"/>
        <v>M3</v>
      </c>
      <c r="M127" s="411"/>
      <c r="N127" s="412"/>
      <c r="O127" s="442"/>
      <c r="P127" s="442"/>
      <c r="Q127" s="413"/>
      <c r="R127" s="411">
        <f>+HLOOKUP(B127,[238]Hoja1!$2:$78,24,FALSE)</f>
        <v>0</v>
      </c>
      <c r="S127" s="413"/>
      <c r="T127" s="414">
        <f t="shared" si="11"/>
        <v>0</v>
      </c>
      <c r="Y127" s="439">
        <f t="shared" si="12"/>
        <v>0</v>
      </c>
      <c r="Z127" s="439">
        <f t="shared" si="13"/>
        <v>0</v>
      </c>
    </row>
    <row r="128" spans="1:26" ht="25.5">
      <c r="A128" s="453">
        <f t="shared" si="14"/>
        <v>2.02</v>
      </c>
      <c r="B128" s="383">
        <v>36</v>
      </c>
      <c r="D128" s="406"/>
      <c r="E128" s="407"/>
      <c r="F128" s="407"/>
      <c r="G128" s="407"/>
      <c r="H128" s="407"/>
      <c r="I128" s="407"/>
      <c r="J128" s="408" t="s">
        <v>447</v>
      </c>
      <c r="K128" s="409" t="str">
        <f t="shared" si="10"/>
        <v>V=(Ancho x Largo x Alto)* Cant</v>
      </c>
      <c r="L128" s="410" t="str">
        <f>+L117</f>
        <v>M3</v>
      </c>
      <c r="M128" s="411"/>
      <c r="N128" s="412"/>
      <c r="O128" s="442"/>
      <c r="P128" s="442"/>
      <c r="Q128" s="412"/>
      <c r="R128" s="411">
        <f>+HLOOKUP(B128,[238]Hoja1!$2:$78,24,FALSE)</f>
        <v>0</v>
      </c>
      <c r="S128" s="413"/>
      <c r="T128" s="414">
        <f t="shared" si="11"/>
        <v>0</v>
      </c>
      <c r="Y128" s="439">
        <f t="shared" si="12"/>
        <v>0</v>
      </c>
      <c r="Z128" s="439">
        <f t="shared" si="13"/>
        <v>0</v>
      </c>
    </row>
    <row r="129" spans="1:26" ht="25.5">
      <c r="A129" s="453">
        <f t="shared" si="14"/>
        <v>2.02</v>
      </c>
      <c r="B129" s="383">
        <v>37</v>
      </c>
      <c r="D129" s="406"/>
      <c r="E129" s="407"/>
      <c r="F129" s="407"/>
      <c r="G129" s="407"/>
      <c r="H129" s="407"/>
      <c r="I129" s="407"/>
      <c r="J129" s="408" t="s">
        <v>448</v>
      </c>
      <c r="K129" s="409" t="str">
        <f t="shared" si="10"/>
        <v>V=(Ancho x Largo x Alto)* Cant</v>
      </c>
      <c r="L129" s="410" t="str">
        <f t="shared" ref="L129:L135" si="17">+L128</f>
        <v>M3</v>
      </c>
      <c r="M129" s="411"/>
      <c r="N129" s="412"/>
      <c r="O129" s="441"/>
      <c r="P129" s="441"/>
      <c r="Q129" s="412"/>
      <c r="R129" s="411">
        <f>+HLOOKUP(B129,[238]Hoja1!$2:$78,24,FALSE)</f>
        <v>0</v>
      </c>
      <c r="S129" s="413"/>
      <c r="T129" s="414">
        <f t="shared" si="11"/>
        <v>0</v>
      </c>
      <c r="Y129" s="439">
        <f t="shared" si="12"/>
        <v>0</v>
      </c>
      <c r="Z129" s="439">
        <f t="shared" si="13"/>
        <v>0</v>
      </c>
    </row>
    <row r="130" spans="1:26" ht="25.5">
      <c r="A130" s="453">
        <f t="shared" si="14"/>
        <v>2.02</v>
      </c>
      <c r="B130" s="383">
        <v>38</v>
      </c>
      <c r="D130" s="406"/>
      <c r="E130" s="440"/>
      <c r="F130" s="407"/>
      <c r="G130" s="407"/>
      <c r="H130" s="407"/>
      <c r="I130" s="437"/>
      <c r="J130" s="408" t="s">
        <v>449</v>
      </c>
      <c r="K130" s="409" t="str">
        <f t="shared" si="10"/>
        <v>V=(Ancho x Largo x Alto)* Cant</v>
      </c>
      <c r="L130" s="410" t="str">
        <f t="shared" si="17"/>
        <v>M3</v>
      </c>
      <c r="M130" s="411"/>
      <c r="N130" s="412"/>
      <c r="O130" s="442"/>
      <c r="P130" s="442"/>
      <c r="Q130" s="413"/>
      <c r="R130" s="411">
        <f>+HLOOKUP(B130,[238]Hoja1!$2:$78,24,FALSE)</f>
        <v>0</v>
      </c>
      <c r="S130" s="413"/>
      <c r="T130" s="414">
        <f t="shared" si="11"/>
        <v>0</v>
      </c>
      <c r="Y130" s="439">
        <f t="shared" si="12"/>
        <v>0</v>
      </c>
      <c r="Z130" s="439">
        <f t="shared" si="13"/>
        <v>0</v>
      </c>
    </row>
    <row r="131" spans="1:26" ht="25.5">
      <c r="A131" s="453">
        <f t="shared" si="14"/>
        <v>2.02</v>
      </c>
      <c r="B131" s="383">
        <v>39</v>
      </c>
      <c r="D131" s="406"/>
      <c r="E131" s="407"/>
      <c r="F131" s="407"/>
      <c r="G131" s="407"/>
      <c r="H131" s="407"/>
      <c r="I131" s="407"/>
      <c r="J131" s="408" t="s">
        <v>450</v>
      </c>
      <c r="K131" s="409" t="str">
        <f t="shared" si="10"/>
        <v>V=(Ancho x Largo x Alto)* Cant</v>
      </c>
      <c r="L131" s="410" t="str">
        <f t="shared" si="17"/>
        <v>M3</v>
      </c>
      <c r="M131" s="411"/>
      <c r="N131" s="412"/>
      <c r="O131" s="441"/>
      <c r="P131" s="441"/>
      <c r="Q131" s="412"/>
      <c r="R131" s="411">
        <f>+HLOOKUP(B131,[238]Hoja1!$2:$78,24,FALSE)</f>
        <v>0</v>
      </c>
      <c r="S131" s="413"/>
      <c r="T131" s="414">
        <f t="shared" si="11"/>
        <v>0</v>
      </c>
      <c r="Y131" s="439">
        <f t="shared" si="12"/>
        <v>0</v>
      </c>
      <c r="Z131" s="439">
        <f t="shared" si="13"/>
        <v>0</v>
      </c>
    </row>
    <row r="132" spans="1:26" ht="25.5">
      <c r="A132" s="453">
        <f t="shared" si="14"/>
        <v>2.02</v>
      </c>
      <c r="B132" s="383">
        <v>40</v>
      </c>
      <c r="D132" s="406"/>
      <c r="E132" s="407"/>
      <c r="F132" s="407"/>
      <c r="G132" s="407"/>
      <c r="H132" s="407"/>
      <c r="I132" s="407"/>
      <c r="J132" s="408" t="s">
        <v>451</v>
      </c>
      <c r="K132" s="409" t="str">
        <f t="shared" si="10"/>
        <v>V=(Ancho x Largo x Alto)* Cant</v>
      </c>
      <c r="L132" s="410" t="str">
        <f t="shared" si="17"/>
        <v>M3</v>
      </c>
      <c r="M132" s="411"/>
      <c r="N132" s="412"/>
      <c r="O132" s="442"/>
      <c r="P132" s="442"/>
      <c r="Q132" s="412"/>
      <c r="R132" s="411">
        <f>+HLOOKUP(B132,[238]Hoja1!$2:$78,24,FALSE)</f>
        <v>0</v>
      </c>
      <c r="S132" s="413"/>
      <c r="T132" s="414">
        <f t="shared" si="11"/>
        <v>0</v>
      </c>
      <c r="Y132" s="439">
        <f t="shared" si="12"/>
        <v>0</v>
      </c>
      <c r="Z132" s="439">
        <f t="shared" si="13"/>
        <v>0</v>
      </c>
    </row>
    <row r="133" spans="1:26" ht="25.5">
      <c r="A133" s="453">
        <f t="shared" si="14"/>
        <v>2.02</v>
      </c>
      <c r="B133" s="383">
        <v>41</v>
      </c>
      <c r="D133" s="406"/>
      <c r="E133" s="407"/>
      <c r="F133" s="407"/>
      <c r="G133" s="407"/>
      <c r="H133" s="407"/>
      <c r="I133" s="407"/>
      <c r="J133" s="408" t="s">
        <v>452</v>
      </c>
      <c r="K133" s="409" t="str">
        <f t="shared" si="10"/>
        <v>V=(Ancho x Largo x Alto)* Cant</v>
      </c>
      <c r="L133" s="410" t="str">
        <f t="shared" si="17"/>
        <v>M3</v>
      </c>
      <c r="M133" s="411"/>
      <c r="N133" s="412"/>
      <c r="O133" s="442"/>
      <c r="P133" s="442"/>
      <c r="Q133" s="413"/>
      <c r="R133" s="411">
        <f>+HLOOKUP(B133,[238]Hoja1!$2:$78,24,FALSE)</f>
        <v>0</v>
      </c>
      <c r="S133" s="413"/>
      <c r="T133" s="414">
        <f t="shared" si="11"/>
        <v>0</v>
      </c>
      <c r="Y133" s="439">
        <f t="shared" si="12"/>
        <v>0</v>
      </c>
      <c r="Z133" s="439">
        <f t="shared" si="13"/>
        <v>0</v>
      </c>
    </row>
    <row r="134" spans="1:26" ht="25.5">
      <c r="A134" s="453">
        <f t="shared" si="14"/>
        <v>2.02</v>
      </c>
      <c r="B134" s="383">
        <v>42</v>
      </c>
      <c r="D134" s="406"/>
      <c r="E134" s="407"/>
      <c r="F134" s="407"/>
      <c r="G134" s="407"/>
      <c r="H134" s="407"/>
      <c r="I134" s="407"/>
      <c r="J134" s="408" t="s">
        <v>453</v>
      </c>
      <c r="K134" s="409" t="str">
        <f t="shared" si="10"/>
        <v>V=(Ancho x Largo x Alto)* Cant</v>
      </c>
      <c r="L134" s="410" t="str">
        <f t="shared" si="17"/>
        <v>M3</v>
      </c>
      <c r="M134" s="411"/>
      <c r="N134" s="412"/>
      <c r="O134" s="442"/>
      <c r="P134" s="442"/>
      <c r="Q134" s="412"/>
      <c r="R134" s="411">
        <f>+HLOOKUP(B134,[238]Hoja1!$2:$78,24,FALSE)</f>
        <v>0</v>
      </c>
      <c r="S134" s="413"/>
      <c r="T134" s="414">
        <f t="shared" si="11"/>
        <v>0</v>
      </c>
      <c r="Y134" s="439">
        <f t="shared" si="12"/>
        <v>0</v>
      </c>
      <c r="Z134" s="439">
        <f t="shared" si="13"/>
        <v>0</v>
      </c>
    </row>
    <row r="135" spans="1:26" ht="26.25" thickBot="1">
      <c r="A135" s="453">
        <f t="shared" si="14"/>
        <v>2.02</v>
      </c>
      <c r="B135" s="383">
        <v>43</v>
      </c>
      <c r="D135" s="406"/>
      <c r="E135" s="407"/>
      <c r="F135" s="407"/>
      <c r="G135" s="407"/>
      <c r="H135" s="407"/>
      <c r="I135" s="407"/>
      <c r="J135" s="408" t="s">
        <v>454</v>
      </c>
      <c r="K135" s="409" t="str">
        <f t="shared" si="10"/>
        <v>V=(Ancho x Largo x Alto)* Cant</v>
      </c>
      <c r="L135" s="410" t="str">
        <f t="shared" si="17"/>
        <v>M3</v>
      </c>
      <c r="M135" s="411"/>
      <c r="N135" s="412"/>
      <c r="O135" s="442"/>
      <c r="P135" s="442"/>
      <c r="Q135" s="412"/>
      <c r="R135" s="411">
        <f>+HLOOKUP(B135,[238]Hoja1!$2:$78,24,FALSE)</f>
        <v>0</v>
      </c>
      <c r="S135" s="413"/>
      <c r="T135" s="414">
        <f t="shared" si="11"/>
        <v>0</v>
      </c>
      <c r="Y135" s="439">
        <f t="shared" si="12"/>
        <v>0</v>
      </c>
      <c r="Z135" s="439">
        <f t="shared" si="13"/>
        <v>0</v>
      </c>
    </row>
    <row r="136" spans="1:26">
      <c r="D136" s="384"/>
      <c r="E136" s="419"/>
      <c r="F136" s="420"/>
      <c r="G136" s="421"/>
      <c r="H136" s="421"/>
      <c r="I136" s="421"/>
      <c r="J136" s="421"/>
      <c r="K136" s="422"/>
      <c r="L136" s="421"/>
      <c r="M136" s="421"/>
      <c r="N136" s="421"/>
      <c r="O136" s="421"/>
      <c r="P136" s="421"/>
      <c r="Q136" s="421"/>
      <c r="R136" s="421"/>
      <c r="S136" s="422"/>
      <c r="T136" s="423"/>
    </row>
    <row r="137" spans="1:26">
      <c r="D137" s="396"/>
      <c r="E137" s="397"/>
      <c r="F137" s="424"/>
      <c r="G137" s="425"/>
      <c r="H137" s="425"/>
      <c r="I137" s="425"/>
      <c r="J137" s="425"/>
      <c r="K137" s="398"/>
      <c r="L137" s="425"/>
      <c r="M137" s="425"/>
      <c r="N137" s="397"/>
      <c r="O137" s="397"/>
      <c r="P137" s="562" t="s">
        <v>455</v>
      </c>
      <c r="Q137" s="563"/>
      <c r="R137" s="564"/>
      <c r="S137" s="426"/>
      <c r="T137" s="427">
        <f>ROUND(SUM(T93:T136),2)</f>
        <v>1.0900000000000001</v>
      </c>
    </row>
    <row r="138" spans="1:26">
      <c r="D138" s="396"/>
      <c r="E138" s="397"/>
      <c r="F138" s="424"/>
      <c r="G138" s="425"/>
      <c r="H138" s="425"/>
      <c r="I138" s="425"/>
      <c r="J138" s="425"/>
      <c r="K138" s="398"/>
      <c r="L138" s="425"/>
      <c r="M138" s="425"/>
      <c r="N138" s="428"/>
      <c r="O138" s="428"/>
      <c r="P138" s="429"/>
      <c r="Q138" s="425"/>
      <c r="R138" s="425"/>
      <c r="S138" s="430"/>
      <c r="T138" s="431"/>
    </row>
    <row r="139" spans="1:26">
      <c r="D139" s="565" t="e">
        <v>#REF!</v>
      </c>
      <c r="E139" s="566"/>
      <c r="F139" s="566"/>
      <c r="G139" s="566"/>
      <c r="H139" s="566"/>
      <c r="I139" s="566"/>
      <c r="J139" s="566"/>
      <c r="K139" s="566"/>
      <c r="L139" s="566"/>
      <c r="M139" s="566"/>
      <c r="N139" s="566"/>
      <c r="O139" s="567"/>
      <c r="P139" s="568" t="s">
        <v>422</v>
      </c>
      <c r="Q139" s="568"/>
      <c r="R139" s="568"/>
      <c r="S139" s="426"/>
      <c r="T139" s="427">
        <f>T137</f>
        <v>1.0900000000000001</v>
      </c>
    </row>
    <row r="140" spans="1:26">
      <c r="D140" s="396"/>
      <c r="E140" s="397"/>
      <c r="F140" s="424"/>
      <c r="G140" s="425"/>
      <c r="H140" s="425"/>
      <c r="I140" s="425"/>
      <c r="J140" s="425"/>
      <c r="K140" s="398"/>
      <c r="L140" s="425"/>
      <c r="M140" s="425"/>
      <c r="N140" s="428"/>
      <c r="O140" s="428"/>
      <c r="P140" s="429"/>
      <c r="Q140" s="425"/>
      <c r="R140" s="398"/>
      <c r="S140" s="398"/>
      <c r="T140" s="432"/>
    </row>
    <row r="141" spans="1:26">
      <c r="D141" s="396"/>
      <c r="E141" s="397"/>
      <c r="F141" s="424"/>
      <c r="G141" s="425"/>
      <c r="H141" s="425"/>
      <c r="I141" s="425"/>
      <c r="J141" s="425"/>
      <c r="K141" s="398"/>
      <c r="L141" s="425"/>
      <c r="M141" s="425"/>
      <c r="N141" s="428"/>
      <c r="O141" s="428"/>
      <c r="P141" s="429"/>
      <c r="Q141" s="425"/>
      <c r="R141" s="398"/>
      <c r="S141" s="398"/>
      <c r="T141" s="432"/>
    </row>
    <row r="142" spans="1:26">
      <c r="D142" s="569" t="s">
        <v>423</v>
      </c>
      <c r="E142" s="570"/>
      <c r="F142" s="570"/>
      <c r="G142" s="570"/>
      <c r="H142" s="570"/>
      <c r="I142" s="570"/>
      <c r="J142" s="570"/>
      <c r="K142" s="571"/>
      <c r="L142" s="433" t="s">
        <v>424</v>
      </c>
      <c r="M142" s="434"/>
      <c r="N142" s="434"/>
      <c r="O142" s="434"/>
      <c r="P142" s="434"/>
      <c r="Q142" s="434"/>
      <c r="R142" s="434"/>
      <c r="S142" s="434"/>
      <c r="T142" s="435"/>
    </row>
    <row r="143" spans="1:26">
      <c r="D143" s="542"/>
      <c r="E143" s="543"/>
      <c r="F143" s="543"/>
      <c r="G143" s="543"/>
      <c r="H143" s="436"/>
      <c r="I143" s="436"/>
      <c r="J143" s="436"/>
      <c r="K143" s="447"/>
      <c r="L143" s="436"/>
      <c r="M143" s="407"/>
      <c r="N143" s="407"/>
      <c r="O143" s="407"/>
      <c r="P143" s="407"/>
      <c r="Q143" s="407"/>
      <c r="R143" s="407"/>
      <c r="S143" s="407"/>
      <c r="T143" s="437"/>
    </row>
    <row r="144" spans="1:26">
      <c r="D144" s="542"/>
      <c r="E144" s="543"/>
      <c r="F144" s="543"/>
      <c r="G144" s="543"/>
      <c r="H144" s="436"/>
      <c r="I144" s="436"/>
      <c r="J144" s="436"/>
      <c r="K144" s="447"/>
      <c r="L144" s="436"/>
      <c r="M144" s="407"/>
      <c r="N144" s="407"/>
      <c r="O144" s="407"/>
      <c r="P144" s="407"/>
      <c r="Q144" s="407"/>
      <c r="R144" s="407"/>
      <c r="S144" s="407"/>
      <c r="T144" s="437"/>
    </row>
    <row r="145" spans="4:20">
      <c r="D145" s="542" t="s">
        <v>425</v>
      </c>
      <c r="E145" s="543"/>
      <c r="F145" s="543" t="s">
        <v>425</v>
      </c>
      <c r="G145" s="543"/>
      <c r="H145" s="543" t="s">
        <v>425</v>
      </c>
      <c r="I145" s="543"/>
      <c r="J145" s="543" t="s">
        <v>425</v>
      </c>
      <c r="K145" s="544"/>
      <c r="L145" s="545" t="s">
        <v>426</v>
      </c>
      <c r="M145" s="546"/>
      <c r="N145" s="546"/>
      <c r="O145" s="546"/>
      <c r="P145" s="546"/>
      <c r="Q145" s="546"/>
      <c r="R145" s="546"/>
      <c r="S145" s="546"/>
      <c r="T145" s="547"/>
    </row>
    <row r="146" spans="4:20">
      <c r="D146" s="548" t="str">
        <f>+[42]DATOS!D$8</f>
        <v>HELMER EDUARDO BECERRA SANTANDER</v>
      </c>
      <c r="E146" s="549"/>
      <c r="F146" s="549" t="s">
        <v>427</v>
      </c>
      <c r="G146" s="549"/>
      <c r="H146" s="549" t="s">
        <v>427</v>
      </c>
      <c r="I146" s="549"/>
      <c r="J146" s="549" t="s">
        <v>427</v>
      </c>
      <c r="K146" s="550"/>
      <c r="L146" s="551" t="str">
        <f>+[42]DATOS!D$11</f>
        <v>JESUS IVAN QUIÑONES RUEDA</v>
      </c>
      <c r="M146" s="549"/>
      <c r="N146" s="549"/>
      <c r="O146" s="549"/>
      <c r="P146" s="549"/>
      <c r="Q146" s="549"/>
      <c r="R146" s="549"/>
      <c r="S146" s="549"/>
      <c r="T146" s="552"/>
    </row>
    <row r="147" spans="4:20">
      <c r="D147" s="553" t="str">
        <f>+$D$72</f>
        <v>APOYO SEC. DE PLANEACION Y OBRAS PÚBLICAS</v>
      </c>
      <c r="E147" s="554"/>
      <c r="F147" s="554" t="s">
        <v>428</v>
      </c>
      <c r="G147" s="554"/>
      <c r="H147" s="554" t="s">
        <v>428</v>
      </c>
      <c r="I147" s="554"/>
      <c r="J147" s="554" t="s">
        <v>428</v>
      </c>
      <c r="K147" s="555"/>
      <c r="L147" s="556" t="str">
        <f>+$L$72</f>
        <v>SECRETARIO DE PLANEACION Y OBRAS PÚBLICAS</v>
      </c>
      <c r="M147" s="554"/>
      <c r="N147" s="554"/>
      <c r="O147" s="554"/>
      <c r="P147" s="554"/>
      <c r="Q147" s="554"/>
      <c r="R147" s="554"/>
      <c r="S147" s="554"/>
      <c r="T147" s="557"/>
    </row>
    <row r="148" spans="4:20">
      <c r="D148" s="406"/>
      <c r="E148" s="407"/>
      <c r="F148" s="407"/>
      <c r="G148" s="407"/>
      <c r="H148" s="407"/>
      <c r="I148" s="407"/>
      <c r="J148" s="407"/>
      <c r="K148" s="407"/>
      <c r="L148" s="407"/>
      <c r="M148" s="407"/>
      <c r="N148" s="407"/>
      <c r="O148" s="407"/>
      <c r="P148" s="407"/>
      <c r="Q148" s="407"/>
      <c r="R148" s="407"/>
      <c r="S148" s="407"/>
      <c r="T148" s="437"/>
    </row>
    <row r="149" spans="4:20" ht="111" customHeight="1" thickBot="1">
      <c r="D149" s="417"/>
      <c r="E149" s="418"/>
      <c r="F149" s="418"/>
      <c r="G149" s="418"/>
      <c r="H149" s="418"/>
      <c r="I149" s="418"/>
      <c r="J149" s="418"/>
      <c r="K149" s="418"/>
      <c r="L149" s="418"/>
      <c r="M149" s="418"/>
      <c r="N149" s="418"/>
      <c r="O149" s="418"/>
      <c r="P149" s="418"/>
      <c r="Q149" s="418"/>
      <c r="R149" s="418"/>
      <c r="S149" s="418"/>
      <c r="T149" s="438"/>
    </row>
    <row r="150" spans="4:20" ht="22.5" customHeight="1"/>
    <row r="151" spans="4:20" ht="13.5" thickBot="1"/>
    <row r="152" spans="4:20">
      <c r="D152" s="384"/>
      <c r="E152" s="385"/>
      <c r="F152" s="385"/>
      <c r="G152" s="385"/>
      <c r="H152" s="385"/>
      <c r="I152" s="385"/>
      <c r="J152" s="385"/>
      <c r="K152" s="445"/>
      <c r="L152" s="385"/>
      <c r="M152" s="385"/>
      <c r="N152" s="385"/>
      <c r="O152" s="385"/>
      <c r="P152" s="385"/>
      <c r="Q152" s="385"/>
      <c r="R152" s="385"/>
      <c r="S152" s="385"/>
      <c r="T152" s="386"/>
    </row>
    <row r="153" spans="4:20" ht="121.5" customHeight="1" thickBot="1">
      <c r="D153" s="387"/>
      <c r="E153" s="388"/>
      <c r="F153" s="388"/>
      <c r="G153" s="388"/>
      <c r="H153" s="388"/>
      <c r="I153" s="388"/>
      <c r="J153" s="388"/>
      <c r="K153" s="446"/>
      <c r="L153" s="388"/>
      <c r="M153" s="388"/>
      <c r="N153" s="388"/>
      <c r="O153" s="388"/>
      <c r="P153" s="388"/>
      <c r="Q153" s="388"/>
      <c r="R153" s="388"/>
      <c r="S153" s="388"/>
      <c r="T153" s="389"/>
    </row>
    <row r="154" spans="4:20">
      <c r="D154" s="592" t="str">
        <f>+[42]DATOS!C$7</f>
        <v>MEJORAMIENTO DE VIVIENDA CON ENFOQUE DIFERENCIAL PARA POBLACIÓN VULNERABLE EN EL MUNICIPIO DE CUBARÁ, BOYACÁ (2026).</v>
      </c>
      <c r="E154" s="593"/>
      <c r="F154" s="593"/>
      <c r="G154" s="593"/>
      <c r="H154" s="593"/>
      <c r="I154" s="593"/>
      <c r="J154" s="593"/>
      <c r="K154" s="593"/>
      <c r="L154" s="593"/>
      <c r="M154" s="593"/>
      <c r="N154" s="593"/>
      <c r="O154" s="593"/>
      <c r="P154" s="593"/>
      <c r="Q154" s="593"/>
      <c r="R154" s="593"/>
      <c r="S154" s="593"/>
      <c r="T154" s="594"/>
    </row>
    <row r="155" spans="4:20">
      <c r="D155" s="595"/>
      <c r="E155" s="596"/>
      <c r="F155" s="596"/>
      <c r="G155" s="596"/>
      <c r="H155" s="596"/>
      <c r="I155" s="596"/>
      <c r="J155" s="596"/>
      <c r="K155" s="596"/>
      <c r="L155" s="596"/>
      <c r="M155" s="596"/>
      <c r="N155" s="596"/>
      <c r="O155" s="596"/>
      <c r="P155" s="596"/>
      <c r="Q155" s="596"/>
      <c r="R155" s="596"/>
      <c r="S155" s="596"/>
      <c r="T155" s="597"/>
    </row>
    <row r="156" spans="4:20">
      <c r="D156" s="598" t="s">
        <v>371</v>
      </c>
      <c r="E156" s="599"/>
      <c r="F156" s="599"/>
      <c r="G156" s="599"/>
      <c r="H156" s="599"/>
      <c r="I156" s="599"/>
      <c r="J156" s="599"/>
      <c r="K156" s="599"/>
      <c r="L156" s="599"/>
      <c r="M156" s="599"/>
      <c r="N156" s="599"/>
      <c r="O156" s="599"/>
      <c r="P156" s="599"/>
      <c r="Q156" s="599"/>
      <c r="R156" s="599"/>
      <c r="S156" s="599"/>
      <c r="T156" s="600"/>
    </row>
    <row r="157" spans="4:20">
      <c r="D157" s="586" t="s">
        <v>372</v>
      </c>
      <c r="E157" s="587"/>
      <c r="F157" s="601" t="s">
        <v>373</v>
      </c>
      <c r="G157" s="601"/>
      <c r="H157" s="601"/>
      <c r="I157" s="601"/>
      <c r="J157" s="601"/>
      <c r="K157" s="601"/>
      <c r="L157" s="601"/>
      <c r="M157" s="601"/>
      <c r="N157" s="601"/>
      <c r="O157" s="601"/>
      <c r="P157" s="601"/>
      <c r="Q157" s="601"/>
      <c r="R157" s="601"/>
      <c r="S157" s="601"/>
      <c r="T157" s="602"/>
    </row>
    <row r="158" spans="4:20">
      <c r="D158" s="586" t="s">
        <v>374</v>
      </c>
      <c r="E158" s="587"/>
      <c r="F158" s="603" t="s">
        <v>375</v>
      </c>
      <c r="G158" s="604"/>
      <c r="H158" s="604"/>
      <c r="I158" s="604"/>
      <c r="J158" s="604"/>
      <c r="K158" s="604"/>
      <c r="L158" s="604"/>
      <c r="M158" s="604"/>
      <c r="N158" s="604"/>
      <c r="O158" s="604"/>
      <c r="P158" s="604"/>
      <c r="Q158" s="604"/>
      <c r="R158" s="604"/>
      <c r="S158" s="604"/>
      <c r="T158" s="605"/>
    </row>
    <row r="159" spans="4:20">
      <c r="D159" s="586" t="s">
        <v>376</v>
      </c>
      <c r="E159" s="587"/>
      <c r="F159" s="390">
        <f>+[42]DATOS!F$5</f>
        <v>46143</v>
      </c>
      <c r="G159" s="391"/>
      <c r="H159" s="391"/>
      <c r="I159" s="391"/>
      <c r="J159" s="391"/>
      <c r="K159" s="391"/>
      <c r="L159" s="568" t="s">
        <v>377</v>
      </c>
      <c r="M159" s="568"/>
      <c r="N159" s="588" t="s">
        <v>378</v>
      </c>
      <c r="O159" s="588"/>
      <c r="P159" s="588"/>
      <c r="Q159" s="588"/>
      <c r="R159" s="588"/>
      <c r="S159" s="588"/>
      <c r="T159" s="589"/>
    </row>
    <row r="160" spans="4:20" ht="25.5">
      <c r="D160" s="586" t="s">
        <v>379</v>
      </c>
      <c r="E160" s="587"/>
      <c r="F160" s="590" t="s">
        <v>380</v>
      </c>
      <c r="G160" s="591"/>
      <c r="H160" s="392">
        <f>+[42]DATOS!E$5</f>
        <v>2026</v>
      </c>
      <c r="I160" s="393" t="s">
        <v>381</v>
      </c>
      <c r="J160" s="394">
        <f>+[42]DATOS!E$5</f>
        <v>2026</v>
      </c>
      <c r="K160" s="395"/>
      <c r="L160" s="568" t="s">
        <v>382</v>
      </c>
      <c r="M160" s="568"/>
      <c r="N160" s="588" t="s">
        <v>383</v>
      </c>
      <c r="O160" s="588"/>
      <c r="P160" s="588"/>
      <c r="Q160" s="588"/>
      <c r="R160" s="588"/>
      <c r="S160" s="588"/>
      <c r="T160" s="589"/>
    </row>
    <row r="161" spans="1:26">
      <c r="D161" s="396"/>
      <c r="E161" s="397"/>
      <c r="F161" s="397"/>
      <c r="G161" s="398"/>
      <c r="H161" s="398"/>
      <c r="I161" s="398"/>
      <c r="J161" s="398"/>
      <c r="K161" s="398"/>
      <c r="L161" s="398"/>
      <c r="M161" s="398"/>
      <c r="N161" s="398"/>
      <c r="O161" s="398"/>
      <c r="P161" s="398"/>
      <c r="Q161" s="398"/>
      <c r="R161" s="398"/>
      <c r="S161" s="398"/>
      <c r="T161" s="399"/>
    </row>
    <row r="162" spans="1:26">
      <c r="D162" s="572" t="s">
        <v>384</v>
      </c>
      <c r="E162" s="573"/>
      <c r="F162" s="573"/>
      <c r="G162" s="573"/>
      <c r="H162" s="573"/>
      <c r="I162" s="573"/>
      <c r="J162" s="573"/>
      <c r="K162" s="573"/>
      <c r="L162" s="573"/>
      <c r="M162" s="573"/>
      <c r="N162" s="573"/>
      <c r="O162" s="573"/>
      <c r="P162" s="573"/>
      <c r="Q162" s="573"/>
      <c r="R162" s="573"/>
      <c r="S162" s="573"/>
      <c r="T162" s="574"/>
    </row>
    <row r="163" spans="1:26">
      <c r="D163" s="396"/>
      <c r="E163" s="397"/>
      <c r="F163" s="397"/>
      <c r="G163" s="398"/>
      <c r="H163" s="398"/>
      <c r="I163" s="398"/>
      <c r="J163" s="398"/>
      <c r="K163" s="398"/>
      <c r="L163" s="398"/>
      <c r="M163" s="398"/>
      <c r="N163" s="398"/>
      <c r="O163" s="398"/>
      <c r="P163" s="398"/>
      <c r="Q163" s="398"/>
      <c r="R163" s="398"/>
      <c r="S163" s="398"/>
      <c r="T163" s="399"/>
    </row>
    <row r="164" spans="1:26">
      <c r="D164" s="400" t="s">
        <v>385</v>
      </c>
      <c r="E164" s="575" t="s">
        <v>386</v>
      </c>
      <c r="F164" s="575"/>
      <c r="G164" s="576" t="s">
        <v>387</v>
      </c>
      <c r="H164" s="577"/>
      <c r="I164" s="577"/>
      <c r="J164" s="576" t="s">
        <v>388</v>
      </c>
      <c r="K164" s="576" t="s">
        <v>389</v>
      </c>
      <c r="L164" s="579"/>
      <c r="M164" s="581" t="s">
        <v>390</v>
      </c>
      <c r="N164" s="581"/>
      <c r="O164" s="581"/>
      <c r="P164" s="581"/>
      <c r="Q164" s="581"/>
      <c r="R164" s="581"/>
      <c r="S164" s="581" t="s">
        <v>391</v>
      </c>
      <c r="T164" s="582"/>
    </row>
    <row r="165" spans="1:26" ht="38.25">
      <c r="D165" s="403">
        <f>+'PRESUPUESTO OFICIAL '!C32</f>
        <v>2.0299999999999998</v>
      </c>
      <c r="E165" s="583" t="str">
        <f>+VLOOKUP(D165,'PRESUPUESTO OFICIAL '!$C$11:$H$103,2)</f>
        <v>PEDESTAL EN CONCRETO f'c = 3000 PSI (21MPa).</v>
      </c>
      <c r="F165" s="584"/>
      <c r="G165" s="585" t="str">
        <f>+VLOOKUP(D165,'PRESUPUESTO OFICIAL '!$C$11:$H$103,3)</f>
        <v>M3</v>
      </c>
      <c r="H165" s="585"/>
      <c r="I165" s="585"/>
      <c r="J165" s="578"/>
      <c r="K165" s="578"/>
      <c r="L165" s="580"/>
      <c r="M165" s="401" t="s">
        <v>392</v>
      </c>
      <c r="N165" s="401" t="s">
        <v>393</v>
      </c>
      <c r="O165" s="401" t="s">
        <v>394</v>
      </c>
      <c r="P165" s="401" t="s">
        <v>395</v>
      </c>
      <c r="Q165" s="401" t="s">
        <v>396</v>
      </c>
      <c r="R165" s="401" t="s">
        <v>397</v>
      </c>
      <c r="S165" s="401" t="s">
        <v>398</v>
      </c>
      <c r="T165" s="402" t="s">
        <v>399</v>
      </c>
      <c r="V165" s="404">
        <f>+D165</f>
        <v>2.0299999999999998</v>
      </c>
      <c r="W165" s="405">
        <f>+T213</f>
        <v>0.48</v>
      </c>
    </row>
    <row r="166" spans="1:26">
      <c r="D166" s="406"/>
      <c r="E166" s="407"/>
      <c r="F166" s="407"/>
      <c r="G166" s="407"/>
      <c r="H166" s="407"/>
      <c r="I166" s="407"/>
      <c r="J166" s="558"/>
      <c r="K166" s="559"/>
      <c r="L166" s="560"/>
      <c r="M166" s="560"/>
      <c r="N166" s="560"/>
      <c r="O166" s="560"/>
      <c r="P166" s="560"/>
      <c r="Q166" s="560"/>
      <c r="R166" s="560"/>
      <c r="S166" s="560"/>
      <c r="T166" s="561"/>
    </row>
    <row r="167" spans="1:26" ht="25.5">
      <c r="A167" s="453">
        <f>+D165</f>
        <v>2.0299999999999998</v>
      </c>
      <c r="B167" s="383">
        <v>1</v>
      </c>
      <c r="D167" s="406"/>
      <c r="E167" s="407"/>
      <c r="F167" s="407"/>
      <c r="G167" s="407"/>
      <c r="H167" s="407"/>
      <c r="I167" s="407"/>
      <c r="J167" s="408" t="s">
        <v>400</v>
      </c>
      <c r="K167" s="409" t="str">
        <f t="shared" ref="K167:K209" si="18">+VLOOKUP(L167,$AH$22:$AJ$58,2,)</f>
        <v>V=(Ancho x Largo x Alto)* Cant</v>
      </c>
      <c r="L167" s="410" t="str">
        <f>+G165</f>
        <v>M3</v>
      </c>
      <c r="M167" s="411"/>
      <c r="N167" s="412"/>
      <c r="O167" s="442">
        <v>0.2</v>
      </c>
      <c r="P167" s="442">
        <v>0.2</v>
      </c>
      <c r="Q167" s="413">
        <v>0.4</v>
      </c>
      <c r="R167" s="451">
        <f>+Q167*P167*O167</f>
        <v>1.6000000000000004E-2</v>
      </c>
      <c r="S167" s="413">
        <v>4</v>
      </c>
      <c r="T167" s="414">
        <f>+HLOOKUP(B167,[238]Hoja1!$2:$78,25,FALSE)</f>
        <v>6.4000000000000015E-2</v>
      </c>
      <c r="Y167" s="439">
        <f>+O167*P167</f>
        <v>4.0000000000000008E-2</v>
      </c>
      <c r="Z167" s="439">
        <f>+Y167-M167</f>
        <v>4.0000000000000008E-2</v>
      </c>
    </row>
    <row r="168" spans="1:26" ht="25.5">
      <c r="A168" s="453">
        <f>+A167</f>
        <v>2.0299999999999998</v>
      </c>
      <c r="B168" s="383">
        <v>2</v>
      </c>
      <c r="D168" s="406"/>
      <c r="E168" s="407"/>
      <c r="F168" s="407"/>
      <c r="G168" s="407"/>
      <c r="H168" s="407"/>
      <c r="I168" s="407"/>
      <c r="J168" s="408" t="s">
        <v>401</v>
      </c>
      <c r="K168" s="409" t="str">
        <f t="shared" si="18"/>
        <v>V=(Ancho x Largo x Alto)* Cant</v>
      </c>
      <c r="L168" s="410" t="str">
        <f>+L167</f>
        <v>M3</v>
      </c>
      <c r="M168" s="411"/>
      <c r="N168" s="412"/>
      <c r="O168" s="442"/>
      <c r="P168" s="442"/>
      <c r="Q168" s="413"/>
      <c r="R168" s="413">
        <f t="shared" ref="R168:R209" si="19">+Q168*P168*O168</f>
        <v>0</v>
      </c>
      <c r="S168" s="413"/>
      <c r="T168" s="414">
        <f>+HLOOKUP(B168,[238]Hoja1!$2:$78,25,FALSE)</f>
        <v>0</v>
      </c>
      <c r="Y168" s="439">
        <f>+O168*P168</f>
        <v>0</v>
      </c>
      <c r="Z168" s="439">
        <f t="shared" ref="Z168:Z209" si="20">+Y168-M168</f>
        <v>0</v>
      </c>
    </row>
    <row r="169" spans="1:26" ht="25.5">
      <c r="A169" s="453">
        <f t="shared" ref="A169:A209" si="21">+A168</f>
        <v>2.0299999999999998</v>
      </c>
      <c r="B169" s="383">
        <v>3</v>
      </c>
      <c r="D169" s="406"/>
      <c r="E169" s="407"/>
      <c r="F169" s="407"/>
      <c r="G169" s="407"/>
      <c r="H169" s="407"/>
      <c r="I169" s="407"/>
      <c r="J169" s="408" t="s">
        <v>402</v>
      </c>
      <c r="K169" s="409" t="str">
        <f t="shared" si="18"/>
        <v>V=(Ancho x Largo x Alto)* Cant</v>
      </c>
      <c r="L169" s="410" t="str">
        <f>+L168</f>
        <v>M3</v>
      </c>
      <c r="M169" s="411"/>
      <c r="N169" s="412"/>
      <c r="O169" s="442"/>
      <c r="P169" s="442"/>
      <c r="Q169" s="413"/>
      <c r="R169" s="413">
        <f t="shared" si="19"/>
        <v>0</v>
      </c>
      <c r="S169" s="413"/>
      <c r="T169" s="414">
        <f>+HLOOKUP(B169,[238]Hoja1!$2:$78,25,FALSE)</f>
        <v>0</v>
      </c>
      <c r="Y169" s="439">
        <f t="shared" ref="Y169:Y209" si="22">+O169*P169</f>
        <v>0</v>
      </c>
      <c r="Z169" s="439">
        <f t="shared" si="20"/>
        <v>0</v>
      </c>
    </row>
    <row r="170" spans="1:26" ht="25.5">
      <c r="A170" s="453">
        <f t="shared" si="21"/>
        <v>2.0299999999999998</v>
      </c>
      <c r="B170" s="383">
        <v>4</v>
      </c>
      <c r="D170" s="406"/>
      <c r="E170" s="407"/>
      <c r="F170" s="407"/>
      <c r="G170" s="407"/>
      <c r="H170" s="407"/>
      <c r="I170" s="407"/>
      <c r="J170" s="408" t="s">
        <v>403</v>
      </c>
      <c r="K170" s="409" t="str">
        <f t="shared" si="18"/>
        <v>V=(Ancho x Largo x Alto)* Cant</v>
      </c>
      <c r="L170" s="410" t="str">
        <f>+L169</f>
        <v>M3</v>
      </c>
      <c r="M170" s="411"/>
      <c r="N170" s="412"/>
      <c r="O170" s="442"/>
      <c r="P170" s="442"/>
      <c r="Q170" s="413"/>
      <c r="R170" s="413">
        <f t="shared" si="19"/>
        <v>0</v>
      </c>
      <c r="S170" s="413"/>
      <c r="T170" s="414">
        <f>+HLOOKUP(B170,[238]Hoja1!$2:$78,25,FALSE)</f>
        <v>0</v>
      </c>
      <c r="Y170" s="439">
        <f t="shared" si="22"/>
        <v>0</v>
      </c>
      <c r="Z170" s="439">
        <f t="shared" si="20"/>
        <v>0</v>
      </c>
    </row>
    <row r="171" spans="1:26" ht="25.5">
      <c r="A171" s="453">
        <f t="shared" si="21"/>
        <v>2.0299999999999998</v>
      </c>
      <c r="B171" s="383">
        <v>5</v>
      </c>
      <c r="D171" s="406"/>
      <c r="E171" s="407"/>
      <c r="F171" s="407"/>
      <c r="G171" s="407"/>
      <c r="H171" s="407"/>
      <c r="I171" s="407"/>
      <c r="J171" s="408" t="s">
        <v>405</v>
      </c>
      <c r="K171" s="409" t="str">
        <f t="shared" si="18"/>
        <v>V=(Ancho x Largo x Alto)* Cant</v>
      </c>
      <c r="L171" s="410" t="str">
        <f>+L170</f>
        <v>M3</v>
      </c>
      <c r="M171" s="411"/>
      <c r="N171" s="412"/>
      <c r="O171" s="442"/>
      <c r="P171" s="442"/>
      <c r="Q171" s="413"/>
      <c r="R171" s="413">
        <f t="shared" si="19"/>
        <v>0</v>
      </c>
      <c r="S171" s="413"/>
      <c r="T171" s="414">
        <f>+HLOOKUP(B171,[238]Hoja1!$2:$78,25,FALSE)</f>
        <v>0</v>
      </c>
      <c r="Y171" s="439">
        <f t="shared" si="22"/>
        <v>0</v>
      </c>
      <c r="Z171" s="439">
        <f t="shared" si="20"/>
        <v>0</v>
      </c>
    </row>
    <row r="172" spans="1:26" ht="25.5">
      <c r="A172" s="453">
        <f t="shared" si="21"/>
        <v>2.0299999999999998</v>
      </c>
      <c r="B172" s="383">
        <v>6</v>
      </c>
      <c r="D172" s="406"/>
      <c r="E172" s="407"/>
      <c r="F172" s="407"/>
      <c r="G172" s="407"/>
      <c r="H172" s="407"/>
      <c r="I172" s="407"/>
      <c r="J172" s="408" t="s">
        <v>407</v>
      </c>
      <c r="K172" s="409" t="str">
        <f t="shared" si="18"/>
        <v>V=(Ancho x Largo x Alto)* Cant</v>
      </c>
      <c r="L172" s="410" t="str">
        <f>+L171</f>
        <v>M3</v>
      </c>
      <c r="M172" s="411"/>
      <c r="N172" s="412"/>
      <c r="O172" s="442"/>
      <c r="P172" s="442"/>
      <c r="Q172" s="413"/>
      <c r="R172" s="413">
        <f t="shared" si="19"/>
        <v>0</v>
      </c>
      <c r="S172" s="413"/>
      <c r="T172" s="414">
        <f>+HLOOKUP(B172,[238]Hoja1!$2:$78,25,FALSE)</f>
        <v>0</v>
      </c>
      <c r="Y172" s="439">
        <f t="shared" si="22"/>
        <v>0</v>
      </c>
      <c r="Z172" s="439">
        <f t="shared" si="20"/>
        <v>0</v>
      </c>
    </row>
    <row r="173" spans="1:26" ht="25.5">
      <c r="A173" s="453">
        <f t="shared" si="21"/>
        <v>2.0299999999999998</v>
      </c>
      <c r="B173" s="383">
        <v>7</v>
      </c>
      <c r="D173" s="406"/>
      <c r="E173" s="407"/>
      <c r="F173" s="407"/>
      <c r="G173" s="407"/>
      <c r="H173" s="407"/>
      <c r="I173" s="407"/>
      <c r="J173" s="408" t="s">
        <v>409</v>
      </c>
      <c r="K173" s="409" t="str">
        <f t="shared" si="18"/>
        <v>V=(Ancho x Largo x Alto)* Cant</v>
      </c>
      <c r="L173" s="410" t="str">
        <f>+L167</f>
        <v>M3</v>
      </c>
      <c r="M173" s="411"/>
      <c r="N173" s="412"/>
      <c r="O173" s="442">
        <v>0.2</v>
      </c>
      <c r="P173" s="442">
        <v>0.2</v>
      </c>
      <c r="Q173" s="413">
        <v>0.35</v>
      </c>
      <c r="R173" s="451">
        <f t="shared" si="19"/>
        <v>1.3999999999999999E-2</v>
      </c>
      <c r="S173" s="413">
        <v>6</v>
      </c>
      <c r="T173" s="414">
        <f>+HLOOKUP(B173,[238]Hoja1!$2:$78,25,FALSE)</f>
        <v>8.3999999999999991E-2</v>
      </c>
      <c r="V173" s="439"/>
      <c r="Y173" s="439">
        <f t="shared" si="22"/>
        <v>4.0000000000000008E-2</v>
      </c>
      <c r="Z173" s="439">
        <f t="shared" si="20"/>
        <v>4.0000000000000008E-2</v>
      </c>
    </row>
    <row r="174" spans="1:26" ht="25.5">
      <c r="A174" s="453">
        <f t="shared" si="21"/>
        <v>2.0299999999999998</v>
      </c>
      <c r="B174" s="383">
        <v>8</v>
      </c>
      <c r="D174" s="406"/>
      <c r="E174" s="407"/>
      <c r="F174" s="407"/>
      <c r="G174" s="407"/>
      <c r="H174" s="407"/>
      <c r="I174" s="407"/>
      <c r="J174" s="408" t="s">
        <v>411</v>
      </c>
      <c r="K174" s="409" t="str">
        <f t="shared" si="18"/>
        <v>V=(Ancho x Largo x Alto)* Cant</v>
      </c>
      <c r="L174" s="410" t="str">
        <f>+L173</f>
        <v>M3</v>
      </c>
      <c r="M174" s="411"/>
      <c r="N174" s="412"/>
      <c r="O174" s="442"/>
      <c r="P174" s="442"/>
      <c r="Q174" s="413"/>
      <c r="R174" s="413">
        <f t="shared" si="19"/>
        <v>0</v>
      </c>
      <c r="S174" s="413"/>
      <c r="T174" s="414">
        <f>+HLOOKUP(B174,[238]Hoja1!$2:$78,25,FALSE)</f>
        <v>0</v>
      </c>
      <c r="Y174" s="439">
        <f t="shared" si="22"/>
        <v>0</v>
      </c>
      <c r="Z174" s="439">
        <f t="shared" si="20"/>
        <v>0</v>
      </c>
    </row>
    <row r="175" spans="1:26" ht="25.5">
      <c r="A175" s="453">
        <f t="shared" si="21"/>
        <v>2.0299999999999998</v>
      </c>
      <c r="B175" s="383">
        <v>9</v>
      </c>
      <c r="D175" s="406"/>
      <c r="E175" s="407"/>
      <c r="F175" s="407"/>
      <c r="G175" s="407"/>
      <c r="H175" s="407"/>
      <c r="I175" s="407"/>
      <c r="J175" s="408" t="s">
        <v>412</v>
      </c>
      <c r="K175" s="409" t="str">
        <f t="shared" si="18"/>
        <v>V=(Ancho x Largo x Alto)* Cant</v>
      </c>
      <c r="L175" s="410" t="str">
        <f>+L174</f>
        <v>M3</v>
      </c>
      <c r="M175" s="411"/>
      <c r="N175" s="412"/>
      <c r="O175" s="442"/>
      <c r="P175" s="442"/>
      <c r="Q175" s="412"/>
      <c r="R175" s="413">
        <f t="shared" si="19"/>
        <v>0</v>
      </c>
      <c r="S175" s="413"/>
      <c r="T175" s="414">
        <f>+HLOOKUP(B175,[238]Hoja1!$2:$78,25,FALSE)</f>
        <v>0</v>
      </c>
      <c r="Y175" s="439">
        <f t="shared" si="22"/>
        <v>0</v>
      </c>
      <c r="Z175" s="439">
        <f t="shared" si="20"/>
        <v>0</v>
      </c>
    </row>
    <row r="176" spans="1:26" ht="25.5">
      <c r="A176" s="453">
        <f t="shared" si="21"/>
        <v>2.0299999999999998</v>
      </c>
      <c r="B176" s="383">
        <v>10</v>
      </c>
      <c r="D176" s="406"/>
      <c r="E176" s="407"/>
      <c r="F176" s="407"/>
      <c r="G176" s="407"/>
      <c r="H176" s="407"/>
      <c r="I176" s="407"/>
      <c r="J176" s="408" t="s">
        <v>413</v>
      </c>
      <c r="K176" s="409" t="str">
        <f t="shared" si="18"/>
        <v>V=(Ancho x Largo x Alto)* Cant</v>
      </c>
      <c r="L176" s="410" t="str">
        <f>+L175</f>
        <v>M3</v>
      </c>
      <c r="M176" s="411"/>
      <c r="N176" s="412"/>
      <c r="O176" s="441"/>
      <c r="P176" s="441"/>
      <c r="Q176" s="412"/>
      <c r="R176" s="413">
        <f t="shared" si="19"/>
        <v>0</v>
      </c>
      <c r="S176" s="413"/>
      <c r="T176" s="414">
        <f>+HLOOKUP(B176,[238]Hoja1!$2:$78,25,FALSE)</f>
        <v>0</v>
      </c>
      <c r="Y176" s="439">
        <f t="shared" si="22"/>
        <v>0</v>
      </c>
      <c r="Z176" s="439">
        <f t="shared" si="20"/>
        <v>0</v>
      </c>
    </row>
    <row r="177" spans="1:26" ht="25.5">
      <c r="A177" s="453">
        <f t="shared" si="21"/>
        <v>2.0299999999999998</v>
      </c>
      <c r="B177" s="383">
        <v>11</v>
      </c>
      <c r="D177" s="406"/>
      <c r="E177" s="407"/>
      <c r="F177" s="407"/>
      <c r="G177" s="407"/>
      <c r="H177" s="407"/>
      <c r="I177" s="407"/>
      <c r="J177" s="408" t="s">
        <v>414</v>
      </c>
      <c r="K177" s="409" t="str">
        <f t="shared" si="18"/>
        <v>V=(Ancho x Largo x Alto)* Cant</v>
      </c>
      <c r="L177" s="410" t="str">
        <f>+L176</f>
        <v>M3</v>
      </c>
      <c r="M177" s="411"/>
      <c r="N177" s="412"/>
      <c r="O177" s="443"/>
      <c r="P177" s="443"/>
      <c r="Q177" s="412"/>
      <c r="R177" s="413">
        <f t="shared" si="19"/>
        <v>0</v>
      </c>
      <c r="S177" s="413"/>
      <c r="T177" s="414">
        <f>+HLOOKUP(B177,[238]Hoja1!$2:$78,25,FALSE)</f>
        <v>0</v>
      </c>
      <c r="Y177" s="439">
        <f t="shared" si="22"/>
        <v>0</v>
      </c>
      <c r="Z177" s="439">
        <f t="shared" si="20"/>
        <v>0</v>
      </c>
    </row>
    <row r="178" spans="1:26" ht="25.5">
      <c r="A178" s="453">
        <f t="shared" si="21"/>
        <v>2.0299999999999998</v>
      </c>
      <c r="B178" s="383">
        <v>12</v>
      </c>
      <c r="D178" s="406"/>
      <c r="E178" s="407"/>
      <c r="F178" s="407"/>
      <c r="G178" s="407"/>
      <c r="H178" s="407"/>
      <c r="I178" s="407"/>
      <c r="J178" s="408" t="s">
        <v>415</v>
      </c>
      <c r="K178" s="409" t="str">
        <f t="shared" si="18"/>
        <v>V=(Ancho x Largo x Alto)* Cant</v>
      </c>
      <c r="L178" s="410" t="str">
        <f>+L172</f>
        <v>M3</v>
      </c>
      <c r="M178" s="411"/>
      <c r="N178" s="412"/>
      <c r="O178" s="442"/>
      <c r="P178" s="442"/>
      <c r="Q178" s="413"/>
      <c r="R178" s="413">
        <f t="shared" si="19"/>
        <v>0</v>
      </c>
      <c r="S178" s="413"/>
      <c r="T178" s="414">
        <f>+HLOOKUP(B178,[238]Hoja1!$2:$78,25,FALSE)</f>
        <v>0</v>
      </c>
      <c r="Y178" s="439">
        <f t="shared" si="22"/>
        <v>0</v>
      </c>
      <c r="Z178" s="439">
        <f t="shared" si="20"/>
        <v>0</v>
      </c>
    </row>
    <row r="179" spans="1:26" ht="25.5">
      <c r="A179" s="453">
        <f t="shared" si="21"/>
        <v>2.0299999999999998</v>
      </c>
      <c r="B179" s="383">
        <v>13</v>
      </c>
      <c r="D179" s="406"/>
      <c r="E179" s="407"/>
      <c r="F179" s="407"/>
      <c r="G179" s="407"/>
      <c r="H179" s="407"/>
      <c r="I179" s="407"/>
      <c r="J179" s="408" t="s">
        <v>416</v>
      </c>
      <c r="K179" s="409" t="str">
        <f t="shared" si="18"/>
        <v>V=(Ancho x Largo x Alto)* Cant</v>
      </c>
      <c r="L179" s="410" t="str">
        <f>+L174</f>
        <v>M3</v>
      </c>
      <c r="M179" s="411"/>
      <c r="N179" s="412"/>
      <c r="O179" s="442"/>
      <c r="P179" s="442"/>
      <c r="Q179" s="413"/>
      <c r="R179" s="413">
        <f t="shared" si="19"/>
        <v>0</v>
      </c>
      <c r="S179" s="413"/>
      <c r="T179" s="414">
        <f>+HLOOKUP(B179,[238]Hoja1!$2:$78,25,FALSE)</f>
        <v>0</v>
      </c>
      <c r="Y179" s="439">
        <f t="shared" si="22"/>
        <v>0</v>
      </c>
      <c r="Z179" s="439">
        <f t="shared" si="20"/>
        <v>0</v>
      </c>
    </row>
    <row r="180" spans="1:26" ht="25.5">
      <c r="A180" s="453">
        <f t="shared" si="21"/>
        <v>2.0299999999999998</v>
      </c>
      <c r="B180" s="383">
        <v>14</v>
      </c>
      <c r="D180" s="406"/>
      <c r="E180" s="407"/>
      <c r="F180" s="407"/>
      <c r="G180" s="407"/>
      <c r="H180" s="407"/>
      <c r="I180" s="407"/>
      <c r="J180" s="408" t="s">
        <v>417</v>
      </c>
      <c r="K180" s="409" t="str">
        <f t="shared" si="18"/>
        <v>V=(Ancho x Largo x Alto)* Cant</v>
      </c>
      <c r="L180" s="410" t="str">
        <f t="shared" ref="L180:L191" si="23">+L179</f>
        <v>M3</v>
      </c>
      <c r="M180" s="411"/>
      <c r="N180" s="412"/>
      <c r="O180" s="442"/>
      <c r="P180" s="442"/>
      <c r="Q180" s="412"/>
      <c r="R180" s="413">
        <f t="shared" si="19"/>
        <v>0</v>
      </c>
      <c r="S180" s="413"/>
      <c r="T180" s="414">
        <f>+HLOOKUP(B180,[238]Hoja1!$2:$78,25,FALSE)</f>
        <v>0</v>
      </c>
      <c r="Y180" s="439">
        <f t="shared" si="22"/>
        <v>0</v>
      </c>
      <c r="Z180" s="439">
        <f t="shared" si="20"/>
        <v>0</v>
      </c>
    </row>
    <row r="181" spans="1:26" ht="25.5">
      <c r="A181" s="453">
        <f t="shared" si="21"/>
        <v>2.0299999999999998</v>
      </c>
      <c r="B181" s="383">
        <v>15</v>
      </c>
      <c r="D181" s="406"/>
      <c r="E181" s="407"/>
      <c r="F181" s="407"/>
      <c r="G181" s="407"/>
      <c r="H181" s="407"/>
      <c r="I181" s="407"/>
      <c r="J181" s="408" t="s">
        <v>418</v>
      </c>
      <c r="K181" s="409" t="str">
        <f t="shared" si="18"/>
        <v>V=(Ancho x Largo x Alto)* Cant</v>
      </c>
      <c r="L181" s="410" t="str">
        <f t="shared" si="23"/>
        <v>M3</v>
      </c>
      <c r="M181" s="411"/>
      <c r="N181" s="412"/>
      <c r="O181" s="442">
        <v>0.2</v>
      </c>
      <c r="P181" s="442">
        <v>0.2</v>
      </c>
      <c r="Q181" s="413">
        <v>0.35</v>
      </c>
      <c r="R181" s="451">
        <f t="shared" ref="R181" si="24">+Q181*P181*O181</f>
        <v>1.3999999999999999E-2</v>
      </c>
      <c r="S181" s="413">
        <v>6</v>
      </c>
      <c r="T181" s="414">
        <f>+HLOOKUP(B181,[238]Hoja1!$2:$78,25,FALSE)</f>
        <v>8.3999999999999991E-2</v>
      </c>
      <c r="Y181" s="439">
        <f t="shared" si="22"/>
        <v>4.0000000000000008E-2</v>
      </c>
      <c r="Z181" s="439">
        <f t="shared" si="20"/>
        <v>4.0000000000000008E-2</v>
      </c>
    </row>
    <row r="182" spans="1:26" ht="25.5">
      <c r="A182" s="453">
        <f t="shared" si="21"/>
        <v>2.0299999999999998</v>
      </c>
      <c r="B182" s="383">
        <v>16</v>
      </c>
      <c r="D182" s="406"/>
      <c r="E182" s="407"/>
      <c r="F182" s="407"/>
      <c r="G182" s="407"/>
      <c r="H182" s="407"/>
      <c r="I182" s="407"/>
      <c r="J182" s="408" t="s">
        <v>419</v>
      </c>
      <c r="K182" s="409" t="str">
        <f t="shared" si="18"/>
        <v>V=(Ancho x Largo x Alto)* Cant</v>
      </c>
      <c r="L182" s="410" t="str">
        <f t="shared" si="23"/>
        <v>M3</v>
      </c>
      <c r="M182" s="411"/>
      <c r="N182" s="412"/>
      <c r="O182" s="442"/>
      <c r="P182" s="442"/>
      <c r="Q182" s="412"/>
      <c r="R182" s="413">
        <f t="shared" si="19"/>
        <v>0</v>
      </c>
      <c r="S182" s="413"/>
      <c r="T182" s="414">
        <f>+HLOOKUP(B182,[238]Hoja1!$2:$78,25,FALSE)</f>
        <v>0</v>
      </c>
      <c r="Y182" s="439">
        <f t="shared" si="22"/>
        <v>0</v>
      </c>
      <c r="Z182" s="439">
        <f t="shared" si="20"/>
        <v>0</v>
      </c>
    </row>
    <row r="183" spans="1:26" ht="25.5">
      <c r="A183" s="453">
        <f t="shared" si="21"/>
        <v>2.0299999999999998</v>
      </c>
      <c r="B183" s="383">
        <v>17</v>
      </c>
      <c r="D183" s="406"/>
      <c r="E183" s="407"/>
      <c r="F183" s="407"/>
      <c r="G183" s="407"/>
      <c r="H183" s="407"/>
      <c r="I183" s="407"/>
      <c r="J183" s="408" t="s">
        <v>420</v>
      </c>
      <c r="K183" s="409" t="str">
        <f t="shared" si="18"/>
        <v>V=(Ancho x Largo x Alto)* Cant</v>
      </c>
      <c r="L183" s="410" t="str">
        <f t="shared" si="23"/>
        <v>M3</v>
      </c>
      <c r="M183" s="411"/>
      <c r="N183" s="412"/>
      <c r="O183" s="442"/>
      <c r="P183" s="442"/>
      <c r="Q183" s="412"/>
      <c r="R183" s="413">
        <f t="shared" si="19"/>
        <v>0</v>
      </c>
      <c r="S183" s="413"/>
      <c r="T183" s="414">
        <f>+HLOOKUP(B183,[238]Hoja1!$2:$78,25,FALSE)</f>
        <v>0</v>
      </c>
      <c r="Y183" s="439">
        <f t="shared" si="22"/>
        <v>0</v>
      </c>
      <c r="Z183" s="439">
        <f t="shared" si="20"/>
        <v>0</v>
      </c>
    </row>
    <row r="184" spans="1:26" ht="25.5">
      <c r="A184" s="453">
        <f t="shared" si="21"/>
        <v>2.0299999999999998</v>
      </c>
      <c r="B184" s="383">
        <v>18</v>
      </c>
      <c r="D184" s="406"/>
      <c r="E184" s="407"/>
      <c r="F184" s="407"/>
      <c r="G184" s="407"/>
      <c r="H184" s="407"/>
      <c r="I184" s="407"/>
      <c r="J184" s="408" t="s">
        <v>429</v>
      </c>
      <c r="K184" s="409" t="str">
        <f t="shared" si="18"/>
        <v>V=(Ancho x Largo x Alto)* Cant</v>
      </c>
      <c r="L184" s="410" t="str">
        <f t="shared" si="23"/>
        <v>M3</v>
      </c>
      <c r="M184" s="411"/>
      <c r="N184" s="412"/>
      <c r="O184" s="442"/>
      <c r="P184" s="442"/>
      <c r="Q184" s="412"/>
      <c r="R184" s="413">
        <f t="shared" si="19"/>
        <v>0</v>
      </c>
      <c r="S184" s="413"/>
      <c r="T184" s="414">
        <f>+HLOOKUP(B184,[238]Hoja1!$2:$78,25,FALSE)</f>
        <v>0</v>
      </c>
      <c r="Y184" s="439">
        <f t="shared" si="22"/>
        <v>0</v>
      </c>
      <c r="Z184" s="439">
        <f t="shared" si="20"/>
        <v>0</v>
      </c>
    </row>
    <row r="185" spans="1:26" ht="25.5">
      <c r="A185" s="453">
        <f t="shared" si="21"/>
        <v>2.0299999999999998</v>
      </c>
      <c r="B185" s="383">
        <v>19</v>
      </c>
      <c r="D185" s="406"/>
      <c r="E185" s="407"/>
      <c r="F185" s="407"/>
      <c r="G185" s="407"/>
      <c r="H185" s="407"/>
      <c r="I185" s="407"/>
      <c r="J185" s="408" t="s">
        <v>430</v>
      </c>
      <c r="K185" s="409" t="str">
        <f t="shared" si="18"/>
        <v>V=(Ancho x Largo x Alto)* Cant</v>
      </c>
      <c r="L185" s="410" t="str">
        <f t="shared" si="23"/>
        <v>M3</v>
      </c>
      <c r="M185" s="411"/>
      <c r="N185" s="412"/>
      <c r="O185" s="442"/>
      <c r="P185" s="442"/>
      <c r="Q185" s="412"/>
      <c r="R185" s="413">
        <f t="shared" si="19"/>
        <v>0</v>
      </c>
      <c r="S185" s="413"/>
      <c r="T185" s="414">
        <f>+HLOOKUP(B185,[238]Hoja1!$2:$78,25,FALSE)</f>
        <v>0</v>
      </c>
      <c r="Y185" s="439">
        <f t="shared" si="22"/>
        <v>0</v>
      </c>
      <c r="Z185" s="439">
        <f t="shared" si="20"/>
        <v>0</v>
      </c>
    </row>
    <row r="186" spans="1:26" ht="25.5">
      <c r="A186" s="453">
        <f t="shared" si="21"/>
        <v>2.0299999999999998</v>
      </c>
      <c r="B186" s="383">
        <v>20</v>
      </c>
      <c r="D186" s="406"/>
      <c r="E186" s="407"/>
      <c r="F186" s="407"/>
      <c r="G186" s="407"/>
      <c r="H186" s="407"/>
      <c r="I186" s="407"/>
      <c r="J186" s="408" t="s">
        <v>431</v>
      </c>
      <c r="K186" s="409" t="str">
        <f t="shared" si="18"/>
        <v>V=(Ancho x Largo x Alto)* Cant</v>
      </c>
      <c r="L186" s="410" t="str">
        <f t="shared" si="23"/>
        <v>M3</v>
      </c>
      <c r="M186" s="411"/>
      <c r="N186" s="412"/>
      <c r="O186" s="442"/>
      <c r="P186" s="442"/>
      <c r="Q186" s="412"/>
      <c r="R186" s="413">
        <f t="shared" si="19"/>
        <v>0</v>
      </c>
      <c r="S186" s="413"/>
      <c r="T186" s="414">
        <f>+HLOOKUP(B186,[238]Hoja1!$2:$78,25,FALSE)</f>
        <v>0</v>
      </c>
      <c r="Y186" s="439">
        <f t="shared" si="22"/>
        <v>0</v>
      </c>
      <c r="Z186" s="439">
        <f t="shared" si="20"/>
        <v>0</v>
      </c>
    </row>
    <row r="187" spans="1:26" ht="25.5">
      <c r="A187" s="453">
        <f t="shared" si="21"/>
        <v>2.0299999999999998</v>
      </c>
      <c r="B187" s="383">
        <v>21</v>
      </c>
      <c r="D187" s="406"/>
      <c r="E187" s="407"/>
      <c r="F187" s="407"/>
      <c r="G187" s="407"/>
      <c r="H187" s="407"/>
      <c r="I187" s="407"/>
      <c r="J187" s="408" t="s">
        <v>432</v>
      </c>
      <c r="K187" s="409" t="str">
        <f t="shared" si="18"/>
        <v>V=(Ancho x Largo x Alto)* Cant</v>
      </c>
      <c r="L187" s="410" t="str">
        <f t="shared" si="23"/>
        <v>M3</v>
      </c>
      <c r="M187" s="411"/>
      <c r="N187" s="412"/>
      <c r="O187" s="442">
        <v>0.2</v>
      </c>
      <c r="P187" s="442">
        <v>0.2</v>
      </c>
      <c r="Q187" s="449">
        <v>0.5</v>
      </c>
      <c r="R187" s="413">
        <f t="shared" si="19"/>
        <v>2.0000000000000004E-2</v>
      </c>
      <c r="S187" s="413">
        <v>2</v>
      </c>
      <c r="T187" s="414">
        <f>+HLOOKUP(B187,[238]Hoja1!$2:$78,25,FALSE)</f>
        <v>4.0000000000000008E-2</v>
      </c>
      <c r="Y187" s="439">
        <f t="shared" si="22"/>
        <v>4.0000000000000008E-2</v>
      </c>
      <c r="Z187" s="439">
        <f t="shared" si="20"/>
        <v>4.0000000000000008E-2</v>
      </c>
    </row>
    <row r="188" spans="1:26" ht="25.5">
      <c r="A188" s="453">
        <f t="shared" si="21"/>
        <v>2.0299999999999998</v>
      </c>
      <c r="B188" s="383">
        <v>22</v>
      </c>
      <c r="D188" s="406"/>
      <c r="E188" s="407"/>
      <c r="F188" s="407"/>
      <c r="G188" s="407"/>
      <c r="H188" s="407"/>
      <c r="I188" s="407"/>
      <c r="J188" s="408" t="s">
        <v>433</v>
      </c>
      <c r="K188" s="409" t="str">
        <f t="shared" si="18"/>
        <v>V=(Ancho x Largo x Alto)* Cant</v>
      </c>
      <c r="L188" s="410" t="str">
        <f t="shared" si="23"/>
        <v>M3</v>
      </c>
      <c r="M188" s="411"/>
      <c r="N188" s="412"/>
      <c r="O188" s="442"/>
      <c r="P188" s="442"/>
      <c r="Q188" s="412"/>
      <c r="R188" s="413">
        <f t="shared" si="19"/>
        <v>0</v>
      </c>
      <c r="S188" s="413"/>
      <c r="T188" s="414">
        <f>+HLOOKUP(B188,[238]Hoja1!$2:$78,25,FALSE)</f>
        <v>0</v>
      </c>
      <c r="Y188" s="439">
        <f t="shared" si="22"/>
        <v>0</v>
      </c>
      <c r="Z188" s="439">
        <f t="shared" si="20"/>
        <v>0</v>
      </c>
    </row>
    <row r="189" spans="1:26" ht="25.5">
      <c r="A189" s="453">
        <f t="shared" si="21"/>
        <v>2.0299999999999998</v>
      </c>
      <c r="B189" s="383">
        <v>23</v>
      </c>
      <c r="D189" s="406"/>
      <c r="E189" s="407"/>
      <c r="F189" s="407"/>
      <c r="G189" s="407"/>
      <c r="H189" s="407"/>
      <c r="I189" s="407"/>
      <c r="J189" s="408" t="s">
        <v>434</v>
      </c>
      <c r="K189" s="409" t="str">
        <f t="shared" si="18"/>
        <v>V=(Ancho x Largo x Alto)* Cant</v>
      </c>
      <c r="L189" s="410" t="str">
        <f t="shared" si="23"/>
        <v>M3</v>
      </c>
      <c r="M189" s="411"/>
      <c r="N189" s="412"/>
      <c r="O189" s="441">
        <v>0.2</v>
      </c>
      <c r="P189" s="441">
        <v>0.2</v>
      </c>
      <c r="Q189" s="412">
        <v>0.7</v>
      </c>
      <c r="R189" s="413">
        <f t="shared" si="19"/>
        <v>2.7999999999999997E-2</v>
      </c>
      <c r="S189" s="413">
        <v>4</v>
      </c>
      <c r="T189" s="414">
        <f>+HLOOKUP(B189,[238]Hoja1!$2:$78,25,FALSE)</f>
        <v>0.11200000000000002</v>
      </c>
      <c r="Y189" s="439">
        <f t="shared" si="22"/>
        <v>4.0000000000000008E-2</v>
      </c>
      <c r="Z189" s="439">
        <f t="shared" si="20"/>
        <v>4.0000000000000008E-2</v>
      </c>
    </row>
    <row r="190" spans="1:26" ht="25.5">
      <c r="A190" s="453">
        <f t="shared" si="21"/>
        <v>2.0299999999999998</v>
      </c>
      <c r="B190" s="383">
        <v>24</v>
      </c>
      <c r="D190" s="406"/>
      <c r="E190" s="407"/>
      <c r="F190" s="407"/>
      <c r="G190" s="407"/>
      <c r="H190" s="407"/>
      <c r="I190" s="407"/>
      <c r="J190" s="408" t="s">
        <v>435</v>
      </c>
      <c r="K190" s="409" t="str">
        <f t="shared" si="18"/>
        <v>V=(Ancho x Largo x Alto)* Cant</v>
      </c>
      <c r="L190" s="410" t="str">
        <f t="shared" si="23"/>
        <v>M3</v>
      </c>
      <c r="M190" s="411"/>
      <c r="N190" s="412"/>
      <c r="O190" s="442"/>
      <c r="P190" s="442"/>
      <c r="Q190" s="413"/>
      <c r="R190" s="413">
        <f t="shared" si="19"/>
        <v>0</v>
      </c>
      <c r="S190" s="413"/>
      <c r="T190" s="414">
        <f>+HLOOKUP(B190,[238]Hoja1!$2:$78,25,FALSE)</f>
        <v>0</v>
      </c>
      <c r="Y190" s="439">
        <f t="shared" si="22"/>
        <v>0</v>
      </c>
      <c r="Z190" s="439">
        <f t="shared" si="20"/>
        <v>0</v>
      </c>
    </row>
    <row r="191" spans="1:26" ht="25.5">
      <c r="A191" s="453">
        <f t="shared" si="21"/>
        <v>2.0299999999999998</v>
      </c>
      <c r="B191" s="383">
        <v>25</v>
      </c>
      <c r="D191" s="406"/>
      <c r="E191" s="407"/>
      <c r="F191" s="407"/>
      <c r="G191" s="407"/>
      <c r="H191" s="407"/>
      <c r="I191" s="407"/>
      <c r="J191" s="408" t="s">
        <v>436</v>
      </c>
      <c r="K191" s="409" t="str">
        <f t="shared" si="18"/>
        <v>V=(Ancho x Largo x Alto)* Cant</v>
      </c>
      <c r="L191" s="410" t="str">
        <f t="shared" si="23"/>
        <v>M3</v>
      </c>
      <c r="M191" s="411"/>
      <c r="N191" s="412"/>
      <c r="O191" s="442"/>
      <c r="P191" s="442"/>
      <c r="Q191" s="412"/>
      <c r="R191" s="413">
        <f t="shared" si="19"/>
        <v>0</v>
      </c>
      <c r="S191" s="413"/>
      <c r="T191" s="414">
        <f>+HLOOKUP(B191,[238]Hoja1!$2:$78,25,FALSE)</f>
        <v>0</v>
      </c>
      <c r="Y191" s="439">
        <f t="shared" si="22"/>
        <v>0</v>
      </c>
      <c r="Z191" s="439">
        <f t="shared" si="20"/>
        <v>0</v>
      </c>
    </row>
    <row r="192" spans="1:26" ht="25.5">
      <c r="A192" s="453">
        <f t="shared" si="21"/>
        <v>2.0299999999999998</v>
      </c>
      <c r="B192" s="383">
        <v>26</v>
      </c>
      <c r="D192" s="406"/>
      <c r="E192" s="407"/>
      <c r="F192" s="407"/>
      <c r="G192" s="407"/>
      <c r="H192" s="407"/>
      <c r="I192" s="407"/>
      <c r="J192" s="408" t="s">
        <v>437</v>
      </c>
      <c r="K192" s="409" t="str">
        <f t="shared" si="18"/>
        <v>V=(Ancho x Largo x Alto)* Cant</v>
      </c>
      <c r="L192" s="410" t="str">
        <f>+L181</f>
        <v>M3</v>
      </c>
      <c r="M192" s="411"/>
      <c r="N192" s="412"/>
      <c r="O192" s="442"/>
      <c r="P192" s="442"/>
      <c r="Q192" s="412"/>
      <c r="R192" s="413">
        <f t="shared" si="19"/>
        <v>0</v>
      </c>
      <c r="S192" s="413"/>
      <c r="T192" s="414">
        <f>+HLOOKUP(B192,[238]Hoja1!$2:$78,25,FALSE)</f>
        <v>0</v>
      </c>
      <c r="Y192" s="439">
        <f t="shared" si="22"/>
        <v>0</v>
      </c>
      <c r="Z192" s="439">
        <f t="shared" si="20"/>
        <v>0</v>
      </c>
    </row>
    <row r="193" spans="1:26" ht="25.5">
      <c r="A193" s="453">
        <f t="shared" si="21"/>
        <v>2.0299999999999998</v>
      </c>
      <c r="B193" s="383">
        <v>27</v>
      </c>
      <c r="D193" s="406"/>
      <c r="E193" s="407"/>
      <c r="F193" s="407"/>
      <c r="G193" s="407"/>
      <c r="H193" s="407"/>
      <c r="I193" s="407"/>
      <c r="J193" s="408" t="s">
        <v>438</v>
      </c>
      <c r="K193" s="409" t="str">
        <f t="shared" si="18"/>
        <v>V=(Ancho x Largo x Alto)* Cant</v>
      </c>
      <c r="L193" s="410" t="str">
        <f t="shared" ref="L193:L201" si="25">+L192</f>
        <v>M3</v>
      </c>
      <c r="M193" s="411"/>
      <c r="N193" s="412"/>
      <c r="O193" s="442"/>
      <c r="P193" s="442"/>
      <c r="Q193" s="412"/>
      <c r="R193" s="413">
        <f t="shared" si="19"/>
        <v>0</v>
      </c>
      <c r="S193" s="413"/>
      <c r="T193" s="414">
        <f>+HLOOKUP(B193,[238]Hoja1!$2:$78,25,FALSE)</f>
        <v>0</v>
      </c>
      <c r="Y193" s="439">
        <f t="shared" si="22"/>
        <v>0</v>
      </c>
      <c r="Z193" s="439">
        <f t="shared" si="20"/>
        <v>0</v>
      </c>
    </row>
    <row r="194" spans="1:26" ht="25.5">
      <c r="A194" s="453">
        <f t="shared" si="21"/>
        <v>2.0299999999999998</v>
      </c>
      <c r="B194" s="383">
        <v>28</v>
      </c>
      <c r="D194" s="406"/>
      <c r="E194" s="440"/>
      <c r="F194" s="407"/>
      <c r="G194" s="407"/>
      <c r="H194" s="407"/>
      <c r="I194" s="437"/>
      <c r="J194" s="408" t="s">
        <v>439</v>
      </c>
      <c r="K194" s="409" t="str">
        <f t="shared" si="18"/>
        <v>V=(Ancho x Largo x Alto)* Cant</v>
      </c>
      <c r="L194" s="410" t="str">
        <f t="shared" si="25"/>
        <v>M3</v>
      </c>
      <c r="M194" s="411"/>
      <c r="N194" s="412"/>
      <c r="O194" s="442"/>
      <c r="P194" s="442"/>
      <c r="Q194" s="413"/>
      <c r="R194" s="413">
        <f t="shared" si="19"/>
        <v>0</v>
      </c>
      <c r="S194" s="413"/>
      <c r="T194" s="414">
        <f>+HLOOKUP(B194,[238]Hoja1!$2:$78,25,FALSE)</f>
        <v>0</v>
      </c>
      <c r="Y194" s="439">
        <f t="shared" si="22"/>
        <v>0</v>
      </c>
      <c r="Z194" s="439">
        <f t="shared" si="20"/>
        <v>0</v>
      </c>
    </row>
    <row r="195" spans="1:26" ht="25.5">
      <c r="A195" s="453">
        <f t="shared" si="21"/>
        <v>2.0299999999999998</v>
      </c>
      <c r="B195" s="383">
        <v>29</v>
      </c>
      <c r="D195" s="406"/>
      <c r="E195" s="407"/>
      <c r="F195" s="407"/>
      <c r="G195" s="407"/>
      <c r="H195" s="407"/>
      <c r="I195" s="407"/>
      <c r="J195" s="408" t="s">
        <v>440</v>
      </c>
      <c r="K195" s="409" t="str">
        <f t="shared" si="18"/>
        <v>V=(Ancho x Largo x Alto)* Cant</v>
      </c>
      <c r="L195" s="410" t="str">
        <f t="shared" si="25"/>
        <v>M3</v>
      </c>
      <c r="M195" s="411"/>
      <c r="N195" s="412"/>
      <c r="O195" s="443"/>
      <c r="P195" s="443"/>
      <c r="Q195" s="412"/>
      <c r="R195" s="413">
        <f t="shared" si="19"/>
        <v>0</v>
      </c>
      <c r="S195" s="413"/>
      <c r="T195" s="414">
        <f>+HLOOKUP(B195,[238]Hoja1!$2:$78,25,FALSE)</f>
        <v>0</v>
      </c>
      <c r="Y195" s="439">
        <f t="shared" si="22"/>
        <v>0</v>
      </c>
      <c r="Z195" s="439">
        <f t="shared" si="20"/>
        <v>0</v>
      </c>
    </row>
    <row r="196" spans="1:26" ht="25.5">
      <c r="A196" s="453">
        <f t="shared" si="21"/>
        <v>2.0299999999999998</v>
      </c>
      <c r="B196" s="383">
        <v>30</v>
      </c>
      <c r="D196" s="406"/>
      <c r="E196" s="407"/>
      <c r="F196" s="407"/>
      <c r="G196" s="407"/>
      <c r="H196" s="407"/>
      <c r="I196" s="407"/>
      <c r="J196" s="408" t="s">
        <v>441</v>
      </c>
      <c r="K196" s="409" t="str">
        <f t="shared" si="18"/>
        <v>V=(Ancho x Largo x Alto)* Cant</v>
      </c>
      <c r="L196" s="410" t="str">
        <f t="shared" si="25"/>
        <v>M3</v>
      </c>
      <c r="M196" s="411"/>
      <c r="N196" s="412"/>
      <c r="O196" s="442"/>
      <c r="P196" s="442"/>
      <c r="Q196" s="412"/>
      <c r="R196" s="413">
        <f t="shared" si="19"/>
        <v>0</v>
      </c>
      <c r="S196" s="413"/>
      <c r="T196" s="414">
        <f>+HLOOKUP(B196,[238]Hoja1!$2:$78,25,FALSE)</f>
        <v>0</v>
      </c>
      <c r="Y196" s="439">
        <f t="shared" si="22"/>
        <v>0</v>
      </c>
      <c r="Z196" s="439">
        <f t="shared" si="20"/>
        <v>0</v>
      </c>
    </row>
    <row r="197" spans="1:26" ht="25.5">
      <c r="A197" s="453">
        <f t="shared" si="21"/>
        <v>2.0299999999999998</v>
      </c>
      <c r="B197" s="383">
        <v>31</v>
      </c>
      <c r="D197" s="406"/>
      <c r="E197" s="407"/>
      <c r="F197" s="407"/>
      <c r="G197" s="407"/>
      <c r="H197" s="407"/>
      <c r="I197" s="407"/>
      <c r="J197" s="408" t="s">
        <v>442</v>
      </c>
      <c r="K197" s="409" t="str">
        <f t="shared" si="18"/>
        <v>V=(Ancho x Largo x Alto)* Cant</v>
      </c>
      <c r="L197" s="410" t="str">
        <f t="shared" si="25"/>
        <v>M3</v>
      </c>
      <c r="M197" s="411"/>
      <c r="N197" s="412"/>
      <c r="O197" s="442">
        <v>0.2</v>
      </c>
      <c r="P197" s="442">
        <v>0.2</v>
      </c>
      <c r="Q197" s="449">
        <v>0.5</v>
      </c>
      <c r="R197" s="413">
        <f t="shared" ref="R197" si="26">+Q197*P197*O197</f>
        <v>2.0000000000000004E-2</v>
      </c>
      <c r="S197" s="413">
        <v>2</v>
      </c>
      <c r="T197" s="414">
        <f>+HLOOKUP(B197,[238]Hoja1!$2:$78,25,FALSE)</f>
        <v>3.6000000000000004E-2</v>
      </c>
      <c r="Y197" s="439">
        <f t="shared" si="22"/>
        <v>4.0000000000000008E-2</v>
      </c>
      <c r="Z197" s="439">
        <f t="shared" si="20"/>
        <v>4.0000000000000008E-2</v>
      </c>
    </row>
    <row r="198" spans="1:26" ht="25.5">
      <c r="A198" s="453">
        <f t="shared" si="21"/>
        <v>2.0299999999999998</v>
      </c>
      <c r="B198" s="383">
        <v>32</v>
      </c>
      <c r="D198" s="406"/>
      <c r="E198" s="407"/>
      <c r="F198" s="407"/>
      <c r="G198" s="407"/>
      <c r="H198" s="407"/>
      <c r="I198" s="407"/>
      <c r="J198" s="408" t="s">
        <v>443</v>
      </c>
      <c r="K198" s="409" t="str">
        <f t="shared" si="18"/>
        <v>V=(Ancho x Largo x Alto)* Cant</v>
      </c>
      <c r="L198" s="410" t="str">
        <f t="shared" si="25"/>
        <v>M3</v>
      </c>
      <c r="M198" s="411"/>
      <c r="N198" s="412"/>
      <c r="O198" s="442"/>
      <c r="P198" s="442"/>
      <c r="Q198" s="412"/>
      <c r="R198" s="413">
        <f t="shared" si="19"/>
        <v>0</v>
      </c>
      <c r="S198" s="413"/>
      <c r="T198" s="414">
        <f>+HLOOKUP(B198,[238]Hoja1!$2:$78,25,FALSE)</f>
        <v>0</v>
      </c>
      <c r="Y198" s="439">
        <f t="shared" si="22"/>
        <v>0</v>
      </c>
      <c r="Z198" s="439">
        <f t="shared" si="20"/>
        <v>0</v>
      </c>
    </row>
    <row r="199" spans="1:26" ht="25.5">
      <c r="A199" s="453">
        <f t="shared" si="21"/>
        <v>2.0299999999999998</v>
      </c>
      <c r="B199" s="383">
        <v>33</v>
      </c>
      <c r="D199" s="406"/>
      <c r="E199" s="407"/>
      <c r="F199" s="407"/>
      <c r="G199" s="407"/>
      <c r="H199" s="407"/>
      <c r="I199" s="407"/>
      <c r="J199" s="408" t="s">
        <v>444</v>
      </c>
      <c r="K199" s="409" t="str">
        <f t="shared" si="18"/>
        <v>V=(Ancho x Largo x Alto)* Cant</v>
      </c>
      <c r="L199" s="410" t="str">
        <f t="shared" si="25"/>
        <v>M3</v>
      </c>
      <c r="M199" s="411"/>
      <c r="N199" s="412"/>
      <c r="O199" s="442"/>
      <c r="P199" s="442"/>
      <c r="Q199" s="412"/>
      <c r="R199" s="413">
        <f t="shared" si="19"/>
        <v>0</v>
      </c>
      <c r="S199" s="413"/>
      <c r="T199" s="414">
        <f>+HLOOKUP(B199,[238]Hoja1!$2:$78,25,FALSE)</f>
        <v>0</v>
      </c>
      <c r="Y199" s="439">
        <f t="shared" si="22"/>
        <v>0</v>
      </c>
      <c r="Z199" s="439">
        <f t="shared" si="20"/>
        <v>0</v>
      </c>
    </row>
    <row r="200" spans="1:26" ht="25.5">
      <c r="A200" s="453">
        <f t="shared" si="21"/>
        <v>2.0299999999999998</v>
      </c>
      <c r="B200" s="383">
        <v>34</v>
      </c>
      <c r="D200" s="406"/>
      <c r="E200" s="407"/>
      <c r="F200" s="407"/>
      <c r="G200" s="407"/>
      <c r="H200" s="407"/>
      <c r="I200" s="407"/>
      <c r="J200" s="408" t="s">
        <v>445</v>
      </c>
      <c r="K200" s="409" t="str">
        <f t="shared" si="18"/>
        <v>V=(Ancho x Largo x Alto)* Cant</v>
      </c>
      <c r="L200" s="410" t="str">
        <f t="shared" si="25"/>
        <v>M3</v>
      </c>
      <c r="M200" s="411"/>
      <c r="N200" s="412"/>
      <c r="O200" s="443"/>
      <c r="P200" s="443"/>
      <c r="Q200" s="412"/>
      <c r="R200" s="413">
        <f t="shared" si="19"/>
        <v>0</v>
      </c>
      <c r="S200" s="413"/>
      <c r="T200" s="414">
        <f>+HLOOKUP(B200,[238]Hoja1!$2:$78,25,FALSE)</f>
        <v>0</v>
      </c>
      <c r="Y200" s="439">
        <f t="shared" si="22"/>
        <v>0</v>
      </c>
      <c r="Z200" s="439">
        <f t="shared" si="20"/>
        <v>0</v>
      </c>
    </row>
    <row r="201" spans="1:26" ht="25.5">
      <c r="A201" s="453">
        <f t="shared" si="21"/>
        <v>2.0299999999999998</v>
      </c>
      <c r="B201" s="383">
        <v>35</v>
      </c>
      <c r="D201" s="406"/>
      <c r="E201" s="440"/>
      <c r="F201" s="407"/>
      <c r="G201" s="407"/>
      <c r="H201" s="407"/>
      <c r="I201" s="437"/>
      <c r="J201" s="408" t="s">
        <v>446</v>
      </c>
      <c r="K201" s="409" t="str">
        <f t="shared" si="18"/>
        <v>V=(Ancho x Largo x Alto)* Cant</v>
      </c>
      <c r="L201" s="410" t="str">
        <f t="shared" si="25"/>
        <v>M3</v>
      </c>
      <c r="M201" s="411"/>
      <c r="N201" s="412"/>
      <c r="O201" s="442"/>
      <c r="P201" s="442"/>
      <c r="Q201" s="413"/>
      <c r="R201" s="413">
        <f t="shared" si="19"/>
        <v>0</v>
      </c>
      <c r="S201" s="413"/>
      <c r="T201" s="414">
        <f>+HLOOKUP(B201,[238]Hoja1!$2:$78,25,FALSE)</f>
        <v>0</v>
      </c>
      <c r="Y201" s="439">
        <f t="shared" si="22"/>
        <v>0</v>
      </c>
      <c r="Z201" s="439">
        <f t="shared" si="20"/>
        <v>0</v>
      </c>
    </row>
    <row r="202" spans="1:26" ht="25.5">
      <c r="A202" s="453">
        <f t="shared" si="21"/>
        <v>2.0299999999999998</v>
      </c>
      <c r="B202" s="383">
        <v>36</v>
      </c>
      <c r="D202" s="406"/>
      <c r="E202" s="407"/>
      <c r="F202" s="407"/>
      <c r="G202" s="407"/>
      <c r="H202" s="407"/>
      <c r="I202" s="407"/>
      <c r="J202" s="408" t="s">
        <v>447</v>
      </c>
      <c r="K202" s="409" t="str">
        <f t="shared" si="18"/>
        <v>V=(Ancho x Largo x Alto)* Cant</v>
      </c>
      <c r="L202" s="410" t="str">
        <f>+L191</f>
        <v>M3</v>
      </c>
      <c r="M202" s="411"/>
      <c r="N202" s="412"/>
      <c r="O202" s="442"/>
      <c r="P202" s="442"/>
      <c r="Q202" s="412"/>
      <c r="R202" s="413">
        <f t="shared" si="19"/>
        <v>0</v>
      </c>
      <c r="S202" s="413"/>
      <c r="T202" s="414">
        <f>+HLOOKUP(B202,[238]Hoja1!$2:$78,25,FALSE)</f>
        <v>0</v>
      </c>
      <c r="Y202" s="439">
        <f t="shared" si="22"/>
        <v>0</v>
      </c>
      <c r="Z202" s="439">
        <f t="shared" si="20"/>
        <v>0</v>
      </c>
    </row>
    <row r="203" spans="1:26" ht="25.5">
      <c r="A203" s="453">
        <f t="shared" si="21"/>
        <v>2.0299999999999998</v>
      </c>
      <c r="B203" s="383">
        <v>37</v>
      </c>
      <c r="D203" s="406"/>
      <c r="E203" s="407"/>
      <c r="F203" s="407"/>
      <c r="G203" s="407"/>
      <c r="H203" s="407"/>
      <c r="I203" s="407"/>
      <c r="J203" s="408" t="s">
        <v>448</v>
      </c>
      <c r="K203" s="409" t="str">
        <f t="shared" si="18"/>
        <v>V=(Ancho x Largo x Alto)* Cant</v>
      </c>
      <c r="L203" s="410" t="str">
        <f t="shared" ref="L203:L209" si="27">+L202</f>
        <v>M3</v>
      </c>
      <c r="M203" s="411"/>
      <c r="N203" s="412"/>
      <c r="O203" s="442">
        <v>0.2</v>
      </c>
      <c r="P203" s="442">
        <v>0.2</v>
      </c>
      <c r="Q203" s="413">
        <v>0.4</v>
      </c>
      <c r="R203" s="451">
        <f>+Q203*P203*O203</f>
        <v>1.6000000000000004E-2</v>
      </c>
      <c r="S203" s="413">
        <v>4</v>
      </c>
      <c r="T203" s="414">
        <f>+HLOOKUP(B203,[238]Hoja1!$2:$78,25,FALSE)</f>
        <v>6.4000000000000001E-2</v>
      </c>
      <c r="V203" s="452">
        <f>+S203*R203</f>
        <v>6.4000000000000015E-2</v>
      </c>
      <c r="Y203" s="439">
        <f t="shared" si="22"/>
        <v>4.0000000000000008E-2</v>
      </c>
      <c r="Z203" s="439">
        <f t="shared" si="20"/>
        <v>4.0000000000000008E-2</v>
      </c>
    </row>
    <row r="204" spans="1:26" ht="25.5">
      <c r="A204" s="453">
        <f t="shared" si="21"/>
        <v>2.0299999999999998</v>
      </c>
      <c r="B204" s="383">
        <v>38</v>
      </c>
      <c r="D204" s="406"/>
      <c r="E204" s="440"/>
      <c r="F204" s="407"/>
      <c r="G204" s="407"/>
      <c r="H204" s="407"/>
      <c r="I204" s="437"/>
      <c r="J204" s="408" t="s">
        <v>449</v>
      </c>
      <c r="K204" s="409" t="str">
        <f t="shared" si="18"/>
        <v>V=(Ancho x Largo x Alto)* Cant</v>
      </c>
      <c r="L204" s="410" t="str">
        <f t="shared" si="27"/>
        <v>M3</v>
      </c>
      <c r="M204" s="411"/>
      <c r="N204" s="412"/>
      <c r="O204" s="442"/>
      <c r="P204" s="442"/>
      <c r="Q204" s="413"/>
      <c r="R204" s="413">
        <f t="shared" si="19"/>
        <v>0</v>
      </c>
      <c r="S204" s="413"/>
      <c r="T204" s="414">
        <f>+HLOOKUP(B204,[238]Hoja1!$2:$78,25,FALSE)</f>
        <v>0</v>
      </c>
      <c r="Y204" s="439">
        <f t="shared" si="22"/>
        <v>0</v>
      </c>
      <c r="Z204" s="439">
        <f t="shared" si="20"/>
        <v>0</v>
      </c>
    </row>
    <row r="205" spans="1:26" ht="25.5">
      <c r="A205" s="453">
        <f t="shared" si="21"/>
        <v>2.0299999999999998</v>
      </c>
      <c r="B205" s="383">
        <v>39</v>
      </c>
      <c r="D205" s="406"/>
      <c r="E205" s="407"/>
      <c r="F205" s="407"/>
      <c r="G205" s="407"/>
      <c r="H205" s="407"/>
      <c r="I205" s="407"/>
      <c r="J205" s="408" t="s">
        <v>450</v>
      </c>
      <c r="K205" s="409" t="str">
        <f t="shared" si="18"/>
        <v>V=(Ancho x Largo x Alto)* Cant</v>
      </c>
      <c r="L205" s="410" t="str">
        <f t="shared" si="27"/>
        <v>M3</v>
      </c>
      <c r="M205" s="411"/>
      <c r="N205" s="412"/>
      <c r="O205" s="441"/>
      <c r="P205" s="441"/>
      <c r="Q205" s="412"/>
      <c r="R205" s="413">
        <f t="shared" si="19"/>
        <v>0</v>
      </c>
      <c r="S205" s="413"/>
      <c r="T205" s="414">
        <f>+HLOOKUP(B205,[238]Hoja1!$2:$78,25,FALSE)</f>
        <v>0</v>
      </c>
      <c r="Y205" s="439">
        <f t="shared" si="22"/>
        <v>0</v>
      </c>
      <c r="Z205" s="439">
        <f t="shared" si="20"/>
        <v>0</v>
      </c>
    </row>
    <row r="206" spans="1:26" ht="25.5">
      <c r="A206" s="453">
        <f t="shared" si="21"/>
        <v>2.0299999999999998</v>
      </c>
      <c r="B206" s="383">
        <v>40</v>
      </c>
      <c r="D206" s="406"/>
      <c r="E206" s="407"/>
      <c r="F206" s="407"/>
      <c r="G206" s="407"/>
      <c r="H206" s="407"/>
      <c r="I206" s="407"/>
      <c r="J206" s="408" t="s">
        <v>451</v>
      </c>
      <c r="K206" s="409" t="str">
        <f t="shared" si="18"/>
        <v>V=(Ancho x Largo x Alto)* Cant</v>
      </c>
      <c r="L206" s="410" t="str">
        <f t="shared" si="27"/>
        <v>M3</v>
      </c>
      <c r="M206" s="411"/>
      <c r="N206" s="412"/>
      <c r="O206" s="442"/>
      <c r="P206" s="442"/>
      <c r="Q206" s="412"/>
      <c r="R206" s="413">
        <f t="shared" si="19"/>
        <v>0</v>
      </c>
      <c r="S206" s="413"/>
      <c r="T206" s="414">
        <f>+HLOOKUP(B206,[238]Hoja1!$2:$78,25,FALSE)</f>
        <v>0</v>
      </c>
      <c r="Y206" s="439">
        <f t="shared" si="22"/>
        <v>0</v>
      </c>
      <c r="Z206" s="439">
        <f t="shared" si="20"/>
        <v>0</v>
      </c>
    </row>
    <row r="207" spans="1:26" ht="25.5">
      <c r="A207" s="453">
        <f t="shared" si="21"/>
        <v>2.0299999999999998</v>
      </c>
      <c r="B207" s="383">
        <v>41</v>
      </c>
      <c r="D207" s="406"/>
      <c r="E207" s="407"/>
      <c r="F207" s="407"/>
      <c r="G207" s="407"/>
      <c r="H207" s="407"/>
      <c r="I207" s="407"/>
      <c r="J207" s="408" t="s">
        <v>452</v>
      </c>
      <c r="K207" s="409" t="str">
        <f t="shared" si="18"/>
        <v>V=(Ancho x Largo x Alto)* Cant</v>
      </c>
      <c r="L207" s="410" t="str">
        <f t="shared" si="27"/>
        <v>M3</v>
      </c>
      <c r="M207" s="411"/>
      <c r="N207" s="412"/>
      <c r="O207" s="442"/>
      <c r="P207" s="442"/>
      <c r="Q207" s="413"/>
      <c r="R207" s="413">
        <f t="shared" si="19"/>
        <v>0</v>
      </c>
      <c r="S207" s="413"/>
      <c r="T207" s="414">
        <f>+HLOOKUP(B207,[238]Hoja1!$2:$78,25,FALSE)</f>
        <v>0</v>
      </c>
      <c r="Y207" s="439">
        <f t="shared" si="22"/>
        <v>0</v>
      </c>
      <c r="Z207" s="439">
        <f t="shared" si="20"/>
        <v>0</v>
      </c>
    </row>
    <row r="208" spans="1:26" ht="25.5">
      <c r="A208" s="453">
        <f t="shared" si="21"/>
        <v>2.0299999999999998</v>
      </c>
      <c r="B208" s="383">
        <v>42</v>
      </c>
      <c r="D208" s="406"/>
      <c r="E208" s="407"/>
      <c r="F208" s="407"/>
      <c r="G208" s="407"/>
      <c r="H208" s="407"/>
      <c r="I208" s="407"/>
      <c r="J208" s="408" t="s">
        <v>453</v>
      </c>
      <c r="K208" s="409" t="str">
        <f t="shared" si="18"/>
        <v>V=(Ancho x Largo x Alto)* Cant</v>
      </c>
      <c r="L208" s="410" t="str">
        <f t="shared" si="27"/>
        <v>M3</v>
      </c>
      <c r="M208" s="411"/>
      <c r="N208" s="412"/>
      <c r="O208" s="442"/>
      <c r="P208" s="442"/>
      <c r="Q208" s="412"/>
      <c r="R208" s="413">
        <f t="shared" si="19"/>
        <v>0</v>
      </c>
      <c r="S208" s="413"/>
      <c r="T208" s="414">
        <f>+HLOOKUP(B208,[238]Hoja1!$2:$78,25,FALSE)</f>
        <v>0</v>
      </c>
      <c r="Y208" s="439">
        <f t="shared" si="22"/>
        <v>0</v>
      </c>
      <c r="Z208" s="439">
        <f t="shared" si="20"/>
        <v>0</v>
      </c>
    </row>
    <row r="209" spans="1:26" ht="26.25" thickBot="1">
      <c r="A209" s="453">
        <f t="shared" si="21"/>
        <v>2.0299999999999998</v>
      </c>
      <c r="B209" s="383">
        <v>43</v>
      </c>
      <c r="D209" s="406"/>
      <c r="E209" s="407"/>
      <c r="F209" s="407"/>
      <c r="G209" s="407"/>
      <c r="H209" s="407"/>
      <c r="I209" s="407"/>
      <c r="J209" s="408" t="s">
        <v>454</v>
      </c>
      <c r="K209" s="409" t="str">
        <f t="shared" si="18"/>
        <v>V=(Ancho x Largo x Alto)* Cant</v>
      </c>
      <c r="L209" s="410" t="str">
        <f t="shared" si="27"/>
        <v>M3</v>
      </c>
      <c r="M209" s="411"/>
      <c r="N209" s="412"/>
      <c r="O209" s="442"/>
      <c r="P209" s="442"/>
      <c r="Q209" s="412"/>
      <c r="R209" s="413">
        <f t="shared" si="19"/>
        <v>0</v>
      </c>
      <c r="S209" s="413"/>
      <c r="T209" s="414">
        <f>+HLOOKUP(B209,[238]Hoja1!$2:$78,25,FALSE)</f>
        <v>0</v>
      </c>
      <c r="Y209" s="439">
        <f t="shared" si="22"/>
        <v>0</v>
      </c>
      <c r="Z209" s="439">
        <f t="shared" si="20"/>
        <v>0</v>
      </c>
    </row>
    <row r="210" spans="1:26">
      <c r="D210" s="384"/>
      <c r="E210" s="419"/>
      <c r="F210" s="420"/>
      <c r="G210" s="421"/>
      <c r="H210" s="421"/>
      <c r="I210" s="421"/>
      <c r="J210" s="421"/>
      <c r="K210" s="422"/>
      <c r="L210" s="421"/>
      <c r="M210" s="421"/>
      <c r="N210" s="421"/>
      <c r="O210" s="421"/>
      <c r="P210" s="421"/>
      <c r="Q210" s="421"/>
      <c r="R210" s="421"/>
      <c r="S210" s="422"/>
      <c r="T210" s="423"/>
    </row>
    <row r="211" spans="1:26">
      <c r="D211" s="396"/>
      <c r="E211" s="397"/>
      <c r="F211" s="424"/>
      <c r="G211" s="425"/>
      <c r="H211" s="425"/>
      <c r="I211" s="425"/>
      <c r="J211" s="425"/>
      <c r="K211" s="398"/>
      <c r="L211" s="425"/>
      <c r="M211" s="425"/>
      <c r="N211" s="397"/>
      <c r="O211" s="397"/>
      <c r="P211" s="562" t="s">
        <v>455</v>
      </c>
      <c r="Q211" s="563"/>
      <c r="R211" s="564"/>
      <c r="S211" s="426"/>
      <c r="T211" s="427">
        <f>ROUND(SUM(T167:T210),2)</f>
        <v>0.48</v>
      </c>
    </row>
    <row r="212" spans="1:26">
      <c r="D212" s="396"/>
      <c r="E212" s="397"/>
      <c r="F212" s="424"/>
      <c r="G212" s="425"/>
      <c r="H212" s="425"/>
      <c r="I212" s="425"/>
      <c r="J212" s="425"/>
      <c r="K212" s="398"/>
      <c r="L212" s="425"/>
      <c r="M212" s="425"/>
      <c r="N212" s="428"/>
      <c r="O212" s="428"/>
      <c r="P212" s="429"/>
      <c r="Q212" s="425"/>
      <c r="R212" s="425"/>
      <c r="S212" s="430"/>
      <c r="T212" s="431"/>
    </row>
    <row r="213" spans="1:26">
      <c r="D213" s="565" t="e">
        <v>#REF!</v>
      </c>
      <c r="E213" s="566"/>
      <c r="F213" s="566"/>
      <c r="G213" s="566"/>
      <c r="H213" s="566"/>
      <c r="I213" s="566"/>
      <c r="J213" s="566"/>
      <c r="K213" s="566"/>
      <c r="L213" s="566"/>
      <c r="M213" s="566"/>
      <c r="N213" s="566"/>
      <c r="O213" s="567"/>
      <c r="P213" s="568" t="s">
        <v>422</v>
      </c>
      <c r="Q213" s="568"/>
      <c r="R213" s="568"/>
      <c r="S213" s="426"/>
      <c r="T213" s="427">
        <f>T211</f>
        <v>0.48</v>
      </c>
    </row>
    <row r="214" spans="1:26">
      <c r="D214" s="396"/>
      <c r="E214" s="397"/>
      <c r="F214" s="424"/>
      <c r="G214" s="425"/>
      <c r="H214" s="425"/>
      <c r="I214" s="425"/>
      <c r="J214" s="425"/>
      <c r="K214" s="398"/>
      <c r="L214" s="425"/>
      <c r="M214" s="425"/>
      <c r="N214" s="428"/>
      <c r="O214" s="428"/>
      <c r="P214" s="429"/>
      <c r="Q214" s="425"/>
      <c r="R214" s="398"/>
      <c r="S214" s="398"/>
      <c r="T214" s="432"/>
    </row>
    <row r="215" spans="1:26">
      <c r="D215" s="396"/>
      <c r="E215" s="397"/>
      <c r="F215" s="424"/>
      <c r="G215" s="425"/>
      <c r="H215" s="425"/>
      <c r="I215" s="425"/>
      <c r="J215" s="425"/>
      <c r="K215" s="398"/>
      <c r="L215" s="425"/>
      <c r="M215" s="425"/>
      <c r="N215" s="428"/>
      <c r="O215" s="428"/>
      <c r="P215" s="429"/>
      <c r="Q215" s="425"/>
      <c r="R215" s="398"/>
      <c r="S215" s="398"/>
      <c r="T215" s="432"/>
    </row>
    <row r="216" spans="1:26">
      <c r="D216" s="569" t="s">
        <v>423</v>
      </c>
      <c r="E216" s="570"/>
      <c r="F216" s="570"/>
      <c r="G216" s="570"/>
      <c r="H216" s="570"/>
      <c r="I216" s="570"/>
      <c r="J216" s="570"/>
      <c r="K216" s="571"/>
      <c r="L216" s="433" t="s">
        <v>424</v>
      </c>
      <c r="M216" s="434"/>
      <c r="N216" s="434"/>
      <c r="O216" s="434"/>
      <c r="P216" s="434"/>
      <c r="Q216" s="434"/>
      <c r="R216" s="434"/>
      <c r="S216" s="434"/>
      <c r="T216" s="435"/>
    </row>
    <row r="217" spans="1:26">
      <c r="D217" s="542"/>
      <c r="E217" s="543"/>
      <c r="F217" s="543"/>
      <c r="G217" s="543"/>
      <c r="H217" s="436"/>
      <c r="I217" s="436"/>
      <c r="J217" s="436"/>
      <c r="K217" s="447"/>
      <c r="L217" s="436"/>
      <c r="M217" s="407"/>
      <c r="N217" s="407"/>
      <c r="O217" s="407"/>
      <c r="P217" s="407"/>
      <c r="Q217" s="407"/>
      <c r="R217" s="407"/>
      <c r="S217" s="407"/>
      <c r="T217" s="437"/>
    </row>
    <row r="218" spans="1:26">
      <c r="D218" s="542"/>
      <c r="E218" s="543"/>
      <c r="F218" s="543"/>
      <c r="G218" s="543"/>
      <c r="H218" s="436"/>
      <c r="I218" s="436"/>
      <c r="J218" s="436"/>
      <c r="K218" s="447"/>
      <c r="L218" s="436"/>
      <c r="M218" s="407"/>
      <c r="N218" s="407"/>
      <c r="O218" s="407"/>
      <c r="P218" s="407"/>
      <c r="Q218" s="407"/>
      <c r="R218" s="407"/>
      <c r="S218" s="407"/>
      <c r="T218" s="437"/>
    </row>
    <row r="219" spans="1:26">
      <c r="D219" s="542" t="s">
        <v>425</v>
      </c>
      <c r="E219" s="543"/>
      <c r="F219" s="543" t="s">
        <v>425</v>
      </c>
      <c r="G219" s="543"/>
      <c r="H219" s="543" t="s">
        <v>425</v>
      </c>
      <c r="I219" s="543"/>
      <c r="J219" s="543" t="s">
        <v>425</v>
      </c>
      <c r="K219" s="544"/>
      <c r="L219" s="545" t="s">
        <v>426</v>
      </c>
      <c r="M219" s="546"/>
      <c r="N219" s="546"/>
      <c r="O219" s="546"/>
      <c r="P219" s="546"/>
      <c r="Q219" s="546"/>
      <c r="R219" s="546"/>
      <c r="S219" s="546"/>
      <c r="T219" s="547"/>
    </row>
    <row r="220" spans="1:26">
      <c r="D220" s="548" t="str">
        <f>+[42]DATOS!D$8</f>
        <v>HELMER EDUARDO BECERRA SANTANDER</v>
      </c>
      <c r="E220" s="549"/>
      <c r="F220" s="549" t="s">
        <v>427</v>
      </c>
      <c r="G220" s="549"/>
      <c r="H220" s="549" t="s">
        <v>427</v>
      </c>
      <c r="I220" s="549"/>
      <c r="J220" s="549" t="s">
        <v>427</v>
      </c>
      <c r="K220" s="550"/>
      <c r="L220" s="551" t="str">
        <f>+[42]DATOS!D$11</f>
        <v>JESUS IVAN QUIÑONES RUEDA</v>
      </c>
      <c r="M220" s="549"/>
      <c r="N220" s="549"/>
      <c r="O220" s="549"/>
      <c r="P220" s="549"/>
      <c r="Q220" s="549"/>
      <c r="R220" s="549"/>
      <c r="S220" s="549"/>
      <c r="T220" s="552"/>
    </row>
    <row r="221" spans="1:26">
      <c r="D221" s="553" t="str">
        <f>+$D$72</f>
        <v>APOYO SEC. DE PLANEACION Y OBRAS PÚBLICAS</v>
      </c>
      <c r="E221" s="554"/>
      <c r="F221" s="554" t="s">
        <v>428</v>
      </c>
      <c r="G221" s="554"/>
      <c r="H221" s="554" t="s">
        <v>428</v>
      </c>
      <c r="I221" s="554"/>
      <c r="J221" s="554" t="s">
        <v>428</v>
      </c>
      <c r="K221" s="555"/>
      <c r="L221" s="556" t="str">
        <f>+$L$72</f>
        <v>SECRETARIO DE PLANEACION Y OBRAS PÚBLICAS</v>
      </c>
      <c r="M221" s="554"/>
      <c r="N221" s="554"/>
      <c r="O221" s="554"/>
      <c r="P221" s="554"/>
      <c r="Q221" s="554"/>
      <c r="R221" s="554"/>
      <c r="S221" s="554"/>
      <c r="T221" s="557"/>
    </row>
    <row r="222" spans="1:26">
      <c r="D222" s="406"/>
      <c r="E222" s="407"/>
      <c r="F222" s="407"/>
      <c r="G222" s="407"/>
      <c r="H222" s="407"/>
      <c r="I222" s="407"/>
      <c r="J222" s="407"/>
      <c r="K222" s="407"/>
      <c r="L222" s="407"/>
      <c r="M222" s="407"/>
      <c r="N222" s="407"/>
      <c r="O222" s="407"/>
      <c r="P222" s="407"/>
      <c r="Q222" s="407"/>
      <c r="R222" s="407"/>
      <c r="S222" s="407"/>
      <c r="T222" s="437"/>
    </row>
    <row r="223" spans="1:26" ht="111" customHeight="1" thickBot="1">
      <c r="D223" s="417"/>
      <c r="E223" s="418"/>
      <c r="F223" s="418"/>
      <c r="G223" s="418"/>
      <c r="H223" s="418"/>
      <c r="I223" s="418"/>
      <c r="J223" s="418"/>
      <c r="K223" s="418"/>
      <c r="L223" s="418"/>
      <c r="M223" s="418"/>
      <c r="N223" s="418"/>
      <c r="O223" s="418"/>
      <c r="P223" s="418"/>
      <c r="Q223" s="418"/>
      <c r="R223" s="418"/>
      <c r="S223" s="418"/>
      <c r="T223" s="438"/>
    </row>
    <row r="224" spans="1:26" ht="22.5" customHeight="1"/>
    <row r="225" spans="4:23" ht="13.5" thickBot="1"/>
    <row r="226" spans="4:23">
      <c r="D226" s="384"/>
      <c r="E226" s="385"/>
      <c r="F226" s="385"/>
      <c r="G226" s="385"/>
      <c r="H226" s="385"/>
      <c r="I226" s="385"/>
      <c r="J226" s="385"/>
      <c r="K226" s="445"/>
      <c r="L226" s="385"/>
      <c r="M226" s="385"/>
      <c r="N226" s="385"/>
      <c r="O226" s="385"/>
      <c r="P226" s="385"/>
      <c r="Q226" s="385"/>
      <c r="R226" s="385"/>
      <c r="S226" s="385"/>
      <c r="T226" s="386"/>
    </row>
    <row r="227" spans="4:23" ht="117" customHeight="1" thickBot="1">
      <c r="D227" s="387"/>
      <c r="E227" s="388"/>
      <c r="F227" s="388"/>
      <c r="G227" s="388"/>
      <c r="H227" s="388"/>
      <c r="I227" s="388"/>
      <c r="J227" s="388"/>
      <c r="K227" s="446"/>
      <c r="L227" s="388"/>
      <c r="M227" s="388"/>
      <c r="N227" s="388"/>
      <c r="O227" s="388"/>
      <c r="P227" s="388"/>
      <c r="Q227" s="388"/>
      <c r="R227" s="388"/>
      <c r="S227" s="388"/>
      <c r="T227" s="389"/>
    </row>
    <row r="228" spans="4:23">
      <c r="D228" s="592" t="str">
        <f>+[42]DATOS!C$7</f>
        <v>MEJORAMIENTO DE VIVIENDA CON ENFOQUE DIFERENCIAL PARA POBLACIÓN VULNERABLE EN EL MUNICIPIO DE CUBARÁ, BOYACÁ (2026).</v>
      </c>
      <c r="E228" s="593"/>
      <c r="F228" s="593"/>
      <c r="G228" s="593"/>
      <c r="H228" s="593"/>
      <c r="I228" s="593"/>
      <c r="J228" s="593"/>
      <c r="K228" s="593"/>
      <c r="L228" s="593"/>
      <c r="M228" s="593"/>
      <c r="N228" s="593"/>
      <c r="O228" s="593"/>
      <c r="P228" s="593"/>
      <c r="Q228" s="593"/>
      <c r="R228" s="593"/>
      <c r="S228" s="593"/>
      <c r="T228" s="594"/>
    </row>
    <row r="229" spans="4:23">
      <c r="D229" s="595"/>
      <c r="E229" s="596"/>
      <c r="F229" s="596"/>
      <c r="G229" s="596"/>
      <c r="H229" s="596"/>
      <c r="I229" s="596"/>
      <c r="J229" s="596"/>
      <c r="K229" s="596"/>
      <c r="L229" s="596"/>
      <c r="M229" s="596"/>
      <c r="N229" s="596"/>
      <c r="O229" s="596"/>
      <c r="P229" s="596"/>
      <c r="Q229" s="596"/>
      <c r="R229" s="596"/>
      <c r="S229" s="596"/>
      <c r="T229" s="597"/>
    </row>
    <row r="230" spans="4:23">
      <c r="D230" s="598" t="s">
        <v>371</v>
      </c>
      <c r="E230" s="599"/>
      <c r="F230" s="599"/>
      <c r="G230" s="599"/>
      <c r="H230" s="599"/>
      <c r="I230" s="599"/>
      <c r="J230" s="599"/>
      <c r="K230" s="599"/>
      <c r="L230" s="599"/>
      <c r="M230" s="599"/>
      <c r="N230" s="599"/>
      <c r="O230" s="599"/>
      <c r="P230" s="599"/>
      <c r="Q230" s="599"/>
      <c r="R230" s="599"/>
      <c r="S230" s="599"/>
      <c r="T230" s="600"/>
    </row>
    <row r="231" spans="4:23">
      <c r="D231" s="586" t="s">
        <v>372</v>
      </c>
      <c r="E231" s="587"/>
      <c r="F231" s="601" t="s">
        <v>373</v>
      </c>
      <c r="G231" s="601"/>
      <c r="H231" s="601"/>
      <c r="I231" s="601"/>
      <c r="J231" s="601"/>
      <c r="K231" s="601"/>
      <c r="L231" s="601"/>
      <c r="M231" s="601"/>
      <c r="N231" s="601"/>
      <c r="O231" s="601"/>
      <c r="P231" s="601"/>
      <c r="Q231" s="601"/>
      <c r="R231" s="601"/>
      <c r="S231" s="601"/>
      <c r="T231" s="602"/>
    </row>
    <row r="232" spans="4:23">
      <c r="D232" s="586" t="s">
        <v>374</v>
      </c>
      <c r="E232" s="587"/>
      <c r="F232" s="603" t="s">
        <v>375</v>
      </c>
      <c r="G232" s="604"/>
      <c r="H232" s="604"/>
      <c r="I232" s="604"/>
      <c r="J232" s="604"/>
      <c r="K232" s="604"/>
      <c r="L232" s="604"/>
      <c r="M232" s="604"/>
      <c r="N232" s="604"/>
      <c r="O232" s="604"/>
      <c r="P232" s="604"/>
      <c r="Q232" s="604"/>
      <c r="R232" s="604"/>
      <c r="S232" s="604"/>
      <c r="T232" s="605"/>
    </row>
    <row r="233" spans="4:23">
      <c r="D233" s="586" t="s">
        <v>376</v>
      </c>
      <c r="E233" s="587"/>
      <c r="F233" s="390">
        <f>+[42]DATOS!F$5</f>
        <v>46143</v>
      </c>
      <c r="G233" s="391"/>
      <c r="H233" s="391"/>
      <c r="I233" s="391"/>
      <c r="J233" s="391"/>
      <c r="K233" s="391"/>
      <c r="L233" s="568" t="s">
        <v>377</v>
      </c>
      <c r="M233" s="568"/>
      <c r="N233" s="588" t="s">
        <v>378</v>
      </c>
      <c r="O233" s="588"/>
      <c r="P233" s="588"/>
      <c r="Q233" s="588"/>
      <c r="R233" s="588"/>
      <c r="S233" s="588"/>
      <c r="T233" s="589"/>
    </row>
    <row r="234" spans="4:23" ht="25.5">
      <c r="D234" s="586" t="s">
        <v>379</v>
      </c>
      <c r="E234" s="587"/>
      <c r="F234" s="590" t="s">
        <v>380</v>
      </c>
      <c r="G234" s="591"/>
      <c r="H234" s="392">
        <f>+[42]DATOS!E$5</f>
        <v>2026</v>
      </c>
      <c r="I234" s="393" t="s">
        <v>381</v>
      </c>
      <c r="J234" s="394">
        <f>+[42]DATOS!E$5</f>
        <v>2026</v>
      </c>
      <c r="K234" s="395"/>
      <c r="L234" s="568" t="s">
        <v>382</v>
      </c>
      <c r="M234" s="568"/>
      <c r="N234" s="588" t="s">
        <v>383</v>
      </c>
      <c r="O234" s="588"/>
      <c r="P234" s="588"/>
      <c r="Q234" s="588"/>
      <c r="R234" s="588"/>
      <c r="S234" s="588"/>
      <c r="T234" s="589"/>
    </row>
    <row r="235" spans="4:23">
      <c r="D235" s="396"/>
      <c r="E235" s="397"/>
      <c r="F235" s="397"/>
      <c r="G235" s="398"/>
      <c r="H235" s="398"/>
      <c r="I235" s="398"/>
      <c r="J235" s="398"/>
      <c r="K235" s="398"/>
      <c r="L235" s="398"/>
      <c r="M235" s="398"/>
      <c r="N235" s="398"/>
      <c r="O235" s="398"/>
      <c r="P235" s="398"/>
      <c r="Q235" s="398"/>
      <c r="R235" s="398"/>
      <c r="S235" s="398"/>
      <c r="T235" s="399"/>
    </row>
    <row r="236" spans="4:23">
      <c r="D236" s="572" t="s">
        <v>384</v>
      </c>
      <c r="E236" s="573"/>
      <c r="F236" s="573"/>
      <c r="G236" s="573"/>
      <c r="H236" s="573"/>
      <c r="I236" s="573"/>
      <c r="J236" s="573"/>
      <c r="K236" s="573"/>
      <c r="L236" s="573"/>
      <c r="M236" s="573"/>
      <c r="N236" s="573"/>
      <c r="O236" s="573"/>
      <c r="P236" s="573"/>
      <c r="Q236" s="573"/>
      <c r="R236" s="573"/>
      <c r="S236" s="573"/>
      <c r="T236" s="574"/>
    </row>
    <row r="237" spans="4:23">
      <c r="D237" s="396"/>
      <c r="E237" s="397"/>
      <c r="F237" s="397"/>
      <c r="G237" s="398"/>
      <c r="H237" s="398"/>
      <c r="I237" s="398"/>
      <c r="J237" s="398"/>
      <c r="K237" s="398"/>
      <c r="L237" s="398"/>
      <c r="M237" s="398"/>
      <c r="N237" s="398"/>
      <c r="O237" s="398"/>
      <c r="P237" s="398"/>
      <c r="Q237" s="398"/>
      <c r="R237" s="398"/>
      <c r="S237" s="398"/>
      <c r="T237" s="399"/>
    </row>
    <row r="238" spans="4:23">
      <c r="D238" s="400" t="s">
        <v>385</v>
      </c>
      <c r="E238" s="575" t="s">
        <v>386</v>
      </c>
      <c r="F238" s="575"/>
      <c r="G238" s="576" t="s">
        <v>387</v>
      </c>
      <c r="H238" s="577"/>
      <c r="I238" s="577"/>
      <c r="J238" s="576" t="s">
        <v>388</v>
      </c>
      <c r="K238" s="576" t="s">
        <v>389</v>
      </c>
      <c r="L238" s="579"/>
      <c r="M238" s="581" t="s">
        <v>390</v>
      </c>
      <c r="N238" s="581"/>
      <c r="O238" s="581"/>
      <c r="P238" s="581"/>
      <c r="Q238" s="581"/>
      <c r="R238" s="581"/>
      <c r="S238" s="581" t="s">
        <v>391</v>
      </c>
      <c r="T238" s="582"/>
    </row>
    <row r="239" spans="4:23" ht="38.25">
      <c r="D239" s="403">
        <f>+'PRESUPUESTO OFICIAL '!C33</f>
        <v>2.04</v>
      </c>
      <c r="E239" s="583" t="str">
        <f>+VLOOKUP(D239,'PRESUPUESTO OFICIAL '!$C$11:$H$103,2)</f>
        <v xml:space="preserve">VIGA DE CIMENTACIÓN EN CONCRETO f'c = 3000 PSI (21MPa), Sección 0,20x0,30 m </v>
      </c>
      <c r="F239" s="584"/>
      <c r="G239" s="585" t="str">
        <f>+VLOOKUP(D239,'PRESUPUESTO OFICIAL '!$C$11:$H$103,3)</f>
        <v>M3</v>
      </c>
      <c r="H239" s="585"/>
      <c r="I239" s="585"/>
      <c r="J239" s="578"/>
      <c r="K239" s="578"/>
      <c r="L239" s="580"/>
      <c r="M239" s="401" t="s">
        <v>392</v>
      </c>
      <c r="N239" s="401" t="s">
        <v>393</v>
      </c>
      <c r="O239" s="401" t="s">
        <v>394</v>
      </c>
      <c r="P239" s="401" t="s">
        <v>395</v>
      </c>
      <c r="Q239" s="401" t="s">
        <v>396</v>
      </c>
      <c r="R239" s="401" t="s">
        <v>397</v>
      </c>
      <c r="S239" s="401" t="s">
        <v>398</v>
      </c>
      <c r="T239" s="402" t="s">
        <v>399</v>
      </c>
      <c r="V239" s="404">
        <f>+D239</f>
        <v>2.04</v>
      </c>
      <c r="W239" s="405">
        <f>+T287</f>
        <v>18.68</v>
      </c>
    </row>
    <row r="240" spans="4:23">
      <c r="D240" s="406"/>
      <c r="E240" s="407"/>
      <c r="F240" s="407"/>
      <c r="G240" s="407"/>
      <c r="H240" s="407"/>
      <c r="I240" s="407"/>
      <c r="J240" s="558"/>
      <c r="K240" s="559"/>
      <c r="L240" s="560"/>
      <c r="M240" s="560"/>
      <c r="N240" s="560"/>
      <c r="O240" s="560"/>
      <c r="P240" s="560"/>
      <c r="Q240" s="560"/>
      <c r="R240" s="560"/>
      <c r="S240" s="560"/>
      <c r="T240" s="561"/>
    </row>
    <row r="241" spans="1:39" ht="25.5">
      <c r="A241" s="453">
        <f>+D239</f>
        <v>2.04</v>
      </c>
      <c r="B241" s="383">
        <v>1</v>
      </c>
      <c r="D241" s="406"/>
      <c r="E241" s="407"/>
      <c r="F241" s="407"/>
      <c r="G241" s="407"/>
      <c r="H241" s="407"/>
      <c r="I241" s="407"/>
      <c r="J241" s="408" t="s">
        <v>400</v>
      </c>
      <c r="K241" s="409" t="str">
        <f t="shared" ref="K241:K283" si="28">+VLOOKUP(L241,$AH$22:$AJ$58,2,)</f>
        <v>V=(Ancho x Largo x Alto)* Cant</v>
      </c>
      <c r="L241" s="410" t="str">
        <f>+G239</f>
        <v>M3</v>
      </c>
      <c r="M241" s="411"/>
      <c r="N241" s="412"/>
      <c r="O241" s="442"/>
      <c r="P241" s="442"/>
      <c r="Q241" s="413"/>
      <c r="R241" s="413"/>
      <c r="S241" s="413"/>
      <c r="T241" s="414">
        <f>+HLOOKUP(B241,[238]Hoja1!$2:$78,26,FALSE)</f>
        <v>0</v>
      </c>
      <c r="V241" s="453">
        <f>+T241</f>
        <v>0</v>
      </c>
      <c r="Y241" s="439">
        <f t="shared" ref="Y241:Y262" si="29">+O241*P241</f>
        <v>0</v>
      </c>
    </row>
    <row r="242" spans="1:39" ht="25.5">
      <c r="A242" s="453">
        <f>+A241</f>
        <v>2.04</v>
      </c>
      <c r="B242" s="383">
        <v>2</v>
      </c>
      <c r="D242" s="406"/>
      <c r="E242" s="407"/>
      <c r="F242" s="407"/>
      <c r="G242" s="407"/>
      <c r="H242" s="407"/>
      <c r="I242" s="407"/>
      <c r="J242" s="408" t="s">
        <v>401</v>
      </c>
      <c r="K242" s="409" t="str">
        <f t="shared" si="28"/>
        <v>V=(Ancho x Largo x Alto)* Cant</v>
      </c>
      <c r="L242" s="410" t="str">
        <f>+L241</f>
        <v>M3</v>
      </c>
      <c r="M242" s="411"/>
      <c r="N242" s="412"/>
      <c r="O242" s="454">
        <v>0.2</v>
      </c>
      <c r="P242" s="454">
        <f>+T242/0.3/0.2</f>
        <v>12.699999999999998</v>
      </c>
      <c r="Q242" s="454">
        <v>0.3</v>
      </c>
      <c r="R242" s="454">
        <f>+Q242*P242*O242</f>
        <v>0.7619999999999999</v>
      </c>
      <c r="S242" s="413">
        <v>1</v>
      </c>
      <c r="T242" s="414">
        <f>+HLOOKUP(B242,[238]Hoja1!$2:$78,26,FALSE)</f>
        <v>0.7619999999999999</v>
      </c>
      <c r="V242" s="453">
        <f t="shared" ref="V242:V305" si="30">+T242</f>
        <v>0.7619999999999999</v>
      </c>
      <c r="Y242" s="439">
        <f t="shared" si="29"/>
        <v>2.5399999999999996</v>
      </c>
      <c r="Z242" s="439">
        <f t="shared" ref="Z242:Z262" si="31">+Y242 -M242</f>
        <v>2.5399999999999996</v>
      </c>
      <c r="AB242" s="439">
        <f>+O242*P242*Q242</f>
        <v>0.7619999999999999</v>
      </c>
    </row>
    <row r="243" spans="1:39" ht="25.5">
      <c r="A243" s="453">
        <f t="shared" ref="A243:A283" si="32">+A242</f>
        <v>2.04</v>
      </c>
      <c r="B243" s="383">
        <v>3</v>
      </c>
      <c r="D243" s="406"/>
      <c r="E243" s="407"/>
      <c r="F243" s="407"/>
      <c r="G243" s="407"/>
      <c r="H243" s="407"/>
      <c r="I243" s="407"/>
      <c r="J243" s="408" t="s">
        <v>402</v>
      </c>
      <c r="K243" s="409" t="str">
        <f t="shared" si="28"/>
        <v>V=(Ancho x Largo x Alto)* Cant</v>
      </c>
      <c r="L243" s="410" t="str">
        <f>+L242</f>
        <v>M3</v>
      </c>
      <c r="M243" s="411"/>
      <c r="N243" s="412"/>
      <c r="O243" s="454">
        <v>0.2</v>
      </c>
      <c r="P243" s="454">
        <f t="shared" ref="P243:P281" si="33">+T243/0.3/0.2</f>
        <v>12.699999999999998</v>
      </c>
      <c r="Q243" s="454">
        <v>0.3</v>
      </c>
      <c r="R243" s="454">
        <f t="shared" ref="R243:R281" si="34">+Q243*P243*O243</f>
        <v>0.7619999999999999</v>
      </c>
      <c r="S243" s="413">
        <v>1</v>
      </c>
      <c r="T243" s="414">
        <f>+HLOOKUP(B243,[238]Hoja1!$2:$78,26,FALSE)</f>
        <v>0.7619999999999999</v>
      </c>
      <c r="V243" s="453">
        <f t="shared" si="30"/>
        <v>0.7619999999999999</v>
      </c>
      <c r="Y243" s="439">
        <f t="shared" si="29"/>
        <v>2.5399999999999996</v>
      </c>
      <c r="Z243" s="439">
        <f t="shared" si="31"/>
        <v>2.5399999999999996</v>
      </c>
    </row>
    <row r="244" spans="1:39" ht="25.5">
      <c r="A244" s="453">
        <f t="shared" si="32"/>
        <v>2.04</v>
      </c>
      <c r="B244" s="383">
        <v>4</v>
      </c>
      <c r="D244" s="406"/>
      <c r="E244" s="407"/>
      <c r="F244" s="407"/>
      <c r="G244" s="407"/>
      <c r="H244" s="407"/>
      <c r="I244" s="407"/>
      <c r="J244" s="408" t="s">
        <v>403</v>
      </c>
      <c r="K244" s="409" t="str">
        <f t="shared" si="28"/>
        <v>V=(Ancho x Largo x Alto)* Cant</v>
      </c>
      <c r="L244" s="410" t="str">
        <f>+L243</f>
        <v>M3</v>
      </c>
      <c r="M244" s="411"/>
      <c r="N244" s="412"/>
      <c r="O244" s="454">
        <v>0.2</v>
      </c>
      <c r="P244" s="454">
        <f t="shared" si="33"/>
        <v>12.699999999999998</v>
      </c>
      <c r="Q244" s="454">
        <v>0.3</v>
      </c>
      <c r="R244" s="454">
        <f t="shared" si="34"/>
        <v>0.7619999999999999</v>
      </c>
      <c r="S244" s="413">
        <v>1</v>
      </c>
      <c r="T244" s="414">
        <f>+HLOOKUP(B244,[238]Hoja1!$2:$78,26,FALSE)</f>
        <v>0.7619999999999999</v>
      </c>
      <c r="V244" s="453">
        <f t="shared" si="30"/>
        <v>0.7619999999999999</v>
      </c>
      <c r="Y244" s="439">
        <f t="shared" si="29"/>
        <v>2.5399999999999996</v>
      </c>
      <c r="Z244" s="439">
        <f t="shared" si="31"/>
        <v>2.5399999999999996</v>
      </c>
      <c r="AK244" s="415" t="s">
        <v>162</v>
      </c>
      <c r="AL244" s="415" t="s">
        <v>404</v>
      </c>
      <c r="AM244" s="415"/>
    </row>
    <row r="245" spans="1:39" ht="25.5">
      <c r="A245" s="453">
        <f t="shared" si="32"/>
        <v>2.04</v>
      </c>
      <c r="B245" s="383">
        <v>5</v>
      </c>
      <c r="D245" s="406"/>
      <c r="E245" s="407"/>
      <c r="F245" s="407"/>
      <c r="G245" s="407"/>
      <c r="H245" s="407"/>
      <c r="I245" s="407"/>
      <c r="J245" s="408" t="s">
        <v>405</v>
      </c>
      <c r="K245" s="409" t="str">
        <f t="shared" si="28"/>
        <v>V=(Ancho x Largo x Alto)* Cant</v>
      </c>
      <c r="L245" s="410" t="str">
        <f>+L244</f>
        <v>M3</v>
      </c>
      <c r="M245" s="411"/>
      <c r="N245" s="412"/>
      <c r="O245" s="454">
        <v>0.2</v>
      </c>
      <c r="P245" s="454">
        <f t="shared" si="33"/>
        <v>12.699999999999998</v>
      </c>
      <c r="Q245" s="454">
        <v>0.3</v>
      </c>
      <c r="R245" s="454">
        <f t="shared" si="34"/>
        <v>0.7619999999999999</v>
      </c>
      <c r="S245" s="413">
        <v>1</v>
      </c>
      <c r="T245" s="414">
        <f>+HLOOKUP(B245,[238]Hoja1!$2:$78,26,FALSE)</f>
        <v>0.7619999999999999</v>
      </c>
      <c r="V245" s="453">
        <f t="shared" si="30"/>
        <v>0.7619999999999999</v>
      </c>
      <c r="Y245" s="439">
        <f t="shared" si="29"/>
        <v>2.5399999999999996</v>
      </c>
      <c r="Z245" s="439">
        <f t="shared" si="31"/>
        <v>2.5399999999999996</v>
      </c>
      <c r="AH245" s="416" t="s">
        <v>162</v>
      </c>
      <c r="AI245" s="416" t="s">
        <v>404</v>
      </c>
      <c r="AK245" s="415" t="s">
        <v>49</v>
      </c>
      <c r="AL245" s="415" t="s">
        <v>406</v>
      </c>
      <c r="AM245" s="415"/>
    </row>
    <row r="246" spans="1:39" ht="25.5">
      <c r="A246" s="453">
        <f t="shared" si="32"/>
        <v>2.04</v>
      </c>
      <c r="B246" s="383">
        <v>6</v>
      </c>
      <c r="D246" s="406"/>
      <c r="E246" s="407"/>
      <c r="F246" s="407"/>
      <c r="G246" s="407"/>
      <c r="H246" s="407"/>
      <c r="I246" s="407"/>
      <c r="J246" s="408" t="s">
        <v>407</v>
      </c>
      <c r="K246" s="409" t="str">
        <f t="shared" si="28"/>
        <v>V=(Ancho x Largo x Alto)* Cant</v>
      </c>
      <c r="L246" s="410" t="str">
        <f>+L245</f>
        <v>M3</v>
      </c>
      <c r="M246" s="411"/>
      <c r="N246" s="412"/>
      <c r="O246" s="454">
        <v>0.2</v>
      </c>
      <c r="P246" s="454">
        <f t="shared" si="33"/>
        <v>13.439999999999998</v>
      </c>
      <c r="Q246" s="454">
        <v>0.3</v>
      </c>
      <c r="R246" s="454">
        <f t="shared" si="34"/>
        <v>0.80639999999999989</v>
      </c>
      <c r="S246" s="413">
        <v>1</v>
      </c>
      <c r="T246" s="414">
        <f>+HLOOKUP(B246,[238]Hoja1!$2:$78,26,FALSE)</f>
        <v>0.80639999999999989</v>
      </c>
      <c r="V246" s="453">
        <f t="shared" si="30"/>
        <v>0.80639999999999989</v>
      </c>
      <c r="Y246" s="439">
        <f t="shared" si="29"/>
        <v>2.6879999999999997</v>
      </c>
      <c r="Z246" s="439">
        <f t="shared" si="31"/>
        <v>2.6879999999999997</v>
      </c>
      <c r="AH246" s="416" t="s">
        <v>49</v>
      </c>
      <c r="AI246" s="416" t="s">
        <v>406</v>
      </c>
      <c r="AK246" s="415" t="s">
        <v>173</v>
      </c>
      <c r="AL246" s="415" t="s">
        <v>408</v>
      </c>
      <c r="AM246" s="415"/>
    </row>
    <row r="247" spans="1:39" ht="25.5">
      <c r="A247" s="453">
        <f t="shared" si="32"/>
        <v>2.04</v>
      </c>
      <c r="B247" s="383">
        <v>7</v>
      </c>
      <c r="D247" s="406"/>
      <c r="E247" s="407"/>
      <c r="F247" s="407"/>
      <c r="G247" s="407"/>
      <c r="H247" s="407"/>
      <c r="I247" s="407"/>
      <c r="J247" s="408" t="s">
        <v>409</v>
      </c>
      <c r="K247" s="409" t="str">
        <f t="shared" si="28"/>
        <v>V=(Ancho x Largo x Alto)* Cant</v>
      </c>
      <c r="L247" s="410" t="str">
        <f>+L241</f>
        <v>M3</v>
      </c>
      <c r="M247" s="411"/>
      <c r="N247" s="412"/>
      <c r="O247" s="454"/>
      <c r="P247" s="454"/>
      <c r="Q247" s="454"/>
      <c r="R247" s="454"/>
      <c r="S247" s="413"/>
      <c r="T247" s="414">
        <f>+HLOOKUP(B247,[238]Hoja1!$2:$78,26,FALSE)</f>
        <v>0</v>
      </c>
      <c r="V247" s="453">
        <f t="shared" si="30"/>
        <v>0</v>
      </c>
      <c r="Y247" s="439">
        <f t="shared" si="29"/>
        <v>0</v>
      </c>
      <c r="Z247" s="439">
        <f t="shared" si="31"/>
        <v>0</v>
      </c>
      <c r="AH247" s="383" t="s">
        <v>173</v>
      </c>
      <c r="AI247" s="383" t="s">
        <v>408</v>
      </c>
      <c r="AK247" s="415" t="s">
        <v>156</v>
      </c>
      <c r="AL247" s="415" t="s">
        <v>410</v>
      </c>
      <c r="AM247" s="415"/>
    </row>
    <row r="248" spans="1:39" ht="25.5">
      <c r="A248" s="453">
        <f t="shared" si="32"/>
        <v>2.04</v>
      </c>
      <c r="B248" s="383">
        <v>8</v>
      </c>
      <c r="D248" s="406"/>
      <c r="E248" s="407"/>
      <c r="F248" s="407"/>
      <c r="G248" s="407"/>
      <c r="H248" s="407"/>
      <c r="I248" s="407"/>
      <c r="J248" s="408" t="s">
        <v>411</v>
      </c>
      <c r="K248" s="409" t="str">
        <f t="shared" si="28"/>
        <v>V=(Ancho x Largo x Alto)* Cant</v>
      </c>
      <c r="L248" s="410" t="str">
        <f>+L247</f>
        <v>M3</v>
      </c>
      <c r="M248" s="411"/>
      <c r="N248" s="412"/>
      <c r="O248" s="454">
        <v>0.2</v>
      </c>
      <c r="P248" s="454">
        <f t="shared" si="33"/>
        <v>12.2</v>
      </c>
      <c r="Q248" s="454">
        <v>0.3</v>
      </c>
      <c r="R248" s="454">
        <f t="shared" si="34"/>
        <v>0.73199999999999998</v>
      </c>
      <c r="S248" s="413">
        <v>1</v>
      </c>
      <c r="T248" s="414">
        <f>+HLOOKUP(B248,[238]Hoja1!$2:$78,26,FALSE)</f>
        <v>0.73199999999999998</v>
      </c>
      <c r="V248" s="453">
        <f t="shared" si="30"/>
        <v>0.73199999999999998</v>
      </c>
      <c r="Y248" s="439">
        <f t="shared" si="29"/>
        <v>2.44</v>
      </c>
      <c r="Z248" s="439">
        <f t="shared" si="31"/>
        <v>2.44</v>
      </c>
      <c r="AH248" s="383" t="s">
        <v>156</v>
      </c>
      <c r="AI248" s="383" t="s">
        <v>410</v>
      </c>
    </row>
    <row r="249" spans="1:39" ht="25.5">
      <c r="A249" s="453">
        <f t="shared" si="32"/>
        <v>2.04</v>
      </c>
      <c r="B249" s="383">
        <v>9</v>
      </c>
      <c r="D249" s="406"/>
      <c r="E249" s="407"/>
      <c r="F249" s="407"/>
      <c r="G249" s="407"/>
      <c r="H249" s="407"/>
      <c r="I249" s="407"/>
      <c r="J249" s="408" t="s">
        <v>412</v>
      </c>
      <c r="K249" s="409" t="str">
        <f t="shared" si="28"/>
        <v>V=(Ancho x Largo x Alto)* Cant</v>
      </c>
      <c r="L249" s="410" t="str">
        <f>+L248</f>
        <v>M3</v>
      </c>
      <c r="M249" s="411"/>
      <c r="N249" s="412"/>
      <c r="O249" s="454">
        <v>0.2</v>
      </c>
      <c r="P249" s="454">
        <f t="shared" si="33"/>
        <v>12.699999999999998</v>
      </c>
      <c r="Q249" s="454">
        <v>0.3</v>
      </c>
      <c r="R249" s="454">
        <f t="shared" si="34"/>
        <v>0.7619999999999999</v>
      </c>
      <c r="S249" s="413">
        <v>1</v>
      </c>
      <c r="T249" s="414">
        <f>+HLOOKUP(B249,[238]Hoja1!$2:$78,26,FALSE)</f>
        <v>0.7619999999999999</v>
      </c>
      <c r="V249" s="453">
        <f t="shared" si="30"/>
        <v>0.7619999999999999</v>
      </c>
      <c r="Y249" s="439">
        <f t="shared" si="29"/>
        <v>2.5399999999999996</v>
      </c>
      <c r="Z249" s="439">
        <f t="shared" si="31"/>
        <v>2.5399999999999996</v>
      </c>
    </row>
    <row r="250" spans="1:39" ht="25.5">
      <c r="A250" s="453">
        <f t="shared" si="32"/>
        <v>2.04</v>
      </c>
      <c r="B250" s="383">
        <v>10</v>
      </c>
      <c r="D250" s="406"/>
      <c r="E250" s="407"/>
      <c r="F250" s="407"/>
      <c r="G250" s="407"/>
      <c r="H250" s="407"/>
      <c r="I250" s="407"/>
      <c r="J250" s="408" t="s">
        <v>413</v>
      </c>
      <c r="K250" s="409" t="str">
        <f t="shared" si="28"/>
        <v>V=(Ancho x Largo x Alto)* Cant</v>
      </c>
      <c r="L250" s="410" t="str">
        <f>+L249</f>
        <v>M3</v>
      </c>
      <c r="M250" s="411"/>
      <c r="N250" s="412"/>
      <c r="O250" s="454"/>
      <c r="P250" s="454"/>
      <c r="Q250" s="454"/>
      <c r="R250" s="454"/>
      <c r="S250" s="413"/>
      <c r="T250" s="414">
        <f>+HLOOKUP(B250,[238]Hoja1!$2:$78,26,FALSE)</f>
        <v>0</v>
      </c>
      <c r="V250" s="453">
        <f t="shared" si="30"/>
        <v>0</v>
      </c>
      <c r="Y250" s="439">
        <f t="shared" si="29"/>
        <v>0</v>
      </c>
      <c r="Z250" s="439">
        <f t="shared" si="31"/>
        <v>0</v>
      </c>
    </row>
    <row r="251" spans="1:39" ht="25.5">
      <c r="A251" s="453">
        <f t="shared" si="32"/>
        <v>2.04</v>
      </c>
      <c r="B251" s="383">
        <v>11</v>
      </c>
      <c r="D251" s="406"/>
      <c r="E251" s="407"/>
      <c r="F251" s="407"/>
      <c r="G251" s="407"/>
      <c r="H251" s="407"/>
      <c r="I251" s="407"/>
      <c r="J251" s="408" t="s">
        <v>414</v>
      </c>
      <c r="K251" s="409" t="str">
        <f t="shared" si="28"/>
        <v>V=(Ancho x Largo x Alto)* Cant</v>
      </c>
      <c r="L251" s="410" t="str">
        <f>+L250</f>
        <v>M3</v>
      </c>
      <c r="M251" s="411"/>
      <c r="N251" s="412"/>
      <c r="O251" s="454"/>
      <c r="P251" s="454"/>
      <c r="Q251" s="454"/>
      <c r="R251" s="454"/>
      <c r="S251" s="413"/>
      <c r="T251" s="414">
        <f>+HLOOKUP(B251,[238]Hoja1!$2:$78,26,FALSE)</f>
        <v>0</v>
      </c>
      <c r="V251" s="453">
        <f t="shared" si="30"/>
        <v>0</v>
      </c>
      <c r="Y251" s="439">
        <f t="shared" si="29"/>
        <v>0</v>
      </c>
      <c r="Z251" s="439">
        <f t="shared" si="31"/>
        <v>0</v>
      </c>
    </row>
    <row r="252" spans="1:39" ht="25.5">
      <c r="A252" s="453">
        <f t="shared" si="32"/>
        <v>2.04</v>
      </c>
      <c r="B252" s="383">
        <v>12</v>
      </c>
      <c r="D252" s="406"/>
      <c r="E252" s="407"/>
      <c r="F252" s="407"/>
      <c r="G252" s="407"/>
      <c r="H252" s="407"/>
      <c r="I252" s="407"/>
      <c r="J252" s="408" t="s">
        <v>415</v>
      </c>
      <c r="K252" s="409" t="str">
        <f t="shared" si="28"/>
        <v>V=(Ancho x Largo x Alto)* Cant</v>
      </c>
      <c r="L252" s="410" t="str">
        <f>+L246</f>
        <v>M3</v>
      </c>
      <c r="M252" s="411"/>
      <c r="N252" s="412"/>
      <c r="O252" s="454"/>
      <c r="P252" s="454"/>
      <c r="Q252" s="454"/>
      <c r="R252" s="454"/>
      <c r="S252" s="413"/>
      <c r="T252" s="414">
        <f>+HLOOKUP(B252,[238]Hoja1!$2:$78,26,FALSE)</f>
        <v>0</v>
      </c>
      <c r="V252" s="453">
        <f t="shared" si="30"/>
        <v>0</v>
      </c>
      <c r="Y252" s="439">
        <f t="shared" si="29"/>
        <v>0</v>
      </c>
      <c r="Z252" s="439">
        <f t="shared" si="31"/>
        <v>0</v>
      </c>
      <c r="AH252" s="383" t="s">
        <v>173</v>
      </c>
      <c r="AI252" s="383" t="s">
        <v>408</v>
      </c>
      <c r="AK252" s="415" t="s">
        <v>156</v>
      </c>
      <c r="AL252" s="415" t="s">
        <v>410</v>
      </c>
      <c r="AM252" s="415"/>
    </row>
    <row r="253" spans="1:39" ht="25.5">
      <c r="A253" s="453">
        <f t="shared" si="32"/>
        <v>2.04</v>
      </c>
      <c r="B253" s="383">
        <v>13</v>
      </c>
      <c r="D253" s="406"/>
      <c r="E253" s="407"/>
      <c r="F253" s="407"/>
      <c r="G253" s="407"/>
      <c r="H253" s="407"/>
      <c r="I253" s="407"/>
      <c r="J253" s="408" t="s">
        <v>416</v>
      </c>
      <c r="K253" s="409" t="str">
        <f t="shared" si="28"/>
        <v>V=(Ancho x Largo x Alto)* Cant</v>
      </c>
      <c r="L253" s="410" t="str">
        <f>+L248</f>
        <v>M3</v>
      </c>
      <c r="M253" s="411"/>
      <c r="N253" s="412"/>
      <c r="O253" s="454"/>
      <c r="P253" s="454"/>
      <c r="Q253" s="454"/>
      <c r="R253" s="454"/>
      <c r="S253" s="413"/>
      <c r="T253" s="414">
        <f>+HLOOKUP(B253,[238]Hoja1!$2:$78,26,FALSE)</f>
        <v>0</v>
      </c>
      <c r="V253" s="453">
        <f t="shared" si="30"/>
        <v>0</v>
      </c>
      <c r="Y253" s="439">
        <f t="shared" si="29"/>
        <v>0</v>
      </c>
      <c r="Z253" s="439">
        <f t="shared" si="31"/>
        <v>0</v>
      </c>
      <c r="AH253" s="383" t="s">
        <v>156</v>
      </c>
      <c r="AI253" s="383" t="s">
        <v>410</v>
      </c>
    </row>
    <row r="254" spans="1:39" ht="25.5">
      <c r="A254" s="453">
        <f t="shared" si="32"/>
        <v>2.04</v>
      </c>
      <c r="B254" s="383">
        <v>14</v>
      </c>
      <c r="D254" s="406"/>
      <c r="E254" s="407"/>
      <c r="F254" s="407"/>
      <c r="G254" s="407"/>
      <c r="H254" s="407"/>
      <c r="I254" s="407"/>
      <c r="J254" s="408" t="s">
        <v>417</v>
      </c>
      <c r="K254" s="409" t="str">
        <f t="shared" si="28"/>
        <v>V=(Ancho x Largo x Alto)* Cant</v>
      </c>
      <c r="L254" s="410" t="str">
        <f>+L253</f>
        <v>M3</v>
      </c>
      <c r="M254" s="411"/>
      <c r="N254" s="412"/>
      <c r="O254" s="454">
        <v>0.2</v>
      </c>
      <c r="P254" s="454">
        <f t="shared" si="33"/>
        <v>12.699999999999998</v>
      </c>
      <c r="Q254" s="454">
        <v>0.3</v>
      </c>
      <c r="R254" s="454">
        <f t="shared" si="34"/>
        <v>0.7619999999999999</v>
      </c>
      <c r="S254" s="413">
        <v>1</v>
      </c>
      <c r="T254" s="414">
        <f>+HLOOKUP(B254,[238]Hoja1!$2:$78,26,FALSE)</f>
        <v>0.7619999999999999</v>
      </c>
      <c r="V254" s="453">
        <f t="shared" si="30"/>
        <v>0.7619999999999999</v>
      </c>
      <c r="Y254" s="439">
        <f t="shared" si="29"/>
        <v>2.5399999999999996</v>
      </c>
      <c r="Z254" s="439">
        <f t="shared" si="31"/>
        <v>2.5399999999999996</v>
      </c>
    </row>
    <row r="255" spans="1:39" ht="25.5">
      <c r="A255" s="453">
        <f t="shared" si="32"/>
        <v>2.04</v>
      </c>
      <c r="B255" s="383">
        <v>15</v>
      </c>
      <c r="D255" s="406"/>
      <c r="E255" s="407"/>
      <c r="F255" s="407"/>
      <c r="G255" s="407"/>
      <c r="H255" s="407"/>
      <c r="I255" s="407"/>
      <c r="J255" s="408" t="s">
        <v>418</v>
      </c>
      <c r="K255" s="409" t="str">
        <f t="shared" si="28"/>
        <v>V=(Ancho x Largo x Alto)* Cant</v>
      </c>
      <c r="L255" s="410" t="str">
        <f>+L254</f>
        <v>M3</v>
      </c>
      <c r="M255" s="411"/>
      <c r="N255" s="412"/>
      <c r="O255" s="454">
        <v>0.2</v>
      </c>
      <c r="P255" s="454">
        <f t="shared" si="33"/>
        <v>5.3</v>
      </c>
      <c r="Q255" s="454">
        <v>0.3</v>
      </c>
      <c r="R255" s="454">
        <f t="shared" si="34"/>
        <v>0.318</v>
      </c>
      <c r="S255" s="413">
        <v>1</v>
      </c>
      <c r="T255" s="414">
        <f>+HLOOKUP(B255,[238]Hoja1!$2:$78,26,FALSE)</f>
        <v>0.318</v>
      </c>
      <c r="V255" s="453">
        <f t="shared" si="30"/>
        <v>0.318</v>
      </c>
      <c r="Y255" s="439">
        <f t="shared" si="29"/>
        <v>1.06</v>
      </c>
      <c r="Z255" s="439">
        <f t="shared" si="31"/>
        <v>1.06</v>
      </c>
    </row>
    <row r="256" spans="1:39" ht="25.5">
      <c r="A256" s="453">
        <f t="shared" si="32"/>
        <v>2.04</v>
      </c>
      <c r="B256" s="383">
        <v>16</v>
      </c>
      <c r="D256" s="406"/>
      <c r="E256" s="407"/>
      <c r="F256" s="407"/>
      <c r="G256" s="407"/>
      <c r="H256" s="407"/>
      <c r="I256" s="407"/>
      <c r="J256" s="408" t="s">
        <v>419</v>
      </c>
      <c r="K256" s="409" t="str">
        <f t="shared" si="28"/>
        <v>V=(Ancho x Largo x Alto)* Cant</v>
      </c>
      <c r="L256" s="410" t="str">
        <f>+L255</f>
        <v>M3</v>
      </c>
      <c r="M256" s="411"/>
      <c r="N256" s="412"/>
      <c r="O256" s="454">
        <v>0.2</v>
      </c>
      <c r="P256" s="454">
        <f t="shared" si="33"/>
        <v>16.559999999999999</v>
      </c>
      <c r="Q256" s="454">
        <v>0.3</v>
      </c>
      <c r="R256" s="454">
        <f t="shared" si="34"/>
        <v>0.99359999999999982</v>
      </c>
      <c r="S256" s="413">
        <v>1</v>
      </c>
      <c r="T256" s="414">
        <f>+HLOOKUP(B256,[238]Hoja1!$2:$78,26,FALSE)</f>
        <v>0.99359999999999993</v>
      </c>
      <c r="V256" s="453">
        <f t="shared" si="30"/>
        <v>0.99359999999999993</v>
      </c>
      <c r="Y256" s="439">
        <f t="shared" si="29"/>
        <v>3.3119999999999998</v>
      </c>
      <c r="Z256" s="439">
        <f t="shared" si="31"/>
        <v>3.3119999999999998</v>
      </c>
    </row>
    <row r="257" spans="1:35" ht="25.5">
      <c r="A257" s="453">
        <f t="shared" si="32"/>
        <v>2.04</v>
      </c>
      <c r="B257" s="383">
        <v>17</v>
      </c>
      <c r="D257" s="406"/>
      <c r="E257" s="407"/>
      <c r="F257" s="407"/>
      <c r="G257" s="407"/>
      <c r="H257" s="407"/>
      <c r="I257" s="407"/>
      <c r="J257" s="408" t="s">
        <v>420</v>
      </c>
      <c r="K257" s="409" t="str">
        <f t="shared" si="28"/>
        <v>V=(Ancho x Largo x Alto)* Cant</v>
      </c>
      <c r="L257" s="410" t="str">
        <f>+L256</f>
        <v>M3</v>
      </c>
      <c r="M257" s="411"/>
      <c r="N257" s="412"/>
      <c r="O257" s="454">
        <v>0.2</v>
      </c>
      <c r="P257" s="454">
        <f t="shared" si="33"/>
        <v>33.200000000000003</v>
      </c>
      <c r="Q257" s="454">
        <v>0.3</v>
      </c>
      <c r="R257" s="454">
        <f t="shared" si="34"/>
        <v>1.9920000000000002</v>
      </c>
      <c r="S257" s="413">
        <v>1</v>
      </c>
      <c r="T257" s="414">
        <f>+HLOOKUP(B257,[238]Hoja1!$2:$78,26,FALSE)</f>
        <v>1.992</v>
      </c>
      <c r="V257" s="453">
        <f t="shared" si="30"/>
        <v>1.992</v>
      </c>
      <c r="Y257" s="439">
        <f t="shared" si="29"/>
        <v>6.6400000000000006</v>
      </c>
      <c r="Z257" s="439">
        <f t="shared" si="31"/>
        <v>6.6400000000000006</v>
      </c>
    </row>
    <row r="258" spans="1:35" ht="25.5">
      <c r="A258" s="453">
        <f t="shared" si="32"/>
        <v>2.04</v>
      </c>
      <c r="B258" s="383">
        <v>18</v>
      </c>
      <c r="D258" s="406"/>
      <c r="E258" s="407"/>
      <c r="F258" s="407"/>
      <c r="G258" s="407"/>
      <c r="H258" s="407"/>
      <c r="I258" s="407"/>
      <c r="J258" s="408" t="s">
        <v>429</v>
      </c>
      <c r="K258" s="409" t="str">
        <f t="shared" si="28"/>
        <v>V=(Ancho x Largo x Alto)* Cant</v>
      </c>
      <c r="L258" s="410" t="str">
        <f>+L257</f>
        <v>M3</v>
      </c>
      <c r="M258" s="411"/>
      <c r="N258" s="412"/>
      <c r="O258" s="454">
        <v>0.2</v>
      </c>
      <c r="P258" s="454">
        <f t="shared" si="33"/>
        <v>13.439999999999998</v>
      </c>
      <c r="Q258" s="454">
        <v>0.3</v>
      </c>
      <c r="R258" s="454">
        <f t="shared" si="34"/>
        <v>0.80639999999999989</v>
      </c>
      <c r="S258" s="413">
        <v>1</v>
      </c>
      <c r="T258" s="414">
        <f>+HLOOKUP(B258,[238]Hoja1!$2:$78,26,FALSE)</f>
        <v>0.80639999999999989</v>
      </c>
      <c r="V258" s="453">
        <f t="shared" si="30"/>
        <v>0.80639999999999989</v>
      </c>
      <c r="Y258" s="439">
        <f t="shared" si="29"/>
        <v>2.6879999999999997</v>
      </c>
      <c r="Z258" s="439">
        <f t="shared" si="31"/>
        <v>2.6879999999999997</v>
      </c>
    </row>
    <row r="259" spans="1:35" ht="25.5">
      <c r="A259" s="453">
        <f t="shared" si="32"/>
        <v>2.04</v>
      </c>
      <c r="B259" s="383">
        <v>19</v>
      </c>
      <c r="D259" s="406"/>
      <c r="E259" s="407"/>
      <c r="F259" s="407"/>
      <c r="G259" s="407"/>
      <c r="H259" s="407"/>
      <c r="I259" s="407"/>
      <c r="J259" s="408" t="s">
        <v>430</v>
      </c>
      <c r="K259" s="409" t="str">
        <f t="shared" si="28"/>
        <v>V=(Ancho x Largo x Alto)* Cant</v>
      </c>
      <c r="L259" s="410" t="str">
        <f t="shared" ref="L259:L283" si="35">+L258</f>
        <v>M3</v>
      </c>
      <c r="M259" s="411"/>
      <c r="N259" s="412"/>
      <c r="O259" s="454">
        <v>0.2</v>
      </c>
      <c r="P259" s="454">
        <f t="shared" si="33"/>
        <v>12.699999999999998</v>
      </c>
      <c r="Q259" s="454">
        <v>0.3</v>
      </c>
      <c r="R259" s="454">
        <f t="shared" si="34"/>
        <v>0.7619999999999999</v>
      </c>
      <c r="S259" s="413">
        <v>1</v>
      </c>
      <c r="T259" s="414">
        <f>+HLOOKUP(B259,[238]Hoja1!$2:$78,26,FALSE)</f>
        <v>0.7619999999999999</v>
      </c>
      <c r="V259" s="453">
        <f t="shared" si="30"/>
        <v>0.7619999999999999</v>
      </c>
      <c r="Y259" s="439">
        <f t="shared" si="29"/>
        <v>2.5399999999999996</v>
      </c>
      <c r="Z259" s="439">
        <f t="shared" si="31"/>
        <v>2.5399999999999996</v>
      </c>
    </row>
    <row r="260" spans="1:35" ht="25.5">
      <c r="A260" s="453">
        <f t="shared" si="32"/>
        <v>2.04</v>
      </c>
      <c r="B260" s="383">
        <v>20</v>
      </c>
      <c r="D260" s="406"/>
      <c r="E260" s="407"/>
      <c r="F260" s="407"/>
      <c r="G260" s="407"/>
      <c r="H260" s="407"/>
      <c r="I260" s="407"/>
      <c r="J260" s="408" t="s">
        <v>431</v>
      </c>
      <c r="K260" s="409" t="str">
        <f t="shared" si="28"/>
        <v>V=(Ancho x Largo x Alto)* Cant</v>
      </c>
      <c r="L260" s="410" t="str">
        <f t="shared" si="35"/>
        <v>M3</v>
      </c>
      <c r="M260" s="411"/>
      <c r="N260" s="412"/>
      <c r="O260" s="454">
        <v>0.2</v>
      </c>
      <c r="P260" s="454">
        <f t="shared" si="33"/>
        <v>12.2</v>
      </c>
      <c r="Q260" s="454">
        <v>0.3</v>
      </c>
      <c r="R260" s="454">
        <f t="shared" si="34"/>
        <v>0.73199999999999998</v>
      </c>
      <c r="S260" s="413">
        <v>1</v>
      </c>
      <c r="T260" s="414">
        <f>+HLOOKUP(B260,[238]Hoja1!$2:$78,26,FALSE)</f>
        <v>0.73199999999999998</v>
      </c>
      <c r="V260" s="453">
        <f t="shared" si="30"/>
        <v>0.73199999999999998</v>
      </c>
      <c r="Y260" s="439">
        <f t="shared" si="29"/>
        <v>2.44</v>
      </c>
      <c r="Z260" s="439">
        <f t="shared" si="31"/>
        <v>2.44</v>
      </c>
    </row>
    <row r="261" spans="1:35" ht="25.5">
      <c r="A261" s="453">
        <f t="shared" si="32"/>
        <v>2.04</v>
      </c>
      <c r="B261" s="383">
        <v>21</v>
      </c>
      <c r="D261" s="406"/>
      <c r="E261" s="407"/>
      <c r="F261" s="407"/>
      <c r="G261" s="407"/>
      <c r="H261" s="407"/>
      <c r="I261" s="407"/>
      <c r="J261" s="408" t="s">
        <v>432</v>
      </c>
      <c r="K261" s="409" t="str">
        <f t="shared" si="28"/>
        <v>V=(Ancho x Largo x Alto)* Cant</v>
      </c>
      <c r="L261" s="410" t="str">
        <f t="shared" si="35"/>
        <v>M3</v>
      </c>
      <c r="M261" s="411"/>
      <c r="N261" s="412"/>
      <c r="O261" s="454">
        <v>0.2</v>
      </c>
      <c r="P261" s="454">
        <f>+T261/0.2/0.2</f>
        <v>5.9</v>
      </c>
      <c r="Q261" s="454">
        <v>0.2</v>
      </c>
      <c r="R261" s="454">
        <f t="shared" si="34"/>
        <v>0.23600000000000004</v>
      </c>
      <c r="S261" s="413">
        <v>1</v>
      </c>
      <c r="T261" s="414">
        <f>+HLOOKUP(B261,[238]Hoja1!$2:$78,26,FALSE)</f>
        <v>0.23600000000000004</v>
      </c>
      <c r="V261" s="453">
        <f t="shared" si="30"/>
        <v>0.23600000000000004</v>
      </c>
      <c r="Y261" s="439">
        <f t="shared" si="29"/>
        <v>1.1800000000000002</v>
      </c>
      <c r="Z261" s="439">
        <f t="shared" si="31"/>
        <v>1.1800000000000002</v>
      </c>
    </row>
    <row r="262" spans="1:35" ht="25.5">
      <c r="A262" s="453">
        <f t="shared" si="32"/>
        <v>2.04</v>
      </c>
      <c r="B262" s="383">
        <v>22</v>
      </c>
      <c r="D262" s="406"/>
      <c r="E262" s="407"/>
      <c r="F262" s="407"/>
      <c r="G262" s="407"/>
      <c r="H262" s="407"/>
      <c r="I262" s="407"/>
      <c r="J262" s="408" t="s">
        <v>433</v>
      </c>
      <c r="K262" s="409" t="str">
        <f t="shared" si="28"/>
        <v>V=(Ancho x Largo x Alto)* Cant</v>
      </c>
      <c r="L262" s="410" t="str">
        <f t="shared" si="35"/>
        <v>M3</v>
      </c>
      <c r="M262" s="411"/>
      <c r="N262" s="412"/>
      <c r="O262" s="454">
        <v>0.2</v>
      </c>
      <c r="P262" s="454">
        <f t="shared" si="33"/>
        <v>12.699999999999998</v>
      </c>
      <c r="Q262" s="454">
        <v>0.3</v>
      </c>
      <c r="R262" s="454">
        <f t="shared" si="34"/>
        <v>0.7619999999999999</v>
      </c>
      <c r="S262" s="413">
        <v>1</v>
      </c>
      <c r="T262" s="414">
        <f>+HLOOKUP(B262,[238]Hoja1!$2:$78,26,FALSE)</f>
        <v>0.7619999999999999</v>
      </c>
      <c r="V262" s="453">
        <f t="shared" si="30"/>
        <v>0.7619999999999999</v>
      </c>
      <c r="Y262" s="439">
        <f t="shared" si="29"/>
        <v>2.5399999999999996</v>
      </c>
      <c r="Z262" s="439">
        <f t="shared" si="31"/>
        <v>2.5399999999999996</v>
      </c>
    </row>
    <row r="263" spans="1:35" ht="25.5">
      <c r="A263" s="453">
        <f t="shared" si="32"/>
        <v>2.04</v>
      </c>
      <c r="B263" s="383">
        <v>23</v>
      </c>
      <c r="D263" s="406"/>
      <c r="E263" s="407"/>
      <c r="F263" s="407"/>
      <c r="G263" s="407"/>
      <c r="H263" s="407"/>
      <c r="I263" s="407"/>
      <c r="J263" s="408" t="s">
        <v>434</v>
      </c>
      <c r="K263" s="409" t="str">
        <f t="shared" si="28"/>
        <v>V=(Ancho x Largo x Alto)* Cant</v>
      </c>
      <c r="L263" s="410" t="str">
        <f t="shared" si="35"/>
        <v>M3</v>
      </c>
      <c r="M263" s="411"/>
      <c r="N263" s="412"/>
      <c r="O263" s="454"/>
      <c r="P263" s="454"/>
      <c r="Q263" s="454"/>
      <c r="R263" s="454"/>
      <c r="S263" s="413"/>
      <c r="T263" s="414">
        <f>+HLOOKUP(B263,[238]Hoja1!$2:$78,26,FALSE)</f>
        <v>0</v>
      </c>
      <c r="V263" s="453">
        <f t="shared" si="30"/>
        <v>0</v>
      </c>
      <c r="Y263" s="439">
        <f>+O263*P263</f>
        <v>0</v>
      </c>
      <c r="Z263" s="439">
        <f>+Y263 -M263</f>
        <v>0</v>
      </c>
    </row>
    <row r="264" spans="1:35" ht="25.5">
      <c r="A264" s="453">
        <f t="shared" si="32"/>
        <v>2.04</v>
      </c>
      <c r="B264" s="383">
        <v>24</v>
      </c>
      <c r="D264" s="406"/>
      <c r="E264" s="407"/>
      <c r="F264" s="407"/>
      <c r="G264" s="407"/>
      <c r="H264" s="407"/>
      <c r="I264" s="407"/>
      <c r="J264" s="408" t="s">
        <v>435</v>
      </c>
      <c r="K264" s="409" t="str">
        <f t="shared" si="28"/>
        <v>V=(Ancho x Largo x Alto)* Cant</v>
      </c>
      <c r="L264" s="410" t="str">
        <f t="shared" si="35"/>
        <v>M3</v>
      </c>
      <c r="M264" s="411"/>
      <c r="N264" s="412"/>
      <c r="O264" s="454"/>
      <c r="P264" s="454"/>
      <c r="Q264" s="454"/>
      <c r="R264" s="454"/>
      <c r="S264" s="413"/>
      <c r="T264" s="414">
        <f>+HLOOKUP(B264,[238]Hoja1!$2:$78,26,FALSE)</f>
        <v>0</v>
      </c>
      <c r="V264" s="453">
        <f t="shared" si="30"/>
        <v>0</v>
      </c>
      <c r="Y264" s="439">
        <f>+O264*P264</f>
        <v>0</v>
      </c>
      <c r="Z264" s="439">
        <f>+Y264 -M264</f>
        <v>0</v>
      </c>
      <c r="AH264" s="383" t="s">
        <v>156</v>
      </c>
      <c r="AI264" s="383" t="s">
        <v>410</v>
      </c>
    </row>
    <row r="265" spans="1:35" ht="25.5">
      <c r="A265" s="453">
        <f t="shared" si="32"/>
        <v>2.04</v>
      </c>
      <c r="B265" s="383">
        <v>25</v>
      </c>
      <c r="D265" s="406"/>
      <c r="E265" s="407"/>
      <c r="F265" s="407"/>
      <c r="G265" s="407"/>
      <c r="H265" s="407"/>
      <c r="I265" s="407"/>
      <c r="J265" s="408" t="s">
        <v>436</v>
      </c>
      <c r="K265" s="409" t="str">
        <f t="shared" si="28"/>
        <v>V=(Ancho x Largo x Alto)* Cant</v>
      </c>
      <c r="L265" s="410" t="str">
        <f t="shared" si="35"/>
        <v>M3</v>
      </c>
      <c r="M265" s="411"/>
      <c r="N265" s="412"/>
      <c r="O265" s="454">
        <v>0.2</v>
      </c>
      <c r="P265" s="454">
        <f t="shared" si="33"/>
        <v>11.099999999999998</v>
      </c>
      <c r="Q265" s="454">
        <v>0.3</v>
      </c>
      <c r="R265" s="454">
        <f t="shared" si="34"/>
        <v>0.66599999999999993</v>
      </c>
      <c r="S265" s="413">
        <v>1</v>
      </c>
      <c r="T265" s="414">
        <f>+HLOOKUP(B265,[238]Hoja1!$2:$78,26,FALSE)</f>
        <v>0.66599999999999993</v>
      </c>
      <c r="V265" s="453">
        <f t="shared" si="30"/>
        <v>0.66599999999999993</v>
      </c>
      <c r="Y265" s="439">
        <f>+O265*P265</f>
        <v>2.2199999999999998</v>
      </c>
      <c r="Z265" s="439">
        <f>+Y265 -M265</f>
        <v>2.2199999999999998</v>
      </c>
    </row>
    <row r="266" spans="1:35" ht="25.5">
      <c r="A266" s="453">
        <f t="shared" si="32"/>
        <v>2.04</v>
      </c>
      <c r="B266" s="383">
        <v>26</v>
      </c>
      <c r="D266" s="406"/>
      <c r="E266" s="407"/>
      <c r="F266" s="407"/>
      <c r="G266" s="407"/>
      <c r="H266" s="407"/>
      <c r="I266" s="407"/>
      <c r="J266" s="408" t="s">
        <v>437</v>
      </c>
      <c r="K266" s="409" t="str">
        <f t="shared" si="28"/>
        <v>V=(Ancho x Largo x Alto)* Cant</v>
      </c>
      <c r="L266" s="410" t="str">
        <f>+L255</f>
        <v>M3</v>
      </c>
      <c r="M266" s="411"/>
      <c r="N266" s="412"/>
      <c r="O266" s="454"/>
      <c r="P266" s="454"/>
      <c r="Q266" s="454"/>
      <c r="R266" s="454"/>
      <c r="S266" s="413"/>
      <c r="T266" s="414">
        <f>+HLOOKUP(B266,[238]Hoja1!$2:$78,26,FALSE)</f>
        <v>0</v>
      </c>
      <c r="V266" s="453">
        <f t="shared" si="30"/>
        <v>0</v>
      </c>
      <c r="Y266" s="439">
        <f t="shared" ref="Y266:Y283" si="36">+O266*P266</f>
        <v>0</v>
      </c>
      <c r="Z266" s="439">
        <f t="shared" ref="Z266:Z283" si="37">+Y266 -M266</f>
        <v>0</v>
      </c>
    </row>
    <row r="267" spans="1:35" ht="25.5">
      <c r="A267" s="453">
        <f t="shared" si="32"/>
        <v>2.04</v>
      </c>
      <c r="B267" s="383">
        <v>27</v>
      </c>
      <c r="D267" s="406"/>
      <c r="E267" s="407"/>
      <c r="F267" s="407"/>
      <c r="G267" s="407"/>
      <c r="H267" s="407"/>
      <c r="I267" s="407"/>
      <c r="J267" s="408" t="s">
        <v>438</v>
      </c>
      <c r="K267" s="409" t="str">
        <f t="shared" si="28"/>
        <v>V=(Ancho x Largo x Alto)* Cant</v>
      </c>
      <c r="L267" s="410" t="str">
        <f t="shared" ref="L267:L275" si="38">+L266</f>
        <v>M3</v>
      </c>
      <c r="M267" s="411"/>
      <c r="N267" s="412"/>
      <c r="O267" s="454">
        <v>0.2</v>
      </c>
      <c r="P267" s="454">
        <f t="shared" si="33"/>
        <v>17.5</v>
      </c>
      <c r="Q267" s="454">
        <v>0.3</v>
      </c>
      <c r="R267" s="454">
        <f t="shared" si="34"/>
        <v>1.05</v>
      </c>
      <c r="S267" s="413">
        <v>1</v>
      </c>
      <c r="T267" s="414">
        <f>+HLOOKUP(B267,[238]Hoja1!$2:$78,26,FALSE)</f>
        <v>1.05</v>
      </c>
      <c r="V267" s="453">
        <f t="shared" si="30"/>
        <v>1.05</v>
      </c>
      <c r="Y267" s="439">
        <f t="shared" si="36"/>
        <v>3.5</v>
      </c>
      <c r="Z267" s="439">
        <f t="shared" si="37"/>
        <v>3.5</v>
      </c>
    </row>
    <row r="268" spans="1:35" ht="21.75" customHeight="1">
      <c r="A268" s="453">
        <f t="shared" si="32"/>
        <v>2.04</v>
      </c>
      <c r="B268" s="383">
        <v>28</v>
      </c>
      <c r="D268" s="406"/>
      <c r="E268" s="440"/>
      <c r="F268" s="407"/>
      <c r="G268" s="407"/>
      <c r="H268" s="407"/>
      <c r="I268" s="437"/>
      <c r="J268" s="408" t="s">
        <v>439</v>
      </c>
      <c r="K268" s="409" t="str">
        <f t="shared" si="28"/>
        <v>V=(Ancho x Largo x Alto)* Cant</v>
      </c>
      <c r="L268" s="410" t="str">
        <f t="shared" si="38"/>
        <v>M3</v>
      </c>
      <c r="M268" s="411"/>
      <c r="N268" s="412"/>
      <c r="O268" s="454"/>
      <c r="P268" s="454"/>
      <c r="Q268" s="454"/>
      <c r="R268" s="454"/>
      <c r="S268" s="413"/>
      <c r="T268" s="414">
        <f>+HLOOKUP(B268,[238]Hoja1!$2:$78,26,FALSE)</f>
        <v>0</v>
      </c>
      <c r="V268" s="453">
        <f t="shared" si="30"/>
        <v>0</v>
      </c>
      <c r="Y268" s="439">
        <f t="shared" si="36"/>
        <v>0</v>
      </c>
      <c r="Z268" s="439">
        <f t="shared" si="37"/>
        <v>0</v>
      </c>
    </row>
    <row r="269" spans="1:35" ht="25.5">
      <c r="A269" s="453">
        <f t="shared" si="32"/>
        <v>2.04</v>
      </c>
      <c r="B269" s="383">
        <v>29</v>
      </c>
      <c r="D269" s="406"/>
      <c r="E269" s="407"/>
      <c r="F269" s="407"/>
      <c r="G269" s="407"/>
      <c r="H269" s="407"/>
      <c r="I269" s="407"/>
      <c r="J269" s="408" t="s">
        <v>440</v>
      </c>
      <c r="K269" s="409" t="str">
        <f t="shared" si="28"/>
        <v>V=(Ancho x Largo x Alto)* Cant</v>
      </c>
      <c r="L269" s="410" t="str">
        <f t="shared" si="38"/>
        <v>M3</v>
      </c>
      <c r="M269" s="411"/>
      <c r="N269" s="412"/>
      <c r="O269" s="454"/>
      <c r="P269" s="454"/>
      <c r="Q269" s="454"/>
      <c r="R269" s="454"/>
      <c r="S269" s="413"/>
      <c r="T269" s="414">
        <f>+HLOOKUP(B269,[238]Hoja1!$2:$78,26,FALSE)</f>
        <v>0</v>
      </c>
      <c r="V269" s="453">
        <f t="shared" si="30"/>
        <v>0</v>
      </c>
      <c r="Y269" s="439">
        <f t="shared" si="36"/>
        <v>0</v>
      </c>
      <c r="Z269" s="439">
        <f t="shared" si="37"/>
        <v>0</v>
      </c>
    </row>
    <row r="270" spans="1:35" ht="25.5">
      <c r="A270" s="453">
        <f t="shared" si="32"/>
        <v>2.04</v>
      </c>
      <c r="B270" s="383">
        <v>30</v>
      </c>
      <c r="D270" s="406"/>
      <c r="E270" s="407"/>
      <c r="F270" s="407"/>
      <c r="G270" s="407"/>
      <c r="H270" s="407"/>
      <c r="I270" s="407"/>
      <c r="J270" s="408" t="s">
        <v>441</v>
      </c>
      <c r="K270" s="409" t="str">
        <f t="shared" si="28"/>
        <v>V=(Ancho x Largo x Alto)* Cant</v>
      </c>
      <c r="L270" s="410" t="str">
        <f t="shared" si="38"/>
        <v>M3</v>
      </c>
      <c r="M270" s="411"/>
      <c r="N270" s="412"/>
      <c r="O270" s="454">
        <v>0.2</v>
      </c>
      <c r="P270" s="454">
        <f t="shared" si="33"/>
        <v>12.2</v>
      </c>
      <c r="Q270" s="454">
        <v>0.3</v>
      </c>
      <c r="R270" s="454">
        <f t="shared" si="34"/>
        <v>0.73199999999999998</v>
      </c>
      <c r="S270" s="413">
        <v>1</v>
      </c>
      <c r="T270" s="414">
        <f>+HLOOKUP(B270,[238]Hoja1!$2:$78,26,FALSE)</f>
        <v>0.73199999999999998</v>
      </c>
      <c r="V270" s="453">
        <f t="shared" si="30"/>
        <v>0.73199999999999998</v>
      </c>
      <c r="Y270" s="439">
        <f t="shared" si="36"/>
        <v>2.44</v>
      </c>
      <c r="Z270" s="439">
        <f t="shared" si="37"/>
        <v>2.44</v>
      </c>
    </row>
    <row r="271" spans="1:35" ht="25.5">
      <c r="A271" s="453">
        <f t="shared" si="32"/>
        <v>2.04</v>
      </c>
      <c r="B271" s="383">
        <v>31</v>
      </c>
      <c r="D271" s="406"/>
      <c r="E271" s="407"/>
      <c r="F271" s="407"/>
      <c r="G271" s="407"/>
      <c r="H271" s="407"/>
      <c r="I271" s="407"/>
      <c r="J271" s="408" t="s">
        <v>442</v>
      </c>
      <c r="K271" s="409" t="str">
        <f t="shared" si="28"/>
        <v>V=(Ancho x Largo x Alto)* Cant</v>
      </c>
      <c r="L271" s="410" t="str">
        <f t="shared" si="38"/>
        <v>M3</v>
      </c>
      <c r="M271" s="411"/>
      <c r="N271" s="412"/>
      <c r="O271" s="454"/>
      <c r="P271" s="454"/>
      <c r="Q271" s="454"/>
      <c r="R271" s="454"/>
      <c r="S271" s="413"/>
      <c r="T271" s="414">
        <f>+HLOOKUP(B271,[238]Hoja1!$2:$78,26,FALSE)</f>
        <v>0</v>
      </c>
      <c r="V271" s="453">
        <f t="shared" si="30"/>
        <v>0</v>
      </c>
      <c r="Y271" s="439">
        <f t="shared" si="36"/>
        <v>0</v>
      </c>
      <c r="Z271" s="439">
        <f t="shared" si="37"/>
        <v>0</v>
      </c>
      <c r="AH271" s="383" t="s">
        <v>156</v>
      </c>
      <c r="AI271" s="383" t="s">
        <v>410</v>
      </c>
    </row>
    <row r="272" spans="1:35" ht="25.5">
      <c r="A272" s="453">
        <f t="shared" si="32"/>
        <v>2.04</v>
      </c>
      <c r="B272" s="383">
        <v>32</v>
      </c>
      <c r="D272" s="406"/>
      <c r="E272" s="407"/>
      <c r="F272" s="407"/>
      <c r="G272" s="407"/>
      <c r="H272" s="407"/>
      <c r="I272" s="407"/>
      <c r="J272" s="408" t="s">
        <v>443</v>
      </c>
      <c r="K272" s="409" t="str">
        <f t="shared" si="28"/>
        <v>V=(Ancho x Largo x Alto)* Cant</v>
      </c>
      <c r="L272" s="410" t="str">
        <f t="shared" si="38"/>
        <v>M3</v>
      </c>
      <c r="M272" s="411"/>
      <c r="N272" s="412"/>
      <c r="O272" s="454">
        <v>0.2</v>
      </c>
      <c r="P272" s="454">
        <f t="shared" si="33"/>
        <v>13.439999999999998</v>
      </c>
      <c r="Q272" s="454">
        <v>0.3</v>
      </c>
      <c r="R272" s="454">
        <f t="shared" si="34"/>
        <v>0.80639999999999989</v>
      </c>
      <c r="S272" s="413">
        <v>1</v>
      </c>
      <c r="T272" s="414">
        <f>+HLOOKUP(B272,[238]Hoja1!$2:$78,26,FALSE)</f>
        <v>0.80639999999999989</v>
      </c>
      <c r="V272" s="453">
        <f t="shared" si="30"/>
        <v>0.80639999999999989</v>
      </c>
      <c r="Y272" s="439">
        <f t="shared" si="36"/>
        <v>2.6879999999999997</v>
      </c>
      <c r="Z272" s="439">
        <f t="shared" si="37"/>
        <v>2.6879999999999997</v>
      </c>
    </row>
    <row r="273" spans="1:35" ht="25.5">
      <c r="A273" s="453">
        <f t="shared" si="32"/>
        <v>2.04</v>
      </c>
      <c r="B273" s="383">
        <v>33</v>
      </c>
      <c r="D273" s="406"/>
      <c r="E273" s="407"/>
      <c r="F273" s="407"/>
      <c r="G273" s="407"/>
      <c r="H273" s="407"/>
      <c r="I273" s="407"/>
      <c r="J273" s="408" t="s">
        <v>444</v>
      </c>
      <c r="K273" s="409" t="str">
        <f t="shared" si="28"/>
        <v>V=(Ancho x Largo x Alto)* Cant</v>
      </c>
      <c r="L273" s="410" t="str">
        <f t="shared" si="38"/>
        <v>M3</v>
      </c>
      <c r="M273" s="411"/>
      <c r="N273" s="412"/>
      <c r="O273" s="454"/>
      <c r="P273" s="454"/>
      <c r="Q273" s="454"/>
      <c r="R273" s="454"/>
      <c r="S273" s="413"/>
      <c r="T273" s="414">
        <f>+HLOOKUP(B273,[238]Hoja1!$2:$78,26,FALSE)</f>
        <v>0</v>
      </c>
      <c r="V273" s="453">
        <f t="shared" si="30"/>
        <v>0</v>
      </c>
      <c r="Y273" s="439">
        <f t="shared" si="36"/>
        <v>0</v>
      </c>
      <c r="Z273" s="439">
        <f t="shared" si="37"/>
        <v>0</v>
      </c>
    </row>
    <row r="274" spans="1:35" ht="25.5">
      <c r="A274" s="453">
        <f t="shared" si="32"/>
        <v>2.04</v>
      </c>
      <c r="B274" s="383">
        <v>34</v>
      </c>
      <c r="D274" s="406"/>
      <c r="E274" s="407"/>
      <c r="F274" s="407"/>
      <c r="G274" s="407"/>
      <c r="H274" s="407"/>
      <c r="I274" s="407"/>
      <c r="J274" s="408" t="s">
        <v>445</v>
      </c>
      <c r="K274" s="409" t="str">
        <f t="shared" si="28"/>
        <v>V=(Ancho x Largo x Alto)* Cant</v>
      </c>
      <c r="L274" s="410" t="str">
        <f t="shared" si="38"/>
        <v>M3</v>
      </c>
      <c r="M274" s="411"/>
      <c r="N274" s="412"/>
      <c r="O274" s="454"/>
      <c r="P274" s="454"/>
      <c r="Q274" s="454"/>
      <c r="R274" s="454"/>
      <c r="S274" s="413"/>
      <c r="T274" s="414">
        <f>+HLOOKUP(B274,[238]Hoja1!$2:$78,26,FALSE)</f>
        <v>0</v>
      </c>
      <c r="V274" s="453">
        <f t="shared" si="30"/>
        <v>0</v>
      </c>
      <c r="Y274" s="439">
        <f t="shared" si="36"/>
        <v>0</v>
      </c>
      <c r="Z274" s="439">
        <f t="shared" si="37"/>
        <v>0</v>
      </c>
    </row>
    <row r="275" spans="1:35" ht="21.75" customHeight="1">
      <c r="A275" s="453">
        <f t="shared" si="32"/>
        <v>2.04</v>
      </c>
      <c r="B275" s="383">
        <v>35</v>
      </c>
      <c r="D275" s="406"/>
      <c r="E275" s="440"/>
      <c r="F275" s="407"/>
      <c r="G275" s="407"/>
      <c r="H275" s="407"/>
      <c r="I275" s="437"/>
      <c r="J275" s="408" t="s">
        <v>446</v>
      </c>
      <c r="K275" s="409" t="str">
        <f t="shared" si="28"/>
        <v>V=(Ancho x Largo x Alto)* Cant</v>
      </c>
      <c r="L275" s="410" t="str">
        <f t="shared" si="38"/>
        <v>M3</v>
      </c>
      <c r="M275" s="411"/>
      <c r="N275" s="412"/>
      <c r="O275" s="454"/>
      <c r="P275" s="454"/>
      <c r="Q275" s="454"/>
      <c r="R275" s="454"/>
      <c r="S275" s="413"/>
      <c r="T275" s="414">
        <f>+HLOOKUP(B275,[238]Hoja1!$2:$78,26,FALSE)</f>
        <v>0</v>
      </c>
      <c r="V275" s="453">
        <f t="shared" si="30"/>
        <v>0</v>
      </c>
      <c r="Y275" s="439">
        <f t="shared" si="36"/>
        <v>0</v>
      </c>
      <c r="Z275" s="439">
        <f t="shared" si="37"/>
        <v>0</v>
      </c>
    </row>
    <row r="276" spans="1:35" ht="25.5">
      <c r="A276" s="453">
        <f t="shared" si="32"/>
        <v>2.04</v>
      </c>
      <c r="B276" s="383">
        <v>36</v>
      </c>
      <c r="D276" s="406"/>
      <c r="E276" s="407"/>
      <c r="F276" s="407"/>
      <c r="G276" s="407"/>
      <c r="H276" s="407"/>
      <c r="I276" s="407"/>
      <c r="J276" s="408" t="s">
        <v>447</v>
      </c>
      <c r="K276" s="409" t="str">
        <f t="shared" si="28"/>
        <v>V=(Ancho x Largo x Alto)* Cant</v>
      </c>
      <c r="L276" s="410" t="str">
        <f>+L265</f>
        <v>M3</v>
      </c>
      <c r="M276" s="411"/>
      <c r="N276" s="412"/>
      <c r="O276" s="454">
        <v>0.2</v>
      </c>
      <c r="P276" s="454">
        <f t="shared" si="33"/>
        <v>13.439999999999998</v>
      </c>
      <c r="Q276" s="454">
        <v>0.3</v>
      </c>
      <c r="R276" s="454">
        <f t="shared" si="34"/>
        <v>0.80639999999999989</v>
      </c>
      <c r="S276" s="413">
        <v>1</v>
      </c>
      <c r="T276" s="414">
        <f>+HLOOKUP(B276,[238]Hoja1!$2:$78,26,FALSE)</f>
        <v>0.80639999999999989</v>
      </c>
      <c r="V276" s="453">
        <f t="shared" si="30"/>
        <v>0.80639999999999989</v>
      </c>
      <c r="Y276" s="439">
        <f t="shared" si="36"/>
        <v>2.6879999999999997</v>
      </c>
      <c r="Z276" s="439">
        <f t="shared" si="37"/>
        <v>2.6879999999999997</v>
      </c>
    </row>
    <row r="277" spans="1:35" ht="25.5">
      <c r="A277" s="453">
        <f t="shared" si="32"/>
        <v>2.04</v>
      </c>
      <c r="B277" s="383">
        <v>37</v>
      </c>
      <c r="D277" s="406"/>
      <c r="E277" s="407"/>
      <c r="F277" s="407"/>
      <c r="G277" s="407"/>
      <c r="H277" s="407"/>
      <c r="I277" s="407"/>
      <c r="J277" s="408" t="s">
        <v>448</v>
      </c>
      <c r="K277" s="409" t="str">
        <f t="shared" si="28"/>
        <v>V=(Ancho x Largo x Alto)* Cant</v>
      </c>
      <c r="L277" s="410" t="str">
        <f t="shared" si="35"/>
        <v>M3</v>
      </c>
      <c r="M277" s="411"/>
      <c r="N277" s="412"/>
      <c r="O277" s="454">
        <v>0.2</v>
      </c>
      <c r="P277" s="454">
        <f t="shared" si="33"/>
        <v>10.9</v>
      </c>
      <c r="Q277" s="454">
        <v>0.3</v>
      </c>
      <c r="R277" s="454">
        <f t="shared" si="34"/>
        <v>0.65400000000000003</v>
      </c>
      <c r="S277" s="413">
        <v>1</v>
      </c>
      <c r="T277" s="414">
        <f>+HLOOKUP(B277,[238]Hoja1!$2:$78,26,FALSE)</f>
        <v>0.65400000000000003</v>
      </c>
      <c r="V277" s="453">
        <f t="shared" si="30"/>
        <v>0.65400000000000003</v>
      </c>
      <c r="Y277" s="439">
        <f t="shared" si="36"/>
        <v>2.1800000000000002</v>
      </c>
      <c r="Z277" s="439">
        <f t="shared" si="37"/>
        <v>2.1800000000000002</v>
      </c>
    </row>
    <row r="278" spans="1:35" ht="21.75" customHeight="1">
      <c r="A278" s="453">
        <f t="shared" si="32"/>
        <v>2.04</v>
      </c>
      <c r="B278" s="383">
        <v>38</v>
      </c>
      <c r="D278" s="406"/>
      <c r="E278" s="440"/>
      <c r="F278" s="407"/>
      <c r="G278" s="407"/>
      <c r="H278" s="407"/>
      <c r="I278" s="437"/>
      <c r="J278" s="408" t="s">
        <v>449</v>
      </c>
      <c r="K278" s="409" t="str">
        <f t="shared" si="28"/>
        <v>V=(Ancho x Largo x Alto)* Cant</v>
      </c>
      <c r="L278" s="410" t="str">
        <f t="shared" si="35"/>
        <v>M3</v>
      </c>
      <c r="M278" s="411"/>
      <c r="N278" s="412"/>
      <c r="O278" s="454"/>
      <c r="P278" s="454"/>
      <c r="Q278" s="454"/>
      <c r="R278" s="454"/>
      <c r="S278" s="413"/>
      <c r="T278" s="414">
        <f>+HLOOKUP(B278,[238]Hoja1!$2:$78,26,FALSE)</f>
        <v>0</v>
      </c>
      <c r="V278" s="453">
        <f t="shared" si="30"/>
        <v>0</v>
      </c>
      <c r="Y278" s="439">
        <f t="shared" si="36"/>
        <v>0</v>
      </c>
      <c r="Z278" s="439">
        <f t="shared" si="37"/>
        <v>0</v>
      </c>
    </row>
    <row r="279" spans="1:35" ht="25.5">
      <c r="A279" s="453">
        <f t="shared" si="32"/>
        <v>2.04</v>
      </c>
      <c r="B279" s="383">
        <v>39</v>
      </c>
      <c r="D279" s="406"/>
      <c r="E279" s="407"/>
      <c r="F279" s="407"/>
      <c r="G279" s="407"/>
      <c r="H279" s="407"/>
      <c r="I279" s="407"/>
      <c r="J279" s="408" t="s">
        <v>450</v>
      </c>
      <c r="K279" s="409" t="str">
        <f t="shared" si="28"/>
        <v>V=(Ancho x Largo x Alto)* Cant</v>
      </c>
      <c r="L279" s="410" t="str">
        <f t="shared" si="35"/>
        <v>M3</v>
      </c>
      <c r="M279" s="411"/>
      <c r="N279" s="412"/>
      <c r="O279" s="454"/>
      <c r="P279" s="454"/>
      <c r="Q279" s="454"/>
      <c r="R279" s="454"/>
      <c r="S279" s="413"/>
      <c r="T279" s="414">
        <f>+HLOOKUP(B279,[238]Hoja1!$2:$78,26,FALSE)</f>
        <v>0</v>
      </c>
      <c r="V279" s="453">
        <f t="shared" si="30"/>
        <v>0</v>
      </c>
      <c r="Y279" s="439">
        <f t="shared" si="36"/>
        <v>0</v>
      </c>
      <c r="Z279" s="439">
        <f t="shared" si="37"/>
        <v>0</v>
      </c>
    </row>
    <row r="280" spans="1:35" ht="25.5">
      <c r="A280" s="453">
        <f t="shared" si="32"/>
        <v>2.04</v>
      </c>
      <c r="B280" s="383">
        <v>40</v>
      </c>
      <c r="D280" s="406"/>
      <c r="E280" s="407"/>
      <c r="F280" s="407"/>
      <c r="G280" s="407"/>
      <c r="H280" s="407"/>
      <c r="I280" s="407"/>
      <c r="J280" s="408" t="s">
        <v>451</v>
      </c>
      <c r="K280" s="409" t="str">
        <f t="shared" si="28"/>
        <v>V=(Ancho x Largo x Alto)* Cant</v>
      </c>
      <c r="L280" s="410" t="str">
        <f t="shared" si="35"/>
        <v>M3</v>
      </c>
      <c r="M280" s="411"/>
      <c r="N280" s="412"/>
      <c r="O280" s="454">
        <v>0.2</v>
      </c>
      <c r="P280" s="454">
        <f t="shared" si="33"/>
        <v>13.439999999999998</v>
      </c>
      <c r="Q280" s="454">
        <v>0.3</v>
      </c>
      <c r="R280" s="454">
        <f t="shared" si="34"/>
        <v>0.80639999999999989</v>
      </c>
      <c r="S280" s="413">
        <v>1</v>
      </c>
      <c r="T280" s="414">
        <f>+HLOOKUP(B280,[238]Hoja1!$2:$78,26,FALSE)</f>
        <v>0.80639999999999989</v>
      </c>
      <c r="V280" s="453">
        <f t="shared" si="30"/>
        <v>0.80639999999999989</v>
      </c>
      <c r="Y280" s="439">
        <f t="shared" si="36"/>
        <v>2.6879999999999997</v>
      </c>
      <c r="Z280" s="439">
        <f t="shared" si="37"/>
        <v>2.6879999999999997</v>
      </c>
    </row>
    <row r="281" spans="1:35" ht="25.5">
      <c r="A281" s="453">
        <f t="shared" si="32"/>
        <v>2.04</v>
      </c>
      <c r="B281" s="383">
        <v>41</v>
      </c>
      <c r="D281" s="406"/>
      <c r="E281" s="407"/>
      <c r="F281" s="407"/>
      <c r="G281" s="407"/>
      <c r="H281" s="407"/>
      <c r="I281" s="407"/>
      <c r="J281" s="408" t="s">
        <v>452</v>
      </c>
      <c r="K281" s="409" t="str">
        <f t="shared" si="28"/>
        <v>V=(Ancho x Largo x Alto)* Cant</v>
      </c>
      <c r="L281" s="410" t="str">
        <f t="shared" si="35"/>
        <v>M3</v>
      </c>
      <c r="M281" s="411"/>
      <c r="N281" s="412"/>
      <c r="O281" s="454">
        <v>0.2</v>
      </c>
      <c r="P281" s="454">
        <f t="shared" si="33"/>
        <v>7.4749999999999988</v>
      </c>
      <c r="Q281" s="454">
        <v>0.3</v>
      </c>
      <c r="R281" s="454">
        <f t="shared" si="34"/>
        <v>0.44849999999999995</v>
      </c>
      <c r="S281" s="413">
        <v>1</v>
      </c>
      <c r="T281" s="414">
        <f>+HLOOKUP(B281,[238]Hoja1!$2:$78,26,FALSE)</f>
        <v>0.44849999999999995</v>
      </c>
      <c r="V281" s="453">
        <f t="shared" si="30"/>
        <v>0.44849999999999995</v>
      </c>
      <c r="Y281" s="439">
        <f t="shared" si="36"/>
        <v>1.4949999999999999</v>
      </c>
      <c r="Z281" s="439">
        <f t="shared" si="37"/>
        <v>1.4949999999999999</v>
      </c>
      <c r="AH281" s="383" t="s">
        <v>156</v>
      </c>
      <c r="AI281" s="383" t="s">
        <v>410</v>
      </c>
    </row>
    <row r="282" spans="1:35" ht="25.5">
      <c r="A282" s="453">
        <f t="shared" si="32"/>
        <v>2.04</v>
      </c>
      <c r="B282" s="383">
        <v>42</v>
      </c>
      <c r="D282" s="406"/>
      <c r="E282" s="407"/>
      <c r="F282" s="407"/>
      <c r="G282" s="407"/>
      <c r="H282" s="407"/>
      <c r="I282" s="407"/>
      <c r="J282" s="408" t="s">
        <v>453</v>
      </c>
      <c r="K282" s="409" t="str">
        <f t="shared" si="28"/>
        <v>V=(Ancho x Largo x Alto)* Cant</v>
      </c>
      <c r="L282" s="410" t="str">
        <f t="shared" si="35"/>
        <v>M3</v>
      </c>
      <c r="M282" s="411"/>
      <c r="N282" s="412"/>
      <c r="O282" s="454"/>
      <c r="P282" s="454"/>
      <c r="Q282" s="454"/>
      <c r="R282" s="454"/>
      <c r="S282" s="413"/>
      <c r="T282" s="414">
        <f>+HLOOKUP(B282,[238]Hoja1!$2:$78,26,FALSE)</f>
        <v>0</v>
      </c>
      <c r="V282" s="453">
        <f t="shared" si="30"/>
        <v>0</v>
      </c>
      <c r="Y282" s="439">
        <f t="shared" si="36"/>
        <v>0</v>
      </c>
      <c r="Z282" s="439">
        <f t="shared" si="37"/>
        <v>0</v>
      </c>
    </row>
    <row r="283" spans="1:35" ht="26.25" thickBot="1">
      <c r="A283" s="453">
        <f t="shared" si="32"/>
        <v>2.04</v>
      </c>
      <c r="B283" s="383">
        <v>43</v>
      </c>
      <c r="D283" s="406"/>
      <c r="E283" s="407"/>
      <c r="F283" s="407"/>
      <c r="G283" s="407"/>
      <c r="H283" s="407"/>
      <c r="I283" s="407"/>
      <c r="J283" s="408" t="s">
        <v>454</v>
      </c>
      <c r="K283" s="409" t="str">
        <f t="shared" si="28"/>
        <v>V=(Ancho x Largo x Alto)* Cant</v>
      </c>
      <c r="L283" s="410" t="str">
        <f t="shared" si="35"/>
        <v>M3</v>
      </c>
      <c r="M283" s="411"/>
      <c r="N283" s="412"/>
      <c r="O283" s="454"/>
      <c r="P283" s="454"/>
      <c r="Q283" s="454"/>
      <c r="R283" s="454"/>
      <c r="S283" s="413"/>
      <c r="T283" s="414">
        <f>+HLOOKUP(B283,[238]Hoja1!$2:$78,26,FALSE)</f>
        <v>0</v>
      </c>
      <c r="V283" s="453">
        <f t="shared" si="30"/>
        <v>0</v>
      </c>
      <c r="Y283" s="439">
        <f t="shared" si="36"/>
        <v>0</v>
      </c>
      <c r="Z283" s="439">
        <f t="shared" si="37"/>
        <v>0</v>
      </c>
    </row>
    <row r="284" spans="1:35">
      <c r="D284" s="384"/>
      <c r="E284" s="419"/>
      <c r="F284" s="420"/>
      <c r="G284" s="421"/>
      <c r="H284" s="421"/>
      <c r="I284" s="421"/>
      <c r="J284" s="421"/>
      <c r="K284" s="422"/>
      <c r="L284" s="421"/>
      <c r="M284" s="421"/>
      <c r="N284" s="421"/>
      <c r="O284" s="421"/>
      <c r="P284" s="421"/>
      <c r="Q284" s="421"/>
      <c r="R284" s="421"/>
      <c r="S284" s="422"/>
      <c r="T284" s="423"/>
      <c r="V284" s="453"/>
    </row>
    <row r="285" spans="1:35">
      <c r="D285" s="396"/>
      <c r="E285" s="397"/>
      <c r="F285" s="424"/>
      <c r="G285" s="425"/>
      <c r="H285" s="425"/>
      <c r="I285" s="425"/>
      <c r="J285" s="425"/>
      <c r="K285" s="398"/>
      <c r="L285" s="425"/>
      <c r="M285" s="425"/>
      <c r="N285" s="397"/>
      <c r="O285" s="397"/>
      <c r="P285" s="562" t="s">
        <v>421</v>
      </c>
      <c r="Q285" s="563"/>
      <c r="R285" s="564"/>
      <c r="S285" s="426"/>
      <c r="T285" s="427">
        <f>ROUND(SUM(T241:T284),2)</f>
        <v>18.68</v>
      </c>
      <c r="V285" s="453"/>
    </row>
    <row r="286" spans="1:35">
      <c r="D286" s="396"/>
      <c r="E286" s="397"/>
      <c r="F286" s="424"/>
      <c r="G286" s="425"/>
      <c r="H286" s="425"/>
      <c r="I286" s="425"/>
      <c r="J286" s="425"/>
      <c r="K286" s="398"/>
      <c r="L286" s="425"/>
      <c r="M286" s="425"/>
      <c r="N286" s="428"/>
      <c r="O286" s="428"/>
      <c r="P286" s="429"/>
      <c r="Q286" s="425"/>
      <c r="R286" s="425"/>
      <c r="S286" s="430"/>
      <c r="T286" s="431"/>
      <c r="V286" s="453"/>
    </row>
    <row r="287" spans="1:35">
      <c r="D287" s="565" t="e">
        <v>#REF!</v>
      </c>
      <c r="E287" s="566"/>
      <c r="F287" s="566"/>
      <c r="G287" s="566"/>
      <c r="H287" s="566"/>
      <c r="I287" s="566"/>
      <c r="J287" s="566"/>
      <c r="K287" s="566"/>
      <c r="L287" s="566"/>
      <c r="M287" s="566"/>
      <c r="N287" s="566"/>
      <c r="O287" s="567"/>
      <c r="P287" s="568" t="s">
        <v>422</v>
      </c>
      <c r="Q287" s="568"/>
      <c r="R287" s="568"/>
      <c r="S287" s="426"/>
      <c r="T287" s="427">
        <f>T285</f>
        <v>18.68</v>
      </c>
      <c r="V287" s="453"/>
    </row>
    <row r="288" spans="1:35">
      <c r="D288" s="396"/>
      <c r="E288" s="397"/>
      <c r="F288" s="424"/>
      <c r="G288" s="425"/>
      <c r="H288" s="425"/>
      <c r="I288" s="425"/>
      <c r="J288" s="425"/>
      <c r="K288" s="398"/>
      <c r="L288" s="425"/>
      <c r="M288" s="425"/>
      <c r="N288" s="428"/>
      <c r="O288" s="428"/>
      <c r="P288" s="429"/>
      <c r="Q288" s="425"/>
      <c r="R288" s="398"/>
      <c r="S288" s="398"/>
      <c r="T288" s="432"/>
      <c r="V288" s="453"/>
    </row>
    <row r="289" spans="4:22">
      <c r="D289" s="396"/>
      <c r="E289" s="397"/>
      <c r="F289" s="424"/>
      <c r="G289" s="425"/>
      <c r="H289" s="425"/>
      <c r="I289" s="425"/>
      <c r="J289" s="425"/>
      <c r="K289" s="398"/>
      <c r="L289" s="425"/>
      <c r="M289" s="425"/>
      <c r="N289" s="428"/>
      <c r="O289" s="428"/>
      <c r="P289" s="429"/>
      <c r="Q289" s="425"/>
      <c r="R289" s="398"/>
      <c r="S289" s="398"/>
      <c r="T289" s="432"/>
      <c r="V289" s="453"/>
    </row>
    <row r="290" spans="4:22">
      <c r="D290" s="569" t="s">
        <v>423</v>
      </c>
      <c r="E290" s="570"/>
      <c r="F290" s="570"/>
      <c r="G290" s="570"/>
      <c r="H290" s="570"/>
      <c r="I290" s="570"/>
      <c r="J290" s="570"/>
      <c r="K290" s="571"/>
      <c r="L290" s="433" t="s">
        <v>424</v>
      </c>
      <c r="M290" s="434"/>
      <c r="N290" s="434"/>
      <c r="O290" s="434"/>
      <c r="P290" s="434"/>
      <c r="Q290" s="434"/>
      <c r="R290" s="434"/>
      <c r="S290" s="434"/>
      <c r="T290" s="435"/>
      <c r="V290" s="453"/>
    </row>
    <row r="291" spans="4:22">
      <c r="D291" s="542"/>
      <c r="E291" s="543"/>
      <c r="F291" s="543"/>
      <c r="G291" s="543"/>
      <c r="H291" s="436"/>
      <c r="I291" s="436"/>
      <c r="J291" s="436"/>
      <c r="K291" s="447"/>
      <c r="L291" s="436"/>
      <c r="M291" s="407"/>
      <c r="N291" s="407"/>
      <c r="O291" s="407"/>
      <c r="P291" s="407"/>
      <c r="Q291" s="407"/>
      <c r="R291" s="407"/>
      <c r="S291" s="407"/>
      <c r="T291" s="437"/>
      <c r="V291" s="453"/>
    </row>
    <row r="292" spans="4:22">
      <c r="D292" s="542"/>
      <c r="E292" s="543"/>
      <c r="F292" s="543"/>
      <c r="G292" s="543"/>
      <c r="H292" s="436"/>
      <c r="I292" s="436"/>
      <c r="J292" s="436"/>
      <c r="K292" s="447"/>
      <c r="L292" s="436"/>
      <c r="M292" s="407"/>
      <c r="N292" s="407"/>
      <c r="O292" s="407"/>
      <c r="P292" s="407"/>
      <c r="Q292" s="407"/>
      <c r="R292" s="407"/>
      <c r="S292" s="407"/>
      <c r="T292" s="437"/>
      <c r="V292" s="453"/>
    </row>
    <row r="293" spans="4:22">
      <c r="D293" s="542" t="s">
        <v>425</v>
      </c>
      <c r="E293" s="543"/>
      <c r="F293" s="543" t="s">
        <v>425</v>
      </c>
      <c r="G293" s="543"/>
      <c r="H293" s="543" t="s">
        <v>425</v>
      </c>
      <c r="I293" s="543"/>
      <c r="J293" s="543" t="s">
        <v>425</v>
      </c>
      <c r="K293" s="544"/>
      <c r="L293" s="545" t="s">
        <v>426</v>
      </c>
      <c r="M293" s="546"/>
      <c r="N293" s="546"/>
      <c r="O293" s="546"/>
      <c r="P293" s="546"/>
      <c r="Q293" s="546"/>
      <c r="R293" s="546"/>
      <c r="S293" s="546"/>
      <c r="T293" s="547"/>
      <c r="V293" s="453"/>
    </row>
    <row r="294" spans="4:22">
      <c r="D294" s="548" t="str">
        <f>+[42]DATOS!D$8</f>
        <v>HELMER EDUARDO BECERRA SANTANDER</v>
      </c>
      <c r="E294" s="549"/>
      <c r="F294" s="549" t="s">
        <v>427</v>
      </c>
      <c r="G294" s="549"/>
      <c r="H294" s="549" t="s">
        <v>427</v>
      </c>
      <c r="I294" s="549"/>
      <c r="J294" s="549" t="s">
        <v>427</v>
      </c>
      <c r="K294" s="550"/>
      <c r="L294" s="551" t="str">
        <f>+[42]DATOS!D$11</f>
        <v>JESUS IVAN QUIÑONES RUEDA</v>
      </c>
      <c r="M294" s="549"/>
      <c r="N294" s="549"/>
      <c r="O294" s="549"/>
      <c r="P294" s="549"/>
      <c r="Q294" s="549"/>
      <c r="R294" s="549"/>
      <c r="S294" s="549"/>
      <c r="T294" s="552"/>
      <c r="V294" s="453"/>
    </row>
    <row r="295" spans="4:22">
      <c r="D295" s="553" t="s">
        <v>456</v>
      </c>
      <c r="E295" s="554"/>
      <c r="F295" s="554" t="s">
        <v>428</v>
      </c>
      <c r="G295" s="554"/>
      <c r="H295" s="554" t="s">
        <v>428</v>
      </c>
      <c r="I295" s="554"/>
      <c r="J295" s="554" t="s">
        <v>428</v>
      </c>
      <c r="K295" s="555"/>
      <c r="L295" s="556" t="s">
        <v>457</v>
      </c>
      <c r="M295" s="554"/>
      <c r="N295" s="554"/>
      <c r="O295" s="554"/>
      <c r="P295" s="554"/>
      <c r="Q295" s="554"/>
      <c r="R295" s="554"/>
      <c r="S295" s="554"/>
      <c r="T295" s="557"/>
      <c r="V295" s="453"/>
    </row>
    <row r="296" spans="4:22">
      <c r="D296" s="406"/>
      <c r="E296" s="407"/>
      <c r="F296" s="407"/>
      <c r="G296" s="407"/>
      <c r="H296" s="407"/>
      <c r="I296" s="407"/>
      <c r="J296" s="407"/>
      <c r="K296" s="407"/>
      <c r="L296" s="407"/>
      <c r="M296" s="407"/>
      <c r="N296" s="407"/>
      <c r="O296" s="407"/>
      <c r="P296" s="407"/>
      <c r="Q296" s="407"/>
      <c r="R296" s="407"/>
      <c r="S296" s="407"/>
      <c r="T296" s="437"/>
      <c r="V296" s="453"/>
    </row>
    <row r="297" spans="4:22" ht="111.6" customHeight="1" thickBot="1">
      <c r="D297" s="417"/>
      <c r="E297" s="418"/>
      <c r="F297" s="418"/>
      <c r="G297" s="418"/>
      <c r="H297" s="418"/>
      <c r="I297" s="418"/>
      <c r="J297" s="418"/>
      <c r="K297" s="418"/>
      <c r="L297" s="418"/>
      <c r="M297" s="418"/>
      <c r="N297" s="418"/>
      <c r="O297" s="418"/>
      <c r="P297" s="418"/>
      <c r="Q297" s="418"/>
      <c r="R297" s="418"/>
      <c r="S297" s="418"/>
      <c r="T297" s="438"/>
      <c r="V297" s="453"/>
    </row>
    <row r="298" spans="4:22">
      <c r="V298" s="453"/>
    </row>
    <row r="299" spans="4:22">
      <c r="V299" s="453"/>
    </row>
    <row r="300" spans="4:22" ht="13.5" thickBot="1">
      <c r="V300" s="453"/>
    </row>
    <row r="301" spans="4:22">
      <c r="D301" s="384"/>
      <c r="E301" s="385"/>
      <c r="F301" s="385"/>
      <c r="G301" s="385"/>
      <c r="H301" s="385"/>
      <c r="I301" s="385"/>
      <c r="J301" s="385"/>
      <c r="K301" s="445"/>
      <c r="L301" s="385"/>
      <c r="M301" s="385"/>
      <c r="N301" s="385"/>
      <c r="O301" s="385"/>
      <c r="P301" s="385"/>
      <c r="Q301" s="385"/>
      <c r="R301" s="385"/>
      <c r="S301" s="385"/>
      <c r="T301" s="386"/>
      <c r="V301" s="453"/>
    </row>
    <row r="302" spans="4:22" ht="121.5" customHeight="1" thickBot="1">
      <c r="D302" s="387"/>
      <c r="E302" s="388"/>
      <c r="F302" s="388"/>
      <c r="G302" s="388"/>
      <c r="H302" s="388"/>
      <c r="I302" s="388"/>
      <c r="J302" s="388"/>
      <c r="K302" s="446"/>
      <c r="L302" s="388"/>
      <c r="M302" s="388"/>
      <c r="N302" s="388"/>
      <c r="O302" s="388"/>
      <c r="P302" s="388"/>
      <c r="Q302" s="388"/>
      <c r="R302" s="388"/>
      <c r="S302" s="388"/>
      <c r="T302" s="389"/>
      <c r="V302" s="453">
        <f t="shared" si="30"/>
        <v>0</v>
      </c>
    </row>
    <row r="303" spans="4:22">
      <c r="D303" s="592" t="str">
        <f>+[42]DATOS!C$7</f>
        <v>MEJORAMIENTO DE VIVIENDA CON ENFOQUE DIFERENCIAL PARA POBLACIÓN VULNERABLE EN EL MUNICIPIO DE CUBARÁ, BOYACÁ (2026).</v>
      </c>
      <c r="E303" s="593"/>
      <c r="F303" s="593"/>
      <c r="G303" s="593"/>
      <c r="H303" s="593"/>
      <c r="I303" s="593"/>
      <c r="J303" s="593"/>
      <c r="K303" s="593"/>
      <c r="L303" s="593"/>
      <c r="M303" s="593"/>
      <c r="N303" s="593"/>
      <c r="O303" s="593"/>
      <c r="P303" s="593"/>
      <c r="Q303" s="593"/>
      <c r="R303" s="593"/>
      <c r="S303" s="593"/>
      <c r="T303" s="594"/>
      <c r="V303" s="453">
        <f t="shared" si="30"/>
        <v>0</v>
      </c>
    </row>
    <row r="304" spans="4:22">
      <c r="D304" s="595"/>
      <c r="E304" s="596"/>
      <c r="F304" s="596"/>
      <c r="G304" s="596"/>
      <c r="H304" s="596"/>
      <c r="I304" s="596"/>
      <c r="J304" s="596"/>
      <c r="K304" s="596"/>
      <c r="L304" s="596"/>
      <c r="M304" s="596"/>
      <c r="N304" s="596"/>
      <c r="O304" s="596"/>
      <c r="P304" s="596"/>
      <c r="Q304" s="596"/>
      <c r="R304" s="596"/>
      <c r="S304" s="596"/>
      <c r="T304" s="597"/>
      <c r="V304" s="453">
        <f t="shared" si="30"/>
        <v>0</v>
      </c>
    </row>
    <row r="305" spans="1:26">
      <c r="D305" s="598" t="s">
        <v>371</v>
      </c>
      <c r="E305" s="599"/>
      <c r="F305" s="599"/>
      <c r="G305" s="599"/>
      <c r="H305" s="599"/>
      <c r="I305" s="599"/>
      <c r="J305" s="599"/>
      <c r="K305" s="599"/>
      <c r="L305" s="599"/>
      <c r="M305" s="599"/>
      <c r="N305" s="599"/>
      <c r="O305" s="599"/>
      <c r="P305" s="599"/>
      <c r="Q305" s="599"/>
      <c r="R305" s="599"/>
      <c r="S305" s="599"/>
      <c r="T305" s="600"/>
      <c r="V305" s="453">
        <f t="shared" si="30"/>
        <v>0</v>
      </c>
    </row>
    <row r="306" spans="1:26">
      <c r="D306" s="586" t="s">
        <v>372</v>
      </c>
      <c r="E306" s="587"/>
      <c r="F306" s="601" t="s">
        <v>373</v>
      </c>
      <c r="G306" s="601"/>
      <c r="H306" s="601"/>
      <c r="I306" s="601"/>
      <c r="J306" s="601"/>
      <c r="K306" s="601"/>
      <c r="L306" s="601"/>
      <c r="M306" s="601"/>
      <c r="N306" s="601"/>
      <c r="O306" s="601"/>
      <c r="P306" s="601"/>
      <c r="Q306" s="601"/>
      <c r="R306" s="601"/>
      <c r="S306" s="601"/>
      <c r="T306" s="602"/>
      <c r="V306" s="453">
        <f t="shared" ref="V306:V358" si="39">+T306</f>
        <v>0</v>
      </c>
    </row>
    <row r="307" spans="1:26">
      <c r="D307" s="586" t="s">
        <v>374</v>
      </c>
      <c r="E307" s="587"/>
      <c r="F307" s="603" t="s">
        <v>375</v>
      </c>
      <c r="G307" s="604"/>
      <c r="H307" s="604"/>
      <c r="I307" s="604"/>
      <c r="J307" s="604"/>
      <c r="K307" s="604"/>
      <c r="L307" s="604"/>
      <c r="M307" s="604"/>
      <c r="N307" s="604"/>
      <c r="O307" s="604"/>
      <c r="P307" s="604"/>
      <c r="Q307" s="604"/>
      <c r="R307" s="604"/>
      <c r="S307" s="604"/>
      <c r="T307" s="605"/>
      <c r="V307" s="453">
        <f t="shared" si="39"/>
        <v>0</v>
      </c>
    </row>
    <row r="308" spans="1:26">
      <c r="D308" s="586" t="s">
        <v>376</v>
      </c>
      <c r="E308" s="587"/>
      <c r="F308" s="390">
        <f>+[42]DATOS!F$5</f>
        <v>46143</v>
      </c>
      <c r="G308" s="391"/>
      <c r="H308" s="391"/>
      <c r="I308" s="391"/>
      <c r="J308" s="391"/>
      <c r="K308" s="391"/>
      <c r="L308" s="568" t="s">
        <v>377</v>
      </c>
      <c r="M308" s="568"/>
      <c r="N308" s="588" t="s">
        <v>378</v>
      </c>
      <c r="O308" s="588"/>
      <c r="P308" s="588"/>
      <c r="Q308" s="588"/>
      <c r="R308" s="588"/>
      <c r="S308" s="588"/>
      <c r="T308" s="589"/>
      <c r="V308" s="453">
        <f t="shared" si="39"/>
        <v>0</v>
      </c>
    </row>
    <row r="309" spans="1:26" ht="25.5">
      <c r="D309" s="586" t="s">
        <v>379</v>
      </c>
      <c r="E309" s="587"/>
      <c r="F309" s="590" t="s">
        <v>380</v>
      </c>
      <c r="G309" s="591"/>
      <c r="H309" s="392">
        <f>+[42]DATOS!E$5</f>
        <v>2026</v>
      </c>
      <c r="I309" s="393" t="s">
        <v>381</v>
      </c>
      <c r="J309" s="394">
        <f>+[42]DATOS!E$5</f>
        <v>2026</v>
      </c>
      <c r="K309" s="395"/>
      <c r="L309" s="568" t="s">
        <v>382</v>
      </c>
      <c r="M309" s="568"/>
      <c r="N309" s="588" t="s">
        <v>383</v>
      </c>
      <c r="O309" s="588"/>
      <c r="P309" s="588"/>
      <c r="Q309" s="588"/>
      <c r="R309" s="588"/>
      <c r="S309" s="588"/>
      <c r="T309" s="589"/>
      <c r="V309" s="453">
        <f t="shared" si="39"/>
        <v>0</v>
      </c>
    </row>
    <row r="310" spans="1:26">
      <c r="D310" s="396"/>
      <c r="E310" s="397"/>
      <c r="F310" s="397"/>
      <c r="G310" s="398"/>
      <c r="H310" s="398"/>
      <c r="I310" s="398"/>
      <c r="J310" s="398"/>
      <c r="K310" s="398"/>
      <c r="L310" s="398"/>
      <c r="M310" s="398"/>
      <c r="N310" s="398"/>
      <c r="O310" s="398"/>
      <c r="P310" s="398"/>
      <c r="Q310" s="398"/>
      <c r="R310" s="398"/>
      <c r="S310" s="398"/>
      <c r="T310" s="399"/>
      <c r="V310" s="453">
        <f t="shared" si="39"/>
        <v>0</v>
      </c>
    </row>
    <row r="311" spans="1:26">
      <c r="D311" s="572" t="s">
        <v>384</v>
      </c>
      <c r="E311" s="573"/>
      <c r="F311" s="573"/>
      <c r="G311" s="573"/>
      <c r="H311" s="573"/>
      <c r="I311" s="573"/>
      <c r="J311" s="573"/>
      <c r="K311" s="573"/>
      <c r="L311" s="573"/>
      <c r="M311" s="573"/>
      <c r="N311" s="573"/>
      <c r="O311" s="573"/>
      <c r="P311" s="573"/>
      <c r="Q311" s="573"/>
      <c r="R311" s="573"/>
      <c r="S311" s="573"/>
      <c r="T311" s="574"/>
      <c r="V311" s="453">
        <f t="shared" si="39"/>
        <v>0</v>
      </c>
    </row>
    <row r="312" spans="1:26">
      <c r="D312" s="396"/>
      <c r="E312" s="397"/>
      <c r="F312" s="397"/>
      <c r="G312" s="398"/>
      <c r="H312" s="398"/>
      <c r="I312" s="398"/>
      <c r="J312" s="398"/>
      <c r="K312" s="398"/>
      <c r="L312" s="398"/>
      <c r="M312" s="398"/>
      <c r="N312" s="398"/>
      <c r="O312" s="398"/>
      <c r="P312" s="398"/>
      <c r="Q312" s="398"/>
      <c r="R312" s="398"/>
      <c r="S312" s="398"/>
      <c r="T312" s="399"/>
      <c r="V312" s="453">
        <f t="shared" si="39"/>
        <v>0</v>
      </c>
    </row>
    <row r="313" spans="1:26">
      <c r="D313" s="400" t="s">
        <v>385</v>
      </c>
      <c r="E313" s="575" t="s">
        <v>386</v>
      </c>
      <c r="F313" s="575"/>
      <c r="G313" s="576" t="s">
        <v>387</v>
      </c>
      <c r="H313" s="577"/>
      <c r="I313" s="577"/>
      <c r="J313" s="576" t="s">
        <v>388</v>
      </c>
      <c r="K313" s="576" t="s">
        <v>389</v>
      </c>
      <c r="L313" s="579"/>
      <c r="M313" s="581" t="s">
        <v>390</v>
      </c>
      <c r="N313" s="581"/>
      <c r="O313" s="581"/>
      <c r="P313" s="581"/>
      <c r="Q313" s="581"/>
      <c r="R313" s="581"/>
      <c r="S313" s="581" t="s">
        <v>391</v>
      </c>
      <c r="T313" s="582"/>
      <c r="V313" s="453">
        <f t="shared" si="39"/>
        <v>0</v>
      </c>
    </row>
    <row r="314" spans="1:26" ht="38.25">
      <c r="D314" s="403">
        <f>+'PRESUPUESTO OFICIAL '!C34</f>
        <v>2.0499999999999998</v>
      </c>
      <c r="E314" s="583" t="str">
        <f>+VLOOKUP(D314,'PRESUPUESTO OFICIAL '!$C$11:$H$103,2)</f>
        <v>SUMINISTRO E INSTALACIÓN DE CONCRETO CICLÓPEO 21 MPA (60C/40P) PARA BASES.</v>
      </c>
      <c r="F314" s="584"/>
      <c r="G314" s="585" t="str">
        <f>+VLOOKUP(D314,'PRESUPUESTO OFICIAL '!$C$11:$H$103,3)</f>
        <v>M3</v>
      </c>
      <c r="H314" s="585"/>
      <c r="I314" s="585"/>
      <c r="J314" s="578"/>
      <c r="K314" s="578"/>
      <c r="L314" s="580"/>
      <c r="M314" s="401" t="s">
        <v>392</v>
      </c>
      <c r="N314" s="401" t="s">
        <v>393</v>
      </c>
      <c r="O314" s="401" t="s">
        <v>394</v>
      </c>
      <c r="P314" s="401" t="s">
        <v>395</v>
      </c>
      <c r="Q314" s="401" t="s">
        <v>396</v>
      </c>
      <c r="R314" s="401" t="s">
        <v>397</v>
      </c>
      <c r="S314" s="401" t="s">
        <v>398</v>
      </c>
      <c r="T314" s="402" t="s">
        <v>399</v>
      </c>
      <c r="V314" s="453">
        <f>+D314</f>
        <v>2.0499999999999998</v>
      </c>
      <c r="W314" s="405">
        <f>+T362</f>
        <v>9.26</v>
      </c>
    </row>
    <row r="315" spans="1:26">
      <c r="D315" s="406"/>
      <c r="E315" s="407"/>
      <c r="F315" s="407"/>
      <c r="G315" s="407"/>
      <c r="H315" s="407"/>
      <c r="I315" s="407"/>
      <c r="J315" s="558"/>
      <c r="K315" s="559"/>
      <c r="L315" s="560"/>
      <c r="M315" s="560"/>
      <c r="N315" s="560"/>
      <c r="O315" s="560"/>
      <c r="P315" s="560"/>
      <c r="Q315" s="560"/>
      <c r="R315" s="560"/>
      <c r="S315" s="560"/>
      <c r="T315" s="561"/>
      <c r="V315" s="453">
        <f t="shared" si="39"/>
        <v>0</v>
      </c>
    </row>
    <row r="316" spans="1:26" ht="25.5">
      <c r="A316" s="453">
        <f>+D314</f>
        <v>2.0499999999999998</v>
      </c>
      <c r="B316" s="383">
        <v>1</v>
      </c>
      <c r="D316" s="406"/>
      <c r="E316" s="407"/>
      <c r="F316" s="407"/>
      <c r="G316" s="407"/>
      <c r="H316" s="407"/>
      <c r="I316" s="407"/>
      <c r="J316" s="408" t="s">
        <v>400</v>
      </c>
      <c r="K316" s="409" t="str">
        <f t="shared" ref="K316:K358" si="40">+VLOOKUP(L316,$AH$22:$AJ$58,2,)</f>
        <v>V=(Ancho x Largo x Alto)* Cant</v>
      </c>
      <c r="L316" s="410" t="str">
        <f>+G314</f>
        <v>M3</v>
      </c>
      <c r="M316" s="411"/>
      <c r="N316" s="412"/>
      <c r="O316" s="442"/>
      <c r="P316" s="442"/>
      <c r="Q316" s="413"/>
      <c r="R316" s="413"/>
      <c r="S316" s="413"/>
      <c r="T316" s="414">
        <f>+HLOOKUP(B316,[238]Hoja1!$2:$78,27,FALSE)</f>
        <v>0</v>
      </c>
      <c r="V316" s="453">
        <f t="shared" si="39"/>
        <v>0</v>
      </c>
      <c r="Y316" s="439">
        <f>+O316*P316</f>
        <v>0</v>
      </c>
      <c r="Z316" s="439">
        <f>+Y316-M316</f>
        <v>0</v>
      </c>
    </row>
    <row r="317" spans="1:26" ht="25.5">
      <c r="A317" s="453">
        <f>+A316</f>
        <v>2.0499999999999998</v>
      </c>
      <c r="B317" s="383">
        <v>2</v>
      </c>
      <c r="D317" s="406"/>
      <c r="E317" s="407"/>
      <c r="F317" s="407"/>
      <c r="G317" s="407"/>
      <c r="H317" s="407"/>
      <c r="I317" s="407"/>
      <c r="J317" s="408" t="s">
        <v>401</v>
      </c>
      <c r="K317" s="409" t="str">
        <f t="shared" si="40"/>
        <v>V=(Ancho x Largo x Alto)* Cant</v>
      </c>
      <c r="L317" s="410" t="str">
        <f>+L316</f>
        <v>M3</v>
      </c>
      <c r="M317" s="411"/>
      <c r="N317" s="412"/>
      <c r="O317" s="442">
        <v>0.2</v>
      </c>
      <c r="P317" s="442">
        <f>+T317/0.2/0.2</f>
        <v>12.700000000000001</v>
      </c>
      <c r="Q317" s="413">
        <v>0.2</v>
      </c>
      <c r="R317" s="413">
        <f>+Q317*P317*O317</f>
        <v>0.50800000000000012</v>
      </c>
      <c r="S317" s="413">
        <v>1</v>
      </c>
      <c r="T317" s="414">
        <f>+HLOOKUP(B317,[238]Hoja1!$2:$78,27,FALSE)</f>
        <v>0.50800000000000012</v>
      </c>
      <c r="V317" s="453">
        <f t="shared" si="39"/>
        <v>0.50800000000000012</v>
      </c>
      <c r="Y317" s="439">
        <f>+O317*P317</f>
        <v>2.5400000000000005</v>
      </c>
      <c r="Z317" s="439">
        <f t="shared" ref="Z317:Z358" si="41">+Y317-M317</f>
        <v>2.5400000000000005</v>
      </c>
    </row>
    <row r="318" spans="1:26" ht="25.5">
      <c r="A318" s="453">
        <f t="shared" ref="A318:A358" si="42">+A317</f>
        <v>2.0499999999999998</v>
      </c>
      <c r="B318" s="383">
        <v>3</v>
      </c>
      <c r="D318" s="406"/>
      <c r="E318" s="407"/>
      <c r="F318" s="407"/>
      <c r="G318" s="407"/>
      <c r="H318" s="407"/>
      <c r="I318" s="407"/>
      <c r="J318" s="408" t="s">
        <v>402</v>
      </c>
      <c r="K318" s="409" t="str">
        <f t="shared" si="40"/>
        <v>V=(Ancho x Largo x Alto)* Cant</v>
      </c>
      <c r="L318" s="410" t="str">
        <f>+L317</f>
        <v>M3</v>
      </c>
      <c r="M318" s="411"/>
      <c r="N318" s="412"/>
      <c r="O318" s="442">
        <v>0.2</v>
      </c>
      <c r="P318" s="442">
        <f t="shared" ref="P318:P356" si="43">+T318/0.2/0.2</f>
        <v>12.700000000000001</v>
      </c>
      <c r="Q318" s="413">
        <v>0.2</v>
      </c>
      <c r="R318" s="413">
        <f t="shared" ref="R318:R356" si="44">+Q318*P318*O318</f>
        <v>0.50800000000000012</v>
      </c>
      <c r="S318" s="413">
        <v>1</v>
      </c>
      <c r="T318" s="414">
        <f>+HLOOKUP(B318,[238]Hoja1!$2:$78,27,FALSE)</f>
        <v>0.50800000000000012</v>
      </c>
      <c r="V318" s="453">
        <f t="shared" si="39"/>
        <v>0.50800000000000012</v>
      </c>
      <c r="Y318" s="439">
        <f t="shared" ref="Y318:Y358" si="45">+O318*P318</f>
        <v>2.5400000000000005</v>
      </c>
      <c r="Z318" s="439">
        <f t="shared" si="41"/>
        <v>2.5400000000000005</v>
      </c>
    </row>
    <row r="319" spans="1:26" ht="25.5">
      <c r="A319" s="453">
        <f t="shared" si="42"/>
        <v>2.0499999999999998</v>
      </c>
      <c r="B319" s="383">
        <v>4</v>
      </c>
      <c r="D319" s="406"/>
      <c r="E319" s="407"/>
      <c r="F319" s="407"/>
      <c r="G319" s="407"/>
      <c r="H319" s="407"/>
      <c r="I319" s="407"/>
      <c r="J319" s="408" t="s">
        <v>403</v>
      </c>
      <c r="K319" s="409" t="str">
        <f t="shared" si="40"/>
        <v>V=(Ancho x Largo x Alto)* Cant</v>
      </c>
      <c r="L319" s="410" t="str">
        <f>+L318</f>
        <v>M3</v>
      </c>
      <c r="M319" s="411"/>
      <c r="N319" s="412"/>
      <c r="O319" s="442">
        <v>0.2</v>
      </c>
      <c r="P319" s="442">
        <f t="shared" si="43"/>
        <v>12.700000000000001</v>
      </c>
      <c r="Q319" s="413">
        <v>0.2</v>
      </c>
      <c r="R319" s="413">
        <f t="shared" si="44"/>
        <v>0.50800000000000012</v>
      </c>
      <c r="S319" s="413">
        <v>1</v>
      </c>
      <c r="T319" s="414">
        <f>+HLOOKUP(B319,[238]Hoja1!$2:$78,27,FALSE)</f>
        <v>0.50800000000000012</v>
      </c>
      <c r="V319" s="453">
        <f t="shared" si="39"/>
        <v>0.50800000000000012</v>
      </c>
      <c r="Y319" s="439">
        <f t="shared" si="45"/>
        <v>2.5400000000000005</v>
      </c>
      <c r="Z319" s="439">
        <f t="shared" si="41"/>
        <v>2.5400000000000005</v>
      </c>
    </row>
    <row r="320" spans="1:26" ht="25.5">
      <c r="A320" s="453">
        <f t="shared" si="42"/>
        <v>2.0499999999999998</v>
      </c>
      <c r="B320" s="383">
        <v>5</v>
      </c>
      <c r="D320" s="406"/>
      <c r="E320" s="407"/>
      <c r="F320" s="407"/>
      <c r="G320" s="407"/>
      <c r="H320" s="407"/>
      <c r="I320" s="407"/>
      <c r="J320" s="408" t="s">
        <v>405</v>
      </c>
      <c r="K320" s="409" t="str">
        <f t="shared" si="40"/>
        <v>V=(Ancho x Largo x Alto)* Cant</v>
      </c>
      <c r="L320" s="410" t="str">
        <f>+L319</f>
        <v>M3</v>
      </c>
      <c r="M320" s="411"/>
      <c r="N320" s="412"/>
      <c r="O320" s="442">
        <v>0.2</v>
      </c>
      <c r="P320" s="442">
        <f t="shared" si="43"/>
        <v>12.700000000000001</v>
      </c>
      <c r="Q320" s="413">
        <v>0.2</v>
      </c>
      <c r="R320" s="413">
        <f t="shared" si="44"/>
        <v>0.50800000000000012</v>
      </c>
      <c r="S320" s="413">
        <v>1</v>
      </c>
      <c r="T320" s="414">
        <f>+HLOOKUP(B320,[238]Hoja1!$2:$78,27,FALSE)</f>
        <v>0.50800000000000012</v>
      </c>
      <c r="V320" s="453">
        <f t="shared" si="39"/>
        <v>0.50800000000000012</v>
      </c>
      <c r="Y320" s="439">
        <f t="shared" si="45"/>
        <v>2.5400000000000005</v>
      </c>
      <c r="Z320" s="439">
        <f t="shared" si="41"/>
        <v>2.5400000000000005</v>
      </c>
    </row>
    <row r="321" spans="1:26" ht="25.5">
      <c r="A321" s="453">
        <f t="shared" si="42"/>
        <v>2.0499999999999998</v>
      </c>
      <c r="B321" s="383">
        <v>6</v>
      </c>
      <c r="D321" s="406"/>
      <c r="E321" s="407"/>
      <c r="F321" s="407"/>
      <c r="G321" s="407"/>
      <c r="H321" s="407"/>
      <c r="I321" s="407"/>
      <c r="J321" s="408" t="s">
        <v>407</v>
      </c>
      <c r="K321" s="409" t="str">
        <f t="shared" si="40"/>
        <v>V=(Ancho x Largo x Alto)* Cant</v>
      </c>
      <c r="L321" s="410" t="str">
        <f>+L320</f>
        <v>M3</v>
      </c>
      <c r="M321" s="411"/>
      <c r="N321" s="412"/>
      <c r="O321" s="442">
        <v>0.2</v>
      </c>
      <c r="P321" s="442">
        <f t="shared" si="43"/>
        <v>13.44</v>
      </c>
      <c r="Q321" s="413">
        <v>0.2</v>
      </c>
      <c r="R321" s="413">
        <f t="shared" si="44"/>
        <v>0.53760000000000008</v>
      </c>
      <c r="S321" s="413">
        <v>1</v>
      </c>
      <c r="T321" s="414">
        <f>+HLOOKUP(B321,[238]Hoja1!$2:$78,27,FALSE)</f>
        <v>0.53760000000000008</v>
      </c>
      <c r="V321" s="453">
        <f t="shared" si="39"/>
        <v>0.53760000000000008</v>
      </c>
      <c r="Y321" s="439">
        <f t="shared" si="45"/>
        <v>2.6880000000000002</v>
      </c>
      <c r="Z321" s="439">
        <f t="shared" si="41"/>
        <v>2.6880000000000002</v>
      </c>
    </row>
    <row r="322" spans="1:26" ht="25.5">
      <c r="A322" s="453">
        <f t="shared" si="42"/>
        <v>2.0499999999999998</v>
      </c>
      <c r="B322" s="383">
        <v>7</v>
      </c>
      <c r="D322" s="406"/>
      <c r="E322" s="407"/>
      <c r="F322" s="407"/>
      <c r="G322" s="407"/>
      <c r="H322" s="407"/>
      <c r="I322" s="407"/>
      <c r="J322" s="408" t="s">
        <v>409</v>
      </c>
      <c r="K322" s="409" t="str">
        <f t="shared" si="40"/>
        <v>V=(Ancho x Largo x Alto)* Cant</v>
      </c>
      <c r="L322" s="410" t="str">
        <f>+L316</f>
        <v>M3</v>
      </c>
      <c r="M322" s="411"/>
      <c r="N322" s="412"/>
      <c r="O322" s="442">
        <v>0.2</v>
      </c>
      <c r="P322" s="442">
        <f t="shared" si="43"/>
        <v>5.7749999999999986</v>
      </c>
      <c r="Q322" s="413">
        <v>0.2</v>
      </c>
      <c r="R322" s="413">
        <f t="shared" si="44"/>
        <v>0.23099999999999998</v>
      </c>
      <c r="S322" s="413">
        <v>1</v>
      </c>
      <c r="T322" s="414">
        <f>+HLOOKUP(B322,[238]Hoja1!$2:$78,27,FALSE)</f>
        <v>0.23099999999999998</v>
      </c>
      <c r="V322" s="453">
        <f t="shared" si="39"/>
        <v>0.23099999999999998</v>
      </c>
      <c r="Y322" s="439">
        <f t="shared" si="45"/>
        <v>1.1549999999999998</v>
      </c>
      <c r="Z322" s="439">
        <f t="shared" si="41"/>
        <v>1.1549999999999998</v>
      </c>
    </row>
    <row r="323" spans="1:26" ht="25.5">
      <c r="A323" s="453">
        <f t="shared" si="42"/>
        <v>2.0499999999999998</v>
      </c>
      <c r="B323" s="383">
        <v>8</v>
      </c>
      <c r="D323" s="406"/>
      <c r="E323" s="407"/>
      <c r="F323" s="407"/>
      <c r="G323" s="407"/>
      <c r="H323" s="407"/>
      <c r="I323" s="407"/>
      <c r="J323" s="408" t="s">
        <v>411</v>
      </c>
      <c r="K323" s="409" t="str">
        <f t="shared" si="40"/>
        <v>V=(Ancho x Largo x Alto)* Cant</v>
      </c>
      <c r="L323" s="410" t="str">
        <f>+L322</f>
        <v>M3</v>
      </c>
      <c r="M323" s="411"/>
      <c r="N323" s="412"/>
      <c r="O323" s="442"/>
      <c r="P323" s="442"/>
      <c r="Q323" s="413"/>
      <c r="R323" s="413"/>
      <c r="S323" s="413"/>
      <c r="T323" s="414">
        <f>+HLOOKUP(B323,[238]Hoja1!$2:$78,27,FALSE)</f>
        <v>0</v>
      </c>
      <c r="V323" s="453">
        <f t="shared" si="39"/>
        <v>0</v>
      </c>
      <c r="Y323" s="439">
        <f t="shared" si="45"/>
        <v>0</v>
      </c>
      <c r="Z323" s="439">
        <f t="shared" si="41"/>
        <v>0</v>
      </c>
    </row>
    <row r="324" spans="1:26" ht="25.5">
      <c r="A324" s="453">
        <f t="shared" si="42"/>
        <v>2.0499999999999998</v>
      </c>
      <c r="B324" s="383">
        <v>9</v>
      </c>
      <c r="D324" s="406"/>
      <c r="E324" s="407"/>
      <c r="F324" s="407"/>
      <c r="G324" s="407"/>
      <c r="H324" s="407"/>
      <c r="I324" s="407"/>
      <c r="J324" s="408" t="s">
        <v>412</v>
      </c>
      <c r="K324" s="409" t="str">
        <f t="shared" si="40"/>
        <v>V=(Ancho x Largo x Alto)* Cant</v>
      </c>
      <c r="L324" s="410" t="str">
        <f>+L323</f>
        <v>M3</v>
      </c>
      <c r="M324" s="411"/>
      <c r="N324" s="412"/>
      <c r="O324" s="442">
        <v>0.2</v>
      </c>
      <c r="P324" s="442">
        <f t="shared" si="43"/>
        <v>12.700000000000001</v>
      </c>
      <c r="Q324" s="413">
        <v>0.2</v>
      </c>
      <c r="R324" s="413">
        <f t="shared" si="44"/>
        <v>0.50800000000000012</v>
      </c>
      <c r="S324" s="413">
        <v>1</v>
      </c>
      <c r="T324" s="414">
        <f>+HLOOKUP(B324,[238]Hoja1!$2:$78,27,FALSE)</f>
        <v>0.50800000000000012</v>
      </c>
      <c r="V324" s="453">
        <f t="shared" si="39"/>
        <v>0.50800000000000012</v>
      </c>
      <c r="Y324" s="439">
        <f t="shared" si="45"/>
        <v>2.5400000000000005</v>
      </c>
      <c r="Z324" s="439">
        <f t="shared" si="41"/>
        <v>2.5400000000000005</v>
      </c>
    </row>
    <row r="325" spans="1:26" ht="25.5">
      <c r="A325" s="453">
        <f t="shared" si="42"/>
        <v>2.0499999999999998</v>
      </c>
      <c r="B325" s="383">
        <v>10</v>
      </c>
      <c r="D325" s="406"/>
      <c r="E325" s="407"/>
      <c r="F325" s="407"/>
      <c r="G325" s="407"/>
      <c r="H325" s="407"/>
      <c r="I325" s="407"/>
      <c r="J325" s="408" t="s">
        <v>413</v>
      </c>
      <c r="K325" s="409" t="str">
        <f t="shared" si="40"/>
        <v>V=(Ancho x Largo x Alto)* Cant</v>
      </c>
      <c r="L325" s="410" t="str">
        <f>+L324</f>
        <v>M3</v>
      </c>
      <c r="M325" s="411"/>
      <c r="N325" s="412"/>
      <c r="O325" s="442"/>
      <c r="P325" s="442"/>
      <c r="Q325" s="413"/>
      <c r="R325" s="413"/>
      <c r="S325" s="413"/>
      <c r="T325" s="414">
        <f>+HLOOKUP(B325,[238]Hoja1!$2:$78,27,FALSE)</f>
        <v>0</v>
      </c>
      <c r="V325" s="453">
        <f t="shared" si="39"/>
        <v>0</v>
      </c>
      <c r="Y325" s="439">
        <f t="shared" si="45"/>
        <v>0</v>
      </c>
      <c r="Z325" s="439">
        <f t="shared" si="41"/>
        <v>0</v>
      </c>
    </row>
    <row r="326" spans="1:26" ht="25.5">
      <c r="A326" s="453">
        <f t="shared" si="42"/>
        <v>2.0499999999999998</v>
      </c>
      <c r="B326" s="383">
        <v>11</v>
      </c>
      <c r="D326" s="406"/>
      <c r="E326" s="407"/>
      <c r="F326" s="407"/>
      <c r="G326" s="407"/>
      <c r="H326" s="407"/>
      <c r="I326" s="407"/>
      <c r="J326" s="408" t="s">
        <v>414</v>
      </c>
      <c r="K326" s="409" t="str">
        <f t="shared" si="40"/>
        <v>V=(Ancho x Largo x Alto)* Cant</v>
      </c>
      <c r="L326" s="410" t="str">
        <f>+L325</f>
        <v>M3</v>
      </c>
      <c r="M326" s="411"/>
      <c r="N326" s="412"/>
      <c r="O326" s="442"/>
      <c r="P326" s="442"/>
      <c r="Q326" s="413"/>
      <c r="R326" s="413"/>
      <c r="S326" s="413"/>
      <c r="T326" s="414">
        <f>+HLOOKUP(B326,[238]Hoja1!$2:$78,27,FALSE)</f>
        <v>0</v>
      </c>
      <c r="V326" s="453">
        <f t="shared" si="39"/>
        <v>0</v>
      </c>
      <c r="Y326" s="439">
        <f t="shared" si="45"/>
        <v>0</v>
      </c>
      <c r="Z326" s="439">
        <f t="shared" si="41"/>
        <v>0</v>
      </c>
    </row>
    <row r="327" spans="1:26" ht="25.5">
      <c r="A327" s="453">
        <f t="shared" si="42"/>
        <v>2.0499999999999998</v>
      </c>
      <c r="B327" s="383">
        <v>12</v>
      </c>
      <c r="D327" s="406"/>
      <c r="E327" s="407"/>
      <c r="F327" s="407"/>
      <c r="G327" s="407"/>
      <c r="H327" s="407"/>
      <c r="I327" s="407"/>
      <c r="J327" s="408" t="s">
        <v>415</v>
      </c>
      <c r="K327" s="409" t="str">
        <f t="shared" si="40"/>
        <v>V=(Ancho x Largo x Alto)* Cant</v>
      </c>
      <c r="L327" s="410" t="str">
        <f>+L321</f>
        <v>M3</v>
      </c>
      <c r="M327" s="411"/>
      <c r="N327" s="412"/>
      <c r="O327" s="442"/>
      <c r="P327" s="442"/>
      <c r="Q327" s="413"/>
      <c r="R327" s="413"/>
      <c r="S327" s="413"/>
      <c r="T327" s="414">
        <f>+HLOOKUP(B327,[238]Hoja1!$2:$78,27,FALSE)</f>
        <v>0</v>
      </c>
      <c r="V327" s="453">
        <f t="shared" si="39"/>
        <v>0</v>
      </c>
      <c r="Y327" s="439">
        <f t="shared" si="45"/>
        <v>0</v>
      </c>
      <c r="Z327" s="439">
        <f t="shared" si="41"/>
        <v>0</v>
      </c>
    </row>
    <row r="328" spans="1:26" ht="25.5">
      <c r="A328" s="453">
        <f t="shared" si="42"/>
        <v>2.0499999999999998</v>
      </c>
      <c r="B328" s="383">
        <v>13</v>
      </c>
      <c r="D328" s="406"/>
      <c r="E328" s="407"/>
      <c r="F328" s="407"/>
      <c r="G328" s="407"/>
      <c r="H328" s="407"/>
      <c r="I328" s="407"/>
      <c r="J328" s="408" t="s">
        <v>416</v>
      </c>
      <c r="K328" s="409" t="str">
        <f t="shared" si="40"/>
        <v>V=(Ancho x Largo x Alto)* Cant</v>
      </c>
      <c r="L328" s="410" t="str">
        <f>+L323</f>
        <v>M3</v>
      </c>
      <c r="M328" s="411"/>
      <c r="N328" s="412"/>
      <c r="O328" s="442"/>
      <c r="P328" s="442"/>
      <c r="Q328" s="413"/>
      <c r="R328" s="413"/>
      <c r="S328" s="413"/>
      <c r="T328" s="414">
        <f>+HLOOKUP(B328,[238]Hoja1!$2:$78,27,FALSE)</f>
        <v>0</v>
      </c>
      <c r="V328" s="453">
        <f t="shared" si="39"/>
        <v>0</v>
      </c>
      <c r="Y328" s="439">
        <f t="shared" si="45"/>
        <v>0</v>
      </c>
      <c r="Z328" s="439">
        <f t="shared" si="41"/>
        <v>0</v>
      </c>
    </row>
    <row r="329" spans="1:26" ht="25.5">
      <c r="A329" s="453">
        <f t="shared" si="42"/>
        <v>2.0499999999999998</v>
      </c>
      <c r="B329" s="383">
        <v>14</v>
      </c>
      <c r="D329" s="406"/>
      <c r="E329" s="407"/>
      <c r="F329" s="407"/>
      <c r="G329" s="407"/>
      <c r="H329" s="407"/>
      <c r="I329" s="407"/>
      <c r="J329" s="408" t="s">
        <v>417</v>
      </c>
      <c r="K329" s="409" t="str">
        <f t="shared" si="40"/>
        <v>V=(Ancho x Largo x Alto)* Cant</v>
      </c>
      <c r="L329" s="410" t="str">
        <f t="shared" ref="L329:L340" si="46">+L328</f>
        <v>M3</v>
      </c>
      <c r="M329" s="411"/>
      <c r="N329" s="412"/>
      <c r="O329" s="442">
        <v>0.2</v>
      </c>
      <c r="P329" s="442">
        <f t="shared" si="43"/>
        <v>12.700000000000001</v>
      </c>
      <c r="Q329" s="413">
        <v>0.2</v>
      </c>
      <c r="R329" s="413">
        <f t="shared" si="44"/>
        <v>0.50800000000000012</v>
      </c>
      <c r="S329" s="413">
        <v>1</v>
      </c>
      <c r="T329" s="414">
        <f>+HLOOKUP(B329,[238]Hoja1!$2:$78,27,FALSE)</f>
        <v>0.50800000000000012</v>
      </c>
      <c r="V329" s="453">
        <f t="shared" si="39"/>
        <v>0.50800000000000012</v>
      </c>
      <c r="Y329" s="439">
        <f t="shared" si="45"/>
        <v>2.5400000000000005</v>
      </c>
      <c r="Z329" s="439">
        <f t="shared" si="41"/>
        <v>2.5400000000000005</v>
      </c>
    </row>
    <row r="330" spans="1:26" ht="25.5">
      <c r="A330" s="453">
        <f t="shared" si="42"/>
        <v>2.0499999999999998</v>
      </c>
      <c r="B330" s="383">
        <v>15</v>
      </c>
      <c r="D330" s="406"/>
      <c r="E330" s="407"/>
      <c r="F330" s="407"/>
      <c r="G330" s="407"/>
      <c r="H330" s="407"/>
      <c r="I330" s="407"/>
      <c r="J330" s="408" t="s">
        <v>418</v>
      </c>
      <c r="K330" s="409" t="str">
        <f t="shared" si="40"/>
        <v>V=(Ancho x Largo x Alto)* Cant</v>
      </c>
      <c r="L330" s="410" t="str">
        <f t="shared" si="46"/>
        <v>M3</v>
      </c>
      <c r="M330" s="411"/>
      <c r="N330" s="412"/>
      <c r="O330" s="442"/>
      <c r="P330" s="442"/>
      <c r="Q330" s="413"/>
      <c r="R330" s="413"/>
      <c r="S330" s="413"/>
      <c r="T330" s="414">
        <f>+HLOOKUP(B330,[238]Hoja1!$2:$78,27,FALSE)</f>
        <v>0</v>
      </c>
      <c r="V330" s="453">
        <f t="shared" si="39"/>
        <v>0</v>
      </c>
      <c r="Y330" s="439">
        <f t="shared" si="45"/>
        <v>0</v>
      </c>
      <c r="Z330" s="439">
        <f t="shared" si="41"/>
        <v>0</v>
      </c>
    </row>
    <row r="331" spans="1:26" ht="25.5">
      <c r="A331" s="453">
        <f t="shared" si="42"/>
        <v>2.0499999999999998</v>
      </c>
      <c r="B331" s="383">
        <v>16</v>
      </c>
      <c r="D331" s="406"/>
      <c r="E331" s="407"/>
      <c r="F331" s="407"/>
      <c r="G331" s="407"/>
      <c r="H331" s="407"/>
      <c r="I331" s="407"/>
      <c r="J331" s="408" t="s">
        <v>419</v>
      </c>
      <c r="K331" s="409" t="str">
        <f t="shared" si="40"/>
        <v>V=(Ancho x Largo x Alto)* Cant</v>
      </c>
      <c r="L331" s="410" t="str">
        <f t="shared" si="46"/>
        <v>M3</v>
      </c>
      <c r="M331" s="411"/>
      <c r="N331" s="412"/>
      <c r="O331" s="442"/>
      <c r="P331" s="442"/>
      <c r="Q331" s="413"/>
      <c r="R331" s="413"/>
      <c r="S331" s="413"/>
      <c r="T331" s="414">
        <f>+HLOOKUP(B331,[238]Hoja1!$2:$78,27,FALSE)</f>
        <v>0</v>
      </c>
      <c r="V331" s="453">
        <f t="shared" si="39"/>
        <v>0</v>
      </c>
      <c r="Y331" s="439">
        <f t="shared" si="45"/>
        <v>0</v>
      </c>
      <c r="Z331" s="439">
        <f t="shared" si="41"/>
        <v>0</v>
      </c>
    </row>
    <row r="332" spans="1:26" ht="25.5">
      <c r="A332" s="453">
        <f t="shared" si="42"/>
        <v>2.0499999999999998</v>
      </c>
      <c r="B332" s="383">
        <v>17</v>
      </c>
      <c r="D332" s="406"/>
      <c r="E332" s="407"/>
      <c r="F332" s="407"/>
      <c r="G332" s="407"/>
      <c r="H332" s="407"/>
      <c r="I332" s="407"/>
      <c r="J332" s="408" t="s">
        <v>420</v>
      </c>
      <c r="K332" s="409" t="str">
        <f t="shared" si="40"/>
        <v>V=(Ancho x Largo x Alto)* Cant</v>
      </c>
      <c r="L332" s="410" t="str">
        <f t="shared" si="46"/>
        <v>M3</v>
      </c>
      <c r="M332" s="411"/>
      <c r="N332" s="412"/>
      <c r="O332" s="442"/>
      <c r="P332" s="442"/>
      <c r="Q332" s="413"/>
      <c r="R332" s="413"/>
      <c r="S332" s="413"/>
      <c r="T332" s="414">
        <f>+HLOOKUP(B332,[238]Hoja1!$2:$78,27,FALSE)</f>
        <v>0</v>
      </c>
      <c r="V332" s="453">
        <f t="shared" si="39"/>
        <v>0</v>
      </c>
      <c r="Y332" s="439">
        <f t="shared" si="45"/>
        <v>0</v>
      </c>
      <c r="Z332" s="439">
        <f t="shared" si="41"/>
        <v>0</v>
      </c>
    </row>
    <row r="333" spans="1:26" ht="25.5">
      <c r="A333" s="453">
        <f t="shared" si="42"/>
        <v>2.0499999999999998</v>
      </c>
      <c r="B333" s="383">
        <v>18</v>
      </c>
      <c r="D333" s="406"/>
      <c r="E333" s="407"/>
      <c r="F333" s="407"/>
      <c r="G333" s="407"/>
      <c r="H333" s="407"/>
      <c r="I333" s="407"/>
      <c r="J333" s="408" t="s">
        <v>429</v>
      </c>
      <c r="K333" s="409" t="str">
        <f t="shared" si="40"/>
        <v>V=(Ancho x Largo x Alto)* Cant</v>
      </c>
      <c r="L333" s="410" t="str">
        <f t="shared" si="46"/>
        <v>M3</v>
      </c>
      <c r="M333" s="411"/>
      <c r="N333" s="412"/>
      <c r="O333" s="442">
        <v>0.2</v>
      </c>
      <c r="P333" s="442">
        <f t="shared" si="43"/>
        <v>16.049999999999997</v>
      </c>
      <c r="Q333" s="413">
        <v>0.2</v>
      </c>
      <c r="R333" s="413">
        <f t="shared" si="44"/>
        <v>0.6419999999999999</v>
      </c>
      <c r="S333" s="413">
        <v>1</v>
      </c>
      <c r="T333" s="414">
        <f>+HLOOKUP(B333,[238]Hoja1!$2:$78,27,FALSE)</f>
        <v>0.6419999999999999</v>
      </c>
      <c r="V333" s="453">
        <f t="shared" si="39"/>
        <v>0.6419999999999999</v>
      </c>
      <c r="Y333" s="439">
        <f t="shared" si="45"/>
        <v>3.2099999999999995</v>
      </c>
      <c r="Z333" s="439">
        <f t="shared" si="41"/>
        <v>3.2099999999999995</v>
      </c>
    </row>
    <row r="334" spans="1:26" ht="25.5">
      <c r="A334" s="453">
        <f t="shared" si="42"/>
        <v>2.0499999999999998</v>
      </c>
      <c r="B334" s="383">
        <v>19</v>
      </c>
      <c r="D334" s="406"/>
      <c r="E334" s="407"/>
      <c r="F334" s="407"/>
      <c r="G334" s="407"/>
      <c r="H334" s="407"/>
      <c r="I334" s="407"/>
      <c r="J334" s="408" t="s">
        <v>430</v>
      </c>
      <c r="K334" s="409" t="str">
        <f t="shared" si="40"/>
        <v>V=(Ancho x Largo x Alto)* Cant</v>
      </c>
      <c r="L334" s="410" t="str">
        <f t="shared" si="46"/>
        <v>M3</v>
      </c>
      <c r="M334" s="411"/>
      <c r="N334" s="412"/>
      <c r="O334" s="442">
        <v>0.2</v>
      </c>
      <c r="P334" s="442">
        <f t="shared" si="43"/>
        <v>12.700000000000001</v>
      </c>
      <c r="Q334" s="413">
        <v>0.2</v>
      </c>
      <c r="R334" s="413">
        <f t="shared" si="44"/>
        <v>0.50800000000000012</v>
      </c>
      <c r="S334" s="413">
        <v>1</v>
      </c>
      <c r="T334" s="414">
        <f>+HLOOKUP(B334,[238]Hoja1!$2:$78,27,FALSE)</f>
        <v>0.50800000000000012</v>
      </c>
      <c r="V334" s="453">
        <f t="shared" si="39"/>
        <v>0.50800000000000012</v>
      </c>
      <c r="Y334" s="439">
        <f t="shared" si="45"/>
        <v>2.5400000000000005</v>
      </c>
      <c r="Z334" s="439">
        <f t="shared" si="41"/>
        <v>2.5400000000000005</v>
      </c>
    </row>
    <row r="335" spans="1:26" ht="25.5">
      <c r="A335" s="453">
        <f t="shared" si="42"/>
        <v>2.0499999999999998</v>
      </c>
      <c r="B335" s="383">
        <v>20</v>
      </c>
      <c r="D335" s="406"/>
      <c r="E335" s="407"/>
      <c r="F335" s="407"/>
      <c r="G335" s="407"/>
      <c r="H335" s="407"/>
      <c r="I335" s="407"/>
      <c r="J335" s="408" t="s">
        <v>431</v>
      </c>
      <c r="K335" s="409" t="str">
        <f t="shared" si="40"/>
        <v>V=(Ancho x Largo x Alto)* Cant</v>
      </c>
      <c r="L335" s="410" t="str">
        <f t="shared" si="46"/>
        <v>M3</v>
      </c>
      <c r="M335" s="411"/>
      <c r="N335" s="412"/>
      <c r="O335" s="442"/>
      <c r="P335" s="442"/>
      <c r="Q335" s="413"/>
      <c r="R335" s="413"/>
      <c r="S335" s="413"/>
      <c r="T335" s="414">
        <f>+HLOOKUP(B335,[238]Hoja1!$2:$78,27,FALSE)</f>
        <v>0</v>
      </c>
      <c r="V335" s="453">
        <f t="shared" si="39"/>
        <v>0</v>
      </c>
      <c r="Y335" s="439">
        <f t="shared" si="45"/>
        <v>0</v>
      </c>
      <c r="Z335" s="439">
        <f t="shared" si="41"/>
        <v>0</v>
      </c>
    </row>
    <row r="336" spans="1:26" ht="25.5">
      <c r="A336" s="453">
        <f t="shared" si="42"/>
        <v>2.0499999999999998</v>
      </c>
      <c r="B336" s="383">
        <v>21</v>
      </c>
      <c r="D336" s="406"/>
      <c r="E336" s="407"/>
      <c r="F336" s="407"/>
      <c r="G336" s="407"/>
      <c r="H336" s="407"/>
      <c r="I336" s="407"/>
      <c r="J336" s="408" t="s">
        <v>432</v>
      </c>
      <c r="K336" s="409" t="str">
        <f t="shared" si="40"/>
        <v>V=(Ancho x Largo x Alto)* Cant</v>
      </c>
      <c r="L336" s="410" t="str">
        <f t="shared" si="46"/>
        <v>M3</v>
      </c>
      <c r="M336" s="411"/>
      <c r="N336" s="412"/>
      <c r="O336" s="442"/>
      <c r="P336" s="442"/>
      <c r="Q336" s="413"/>
      <c r="R336" s="413"/>
      <c r="S336" s="413"/>
      <c r="T336" s="414">
        <f>+HLOOKUP(B336,[238]Hoja1!$2:$78,27,FALSE)</f>
        <v>0</v>
      </c>
      <c r="V336" s="453">
        <f t="shared" si="39"/>
        <v>0</v>
      </c>
      <c r="Y336" s="439">
        <f t="shared" si="45"/>
        <v>0</v>
      </c>
      <c r="Z336" s="439">
        <f t="shared" si="41"/>
        <v>0</v>
      </c>
    </row>
    <row r="337" spans="1:26" ht="25.5">
      <c r="A337" s="453">
        <f t="shared" si="42"/>
        <v>2.0499999999999998</v>
      </c>
      <c r="B337" s="383">
        <v>22</v>
      </c>
      <c r="D337" s="406"/>
      <c r="E337" s="407"/>
      <c r="F337" s="407"/>
      <c r="G337" s="407"/>
      <c r="H337" s="407"/>
      <c r="I337" s="407"/>
      <c r="J337" s="408" t="s">
        <v>433</v>
      </c>
      <c r="K337" s="409" t="str">
        <f t="shared" si="40"/>
        <v>V=(Ancho x Largo x Alto)* Cant</v>
      </c>
      <c r="L337" s="410" t="str">
        <f t="shared" si="46"/>
        <v>M3</v>
      </c>
      <c r="M337" s="411"/>
      <c r="N337" s="412"/>
      <c r="O337" s="442">
        <v>0.2</v>
      </c>
      <c r="P337" s="442">
        <f t="shared" si="43"/>
        <v>12.700000000000001</v>
      </c>
      <c r="Q337" s="413">
        <v>0.2</v>
      </c>
      <c r="R337" s="413">
        <f t="shared" si="44"/>
        <v>0.50800000000000012</v>
      </c>
      <c r="S337" s="413">
        <v>1</v>
      </c>
      <c r="T337" s="414">
        <f>+HLOOKUP(B337,[238]Hoja1!$2:$78,27,FALSE)</f>
        <v>0.50800000000000012</v>
      </c>
      <c r="V337" s="453">
        <f t="shared" si="39"/>
        <v>0.50800000000000012</v>
      </c>
      <c r="Y337" s="439">
        <f t="shared" si="45"/>
        <v>2.5400000000000005</v>
      </c>
      <c r="Z337" s="439">
        <f t="shared" si="41"/>
        <v>2.5400000000000005</v>
      </c>
    </row>
    <row r="338" spans="1:26" ht="25.5">
      <c r="A338" s="453">
        <f t="shared" si="42"/>
        <v>2.0499999999999998</v>
      </c>
      <c r="B338" s="383">
        <v>23</v>
      </c>
      <c r="D338" s="406"/>
      <c r="E338" s="407"/>
      <c r="F338" s="407"/>
      <c r="G338" s="407"/>
      <c r="H338" s="407"/>
      <c r="I338" s="407"/>
      <c r="J338" s="408" t="s">
        <v>434</v>
      </c>
      <c r="K338" s="409" t="str">
        <f t="shared" si="40"/>
        <v>V=(Ancho x Largo x Alto)* Cant</v>
      </c>
      <c r="L338" s="410" t="str">
        <f t="shared" si="46"/>
        <v>M3</v>
      </c>
      <c r="M338" s="411"/>
      <c r="N338" s="412"/>
      <c r="O338" s="442"/>
      <c r="P338" s="442"/>
      <c r="Q338" s="413"/>
      <c r="R338" s="413"/>
      <c r="S338" s="413"/>
      <c r="T338" s="414">
        <f>+HLOOKUP(B338,[238]Hoja1!$2:$78,27,FALSE)</f>
        <v>0</v>
      </c>
      <c r="V338" s="453">
        <f t="shared" si="39"/>
        <v>0</v>
      </c>
      <c r="Y338" s="439">
        <f t="shared" si="45"/>
        <v>0</v>
      </c>
      <c r="Z338" s="439">
        <f t="shared" si="41"/>
        <v>0</v>
      </c>
    </row>
    <row r="339" spans="1:26" ht="25.5">
      <c r="A339" s="453">
        <f t="shared" si="42"/>
        <v>2.0499999999999998</v>
      </c>
      <c r="B339" s="383">
        <v>24</v>
      </c>
      <c r="D339" s="406"/>
      <c r="E339" s="407"/>
      <c r="F339" s="407"/>
      <c r="G339" s="407"/>
      <c r="H339" s="407"/>
      <c r="I339" s="407"/>
      <c r="J339" s="408" t="s">
        <v>435</v>
      </c>
      <c r="K339" s="409" t="str">
        <f t="shared" si="40"/>
        <v>V=(Ancho x Largo x Alto)* Cant</v>
      </c>
      <c r="L339" s="410" t="str">
        <f t="shared" si="46"/>
        <v>M3</v>
      </c>
      <c r="M339" s="411"/>
      <c r="N339" s="412"/>
      <c r="O339" s="442"/>
      <c r="P339" s="442"/>
      <c r="Q339" s="413"/>
      <c r="R339" s="413"/>
      <c r="S339" s="413"/>
      <c r="T339" s="414">
        <f>+HLOOKUP(B339,[238]Hoja1!$2:$78,27,FALSE)</f>
        <v>0</v>
      </c>
      <c r="V339" s="453">
        <f t="shared" si="39"/>
        <v>0</v>
      </c>
      <c r="Y339" s="439">
        <f t="shared" si="45"/>
        <v>0</v>
      </c>
      <c r="Z339" s="439">
        <f t="shared" si="41"/>
        <v>0</v>
      </c>
    </row>
    <row r="340" spans="1:26" ht="25.5">
      <c r="A340" s="453">
        <f t="shared" si="42"/>
        <v>2.0499999999999998</v>
      </c>
      <c r="B340" s="383">
        <v>25</v>
      </c>
      <c r="D340" s="406"/>
      <c r="E340" s="407"/>
      <c r="F340" s="407"/>
      <c r="G340" s="407"/>
      <c r="H340" s="407"/>
      <c r="I340" s="407"/>
      <c r="J340" s="408" t="s">
        <v>436</v>
      </c>
      <c r="K340" s="409" t="str">
        <f t="shared" si="40"/>
        <v>V=(Ancho x Largo x Alto)* Cant</v>
      </c>
      <c r="L340" s="410" t="str">
        <f t="shared" si="46"/>
        <v>M3</v>
      </c>
      <c r="M340" s="411"/>
      <c r="N340" s="412"/>
      <c r="O340" s="442"/>
      <c r="P340" s="442"/>
      <c r="Q340" s="413"/>
      <c r="R340" s="413"/>
      <c r="S340" s="413"/>
      <c r="T340" s="414">
        <f>+HLOOKUP(B340,[238]Hoja1!$2:$78,27,FALSE)</f>
        <v>0</v>
      </c>
      <c r="V340" s="453">
        <f t="shared" si="39"/>
        <v>0</v>
      </c>
      <c r="Y340" s="439">
        <f t="shared" si="45"/>
        <v>0</v>
      </c>
      <c r="Z340" s="439">
        <f t="shared" si="41"/>
        <v>0</v>
      </c>
    </row>
    <row r="341" spans="1:26" ht="25.5">
      <c r="A341" s="453">
        <f t="shared" si="42"/>
        <v>2.0499999999999998</v>
      </c>
      <c r="B341" s="383">
        <v>26</v>
      </c>
      <c r="D341" s="406"/>
      <c r="E341" s="407"/>
      <c r="F341" s="407"/>
      <c r="G341" s="407"/>
      <c r="H341" s="407"/>
      <c r="I341" s="407"/>
      <c r="J341" s="408" t="s">
        <v>437</v>
      </c>
      <c r="K341" s="409" t="str">
        <f t="shared" si="40"/>
        <v>V=(Ancho x Largo x Alto)* Cant</v>
      </c>
      <c r="L341" s="410" t="str">
        <f>+L330</f>
        <v>M3</v>
      </c>
      <c r="M341" s="411"/>
      <c r="N341" s="412"/>
      <c r="O341" s="442"/>
      <c r="P341" s="442"/>
      <c r="Q341" s="413"/>
      <c r="R341" s="413"/>
      <c r="S341" s="413"/>
      <c r="T341" s="414">
        <f>+HLOOKUP(B341,[238]Hoja1!$2:$78,27,FALSE)</f>
        <v>0</v>
      </c>
      <c r="V341" s="453">
        <f t="shared" si="39"/>
        <v>0</v>
      </c>
      <c r="Y341" s="439">
        <f t="shared" si="45"/>
        <v>0</v>
      </c>
      <c r="Z341" s="439">
        <f t="shared" si="41"/>
        <v>0</v>
      </c>
    </row>
    <row r="342" spans="1:26" ht="25.5">
      <c r="A342" s="453">
        <f t="shared" si="42"/>
        <v>2.0499999999999998</v>
      </c>
      <c r="B342" s="383">
        <v>27</v>
      </c>
      <c r="D342" s="406"/>
      <c r="E342" s="407"/>
      <c r="F342" s="407"/>
      <c r="G342" s="407"/>
      <c r="H342" s="407"/>
      <c r="I342" s="407"/>
      <c r="J342" s="408" t="s">
        <v>438</v>
      </c>
      <c r="K342" s="409" t="str">
        <f t="shared" si="40"/>
        <v>V=(Ancho x Largo x Alto)* Cant</v>
      </c>
      <c r="L342" s="410" t="str">
        <f t="shared" ref="L342:L350" si="47">+L341</f>
        <v>M3</v>
      </c>
      <c r="M342" s="411"/>
      <c r="N342" s="412"/>
      <c r="O342" s="442">
        <v>0.2</v>
      </c>
      <c r="P342" s="442">
        <f t="shared" si="43"/>
        <v>12.700000000000001</v>
      </c>
      <c r="Q342" s="413">
        <v>0.2</v>
      </c>
      <c r="R342" s="413">
        <f t="shared" si="44"/>
        <v>0.50800000000000012</v>
      </c>
      <c r="S342" s="413">
        <v>1</v>
      </c>
      <c r="T342" s="414">
        <f>+HLOOKUP(B342,[238]Hoja1!$2:$78,27,FALSE)</f>
        <v>0.50800000000000012</v>
      </c>
      <c r="V342" s="453">
        <f t="shared" si="39"/>
        <v>0.50800000000000012</v>
      </c>
      <c r="Y342" s="439">
        <f t="shared" si="45"/>
        <v>2.5400000000000005</v>
      </c>
      <c r="Z342" s="439">
        <f t="shared" si="41"/>
        <v>2.5400000000000005</v>
      </c>
    </row>
    <row r="343" spans="1:26" ht="25.5">
      <c r="A343" s="453">
        <f t="shared" si="42"/>
        <v>2.0499999999999998</v>
      </c>
      <c r="B343" s="383">
        <v>28</v>
      </c>
      <c r="D343" s="406"/>
      <c r="E343" s="440"/>
      <c r="F343" s="407"/>
      <c r="G343" s="407"/>
      <c r="H343" s="407"/>
      <c r="I343" s="437"/>
      <c r="J343" s="408" t="s">
        <v>439</v>
      </c>
      <c r="K343" s="409" t="str">
        <f t="shared" si="40"/>
        <v>V=(Ancho x Largo x Alto)* Cant</v>
      </c>
      <c r="L343" s="410" t="str">
        <f t="shared" si="47"/>
        <v>M3</v>
      </c>
      <c r="M343" s="411"/>
      <c r="N343" s="412"/>
      <c r="O343" s="442"/>
      <c r="P343" s="442"/>
      <c r="Q343" s="413"/>
      <c r="R343" s="413"/>
      <c r="S343" s="413"/>
      <c r="T343" s="414">
        <f>+HLOOKUP(B343,[238]Hoja1!$2:$78,27,FALSE)</f>
        <v>0</v>
      </c>
      <c r="V343" s="453">
        <f t="shared" si="39"/>
        <v>0</v>
      </c>
      <c r="Y343" s="439">
        <f t="shared" si="45"/>
        <v>0</v>
      </c>
      <c r="Z343" s="439">
        <f t="shared" si="41"/>
        <v>0</v>
      </c>
    </row>
    <row r="344" spans="1:26" ht="25.5">
      <c r="A344" s="453">
        <f t="shared" si="42"/>
        <v>2.0499999999999998</v>
      </c>
      <c r="B344" s="383">
        <v>29</v>
      </c>
      <c r="D344" s="406"/>
      <c r="E344" s="407"/>
      <c r="F344" s="407"/>
      <c r="G344" s="407"/>
      <c r="H344" s="407"/>
      <c r="I344" s="407"/>
      <c r="J344" s="408" t="s">
        <v>440</v>
      </c>
      <c r="K344" s="409" t="str">
        <f t="shared" si="40"/>
        <v>V=(Ancho x Largo x Alto)* Cant</v>
      </c>
      <c r="L344" s="410" t="str">
        <f t="shared" si="47"/>
        <v>M3</v>
      </c>
      <c r="M344" s="411"/>
      <c r="N344" s="412"/>
      <c r="O344" s="442"/>
      <c r="P344" s="442"/>
      <c r="Q344" s="413"/>
      <c r="R344" s="413"/>
      <c r="S344" s="413"/>
      <c r="T344" s="414">
        <f>+HLOOKUP(B344,[238]Hoja1!$2:$78,27,FALSE)</f>
        <v>0</v>
      </c>
      <c r="V344" s="453">
        <f t="shared" si="39"/>
        <v>0</v>
      </c>
      <c r="Y344" s="439">
        <f t="shared" si="45"/>
        <v>0</v>
      </c>
      <c r="Z344" s="439">
        <f t="shared" si="41"/>
        <v>0</v>
      </c>
    </row>
    <row r="345" spans="1:26" ht="25.5">
      <c r="A345" s="453">
        <f t="shared" si="42"/>
        <v>2.0499999999999998</v>
      </c>
      <c r="B345" s="383">
        <v>30</v>
      </c>
      <c r="D345" s="406"/>
      <c r="E345" s="407"/>
      <c r="F345" s="407"/>
      <c r="G345" s="407"/>
      <c r="H345" s="407"/>
      <c r="I345" s="407"/>
      <c r="J345" s="408" t="s">
        <v>441</v>
      </c>
      <c r="K345" s="409" t="str">
        <f t="shared" si="40"/>
        <v>V=(Ancho x Largo x Alto)* Cant</v>
      </c>
      <c r="L345" s="410" t="str">
        <f t="shared" si="47"/>
        <v>M3</v>
      </c>
      <c r="M345" s="411"/>
      <c r="N345" s="412"/>
      <c r="O345" s="442">
        <v>0.2</v>
      </c>
      <c r="P345" s="442">
        <f t="shared" si="43"/>
        <v>12.2</v>
      </c>
      <c r="Q345" s="413">
        <v>0.2</v>
      </c>
      <c r="R345" s="413">
        <f t="shared" si="44"/>
        <v>0.48799999999999999</v>
      </c>
      <c r="S345" s="413">
        <v>1</v>
      </c>
      <c r="T345" s="414">
        <f>+HLOOKUP(B345,[238]Hoja1!$2:$78,27,FALSE)</f>
        <v>0.48799999999999999</v>
      </c>
      <c r="V345" s="453">
        <f t="shared" si="39"/>
        <v>0.48799999999999999</v>
      </c>
      <c r="Y345" s="439">
        <f t="shared" si="45"/>
        <v>2.44</v>
      </c>
      <c r="Z345" s="439">
        <f t="shared" si="41"/>
        <v>2.44</v>
      </c>
    </row>
    <row r="346" spans="1:26" ht="25.5">
      <c r="A346" s="453">
        <f t="shared" si="42"/>
        <v>2.0499999999999998</v>
      </c>
      <c r="B346" s="383">
        <v>31</v>
      </c>
      <c r="D346" s="406"/>
      <c r="E346" s="407"/>
      <c r="F346" s="407"/>
      <c r="G346" s="407"/>
      <c r="H346" s="407"/>
      <c r="I346" s="407"/>
      <c r="J346" s="408" t="s">
        <v>442</v>
      </c>
      <c r="K346" s="409" t="str">
        <f t="shared" si="40"/>
        <v>V=(Ancho x Largo x Alto)* Cant</v>
      </c>
      <c r="L346" s="410" t="str">
        <f t="shared" si="47"/>
        <v>M3</v>
      </c>
      <c r="M346" s="411"/>
      <c r="N346" s="412"/>
      <c r="O346" s="442"/>
      <c r="P346" s="442"/>
      <c r="Q346" s="413"/>
      <c r="R346" s="413"/>
      <c r="S346" s="413"/>
      <c r="T346" s="414">
        <f>+HLOOKUP(B346,[238]Hoja1!$2:$78,27,FALSE)</f>
        <v>0</v>
      </c>
      <c r="V346" s="453">
        <f t="shared" si="39"/>
        <v>0</v>
      </c>
      <c r="Y346" s="439">
        <f t="shared" si="45"/>
        <v>0</v>
      </c>
      <c r="Z346" s="439">
        <f t="shared" si="41"/>
        <v>0</v>
      </c>
    </row>
    <row r="347" spans="1:26" ht="25.5">
      <c r="A347" s="453">
        <f t="shared" si="42"/>
        <v>2.0499999999999998</v>
      </c>
      <c r="B347" s="383">
        <v>32</v>
      </c>
      <c r="D347" s="406"/>
      <c r="E347" s="407"/>
      <c r="F347" s="407"/>
      <c r="G347" s="407"/>
      <c r="H347" s="407"/>
      <c r="I347" s="407"/>
      <c r="J347" s="408" t="s">
        <v>443</v>
      </c>
      <c r="K347" s="409" t="str">
        <f t="shared" si="40"/>
        <v>V=(Ancho x Largo x Alto)* Cant</v>
      </c>
      <c r="L347" s="410" t="str">
        <f t="shared" si="47"/>
        <v>M3</v>
      </c>
      <c r="M347" s="411"/>
      <c r="N347" s="412"/>
      <c r="O347" s="442">
        <v>0.2</v>
      </c>
      <c r="P347" s="442">
        <f t="shared" si="43"/>
        <v>13.44</v>
      </c>
      <c r="Q347" s="413">
        <v>0.2</v>
      </c>
      <c r="R347" s="413">
        <f t="shared" si="44"/>
        <v>0.53760000000000008</v>
      </c>
      <c r="S347" s="413">
        <v>1</v>
      </c>
      <c r="T347" s="414">
        <f>+HLOOKUP(B347,[238]Hoja1!$2:$78,27,FALSE)</f>
        <v>0.53760000000000008</v>
      </c>
      <c r="V347" s="453">
        <f t="shared" si="39"/>
        <v>0.53760000000000008</v>
      </c>
      <c r="Y347" s="439">
        <f t="shared" si="45"/>
        <v>2.6880000000000002</v>
      </c>
      <c r="Z347" s="439">
        <f t="shared" si="41"/>
        <v>2.6880000000000002</v>
      </c>
    </row>
    <row r="348" spans="1:26" ht="25.5">
      <c r="A348" s="453">
        <f t="shared" si="42"/>
        <v>2.0499999999999998</v>
      </c>
      <c r="B348" s="383">
        <v>33</v>
      </c>
      <c r="D348" s="406"/>
      <c r="E348" s="407"/>
      <c r="F348" s="407"/>
      <c r="G348" s="407"/>
      <c r="H348" s="407"/>
      <c r="I348" s="407"/>
      <c r="J348" s="408" t="s">
        <v>444</v>
      </c>
      <c r="K348" s="409" t="str">
        <f t="shared" si="40"/>
        <v>V=(Ancho x Largo x Alto)* Cant</v>
      </c>
      <c r="L348" s="410" t="str">
        <f t="shared" si="47"/>
        <v>M3</v>
      </c>
      <c r="M348" s="411"/>
      <c r="N348" s="412"/>
      <c r="O348" s="442"/>
      <c r="P348" s="442"/>
      <c r="Q348" s="413"/>
      <c r="R348" s="413"/>
      <c r="S348" s="413"/>
      <c r="T348" s="414">
        <f>+HLOOKUP(B348,[238]Hoja1!$2:$78,27,FALSE)</f>
        <v>0</v>
      </c>
      <c r="V348" s="453">
        <f t="shared" si="39"/>
        <v>0</v>
      </c>
      <c r="Y348" s="439">
        <f t="shared" si="45"/>
        <v>0</v>
      </c>
      <c r="Z348" s="439">
        <f t="shared" si="41"/>
        <v>0</v>
      </c>
    </row>
    <row r="349" spans="1:26" ht="25.5">
      <c r="A349" s="453">
        <f t="shared" si="42"/>
        <v>2.0499999999999998</v>
      </c>
      <c r="B349" s="383">
        <v>34</v>
      </c>
      <c r="D349" s="406"/>
      <c r="E349" s="407"/>
      <c r="F349" s="407"/>
      <c r="G349" s="407"/>
      <c r="H349" s="407"/>
      <c r="I349" s="407"/>
      <c r="J349" s="408" t="s">
        <v>445</v>
      </c>
      <c r="K349" s="409" t="str">
        <f t="shared" si="40"/>
        <v>V=(Ancho x Largo x Alto)* Cant</v>
      </c>
      <c r="L349" s="410" t="str">
        <f t="shared" si="47"/>
        <v>M3</v>
      </c>
      <c r="M349" s="411"/>
      <c r="N349" s="412"/>
      <c r="O349" s="442"/>
      <c r="P349" s="442"/>
      <c r="Q349" s="413"/>
      <c r="R349" s="413"/>
      <c r="S349" s="413"/>
      <c r="T349" s="414">
        <f>+HLOOKUP(B349,[238]Hoja1!$2:$78,27,FALSE)</f>
        <v>0</v>
      </c>
      <c r="V349" s="453">
        <f t="shared" si="39"/>
        <v>0</v>
      </c>
      <c r="Y349" s="439">
        <f t="shared" si="45"/>
        <v>0</v>
      </c>
      <c r="Z349" s="439">
        <f t="shared" si="41"/>
        <v>0</v>
      </c>
    </row>
    <row r="350" spans="1:26" ht="25.5">
      <c r="A350" s="453">
        <f t="shared" si="42"/>
        <v>2.0499999999999998</v>
      </c>
      <c r="B350" s="383">
        <v>35</v>
      </c>
      <c r="D350" s="406"/>
      <c r="E350" s="440"/>
      <c r="F350" s="407"/>
      <c r="G350" s="407"/>
      <c r="H350" s="407"/>
      <c r="I350" s="437"/>
      <c r="J350" s="408" t="s">
        <v>446</v>
      </c>
      <c r="K350" s="409" t="str">
        <f t="shared" si="40"/>
        <v>V=(Ancho x Largo x Alto)* Cant</v>
      </c>
      <c r="L350" s="410" t="str">
        <f t="shared" si="47"/>
        <v>M3</v>
      </c>
      <c r="M350" s="411"/>
      <c r="N350" s="412"/>
      <c r="O350" s="442"/>
      <c r="P350" s="442"/>
      <c r="Q350" s="413"/>
      <c r="R350" s="413"/>
      <c r="S350" s="413"/>
      <c r="T350" s="414">
        <f>+HLOOKUP(B350,[238]Hoja1!$2:$78,27,FALSE)</f>
        <v>0</v>
      </c>
      <c r="V350" s="453">
        <f t="shared" si="39"/>
        <v>0</v>
      </c>
      <c r="Y350" s="439">
        <f t="shared" si="45"/>
        <v>0</v>
      </c>
      <c r="Z350" s="439">
        <f t="shared" si="41"/>
        <v>0</v>
      </c>
    </row>
    <row r="351" spans="1:26" ht="25.5">
      <c r="A351" s="453">
        <f t="shared" si="42"/>
        <v>2.0499999999999998</v>
      </c>
      <c r="B351" s="383">
        <v>36</v>
      </c>
      <c r="D351" s="406"/>
      <c r="E351" s="407"/>
      <c r="F351" s="407"/>
      <c r="G351" s="407"/>
      <c r="H351" s="407"/>
      <c r="I351" s="407"/>
      <c r="J351" s="408" t="s">
        <v>447</v>
      </c>
      <c r="K351" s="409" t="str">
        <f t="shared" si="40"/>
        <v>V=(Ancho x Largo x Alto)* Cant</v>
      </c>
      <c r="L351" s="410" t="str">
        <f>+L340</f>
        <v>M3</v>
      </c>
      <c r="M351" s="411"/>
      <c r="N351" s="412"/>
      <c r="O351" s="442"/>
      <c r="P351" s="442"/>
      <c r="Q351" s="413"/>
      <c r="R351" s="413"/>
      <c r="S351" s="413"/>
      <c r="T351" s="414">
        <f>+HLOOKUP(B351,[238]Hoja1!$2:$78,27,FALSE)</f>
        <v>0</v>
      </c>
      <c r="V351" s="453">
        <f t="shared" si="39"/>
        <v>0</v>
      </c>
      <c r="Y351" s="439">
        <f t="shared" si="45"/>
        <v>0</v>
      </c>
      <c r="Z351" s="439">
        <f t="shared" si="41"/>
        <v>0</v>
      </c>
    </row>
    <row r="352" spans="1:26" ht="25.5">
      <c r="A352" s="453">
        <f t="shared" si="42"/>
        <v>2.0499999999999998</v>
      </c>
      <c r="B352" s="383">
        <v>37</v>
      </c>
      <c r="D352" s="406"/>
      <c r="E352" s="407"/>
      <c r="F352" s="407"/>
      <c r="G352" s="407"/>
      <c r="H352" s="407"/>
      <c r="I352" s="407"/>
      <c r="J352" s="408" t="s">
        <v>448</v>
      </c>
      <c r="K352" s="409" t="str">
        <f t="shared" si="40"/>
        <v>V=(Ancho x Largo x Alto)* Cant</v>
      </c>
      <c r="L352" s="410" t="str">
        <f t="shared" ref="L352:L358" si="48">+L351</f>
        <v>M3</v>
      </c>
      <c r="M352" s="411"/>
      <c r="N352" s="412"/>
      <c r="O352" s="442">
        <v>0.2</v>
      </c>
      <c r="P352" s="442">
        <f t="shared" si="43"/>
        <v>38.149999999999991</v>
      </c>
      <c r="Q352" s="413">
        <v>0.2</v>
      </c>
      <c r="R352" s="413">
        <f t="shared" si="44"/>
        <v>1.5259999999999998</v>
      </c>
      <c r="S352" s="413">
        <v>1</v>
      </c>
      <c r="T352" s="414">
        <f>+HLOOKUP(B352,[238]Hoja1!$2:$78,27,FALSE)</f>
        <v>1.5259999999999998</v>
      </c>
      <c r="V352" s="453">
        <f t="shared" si="39"/>
        <v>1.5259999999999998</v>
      </c>
      <c r="Y352" s="439">
        <f t="shared" si="45"/>
        <v>7.629999999999999</v>
      </c>
      <c r="Z352" s="439">
        <f t="shared" si="41"/>
        <v>7.629999999999999</v>
      </c>
    </row>
    <row r="353" spans="1:26" ht="25.5">
      <c r="A353" s="453">
        <f t="shared" si="42"/>
        <v>2.0499999999999998</v>
      </c>
      <c r="B353" s="383">
        <v>38</v>
      </c>
      <c r="D353" s="406"/>
      <c r="E353" s="440"/>
      <c r="F353" s="407"/>
      <c r="G353" s="407"/>
      <c r="H353" s="407"/>
      <c r="I353" s="437"/>
      <c r="J353" s="408" t="s">
        <v>449</v>
      </c>
      <c r="K353" s="409" t="str">
        <f t="shared" si="40"/>
        <v>V=(Ancho x Largo x Alto)* Cant</v>
      </c>
      <c r="L353" s="410" t="str">
        <f t="shared" si="48"/>
        <v>M3</v>
      </c>
      <c r="M353" s="411"/>
      <c r="N353" s="412"/>
      <c r="O353" s="442"/>
      <c r="P353" s="442"/>
      <c r="Q353" s="413"/>
      <c r="R353" s="413"/>
      <c r="S353" s="413"/>
      <c r="T353" s="414">
        <f>+HLOOKUP(B353,[238]Hoja1!$2:$78,27,FALSE)</f>
        <v>0</v>
      </c>
      <c r="V353" s="453">
        <f t="shared" si="39"/>
        <v>0</v>
      </c>
      <c r="Y353" s="439">
        <f t="shared" si="45"/>
        <v>0</v>
      </c>
      <c r="Z353" s="439">
        <f t="shared" si="41"/>
        <v>0</v>
      </c>
    </row>
    <row r="354" spans="1:26" ht="25.5">
      <c r="A354" s="453">
        <f t="shared" si="42"/>
        <v>2.0499999999999998</v>
      </c>
      <c r="B354" s="383">
        <v>39</v>
      </c>
      <c r="D354" s="406"/>
      <c r="E354" s="407"/>
      <c r="F354" s="407"/>
      <c r="G354" s="407"/>
      <c r="H354" s="407"/>
      <c r="I354" s="407"/>
      <c r="J354" s="408" t="s">
        <v>450</v>
      </c>
      <c r="K354" s="409" t="str">
        <f t="shared" si="40"/>
        <v>V=(Ancho x Largo x Alto)* Cant</v>
      </c>
      <c r="L354" s="410" t="str">
        <f t="shared" si="48"/>
        <v>M3</v>
      </c>
      <c r="M354" s="411"/>
      <c r="N354" s="412"/>
      <c r="O354" s="442"/>
      <c r="P354" s="442"/>
      <c r="Q354" s="413"/>
      <c r="R354" s="413"/>
      <c r="S354" s="413"/>
      <c r="T354" s="414">
        <f>+HLOOKUP(B354,[238]Hoja1!$2:$78,27,FALSE)</f>
        <v>0</v>
      </c>
      <c r="V354" s="453">
        <f t="shared" si="39"/>
        <v>0</v>
      </c>
      <c r="Y354" s="439">
        <f t="shared" si="45"/>
        <v>0</v>
      </c>
      <c r="Z354" s="439">
        <f t="shared" si="41"/>
        <v>0</v>
      </c>
    </row>
    <row r="355" spans="1:26" ht="25.5">
      <c r="A355" s="453">
        <f t="shared" si="42"/>
        <v>2.0499999999999998</v>
      </c>
      <c r="B355" s="383">
        <v>40</v>
      </c>
      <c r="D355" s="406"/>
      <c r="E355" s="407"/>
      <c r="F355" s="407"/>
      <c r="G355" s="407"/>
      <c r="H355" s="407"/>
      <c r="I355" s="407"/>
      <c r="J355" s="408" t="s">
        <v>451</v>
      </c>
      <c r="K355" s="409" t="str">
        <f t="shared" si="40"/>
        <v>V=(Ancho x Largo x Alto)* Cant</v>
      </c>
      <c r="L355" s="410" t="str">
        <f t="shared" si="48"/>
        <v>M3</v>
      </c>
      <c r="M355" s="411"/>
      <c r="N355" s="412"/>
      <c r="O355" s="442">
        <v>0.2</v>
      </c>
      <c r="P355" s="442">
        <f t="shared" si="43"/>
        <v>13.44</v>
      </c>
      <c r="Q355" s="413">
        <v>0.2</v>
      </c>
      <c r="R355" s="413">
        <f t="shared" si="44"/>
        <v>0.53760000000000008</v>
      </c>
      <c r="S355" s="413">
        <v>1</v>
      </c>
      <c r="T355" s="414">
        <f>+HLOOKUP(B355,[238]Hoja1!$2:$78,27,FALSE)</f>
        <v>0.53760000000000008</v>
      </c>
      <c r="V355" s="453">
        <f t="shared" si="39"/>
        <v>0.53760000000000008</v>
      </c>
      <c r="Y355" s="439">
        <f t="shared" si="45"/>
        <v>2.6880000000000002</v>
      </c>
      <c r="Z355" s="439">
        <f t="shared" si="41"/>
        <v>2.6880000000000002</v>
      </c>
    </row>
    <row r="356" spans="1:26" ht="25.5">
      <c r="A356" s="453">
        <f t="shared" si="42"/>
        <v>2.0499999999999998</v>
      </c>
      <c r="B356" s="383">
        <v>41</v>
      </c>
      <c r="D356" s="406"/>
      <c r="E356" s="407"/>
      <c r="F356" s="407"/>
      <c r="G356" s="407"/>
      <c r="H356" s="407"/>
      <c r="I356" s="407"/>
      <c r="J356" s="408" t="s">
        <v>452</v>
      </c>
      <c r="K356" s="409" t="str">
        <f t="shared" si="40"/>
        <v>V=(Ancho x Largo x Alto)* Cant</v>
      </c>
      <c r="L356" s="410" t="str">
        <f t="shared" si="48"/>
        <v>M3</v>
      </c>
      <c r="M356" s="411"/>
      <c r="N356" s="412"/>
      <c r="O356" s="442">
        <v>0.2</v>
      </c>
      <c r="P356" s="442">
        <f t="shared" si="43"/>
        <v>4.8125</v>
      </c>
      <c r="Q356" s="413">
        <v>0.2</v>
      </c>
      <c r="R356" s="413">
        <f t="shared" si="44"/>
        <v>0.1925</v>
      </c>
      <c r="S356" s="413">
        <v>1</v>
      </c>
      <c r="T356" s="414">
        <f>+HLOOKUP(B356,[238]Hoja1!$2:$78,27,FALSE)</f>
        <v>0.1925</v>
      </c>
      <c r="V356" s="453">
        <f t="shared" si="39"/>
        <v>0.1925</v>
      </c>
      <c r="Y356" s="439">
        <f t="shared" si="45"/>
        <v>0.96250000000000002</v>
      </c>
      <c r="Z356" s="439">
        <f t="shared" si="41"/>
        <v>0.96250000000000002</v>
      </c>
    </row>
    <row r="357" spans="1:26" ht="25.5">
      <c r="A357" s="453">
        <f t="shared" si="42"/>
        <v>2.0499999999999998</v>
      </c>
      <c r="B357" s="383">
        <v>42</v>
      </c>
      <c r="D357" s="406"/>
      <c r="E357" s="407"/>
      <c r="F357" s="407"/>
      <c r="G357" s="407"/>
      <c r="H357" s="407"/>
      <c r="I357" s="407"/>
      <c r="J357" s="408" t="s">
        <v>453</v>
      </c>
      <c r="K357" s="409" t="str">
        <f t="shared" si="40"/>
        <v>V=(Ancho x Largo x Alto)* Cant</v>
      </c>
      <c r="L357" s="410" t="str">
        <f t="shared" si="48"/>
        <v>M3</v>
      </c>
      <c r="M357" s="411"/>
      <c r="N357" s="412"/>
      <c r="O357" s="442"/>
      <c r="P357" s="442"/>
      <c r="Q357" s="413"/>
      <c r="R357" s="413"/>
      <c r="S357" s="413"/>
      <c r="T357" s="414">
        <f>+HLOOKUP(B357,[238]Hoja1!$2:$78,27,FALSE)</f>
        <v>0</v>
      </c>
      <c r="V357" s="453">
        <f t="shared" si="39"/>
        <v>0</v>
      </c>
      <c r="Y357" s="439">
        <f t="shared" si="45"/>
        <v>0</v>
      </c>
      <c r="Z357" s="439">
        <f t="shared" si="41"/>
        <v>0</v>
      </c>
    </row>
    <row r="358" spans="1:26" ht="26.25" thickBot="1">
      <c r="A358" s="453">
        <f t="shared" si="42"/>
        <v>2.0499999999999998</v>
      </c>
      <c r="B358" s="383">
        <v>43</v>
      </c>
      <c r="D358" s="406"/>
      <c r="E358" s="407"/>
      <c r="F358" s="407"/>
      <c r="G358" s="407"/>
      <c r="H358" s="407"/>
      <c r="I358" s="407"/>
      <c r="J358" s="408" t="s">
        <v>454</v>
      </c>
      <c r="K358" s="409" t="str">
        <f t="shared" si="40"/>
        <v>V=(Ancho x Largo x Alto)* Cant</v>
      </c>
      <c r="L358" s="410" t="str">
        <f t="shared" si="48"/>
        <v>M3</v>
      </c>
      <c r="M358" s="411"/>
      <c r="N358" s="412"/>
      <c r="O358" s="442"/>
      <c r="P358" s="442"/>
      <c r="Q358" s="413"/>
      <c r="R358" s="413"/>
      <c r="S358" s="413"/>
      <c r="T358" s="414">
        <f>+HLOOKUP(B358,[238]Hoja1!$2:$78,27,FALSE)</f>
        <v>0</v>
      </c>
      <c r="V358" s="453">
        <f t="shared" si="39"/>
        <v>0</v>
      </c>
      <c r="Y358" s="439">
        <f t="shared" si="45"/>
        <v>0</v>
      </c>
      <c r="Z358" s="439">
        <f t="shared" si="41"/>
        <v>0</v>
      </c>
    </row>
    <row r="359" spans="1:26">
      <c r="D359" s="384"/>
      <c r="E359" s="419"/>
      <c r="F359" s="420"/>
      <c r="G359" s="421"/>
      <c r="H359" s="421"/>
      <c r="I359" s="421"/>
      <c r="J359" s="421"/>
      <c r="K359" s="422"/>
      <c r="L359" s="421"/>
      <c r="M359" s="421"/>
      <c r="N359" s="421"/>
      <c r="O359" s="421"/>
      <c r="P359" s="421"/>
      <c r="Q359" s="421"/>
      <c r="R359" s="421"/>
      <c r="S359" s="422"/>
      <c r="T359" s="423"/>
    </row>
    <row r="360" spans="1:26">
      <c r="D360" s="396"/>
      <c r="E360" s="397"/>
      <c r="F360" s="424"/>
      <c r="G360" s="425"/>
      <c r="H360" s="425"/>
      <c r="I360" s="425"/>
      <c r="J360" s="425"/>
      <c r="K360" s="398"/>
      <c r="L360" s="425"/>
      <c r="M360" s="425"/>
      <c r="N360" s="397"/>
      <c r="O360" s="397"/>
      <c r="P360" s="562" t="s">
        <v>455</v>
      </c>
      <c r="Q360" s="563"/>
      <c r="R360" s="564"/>
      <c r="S360" s="426"/>
      <c r="T360" s="427">
        <f>ROUND(SUM(T316:T359),2)</f>
        <v>9.26</v>
      </c>
    </row>
    <row r="361" spans="1:26">
      <c r="D361" s="396"/>
      <c r="E361" s="397"/>
      <c r="F361" s="424"/>
      <c r="G361" s="425"/>
      <c r="H361" s="425"/>
      <c r="I361" s="425"/>
      <c r="J361" s="425"/>
      <c r="K361" s="398"/>
      <c r="L361" s="425"/>
      <c r="M361" s="425"/>
      <c r="N361" s="428"/>
      <c r="O361" s="428"/>
      <c r="P361" s="429"/>
      <c r="Q361" s="425"/>
      <c r="R361" s="425"/>
      <c r="S361" s="430"/>
      <c r="T361" s="431"/>
    </row>
    <row r="362" spans="1:26">
      <c r="D362" s="565" t="e">
        <v>#REF!</v>
      </c>
      <c r="E362" s="566"/>
      <c r="F362" s="566"/>
      <c r="G362" s="566"/>
      <c r="H362" s="566"/>
      <c r="I362" s="566"/>
      <c r="J362" s="566"/>
      <c r="K362" s="566"/>
      <c r="L362" s="566"/>
      <c r="M362" s="566"/>
      <c r="N362" s="566"/>
      <c r="O362" s="567"/>
      <c r="P362" s="568" t="s">
        <v>422</v>
      </c>
      <c r="Q362" s="568"/>
      <c r="R362" s="568"/>
      <c r="S362" s="426"/>
      <c r="T362" s="427">
        <f>T360</f>
        <v>9.26</v>
      </c>
    </row>
    <row r="363" spans="1:26">
      <c r="D363" s="396"/>
      <c r="E363" s="397"/>
      <c r="F363" s="424"/>
      <c r="G363" s="425"/>
      <c r="H363" s="425"/>
      <c r="I363" s="425"/>
      <c r="J363" s="425"/>
      <c r="K363" s="398"/>
      <c r="L363" s="425"/>
      <c r="M363" s="425"/>
      <c r="N363" s="428"/>
      <c r="O363" s="428"/>
      <c r="P363" s="429"/>
      <c r="Q363" s="425"/>
      <c r="R363" s="398"/>
      <c r="S363" s="398"/>
      <c r="T363" s="432"/>
    </row>
    <row r="364" spans="1:26">
      <c r="D364" s="396"/>
      <c r="E364" s="397"/>
      <c r="F364" s="424"/>
      <c r="G364" s="425"/>
      <c r="H364" s="425"/>
      <c r="I364" s="425"/>
      <c r="J364" s="425"/>
      <c r="K364" s="398"/>
      <c r="L364" s="425"/>
      <c r="M364" s="425"/>
      <c r="N364" s="428"/>
      <c r="O364" s="428"/>
      <c r="P364" s="429"/>
      <c r="Q364" s="425"/>
      <c r="R364" s="398"/>
      <c r="S364" s="398"/>
      <c r="T364" s="432"/>
    </row>
    <row r="365" spans="1:26">
      <c r="D365" s="569" t="s">
        <v>423</v>
      </c>
      <c r="E365" s="570"/>
      <c r="F365" s="570"/>
      <c r="G365" s="570"/>
      <c r="H365" s="570"/>
      <c r="I365" s="570"/>
      <c r="J365" s="570"/>
      <c r="K365" s="571"/>
      <c r="L365" s="433" t="s">
        <v>424</v>
      </c>
      <c r="M365" s="434"/>
      <c r="N365" s="434"/>
      <c r="O365" s="434"/>
      <c r="P365" s="434"/>
      <c r="Q365" s="434"/>
      <c r="R365" s="434"/>
      <c r="S365" s="434"/>
      <c r="T365" s="435"/>
    </row>
    <row r="366" spans="1:26">
      <c r="D366" s="542"/>
      <c r="E366" s="543"/>
      <c r="F366" s="543"/>
      <c r="G366" s="543"/>
      <c r="H366" s="436"/>
      <c r="I366" s="436"/>
      <c r="J366" s="436"/>
      <c r="K366" s="447"/>
      <c r="L366" s="436"/>
      <c r="M366" s="407"/>
      <c r="N366" s="407"/>
      <c r="O366" s="407"/>
      <c r="P366" s="407"/>
      <c r="Q366" s="407"/>
      <c r="R366" s="407"/>
      <c r="S366" s="407"/>
      <c r="T366" s="437"/>
    </row>
    <row r="367" spans="1:26">
      <c r="D367" s="542"/>
      <c r="E367" s="543"/>
      <c r="F367" s="543"/>
      <c r="G367" s="543"/>
      <c r="H367" s="436"/>
      <c r="I367" s="436"/>
      <c r="J367" s="436"/>
      <c r="K367" s="447"/>
      <c r="L367" s="436"/>
      <c r="M367" s="407"/>
      <c r="N367" s="407"/>
      <c r="O367" s="407"/>
      <c r="P367" s="407"/>
      <c r="Q367" s="407"/>
      <c r="R367" s="407"/>
      <c r="S367" s="407"/>
      <c r="T367" s="437"/>
    </row>
    <row r="368" spans="1:26">
      <c r="D368" s="542" t="s">
        <v>425</v>
      </c>
      <c r="E368" s="543"/>
      <c r="F368" s="543" t="s">
        <v>425</v>
      </c>
      <c r="G368" s="543"/>
      <c r="H368" s="543" t="s">
        <v>425</v>
      </c>
      <c r="I368" s="543"/>
      <c r="J368" s="543" t="s">
        <v>425</v>
      </c>
      <c r="K368" s="544"/>
      <c r="L368" s="545" t="s">
        <v>426</v>
      </c>
      <c r="M368" s="546"/>
      <c r="N368" s="546"/>
      <c r="O368" s="546"/>
      <c r="P368" s="546"/>
      <c r="Q368" s="546"/>
      <c r="R368" s="546"/>
      <c r="S368" s="546"/>
      <c r="T368" s="547"/>
    </row>
    <row r="369" spans="4:20">
      <c r="D369" s="548" t="str">
        <f>+[42]DATOS!D$8</f>
        <v>HELMER EDUARDO BECERRA SANTANDER</v>
      </c>
      <c r="E369" s="549"/>
      <c r="F369" s="549" t="s">
        <v>427</v>
      </c>
      <c r="G369" s="549"/>
      <c r="H369" s="549" t="s">
        <v>427</v>
      </c>
      <c r="I369" s="549"/>
      <c r="J369" s="549" t="s">
        <v>427</v>
      </c>
      <c r="K369" s="550"/>
      <c r="L369" s="551" t="str">
        <f>+[42]DATOS!D$11</f>
        <v>JESUS IVAN QUIÑONES RUEDA</v>
      </c>
      <c r="M369" s="549"/>
      <c r="N369" s="549"/>
      <c r="O369" s="549"/>
      <c r="P369" s="549"/>
      <c r="Q369" s="549"/>
      <c r="R369" s="549"/>
      <c r="S369" s="549"/>
      <c r="T369" s="552"/>
    </row>
    <row r="370" spans="4:20">
      <c r="D370" s="553" t="str">
        <f>+$D$72</f>
        <v>APOYO SEC. DE PLANEACION Y OBRAS PÚBLICAS</v>
      </c>
      <c r="E370" s="554"/>
      <c r="F370" s="554" t="s">
        <v>428</v>
      </c>
      <c r="G370" s="554"/>
      <c r="H370" s="554" t="s">
        <v>428</v>
      </c>
      <c r="I370" s="554"/>
      <c r="J370" s="554" t="s">
        <v>428</v>
      </c>
      <c r="K370" s="555"/>
      <c r="L370" s="556" t="str">
        <f>+$L$72</f>
        <v>SECRETARIO DE PLANEACION Y OBRAS PÚBLICAS</v>
      </c>
      <c r="M370" s="554"/>
      <c r="N370" s="554"/>
      <c r="O370" s="554"/>
      <c r="P370" s="554"/>
      <c r="Q370" s="554"/>
      <c r="R370" s="554"/>
      <c r="S370" s="554"/>
      <c r="T370" s="557"/>
    </row>
    <row r="371" spans="4:20">
      <c r="D371" s="406"/>
      <c r="E371" s="407"/>
      <c r="F371" s="407"/>
      <c r="G371" s="407"/>
      <c r="H371" s="407"/>
      <c r="I371" s="407"/>
      <c r="J371" s="407"/>
      <c r="K371" s="407"/>
      <c r="L371" s="407"/>
      <c r="M371" s="407"/>
      <c r="N371" s="407"/>
      <c r="O371" s="407"/>
      <c r="P371" s="407"/>
      <c r="Q371" s="407"/>
      <c r="R371" s="407"/>
      <c r="S371" s="407"/>
      <c r="T371" s="437"/>
    </row>
    <row r="372" spans="4:20" ht="111" customHeight="1" thickBot="1">
      <c r="D372" s="417"/>
      <c r="E372" s="418"/>
      <c r="F372" s="418"/>
      <c r="G372" s="418"/>
      <c r="H372" s="418"/>
      <c r="I372" s="418"/>
      <c r="J372" s="418"/>
      <c r="K372" s="418"/>
      <c r="L372" s="418"/>
      <c r="M372" s="418"/>
      <c r="N372" s="418"/>
      <c r="O372" s="418"/>
      <c r="P372" s="418"/>
      <c r="Q372" s="418"/>
      <c r="R372" s="418"/>
      <c r="S372" s="418"/>
      <c r="T372" s="438"/>
    </row>
    <row r="373" spans="4:20" ht="22.5" customHeight="1"/>
    <row r="374" spans="4:20" ht="13.5" thickBot="1"/>
    <row r="375" spans="4:20">
      <c r="D375" s="384"/>
      <c r="E375" s="385"/>
      <c r="F375" s="385"/>
      <c r="G375" s="385"/>
      <c r="H375" s="385"/>
      <c r="I375" s="385"/>
      <c r="J375" s="385"/>
      <c r="K375" s="445"/>
      <c r="L375" s="385"/>
      <c r="M375" s="385"/>
      <c r="N375" s="385"/>
      <c r="O375" s="385"/>
      <c r="P375" s="385"/>
      <c r="Q375" s="385"/>
      <c r="R375" s="385"/>
      <c r="S375" s="385"/>
      <c r="T375" s="386"/>
    </row>
    <row r="376" spans="4:20" ht="121.5" customHeight="1" thickBot="1">
      <c r="D376" s="387"/>
      <c r="E376" s="388"/>
      <c r="F376" s="388"/>
      <c r="G376" s="388"/>
      <c r="H376" s="388"/>
      <c r="I376" s="388"/>
      <c r="J376" s="388"/>
      <c r="K376" s="446"/>
      <c r="L376" s="388"/>
      <c r="M376" s="388"/>
      <c r="N376" s="388"/>
      <c r="O376" s="388"/>
      <c r="P376" s="388"/>
      <c r="Q376" s="388"/>
      <c r="R376" s="388"/>
      <c r="S376" s="388"/>
      <c r="T376" s="389"/>
    </row>
    <row r="377" spans="4:20">
      <c r="D377" s="592" t="str">
        <f>+[42]DATOS!C$7</f>
        <v>MEJORAMIENTO DE VIVIENDA CON ENFOQUE DIFERENCIAL PARA POBLACIÓN VULNERABLE EN EL MUNICIPIO DE CUBARÁ, BOYACÁ (2026).</v>
      </c>
      <c r="E377" s="593"/>
      <c r="F377" s="593"/>
      <c r="G377" s="593"/>
      <c r="H377" s="593"/>
      <c r="I377" s="593"/>
      <c r="J377" s="593"/>
      <c r="K377" s="593"/>
      <c r="L377" s="593"/>
      <c r="M377" s="593"/>
      <c r="N377" s="593"/>
      <c r="O377" s="593"/>
      <c r="P377" s="593"/>
      <c r="Q377" s="593"/>
      <c r="R377" s="593"/>
      <c r="S377" s="593"/>
      <c r="T377" s="594"/>
    </row>
    <row r="378" spans="4:20">
      <c r="D378" s="595"/>
      <c r="E378" s="596"/>
      <c r="F378" s="596"/>
      <c r="G378" s="596"/>
      <c r="H378" s="596"/>
      <c r="I378" s="596"/>
      <c r="J378" s="596"/>
      <c r="K378" s="596"/>
      <c r="L378" s="596"/>
      <c r="M378" s="596"/>
      <c r="N378" s="596"/>
      <c r="O378" s="596"/>
      <c r="P378" s="596"/>
      <c r="Q378" s="596"/>
      <c r="R378" s="596"/>
      <c r="S378" s="596"/>
      <c r="T378" s="597"/>
    </row>
    <row r="379" spans="4:20">
      <c r="D379" s="598" t="s">
        <v>371</v>
      </c>
      <c r="E379" s="599"/>
      <c r="F379" s="599"/>
      <c r="G379" s="599"/>
      <c r="H379" s="599"/>
      <c r="I379" s="599"/>
      <c r="J379" s="599"/>
      <c r="K379" s="599"/>
      <c r="L379" s="599"/>
      <c r="M379" s="599"/>
      <c r="N379" s="599"/>
      <c r="O379" s="599"/>
      <c r="P379" s="599"/>
      <c r="Q379" s="599"/>
      <c r="R379" s="599"/>
      <c r="S379" s="599"/>
      <c r="T379" s="600"/>
    </row>
    <row r="380" spans="4:20">
      <c r="D380" s="586" t="s">
        <v>372</v>
      </c>
      <c r="E380" s="587"/>
      <c r="F380" s="601" t="s">
        <v>373</v>
      </c>
      <c r="G380" s="601"/>
      <c r="H380" s="601"/>
      <c r="I380" s="601"/>
      <c r="J380" s="601"/>
      <c r="K380" s="601"/>
      <c r="L380" s="601"/>
      <c r="M380" s="601"/>
      <c r="N380" s="601"/>
      <c r="O380" s="601"/>
      <c r="P380" s="601"/>
      <c r="Q380" s="601"/>
      <c r="R380" s="601"/>
      <c r="S380" s="601"/>
      <c r="T380" s="602"/>
    </row>
    <row r="381" spans="4:20">
      <c r="D381" s="586" t="s">
        <v>374</v>
      </c>
      <c r="E381" s="587"/>
      <c r="F381" s="603" t="s">
        <v>375</v>
      </c>
      <c r="G381" s="604"/>
      <c r="H381" s="604"/>
      <c r="I381" s="604"/>
      <c r="J381" s="604"/>
      <c r="K381" s="604"/>
      <c r="L381" s="604"/>
      <c r="M381" s="604"/>
      <c r="N381" s="604"/>
      <c r="O381" s="604"/>
      <c r="P381" s="604"/>
      <c r="Q381" s="604"/>
      <c r="R381" s="604"/>
      <c r="S381" s="604"/>
      <c r="T381" s="605"/>
    </row>
    <row r="382" spans="4:20">
      <c r="D382" s="586" t="s">
        <v>376</v>
      </c>
      <c r="E382" s="587"/>
      <c r="F382" s="390">
        <f>+[42]DATOS!F$5</f>
        <v>46143</v>
      </c>
      <c r="G382" s="391"/>
      <c r="H382" s="391"/>
      <c r="I382" s="391"/>
      <c r="J382" s="391"/>
      <c r="K382" s="391"/>
      <c r="L382" s="568" t="s">
        <v>377</v>
      </c>
      <c r="M382" s="568"/>
      <c r="N382" s="588" t="s">
        <v>378</v>
      </c>
      <c r="O382" s="588"/>
      <c r="P382" s="588"/>
      <c r="Q382" s="588"/>
      <c r="R382" s="588"/>
      <c r="S382" s="588"/>
      <c r="T382" s="589"/>
    </row>
    <row r="383" spans="4:20" ht="25.5">
      <c r="D383" s="586" t="s">
        <v>379</v>
      </c>
      <c r="E383" s="587"/>
      <c r="F383" s="590" t="s">
        <v>380</v>
      </c>
      <c r="G383" s="591"/>
      <c r="H383" s="392">
        <f>+[42]DATOS!E$5</f>
        <v>2026</v>
      </c>
      <c r="I383" s="393" t="s">
        <v>381</v>
      </c>
      <c r="J383" s="394">
        <f>+[42]DATOS!E$5</f>
        <v>2026</v>
      </c>
      <c r="K383" s="395"/>
      <c r="L383" s="568" t="s">
        <v>382</v>
      </c>
      <c r="M383" s="568"/>
      <c r="N383" s="588" t="s">
        <v>383</v>
      </c>
      <c r="O383" s="588"/>
      <c r="P383" s="588"/>
      <c r="Q383" s="588"/>
      <c r="R383" s="588"/>
      <c r="S383" s="588"/>
      <c r="T383" s="589"/>
    </row>
    <row r="384" spans="4:20">
      <c r="D384" s="396"/>
      <c r="E384" s="397"/>
      <c r="F384" s="397"/>
      <c r="G384" s="398"/>
      <c r="H384" s="398"/>
      <c r="I384" s="398"/>
      <c r="J384" s="398"/>
      <c r="K384" s="398"/>
      <c r="L384" s="398"/>
      <c r="M384" s="398"/>
      <c r="N384" s="398"/>
      <c r="O384" s="398"/>
      <c r="P384" s="398"/>
      <c r="Q384" s="398"/>
      <c r="R384" s="398"/>
      <c r="S384" s="398"/>
      <c r="T384" s="399"/>
    </row>
    <row r="385" spans="1:26">
      <c r="D385" s="572" t="s">
        <v>384</v>
      </c>
      <c r="E385" s="573"/>
      <c r="F385" s="573"/>
      <c r="G385" s="573"/>
      <c r="H385" s="573"/>
      <c r="I385" s="573"/>
      <c r="J385" s="573"/>
      <c r="K385" s="573"/>
      <c r="L385" s="573"/>
      <c r="M385" s="573"/>
      <c r="N385" s="573"/>
      <c r="O385" s="573"/>
      <c r="P385" s="573"/>
      <c r="Q385" s="573"/>
      <c r="R385" s="573"/>
      <c r="S385" s="573"/>
      <c r="T385" s="574"/>
    </row>
    <row r="386" spans="1:26">
      <c r="D386" s="396"/>
      <c r="E386" s="397"/>
      <c r="F386" s="397"/>
      <c r="G386" s="398"/>
      <c r="H386" s="398"/>
      <c r="I386" s="398"/>
      <c r="J386" s="398"/>
      <c r="K386" s="398"/>
      <c r="L386" s="398"/>
      <c r="M386" s="398"/>
      <c r="N386" s="398"/>
      <c r="O386" s="398"/>
      <c r="P386" s="398"/>
      <c r="Q386" s="398"/>
      <c r="R386" s="398"/>
      <c r="S386" s="398"/>
      <c r="T386" s="399"/>
    </row>
    <row r="387" spans="1:26">
      <c r="D387" s="400" t="s">
        <v>385</v>
      </c>
      <c r="E387" s="575" t="s">
        <v>386</v>
      </c>
      <c r="F387" s="575"/>
      <c r="G387" s="576" t="s">
        <v>387</v>
      </c>
      <c r="H387" s="577"/>
      <c r="I387" s="577"/>
      <c r="J387" s="576" t="s">
        <v>388</v>
      </c>
      <c r="K387" s="576" t="s">
        <v>389</v>
      </c>
      <c r="L387" s="579"/>
      <c r="M387" s="581" t="s">
        <v>390</v>
      </c>
      <c r="N387" s="581"/>
      <c r="O387" s="581"/>
      <c r="P387" s="581"/>
      <c r="Q387" s="581"/>
      <c r="R387" s="581"/>
      <c r="S387" s="581" t="s">
        <v>391</v>
      </c>
      <c r="T387" s="582"/>
    </row>
    <row r="388" spans="1:26" ht="38.25">
      <c r="D388" s="403">
        <f>+'PRESUPUESTO OFICIAL '!C39</f>
        <v>3.01</v>
      </c>
      <c r="E388" s="583" t="str">
        <f>+VLOOKUP(D388,'PRESUPUESTO OFICIAL '!$C$11:$H$103,2)</f>
        <v>COLUMNA EN CONCRETO f'c = 3000 PSI (21MPa), Dimensiones 0,12x0,20 m</v>
      </c>
      <c r="F388" s="584"/>
      <c r="G388" s="585" t="str">
        <f>+VLOOKUP(D388,'PRESUPUESTO OFICIAL '!$C$11:$H$103,3)</f>
        <v>M3</v>
      </c>
      <c r="H388" s="585"/>
      <c r="I388" s="585"/>
      <c r="J388" s="578"/>
      <c r="K388" s="578"/>
      <c r="L388" s="580"/>
      <c r="M388" s="401" t="s">
        <v>392</v>
      </c>
      <c r="N388" s="401" t="s">
        <v>393</v>
      </c>
      <c r="O388" s="401" t="s">
        <v>394</v>
      </c>
      <c r="P388" s="401" t="s">
        <v>395</v>
      </c>
      <c r="Q388" s="401" t="s">
        <v>396</v>
      </c>
      <c r="R388" s="401" t="s">
        <v>397</v>
      </c>
      <c r="S388" s="401" t="s">
        <v>398</v>
      </c>
      <c r="T388" s="402" t="s">
        <v>399</v>
      </c>
      <c r="V388" s="404">
        <f>+D388</f>
        <v>3.01</v>
      </c>
      <c r="W388" s="405">
        <f>+T436</f>
        <v>5.48</v>
      </c>
    </row>
    <row r="389" spans="1:26">
      <c r="D389" s="406"/>
      <c r="E389" s="407"/>
      <c r="F389" s="407"/>
      <c r="G389" s="407"/>
      <c r="H389" s="407"/>
      <c r="I389" s="407"/>
      <c r="J389" s="558"/>
      <c r="K389" s="559"/>
      <c r="L389" s="560"/>
      <c r="M389" s="560"/>
      <c r="N389" s="560"/>
      <c r="O389" s="560"/>
      <c r="P389" s="560"/>
      <c r="Q389" s="560"/>
      <c r="R389" s="560"/>
      <c r="S389" s="560"/>
      <c r="T389" s="561"/>
    </row>
    <row r="390" spans="1:26" ht="25.5">
      <c r="A390" s="453">
        <f>+D388</f>
        <v>3.01</v>
      </c>
      <c r="B390" s="383">
        <v>1</v>
      </c>
      <c r="D390" s="406"/>
      <c r="E390" s="407"/>
      <c r="F390" s="407"/>
      <c r="G390" s="407"/>
      <c r="H390" s="407"/>
      <c r="I390" s="407"/>
      <c r="J390" s="408" t="s">
        <v>400</v>
      </c>
      <c r="K390" s="409" t="str">
        <f t="shared" ref="K390:K432" si="49">+VLOOKUP(L390,$AH$22:$AJ$58,2,)</f>
        <v>V=(Ancho x Largo x Alto)* Cant</v>
      </c>
      <c r="L390" s="410" t="str">
        <f>+G388</f>
        <v>M3</v>
      </c>
      <c r="M390" s="411"/>
      <c r="N390" s="412"/>
      <c r="O390" s="442"/>
      <c r="P390" s="442"/>
      <c r="Q390" s="413"/>
      <c r="R390" s="413"/>
      <c r="S390" s="413"/>
      <c r="T390" s="414">
        <f>+HLOOKUP(B316,[238]Hoja1!$2:$78,29,FALSE)</f>
        <v>0</v>
      </c>
      <c r="Y390" s="439">
        <f>+O390*P390</f>
        <v>0</v>
      </c>
      <c r="Z390" s="439">
        <f>+Y390-M390</f>
        <v>0</v>
      </c>
    </row>
    <row r="391" spans="1:26" ht="25.5">
      <c r="A391" s="453">
        <f>+A390</f>
        <v>3.01</v>
      </c>
      <c r="B391" s="383">
        <v>2</v>
      </c>
      <c r="D391" s="406"/>
      <c r="E391" s="407"/>
      <c r="F391" s="407"/>
      <c r="G391" s="407"/>
      <c r="H391" s="407"/>
      <c r="I391" s="407"/>
      <c r="J391" s="408" t="s">
        <v>401</v>
      </c>
      <c r="K391" s="409" t="str">
        <f t="shared" si="49"/>
        <v>V=(Ancho x Largo x Alto)* Cant</v>
      </c>
      <c r="L391" s="410" t="str">
        <f>+L390</f>
        <v>M3</v>
      </c>
      <c r="M391" s="411"/>
      <c r="N391" s="412"/>
      <c r="O391" s="442">
        <v>0.2</v>
      </c>
      <c r="P391" s="442">
        <f t="shared" ref="P391:P430" si="50">+T391/0.2/0.12</f>
        <v>11.639999999999999</v>
      </c>
      <c r="Q391" s="413">
        <v>0.12</v>
      </c>
      <c r="R391" s="413">
        <f t="shared" ref="R391:R430" si="51">+Q391*P391*O391</f>
        <v>0.27936</v>
      </c>
      <c r="S391" s="413">
        <v>1</v>
      </c>
      <c r="T391" s="414">
        <f>+HLOOKUP(B317,[238]Hoja1!$2:$78,29,FALSE)</f>
        <v>0.27936</v>
      </c>
      <c r="Y391" s="439">
        <f>+O391*P391</f>
        <v>2.3279999999999998</v>
      </c>
      <c r="Z391" s="439">
        <f t="shared" ref="Z391:Z432" si="52">+Y391-M391</f>
        <v>2.3279999999999998</v>
      </c>
    </row>
    <row r="392" spans="1:26" ht="25.5">
      <c r="A392" s="453">
        <f t="shared" ref="A392:A432" si="53">+A391</f>
        <v>3.01</v>
      </c>
      <c r="B392" s="383">
        <v>3</v>
      </c>
      <c r="D392" s="406"/>
      <c r="E392" s="407"/>
      <c r="F392" s="407"/>
      <c r="G392" s="407"/>
      <c r="H392" s="407"/>
      <c r="I392" s="407"/>
      <c r="J392" s="408" t="s">
        <v>402</v>
      </c>
      <c r="K392" s="409" t="str">
        <f t="shared" si="49"/>
        <v>V=(Ancho x Largo x Alto)* Cant</v>
      </c>
      <c r="L392" s="410" t="str">
        <f>+L391</f>
        <v>M3</v>
      </c>
      <c r="M392" s="411"/>
      <c r="N392" s="412"/>
      <c r="O392" s="442">
        <v>0.2</v>
      </c>
      <c r="P392" s="442">
        <f t="shared" si="50"/>
        <v>11.639999999999999</v>
      </c>
      <c r="Q392" s="413">
        <v>0.12</v>
      </c>
      <c r="R392" s="413">
        <f t="shared" si="51"/>
        <v>0.27936</v>
      </c>
      <c r="S392" s="413">
        <v>1</v>
      </c>
      <c r="T392" s="414">
        <f>+HLOOKUP(B318,[238]Hoja1!$2:$78,29,FALSE)</f>
        <v>0.27936</v>
      </c>
      <c r="Y392" s="439">
        <f t="shared" ref="Y392:Y432" si="54">+O392*P392</f>
        <v>2.3279999999999998</v>
      </c>
      <c r="Z392" s="439">
        <f t="shared" si="52"/>
        <v>2.3279999999999998</v>
      </c>
    </row>
    <row r="393" spans="1:26" ht="25.5">
      <c r="A393" s="453">
        <f t="shared" si="53"/>
        <v>3.01</v>
      </c>
      <c r="B393" s="383">
        <v>4</v>
      </c>
      <c r="D393" s="406"/>
      <c r="E393" s="407"/>
      <c r="F393" s="407"/>
      <c r="G393" s="407"/>
      <c r="H393" s="407"/>
      <c r="I393" s="407"/>
      <c r="J393" s="408" t="s">
        <v>403</v>
      </c>
      <c r="K393" s="409" t="str">
        <f t="shared" si="49"/>
        <v>V=(Ancho x Largo x Alto)* Cant</v>
      </c>
      <c r="L393" s="410" t="str">
        <f>+L392</f>
        <v>M3</v>
      </c>
      <c r="M393" s="411"/>
      <c r="N393" s="412"/>
      <c r="O393" s="442">
        <v>0.2</v>
      </c>
      <c r="P393" s="442">
        <f t="shared" si="50"/>
        <v>11.639999999999999</v>
      </c>
      <c r="Q393" s="413">
        <v>0.12</v>
      </c>
      <c r="R393" s="413">
        <f t="shared" si="51"/>
        <v>0.27936</v>
      </c>
      <c r="S393" s="413">
        <v>1</v>
      </c>
      <c r="T393" s="414">
        <f>+HLOOKUP(B319,[238]Hoja1!$2:$78,29,FALSE)</f>
        <v>0.27936</v>
      </c>
      <c r="Y393" s="439">
        <f t="shared" si="54"/>
        <v>2.3279999999999998</v>
      </c>
      <c r="Z393" s="439">
        <f t="shared" si="52"/>
        <v>2.3279999999999998</v>
      </c>
    </row>
    <row r="394" spans="1:26" ht="25.5">
      <c r="A394" s="453">
        <f t="shared" si="53"/>
        <v>3.01</v>
      </c>
      <c r="B394" s="383">
        <v>5</v>
      </c>
      <c r="D394" s="406"/>
      <c r="E394" s="407"/>
      <c r="F394" s="407"/>
      <c r="G394" s="407"/>
      <c r="H394" s="407"/>
      <c r="I394" s="407"/>
      <c r="J394" s="408" t="s">
        <v>405</v>
      </c>
      <c r="K394" s="409" t="str">
        <f t="shared" si="49"/>
        <v>V=(Ancho x Largo x Alto)* Cant</v>
      </c>
      <c r="L394" s="410" t="str">
        <f>+L393</f>
        <v>M3</v>
      </c>
      <c r="M394" s="411"/>
      <c r="N394" s="412"/>
      <c r="O394" s="442">
        <v>0.2</v>
      </c>
      <c r="P394" s="442">
        <f t="shared" si="50"/>
        <v>11.639999999999999</v>
      </c>
      <c r="Q394" s="413">
        <v>0.12</v>
      </c>
      <c r="R394" s="413">
        <f t="shared" si="51"/>
        <v>0.27936</v>
      </c>
      <c r="S394" s="413">
        <v>1</v>
      </c>
      <c r="T394" s="414">
        <f>+HLOOKUP(B320,[238]Hoja1!$2:$78,29,FALSE)</f>
        <v>0.27936</v>
      </c>
      <c r="Y394" s="439">
        <f t="shared" si="54"/>
        <v>2.3279999999999998</v>
      </c>
      <c r="Z394" s="439">
        <f t="shared" si="52"/>
        <v>2.3279999999999998</v>
      </c>
    </row>
    <row r="395" spans="1:26" ht="25.5">
      <c r="A395" s="453">
        <f t="shared" si="53"/>
        <v>3.01</v>
      </c>
      <c r="B395" s="383">
        <v>6</v>
      </c>
      <c r="D395" s="406"/>
      <c r="E395" s="407"/>
      <c r="F395" s="407"/>
      <c r="G395" s="407"/>
      <c r="H395" s="407"/>
      <c r="I395" s="407"/>
      <c r="J395" s="408" t="s">
        <v>407</v>
      </c>
      <c r="K395" s="409" t="str">
        <f t="shared" si="49"/>
        <v>V=(Ancho x Largo x Alto)* Cant</v>
      </c>
      <c r="L395" s="410" t="str">
        <f>+L394</f>
        <v>M3</v>
      </c>
      <c r="M395" s="411"/>
      <c r="N395" s="412"/>
      <c r="O395" s="442">
        <v>0.2</v>
      </c>
      <c r="P395" s="442">
        <f t="shared" si="50"/>
        <v>9.5</v>
      </c>
      <c r="Q395" s="413">
        <v>0.12</v>
      </c>
      <c r="R395" s="413">
        <f t="shared" si="51"/>
        <v>0.22799999999999998</v>
      </c>
      <c r="S395" s="413">
        <v>1</v>
      </c>
      <c r="T395" s="414">
        <f>+HLOOKUP(B321,[238]Hoja1!$2:$78,29,FALSE)</f>
        <v>0.22800000000000001</v>
      </c>
      <c r="Y395" s="439">
        <f t="shared" si="54"/>
        <v>1.9000000000000001</v>
      </c>
      <c r="Z395" s="439">
        <f t="shared" si="52"/>
        <v>1.9000000000000001</v>
      </c>
    </row>
    <row r="396" spans="1:26" ht="25.5">
      <c r="A396" s="453">
        <f t="shared" si="53"/>
        <v>3.01</v>
      </c>
      <c r="B396" s="383">
        <v>7</v>
      </c>
      <c r="D396" s="406"/>
      <c r="E396" s="407"/>
      <c r="F396" s="407"/>
      <c r="G396" s="407"/>
      <c r="H396" s="407"/>
      <c r="I396" s="407"/>
      <c r="J396" s="408" t="s">
        <v>409</v>
      </c>
      <c r="K396" s="409" t="str">
        <f t="shared" si="49"/>
        <v>V=(Ancho x Largo x Alto)* Cant</v>
      </c>
      <c r="L396" s="410" t="str">
        <f>+L390</f>
        <v>M3</v>
      </c>
      <c r="M396" s="411"/>
      <c r="N396" s="412"/>
      <c r="O396" s="442"/>
      <c r="P396" s="442"/>
      <c r="Q396" s="413"/>
      <c r="R396" s="413"/>
      <c r="S396" s="413"/>
      <c r="T396" s="414">
        <f>+HLOOKUP(B322,[238]Hoja1!$2:$78,29,FALSE)</f>
        <v>0</v>
      </c>
      <c r="Y396" s="439">
        <f t="shared" si="54"/>
        <v>0</v>
      </c>
      <c r="Z396" s="439">
        <f t="shared" si="52"/>
        <v>0</v>
      </c>
    </row>
    <row r="397" spans="1:26" ht="25.5">
      <c r="A397" s="453">
        <f t="shared" si="53"/>
        <v>3.01</v>
      </c>
      <c r="B397" s="383">
        <v>8</v>
      </c>
      <c r="D397" s="406"/>
      <c r="E397" s="407"/>
      <c r="F397" s="407"/>
      <c r="G397" s="407"/>
      <c r="H397" s="407"/>
      <c r="I397" s="407"/>
      <c r="J397" s="408" t="s">
        <v>411</v>
      </c>
      <c r="K397" s="409" t="str">
        <f t="shared" si="49"/>
        <v>V=(Ancho x Largo x Alto)* Cant</v>
      </c>
      <c r="L397" s="410" t="str">
        <f>+L396</f>
        <v>M3</v>
      </c>
      <c r="M397" s="411"/>
      <c r="N397" s="412"/>
      <c r="O397" s="442">
        <v>0.2</v>
      </c>
      <c r="P397" s="442">
        <f t="shared" si="50"/>
        <v>2.2000000000000002</v>
      </c>
      <c r="Q397" s="413">
        <v>0.12</v>
      </c>
      <c r="R397" s="413">
        <f t="shared" si="51"/>
        <v>5.2800000000000007E-2</v>
      </c>
      <c r="S397" s="413">
        <v>1</v>
      </c>
      <c r="T397" s="414">
        <f>+HLOOKUP(B323,[238]Hoja1!$2:$78,29,FALSE)</f>
        <v>5.2800000000000007E-2</v>
      </c>
      <c r="Y397" s="439">
        <f t="shared" si="54"/>
        <v>0.44000000000000006</v>
      </c>
      <c r="Z397" s="439">
        <f t="shared" si="52"/>
        <v>0.44000000000000006</v>
      </c>
    </row>
    <row r="398" spans="1:26" ht="25.5">
      <c r="A398" s="453">
        <f t="shared" si="53"/>
        <v>3.01</v>
      </c>
      <c r="B398" s="383">
        <v>9</v>
      </c>
      <c r="D398" s="406"/>
      <c r="E398" s="407"/>
      <c r="F398" s="407"/>
      <c r="G398" s="407"/>
      <c r="H398" s="407"/>
      <c r="I398" s="407"/>
      <c r="J398" s="408" t="s">
        <v>412</v>
      </c>
      <c r="K398" s="409" t="str">
        <f t="shared" si="49"/>
        <v>V=(Ancho x Largo x Alto)* Cant</v>
      </c>
      <c r="L398" s="410" t="str">
        <f>+L397</f>
        <v>M3</v>
      </c>
      <c r="M398" s="411"/>
      <c r="N398" s="412"/>
      <c r="O398" s="442">
        <v>0.2</v>
      </c>
      <c r="P398" s="442">
        <f t="shared" si="50"/>
        <v>11.639999999999999</v>
      </c>
      <c r="Q398" s="413">
        <v>0.12</v>
      </c>
      <c r="R398" s="413">
        <f t="shared" si="51"/>
        <v>0.27936</v>
      </c>
      <c r="S398" s="413">
        <v>1</v>
      </c>
      <c r="T398" s="414">
        <f>+HLOOKUP(B324,[238]Hoja1!$2:$78,29,FALSE)</f>
        <v>0.27936</v>
      </c>
      <c r="Y398" s="439">
        <f t="shared" si="54"/>
        <v>2.3279999999999998</v>
      </c>
      <c r="Z398" s="439">
        <f t="shared" si="52"/>
        <v>2.3279999999999998</v>
      </c>
    </row>
    <row r="399" spans="1:26" ht="25.5">
      <c r="A399" s="453">
        <f t="shared" si="53"/>
        <v>3.01</v>
      </c>
      <c r="B399" s="383">
        <v>10</v>
      </c>
      <c r="D399" s="406"/>
      <c r="E399" s="407"/>
      <c r="F399" s="407"/>
      <c r="G399" s="407"/>
      <c r="H399" s="407"/>
      <c r="I399" s="407"/>
      <c r="J399" s="408" t="s">
        <v>413</v>
      </c>
      <c r="K399" s="409" t="str">
        <f t="shared" si="49"/>
        <v>V=(Ancho x Largo x Alto)* Cant</v>
      </c>
      <c r="L399" s="410" t="str">
        <f>+L398</f>
        <v>M3</v>
      </c>
      <c r="M399" s="411"/>
      <c r="N399" s="412"/>
      <c r="O399" s="442"/>
      <c r="P399" s="442"/>
      <c r="Q399" s="413"/>
      <c r="R399" s="413"/>
      <c r="S399" s="413"/>
      <c r="T399" s="414">
        <f>+HLOOKUP(B325,[238]Hoja1!$2:$78,29,FALSE)</f>
        <v>0</v>
      </c>
      <c r="Y399" s="439">
        <f t="shared" si="54"/>
        <v>0</v>
      </c>
      <c r="Z399" s="439">
        <f t="shared" si="52"/>
        <v>0</v>
      </c>
    </row>
    <row r="400" spans="1:26" ht="25.5">
      <c r="A400" s="453">
        <f t="shared" si="53"/>
        <v>3.01</v>
      </c>
      <c r="B400" s="383">
        <v>11</v>
      </c>
      <c r="D400" s="406"/>
      <c r="E400" s="407"/>
      <c r="F400" s="407"/>
      <c r="G400" s="407"/>
      <c r="H400" s="407"/>
      <c r="I400" s="407"/>
      <c r="J400" s="408" t="s">
        <v>414</v>
      </c>
      <c r="K400" s="409" t="str">
        <f t="shared" si="49"/>
        <v>V=(Ancho x Largo x Alto)* Cant</v>
      </c>
      <c r="L400" s="410" t="str">
        <f>+L399</f>
        <v>M3</v>
      </c>
      <c r="M400" s="411"/>
      <c r="N400" s="412"/>
      <c r="O400" s="442"/>
      <c r="P400" s="442"/>
      <c r="Q400" s="413"/>
      <c r="R400" s="413"/>
      <c r="S400" s="413"/>
      <c r="T400" s="414">
        <f>+HLOOKUP(B326,[238]Hoja1!$2:$78,29,FALSE)</f>
        <v>0</v>
      </c>
      <c r="Y400" s="439">
        <f t="shared" si="54"/>
        <v>0</v>
      </c>
      <c r="Z400" s="439">
        <f t="shared" si="52"/>
        <v>0</v>
      </c>
    </row>
    <row r="401" spans="1:26" ht="25.5">
      <c r="A401" s="453">
        <f t="shared" si="53"/>
        <v>3.01</v>
      </c>
      <c r="B401" s="383">
        <v>12</v>
      </c>
      <c r="D401" s="406"/>
      <c r="E401" s="407"/>
      <c r="F401" s="407"/>
      <c r="G401" s="407"/>
      <c r="H401" s="407"/>
      <c r="I401" s="407"/>
      <c r="J401" s="408" t="s">
        <v>415</v>
      </c>
      <c r="K401" s="409" t="str">
        <f t="shared" si="49"/>
        <v>V=(Ancho x Largo x Alto)* Cant</v>
      </c>
      <c r="L401" s="410" t="str">
        <f>+L395</f>
        <v>M3</v>
      </c>
      <c r="M401" s="411"/>
      <c r="N401" s="412"/>
      <c r="O401" s="442"/>
      <c r="P401" s="442"/>
      <c r="Q401" s="413"/>
      <c r="R401" s="413"/>
      <c r="S401" s="413"/>
      <c r="T401" s="414">
        <f>+HLOOKUP(B327,[238]Hoja1!$2:$78,29,FALSE)</f>
        <v>0</v>
      </c>
      <c r="Y401" s="439">
        <f t="shared" si="54"/>
        <v>0</v>
      </c>
      <c r="Z401" s="439">
        <f t="shared" si="52"/>
        <v>0</v>
      </c>
    </row>
    <row r="402" spans="1:26" ht="25.5">
      <c r="A402" s="453">
        <f t="shared" si="53"/>
        <v>3.01</v>
      </c>
      <c r="B402" s="383">
        <v>13</v>
      </c>
      <c r="D402" s="406"/>
      <c r="E402" s="407"/>
      <c r="F402" s="407"/>
      <c r="G402" s="407"/>
      <c r="H402" s="407"/>
      <c r="I402" s="407"/>
      <c r="J402" s="408" t="s">
        <v>416</v>
      </c>
      <c r="K402" s="409" t="str">
        <f t="shared" si="49"/>
        <v>V=(Ancho x Largo x Alto)* Cant</v>
      </c>
      <c r="L402" s="410" t="str">
        <f>+L397</f>
        <v>M3</v>
      </c>
      <c r="M402" s="411"/>
      <c r="N402" s="412"/>
      <c r="O402" s="442"/>
      <c r="P402" s="442"/>
      <c r="Q402" s="413"/>
      <c r="R402" s="413"/>
      <c r="S402" s="413"/>
      <c r="T402" s="414">
        <f>+HLOOKUP(B328,[238]Hoja1!$2:$78,29,FALSE)</f>
        <v>0</v>
      </c>
      <c r="Y402" s="439">
        <f t="shared" si="54"/>
        <v>0</v>
      </c>
      <c r="Z402" s="439">
        <f t="shared" si="52"/>
        <v>0</v>
      </c>
    </row>
    <row r="403" spans="1:26" ht="25.5">
      <c r="A403" s="453">
        <f t="shared" si="53"/>
        <v>3.01</v>
      </c>
      <c r="B403" s="383">
        <v>14</v>
      </c>
      <c r="D403" s="406"/>
      <c r="E403" s="407"/>
      <c r="F403" s="407"/>
      <c r="G403" s="407"/>
      <c r="H403" s="407"/>
      <c r="I403" s="407"/>
      <c r="J403" s="408" t="s">
        <v>417</v>
      </c>
      <c r="K403" s="409" t="str">
        <f t="shared" si="49"/>
        <v>V=(Ancho x Largo x Alto)* Cant</v>
      </c>
      <c r="L403" s="410" t="str">
        <f t="shared" ref="L403:L414" si="55">+L402</f>
        <v>M3</v>
      </c>
      <c r="M403" s="411"/>
      <c r="N403" s="412"/>
      <c r="O403" s="442">
        <v>0.2</v>
      </c>
      <c r="P403" s="442">
        <f t="shared" si="50"/>
        <v>11.639999999999999</v>
      </c>
      <c r="Q403" s="413">
        <v>0.12</v>
      </c>
      <c r="R403" s="413">
        <f t="shared" si="51"/>
        <v>0.27936</v>
      </c>
      <c r="S403" s="413">
        <v>1</v>
      </c>
      <c r="T403" s="414">
        <f>+HLOOKUP(B329,[238]Hoja1!$2:$78,29,FALSE)</f>
        <v>0.27936</v>
      </c>
      <c r="Y403" s="439">
        <f t="shared" si="54"/>
        <v>2.3279999999999998</v>
      </c>
      <c r="Z403" s="439">
        <f t="shared" si="52"/>
        <v>2.3279999999999998</v>
      </c>
    </row>
    <row r="404" spans="1:26" ht="25.5">
      <c r="A404" s="453">
        <f t="shared" si="53"/>
        <v>3.01</v>
      </c>
      <c r="B404" s="383">
        <v>15</v>
      </c>
      <c r="D404" s="406"/>
      <c r="E404" s="407"/>
      <c r="F404" s="407"/>
      <c r="G404" s="407"/>
      <c r="H404" s="407"/>
      <c r="I404" s="407"/>
      <c r="J404" s="408" t="s">
        <v>418</v>
      </c>
      <c r="K404" s="409" t="str">
        <f t="shared" si="49"/>
        <v>V=(Ancho x Largo x Alto)* Cant</v>
      </c>
      <c r="L404" s="410" t="str">
        <f t="shared" si="55"/>
        <v>M3</v>
      </c>
      <c r="M404" s="411"/>
      <c r="N404" s="412"/>
      <c r="O404" s="442"/>
      <c r="P404" s="442"/>
      <c r="Q404" s="413"/>
      <c r="R404" s="413"/>
      <c r="S404" s="413"/>
      <c r="T404" s="414">
        <f>+HLOOKUP(B330,[238]Hoja1!$2:$78,29,FALSE)</f>
        <v>0</v>
      </c>
      <c r="Y404" s="439">
        <f t="shared" si="54"/>
        <v>0</v>
      </c>
      <c r="Z404" s="439">
        <f t="shared" si="52"/>
        <v>0</v>
      </c>
    </row>
    <row r="405" spans="1:26" ht="25.5">
      <c r="A405" s="453">
        <f t="shared" si="53"/>
        <v>3.01</v>
      </c>
      <c r="B405" s="383">
        <v>16</v>
      </c>
      <c r="D405" s="406"/>
      <c r="E405" s="407"/>
      <c r="F405" s="407"/>
      <c r="G405" s="407"/>
      <c r="H405" s="407"/>
      <c r="I405" s="407"/>
      <c r="J405" s="408" t="s">
        <v>419</v>
      </c>
      <c r="K405" s="409" t="str">
        <f t="shared" si="49"/>
        <v>V=(Ancho x Largo x Alto)* Cant</v>
      </c>
      <c r="L405" s="410" t="str">
        <f t="shared" si="55"/>
        <v>M3</v>
      </c>
      <c r="M405" s="411"/>
      <c r="N405" s="412"/>
      <c r="O405" s="442">
        <v>0.2</v>
      </c>
      <c r="P405" s="442">
        <f t="shared" si="50"/>
        <v>17.54</v>
      </c>
      <c r="Q405" s="413">
        <v>0.12</v>
      </c>
      <c r="R405" s="413">
        <f t="shared" si="51"/>
        <v>0.42096</v>
      </c>
      <c r="S405" s="413">
        <v>1</v>
      </c>
      <c r="T405" s="414">
        <f>+HLOOKUP(B331,[238]Hoja1!$2:$78,29,FALSE)</f>
        <v>0.42096000000000006</v>
      </c>
      <c r="Y405" s="439">
        <f t="shared" si="54"/>
        <v>3.508</v>
      </c>
      <c r="Z405" s="439">
        <f t="shared" si="52"/>
        <v>3.508</v>
      </c>
    </row>
    <row r="406" spans="1:26" ht="25.5">
      <c r="A406" s="453">
        <f t="shared" si="53"/>
        <v>3.01</v>
      </c>
      <c r="B406" s="383">
        <v>17</v>
      </c>
      <c r="D406" s="406"/>
      <c r="E406" s="407"/>
      <c r="F406" s="407"/>
      <c r="G406" s="407"/>
      <c r="H406" s="407"/>
      <c r="I406" s="407"/>
      <c r="J406" s="408" t="s">
        <v>420</v>
      </c>
      <c r="K406" s="409" t="str">
        <f t="shared" si="49"/>
        <v>V=(Ancho x Largo x Alto)* Cant</v>
      </c>
      <c r="L406" s="410" t="str">
        <f t="shared" si="55"/>
        <v>M3</v>
      </c>
      <c r="M406" s="411"/>
      <c r="N406" s="412"/>
      <c r="O406" s="442"/>
      <c r="P406" s="442"/>
      <c r="Q406" s="413"/>
      <c r="R406" s="413"/>
      <c r="S406" s="413"/>
      <c r="T406" s="414">
        <f>+HLOOKUP(B332,[238]Hoja1!$2:$78,29,FALSE)</f>
        <v>0</v>
      </c>
      <c r="Y406" s="439">
        <f t="shared" si="54"/>
        <v>0</v>
      </c>
      <c r="Z406" s="439">
        <f t="shared" si="52"/>
        <v>0</v>
      </c>
    </row>
    <row r="407" spans="1:26" ht="25.5">
      <c r="A407" s="453">
        <f t="shared" si="53"/>
        <v>3.01</v>
      </c>
      <c r="B407" s="383">
        <v>18</v>
      </c>
      <c r="D407" s="406"/>
      <c r="E407" s="407"/>
      <c r="F407" s="407"/>
      <c r="G407" s="407"/>
      <c r="H407" s="407"/>
      <c r="I407" s="407"/>
      <c r="J407" s="408" t="s">
        <v>429</v>
      </c>
      <c r="K407" s="409" t="str">
        <f t="shared" si="49"/>
        <v>V=(Ancho x Largo x Alto)* Cant</v>
      </c>
      <c r="L407" s="410" t="str">
        <f t="shared" si="55"/>
        <v>M3</v>
      </c>
      <c r="M407" s="411"/>
      <c r="N407" s="412"/>
      <c r="O407" s="442">
        <v>0.2</v>
      </c>
      <c r="P407" s="442">
        <f t="shared" si="50"/>
        <v>11.139999999999999</v>
      </c>
      <c r="Q407" s="413">
        <v>0.12</v>
      </c>
      <c r="R407" s="413">
        <f t="shared" si="51"/>
        <v>0.26735999999999999</v>
      </c>
      <c r="S407" s="413">
        <v>1</v>
      </c>
      <c r="T407" s="414">
        <f>+HLOOKUP(B333,[238]Hoja1!$2:$78,29,FALSE)</f>
        <v>0.26735999999999999</v>
      </c>
      <c r="Y407" s="439">
        <f t="shared" si="54"/>
        <v>2.2279999999999998</v>
      </c>
      <c r="Z407" s="439">
        <f t="shared" si="52"/>
        <v>2.2279999999999998</v>
      </c>
    </row>
    <row r="408" spans="1:26" ht="25.5">
      <c r="A408" s="453">
        <f t="shared" si="53"/>
        <v>3.01</v>
      </c>
      <c r="B408" s="383">
        <v>19</v>
      </c>
      <c r="D408" s="406"/>
      <c r="E408" s="407"/>
      <c r="F408" s="407"/>
      <c r="G408" s="407"/>
      <c r="H408" s="407"/>
      <c r="I408" s="407"/>
      <c r="J408" s="408" t="s">
        <v>430</v>
      </c>
      <c r="K408" s="409" t="str">
        <f t="shared" si="49"/>
        <v>V=(Ancho x Largo x Alto)* Cant</v>
      </c>
      <c r="L408" s="410" t="str">
        <f t="shared" si="55"/>
        <v>M3</v>
      </c>
      <c r="M408" s="411"/>
      <c r="N408" s="412"/>
      <c r="O408" s="442">
        <v>0.2</v>
      </c>
      <c r="P408" s="442">
        <f t="shared" si="50"/>
        <v>11.639999999999999</v>
      </c>
      <c r="Q408" s="413">
        <v>0.12</v>
      </c>
      <c r="R408" s="413">
        <f t="shared" si="51"/>
        <v>0.27936</v>
      </c>
      <c r="S408" s="413">
        <v>1</v>
      </c>
      <c r="T408" s="414">
        <f>+HLOOKUP(B334,[238]Hoja1!$2:$78,29,FALSE)</f>
        <v>0.27936</v>
      </c>
      <c r="Y408" s="439">
        <f t="shared" si="54"/>
        <v>2.3279999999999998</v>
      </c>
      <c r="Z408" s="439">
        <f t="shared" si="52"/>
        <v>2.3279999999999998</v>
      </c>
    </row>
    <row r="409" spans="1:26" ht="25.5">
      <c r="A409" s="453">
        <f t="shared" si="53"/>
        <v>3.01</v>
      </c>
      <c r="B409" s="383">
        <v>20</v>
      </c>
      <c r="D409" s="406"/>
      <c r="E409" s="407"/>
      <c r="F409" s="407"/>
      <c r="G409" s="407"/>
      <c r="H409" s="407"/>
      <c r="I409" s="407"/>
      <c r="J409" s="408" t="s">
        <v>431</v>
      </c>
      <c r="K409" s="409" t="str">
        <f t="shared" si="49"/>
        <v>V=(Ancho x Largo x Alto)* Cant</v>
      </c>
      <c r="L409" s="410" t="str">
        <f t="shared" si="55"/>
        <v>M3</v>
      </c>
      <c r="M409" s="411"/>
      <c r="N409" s="412"/>
      <c r="O409" s="442">
        <v>0.2</v>
      </c>
      <c r="P409" s="442">
        <f t="shared" si="50"/>
        <v>2.2000000000000002</v>
      </c>
      <c r="Q409" s="413">
        <v>0.12</v>
      </c>
      <c r="R409" s="413">
        <f t="shared" si="51"/>
        <v>5.2800000000000007E-2</v>
      </c>
      <c r="S409" s="413">
        <v>1</v>
      </c>
      <c r="T409" s="414">
        <f>+HLOOKUP(B335,[238]Hoja1!$2:$78,29,FALSE)</f>
        <v>5.2800000000000007E-2</v>
      </c>
      <c r="Y409" s="439">
        <f t="shared" si="54"/>
        <v>0.44000000000000006</v>
      </c>
      <c r="Z409" s="439">
        <f t="shared" si="52"/>
        <v>0.44000000000000006</v>
      </c>
    </row>
    <row r="410" spans="1:26" ht="25.5">
      <c r="A410" s="453">
        <f t="shared" si="53"/>
        <v>3.01</v>
      </c>
      <c r="B410" s="383">
        <v>21</v>
      </c>
      <c r="D410" s="406"/>
      <c r="E410" s="407"/>
      <c r="F410" s="407"/>
      <c r="G410" s="407"/>
      <c r="H410" s="407"/>
      <c r="I410" s="407"/>
      <c r="J410" s="408" t="s">
        <v>432</v>
      </c>
      <c r="K410" s="409" t="str">
        <f t="shared" si="49"/>
        <v>V=(Ancho x Largo x Alto)* Cant</v>
      </c>
      <c r="L410" s="410" t="str">
        <f t="shared" si="55"/>
        <v>M3</v>
      </c>
      <c r="M410" s="411"/>
      <c r="N410" s="412"/>
      <c r="O410" s="442"/>
      <c r="P410" s="442"/>
      <c r="Q410" s="413"/>
      <c r="R410" s="413"/>
      <c r="S410" s="413"/>
      <c r="T410" s="414">
        <f>+HLOOKUP(B336,[238]Hoja1!$2:$78,29,FALSE)</f>
        <v>0</v>
      </c>
      <c r="Y410" s="439">
        <f t="shared" si="54"/>
        <v>0</v>
      </c>
      <c r="Z410" s="439">
        <f t="shared" si="52"/>
        <v>0</v>
      </c>
    </row>
    <row r="411" spans="1:26" ht="25.5">
      <c r="A411" s="453">
        <f t="shared" si="53"/>
        <v>3.01</v>
      </c>
      <c r="B411" s="383">
        <v>22</v>
      </c>
      <c r="D411" s="406"/>
      <c r="E411" s="407"/>
      <c r="F411" s="407"/>
      <c r="G411" s="407"/>
      <c r="H411" s="407"/>
      <c r="I411" s="407"/>
      <c r="J411" s="408" t="s">
        <v>433</v>
      </c>
      <c r="K411" s="409" t="str">
        <f t="shared" si="49"/>
        <v>V=(Ancho x Largo x Alto)* Cant</v>
      </c>
      <c r="L411" s="410" t="str">
        <f t="shared" si="55"/>
        <v>M3</v>
      </c>
      <c r="M411" s="411"/>
      <c r="N411" s="412"/>
      <c r="O411" s="442">
        <v>0.2</v>
      </c>
      <c r="P411" s="442">
        <f t="shared" si="50"/>
        <v>11.639999999999999</v>
      </c>
      <c r="Q411" s="413">
        <v>0.12</v>
      </c>
      <c r="R411" s="413">
        <f t="shared" si="51"/>
        <v>0.27936</v>
      </c>
      <c r="S411" s="413">
        <v>1</v>
      </c>
      <c r="T411" s="414">
        <f>+HLOOKUP(B337,[238]Hoja1!$2:$78,29,FALSE)</f>
        <v>0.27936</v>
      </c>
      <c r="Y411" s="439">
        <f t="shared" si="54"/>
        <v>2.3279999999999998</v>
      </c>
      <c r="Z411" s="439">
        <f t="shared" si="52"/>
        <v>2.3279999999999998</v>
      </c>
    </row>
    <row r="412" spans="1:26" ht="25.5">
      <c r="A412" s="453">
        <f t="shared" si="53"/>
        <v>3.01</v>
      </c>
      <c r="B412" s="383">
        <v>23</v>
      </c>
      <c r="D412" s="406"/>
      <c r="E412" s="407"/>
      <c r="F412" s="407"/>
      <c r="G412" s="407"/>
      <c r="H412" s="407"/>
      <c r="I412" s="407"/>
      <c r="J412" s="408" t="s">
        <v>434</v>
      </c>
      <c r="K412" s="409" t="str">
        <f t="shared" si="49"/>
        <v>V=(Ancho x Largo x Alto)* Cant</v>
      </c>
      <c r="L412" s="410" t="str">
        <f t="shared" si="55"/>
        <v>M3</v>
      </c>
      <c r="M412" s="411"/>
      <c r="N412" s="412"/>
      <c r="O412" s="442"/>
      <c r="P412" s="442"/>
      <c r="Q412" s="413"/>
      <c r="R412" s="413"/>
      <c r="S412" s="413"/>
      <c r="T412" s="414">
        <f>+HLOOKUP(B338,[238]Hoja1!$2:$78,29,FALSE)</f>
        <v>0</v>
      </c>
      <c r="Y412" s="439">
        <f t="shared" si="54"/>
        <v>0</v>
      </c>
      <c r="Z412" s="439">
        <f t="shared" si="52"/>
        <v>0</v>
      </c>
    </row>
    <row r="413" spans="1:26" ht="25.5">
      <c r="A413" s="453">
        <f t="shared" si="53"/>
        <v>3.01</v>
      </c>
      <c r="B413" s="383">
        <v>24</v>
      </c>
      <c r="D413" s="406"/>
      <c r="E413" s="407"/>
      <c r="F413" s="407"/>
      <c r="G413" s="407"/>
      <c r="H413" s="407"/>
      <c r="I413" s="407"/>
      <c r="J413" s="408" t="s">
        <v>435</v>
      </c>
      <c r="K413" s="409" t="str">
        <f t="shared" si="49"/>
        <v>V=(Ancho x Largo x Alto)* Cant</v>
      </c>
      <c r="L413" s="410" t="str">
        <f t="shared" si="55"/>
        <v>M3</v>
      </c>
      <c r="M413" s="411"/>
      <c r="N413" s="412"/>
      <c r="O413" s="442"/>
      <c r="P413" s="442"/>
      <c r="Q413" s="413"/>
      <c r="R413" s="413"/>
      <c r="S413" s="413"/>
      <c r="T413" s="414">
        <f>+HLOOKUP(B339,[238]Hoja1!$2:$78,29,FALSE)</f>
        <v>1.6799999999999999E-2</v>
      </c>
      <c r="Y413" s="439">
        <f t="shared" si="54"/>
        <v>0</v>
      </c>
      <c r="Z413" s="439">
        <f t="shared" si="52"/>
        <v>0</v>
      </c>
    </row>
    <row r="414" spans="1:26" ht="25.5">
      <c r="A414" s="453">
        <f t="shared" si="53"/>
        <v>3.01</v>
      </c>
      <c r="B414" s="383">
        <v>25</v>
      </c>
      <c r="D414" s="406"/>
      <c r="E414" s="407"/>
      <c r="F414" s="407"/>
      <c r="G414" s="407"/>
      <c r="H414" s="407"/>
      <c r="I414" s="407"/>
      <c r="J414" s="408" t="s">
        <v>436</v>
      </c>
      <c r="K414" s="409" t="str">
        <f t="shared" si="49"/>
        <v>V=(Ancho x Largo x Alto)* Cant</v>
      </c>
      <c r="L414" s="410" t="str">
        <f t="shared" si="55"/>
        <v>M3</v>
      </c>
      <c r="M414" s="411"/>
      <c r="N414" s="412"/>
      <c r="O414" s="442">
        <v>0.2</v>
      </c>
      <c r="P414" s="442">
        <f t="shared" si="50"/>
        <v>11.06</v>
      </c>
      <c r="Q414" s="413">
        <v>0.12</v>
      </c>
      <c r="R414" s="413">
        <f t="shared" si="51"/>
        <v>0.26544000000000001</v>
      </c>
      <c r="S414" s="413">
        <v>1</v>
      </c>
      <c r="T414" s="414">
        <f>+HLOOKUP(B340,[238]Hoja1!$2:$78,29,FALSE)</f>
        <v>0.26544000000000001</v>
      </c>
      <c r="Y414" s="439">
        <f t="shared" si="54"/>
        <v>2.2120000000000002</v>
      </c>
      <c r="Z414" s="439">
        <f t="shared" si="52"/>
        <v>2.2120000000000002</v>
      </c>
    </row>
    <row r="415" spans="1:26" ht="25.5">
      <c r="A415" s="453">
        <f t="shared" si="53"/>
        <v>3.01</v>
      </c>
      <c r="B415" s="383">
        <v>26</v>
      </c>
      <c r="D415" s="406"/>
      <c r="E415" s="407"/>
      <c r="F415" s="407"/>
      <c r="G415" s="407"/>
      <c r="H415" s="407"/>
      <c r="I415" s="407"/>
      <c r="J415" s="408" t="s">
        <v>437</v>
      </c>
      <c r="K415" s="409" t="str">
        <f t="shared" si="49"/>
        <v>V=(Ancho x Largo x Alto)* Cant</v>
      </c>
      <c r="L415" s="410" t="str">
        <f>+L404</f>
        <v>M3</v>
      </c>
      <c r="M415" s="411"/>
      <c r="N415" s="412"/>
      <c r="O415" s="442"/>
      <c r="P415" s="442"/>
      <c r="Q415" s="413"/>
      <c r="R415" s="413"/>
      <c r="S415" s="413"/>
      <c r="T415" s="414">
        <f>+HLOOKUP(B341,[238]Hoja1!$2:$78,29,FALSE)</f>
        <v>0</v>
      </c>
      <c r="Y415" s="439">
        <f t="shared" si="54"/>
        <v>0</v>
      </c>
      <c r="Z415" s="439">
        <f t="shared" si="52"/>
        <v>0</v>
      </c>
    </row>
    <row r="416" spans="1:26" ht="25.5">
      <c r="A416" s="453">
        <f t="shared" si="53"/>
        <v>3.01</v>
      </c>
      <c r="B416" s="383">
        <v>27</v>
      </c>
      <c r="D416" s="406"/>
      <c r="E416" s="407"/>
      <c r="F416" s="407"/>
      <c r="G416" s="407"/>
      <c r="H416" s="407"/>
      <c r="I416" s="407"/>
      <c r="J416" s="408" t="s">
        <v>438</v>
      </c>
      <c r="K416" s="409" t="str">
        <f t="shared" si="49"/>
        <v>V=(Ancho x Largo x Alto)* Cant</v>
      </c>
      <c r="L416" s="410" t="str">
        <f t="shared" ref="L416:L424" si="56">+L415</f>
        <v>M3</v>
      </c>
      <c r="M416" s="411"/>
      <c r="N416" s="412"/>
      <c r="O416" s="442">
        <v>0.2</v>
      </c>
      <c r="P416" s="442">
        <f t="shared" si="50"/>
        <v>11.639999999999999</v>
      </c>
      <c r="Q416" s="413">
        <v>0.12</v>
      </c>
      <c r="R416" s="413">
        <f t="shared" si="51"/>
        <v>0.27936</v>
      </c>
      <c r="S416" s="413">
        <v>1</v>
      </c>
      <c r="T416" s="414">
        <f>+HLOOKUP(B342,[238]Hoja1!$2:$78,29,FALSE)</f>
        <v>0.27936</v>
      </c>
      <c r="Y416" s="439">
        <f t="shared" si="54"/>
        <v>2.3279999999999998</v>
      </c>
      <c r="Z416" s="439">
        <f t="shared" si="52"/>
        <v>2.3279999999999998</v>
      </c>
    </row>
    <row r="417" spans="1:26" ht="25.5">
      <c r="A417" s="453">
        <f t="shared" si="53"/>
        <v>3.01</v>
      </c>
      <c r="B417" s="383">
        <v>28</v>
      </c>
      <c r="D417" s="406"/>
      <c r="E417" s="440"/>
      <c r="F417" s="407"/>
      <c r="G417" s="407"/>
      <c r="H417" s="407"/>
      <c r="I417" s="437"/>
      <c r="J417" s="408" t="s">
        <v>439</v>
      </c>
      <c r="K417" s="409" t="str">
        <f t="shared" si="49"/>
        <v>V=(Ancho x Largo x Alto)* Cant</v>
      </c>
      <c r="L417" s="410" t="str">
        <f t="shared" si="56"/>
        <v>M3</v>
      </c>
      <c r="M417" s="411"/>
      <c r="N417" s="412"/>
      <c r="O417" s="442"/>
      <c r="P417" s="442"/>
      <c r="Q417" s="413"/>
      <c r="R417" s="413"/>
      <c r="S417" s="413"/>
      <c r="T417" s="414">
        <f>+HLOOKUP(B343,[238]Hoja1!$2:$78,29,FALSE)</f>
        <v>0</v>
      </c>
      <c r="Y417" s="439">
        <f t="shared" si="54"/>
        <v>0</v>
      </c>
      <c r="Z417" s="439">
        <f t="shared" si="52"/>
        <v>0</v>
      </c>
    </row>
    <row r="418" spans="1:26" ht="25.5">
      <c r="A418" s="453">
        <f t="shared" si="53"/>
        <v>3.01</v>
      </c>
      <c r="B418" s="383">
        <v>29</v>
      </c>
      <c r="D418" s="406"/>
      <c r="E418" s="407"/>
      <c r="F418" s="407"/>
      <c r="G418" s="407"/>
      <c r="H418" s="407"/>
      <c r="I418" s="407"/>
      <c r="J418" s="408" t="s">
        <v>440</v>
      </c>
      <c r="K418" s="409" t="str">
        <f t="shared" si="49"/>
        <v>V=(Ancho x Largo x Alto)* Cant</v>
      </c>
      <c r="L418" s="410" t="str">
        <f t="shared" si="56"/>
        <v>M3</v>
      </c>
      <c r="M418" s="411"/>
      <c r="N418" s="412"/>
      <c r="O418" s="442"/>
      <c r="P418" s="442"/>
      <c r="Q418" s="413"/>
      <c r="R418" s="413"/>
      <c r="S418" s="413"/>
      <c r="T418" s="414">
        <f>+HLOOKUP(B344,[238]Hoja1!$2:$78,29,FALSE)</f>
        <v>0</v>
      </c>
      <c r="Y418" s="439">
        <f t="shared" si="54"/>
        <v>0</v>
      </c>
      <c r="Z418" s="439">
        <f t="shared" si="52"/>
        <v>0</v>
      </c>
    </row>
    <row r="419" spans="1:26" ht="25.5">
      <c r="A419" s="453">
        <f t="shared" si="53"/>
        <v>3.01</v>
      </c>
      <c r="B419" s="383">
        <v>30</v>
      </c>
      <c r="D419" s="406"/>
      <c r="E419" s="407"/>
      <c r="F419" s="407"/>
      <c r="G419" s="407"/>
      <c r="H419" s="407"/>
      <c r="I419" s="407"/>
      <c r="J419" s="408" t="s">
        <v>441</v>
      </c>
      <c r="K419" s="409" t="str">
        <f t="shared" si="49"/>
        <v>V=(Ancho x Largo x Alto)* Cant</v>
      </c>
      <c r="L419" s="410" t="str">
        <f t="shared" si="56"/>
        <v>M3</v>
      </c>
      <c r="M419" s="411"/>
      <c r="N419" s="412"/>
      <c r="O419" s="442">
        <v>0.2</v>
      </c>
      <c r="P419" s="442">
        <f t="shared" si="50"/>
        <v>2.2000000000000002</v>
      </c>
      <c r="Q419" s="413">
        <v>0.12</v>
      </c>
      <c r="R419" s="413">
        <f t="shared" si="51"/>
        <v>5.2800000000000007E-2</v>
      </c>
      <c r="S419" s="413">
        <v>1</v>
      </c>
      <c r="T419" s="414">
        <f>+HLOOKUP(B345,[238]Hoja1!$2:$78,29,FALSE)</f>
        <v>5.2800000000000007E-2</v>
      </c>
      <c r="Y419" s="439">
        <f t="shared" si="54"/>
        <v>0.44000000000000006</v>
      </c>
      <c r="Z419" s="439">
        <f t="shared" si="52"/>
        <v>0.44000000000000006</v>
      </c>
    </row>
    <row r="420" spans="1:26" ht="25.5">
      <c r="A420" s="453">
        <f t="shared" si="53"/>
        <v>3.01</v>
      </c>
      <c r="B420" s="383">
        <v>31</v>
      </c>
      <c r="D420" s="406"/>
      <c r="E420" s="407"/>
      <c r="F420" s="407"/>
      <c r="G420" s="407"/>
      <c r="H420" s="407"/>
      <c r="I420" s="407"/>
      <c r="J420" s="408" t="s">
        <v>442</v>
      </c>
      <c r="K420" s="409" t="str">
        <f t="shared" si="49"/>
        <v>V=(Ancho x Largo x Alto)* Cant</v>
      </c>
      <c r="L420" s="410" t="str">
        <f t="shared" si="56"/>
        <v>M3</v>
      </c>
      <c r="M420" s="411"/>
      <c r="N420" s="412"/>
      <c r="O420" s="442"/>
      <c r="P420" s="442"/>
      <c r="Q420" s="413"/>
      <c r="R420" s="413"/>
      <c r="S420" s="413"/>
      <c r="T420" s="414">
        <f>+HLOOKUP(B346,[238]Hoja1!$2:$78,29,FALSE)</f>
        <v>0</v>
      </c>
      <c r="Y420" s="439">
        <f t="shared" si="54"/>
        <v>0</v>
      </c>
      <c r="Z420" s="439">
        <f t="shared" si="52"/>
        <v>0</v>
      </c>
    </row>
    <row r="421" spans="1:26" ht="25.5">
      <c r="A421" s="453">
        <f t="shared" si="53"/>
        <v>3.01</v>
      </c>
      <c r="B421" s="383">
        <v>32</v>
      </c>
      <c r="D421" s="406"/>
      <c r="E421" s="407"/>
      <c r="F421" s="407"/>
      <c r="G421" s="407"/>
      <c r="H421" s="407"/>
      <c r="I421" s="407"/>
      <c r="J421" s="408" t="s">
        <v>443</v>
      </c>
      <c r="K421" s="409" t="str">
        <f t="shared" si="49"/>
        <v>V=(Ancho x Largo x Alto)* Cant</v>
      </c>
      <c r="L421" s="410" t="str">
        <f t="shared" si="56"/>
        <v>M3</v>
      </c>
      <c r="M421" s="411"/>
      <c r="N421" s="412"/>
      <c r="O421" s="442">
        <v>0.2</v>
      </c>
      <c r="P421" s="442">
        <f t="shared" si="50"/>
        <v>9.5</v>
      </c>
      <c r="Q421" s="413">
        <v>0.12</v>
      </c>
      <c r="R421" s="413">
        <f t="shared" si="51"/>
        <v>0.22799999999999998</v>
      </c>
      <c r="S421" s="413">
        <v>1</v>
      </c>
      <c r="T421" s="414">
        <f>+HLOOKUP(B347,[238]Hoja1!$2:$78,29,FALSE)</f>
        <v>0.22800000000000001</v>
      </c>
      <c r="Y421" s="439">
        <f t="shared" si="54"/>
        <v>1.9000000000000001</v>
      </c>
      <c r="Z421" s="439">
        <f t="shared" si="52"/>
        <v>1.9000000000000001</v>
      </c>
    </row>
    <row r="422" spans="1:26" ht="25.5">
      <c r="A422" s="453">
        <f t="shared" si="53"/>
        <v>3.01</v>
      </c>
      <c r="B422" s="383">
        <v>33</v>
      </c>
      <c r="D422" s="406"/>
      <c r="E422" s="407"/>
      <c r="F422" s="407"/>
      <c r="G422" s="407"/>
      <c r="H422" s="407"/>
      <c r="I422" s="407"/>
      <c r="J422" s="408" t="s">
        <v>444</v>
      </c>
      <c r="K422" s="409" t="str">
        <f t="shared" si="49"/>
        <v>V=(Ancho x Largo x Alto)* Cant</v>
      </c>
      <c r="L422" s="410" t="str">
        <f t="shared" si="56"/>
        <v>M3</v>
      </c>
      <c r="M422" s="411"/>
      <c r="N422" s="412"/>
      <c r="O422" s="442">
        <v>0.2</v>
      </c>
      <c r="P422" s="442">
        <f t="shared" si="50"/>
        <v>25.6</v>
      </c>
      <c r="Q422" s="413">
        <v>0.12</v>
      </c>
      <c r="R422" s="413">
        <f t="shared" si="51"/>
        <v>0.61440000000000006</v>
      </c>
      <c r="S422" s="413">
        <v>1</v>
      </c>
      <c r="T422" s="414">
        <f>+HLOOKUP(B348,[238]Hoja1!$2:$78,29,FALSE)</f>
        <v>0.61440000000000006</v>
      </c>
      <c r="Y422" s="439">
        <f t="shared" si="54"/>
        <v>5.120000000000001</v>
      </c>
      <c r="Z422" s="439">
        <f t="shared" si="52"/>
        <v>5.120000000000001</v>
      </c>
    </row>
    <row r="423" spans="1:26" ht="25.5">
      <c r="A423" s="453">
        <f t="shared" si="53"/>
        <v>3.01</v>
      </c>
      <c r="B423" s="383">
        <v>34</v>
      </c>
      <c r="D423" s="406"/>
      <c r="E423" s="407"/>
      <c r="F423" s="407"/>
      <c r="G423" s="407"/>
      <c r="H423" s="407"/>
      <c r="I423" s="407"/>
      <c r="J423" s="408" t="s">
        <v>445</v>
      </c>
      <c r="K423" s="409" t="str">
        <f t="shared" si="49"/>
        <v>V=(Ancho x Largo x Alto)* Cant</v>
      </c>
      <c r="L423" s="410" t="str">
        <f t="shared" si="56"/>
        <v>M3</v>
      </c>
      <c r="M423" s="411"/>
      <c r="N423" s="412"/>
      <c r="O423" s="442"/>
      <c r="P423" s="442"/>
      <c r="Q423" s="413"/>
      <c r="R423" s="413"/>
      <c r="S423" s="413"/>
      <c r="T423" s="414">
        <f>+HLOOKUP(B349,[238]Hoja1!$2:$78,29,FALSE)</f>
        <v>0</v>
      </c>
      <c r="Y423" s="439">
        <f t="shared" si="54"/>
        <v>0</v>
      </c>
      <c r="Z423" s="439">
        <f t="shared" si="52"/>
        <v>0</v>
      </c>
    </row>
    <row r="424" spans="1:26" ht="25.5">
      <c r="A424" s="453">
        <f t="shared" si="53"/>
        <v>3.01</v>
      </c>
      <c r="B424" s="383">
        <v>35</v>
      </c>
      <c r="D424" s="406"/>
      <c r="E424" s="440"/>
      <c r="F424" s="407"/>
      <c r="G424" s="407"/>
      <c r="H424" s="407"/>
      <c r="I424" s="437"/>
      <c r="J424" s="408" t="s">
        <v>446</v>
      </c>
      <c r="K424" s="409" t="str">
        <f t="shared" si="49"/>
        <v>V=(Ancho x Largo x Alto)* Cant</v>
      </c>
      <c r="L424" s="410" t="str">
        <f t="shared" si="56"/>
        <v>M3</v>
      </c>
      <c r="M424" s="411"/>
      <c r="N424" s="412"/>
      <c r="O424" s="442"/>
      <c r="P424" s="442"/>
      <c r="Q424" s="413"/>
      <c r="R424" s="413"/>
      <c r="S424" s="413"/>
      <c r="T424" s="414">
        <f>+HLOOKUP(B350,[238]Hoja1!$2:$78,29,FALSE)</f>
        <v>0</v>
      </c>
      <c r="Y424" s="439">
        <f t="shared" si="54"/>
        <v>0</v>
      </c>
      <c r="Z424" s="439">
        <f t="shared" si="52"/>
        <v>0</v>
      </c>
    </row>
    <row r="425" spans="1:26" ht="25.5">
      <c r="A425" s="453">
        <f t="shared" si="53"/>
        <v>3.01</v>
      </c>
      <c r="B425" s="383">
        <v>36</v>
      </c>
      <c r="D425" s="406"/>
      <c r="E425" s="407"/>
      <c r="F425" s="407"/>
      <c r="G425" s="407"/>
      <c r="H425" s="407"/>
      <c r="I425" s="407"/>
      <c r="J425" s="408" t="s">
        <v>447</v>
      </c>
      <c r="K425" s="409" t="str">
        <f t="shared" si="49"/>
        <v>V=(Ancho x Largo x Alto)* Cant</v>
      </c>
      <c r="L425" s="410" t="str">
        <f>+L414</f>
        <v>M3</v>
      </c>
      <c r="M425" s="411"/>
      <c r="N425" s="412"/>
      <c r="O425" s="442">
        <v>0.2</v>
      </c>
      <c r="P425" s="442">
        <f t="shared" si="50"/>
        <v>10.640000000000002</v>
      </c>
      <c r="Q425" s="413">
        <v>0.12</v>
      </c>
      <c r="R425" s="413">
        <f t="shared" si="51"/>
        <v>0.25536000000000003</v>
      </c>
      <c r="S425" s="413">
        <v>1</v>
      </c>
      <c r="T425" s="414">
        <f>+HLOOKUP(B351,[238]Hoja1!$2:$78,29,FALSE)</f>
        <v>0.25536000000000003</v>
      </c>
      <c r="Y425" s="439">
        <f t="shared" si="54"/>
        <v>2.1280000000000006</v>
      </c>
      <c r="Z425" s="439">
        <f t="shared" si="52"/>
        <v>2.1280000000000006</v>
      </c>
    </row>
    <row r="426" spans="1:26" ht="25.5">
      <c r="A426" s="453">
        <f t="shared" si="53"/>
        <v>3.01</v>
      </c>
      <c r="B426" s="383">
        <v>37</v>
      </c>
      <c r="D426" s="406"/>
      <c r="E426" s="407"/>
      <c r="F426" s="407"/>
      <c r="G426" s="407"/>
      <c r="H426" s="407"/>
      <c r="I426" s="407"/>
      <c r="J426" s="408" t="s">
        <v>448</v>
      </c>
      <c r="K426" s="409" t="str">
        <f t="shared" si="49"/>
        <v>V=(Ancho x Largo x Alto)* Cant</v>
      </c>
      <c r="L426" s="410" t="str">
        <f t="shared" ref="L426:L432" si="57">+L425</f>
        <v>M3</v>
      </c>
      <c r="M426" s="411"/>
      <c r="N426" s="412"/>
      <c r="O426" s="442">
        <v>0.2</v>
      </c>
      <c r="P426" s="442">
        <f t="shared" si="50"/>
        <v>2.1500000000000004</v>
      </c>
      <c r="Q426" s="413">
        <v>0.12</v>
      </c>
      <c r="R426" s="413">
        <f t="shared" si="51"/>
        <v>5.1600000000000007E-2</v>
      </c>
      <c r="S426" s="413">
        <v>1</v>
      </c>
      <c r="T426" s="414">
        <f>+HLOOKUP(B352,[238]Hoja1!$2:$78,29,FALSE)</f>
        <v>5.16E-2</v>
      </c>
      <c r="Y426" s="439">
        <f t="shared" si="54"/>
        <v>0.4300000000000001</v>
      </c>
      <c r="Z426" s="439">
        <f t="shared" si="52"/>
        <v>0.4300000000000001</v>
      </c>
    </row>
    <row r="427" spans="1:26" ht="25.5">
      <c r="A427" s="453">
        <f t="shared" si="53"/>
        <v>3.01</v>
      </c>
      <c r="B427" s="383">
        <v>38</v>
      </c>
      <c r="D427" s="406"/>
      <c r="E427" s="440"/>
      <c r="F427" s="407"/>
      <c r="G427" s="407"/>
      <c r="H427" s="407"/>
      <c r="I427" s="437"/>
      <c r="J427" s="408" t="s">
        <v>449</v>
      </c>
      <c r="K427" s="409" t="str">
        <f t="shared" si="49"/>
        <v>V=(Ancho x Largo x Alto)* Cant</v>
      </c>
      <c r="L427" s="410" t="str">
        <f t="shared" si="57"/>
        <v>M3</v>
      </c>
      <c r="M427" s="411"/>
      <c r="N427" s="412"/>
      <c r="O427" s="442"/>
      <c r="P427" s="442"/>
      <c r="Q427" s="413"/>
      <c r="R427" s="413"/>
      <c r="S427" s="413"/>
      <c r="T427" s="414">
        <f>+HLOOKUP(B353,[238]Hoja1!$2:$78,29,FALSE)</f>
        <v>0</v>
      </c>
      <c r="Y427" s="439">
        <f t="shared" si="54"/>
        <v>0</v>
      </c>
      <c r="Z427" s="439">
        <f t="shared" si="52"/>
        <v>0</v>
      </c>
    </row>
    <row r="428" spans="1:26" ht="25.5">
      <c r="A428" s="453">
        <f t="shared" si="53"/>
        <v>3.01</v>
      </c>
      <c r="B428" s="383">
        <v>39</v>
      </c>
      <c r="D428" s="406"/>
      <c r="E428" s="407"/>
      <c r="F428" s="407"/>
      <c r="G428" s="407"/>
      <c r="H428" s="407"/>
      <c r="I428" s="407"/>
      <c r="J428" s="408" t="s">
        <v>450</v>
      </c>
      <c r="K428" s="409" t="str">
        <f t="shared" si="49"/>
        <v>V=(Ancho x Largo x Alto)* Cant</v>
      </c>
      <c r="L428" s="410" t="str">
        <f t="shared" si="57"/>
        <v>M3</v>
      </c>
      <c r="M428" s="411"/>
      <c r="N428" s="412"/>
      <c r="O428" s="442"/>
      <c r="P428" s="442"/>
      <c r="Q428" s="413"/>
      <c r="R428" s="413"/>
      <c r="S428" s="413"/>
      <c r="T428" s="414">
        <f>+HLOOKUP(B354,[238]Hoja1!$2:$78,29,FALSE)</f>
        <v>0</v>
      </c>
      <c r="Y428" s="439">
        <f t="shared" si="54"/>
        <v>0</v>
      </c>
      <c r="Z428" s="439">
        <f t="shared" si="52"/>
        <v>0</v>
      </c>
    </row>
    <row r="429" spans="1:26" ht="25.5">
      <c r="A429" s="453">
        <f t="shared" si="53"/>
        <v>3.01</v>
      </c>
      <c r="B429" s="383">
        <v>40</v>
      </c>
      <c r="D429" s="406"/>
      <c r="E429" s="407"/>
      <c r="F429" s="407"/>
      <c r="G429" s="407"/>
      <c r="H429" s="407"/>
      <c r="I429" s="407"/>
      <c r="J429" s="408" t="s">
        <v>451</v>
      </c>
      <c r="K429" s="409" t="str">
        <f t="shared" si="49"/>
        <v>V=(Ancho x Largo x Alto)* Cant</v>
      </c>
      <c r="L429" s="410" t="str">
        <f t="shared" si="57"/>
        <v>M3</v>
      </c>
      <c r="M429" s="411"/>
      <c r="N429" s="412"/>
      <c r="O429" s="442">
        <v>0.2</v>
      </c>
      <c r="P429" s="442">
        <f t="shared" si="50"/>
        <v>9.5</v>
      </c>
      <c r="Q429" s="413">
        <v>0.12</v>
      </c>
      <c r="R429" s="413">
        <f t="shared" si="51"/>
        <v>0.22799999999999998</v>
      </c>
      <c r="S429" s="413">
        <v>1</v>
      </c>
      <c r="T429" s="414">
        <f>+HLOOKUP(B355,[238]Hoja1!$2:$78,29,FALSE)</f>
        <v>0.22800000000000001</v>
      </c>
      <c r="Y429" s="439">
        <f t="shared" si="54"/>
        <v>1.9000000000000001</v>
      </c>
      <c r="Z429" s="439">
        <f t="shared" si="52"/>
        <v>1.9000000000000001</v>
      </c>
    </row>
    <row r="430" spans="1:26" ht="25.5">
      <c r="A430" s="453">
        <f t="shared" si="53"/>
        <v>3.01</v>
      </c>
      <c r="B430" s="383">
        <v>41</v>
      </c>
      <c r="D430" s="406"/>
      <c r="E430" s="407"/>
      <c r="F430" s="407"/>
      <c r="G430" s="407"/>
      <c r="H430" s="407"/>
      <c r="I430" s="407"/>
      <c r="J430" s="408" t="s">
        <v>452</v>
      </c>
      <c r="K430" s="409" t="str">
        <f t="shared" si="49"/>
        <v>V=(Ancho x Largo x Alto)* Cant</v>
      </c>
      <c r="L430" s="410" t="str">
        <f t="shared" si="57"/>
        <v>M3</v>
      </c>
      <c r="M430" s="411"/>
      <c r="N430" s="412"/>
      <c r="O430" s="442">
        <v>0.2</v>
      </c>
      <c r="P430" s="442">
        <f t="shared" si="50"/>
        <v>9.7999999999999989</v>
      </c>
      <c r="Q430" s="413">
        <v>0.12</v>
      </c>
      <c r="R430" s="413">
        <f t="shared" si="51"/>
        <v>0.23519999999999999</v>
      </c>
      <c r="S430" s="413">
        <v>1</v>
      </c>
      <c r="T430" s="414">
        <f>+HLOOKUP(B356,[238]Hoja1!$2:$78,29,FALSE)</f>
        <v>0.23520000000000002</v>
      </c>
      <c r="Y430" s="439">
        <f t="shared" si="54"/>
        <v>1.96</v>
      </c>
      <c r="Z430" s="439">
        <f t="shared" si="52"/>
        <v>1.96</v>
      </c>
    </row>
    <row r="431" spans="1:26" ht="25.5">
      <c r="A431" s="453">
        <f t="shared" si="53"/>
        <v>3.01</v>
      </c>
      <c r="B431" s="383">
        <v>42</v>
      </c>
      <c r="D431" s="406"/>
      <c r="E431" s="407"/>
      <c r="F431" s="407"/>
      <c r="G431" s="407"/>
      <c r="H431" s="407"/>
      <c r="I431" s="407"/>
      <c r="J431" s="408" t="s">
        <v>453</v>
      </c>
      <c r="K431" s="409" t="str">
        <f t="shared" si="49"/>
        <v>V=(Ancho x Largo x Alto)* Cant</v>
      </c>
      <c r="L431" s="410" t="str">
        <f t="shared" si="57"/>
        <v>M3</v>
      </c>
      <c r="M431" s="411"/>
      <c r="N431" s="412"/>
      <c r="O431" s="442"/>
      <c r="P431" s="442"/>
      <c r="Q431" s="413"/>
      <c r="R431" s="413"/>
      <c r="S431" s="413"/>
      <c r="T431" s="414">
        <f>+HLOOKUP(B357,[238]Hoja1!$2:$78,29,FALSE)</f>
        <v>0</v>
      </c>
      <c r="Y431" s="439">
        <f t="shared" si="54"/>
        <v>0</v>
      </c>
      <c r="Z431" s="439">
        <f t="shared" si="52"/>
        <v>0</v>
      </c>
    </row>
    <row r="432" spans="1:26" ht="26.25" thickBot="1">
      <c r="A432" s="453">
        <f t="shared" si="53"/>
        <v>3.01</v>
      </c>
      <c r="B432" s="383">
        <v>43</v>
      </c>
      <c r="D432" s="406"/>
      <c r="E432" s="407"/>
      <c r="F432" s="407"/>
      <c r="G432" s="407"/>
      <c r="H432" s="407"/>
      <c r="I432" s="407"/>
      <c r="J432" s="408" t="s">
        <v>454</v>
      </c>
      <c r="K432" s="409" t="str">
        <f t="shared" si="49"/>
        <v>V=(Ancho x Largo x Alto)* Cant</v>
      </c>
      <c r="L432" s="410" t="str">
        <f t="shared" si="57"/>
        <v>M3</v>
      </c>
      <c r="M432" s="411"/>
      <c r="N432" s="412"/>
      <c r="O432" s="442"/>
      <c r="P432" s="442"/>
      <c r="Q432" s="413"/>
      <c r="R432" s="413"/>
      <c r="S432" s="413"/>
      <c r="T432" s="414">
        <f>+HLOOKUP(B358,[238]Hoja1!$2:$78,29,FALSE)</f>
        <v>0</v>
      </c>
      <c r="Y432" s="439">
        <f t="shared" si="54"/>
        <v>0</v>
      </c>
      <c r="Z432" s="439">
        <f t="shared" si="52"/>
        <v>0</v>
      </c>
    </row>
    <row r="433" spans="4:20">
      <c r="D433" s="384"/>
      <c r="E433" s="419"/>
      <c r="F433" s="420"/>
      <c r="G433" s="421"/>
      <c r="H433" s="421"/>
      <c r="I433" s="421"/>
      <c r="J433" s="421"/>
      <c r="K433" s="422"/>
      <c r="L433" s="421"/>
      <c r="M433" s="421"/>
      <c r="N433" s="421"/>
      <c r="O433" s="421"/>
      <c r="P433" s="421"/>
      <c r="Q433" s="421"/>
      <c r="R433" s="421"/>
      <c r="S433" s="422"/>
      <c r="T433" s="423"/>
    </row>
    <row r="434" spans="4:20">
      <c r="D434" s="396"/>
      <c r="E434" s="397"/>
      <c r="F434" s="424"/>
      <c r="G434" s="425"/>
      <c r="H434" s="425"/>
      <c r="I434" s="425"/>
      <c r="J434" s="425"/>
      <c r="K434" s="398"/>
      <c r="L434" s="425"/>
      <c r="M434" s="425"/>
      <c r="N434" s="397"/>
      <c r="O434" s="397"/>
      <c r="P434" s="562" t="s">
        <v>455</v>
      </c>
      <c r="Q434" s="563"/>
      <c r="R434" s="564"/>
      <c r="S434" s="426"/>
      <c r="T434" s="427">
        <f>ROUND(SUM(T390:T433),2)</f>
        <v>5.48</v>
      </c>
    </row>
    <row r="435" spans="4:20">
      <c r="D435" s="396"/>
      <c r="E435" s="397"/>
      <c r="F435" s="424"/>
      <c r="G435" s="425"/>
      <c r="H435" s="425"/>
      <c r="I435" s="425"/>
      <c r="J435" s="425"/>
      <c r="K435" s="398"/>
      <c r="L435" s="425"/>
      <c r="M435" s="425"/>
      <c r="N435" s="428"/>
      <c r="O435" s="428"/>
      <c r="P435" s="429"/>
      <c r="Q435" s="425"/>
      <c r="R435" s="425"/>
      <c r="S435" s="430"/>
      <c r="T435" s="431"/>
    </row>
    <row r="436" spans="4:20">
      <c r="D436" s="565" t="e">
        <v>#REF!</v>
      </c>
      <c r="E436" s="566"/>
      <c r="F436" s="566"/>
      <c r="G436" s="566"/>
      <c r="H436" s="566"/>
      <c r="I436" s="566"/>
      <c r="J436" s="566"/>
      <c r="K436" s="566"/>
      <c r="L436" s="566"/>
      <c r="M436" s="566"/>
      <c r="N436" s="566"/>
      <c r="O436" s="567"/>
      <c r="P436" s="568" t="s">
        <v>422</v>
      </c>
      <c r="Q436" s="568"/>
      <c r="R436" s="568"/>
      <c r="S436" s="426"/>
      <c r="T436" s="427">
        <f>T434</f>
        <v>5.48</v>
      </c>
    </row>
    <row r="437" spans="4:20">
      <c r="D437" s="396"/>
      <c r="E437" s="397"/>
      <c r="F437" s="424"/>
      <c r="G437" s="425"/>
      <c r="H437" s="425"/>
      <c r="I437" s="425"/>
      <c r="J437" s="425"/>
      <c r="K437" s="398"/>
      <c r="L437" s="425"/>
      <c r="M437" s="425"/>
      <c r="N437" s="428"/>
      <c r="O437" s="428"/>
      <c r="P437" s="429"/>
      <c r="Q437" s="425"/>
      <c r="R437" s="398"/>
      <c r="S437" s="398"/>
      <c r="T437" s="432"/>
    </row>
    <row r="438" spans="4:20">
      <c r="D438" s="396"/>
      <c r="E438" s="397"/>
      <c r="F438" s="424"/>
      <c r="G438" s="425"/>
      <c r="H438" s="425"/>
      <c r="I438" s="425"/>
      <c r="J438" s="425"/>
      <c r="K438" s="398"/>
      <c r="L438" s="425"/>
      <c r="M438" s="425"/>
      <c r="N438" s="428"/>
      <c r="O438" s="428"/>
      <c r="P438" s="429"/>
      <c r="Q438" s="425"/>
      <c r="R438" s="398"/>
      <c r="S438" s="398"/>
      <c r="T438" s="432"/>
    </row>
    <row r="439" spans="4:20">
      <c r="D439" s="569" t="s">
        <v>423</v>
      </c>
      <c r="E439" s="570"/>
      <c r="F439" s="570"/>
      <c r="G439" s="570"/>
      <c r="H439" s="570"/>
      <c r="I439" s="570"/>
      <c r="J439" s="570"/>
      <c r="K439" s="571"/>
      <c r="L439" s="433" t="s">
        <v>424</v>
      </c>
      <c r="M439" s="434"/>
      <c r="N439" s="434"/>
      <c r="O439" s="434"/>
      <c r="P439" s="434"/>
      <c r="Q439" s="434"/>
      <c r="R439" s="434"/>
      <c r="S439" s="434"/>
      <c r="T439" s="435"/>
    </row>
    <row r="440" spans="4:20">
      <c r="D440" s="542"/>
      <c r="E440" s="543"/>
      <c r="F440" s="543"/>
      <c r="G440" s="543"/>
      <c r="H440" s="436"/>
      <c r="I440" s="436"/>
      <c r="J440" s="436"/>
      <c r="K440" s="447"/>
      <c r="L440" s="436"/>
      <c r="M440" s="407"/>
      <c r="N440" s="407"/>
      <c r="O440" s="407"/>
      <c r="P440" s="407"/>
      <c r="Q440" s="407"/>
      <c r="R440" s="407"/>
      <c r="S440" s="407"/>
      <c r="T440" s="437"/>
    </row>
    <row r="441" spans="4:20">
      <c r="D441" s="542"/>
      <c r="E441" s="543"/>
      <c r="F441" s="543"/>
      <c r="G441" s="543"/>
      <c r="H441" s="436"/>
      <c r="I441" s="436"/>
      <c r="J441" s="436"/>
      <c r="K441" s="447"/>
      <c r="L441" s="436"/>
      <c r="M441" s="407"/>
      <c r="N441" s="407"/>
      <c r="O441" s="407"/>
      <c r="P441" s="407"/>
      <c r="Q441" s="407"/>
      <c r="R441" s="407"/>
      <c r="S441" s="407"/>
      <c r="T441" s="437"/>
    </row>
    <row r="442" spans="4:20">
      <c r="D442" s="542" t="s">
        <v>425</v>
      </c>
      <c r="E442" s="543"/>
      <c r="F442" s="543" t="s">
        <v>425</v>
      </c>
      <c r="G442" s="543"/>
      <c r="H442" s="543" t="s">
        <v>425</v>
      </c>
      <c r="I442" s="543"/>
      <c r="J442" s="543" t="s">
        <v>425</v>
      </c>
      <c r="K442" s="544"/>
      <c r="L442" s="545" t="s">
        <v>426</v>
      </c>
      <c r="M442" s="546"/>
      <c r="N442" s="546"/>
      <c r="O442" s="546"/>
      <c r="P442" s="546"/>
      <c r="Q442" s="546"/>
      <c r="R442" s="546"/>
      <c r="S442" s="546"/>
      <c r="T442" s="547"/>
    </row>
    <row r="443" spans="4:20">
      <c r="D443" s="548" t="str">
        <f>+[42]DATOS!D$8</f>
        <v>HELMER EDUARDO BECERRA SANTANDER</v>
      </c>
      <c r="E443" s="549"/>
      <c r="F443" s="549" t="s">
        <v>427</v>
      </c>
      <c r="G443" s="549"/>
      <c r="H443" s="549" t="s">
        <v>427</v>
      </c>
      <c r="I443" s="549"/>
      <c r="J443" s="549" t="s">
        <v>427</v>
      </c>
      <c r="K443" s="550"/>
      <c r="L443" s="551" t="str">
        <f>+[42]DATOS!D$11</f>
        <v>JESUS IVAN QUIÑONES RUEDA</v>
      </c>
      <c r="M443" s="549"/>
      <c r="N443" s="549"/>
      <c r="O443" s="549"/>
      <c r="P443" s="549"/>
      <c r="Q443" s="549"/>
      <c r="R443" s="549"/>
      <c r="S443" s="549"/>
      <c r="T443" s="552"/>
    </row>
    <row r="444" spans="4:20">
      <c r="D444" s="553" t="str">
        <f>+$D$72</f>
        <v>APOYO SEC. DE PLANEACION Y OBRAS PÚBLICAS</v>
      </c>
      <c r="E444" s="554"/>
      <c r="F444" s="554" t="s">
        <v>428</v>
      </c>
      <c r="G444" s="554"/>
      <c r="H444" s="554" t="s">
        <v>428</v>
      </c>
      <c r="I444" s="554"/>
      <c r="J444" s="554" t="s">
        <v>428</v>
      </c>
      <c r="K444" s="555"/>
      <c r="L444" s="556" t="str">
        <f>+$L$72</f>
        <v>SECRETARIO DE PLANEACION Y OBRAS PÚBLICAS</v>
      </c>
      <c r="M444" s="554"/>
      <c r="N444" s="554"/>
      <c r="O444" s="554"/>
      <c r="P444" s="554"/>
      <c r="Q444" s="554"/>
      <c r="R444" s="554"/>
      <c r="S444" s="554"/>
      <c r="T444" s="557"/>
    </row>
    <row r="445" spans="4:20">
      <c r="D445" s="406"/>
      <c r="E445" s="407"/>
      <c r="F445" s="407"/>
      <c r="G445" s="407"/>
      <c r="H445" s="407"/>
      <c r="I445" s="407"/>
      <c r="J445" s="407"/>
      <c r="K445" s="407"/>
      <c r="L445" s="407"/>
      <c r="M445" s="407"/>
      <c r="N445" s="407"/>
      <c r="O445" s="407"/>
      <c r="P445" s="407"/>
      <c r="Q445" s="407"/>
      <c r="R445" s="407"/>
      <c r="S445" s="407"/>
      <c r="T445" s="437"/>
    </row>
    <row r="446" spans="4:20" ht="111" customHeight="1" thickBot="1">
      <c r="D446" s="417"/>
      <c r="E446" s="418"/>
      <c r="F446" s="418"/>
      <c r="G446" s="418"/>
      <c r="H446" s="418"/>
      <c r="I446" s="418"/>
      <c r="J446" s="418"/>
      <c r="K446" s="418"/>
      <c r="L446" s="418"/>
      <c r="M446" s="418"/>
      <c r="N446" s="418"/>
      <c r="O446" s="418"/>
      <c r="P446" s="418"/>
      <c r="Q446" s="418"/>
      <c r="R446" s="418"/>
      <c r="S446" s="418"/>
      <c r="T446" s="438"/>
    </row>
    <row r="447" spans="4:20" ht="22.5" customHeight="1"/>
    <row r="448" spans="4:20" ht="13.5" thickBot="1"/>
    <row r="449" spans="1:26">
      <c r="D449" s="384"/>
      <c r="E449" s="385"/>
      <c r="F449" s="385"/>
      <c r="G449" s="385"/>
      <c r="H449" s="385"/>
      <c r="I449" s="385"/>
      <c r="J449" s="385"/>
      <c r="K449" s="445"/>
      <c r="L449" s="385"/>
      <c r="M449" s="385"/>
      <c r="N449" s="385"/>
      <c r="O449" s="385"/>
      <c r="P449" s="385"/>
      <c r="Q449" s="385"/>
      <c r="R449" s="385"/>
      <c r="S449" s="385"/>
      <c r="T449" s="386"/>
    </row>
    <row r="450" spans="1:26" ht="121.5" customHeight="1" thickBot="1">
      <c r="D450" s="387"/>
      <c r="E450" s="388"/>
      <c r="F450" s="388"/>
      <c r="G450" s="388"/>
      <c r="H450" s="388"/>
      <c r="I450" s="388"/>
      <c r="J450" s="388"/>
      <c r="K450" s="446"/>
      <c r="L450" s="388"/>
      <c r="M450" s="388"/>
      <c r="N450" s="388"/>
      <c r="O450" s="388"/>
      <c r="P450" s="388"/>
      <c r="Q450" s="388"/>
      <c r="R450" s="388"/>
      <c r="S450" s="388"/>
      <c r="T450" s="389"/>
    </row>
    <row r="451" spans="1:26">
      <c r="D451" s="592" t="str">
        <f>+[42]DATOS!C$7</f>
        <v>MEJORAMIENTO DE VIVIENDA CON ENFOQUE DIFERENCIAL PARA POBLACIÓN VULNERABLE EN EL MUNICIPIO DE CUBARÁ, BOYACÁ (2026).</v>
      </c>
      <c r="E451" s="593"/>
      <c r="F451" s="593"/>
      <c r="G451" s="593"/>
      <c r="H451" s="593"/>
      <c r="I451" s="593"/>
      <c r="J451" s="593"/>
      <c r="K451" s="593"/>
      <c r="L451" s="593"/>
      <c r="M451" s="593"/>
      <c r="N451" s="593"/>
      <c r="O451" s="593"/>
      <c r="P451" s="593"/>
      <c r="Q451" s="593"/>
      <c r="R451" s="593"/>
      <c r="S451" s="593"/>
      <c r="T451" s="594"/>
    </row>
    <row r="452" spans="1:26">
      <c r="D452" s="595"/>
      <c r="E452" s="596"/>
      <c r="F452" s="596"/>
      <c r="G452" s="596"/>
      <c r="H452" s="596"/>
      <c r="I452" s="596"/>
      <c r="J452" s="596"/>
      <c r="K452" s="596"/>
      <c r="L452" s="596"/>
      <c r="M452" s="596"/>
      <c r="N452" s="596"/>
      <c r="O452" s="596"/>
      <c r="P452" s="596"/>
      <c r="Q452" s="596"/>
      <c r="R452" s="596"/>
      <c r="S452" s="596"/>
      <c r="T452" s="597"/>
    </row>
    <row r="453" spans="1:26">
      <c r="D453" s="598" t="s">
        <v>371</v>
      </c>
      <c r="E453" s="599"/>
      <c r="F453" s="599"/>
      <c r="G453" s="599"/>
      <c r="H453" s="599"/>
      <c r="I453" s="599"/>
      <c r="J453" s="599"/>
      <c r="K453" s="599"/>
      <c r="L453" s="599"/>
      <c r="M453" s="599"/>
      <c r="N453" s="599"/>
      <c r="O453" s="599"/>
      <c r="P453" s="599"/>
      <c r="Q453" s="599"/>
      <c r="R453" s="599"/>
      <c r="S453" s="599"/>
      <c r="T453" s="600"/>
    </row>
    <row r="454" spans="1:26">
      <c r="D454" s="586" t="s">
        <v>372</v>
      </c>
      <c r="E454" s="587"/>
      <c r="F454" s="601" t="s">
        <v>373</v>
      </c>
      <c r="G454" s="601"/>
      <c r="H454" s="601"/>
      <c r="I454" s="601"/>
      <c r="J454" s="601"/>
      <c r="K454" s="601"/>
      <c r="L454" s="601"/>
      <c r="M454" s="601"/>
      <c r="N454" s="601"/>
      <c r="O454" s="601"/>
      <c r="P454" s="601"/>
      <c r="Q454" s="601"/>
      <c r="R454" s="601"/>
      <c r="S454" s="601"/>
      <c r="T454" s="602"/>
    </row>
    <row r="455" spans="1:26">
      <c r="D455" s="586" t="s">
        <v>374</v>
      </c>
      <c r="E455" s="587"/>
      <c r="F455" s="603" t="s">
        <v>375</v>
      </c>
      <c r="G455" s="604"/>
      <c r="H455" s="604"/>
      <c r="I455" s="604"/>
      <c r="J455" s="604"/>
      <c r="K455" s="604"/>
      <c r="L455" s="604"/>
      <c r="M455" s="604"/>
      <c r="N455" s="604"/>
      <c r="O455" s="604"/>
      <c r="P455" s="604"/>
      <c r="Q455" s="604"/>
      <c r="R455" s="604"/>
      <c r="S455" s="604"/>
      <c r="T455" s="605"/>
    </row>
    <row r="456" spans="1:26">
      <c r="D456" s="586" t="s">
        <v>376</v>
      </c>
      <c r="E456" s="587"/>
      <c r="F456" s="390">
        <f>+[42]DATOS!F$5</f>
        <v>46143</v>
      </c>
      <c r="G456" s="391"/>
      <c r="H456" s="391"/>
      <c r="I456" s="391"/>
      <c r="J456" s="391"/>
      <c r="K456" s="391"/>
      <c r="L456" s="568" t="s">
        <v>377</v>
      </c>
      <c r="M456" s="568"/>
      <c r="N456" s="588" t="s">
        <v>378</v>
      </c>
      <c r="O456" s="588"/>
      <c r="P456" s="588"/>
      <c r="Q456" s="588"/>
      <c r="R456" s="588"/>
      <c r="S456" s="588"/>
      <c r="T456" s="589"/>
    </row>
    <row r="457" spans="1:26" ht="25.5">
      <c r="D457" s="586" t="s">
        <v>379</v>
      </c>
      <c r="E457" s="587"/>
      <c r="F457" s="590" t="s">
        <v>380</v>
      </c>
      <c r="G457" s="591"/>
      <c r="H457" s="392">
        <f>+[42]DATOS!E$5</f>
        <v>2026</v>
      </c>
      <c r="I457" s="393" t="s">
        <v>381</v>
      </c>
      <c r="J457" s="394">
        <f>+[42]DATOS!E$5</f>
        <v>2026</v>
      </c>
      <c r="K457" s="395"/>
      <c r="L457" s="568" t="s">
        <v>382</v>
      </c>
      <c r="M457" s="568"/>
      <c r="N457" s="588" t="s">
        <v>383</v>
      </c>
      <c r="O457" s="588"/>
      <c r="P457" s="588"/>
      <c r="Q457" s="588"/>
      <c r="R457" s="588"/>
      <c r="S457" s="588"/>
      <c r="T457" s="589"/>
    </row>
    <row r="458" spans="1:26">
      <c r="D458" s="396"/>
      <c r="E458" s="397"/>
      <c r="F458" s="397"/>
      <c r="G458" s="398"/>
      <c r="H458" s="398"/>
      <c r="I458" s="398"/>
      <c r="J458" s="398"/>
      <c r="K458" s="398"/>
      <c r="L458" s="398"/>
      <c r="M458" s="398"/>
      <c r="N458" s="398"/>
      <c r="O458" s="398"/>
      <c r="P458" s="398"/>
      <c r="Q458" s="398"/>
      <c r="R458" s="398"/>
      <c r="S458" s="398"/>
      <c r="T458" s="399"/>
    </row>
    <row r="459" spans="1:26">
      <c r="D459" s="572" t="s">
        <v>384</v>
      </c>
      <c r="E459" s="573"/>
      <c r="F459" s="573"/>
      <c r="G459" s="573"/>
      <c r="H459" s="573"/>
      <c r="I459" s="573"/>
      <c r="J459" s="573"/>
      <c r="K459" s="573"/>
      <c r="L459" s="573"/>
      <c r="M459" s="573"/>
      <c r="N459" s="573"/>
      <c r="O459" s="573"/>
      <c r="P459" s="573"/>
      <c r="Q459" s="573"/>
      <c r="R459" s="573"/>
      <c r="S459" s="573"/>
      <c r="T459" s="574"/>
    </row>
    <row r="460" spans="1:26">
      <c r="D460" s="396"/>
      <c r="E460" s="397"/>
      <c r="F460" s="397"/>
      <c r="G460" s="398"/>
      <c r="H460" s="398"/>
      <c r="I460" s="398"/>
      <c r="J460" s="398"/>
      <c r="K460" s="398"/>
      <c r="L460" s="398"/>
      <c r="M460" s="398"/>
      <c r="N460" s="398"/>
      <c r="O460" s="398"/>
      <c r="P460" s="398"/>
      <c r="Q460" s="398"/>
      <c r="R460" s="398"/>
      <c r="S460" s="398"/>
      <c r="T460" s="399"/>
    </row>
    <row r="461" spans="1:26">
      <c r="D461" s="400" t="s">
        <v>385</v>
      </c>
      <c r="E461" s="575" t="s">
        <v>386</v>
      </c>
      <c r="F461" s="575"/>
      <c r="G461" s="576" t="s">
        <v>387</v>
      </c>
      <c r="H461" s="577"/>
      <c r="I461" s="577"/>
      <c r="J461" s="576" t="s">
        <v>388</v>
      </c>
      <c r="K461" s="576" t="s">
        <v>389</v>
      </c>
      <c r="L461" s="579"/>
      <c r="M461" s="581" t="s">
        <v>390</v>
      </c>
      <c r="N461" s="581"/>
      <c r="O461" s="581"/>
      <c r="P461" s="581"/>
      <c r="Q461" s="581"/>
      <c r="R461" s="581"/>
      <c r="S461" s="581" t="s">
        <v>391</v>
      </c>
      <c r="T461" s="582"/>
    </row>
    <row r="462" spans="1:26" ht="38.25">
      <c r="D462" s="403">
        <f>+'PRESUPUESTO OFICIAL '!C40</f>
        <v>3.02</v>
      </c>
      <c r="E462" s="583" t="str">
        <f>+VLOOKUP(D462,'PRESUPUESTO OFICIAL '!$C$11:$H$103,2)</f>
        <v>COLUMNA EN CONCRETO f'c = 3000 PSI (21MPa), Dimensiones 0,15x0,20 m</v>
      </c>
      <c r="F462" s="584"/>
      <c r="G462" s="585" t="str">
        <f>+VLOOKUP(D462,'PRESUPUESTO OFICIAL '!$C$11:$H$103,3)</f>
        <v>M3</v>
      </c>
      <c r="H462" s="585"/>
      <c r="I462" s="585"/>
      <c r="J462" s="578"/>
      <c r="K462" s="578"/>
      <c r="L462" s="580"/>
      <c r="M462" s="401" t="s">
        <v>392</v>
      </c>
      <c r="N462" s="401" t="s">
        <v>393</v>
      </c>
      <c r="O462" s="401" t="s">
        <v>394</v>
      </c>
      <c r="P462" s="401" t="s">
        <v>395</v>
      </c>
      <c r="Q462" s="401" t="s">
        <v>396</v>
      </c>
      <c r="R462" s="401" t="s">
        <v>397</v>
      </c>
      <c r="S462" s="401" t="s">
        <v>398</v>
      </c>
      <c r="T462" s="402" t="s">
        <v>399</v>
      </c>
      <c r="V462" s="404">
        <f>+D462</f>
        <v>3.02</v>
      </c>
      <c r="W462" s="405">
        <f>+T510</f>
        <v>2.56</v>
      </c>
    </row>
    <row r="463" spans="1:26">
      <c r="D463" s="406"/>
      <c r="E463" s="407"/>
      <c r="F463" s="407"/>
      <c r="G463" s="407"/>
      <c r="H463" s="407"/>
      <c r="I463" s="407"/>
      <c r="J463" s="558"/>
      <c r="K463" s="559"/>
      <c r="L463" s="560"/>
      <c r="M463" s="560"/>
      <c r="N463" s="560"/>
      <c r="O463" s="560"/>
      <c r="P463" s="560"/>
      <c r="Q463" s="560"/>
      <c r="R463" s="560"/>
      <c r="S463" s="560"/>
      <c r="T463" s="561"/>
    </row>
    <row r="464" spans="1:26" ht="25.5">
      <c r="A464" s="453">
        <f>+D462</f>
        <v>3.02</v>
      </c>
      <c r="B464" s="383">
        <v>1</v>
      </c>
      <c r="D464" s="406"/>
      <c r="E464" s="407"/>
      <c r="F464" s="407"/>
      <c r="G464" s="407"/>
      <c r="H464" s="407"/>
      <c r="I464" s="407"/>
      <c r="J464" s="408" t="s">
        <v>400</v>
      </c>
      <c r="K464" s="409" t="str">
        <f t="shared" ref="K464:K506" si="58">+VLOOKUP(L464,$AH$22:$AJ$58,2,)</f>
        <v>V=(Ancho x Largo x Alto)* Cant</v>
      </c>
      <c r="L464" s="410" t="str">
        <f>+G462</f>
        <v>M3</v>
      </c>
      <c r="M464" s="411"/>
      <c r="N464" s="412"/>
      <c r="O464" s="442"/>
      <c r="P464" s="442"/>
      <c r="Q464" s="413"/>
      <c r="R464" s="413"/>
      <c r="S464" s="413"/>
      <c r="T464" s="414">
        <f>+HLOOKUP(B390,[238]Hoja1!$2:$78,30,FALSE)</f>
        <v>0</v>
      </c>
      <c r="Y464" s="439">
        <f>+O464*P464</f>
        <v>0</v>
      </c>
      <c r="Z464" s="439">
        <f>+Y464-M464</f>
        <v>0</v>
      </c>
    </row>
    <row r="465" spans="1:26" ht="25.5">
      <c r="A465" s="453">
        <f>+A464</f>
        <v>3.02</v>
      </c>
      <c r="B465" s="383">
        <v>2</v>
      </c>
      <c r="D465" s="406"/>
      <c r="E465" s="407"/>
      <c r="F465" s="407"/>
      <c r="G465" s="407"/>
      <c r="H465" s="407"/>
      <c r="I465" s="407"/>
      <c r="J465" s="408" t="s">
        <v>401</v>
      </c>
      <c r="K465" s="409" t="str">
        <f t="shared" si="58"/>
        <v>V=(Ancho x Largo x Alto)* Cant</v>
      </c>
      <c r="L465" s="410" t="str">
        <f>+L464</f>
        <v>M3</v>
      </c>
      <c r="M465" s="411"/>
      <c r="N465" s="412"/>
      <c r="O465" s="442"/>
      <c r="P465" s="442"/>
      <c r="Q465" s="413"/>
      <c r="R465" s="413"/>
      <c r="S465" s="413"/>
      <c r="T465" s="414">
        <f>+HLOOKUP(B391,[238]Hoja1!$2:$78,30,FALSE)</f>
        <v>0</v>
      </c>
      <c r="Y465" s="439">
        <f>+O465*P465</f>
        <v>0</v>
      </c>
      <c r="Z465" s="439">
        <f t="shared" ref="Z465:Z506" si="59">+Y465-M465</f>
        <v>0</v>
      </c>
    </row>
    <row r="466" spans="1:26" ht="25.5">
      <c r="A466" s="453">
        <f t="shared" ref="A466:A506" si="60">+A465</f>
        <v>3.02</v>
      </c>
      <c r="B466" s="383">
        <v>3</v>
      </c>
      <c r="D466" s="406"/>
      <c r="E466" s="407"/>
      <c r="F466" s="407"/>
      <c r="G466" s="407"/>
      <c r="H466" s="407"/>
      <c r="I466" s="407"/>
      <c r="J466" s="408" t="s">
        <v>402</v>
      </c>
      <c r="K466" s="409" t="str">
        <f t="shared" si="58"/>
        <v>V=(Ancho x Largo x Alto)* Cant</v>
      </c>
      <c r="L466" s="410" t="str">
        <f>+L465</f>
        <v>M3</v>
      </c>
      <c r="M466" s="411"/>
      <c r="N466" s="412"/>
      <c r="O466" s="442"/>
      <c r="P466" s="442"/>
      <c r="Q466" s="413"/>
      <c r="R466" s="413"/>
      <c r="S466" s="413"/>
      <c r="T466" s="414">
        <f>+HLOOKUP(B392,[238]Hoja1!$2:$78,30,FALSE)</f>
        <v>0</v>
      </c>
      <c r="Y466" s="439">
        <f t="shared" ref="Y466:Y506" si="61">+O466*P466</f>
        <v>0</v>
      </c>
      <c r="Z466" s="439">
        <f t="shared" si="59"/>
        <v>0</v>
      </c>
    </row>
    <row r="467" spans="1:26" ht="25.5">
      <c r="A467" s="453">
        <f t="shared" si="60"/>
        <v>3.02</v>
      </c>
      <c r="B467" s="383">
        <v>4</v>
      </c>
      <c r="D467" s="406"/>
      <c r="E467" s="407"/>
      <c r="F467" s="407"/>
      <c r="G467" s="407"/>
      <c r="H467" s="407"/>
      <c r="I467" s="407"/>
      <c r="J467" s="408" t="s">
        <v>403</v>
      </c>
      <c r="K467" s="409" t="str">
        <f t="shared" si="58"/>
        <v>V=(Ancho x Largo x Alto)* Cant</v>
      </c>
      <c r="L467" s="410" t="str">
        <f>+L466</f>
        <v>M3</v>
      </c>
      <c r="M467" s="411"/>
      <c r="N467" s="412"/>
      <c r="O467" s="442"/>
      <c r="P467" s="442"/>
      <c r="Q467" s="413"/>
      <c r="R467" s="413"/>
      <c r="S467" s="413"/>
      <c r="T467" s="414">
        <f>+HLOOKUP(B393,[238]Hoja1!$2:$78,30,FALSE)</f>
        <v>0</v>
      </c>
      <c r="Y467" s="439">
        <f t="shared" si="61"/>
        <v>0</v>
      </c>
      <c r="Z467" s="439">
        <f t="shared" si="59"/>
        <v>0</v>
      </c>
    </row>
    <row r="468" spans="1:26" ht="25.5">
      <c r="A468" s="453">
        <f t="shared" si="60"/>
        <v>3.02</v>
      </c>
      <c r="B468" s="383">
        <v>5</v>
      </c>
      <c r="D468" s="406"/>
      <c r="E468" s="407"/>
      <c r="F468" s="407"/>
      <c r="G468" s="407"/>
      <c r="H468" s="407"/>
      <c r="I468" s="407"/>
      <c r="J468" s="408" t="s">
        <v>405</v>
      </c>
      <c r="K468" s="409" t="str">
        <f t="shared" si="58"/>
        <v>V=(Ancho x Largo x Alto)* Cant</v>
      </c>
      <c r="L468" s="410" t="str">
        <f>+L467</f>
        <v>M3</v>
      </c>
      <c r="M468" s="411"/>
      <c r="N468" s="412"/>
      <c r="O468" s="442"/>
      <c r="P468" s="442"/>
      <c r="Q468" s="413"/>
      <c r="R468" s="413"/>
      <c r="S468" s="413"/>
      <c r="T468" s="414">
        <f>+HLOOKUP(B394,[238]Hoja1!$2:$78,30,FALSE)</f>
        <v>0</v>
      </c>
      <c r="Y468" s="439">
        <f t="shared" si="61"/>
        <v>0</v>
      </c>
      <c r="Z468" s="439">
        <f t="shared" si="59"/>
        <v>0</v>
      </c>
    </row>
    <row r="469" spans="1:26" ht="25.5">
      <c r="A469" s="453">
        <f t="shared" si="60"/>
        <v>3.02</v>
      </c>
      <c r="B469" s="383">
        <v>6</v>
      </c>
      <c r="D469" s="406"/>
      <c r="E469" s="407"/>
      <c r="F469" s="407"/>
      <c r="G469" s="407"/>
      <c r="H469" s="407"/>
      <c r="I469" s="407"/>
      <c r="J469" s="408" t="s">
        <v>407</v>
      </c>
      <c r="K469" s="409" t="str">
        <f t="shared" si="58"/>
        <v>V=(Ancho x Largo x Alto)* Cant</v>
      </c>
      <c r="L469" s="410" t="str">
        <f>+L468</f>
        <v>M3</v>
      </c>
      <c r="M469" s="411"/>
      <c r="N469" s="412"/>
      <c r="O469" s="442"/>
      <c r="P469" s="442"/>
      <c r="Q469" s="413"/>
      <c r="R469" s="413"/>
      <c r="S469" s="413"/>
      <c r="T469" s="414">
        <f>+HLOOKUP(B395,[238]Hoja1!$2:$78,30,FALSE)</f>
        <v>0</v>
      </c>
      <c r="Y469" s="439">
        <f t="shared" si="61"/>
        <v>0</v>
      </c>
      <c r="Z469" s="439">
        <f t="shared" si="59"/>
        <v>0</v>
      </c>
    </row>
    <row r="470" spans="1:26" ht="25.5">
      <c r="A470" s="453">
        <f t="shared" si="60"/>
        <v>3.02</v>
      </c>
      <c r="B470" s="383">
        <v>7</v>
      </c>
      <c r="D470" s="406"/>
      <c r="E470" s="407"/>
      <c r="F470" s="407"/>
      <c r="G470" s="407"/>
      <c r="H470" s="407"/>
      <c r="I470" s="407"/>
      <c r="J470" s="408" t="s">
        <v>409</v>
      </c>
      <c r="K470" s="409" t="str">
        <f t="shared" si="58"/>
        <v>V=(Ancho x Largo x Alto)* Cant</v>
      </c>
      <c r="L470" s="410" t="str">
        <f>+L464</f>
        <v>M3</v>
      </c>
      <c r="M470" s="411"/>
      <c r="N470" s="412"/>
      <c r="O470" s="442"/>
      <c r="P470" s="442"/>
      <c r="Q470" s="413"/>
      <c r="R470" s="413"/>
      <c r="S470" s="413"/>
      <c r="T470" s="414">
        <f>+HLOOKUP(B396,[238]Hoja1!$2:$78,30,FALSE)</f>
        <v>0</v>
      </c>
      <c r="Y470" s="439">
        <f>+O470*P470*Q470*S470</f>
        <v>0</v>
      </c>
      <c r="Z470" s="439">
        <f t="shared" si="59"/>
        <v>0</v>
      </c>
    </row>
    <row r="471" spans="1:26" ht="25.5">
      <c r="A471" s="453">
        <f t="shared" si="60"/>
        <v>3.02</v>
      </c>
      <c r="B471" s="383">
        <v>8</v>
      </c>
      <c r="D471" s="406"/>
      <c r="E471" s="407"/>
      <c r="F471" s="407"/>
      <c r="G471" s="407"/>
      <c r="H471" s="407"/>
      <c r="I471" s="407"/>
      <c r="J471" s="408" t="s">
        <v>411</v>
      </c>
      <c r="K471" s="409" t="str">
        <f t="shared" si="58"/>
        <v>V=(Ancho x Largo x Alto)* Cant</v>
      </c>
      <c r="L471" s="410" t="str">
        <f>+L470</f>
        <v>M3</v>
      </c>
      <c r="M471" s="411"/>
      <c r="N471" s="412"/>
      <c r="O471" s="442">
        <v>0.15</v>
      </c>
      <c r="P471" s="442">
        <v>0.2</v>
      </c>
      <c r="Q471" s="413">
        <f t="shared" ref="Q471:Q500" si="62">+T471/0.2/0.15</f>
        <v>10.940000000000001</v>
      </c>
      <c r="R471" s="413">
        <f t="shared" ref="R471:R500" si="63">+O471*P471*Q471</f>
        <v>0.32820000000000005</v>
      </c>
      <c r="S471" s="413">
        <v>1</v>
      </c>
      <c r="T471" s="414">
        <f>+HLOOKUP(B397,[238]Hoja1!$2:$78,30,FALSE)</f>
        <v>0.32820000000000005</v>
      </c>
      <c r="Y471" s="439">
        <f t="shared" si="61"/>
        <v>0.03</v>
      </c>
      <c r="Z471" s="439">
        <f t="shared" si="59"/>
        <v>0.03</v>
      </c>
    </row>
    <row r="472" spans="1:26" ht="25.5">
      <c r="A472" s="453">
        <f t="shared" si="60"/>
        <v>3.02</v>
      </c>
      <c r="B472" s="383">
        <v>9</v>
      </c>
      <c r="D472" s="406"/>
      <c r="E472" s="407"/>
      <c r="F472" s="407"/>
      <c r="G472" s="407"/>
      <c r="H472" s="407"/>
      <c r="I472" s="407"/>
      <c r="J472" s="408" t="s">
        <v>412</v>
      </c>
      <c r="K472" s="409" t="str">
        <f t="shared" si="58"/>
        <v>V=(Ancho x Largo x Alto)* Cant</v>
      </c>
      <c r="L472" s="410" t="str">
        <f>+L471</f>
        <v>M3</v>
      </c>
      <c r="M472" s="411"/>
      <c r="N472" s="412"/>
      <c r="O472" s="442"/>
      <c r="P472" s="442"/>
      <c r="Q472" s="413"/>
      <c r="R472" s="413"/>
      <c r="S472" s="413"/>
      <c r="T472" s="414">
        <f>+HLOOKUP(B398,[238]Hoja1!$2:$78,30,FALSE)</f>
        <v>0</v>
      </c>
      <c r="Y472" s="439">
        <f t="shared" si="61"/>
        <v>0</v>
      </c>
      <c r="Z472" s="439">
        <f t="shared" si="59"/>
        <v>0</v>
      </c>
    </row>
    <row r="473" spans="1:26" ht="25.5">
      <c r="A473" s="453">
        <f t="shared" si="60"/>
        <v>3.02</v>
      </c>
      <c r="B473" s="383">
        <v>10</v>
      </c>
      <c r="D473" s="406"/>
      <c r="E473" s="407"/>
      <c r="F473" s="407"/>
      <c r="G473" s="407"/>
      <c r="H473" s="407"/>
      <c r="I473" s="407"/>
      <c r="J473" s="408" t="s">
        <v>413</v>
      </c>
      <c r="K473" s="409" t="str">
        <f t="shared" si="58"/>
        <v>V=(Ancho x Largo x Alto)* Cant</v>
      </c>
      <c r="L473" s="410" t="str">
        <f>+L472</f>
        <v>M3</v>
      </c>
      <c r="M473" s="411"/>
      <c r="N473" s="412"/>
      <c r="O473" s="442"/>
      <c r="P473" s="442"/>
      <c r="Q473" s="413"/>
      <c r="R473" s="413"/>
      <c r="S473" s="413"/>
      <c r="T473" s="414">
        <f>+HLOOKUP(B399,[238]Hoja1!$2:$78,30,FALSE)</f>
        <v>0</v>
      </c>
      <c r="Y473" s="439">
        <f t="shared" si="61"/>
        <v>0</v>
      </c>
      <c r="Z473" s="439">
        <f t="shared" si="59"/>
        <v>0</v>
      </c>
    </row>
    <row r="474" spans="1:26" ht="25.5">
      <c r="A474" s="453">
        <f t="shared" si="60"/>
        <v>3.02</v>
      </c>
      <c r="B474" s="383">
        <v>11</v>
      </c>
      <c r="D474" s="406"/>
      <c r="E474" s="407"/>
      <c r="F474" s="407"/>
      <c r="G474" s="407"/>
      <c r="H474" s="407"/>
      <c r="I474" s="407"/>
      <c r="J474" s="408" t="s">
        <v>414</v>
      </c>
      <c r="K474" s="409" t="str">
        <f t="shared" si="58"/>
        <v>V=(Ancho x Largo x Alto)* Cant</v>
      </c>
      <c r="L474" s="410" t="str">
        <f>+L473</f>
        <v>M3</v>
      </c>
      <c r="M474" s="411"/>
      <c r="N474" s="412"/>
      <c r="O474" s="442"/>
      <c r="P474" s="442"/>
      <c r="Q474" s="413"/>
      <c r="R474" s="413"/>
      <c r="S474" s="413"/>
      <c r="T474" s="414">
        <f>+HLOOKUP(B400,[238]Hoja1!$2:$78,30,FALSE)</f>
        <v>0</v>
      </c>
      <c r="Y474" s="439">
        <f t="shared" si="61"/>
        <v>0</v>
      </c>
      <c r="Z474" s="439">
        <f t="shared" si="59"/>
        <v>0</v>
      </c>
    </row>
    <row r="475" spans="1:26" ht="25.5">
      <c r="A475" s="453">
        <f t="shared" si="60"/>
        <v>3.02</v>
      </c>
      <c r="B475" s="383">
        <v>12</v>
      </c>
      <c r="D475" s="406"/>
      <c r="E475" s="407"/>
      <c r="F475" s="407"/>
      <c r="G475" s="407"/>
      <c r="H475" s="407"/>
      <c r="I475" s="407"/>
      <c r="J475" s="408" t="s">
        <v>415</v>
      </c>
      <c r="K475" s="409" t="str">
        <f t="shared" si="58"/>
        <v>V=(Ancho x Largo x Alto)* Cant</v>
      </c>
      <c r="L475" s="410" t="str">
        <f>+L469</f>
        <v>M3</v>
      </c>
      <c r="M475" s="411"/>
      <c r="N475" s="412"/>
      <c r="O475" s="442"/>
      <c r="P475" s="442"/>
      <c r="Q475" s="413"/>
      <c r="R475" s="413"/>
      <c r="S475" s="413"/>
      <c r="T475" s="414">
        <f>+HLOOKUP(B401,[238]Hoja1!$2:$78,30,FALSE)</f>
        <v>0</v>
      </c>
      <c r="Y475" s="439">
        <f t="shared" si="61"/>
        <v>0</v>
      </c>
      <c r="Z475" s="439">
        <f t="shared" si="59"/>
        <v>0</v>
      </c>
    </row>
    <row r="476" spans="1:26" ht="25.5">
      <c r="A476" s="453">
        <f t="shared" si="60"/>
        <v>3.02</v>
      </c>
      <c r="B476" s="383">
        <v>13</v>
      </c>
      <c r="D476" s="406"/>
      <c r="E476" s="407"/>
      <c r="F476" s="407"/>
      <c r="G476" s="407"/>
      <c r="H476" s="407"/>
      <c r="I476" s="407"/>
      <c r="J476" s="408" t="s">
        <v>416</v>
      </c>
      <c r="K476" s="409" t="str">
        <f t="shared" si="58"/>
        <v>V=(Ancho x Largo x Alto)* Cant</v>
      </c>
      <c r="L476" s="410" t="str">
        <f>+L471</f>
        <v>M3</v>
      </c>
      <c r="M476" s="411"/>
      <c r="N476" s="412"/>
      <c r="O476" s="442"/>
      <c r="P476" s="442"/>
      <c r="Q476" s="413"/>
      <c r="R476" s="413"/>
      <c r="S476" s="413"/>
      <c r="T476" s="414">
        <f>+HLOOKUP(B402,[238]Hoja1!$2:$78,30,FALSE)</f>
        <v>0</v>
      </c>
      <c r="Y476" s="439">
        <f t="shared" si="61"/>
        <v>0</v>
      </c>
      <c r="Z476" s="439">
        <f t="shared" si="59"/>
        <v>0</v>
      </c>
    </row>
    <row r="477" spans="1:26" ht="25.5">
      <c r="A477" s="453">
        <f t="shared" si="60"/>
        <v>3.02</v>
      </c>
      <c r="B477" s="383">
        <v>14</v>
      </c>
      <c r="D477" s="406"/>
      <c r="E477" s="407"/>
      <c r="F477" s="407"/>
      <c r="G477" s="407"/>
      <c r="H477" s="407"/>
      <c r="I477" s="407"/>
      <c r="J477" s="408" t="s">
        <v>417</v>
      </c>
      <c r="K477" s="409" t="str">
        <f t="shared" si="58"/>
        <v>V=(Ancho x Largo x Alto)* Cant</v>
      </c>
      <c r="L477" s="410" t="str">
        <f t="shared" ref="L477:L488" si="64">+L476</f>
        <v>M3</v>
      </c>
      <c r="M477" s="411"/>
      <c r="N477" s="412"/>
      <c r="O477" s="442"/>
      <c r="P477" s="442"/>
      <c r="Q477" s="413"/>
      <c r="R477" s="413"/>
      <c r="S477" s="413"/>
      <c r="T477" s="414">
        <f>+HLOOKUP(B403,[238]Hoja1!$2:$78,30,FALSE)</f>
        <v>0</v>
      </c>
      <c r="Y477" s="439">
        <f t="shared" si="61"/>
        <v>0</v>
      </c>
      <c r="Z477" s="439">
        <f t="shared" si="59"/>
        <v>0</v>
      </c>
    </row>
    <row r="478" spans="1:26" ht="25.5">
      <c r="A478" s="453">
        <f t="shared" si="60"/>
        <v>3.02</v>
      </c>
      <c r="B478" s="383">
        <v>15</v>
      </c>
      <c r="D478" s="406"/>
      <c r="E478" s="407"/>
      <c r="F478" s="407"/>
      <c r="G478" s="407"/>
      <c r="H478" s="407"/>
      <c r="I478" s="407"/>
      <c r="J478" s="408" t="s">
        <v>418</v>
      </c>
      <c r="K478" s="409" t="str">
        <f t="shared" si="58"/>
        <v>V=(Ancho x Largo x Alto)* Cant</v>
      </c>
      <c r="L478" s="410" t="str">
        <f t="shared" si="64"/>
        <v>M3</v>
      </c>
      <c r="M478" s="411"/>
      <c r="N478" s="412"/>
      <c r="O478" s="442">
        <v>0.15</v>
      </c>
      <c r="P478" s="442">
        <v>0.2</v>
      </c>
      <c r="Q478" s="413">
        <f t="shared" si="62"/>
        <v>8.76</v>
      </c>
      <c r="R478" s="413">
        <f t="shared" si="63"/>
        <v>0.26279999999999998</v>
      </c>
      <c r="S478" s="413">
        <v>1</v>
      </c>
      <c r="T478" s="414">
        <f>+HLOOKUP(B404,[238]Hoja1!$2:$78,30,FALSE)</f>
        <v>0.26279999999999998</v>
      </c>
      <c r="Y478" s="439">
        <f t="shared" si="61"/>
        <v>0.03</v>
      </c>
      <c r="Z478" s="439">
        <f t="shared" si="59"/>
        <v>0.03</v>
      </c>
    </row>
    <row r="479" spans="1:26" ht="25.5">
      <c r="A479" s="453">
        <f t="shared" si="60"/>
        <v>3.02</v>
      </c>
      <c r="B479" s="383">
        <v>16</v>
      </c>
      <c r="D479" s="406"/>
      <c r="E479" s="407"/>
      <c r="F479" s="407"/>
      <c r="G479" s="407"/>
      <c r="H479" s="407"/>
      <c r="I479" s="407"/>
      <c r="J479" s="408" t="s">
        <v>419</v>
      </c>
      <c r="K479" s="409" t="str">
        <f t="shared" si="58"/>
        <v>V=(Ancho x Largo x Alto)* Cant</v>
      </c>
      <c r="L479" s="410" t="str">
        <f t="shared" si="64"/>
        <v>M3</v>
      </c>
      <c r="M479" s="411"/>
      <c r="N479" s="412"/>
      <c r="O479" s="442"/>
      <c r="P479" s="442"/>
      <c r="Q479" s="413"/>
      <c r="R479" s="413"/>
      <c r="S479" s="413"/>
      <c r="T479" s="414">
        <f>+HLOOKUP(B405,[238]Hoja1!$2:$78,30,FALSE)</f>
        <v>0</v>
      </c>
      <c r="Y479" s="439">
        <f t="shared" si="61"/>
        <v>0</v>
      </c>
      <c r="Z479" s="439">
        <f t="shared" si="59"/>
        <v>0</v>
      </c>
    </row>
    <row r="480" spans="1:26" ht="25.5">
      <c r="A480" s="453">
        <f t="shared" si="60"/>
        <v>3.02</v>
      </c>
      <c r="B480" s="383">
        <v>17</v>
      </c>
      <c r="D480" s="406"/>
      <c r="E480" s="407"/>
      <c r="F480" s="407"/>
      <c r="G480" s="407"/>
      <c r="H480" s="407"/>
      <c r="I480" s="407"/>
      <c r="J480" s="408" t="s">
        <v>420</v>
      </c>
      <c r="K480" s="409" t="str">
        <f t="shared" si="58"/>
        <v>V=(Ancho x Largo x Alto)* Cant</v>
      </c>
      <c r="L480" s="410" t="str">
        <f t="shared" si="64"/>
        <v>M3</v>
      </c>
      <c r="M480" s="411"/>
      <c r="N480" s="412"/>
      <c r="O480" s="442"/>
      <c r="P480" s="442"/>
      <c r="Q480" s="413"/>
      <c r="R480" s="413"/>
      <c r="S480" s="413"/>
      <c r="T480" s="414">
        <f>+HLOOKUP(B406,[238]Hoja1!$2:$78,30,FALSE)</f>
        <v>0</v>
      </c>
      <c r="Y480" s="439">
        <f t="shared" si="61"/>
        <v>0</v>
      </c>
      <c r="Z480" s="439">
        <f t="shared" si="59"/>
        <v>0</v>
      </c>
    </row>
    <row r="481" spans="1:26" ht="25.5">
      <c r="A481" s="453">
        <f t="shared" si="60"/>
        <v>3.02</v>
      </c>
      <c r="B481" s="383">
        <v>18</v>
      </c>
      <c r="D481" s="406"/>
      <c r="E481" s="407"/>
      <c r="F481" s="407"/>
      <c r="G481" s="407"/>
      <c r="H481" s="407"/>
      <c r="I481" s="407"/>
      <c r="J481" s="408" t="s">
        <v>429</v>
      </c>
      <c r="K481" s="409" t="str">
        <f t="shared" si="58"/>
        <v>V=(Ancho x Largo x Alto)* Cant</v>
      </c>
      <c r="L481" s="410" t="str">
        <f t="shared" si="64"/>
        <v>M3</v>
      </c>
      <c r="M481" s="411"/>
      <c r="N481" s="412"/>
      <c r="O481" s="442"/>
      <c r="P481" s="442"/>
      <c r="Q481" s="413"/>
      <c r="R481" s="413"/>
      <c r="S481" s="413"/>
      <c r="T481" s="414">
        <f>+HLOOKUP(B407,[238]Hoja1!$2:$78,30,FALSE)</f>
        <v>0</v>
      </c>
      <c r="Y481" s="439">
        <f t="shared" si="61"/>
        <v>0</v>
      </c>
      <c r="Z481" s="439">
        <f t="shared" si="59"/>
        <v>0</v>
      </c>
    </row>
    <row r="482" spans="1:26" ht="25.5">
      <c r="A482" s="453">
        <f t="shared" si="60"/>
        <v>3.02</v>
      </c>
      <c r="B482" s="383">
        <v>19</v>
      </c>
      <c r="D482" s="406"/>
      <c r="E482" s="407"/>
      <c r="F482" s="407"/>
      <c r="G482" s="407"/>
      <c r="H482" s="407"/>
      <c r="I482" s="407"/>
      <c r="J482" s="408" t="s">
        <v>430</v>
      </c>
      <c r="K482" s="409" t="str">
        <f t="shared" si="58"/>
        <v>V=(Ancho x Largo x Alto)* Cant</v>
      </c>
      <c r="L482" s="410" t="str">
        <f t="shared" si="64"/>
        <v>M3</v>
      </c>
      <c r="M482" s="411"/>
      <c r="N482" s="412"/>
      <c r="O482" s="442"/>
      <c r="P482" s="442"/>
      <c r="Q482" s="413"/>
      <c r="R482" s="413"/>
      <c r="S482" s="413"/>
      <c r="T482" s="414">
        <f>+HLOOKUP(B408,[238]Hoja1!$2:$78,30,FALSE)</f>
        <v>0</v>
      </c>
      <c r="Y482" s="439">
        <f t="shared" si="61"/>
        <v>0</v>
      </c>
      <c r="Z482" s="439">
        <f t="shared" si="59"/>
        <v>0</v>
      </c>
    </row>
    <row r="483" spans="1:26" ht="25.5">
      <c r="A483" s="453">
        <f t="shared" si="60"/>
        <v>3.02</v>
      </c>
      <c r="B483" s="383">
        <v>20</v>
      </c>
      <c r="D483" s="406"/>
      <c r="E483" s="407"/>
      <c r="F483" s="407"/>
      <c r="G483" s="407"/>
      <c r="H483" s="407"/>
      <c r="I483" s="407"/>
      <c r="J483" s="408" t="s">
        <v>431</v>
      </c>
      <c r="K483" s="409" t="str">
        <f t="shared" si="58"/>
        <v>V=(Ancho x Largo x Alto)* Cant</v>
      </c>
      <c r="L483" s="410" t="str">
        <f t="shared" si="64"/>
        <v>M3</v>
      </c>
      <c r="M483" s="411"/>
      <c r="N483" s="412"/>
      <c r="O483" s="442">
        <v>0.15</v>
      </c>
      <c r="P483" s="442">
        <v>0.2</v>
      </c>
      <c r="Q483" s="413">
        <f t="shared" si="62"/>
        <v>10.940000000000001</v>
      </c>
      <c r="R483" s="413">
        <f t="shared" si="63"/>
        <v>0.32820000000000005</v>
      </c>
      <c r="S483" s="413">
        <v>1</v>
      </c>
      <c r="T483" s="414">
        <f>+HLOOKUP(B409,[238]Hoja1!$2:$78,30,FALSE)</f>
        <v>0.32820000000000005</v>
      </c>
      <c r="Y483" s="439">
        <f t="shared" si="61"/>
        <v>0.03</v>
      </c>
      <c r="Z483" s="439">
        <f t="shared" si="59"/>
        <v>0.03</v>
      </c>
    </row>
    <row r="484" spans="1:26" ht="25.5">
      <c r="A484" s="453">
        <f t="shared" si="60"/>
        <v>3.02</v>
      </c>
      <c r="B484" s="383">
        <v>21</v>
      </c>
      <c r="D484" s="406"/>
      <c r="E484" s="407"/>
      <c r="F484" s="407"/>
      <c r="G484" s="407"/>
      <c r="H484" s="407"/>
      <c r="I484" s="407"/>
      <c r="J484" s="408" t="s">
        <v>432</v>
      </c>
      <c r="K484" s="409" t="str">
        <f t="shared" si="58"/>
        <v>V=(Ancho x Largo x Alto)* Cant</v>
      </c>
      <c r="L484" s="410" t="str">
        <f t="shared" si="64"/>
        <v>M3</v>
      </c>
      <c r="M484" s="411"/>
      <c r="N484" s="412"/>
      <c r="O484" s="442">
        <v>0.15</v>
      </c>
      <c r="P484" s="442">
        <v>0.2</v>
      </c>
      <c r="Q484" s="413">
        <f t="shared" si="62"/>
        <v>9.0666666666666682</v>
      </c>
      <c r="R484" s="413">
        <f t="shared" si="63"/>
        <v>0.27200000000000002</v>
      </c>
      <c r="S484" s="413">
        <v>1</v>
      </c>
      <c r="T484" s="414">
        <f>+HLOOKUP(B410,[238]Hoja1!$2:$78,30,FALSE)</f>
        <v>0.27200000000000002</v>
      </c>
      <c r="Y484" s="439">
        <f t="shared" si="61"/>
        <v>0.03</v>
      </c>
      <c r="Z484" s="439">
        <f t="shared" si="59"/>
        <v>0.03</v>
      </c>
    </row>
    <row r="485" spans="1:26" ht="25.5">
      <c r="A485" s="453">
        <f t="shared" si="60"/>
        <v>3.02</v>
      </c>
      <c r="B485" s="383">
        <v>22</v>
      </c>
      <c r="D485" s="406"/>
      <c r="E485" s="407"/>
      <c r="F485" s="407"/>
      <c r="G485" s="407"/>
      <c r="H485" s="407"/>
      <c r="I485" s="407"/>
      <c r="J485" s="408" t="s">
        <v>433</v>
      </c>
      <c r="K485" s="409" t="str">
        <f t="shared" si="58"/>
        <v>V=(Ancho x Largo x Alto)* Cant</v>
      </c>
      <c r="L485" s="410" t="str">
        <f t="shared" si="64"/>
        <v>M3</v>
      </c>
      <c r="M485" s="411"/>
      <c r="N485" s="412"/>
      <c r="O485" s="442"/>
      <c r="P485" s="442"/>
      <c r="Q485" s="413"/>
      <c r="R485" s="413"/>
      <c r="S485" s="413"/>
      <c r="T485" s="414">
        <f>+HLOOKUP(B411,[238]Hoja1!$2:$78,30,FALSE)</f>
        <v>0</v>
      </c>
      <c r="Y485" s="439">
        <f t="shared" si="61"/>
        <v>0</v>
      </c>
      <c r="Z485" s="439">
        <f t="shared" si="59"/>
        <v>0</v>
      </c>
    </row>
    <row r="486" spans="1:26" ht="25.5">
      <c r="A486" s="453">
        <f t="shared" si="60"/>
        <v>3.02</v>
      </c>
      <c r="B486" s="383">
        <v>23</v>
      </c>
      <c r="D486" s="406"/>
      <c r="E486" s="407"/>
      <c r="F486" s="407"/>
      <c r="G486" s="407"/>
      <c r="H486" s="407"/>
      <c r="I486" s="407"/>
      <c r="J486" s="408" t="s">
        <v>434</v>
      </c>
      <c r="K486" s="409" t="str">
        <f t="shared" si="58"/>
        <v>V=(Ancho x Largo x Alto)* Cant</v>
      </c>
      <c r="L486" s="410" t="str">
        <f t="shared" si="64"/>
        <v>M3</v>
      </c>
      <c r="M486" s="411"/>
      <c r="N486" s="412"/>
      <c r="O486" s="442">
        <v>0.15</v>
      </c>
      <c r="P486" s="442">
        <v>0.2</v>
      </c>
      <c r="Q486" s="413">
        <f t="shared" si="62"/>
        <v>12.266666666666667</v>
      </c>
      <c r="R486" s="413">
        <f t="shared" si="63"/>
        <v>0.36799999999999999</v>
      </c>
      <c r="S486" s="413">
        <v>1</v>
      </c>
      <c r="T486" s="414">
        <f>+HLOOKUP(B412,[238]Hoja1!$2:$78,30,FALSE)</f>
        <v>0.36800000000000005</v>
      </c>
      <c r="Y486" s="439">
        <f t="shared" si="61"/>
        <v>0.03</v>
      </c>
      <c r="Z486" s="439">
        <f t="shared" si="59"/>
        <v>0.03</v>
      </c>
    </row>
    <row r="487" spans="1:26" ht="25.5">
      <c r="A487" s="453">
        <f t="shared" si="60"/>
        <v>3.02</v>
      </c>
      <c r="B487" s="383">
        <v>24</v>
      </c>
      <c r="D487" s="406"/>
      <c r="E487" s="407"/>
      <c r="F487" s="407"/>
      <c r="G487" s="407"/>
      <c r="H487" s="407"/>
      <c r="I487" s="407"/>
      <c r="J487" s="408" t="s">
        <v>435</v>
      </c>
      <c r="K487" s="409" t="str">
        <f t="shared" si="58"/>
        <v>V=(Ancho x Largo x Alto)* Cant</v>
      </c>
      <c r="L487" s="410" t="str">
        <f t="shared" si="64"/>
        <v>M3</v>
      </c>
      <c r="M487" s="411"/>
      <c r="N487" s="412"/>
      <c r="O487" s="442"/>
      <c r="P487" s="442"/>
      <c r="Q487" s="413"/>
      <c r="R487" s="413"/>
      <c r="S487" s="413"/>
      <c r="T487" s="414">
        <f>+HLOOKUP(B413,[238]Hoja1!$2:$78,30,FALSE)</f>
        <v>0</v>
      </c>
      <c r="Y487" s="439">
        <f t="shared" si="61"/>
        <v>0</v>
      </c>
      <c r="Z487" s="439">
        <f t="shared" si="59"/>
        <v>0</v>
      </c>
    </row>
    <row r="488" spans="1:26" ht="25.5">
      <c r="A488" s="453">
        <f t="shared" si="60"/>
        <v>3.02</v>
      </c>
      <c r="B488" s="383">
        <v>25</v>
      </c>
      <c r="D488" s="406"/>
      <c r="E488" s="407"/>
      <c r="F488" s="407"/>
      <c r="G488" s="407"/>
      <c r="H488" s="407"/>
      <c r="I488" s="407"/>
      <c r="J488" s="408" t="s">
        <v>436</v>
      </c>
      <c r="K488" s="409" t="str">
        <f t="shared" si="58"/>
        <v>V=(Ancho x Largo x Alto)* Cant</v>
      </c>
      <c r="L488" s="410" t="str">
        <f t="shared" si="64"/>
        <v>M3</v>
      </c>
      <c r="M488" s="411"/>
      <c r="N488" s="412"/>
      <c r="O488" s="442"/>
      <c r="P488" s="442"/>
      <c r="Q488" s="413"/>
      <c r="R488" s="413"/>
      <c r="S488" s="413"/>
      <c r="T488" s="414">
        <f>+HLOOKUP(B414,[238]Hoja1!$2:$78,30,FALSE)</f>
        <v>0</v>
      </c>
      <c r="Y488" s="439">
        <f t="shared" si="61"/>
        <v>0</v>
      </c>
      <c r="Z488" s="439">
        <f t="shared" si="59"/>
        <v>0</v>
      </c>
    </row>
    <row r="489" spans="1:26" ht="25.5">
      <c r="A489" s="453">
        <f t="shared" si="60"/>
        <v>3.02</v>
      </c>
      <c r="B489" s="383">
        <v>26</v>
      </c>
      <c r="D489" s="406"/>
      <c r="E489" s="407"/>
      <c r="F489" s="407"/>
      <c r="G489" s="407"/>
      <c r="H489" s="407"/>
      <c r="I489" s="407"/>
      <c r="J489" s="408" t="s">
        <v>437</v>
      </c>
      <c r="K489" s="409" t="str">
        <f t="shared" si="58"/>
        <v>V=(Ancho x Largo x Alto)* Cant</v>
      </c>
      <c r="L489" s="410" t="str">
        <f>+L478</f>
        <v>M3</v>
      </c>
      <c r="M489" s="411"/>
      <c r="N489" s="412"/>
      <c r="O489" s="442"/>
      <c r="P489" s="442"/>
      <c r="Q489" s="413"/>
      <c r="R489" s="413"/>
      <c r="S489" s="413"/>
      <c r="T489" s="414">
        <f>+HLOOKUP(B415,[238]Hoja1!$2:$78,30,FALSE)</f>
        <v>0</v>
      </c>
      <c r="Y489" s="439">
        <f t="shared" si="61"/>
        <v>0</v>
      </c>
      <c r="Z489" s="439">
        <f t="shared" si="59"/>
        <v>0</v>
      </c>
    </row>
    <row r="490" spans="1:26" ht="25.5">
      <c r="A490" s="453">
        <f t="shared" si="60"/>
        <v>3.02</v>
      </c>
      <c r="B490" s="383">
        <v>27</v>
      </c>
      <c r="D490" s="406"/>
      <c r="E490" s="407"/>
      <c r="F490" s="407"/>
      <c r="G490" s="407"/>
      <c r="H490" s="407"/>
      <c r="I490" s="407"/>
      <c r="J490" s="408" t="s">
        <v>438</v>
      </c>
      <c r="K490" s="409" t="str">
        <f t="shared" si="58"/>
        <v>V=(Ancho x Largo x Alto)* Cant</v>
      </c>
      <c r="L490" s="410" t="str">
        <f t="shared" ref="L490:L498" si="65">+L489</f>
        <v>M3</v>
      </c>
      <c r="M490" s="411"/>
      <c r="N490" s="412"/>
      <c r="O490" s="442"/>
      <c r="P490" s="442"/>
      <c r="Q490" s="413"/>
      <c r="R490" s="413"/>
      <c r="S490" s="413"/>
      <c r="T490" s="414">
        <f>+HLOOKUP(B416,[238]Hoja1!$2:$78,30,FALSE)</f>
        <v>0</v>
      </c>
      <c r="Y490" s="439">
        <f t="shared" si="61"/>
        <v>0</v>
      </c>
      <c r="Z490" s="439">
        <f t="shared" si="59"/>
        <v>0</v>
      </c>
    </row>
    <row r="491" spans="1:26" ht="25.5">
      <c r="A491" s="453">
        <f t="shared" si="60"/>
        <v>3.02</v>
      </c>
      <c r="B491" s="383">
        <v>28</v>
      </c>
      <c r="D491" s="406"/>
      <c r="E491" s="440"/>
      <c r="F491" s="407"/>
      <c r="G491" s="407"/>
      <c r="H491" s="407"/>
      <c r="I491" s="437"/>
      <c r="J491" s="408" t="s">
        <v>439</v>
      </c>
      <c r="K491" s="409" t="str">
        <f t="shared" si="58"/>
        <v>V=(Ancho x Largo x Alto)* Cant</v>
      </c>
      <c r="L491" s="410" t="str">
        <f t="shared" si="65"/>
        <v>M3</v>
      </c>
      <c r="M491" s="411"/>
      <c r="N491" s="412"/>
      <c r="O491" s="442"/>
      <c r="P491" s="442"/>
      <c r="Q491" s="413"/>
      <c r="R491" s="413"/>
      <c r="S491" s="413"/>
      <c r="T491" s="414">
        <f>+HLOOKUP(B417,[238]Hoja1!$2:$78,30,FALSE)</f>
        <v>0</v>
      </c>
      <c r="Y491" s="439">
        <f t="shared" si="61"/>
        <v>0</v>
      </c>
      <c r="Z491" s="439">
        <f t="shared" si="59"/>
        <v>0</v>
      </c>
    </row>
    <row r="492" spans="1:26" ht="25.5">
      <c r="A492" s="453">
        <f t="shared" si="60"/>
        <v>3.02</v>
      </c>
      <c r="B492" s="383">
        <v>29</v>
      </c>
      <c r="D492" s="406"/>
      <c r="E492" s="407"/>
      <c r="F492" s="407"/>
      <c r="G492" s="407"/>
      <c r="H492" s="407"/>
      <c r="I492" s="407"/>
      <c r="J492" s="408" t="s">
        <v>440</v>
      </c>
      <c r="K492" s="409" t="str">
        <f t="shared" si="58"/>
        <v>V=(Ancho x Largo x Alto)* Cant</v>
      </c>
      <c r="L492" s="410" t="str">
        <f t="shared" si="65"/>
        <v>M3</v>
      </c>
      <c r="M492" s="411"/>
      <c r="N492" s="412"/>
      <c r="O492" s="442"/>
      <c r="P492" s="442"/>
      <c r="Q492" s="413"/>
      <c r="R492" s="413"/>
      <c r="S492" s="413"/>
      <c r="T492" s="414">
        <f>+HLOOKUP(B418,[238]Hoja1!$2:$78,30,FALSE)</f>
        <v>0</v>
      </c>
      <c r="Y492" s="439">
        <f t="shared" si="61"/>
        <v>0</v>
      </c>
      <c r="Z492" s="439">
        <f t="shared" si="59"/>
        <v>0</v>
      </c>
    </row>
    <row r="493" spans="1:26" ht="25.5">
      <c r="A493" s="453">
        <f t="shared" si="60"/>
        <v>3.02</v>
      </c>
      <c r="B493" s="383">
        <v>30</v>
      </c>
      <c r="D493" s="406"/>
      <c r="E493" s="407"/>
      <c r="F493" s="407"/>
      <c r="G493" s="407"/>
      <c r="H493" s="407"/>
      <c r="I493" s="407"/>
      <c r="J493" s="408" t="s">
        <v>441</v>
      </c>
      <c r="K493" s="409" t="str">
        <f t="shared" si="58"/>
        <v>V=(Ancho x Largo x Alto)* Cant</v>
      </c>
      <c r="L493" s="410" t="str">
        <f t="shared" si="65"/>
        <v>M3</v>
      </c>
      <c r="M493" s="411"/>
      <c r="N493" s="412"/>
      <c r="O493" s="442">
        <v>0.15</v>
      </c>
      <c r="P493" s="442">
        <v>0.2</v>
      </c>
      <c r="Q493" s="413">
        <f t="shared" si="62"/>
        <v>10.940000000000001</v>
      </c>
      <c r="R493" s="413">
        <f t="shared" si="63"/>
        <v>0.32820000000000005</v>
      </c>
      <c r="S493" s="413">
        <v>1</v>
      </c>
      <c r="T493" s="414">
        <f>+HLOOKUP(B419,[238]Hoja1!$2:$78,30,FALSE)</f>
        <v>0.32820000000000005</v>
      </c>
      <c r="Y493" s="439">
        <f t="shared" si="61"/>
        <v>0.03</v>
      </c>
      <c r="Z493" s="439">
        <f t="shared" si="59"/>
        <v>0.03</v>
      </c>
    </row>
    <row r="494" spans="1:26" ht="25.5">
      <c r="A494" s="453">
        <f t="shared" si="60"/>
        <v>3.02</v>
      </c>
      <c r="B494" s="383">
        <v>31</v>
      </c>
      <c r="D494" s="406"/>
      <c r="E494" s="407"/>
      <c r="F494" s="407"/>
      <c r="G494" s="407"/>
      <c r="H494" s="407"/>
      <c r="I494" s="407"/>
      <c r="J494" s="408" t="s">
        <v>442</v>
      </c>
      <c r="K494" s="409" t="str">
        <f t="shared" si="58"/>
        <v>V=(Ancho x Largo x Alto)* Cant</v>
      </c>
      <c r="L494" s="410" t="str">
        <f t="shared" si="65"/>
        <v>M3</v>
      </c>
      <c r="M494" s="411"/>
      <c r="N494" s="412"/>
      <c r="O494" s="442">
        <v>0.15</v>
      </c>
      <c r="P494" s="442">
        <v>0.2</v>
      </c>
      <c r="Q494" s="413">
        <f t="shared" si="62"/>
        <v>12.200000000000001</v>
      </c>
      <c r="R494" s="413">
        <f t="shared" si="63"/>
        <v>0.36599999999999999</v>
      </c>
      <c r="S494" s="413">
        <v>1</v>
      </c>
      <c r="T494" s="414">
        <f>+HLOOKUP(B420,[238]Hoja1!$2:$78,30,FALSE)</f>
        <v>0.36600000000000005</v>
      </c>
      <c r="Y494" s="439">
        <f t="shared" si="61"/>
        <v>0.03</v>
      </c>
      <c r="Z494" s="439">
        <f t="shared" si="59"/>
        <v>0.03</v>
      </c>
    </row>
    <row r="495" spans="1:26" ht="25.5">
      <c r="A495" s="453">
        <f t="shared" si="60"/>
        <v>3.02</v>
      </c>
      <c r="B495" s="383">
        <v>32</v>
      </c>
      <c r="D495" s="406"/>
      <c r="E495" s="407"/>
      <c r="F495" s="407"/>
      <c r="G495" s="407"/>
      <c r="H495" s="407"/>
      <c r="I495" s="407"/>
      <c r="J495" s="408" t="s">
        <v>443</v>
      </c>
      <c r="K495" s="409" t="str">
        <f t="shared" si="58"/>
        <v>V=(Ancho x Largo x Alto)* Cant</v>
      </c>
      <c r="L495" s="410" t="str">
        <f t="shared" si="65"/>
        <v>M3</v>
      </c>
      <c r="M495" s="411"/>
      <c r="N495" s="412"/>
      <c r="O495" s="442"/>
      <c r="P495" s="442"/>
      <c r="Q495" s="413"/>
      <c r="R495" s="413"/>
      <c r="S495" s="413"/>
      <c r="T495" s="414">
        <f>+HLOOKUP(B421,[238]Hoja1!$2:$78,30,FALSE)</f>
        <v>0</v>
      </c>
      <c r="Y495" s="439">
        <f t="shared" si="61"/>
        <v>0</v>
      </c>
      <c r="Z495" s="439">
        <f t="shared" si="59"/>
        <v>0</v>
      </c>
    </row>
    <row r="496" spans="1:26" ht="25.5">
      <c r="A496" s="453">
        <f t="shared" si="60"/>
        <v>3.02</v>
      </c>
      <c r="B496" s="383">
        <v>33</v>
      </c>
      <c r="D496" s="406"/>
      <c r="E496" s="407"/>
      <c r="F496" s="407"/>
      <c r="G496" s="407"/>
      <c r="H496" s="407"/>
      <c r="I496" s="407"/>
      <c r="J496" s="408" t="s">
        <v>444</v>
      </c>
      <c r="K496" s="409" t="str">
        <f t="shared" si="58"/>
        <v>V=(Ancho x Largo x Alto)* Cant</v>
      </c>
      <c r="L496" s="410" t="str">
        <f t="shared" si="65"/>
        <v>M3</v>
      </c>
      <c r="M496" s="411"/>
      <c r="N496" s="412"/>
      <c r="O496" s="442"/>
      <c r="P496" s="442"/>
      <c r="Q496" s="413"/>
      <c r="R496" s="413"/>
      <c r="S496" s="413"/>
      <c r="T496" s="414">
        <f>+HLOOKUP(B422,[238]Hoja1!$2:$78,30,FALSE)</f>
        <v>0</v>
      </c>
      <c r="Y496" s="439">
        <f t="shared" si="61"/>
        <v>0</v>
      </c>
      <c r="Z496" s="439">
        <f t="shared" si="59"/>
        <v>0</v>
      </c>
    </row>
    <row r="497" spans="1:26" ht="25.5">
      <c r="A497" s="453">
        <f t="shared" si="60"/>
        <v>3.02</v>
      </c>
      <c r="B497" s="383">
        <v>34</v>
      </c>
      <c r="D497" s="406"/>
      <c r="E497" s="407"/>
      <c r="F497" s="407"/>
      <c r="G497" s="407"/>
      <c r="H497" s="407"/>
      <c r="I497" s="407"/>
      <c r="J497" s="408" t="s">
        <v>445</v>
      </c>
      <c r="K497" s="409" t="str">
        <f t="shared" si="58"/>
        <v>V=(Ancho x Largo x Alto)* Cant</v>
      </c>
      <c r="L497" s="410" t="str">
        <f t="shared" si="65"/>
        <v>M3</v>
      </c>
      <c r="M497" s="411"/>
      <c r="N497" s="412"/>
      <c r="O497" s="442"/>
      <c r="P497" s="442"/>
      <c r="Q497" s="413"/>
      <c r="R497" s="413"/>
      <c r="S497" s="413"/>
      <c r="T497" s="414">
        <f>+HLOOKUP(B423,[238]Hoja1!$2:$78,30,FALSE)</f>
        <v>0</v>
      </c>
      <c r="Y497" s="439">
        <f t="shared" si="61"/>
        <v>0</v>
      </c>
      <c r="Z497" s="439">
        <f t="shared" si="59"/>
        <v>0</v>
      </c>
    </row>
    <row r="498" spans="1:26" ht="25.5">
      <c r="A498" s="453">
        <f t="shared" si="60"/>
        <v>3.02</v>
      </c>
      <c r="B498" s="383">
        <v>35</v>
      </c>
      <c r="D498" s="406"/>
      <c r="E498" s="440"/>
      <c r="F498" s="407"/>
      <c r="G498" s="407"/>
      <c r="H498" s="407"/>
      <c r="I498" s="437"/>
      <c r="J498" s="408" t="s">
        <v>446</v>
      </c>
      <c r="K498" s="409" t="str">
        <f t="shared" si="58"/>
        <v>V=(Ancho x Largo x Alto)* Cant</v>
      </c>
      <c r="L498" s="410" t="str">
        <f t="shared" si="65"/>
        <v>M3</v>
      </c>
      <c r="M498" s="411"/>
      <c r="N498" s="412"/>
      <c r="O498" s="442"/>
      <c r="P498" s="442"/>
      <c r="Q498" s="413"/>
      <c r="R498" s="413"/>
      <c r="S498" s="413"/>
      <c r="T498" s="414">
        <f>+HLOOKUP(B424,[238]Hoja1!$2:$78,30,FALSE)</f>
        <v>0</v>
      </c>
      <c r="Y498" s="439">
        <f t="shared" si="61"/>
        <v>0</v>
      </c>
      <c r="Z498" s="439">
        <f t="shared" si="59"/>
        <v>0</v>
      </c>
    </row>
    <row r="499" spans="1:26" ht="25.5">
      <c r="A499" s="453">
        <f t="shared" si="60"/>
        <v>3.02</v>
      </c>
      <c r="B499" s="383">
        <v>36</v>
      </c>
      <c r="D499" s="406"/>
      <c r="E499" s="407"/>
      <c r="F499" s="407"/>
      <c r="G499" s="407"/>
      <c r="H499" s="407"/>
      <c r="I499" s="407"/>
      <c r="J499" s="408" t="s">
        <v>447</v>
      </c>
      <c r="K499" s="409" t="str">
        <f t="shared" si="58"/>
        <v>V=(Ancho x Largo x Alto)* Cant</v>
      </c>
      <c r="L499" s="410" t="str">
        <f>+L488</f>
        <v>M3</v>
      </c>
      <c r="M499" s="411"/>
      <c r="N499" s="412"/>
      <c r="O499" s="442"/>
      <c r="P499" s="442"/>
      <c r="Q499" s="413"/>
      <c r="R499" s="413"/>
      <c r="S499" s="413"/>
      <c r="T499" s="414">
        <f>+HLOOKUP(B425,[238]Hoja1!$2:$78,30,FALSE)</f>
        <v>0</v>
      </c>
      <c r="Y499" s="439">
        <f t="shared" si="61"/>
        <v>0</v>
      </c>
      <c r="Z499" s="439">
        <f t="shared" si="59"/>
        <v>0</v>
      </c>
    </row>
    <row r="500" spans="1:26" ht="25.5">
      <c r="A500" s="453">
        <f t="shared" si="60"/>
        <v>3.02</v>
      </c>
      <c r="B500" s="383">
        <v>37</v>
      </c>
      <c r="D500" s="406"/>
      <c r="E500" s="407"/>
      <c r="F500" s="407"/>
      <c r="G500" s="407"/>
      <c r="H500" s="407"/>
      <c r="I500" s="407"/>
      <c r="J500" s="408" t="s">
        <v>448</v>
      </c>
      <c r="K500" s="409" t="str">
        <f t="shared" si="58"/>
        <v>V=(Ancho x Largo x Alto)* Cant</v>
      </c>
      <c r="L500" s="410" t="str">
        <f t="shared" ref="L500:L506" si="66">+L499</f>
        <v>M3</v>
      </c>
      <c r="M500" s="411"/>
      <c r="N500" s="412"/>
      <c r="O500" s="442">
        <v>0.15</v>
      </c>
      <c r="P500" s="442">
        <v>0.2</v>
      </c>
      <c r="Q500" s="413">
        <f t="shared" si="62"/>
        <v>10.299999999999999</v>
      </c>
      <c r="R500" s="413">
        <f t="shared" si="63"/>
        <v>0.30899999999999994</v>
      </c>
      <c r="S500" s="413">
        <v>1</v>
      </c>
      <c r="T500" s="414">
        <f>+HLOOKUP(B426,[238]Hoja1!$2:$78,30,FALSE)</f>
        <v>0.30899999999999994</v>
      </c>
      <c r="Y500" s="439">
        <f>+O500*P500*Q500*S500</f>
        <v>0.30899999999999994</v>
      </c>
      <c r="Z500" s="439">
        <f t="shared" si="59"/>
        <v>0.30899999999999994</v>
      </c>
    </row>
    <row r="501" spans="1:26" ht="25.5">
      <c r="A501" s="453">
        <f t="shared" si="60"/>
        <v>3.02</v>
      </c>
      <c r="B501" s="383">
        <v>38</v>
      </c>
      <c r="D501" s="406"/>
      <c r="E501" s="440"/>
      <c r="F501" s="407"/>
      <c r="G501" s="407"/>
      <c r="H501" s="407"/>
      <c r="I501" s="437"/>
      <c r="J501" s="408" t="s">
        <v>449</v>
      </c>
      <c r="K501" s="409" t="str">
        <f t="shared" si="58"/>
        <v>V=(Ancho x Largo x Alto)* Cant</v>
      </c>
      <c r="L501" s="410" t="str">
        <f t="shared" si="66"/>
        <v>M3</v>
      </c>
      <c r="M501" s="411"/>
      <c r="N501" s="412"/>
      <c r="O501" s="442"/>
      <c r="P501" s="442"/>
      <c r="Q501" s="413"/>
      <c r="R501" s="413"/>
      <c r="S501" s="413"/>
      <c r="T501" s="414">
        <f>+HLOOKUP(B427,[238]Hoja1!$2:$78,30,FALSE)</f>
        <v>0</v>
      </c>
      <c r="Y501" s="439">
        <f t="shared" si="61"/>
        <v>0</v>
      </c>
      <c r="Z501" s="439">
        <f t="shared" si="59"/>
        <v>0</v>
      </c>
    </row>
    <row r="502" spans="1:26" ht="25.5">
      <c r="A502" s="453">
        <f t="shared" si="60"/>
        <v>3.02</v>
      </c>
      <c r="B502" s="383">
        <v>39</v>
      </c>
      <c r="D502" s="406"/>
      <c r="E502" s="407"/>
      <c r="F502" s="407"/>
      <c r="G502" s="407"/>
      <c r="H502" s="407"/>
      <c r="I502" s="407"/>
      <c r="J502" s="408" t="s">
        <v>450</v>
      </c>
      <c r="K502" s="409" t="str">
        <f t="shared" si="58"/>
        <v>V=(Ancho x Largo x Alto)* Cant</v>
      </c>
      <c r="L502" s="410" t="str">
        <f t="shared" si="66"/>
        <v>M3</v>
      </c>
      <c r="M502" s="411"/>
      <c r="N502" s="412"/>
      <c r="O502" s="442"/>
      <c r="P502" s="442"/>
      <c r="Q502" s="413"/>
      <c r="R502" s="413"/>
      <c r="S502" s="413"/>
      <c r="T502" s="414">
        <f>+HLOOKUP(B428,[238]Hoja1!$2:$78,30,FALSE)</f>
        <v>0</v>
      </c>
      <c r="Y502" s="439">
        <f t="shared" si="61"/>
        <v>0</v>
      </c>
      <c r="Z502" s="439">
        <f t="shared" si="59"/>
        <v>0</v>
      </c>
    </row>
    <row r="503" spans="1:26" ht="25.5">
      <c r="A503" s="453">
        <f t="shared" si="60"/>
        <v>3.02</v>
      </c>
      <c r="B503" s="383">
        <v>40</v>
      </c>
      <c r="D503" s="406"/>
      <c r="E503" s="407"/>
      <c r="F503" s="407"/>
      <c r="G503" s="407"/>
      <c r="H503" s="407"/>
      <c r="I503" s="407"/>
      <c r="J503" s="408" t="s">
        <v>451</v>
      </c>
      <c r="K503" s="409" t="str">
        <f t="shared" si="58"/>
        <v>V=(Ancho x Largo x Alto)* Cant</v>
      </c>
      <c r="L503" s="410" t="str">
        <f t="shared" si="66"/>
        <v>M3</v>
      </c>
      <c r="M503" s="411"/>
      <c r="N503" s="412"/>
      <c r="O503" s="442"/>
      <c r="P503" s="442"/>
      <c r="Q503" s="413"/>
      <c r="R503" s="413"/>
      <c r="S503" s="413"/>
      <c r="T503" s="414">
        <f>+HLOOKUP(B429,[238]Hoja1!$2:$78,30,FALSE)</f>
        <v>0</v>
      </c>
      <c r="Y503" s="439">
        <f t="shared" si="61"/>
        <v>0</v>
      </c>
      <c r="Z503" s="439">
        <f t="shared" si="59"/>
        <v>0</v>
      </c>
    </row>
    <row r="504" spans="1:26" ht="25.5">
      <c r="A504" s="453">
        <f t="shared" si="60"/>
        <v>3.02</v>
      </c>
      <c r="B504" s="383">
        <v>41</v>
      </c>
      <c r="D504" s="406"/>
      <c r="E504" s="407"/>
      <c r="F504" s="407"/>
      <c r="G504" s="407"/>
      <c r="H504" s="407"/>
      <c r="I504" s="407"/>
      <c r="J504" s="408" t="s">
        <v>452</v>
      </c>
      <c r="K504" s="409" t="str">
        <f t="shared" si="58"/>
        <v>V=(Ancho x Largo x Alto)* Cant</v>
      </c>
      <c r="L504" s="410" t="str">
        <f t="shared" si="66"/>
        <v>M3</v>
      </c>
      <c r="M504" s="411"/>
      <c r="N504" s="412"/>
      <c r="O504" s="442"/>
      <c r="P504" s="442"/>
      <c r="Q504" s="413"/>
      <c r="R504" s="413"/>
      <c r="S504" s="413"/>
      <c r="T504" s="414">
        <f>+HLOOKUP(B430,[238]Hoja1!$2:$78,30,FALSE)</f>
        <v>0</v>
      </c>
      <c r="Y504" s="439">
        <f t="shared" si="61"/>
        <v>0</v>
      </c>
      <c r="Z504" s="439">
        <f t="shared" si="59"/>
        <v>0</v>
      </c>
    </row>
    <row r="505" spans="1:26" ht="25.5">
      <c r="A505" s="453">
        <f t="shared" si="60"/>
        <v>3.02</v>
      </c>
      <c r="B505" s="383">
        <v>42</v>
      </c>
      <c r="D505" s="406"/>
      <c r="E505" s="407"/>
      <c r="F505" s="407"/>
      <c r="G505" s="407"/>
      <c r="H505" s="407"/>
      <c r="I505" s="407"/>
      <c r="J505" s="408" t="s">
        <v>453</v>
      </c>
      <c r="K505" s="409" t="str">
        <f t="shared" si="58"/>
        <v>V=(Ancho x Largo x Alto)* Cant</v>
      </c>
      <c r="L505" s="410" t="str">
        <f t="shared" si="66"/>
        <v>M3</v>
      </c>
      <c r="M505" s="411"/>
      <c r="N505" s="412"/>
      <c r="O505" s="442"/>
      <c r="P505" s="442"/>
      <c r="Q505" s="413"/>
      <c r="R505" s="413"/>
      <c r="S505" s="413"/>
      <c r="T505" s="414">
        <f>+HLOOKUP(B431,[238]Hoja1!$2:$78,30,FALSE)</f>
        <v>0</v>
      </c>
      <c r="Y505" s="439">
        <f t="shared" si="61"/>
        <v>0</v>
      </c>
      <c r="Z505" s="439">
        <f t="shared" si="59"/>
        <v>0</v>
      </c>
    </row>
    <row r="506" spans="1:26" ht="26.25" thickBot="1">
      <c r="A506" s="453">
        <f t="shared" si="60"/>
        <v>3.02</v>
      </c>
      <c r="B506" s="383">
        <v>43</v>
      </c>
      <c r="D506" s="406"/>
      <c r="E506" s="407"/>
      <c r="F506" s="407"/>
      <c r="G506" s="407"/>
      <c r="H506" s="407"/>
      <c r="I506" s="407"/>
      <c r="J506" s="408" t="s">
        <v>454</v>
      </c>
      <c r="K506" s="409" t="str">
        <f t="shared" si="58"/>
        <v>V=(Ancho x Largo x Alto)* Cant</v>
      </c>
      <c r="L506" s="410" t="str">
        <f t="shared" si="66"/>
        <v>M3</v>
      </c>
      <c r="M506" s="411"/>
      <c r="N506" s="412"/>
      <c r="O506" s="442"/>
      <c r="P506" s="442"/>
      <c r="Q506" s="413"/>
      <c r="R506" s="413"/>
      <c r="S506" s="413"/>
      <c r="T506" s="414">
        <f>+HLOOKUP(B432,[238]Hoja1!$2:$78,30,FALSE)</f>
        <v>0</v>
      </c>
      <c r="Y506" s="439">
        <f t="shared" si="61"/>
        <v>0</v>
      </c>
      <c r="Z506" s="439">
        <f t="shared" si="59"/>
        <v>0</v>
      </c>
    </row>
    <row r="507" spans="1:26">
      <c r="D507" s="384"/>
      <c r="E507" s="419"/>
      <c r="F507" s="420"/>
      <c r="G507" s="421"/>
      <c r="H507" s="421"/>
      <c r="I507" s="421"/>
      <c r="J507" s="421"/>
      <c r="K507" s="422"/>
      <c r="L507" s="421"/>
      <c r="M507" s="421"/>
      <c r="N507" s="421"/>
      <c r="O507" s="421"/>
      <c r="P507" s="421"/>
      <c r="Q507" s="421"/>
      <c r="R507" s="421"/>
      <c r="S507" s="422"/>
      <c r="T507" s="423"/>
    </row>
    <row r="508" spans="1:26">
      <c r="D508" s="396"/>
      <c r="E508" s="397"/>
      <c r="F508" s="424"/>
      <c r="G508" s="425"/>
      <c r="H508" s="425"/>
      <c r="I508" s="425"/>
      <c r="J508" s="425"/>
      <c r="K508" s="398"/>
      <c r="L508" s="425"/>
      <c r="M508" s="425"/>
      <c r="N508" s="397"/>
      <c r="O508" s="397"/>
      <c r="P508" s="562" t="s">
        <v>455</v>
      </c>
      <c r="Q508" s="563"/>
      <c r="R508" s="564"/>
      <c r="S508" s="426"/>
      <c r="T508" s="427">
        <f>ROUND(SUM(T464:T507),2)</f>
        <v>2.56</v>
      </c>
    </row>
    <row r="509" spans="1:26">
      <c r="D509" s="396"/>
      <c r="E509" s="397"/>
      <c r="F509" s="424"/>
      <c r="G509" s="425"/>
      <c r="H509" s="425"/>
      <c r="I509" s="425"/>
      <c r="J509" s="425"/>
      <c r="K509" s="398"/>
      <c r="L509" s="425"/>
      <c r="M509" s="425"/>
      <c r="N509" s="428"/>
      <c r="O509" s="428"/>
      <c r="P509" s="429"/>
      <c r="Q509" s="425"/>
      <c r="R509" s="425"/>
      <c r="S509" s="430"/>
      <c r="T509" s="431"/>
    </row>
    <row r="510" spans="1:26">
      <c r="D510" s="565" t="e">
        <v>#REF!</v>
      </c>
      <c r="E510" s="566"/>
      <c r="F510" s="566"/>
      <c r="G510" s="566"/>
      <c r="H510" s="566"/>
      <c r="I510" s="566"/>
      <c r="J510" s="566"/>
      <c r="K510" s="566"/>
      <c r="L510" s="566"/>
      <c r="M510" s="566"/>
      <c r="N510" s="566"/>
      <c r="O510" s="567"/>
      <c r="P510" s="568" t="s">
        <v>422</v>
      </c>
      <c r="Q510" s="568"/>
      <c r="R510" s="568"/>
      <c r="S510" s="426"/>
      <c r="T510" s="427">
        <f>T508</f>
        <v>2.56</v>
      </c>
    </row>
    <row r="511" spans="1:26">
      <c r="D511" s="396"/>
      <c r="E511" s="397"/>
      <c r="F511" s="424"/>
      <c r="G511" s="425"/>
      <c r="H511" s="425"/>
      <c r="I511" s="425"/>
      <c r="J511" s="425"/>
      <c r="K511" s="398"/>
      <c r="L511" s="425"/>
      <c r="M511" s="425"/>
      <c r="N511" s="428"/>
      <c r="O511" s="428"/>
      <c r="P511" s="429"/>
      <c r="Q511" s="425"/>
      <c r="R511" s="398"/>
      <c r="S511" s="398"/>
      <c r="T511" s="432"/>
    </row>
    <row r="512" spans="1:26">
      <c r="D512" s="396"/>
      <c r="E512" s="397"/>
      <c r="F512" s="424"/>
      <c r="G512" s="425"/>
      <c r="H512" s="425"/>
      <c r="I512" s="425"/>
      <c r="J512" s="425"/>
      <c r="K512" s="398"/>
      <c r="L512" s="425"/>
      <c r="M512" s="425"/>
      <c r="N512" s="428"/>
      <c r="O512" s="428"/>
      <c r="P512" s="429"/>
      <c r="Q512" s="425"/>
      <c r="R512" s="398"/>
      <c r="S512" s="398"/>
      <c r="T512" s="432"/>
    </row>
    <row r="513" spans="4:20">
      <c r="D513" s="569" t="s">
        <v>423</v>
      </c>
      <c r="E513" s="570"/>
      <c r="F513" s="570"/>
      <c r="G513" s="570"/>
      <c r="H513" s="570"/>
      <c r="I513" s="570"/>
      <c r="J513" s="570"/>
      <c r="K513" s="571"/>
      <c r="L513" s="433" t="s">
        <v>424</v>
      </c>
      <c r="M513" s="434"/>
      <c r="N513" s="434"/>
      <c r="O513" s="434"/>
      <c r="P513" s="434"/>
      <c r="Q513" s="434"/>
      <c r="R513" s="434"/>
      <c r="S513" s="434"/>
      <c r="T513" s="435"/>
    </row>
    <row r="514" spans="4:20">
      <c r="D514" s="542"/>
      <c r="E514" s="543"/>
      <c r="F514" s="543"/>
      <c r="G514" s="543"/>
      <c r="H514" s="436"/>
      <c r="I514" s="436"/>
      <c r="J514" s="436"/>
      <c r="K514" s="447"/>
      <c r="L514" s="436"/>
      <c r="M514" s="407"/>
      <c r="N514" s="407"/>
      <c r="O514" s="407"/>
      <c r="P514" s="407"/>
      <c r="Q514" s="407"/>
      <c r="R514" s="407"/>
      <c r="S514" s="407"/>
      <c r="T514" s="437"/>
    </row>
    <row r="515" spans="4:20">
      <c r="D515" s="542"/>
      <c r="E515" s="543"/>
      <c r="F515" s="543"/>
      <c r="G515" s="543"/>
      <c r="H515" s="436"/>
      <c r="I515" s="436"/>
      <c r="J515" s="436"/>
      <c r="K515" s="447"/>
      <c r="L515" s="436"/>
      <c r="M515" s="407"/>
      <c r="N515" s="407"/>
      <c r="O515" s="407"/>
      <c r="P515" s="407"/>
      <c r="Q515" s="407"/>
      <c r="R515" s="407"/>
      <c r="S515" s="407"/>
      <c r="T515" s="437"/>
    </row>
    <row r="516" spans="4:20">
      <c r="D516" s="542" t="s">
        <v>425</v>
      </c>
      <c r="E516" s="543"/>
      <c r="F516" s="543" t="s">
        <v>425</v>
      </c>
      <c r="G516" s="543"/>
      <c r="H516" s="543" t="s">
        <v>425</v>
      </c>
      <c r="I516" s="543"/>
      <c r="J516" s="543" t="s">
        <v>425</v>
      </c>
      <c r="K516" s="544"/>
      <c r="L516" s="545" t="s">
        <v>426</v>
      </c>
      <c r="M516" s="546"/>
      <c r="N516" s="546"/>
      <c r="O516" s="546"/>
      <c r="P516" s="546"/>
      <c r="Q516" s="546"/>
      <c r="R516" s="546"/>
      <c r="S516" s="546"/>
      <c r="T516" s="547"/>
    </row>
    <row r="517" spans="4:20">
      <c r="D517" s="548" t="str">
        <f>+[42]DATOS!D$8</f>
        <v>HELMER EDUARDO BECERRA SANTANDER</v>
      </c>
      <c r="E517" s="549"/>
      <c r="F517" s="549" t="s">
        <v>427</v>
      </c>
      <c r="G517" s="549"/>
      <c r="H517" s="549" t="s">
        <v>427</v>
      </c>
      <c r="I517" s="549"/>
      <c r="J517" s="549" t="s">
        <v>427</v>
      </c>
      <c r="K517" s="550"/>
      <c r="L517" s="551" t="str">
        <f>+[42]DATOS!D$11</f>
        <v>JESUS IVAN QUIÑONES RUEDA</v>
      </c>
      <c r="M517" s="549"/>
      <c r="N517" s="549"/>
      <c r="O517" s="549"/>
      <c r="P517" s="549"/>
      <c r="Q517" s="549"/>
      <c r="R517" s="549"/>
      <c r="S517" s="549"/>
      <c r="T517" s="552"/>
    </row>
    <row r="518" spans="4:20">
      <c r="D518" s="553" t="str">
        <f>+$D$72</f>
        <v>APOYO SEC. DE PLANEACION Y OBRAS PÚBLICAS</v>
      </c>
      <c r="E518" s="554"/>
      <c r="F518" s="554" t="s">
        <v>428</v>
      </c>
      <c r="G518" s="554"/>
      <c r="H518" s="554" t="s">
        <v>428</v>
      </c>
      <c r="I518" s="554"/>
      <c r="J518" s="554" t="s">
        <v>428</v>
      </c>
      <c r="K518" s="555"/>
      <c r="L518" s="556" t="str">
        <f>+$L$72</f>
        <v>SECRETARIO DE PLANEACION Y OBRAS PÚBLICAS</v>
      </c>
      <c r="M518" s="554"/>
      <c r="N518" s="554"/>
      <c r="O518" s="554"/>
      <c r="P518" s="554"/>
      <c r="Q518" s="554"/>
      <c r="R518" s="554"/>
      <c r="S518" s="554"/>
      <c r="T518" s="557"/>
    </row>
    <row r="519" spans="4:20">
      <c r="D519" s="406"/>
      <c r="E519" s="407"/>
      <c r="F519" s="407"/>
      <c r="G519" s="407"/>
      <c r="H519" s="407"/>
      <c r="I519" s="407"/>
      <c r="J519" s="407"/>
      <c r="K519" s="407"/>
      <c r="L519" s="407"/>
      <c r="M519" s="407"/>
      <c r="N519" s="407"/>
      <c r="O519" s="407"/>
      <c r="P519" s="407"/>
      <c r="Q519" s="407"/>
      <c r="R519" s="407"/>
      <c r="S519" s="407"/>
      <c r="T519" s="437"/>
    </row>
    <row r="520" spans="4:20" ht="111" customHeight="1" thickBot="1">
      <c r="D520" s="417"/>
      <c r="E520" s="418"/>
      <c r="F520" s="418"/>
      <c r="G520" s="418"/>
      <c r="H520" s="418"/>
      <c r="I520" s="418"/>
      <c r="J520" s="418"/>
      <c r="K520" s="418"/>
      <c r="L520" s="418"/>
      <c r="M520" s="418"/>
      <c r="N520" s="418"/>
      <c r="O520" s="418"/>
      <c r="P520" s="418"/>
      <c r="Q520" s="418"/>
      <c r="R520" s="418"/>
      <c r="S520" s="418"/>
      <c r="T520" s="438"/>
    </row>
    <row r="521" spans="4:20" ht="22.5" customHeight="1"/>
    <row r="522" spans="4:20" ht="13.5" thickBot="1"/>
    <row r="523" spans="4:20">
      <c r="D523" s="384"/>
      <c r="E523" s="385"/>
      <c r="F523" s="385"/>
      <c r="G523" s="385"/>
      <c r="H523" s="385"/>
      <c r="I523" s="385"/>
      <c r="J523" s="385"/>
      <c r="K523" s="445"/>
      <c r="L523" s="385"/>
      <c r="M523" s="385"/>
      <c r="N523" s="385"/>
      <c r="O523" s="385"/>
      <c r="P523" s="385"/>
      <c r="Q523" s="385"/>
      <c r="R523" s="385"/>
      <c r="S523" s="385"/>
      <c r="T523" s="386"/>
    </row>
    <row r="524" spans="4:20" ht="121.5" customHeight="1" thickBot="1">
      <c r="D524" s="387"/>
      <c r="E524" s="388"/>
      <c r="F524" s="388"/>
      <c r="G524" s="388"/>
      <c r="H524" s="388"/>
      <c r="I524" s="388"/>
      <c r="J524" s="388"/>
      <c r="K524" s="446"/>
      <c r="L524" s="388"/>
      <c r="M524" s="388"/>
      <c r="N524" s="388"/>
      <c r="O524" s="388"/>
      <c r="P524" s="388"/>
      <c r="Q524" s="388"/>
      <c r="R524" s="388"/>
      <c r="S524" s="388"/>
      <c r="T524" s="389"/>
    </row>
    <row r="525" spans="4:20">
      <c r="D525" s="592" t="str">
        <f>+[42]DATOS!C$7</f>
        <v>MEJORAMIENTO DE VIVIENDA CON ENFOQUE DIFERENCIAL PARA POBLACIÓN VULNERABLE EN EL MUNICIPIO DE CUBARÁ, BOYACÁ (2026).</v>
      </c>
      <c r="E525" s="593"/>
      <c r="F525" s="593"/>
      <c r="G525" s="593"/>
      <c r="H525" s="593"/>
      <c r="I525" s="593"/>
      <c r="J525" s="593"/>
      <c r="K525" s="593"/>
      <c r="L525" s="593"/>
      <c r="M525" s="593"/>
      <c r="N525" s="593"/>
      <c r="O525" s="593"/>
      <c r="P525" s="593"/>
      <c r="Q525" s="593"/>
      <c r="R525" s="593"/>
      <c r="S525" s="593"/>
      <c r="T525" s="594"/>
    </row>
    <row r="526" spans="4:20">
      <c r="D526" s="595"/>
      <c r="E526" s="596"/>
      <c r="F526" s="596"/>
      <c r="G526" s="596"/>
      <c r="H526" s="596"/>
      <c r="I526" s="596"/>
      <c r="J526" s="596"/>
      <c r="K526" s="596"/>
      <c r="L526" s="596"/>
      <c r="M526" s="596"/>
      <c r="N526" s="596"/>
      <c r="O526" s="596"/>
      <c r="P526" s="596"/>
      <c r="Q526" s="596"/>
      <c r="R526" s="596"/>
      <c r="S526" s="596"/>
      <c r="T526" s="597"/>
    </row>
    <row r="527" spans="4:20">
      <c r="D527" s="598" t="s">
        <v>371</v>
      </c>
      <c r="E527" s="599"/>
      <c r="F527" s="599"/>
      <c r="G527" s="599"/>
      <c r="H527" s="599"/>
      <c r="I527" s="599"/>
      <c r="J527" s="599"/>
      <c r="K527" s="599"/>
      <c r="L527" s="599"/>
      <c r="M527" s="599"/>
      <c r="N527" s="599"/>
      <c r="O527" s="599"/>
      <c r="P527" s="599"/>
      <c r="Q527" s="599"/>
      <c r="R527" s="599"/>
      <c r="S527" s="599"/>
      <c r="T527" s="600"/>
    </row>
    <row r="528" spans="4:20">
      <c r="D528" s="586" t="s">
        <v>372</v>
      </c>
      <c r="E528" s="587"/>
      <c r="F528" s="601" t="s">
        <v>373</v>
      </c>
      <c r="G528" s="601"/>
      <c r="H528" s="601"/>
      <c r="I528" s="601"/>
      <c r="J528" s="601"/>
      <c r="K528" s="601"/>
      <c r="L528" s="601"/>
      <c r="M528" s="601"/>
      <c r="N528" s="601"/>
      <c r="O528" s="601"/>
      <c r="P528" s="601"/>
      <c r="Q528" s="601"/>
      <c r="R528" s="601"/>
      <c r="S528" s="601"/>
      <c r="T528" s="602"/>
    </row>
    <row r="529" spans="1:26">
      <c r="D529" s="586" t="s">
        <v>374</v>
      </c>
      <c r="E529" s="587"/>
      <c r="F529" s="603" t="s">
        <v>375</v>
      </c>
      <c r="G529" s="604"/>
      <c r="H529" s="604"/>
      <c r="I529" s="604"/>
      <c r="J529" s="604"/>
      <c r="K529" s="604"/>
      <c r="L529" s="604"/>
      <c r="M529" s="604"/>
      <c r="N529" s="604"/>
      <c r="O529" s="604"/>
      <c r="P529" s="604"/>
      <c r="Q529" s="604"/>
      <c r="R529" s="604"/>
      <c r="S529" s="604"/>
      <c r="T529" s="605"/>
    </row>
    <row r="530" spans="1:26">
      <c r="D530" s="586" t="s">
        <v>376</v>
      </c>
      <c r="E530" s="587"/>
      <c r="F530" s="390">
        <f>+[42]DATOS!F$5</f>
        <v>46143</v>
      </c>
      <c r="G530" s="391"/>
      <c r="H530" s="391"/>
      <c r="I530" s="391"/>
      <c r="J530" s="391"/>
      <c r="K530" s="391"/>
      <c r="L530" s="568" t="s">
        <v>377</v>
      </c>
      <c r="M530" s="568"/>
      <c r="N530" s="588" t="s">
        <v>378</v>
      </c>
      <c r="O530" s="588"/>
      <c r="P530" s="588"/>
      <c r="Q530" s="588"/>
      <c r="R530" s="588"/>
      <c r="S530" s="588"/>
      <c r="T530" s="589"/>
    </row>
    <row r="531" spans="1:26" ht="25.5">
      <c r="D531" s="586" t="s">
        <v>379</v>
      </c>
      <c r="E531" s="587"/>
      <c r="F531" s="590" t="s">
        <v>380</v>
      </c>
      <c r="G531" s="591"/>
      <c r="H531" s="392">
        <f>+[42]DATOS!E$5</f>
        <v>2026</v>
      </c>
      <c r="I531" s="393" t="s">
        <v>381</v>
      </c>
      <c r="J531" s="394">
        <f>+[42]DATOS!E$5</f>
        <v>2026</v>
      </c>
      <c r="K531" s="395"/>
      <c r="L531" s="568" t="s">
        <v>382</v>
      </c>
      <c r="M531" s="568"/>
      <c r="N531" s="588" t="s">
        <v>383</v>
      </c>
      <c r="O531" s="588"/>
      <c r="P531" s="588"/>
      <c r="Q531" s="588"/>
      <c r="R531" s="588"/>
      <c r="S531" s="588"/>
      <c r="T531" s="589"/>
    </row>
    <row r="532" spans="1:26">
      <c r="D532" s="396"/>
      <c r="E532" s="397"/>
      <c r="F532" s="397"/>
      <c r="G532" s="398"/>
      <c r="H532" s="398"/>
      <c r="I532" s="398"/>
      <c r="J532" s="398"/>
      <c r="K532" s="398"/>
      <c r="L532" s="398"/>
      <c r="M532" s="398"/>
      <c r="N532" s="398"/>
      <c r="O532" s="398"/>
      <c r="P532" s="398"/>
      <c r="Q532" s="398"/>
      <c r="R532" s="398"/>
      <c r="S532" s="398"/>
      <c r="T532" s="399"/>
    </row>
    <row r="533" spans="1:26">
      <c r="D533" s="572" t="s">
        <v>384</v>
      </c>
      <c r="E533" s="573"/>
      <c r="F533" s="573"/>
      <c r="G533" s="573"/>
      <c r="H533" s="573"/>
      <c r="I533" s="573"/>
      <c r="J533" s="573"/>
      <c r="K533" s="573"/>
      <c r="L533" s="573"/>
      <c r="M533" s="573"/>
      <c r="N533" s="573"/>
      <c r="O533" s="573"/>
      <c r="P533" s="573"/>
      <c r="Q533" s="573"/>
      <c r="R533" s="573"/>
      <c r="S533" s="573"/>
      <c r="T533" s="574"/>
    </row>
    <row r="534" spans="1:26">
      <c r="D534" s="396"/>
      <c r="E534" s="397"/>
      <c r="F534" s="397"/>
      <c r="G534" s="398"/>
      <c r="H534" s="398"/>
      <c r="I534" s="398"/>
      <c r="J534" s="398"/>
      <c r="K534" s="398"/>
      <c r="L534" s="398"/>
      <c r="M534" s="398"/>
      <c r="N534" s="398"/>
      <c r="O534" s="398"/>
      <c r="P534" s="398"/>
      <c r="Q534" s="398"/>
      <c r="R534" s="398"/>
      <c r="S534" s="398"/>
      <c r="T534" s="399"/>
    </row>
    <row r="535" spans="1:26">
      <c r="D535" s="400" t="s">
        <v>385</v>
      </c>
      <c r="E535" s="575" t="s">
        <v>386</v>
      </c>
      <c r="F535" s="575"/>
      <c r="G535" s="576" t="s">
        <v>387</v>
      </c>
      <c r="H535" s="577"/>
      <c r="I535" s="577"/>
      <c r="J535" s="576" t="s">
        <v>388</v>
      </c>
      <c r="K535" s="576" t="s">
        <v>389</v>
      </c>
      <c r="L535" s="579"/>
      <c r="M535" s="581" t="s">
        <v>390</v>
      </c>
      <c r="N535" s="581"/>
      <c r="O535" s="581"/>
      <c r="P535" s="581"/>
      <c r="Q535" s="581"/>
      <c r="R535" s="581"/>
      <c r="S535" s="581" t="s">
        <v>391</v>
      </c>
      <c r="T535" s="582"/>
    </row>
    <row r="536" spans="1:26" ht="38.25">
      <c r="D536" s="403">
        <f>+'PRESUPUESTO OFICIAL '!C41</f>
        <v>3.03</v>
      </c>
      <c r="E536" s="583" t="str">
        <f>+VLOOKUP(D536,'PRESUPUESTO OFICIAL '!$C$11:$H$103,2)</f>
        <v>VIGA DE AMARRE SOBRE MURO EN CONCRETO f'c = 3000 PSI (21MPa).</v>
      </c>
      <c r="F536" s="584"/>
      <c r="G536" s="585" t="str">
        <f>+VLOOKUP(D536,'PRESUPUESTO OFICIAL '!$C$11:$H$103,3)</f>
        <v>M3</v>
      </c>
      <c r="H536" s="585"/>
      <c r="I536" s="585"/>
      <c r="J536" s="578"/>
      <c r="K536" s="578"/>
      <c r="L536" s="580"/>
      <c r="M536" s="401" t="s">
        <v>392</v>
      </c>
      <c r="N536" s="401" t="s">
        <v>393</v>
      </c>
      <c r="O536" s="401" t="s">
        <v>394</v>
      </c>
      <c r="P536" s="401" t="s">
        <v>395</v>
      </c>
      <c r="Q536" s="401" t="s">
        <v>396</v>
      </c>
      <c r="R536" s="401" t="s">
        <v>397</v>
      </c>
      <c r="S536" s="401" t="s">
        <v>398</v>
      </c>
      <c r="T536" s="402" t="s">
        <v>399</v>
      </c>
      <c r="V536" s="404">
        <f>+D536</f>
        <v>3.03</v>
      </c>
      <c r="W536" s="405">
        <f>+T584</f>
        <v>6.81</v>
      </c>
    </row>
    <row r="537" spans="1:26">
      <c r="D537" s="406"/>
      <c r="E537" s="407"/>
      <c r="F537" s="407"/>
      <c r="G537" s="407"/>
      <c r="H537" s="407"/>
      <c r="I537" s="407"/>
      <c r="J537" s="558"/>
      <c r="K537" s="559"/>
      <c r="L537" s="560"/>
      <c r="M537" s="560"/>
      <c r="N537" s="560"/>
      <c r="O537" s="560"/>
      <c r="P537" s="560"/>
      <c r="Q537" s="560"/>
      <c r="R537" s="560"/>
      <c r="S537" s="560"/>
      <c r="T537" s="561"/>
    </row>
    <row r="538" spans="1:26" ht="25.5">
      <c r="A538" s="453">
        <f>+D536</f>
        <v>3.03</v>
      </c>
      <c r="B538" s="383">
        <v>1</v>
      </c>
      <c r="D538" s="406"/>
      <c r="E538" s="407"/>
      <c r="F538" s="407"/>
      <c r="G538" s="407"/>
      <c r="H538" s="407"/>
      <c r="I538" s="407"/>
      <c r="J538" s="408" t="s">
        <v>400</v>
      </c>
      <c r="K538" s="409" t="str">
        <f t="shared" ref="K538:K580" si="67">+VLOOKUP(L538,$AH$22:$AJ$58,2,)</f>
        <v>V=(Ancho x Largo x Alto)* Cant</v>
      </c>
      <c r="L538" s="410" t="str">
        <f>+G536</f>
        <v>M3</v>
      </c>
      <c r="M538" s="411"/>
      <c r="N538" s="412"/>
      <c r="O538" s="442"/>
      <c r="P538" s="442"/>
      <c r="Q538" s="413"/>
      <c r="R538" s="411"/>
      <c r="S538" s="413"/>
      <c r="T538" s="414">
        <f>+HLOOKUP(B464,[238]Hoja1!$2:$78,31,FALSE)</f>
        <v>0</v>
      </c>
      <c r="Y538" s="439">
        <f>+O538*P538</f>
        <v>0</v>
      </c>
      <c r="Z538" s="439">
        <f t="shared" ref="Z538:Z551" si="68">+Y538-R538</f>
        <v>0</v>
      </c>
    </row>
    <row r="539" spans="1:26" ht="25.5">
      <c r="A539" s="453">
        <f>+A538</f>
        <v>3.03</v>
      </c>
      <c r="B539" s="383">
        <v>2</v>
      </c>
      <c r="D539" s="406"/>
      <c r="E539" s="407"/>
      <c r="F539" s="407"/>
      <c r="G539" s="407"/>
      <c r="H539" s="407"/>
      <c r="I539" s="407"/>
      <c r="J539" s="408" t="s">
        <v>401</v>
      </c>
      <c r="K539" s="409" t="str">
        <f t="shared" si="67"/>
        <v>V=(Ancho x Largo x Alto)* Cant</v>
      </c>
      <c r="L539" s="410" t="str">
        <f>+L538</f>
        <v>M3</v>
      </c>
      <c r="M539" s="411"/>
      <c r="N539" s="412"/>
      <c r="O539" s="442">
        <v>0.12</v>
      </c>
      <c r="P539" s="442">
        <v>0.2</v>
      </c>
      <c r="Q539" s="413">
        <f>+T539/P539/O539</f>
        <v>10.7</v>
      </c>
      <c r="R539" s="411">
        <f t="shared" ref="R539:R578" si="69">+Q539*P539*O539</f>
        <v>0.25680000000000003</v>
      </c>
      <c r="S539" s="413">
        <v>1</v>
      </c>
      <c r="T539" s="414">
        <f>+HLOOKUP(B465,[238]Hoja1!$2:$78,31,FALSE)</f>
        <v>0.25679999999999997</v>
      </c>
      <c r="Y539" s="439">
        <f>+O539*P539</f>
        <v>2.4E-2</v>
      </c>
      <c r="Z539" s="439">
        <f t="shared" si="68"/>
        <v>-0.23280000000000003</v>
      </c>
    </row>
    <row r="540" spans="1:26" ht="25.5">
      <c r="A540" s="453">
        <f t="shared" ref="A540:A580" si="70">+A539</f>
        <v>3.03</v>
      </c>
      <c r="B540" s="383">
        <v>3</v>
      </c>
      <c r="D540" s="406"/>
      <c r="E540" s="407"/>
      <c r="F540" s="407"/>
      <c r="G540" s="407"/>
      <c r="H540" s="407"/>
      <c r="I540" s="407"/>
      <c r="J540" s="408" t="s">
        <v>402</v>
      </c>
      <c r="K540" s="409" t="str">
        <f t="shared" si="67"/>
        <v>V=(Ancho x Largo x Alto)* Cant</v>
      </c>
      <c r="L540" s="410" t="str">
        <f>+L539</f>
        <v>M3</v>
      </c>
      <c r="M540" s="411"/>
      <c r="N540" s="412"/>
      <c r="O540" s="442">
        <v>0.12</v>
      </c>
      <c r="P540" s="442">
        <v>0.2</v>
      </c>
      <c r="Q540" s="413">
        <f t="shared" ref="Q540:Q578" si="71">+T540/P540/O540</f>
        <v>10.7</v>
      </c>
      <c r="R540" s="411">
        <f t="shared" si="69"/>
        <v>0.25680000000000003</v>
      </c>
      <c r="S540" s="413">
        <v>1</v>
      </c>
      <c r="T540" s="414">
        <f>+HLOOKUP(B466,[238]Hoja1!$2:$78,31,FALSE)</f>
        <v>0.25679999999999997</v>
      </c>
      <c r="Y540" s="439">
        <f t="shared" ref="Y540:Y543" si="72">+O540*P540</f>
        <v>2.4E-2</v>
      </c>
      <c r="Z540" s="439">
        <f t="shared" si="68"/>
        <v>-0.23280000000000003</v>
      </c>
    </row>
    <row r="541" spans="1:26" ht="25.5">
      <c r="A541" s="453">
        <f t="shared" si="70"/>
        <v>3.03</v>
      </c>
      <c r="B541" s="383">
        <v>4</v>
      </c>
      <c r="D541" s="406"/>
      <c r="E541" s="407"/>
      <c r="F541" s="407"/>
      <c r="G541" s="407"/>
      <c r="H541" s="407"/>
      <c r="I541" s="407"/>
      <c r="J541" s="408" t="s">
        <v>403</v>
      </c>
      <c r="K541" s="409" t="str">
        <f t="shared" si="67"/>
        <v>V=(Ancho x Largo x Alto)* Cant</v>
      </c>
      <c r="L541" s="410" t="str">
        <f>+L540</f>
        <v>M3</v>
      </c>
      <c r="M541" s="411"/>
      <c r="N541" s="412"/>
      <c r="O541" s="442">
        <v>0.12</v>
      </c>
      <c r="P541" s="442">
        <v>0.2</v>
      </c>
      <c r="Q541" s="413">
        <f t="shared" si="71"/>
        <v>10.7</v>
      </c>
      <c r="R541" s="411">
        <f t="shared" si="69"/>
        <v>0.25680000000000003</v>
      </c>
      <c r="S541" s="413">
        <v>1</v>
      </c>
      <c r="T541" s="414">
        <f>+HLOOKUP(B467,[238]Hoja1!$2:$78,31,FALSE)</f>
        <v>0.25679999999999997</v>
      </c>
      <c r="Y541" s="439">
        <f t="shared" si="72"/>
        <v>2.4E-2</v>
      </c>
      <c r="Z541" s="439">
        <f t="shared" si="68"/>
        <v>-0.23280000000000003</v>
      </c>
    </row>
    <row r="542" spans="1:26" ht="25.5">
      <c r="A542" s="453">
        <f t="shared" si="70"/>
        <v>3.03</v>
      </c>
      <c r="B542" s="383">
        <v>5</v>
      </c>
      <c r="D542" s="406"/>
      <c r="E542" s="407"/>
      <c r="F542" s="407"/>
      <c r="G542" s="407"/>
      <c r="H542" s="407"/>
      <c r="I542" s="407"/>
      <c r="J542" s="408" t="s">
        <v>405</v>
      </c>
      <c r="K542" s="409" t="str">
        <f t="shared" si="67"/>
        <v>V=(Ancho x Largo x Alto)* Cant</v>
      </c>
      <c r="L542" s="410" t="str">
        <f>+L541</f>
        <v>M3</v>
      </c>
      <c r="M542" s="411"/>
      <c r="N542" s="412"/>
      <c r="O542" s="442">
        <v>0.12</v>
      </c>
      <c r="P542" s="442">
        <v>0.2</v>
      </c>
      <c r="Q542" s="413">
        <f t="shared" si="71"/>
        <v>10.7</v>
      </c>
      <c r="R542" s="411">
        <f t="shared" si="69"/>
        <v>0.25680000000000003</v>
      </c>
      <c r="S542" s="413">
        <v>1</v>
      </c>
      <c r="T542" s="414">
        <f>+HLOOKUP(B468,[238]Hoja1!$2:$78,31,FALSE)</f>
        <v>0.25679999999999997</v>
      </c>
      <c r="Y542" s="439">
        <f t="shared" si="72"/>
        <v>2.4E-2</v>
      </c>
      <c r="Z542" s="439">
        <f t="shared" si="68"/>
        <v>-0.23280000000000003</v>
      </c>
    </row>
    <row r="543" spans="1:26" ht="25.5">
      <c r="A543" s="453">
        <f t="shared" si="70"/>
        <v>3.03</v>
      </c>
      <c r="B543" s="383">
        <v>6</v>
      </c>
      <c r="D543" s="406"/>
      <c r="E543" s="407"/>
      <c r="F543" s="407"/>
      <c r="G543" s="407"/>
      <c r="H543" s="407"/>
      <c r="I543" s="407"/>
      <c r="J543" s="408" t="s">
        <v>407</v>
      </c>
      <c r="K543" s="409" t="str">
        <f t="shared" si="67"/>
        <v>V=(Ancho x Largo x Alto)* Cant</v>
      </c>
      <c r="L543" s="410" t="str">
        <f>+L542</f>
        <v>M3</v>
      </c>
      <c r="M543" s="411"/>
      <c r="N543" s="412"/>
      <c r="O543" s="442">
        <v>0.12</v>
      </c>
      <c r="P543" s="442">
        <v>0.2</v>
      </c>
      <c r="Q543" s="413">
        <f t="shared" si="71"/>
        <v>11.399999999999999</v>
      </c>
      <c r="R543" s="411">
        <f t="shared" si="69"/>
        <v>0.27359999999999995</v>
      </c>
      <c r="S543" s="413">
        <v>1</v>
      </c>
      <c r="T543" s="414">
        <f>+HLOOKUP(B469,[238]Hoja1!$2:$78,31,FALSE)</f>
        <v>0.27360000000000001</v>
      </c>
      <c r="Y543" s="439">
        <f t="shared" si="72"/>
        <v>2.4E-2</v>
      </c>
      <c r="Z543" s="439">
        <f t="shared" si="68"/>
        <v>-0.24959999999999996</v>
      </c>
    </row>
    <row r="544" spans="1:26" ht="25.5">
      <c r="A544" s="453">
        <f t="shared" si="70"/>
        <v>3.03</v>
      </c>
      <c r="B544" s="383">
        <v>7</v>
      </c>
      <c r="D544" s="406"/>
      <c r="E544" s="407"/>
      <c r="F544" s="407"/>
      <c r="G544" s="407"/>
      <c r="H544" s="407"/>
      <c r="I544" s="407"/>
      <c r="J544" s="408" t="s">
        <v>409</v>
      </c>
      <c r="K544" s="409" t="str">
        <f t="shared" si="67"/>
        <v>V=(Ancho x Largo x Alto)* Cant</v>
      </c>
      <c r="L544" s="410" t="str">
        <f>+L538</f>
        <v>M3</v>
      </c>
      <c r="M544" s="411"/>
      <c r="N544" s="412"/>
      <c r="O544" s="442"/>
      <c r="P544" s="442"/>
      <c r="Q544" s="413"/>
      <c r="R544" s="411"/>
      <c r="S544" s="413"/>
      <c r="T544" s="414">
        <f>+HLOOKUP(B470,[238]Hoja1!$2:$78,31,FALSE)</f>
        <v>0</v>
      </c>
      <c r="Y544" s="439">
        <f>+O544*P544*Q544*S544</f>
        <v>0</v>
      </c>
      <c r="Z544" s="439">
        <f t="shared" si="68"/>
        <v>0</v>
      </c>
    </row>
    <row r="545" spans="1:26" ht="25.5">
      <c r="A545" s="453">
        <f t="shared" si="70"/>
        <v>3.03</v>
      </c>
      <c r="B545" s="383">
        <v>8</v>
      </c>
      <c r="D545" s="406"/>
      <c r="E545" s="407"/>
      <c r="F545" s="407"/>
      <c r="G545" s="407"/>
      <c r="H545" s="407"/>
      <c r="I545" s="407"/>
      <c r="J545" s="408" t="s">
        <v>411</v>
      </c>
      <c r="K545" s="409" t="str">
        <f t="shared" si="67"/>
        <v>V=(Ancho x Largo x Alto)* Cant</v>
      </c>
      <c r="L545" s="410" t="str">
        <f>+L544</f>
        <v>M3</v>
      </c>
      <c r="M545" s="411"/>
      <c r="N545" s="412"/>
      <c r="O545" s="442">
        <v>0.12</v>
      </c>
      <c r="P545" s="442">
        <v>0.2</v>
      </c>
      <c r="Q545" s="413">
        <f t="shared" si="71"/>
        <v>17.875</v>
      </c>
      <c r="R545" s="411">
        <f t="shared" si="69"/>
        <v>0.42899999999999999</v>
      </c>
      <c r="S545" s="413">
        <v>1</v>
      </c>
      <c r="T545" s="414">
        <f>+HLOOKUP(B471,[238]Hoja1!$2:$78,31,FALSE)</f>
        <v>0.42899999999999999</v>
      </c>
      <c r="Y545" s="439">
        <f t="shared" ref="Y545:Y551" si="73">+O545*P545</f>
        <v>2.4E-2</v>
      </c>
      <c r="Z545" s="439">
        <f t="shared" si="68"/>
        <v>-0.40499999999999997</v>
      </c>
    </row>
    <row r="546" spans="1:26" ht="25.5">
      <c r="A546" s="453">
        <f t="shared" si="70"/>
        <v>3.03</v>
      </c>
      <c r="B546" s="383">
        <v>9</v>
      </c>
      <c r="D546" s="406"/>
      <c r="E546" s="407"/>
      <c r="F546" s="407"/>
      <c r="G546" s="407"/>
      <c r="H546" s="407"/>
      <c r="I546" s="407"/>
      <c r="J546" s="408" t="s">
        <v>412</v>
      </c>
      <c r="K546" s="409" t="str">
        <f t="shared" si="67"/>
        <v>V=(Ancho x Largo x Alto)* Cant</v>
      </c>
      <c r="L546" s="410" t="str">
        <f>+L545</f>
        <v>M3</v>
      </c>
      <c r="M546" s="411"/>
      <c r="N546" s="412"/>
      <c r="O546" s="442">
        <v>0.12</v>
      </c>
      <c r="P546" s="442">
        <v>0.2</v>
      </c>
      <c r="Q546" s="413">
        <f t="shared" si="71"/>
        <v>10.7</v>
      </c>
      <c r="R546" s="411">
        <f t="shared" si="69"/>
        <v>0.25680000000000003</v>
      </c>
      <c r="S546" s="413">
        <v>1</v>
      </c>
      <c r="T546" s="414">
        <f>+HLOOKUP(B472,[238]Hoja1!$2:$78,31,FALSE)</f>
        <v>0.25679999999999997</v>
      </c>
      <c r="Y546" s="439">
        <f t="shared" si="73"/>
        <v>2.4E-2</v>
      </c>
      <c r="Z546" s="439">
        <f t="shared" si="68"/>
        <v>-0.23280000000000003</v>
      </c>
    </row>
    <row r="547" spans="1:26" ht="25.5">
      <c r="A547" s="453">
        <f t="shared" si="70"/>
        <v>3.03</v>
      </c>
      <c r="B547" s="383">
        <v>10</v>
      </c>
      <c r="D547" s="406"/>
      <c r="E547" s="407"/>
      <c r="F547" s="407"/>
      <c r="G547" s="407"/>
      <c r="H547" s="407"/>
      <c r="I547" s="407"/>
      <c r="J547" s="408" t="s">
        <v>413</v>
      </c>
      <c r="K547" s="409" t="str">
        <f t="shared" si="67"/>
        <v>V=(Ancho x Largo x Alto)* Cant</v>
      </c>
      <c r="L547" s="410" t="str">
        <f>+L546</f>
        <v>M3</v>
      </c>
      <c r="M547" s="411"/>
      <c r="N547" s="412"/>
      <c r="O547" s="442"/>
      <c r="P547" s="442"/>
      <c r="Q547" s="413"/>
      <c r="R547" s="411"/>
      <c r="S547" s="413"/>
      <c r="T547" s="414">
        <f>+HLOOKUP(B473,[238]Hoja1!$2:$78,31,FALSE)</f>
        <v>0</v>
      </c>
      <c r="Y547" s="439">
        <f t="shared" si="73"/>
        <v>0</v>
      </c>
      <c r="Z547" s="439">
        <f t="shared" si="68"/>
        <v>0</v>
      </c>
    </row>
    <row r="548" spans="1:26" ht="25.5">
      <c r="A548" s="453">
        <f t="shared" si="70"/>
        <v>3.03</v>
      </c>
      <c r="B548" s="383">
        <v>11</v>
      </c>
      <c r="D548" s="406"/>
      <c r="E548" s="407"/>
      <c r="F548" s="407"/>
      <c r="G548" s="407"/>
      <c r="H548" s="407"/>
      <c r="I548" s="407"/>
      <c r="J548" s="408" t="s">
        <v>414</v>
      </c>
      <c r="K548" s="409" t="str">
        <f t="shared" si="67"/>
        <v>V=(Ancho x Largo x Alto)* Cant</v>
      </c>
      <c r="L548" s="410" t="str">
        <f>+L547</f>
        <v>M3</v>
      </c>
      <c r="M548" s="411"/>
      <c r="N548" s="412"/>
      <c r="O548" s="442"/>
      <c r="P548" s="442"/>
      <c r="Q548" s="413"/>
      <c r="R548" s="411"/>
      <c r="S548" s="413"/>
      <c r="T548" s="414">
        <f>+HLOOKUP(B474,[238]Hoja1!$2:$78,31,FALSE)</f>
        <v>0</v>
      </c>
      <c r="Y548" s="439">
        <f t="shared" si="73"/>
        <v>0</v>
      </c>
      <c r="Z548" s="439">
        <f t="shared" si="68"/>
        <v>0</v>
      </c>
    </row>
    <row r="549" spans="1:26" ht="25.5">
      <c r="A549" s="453">
        <f t="shared" si="70"/>
        <v>3.03</v>
      </c>
      <c r="B549" s="383">
        <v>12</v>
      </c>
      <c r="D549" s="406"/>
      <c r="E549" s="407"/>
      <c r="F549" s="407"/>
      <c r="G549" s="407"/>
      <c r="H549" s="407"/>
      <c r="I549" s="407"/>
      <c r="J549" s="408" t="s">
        <v>415</v>
      </c>
      <c r="K549" s="409" t="str">
        <f t="shared" si="67"/>
        <v>V=(Ancho x Largo x Alto)* Cant</v>
      </c>
      <c r="L549" s="410" t="str">
        <f>+L543</f>
        <v>M3</v>
      </c>
      <c r="M549" s="411"/>
      <c r="N549" s="412"/>
      <c r="O549" s="442"/>
      <c r="P549" s="442"/>
      <c r="Q549" s="413"/>
      <c r="R549" s="411"/>
      <c r="S549" s="413"/>
      <c r="T549" s="414">
        <f>+HLOOKUP(B475,[238]Hoja1!$2:$78,31,FALSE)</f>
        <v>0</v>
      </c>
      <c r="Y549" s="439">
        <f t="shared" si="73"/>
        <v>0</v>
      </c>
      <c r="Z549" s="439">
        <f t="shared" si="68"/>
        <v>0</v>
      </c>
    </row>
    <row r="550" spans="1:26" ht="25.5">
      <c r="A550" s="453">
        <f t="shared" si="70"/>
        <v>3.03</v>
      </c>
      <c r="B550" s="383">
        <v>13</v>
      </c>
      <c r="D550" s="406"/>
      <c r="E550" s="407"/>
      <c r="F550" s="407"/>
      <c r="G550" s="407"/>
      <c r="H550" s="407"/>
      <c r="I550" s="407"/>
      <c r="J550" s="408" t="s">
        <v>416</v>
      </c>
      <c r="K550" s="409" t="str">
        <f t="shared" si="67"/>
        <v>V=(Ancho x Largo x Alto)* Cant</v>
      </c>
      <c r="L550" s="410" t="str">
        <f>+L545</f>
        <v>M3</v>
      </c>
      <c r="M550" s="411"/>
      <c r="N550" s="412"/>
      <c r="O550" s="442"/>
      <c r="P550" s="442"/>
      <c r="Q550" s="413"/>
      <c r="R550" s="411"/>
      <c r="S550" s="413"/>
      <c r="T550" s="414">
        <f>+HLOOKUP(B476,[238]Hoja1!$2:$78,31,FALSE)</f>
        <v>0</v>
      </c>
      <c r="Y550" s="439">
        <f t="shared" si="73"/>
        <v>0</v>
      </c>
      <c r="Z550" s="439">
        <f t="shared" si="68"/>
        <v>0</v>
      </c>
    </row>
    <row r="551" spans="1:26" ht="25.5">
      <c r="A551" s="453">
        <f t="shared" si="70"/>
        <v>3.03</v>
      </c>
      <c r="B551" s="383">
        <v>14</v>
      </c>
      <c r="D551" s="406"/>
      <c r="E551" s="407"/>
      <c r="F551" s="407"/>
      <c r="G551" s="407"/>
      <c r="H551" s="407"/>
      <c r="I551" s="407"/>
      <c r="J551" s="408" t="s">
        <v>417</v>
      </c>
      <c r="K551" s="409" t="str">
        <f t="shared" si="67"/>
        <v>V=(Ancho x Largo x Alto)* Cant</v>
      </c>
      <c r="L551" s="410" t="str">
        <f t="shared" ref="L551:L562" si="74">+L550</f>
        <v>M3</v>
      </c>
      <c r="M551" s="411"/>
      <c r="N551" s="412"/>
      <c r="O551" s="442">
        <v>0.12</v>
      </c>
      <c r="P551" s="442">
        <v>0.2</v>
      </c>
      <c r="Q551" s="413">
        <f t="shared" si="71"/>
        <v>10.7</v>
      </c>
      <c r="R551" s="411">
        <f t="shared" si="69"/>
        <v>0.25680000000000003</v>
      </c>
      <c r="S551" s="413">
        <v>1</v>
      </c>
      <c r="T551" s="414">
        <f>+HLOOKUP(B477,[238]Hoja1!$2:$78,31,FALSE)</f>
        <v>0.25679999999999997</v>
      </c>
      <c r="Y551" s="439">
        <f t="shared" si="73"/>
        <v>2.4E-2</v>
      </c>
      <c r="Z551" s="439">
        <f t="shared" si="68"/>
        <v>-0.23280000000000003</v>
      </c>
    </row>
    <row r="552" spans="1:26" ht="25.5">
      <c r="A552" s="453">
        <f t="shared" si="70"/>
        <v>3.03</v>
      </c>
      <c r="B552" s="383">
        <v>15</v>
      </c>
      <c r="D552" s="406"/>
      <c r="E552" s="407"/>
      <c r="F552" s="407"/>
      <c r="G552" s="407"/>
      <c r="H552" s="407"/>
      <c r="I552" s="407"/>
      <c r="J552" s="408" t="s">
        <v>418</v>
      </c>
      <c r="K552" s="409" t="str">
        <f t="shared" si="67"/>
        <v>V=(Ancho x Largo x Alto)* Cant</v>
      </c>
      <c r="L552" s="410" t="str">
        <f t="shared" si="74"/>
        <v>M3</v>
      </c>
      <c r="M552" s="411"/>
      <c r="N552" s="412"/>
      <c r="O552" s="442">
        <v>0.12</v>
      </c>
      <c r="P552" s="442">
        <v>0.2</v>
      </c>
      <c r="Q552" s="413">
        <f t="shared" si="71"/>
        <v>6.625</v>
      </c>
      <c r="R552" s="411">
        <f t="shared" si="69"/>
        <v>0.159</v>
      </c>
      <c r="S552" s="413">
        <v>1</v>
      </c>
      <c r="T552" s="414">
        <f>+HLOOKUP(B478,[238]Hoja1!$2:$78,31,FALSE)</f>
        <v>0.159</v>
      </c>
      <c r="Y552" s="439">
        <f>+O552*P552*Q552</f>
        <v>0.159</v>
      </c>
      <c r="Z552" s="439">
        <f>+Y552-R552</f>
        <v>0</v>
      </c>
    </row>
    <row r="553" spans="1:26" ht="25.5">
      <c r="A553" s="453">
        <f t="shared" si="70"/>
        <v>3.03</v>
      </c>
      <c r="B553" s="383">
        <v>16</v>
      </c>
      <c r="D553" s="406"/>
      <c r="E553" s="407"/>
      <c r="F553" s="407"/>
      <c r="G553" s="407"/>
      <c r="H553" s="407"/>
      <c r="I553" s="407"/>
      <c r="J553" s="408" t="s">
        <v>419</v>
      </c>
      <c r="K553" s="409" t="str">
        <f t="shared" si="67"/>
        <v>V=(Ancho x Largo x Alto)* Cant</v>
      </c>
      <c r="L553" s="410" t="str">
        <f t="shared" si="74"/>
        <v>M3</v>
      </c>
      <c r="M553" s="411"/>
      <c r="N553" s="412"/>
      <c r="O553" s="442">
        <v>0.12</v>
      </c>
      <c r="P553" s="442">
        <v>0.2</v>
      </c>
      <c r="Q553" s="413">
        <f t="shared" si="71"/>
        <v>16.559999999999999</v>
      </c>
      <c r="R553" s="411">
        <f t="shared" si="69"/>
        <v>0.39743999999999996</v>
      </c>
      <c r="S553" s="413">
        <v>1</v>
      </c>
      <c r="T553" s="414">
        <f>+HLOOKUP(B479,[238]Hoja1!$2:$78,31,FALSE)</f>
        <v>0.39743999999999996</v>
      </c>
      <c r="Y553" s="439">
        <f>+O553*P553*Q553</f>
        <v>0.39743999999999996</v>
      </c>
      <c r="Z553" s="439">
        <f>+Y553-R553</f>
        <v>0</v>
      </c>
    </row>
    <row r="554" spans="1:26" ht="25.5">
      <c r="A554" s="453">
        <f t="shared" si="70"/>
        <v>3.03</v>
      </c>
      <c r="B554" s="383">
        <v>17</v>
      </c>
      <c r="D554" s="406"/>
      <c r="E554" s="407"/>
      <c r="F554" s="407"/>
      <c r="G554" s="407"/>
      <c r="H554" s="407"/>
      <c r="I554" s="407"/>
      <c r="J554" s="408" t="s">
        <v>420</v>
      </c>
      <c r="K554" s="409" t="str">
        <f t="shared" si="67"/>
        <v>V=(Ancho x Largo x Alto)* Cant</v>
      </c>
      <c r="L554" s="410" t="str">
        <f t="shared" si="74"/>
        <v>M3</v>
      </c>
      <c r="M554" s="411"/>
      <c r="N554" s="412"/>
      <c r="O554" s="442"/>
      <c r="P554" s="442"/>
      <c r="Q554" s="413"/>
      <c r="R554" s="411"/>
      <c r="S554" s="413"/>
      <c r="T554" s="414">
        <f>+HLOOKUP(B480,[238]Hoja1!$2:$78,31,FALSE)</f>
        <v>0</v>
      </c>
      <c r="Y554" s="439">
        <f t="shared" ref="Y554:Y571" si="75">+O554*P554*Q554</f>
        <v>0</v>
      </c>
      <c r="Z554" s="439">
        <f t="shared" ref="Z554:Z571" si="76">+Y554-R554</f>
        <v>0</v>
      </c>
    </row>
    <row r="555" spans="1:26" ht="25.5">
      <c r="A555" s="453">
        <f t="shared" si="70"/>
        <v>3.03</v>
      </c>
      <c r="B555" s="383">
        <v>18</v>
      </c>
      <c r="D555" s="406"/>
      <c r="E555" s="407"/>
      <c r="F555" s="407"/>
      <c r="G555" s="407"/>
      <c r="H555" s="407"/>
      <c r="I555" s="407"/>
      <c r="J555" s="408" t="s">
        <v>429</v>
      </c>
      <c r="K555" s="409" t="str">
        <f t="shared" si="67"/>
        <v>V=(Ancho x Largo x Alto)* Cant</v>
      </c>
      <c r="L555" s="410" t="str">
        <f t="shared" si="74"/>
        <v>M3</v>
      </c>
      <c r="M555" s="411"/>
      <c r="N555" s="412"/>
      <c r="O555" s="442">
        <v>0.12</v>
      </c>
      <c r="P555" s="442">
        <v>0.2</v>
      </c>
      <c r="Q555" s="413">
        <f t="shared" si="71"/>
        <v>11.399999999999999</v>
      </c>
      <c r="R555" s="411">
        <f t="shared" si="69"/>
        <v>0.27359999999999995</v>
      </c>
      <c r="S555" s="413">
        <v>1</v>
      </c>
      <c r="T555" s="414">
        <f>+HLOOKUP(B481,[238]Hoja1!$2:$78,31,FALSE)</f>
        <v>0.27360000000000001</v>
      </c>
      <c r="Y555" s="439">
        <f t="shared" si="75"/>
        <v>0.27359999999999995</v>
      </c>
      <c r="Z555" s="439">
        <f t="shared" si="76"/>
        <v>0</v>
      </c>
    </row>
    <row r="556" spans="1:26" ht="25.5">
      <c r="A556" s="453">
        <f t="shared" si="70"/>
        <v>3.03</v>
      </c>
      <c r="B556" s="383">
        <v>19</v>
      </c>
      <c r="D556" s="406"/>
      <c r="E556" s="407"/>
      <c r="F556" s="407"/>
      <c r="G556" s="407"/>
      <c r="H556" s="407"/>
      <c r="I556" s="407"/>
      <c r="J556" s="408" t="s">
        <v>430</v>
      </c>
      <c r="K556" s="409" t="str">
        <f t="shared" si="67"/>
        <v>V=(Ancho x Largo x Alto)* Cant</v>
      </c>
      <c r="L556" s="410" t="str">
        <f t="shared" si="74"/>
        <v>M3</v>
      </c>
      <c r="M556" s="411"/>
      <c r="N556" s="412"/>
      <c r="O556" s="442">
        <v>0.12</v>
      </c>
      <c r="P556" s="442">
        <v>0.2</v>
      </c>
      <c r="Q556" s="413">
        <f t="shared" si="71"/>
        <v>10.7</v>
      </c>
      <c r="R556" s="411">
        <f t="shared" si="69"/>
        <v>0.25680000000000003</v>
      </c>
      <c r="S556" s="413">
        <v>1</v>
      </c>
      <c r="T556" s="414">
        <f>+HLOOKUP(B482,[238]Hoja1!$2:$78,31,FALSE)</f>
        <v>0.25679999999999997</v>
      </c>
      <c r="Y556" s="439">
        <f t="shared" si="75"/>
        <v>0.25679999999999997</v>
      </c>
      <c r="Z556" s="439">
        <f t="shared" si="76"/>
        <v>0</v>
      </c>
    </row>
    <row r="557" spans="1:26" ht="25.5">
      <c r="A557" s="453">
        <f t="shared" si="70"/>
        <v>3.03</v>
      </c>
      <c r="B557" s="383">
        <v>20</v>
      </c>
      <c r="D557" s="406"/>
      <c r="E557" s="407"/>
      <c r="F557" s="407"/>
      <c r="G557" s="407"/>
      <c r="H557" s="407"/>
      <c r="I557" s="407"/>
      <c r="J557" s="408" t="s">
        <v>431</v>
      </c>
      <c r="K557" s="409" t="str">
        <f t="shared" si="67"/>
        <v>V=(Ancho x Largo x Alto)* Cant</v>
      </c>
      <c r="L557" s="410" t="str">
        <f t="shared" si="74"/>
        <v>M3</v>
      </c>
      <c r="M557" s="411"/>
      <c r="N557" s="412"/>
      <c r="O557" s="442">
        <v>0.12</v>
      </c>
      <c r="P557" s="442">
        <v>0.2</v>
      </c>
      <c r="Q557" s="413">
        <f t="shared" si="71"/>
        <v>17.875</v>
      </c>
      <c r="R557" s="411">
        <f t="shared" si="69"/>
        <v>0.42899999999999999</v>
      </c>
      <c r="S557" s="413">
        <v>1</v>
      </c>
      <c r="T557" s="414">
        <f>+HLOOKUP(B483,[238]Hoja1!$2:$78,31,FALSE)</f>
        <v>0.42899999999999999</v>
      </c>
      <c r="Y557" s="439">
        <f t="shared" si="75"/>
        <v>0.42899999999999999</v>
      </c>
      <c r="Z557" s="439">
        <f t="shared" si="76"/>
        <v>0</v>
      </c>
    </row>
    <row r="558" spans="1:26" ht="25.5">
      <c r="A558" s="453">
        <f t="shared" si="70"/>
        <v>3.03</v>
      </c>
      <c r="B558" s="383">
        <v>21</v>
      </c>
      <c r="D558" s="406"/>
      <c r="E558" s="407"/>
      <c r="F558" s="407"/>
      <c r="G558" s="407"/>
      <c r="H558" s="407"/>
      <c r="I558" s="407"/>
      <c r="J558" s="408" t="s">
        <v>432</v>
      </c>
      <c r="K558" s="409" t="str">
        <f t="shared" si="67"/>
        <v>V=(Ancho x Largo x Alto)* Cant</v>
      </c>
      <c r="L558" s="410" t="str">
        <f t="shared" si="74"/>
        <v>M3</v>
      </c>
      <c r="M558" s="411"/>
      <c r="N558" s="412"/>
      <c r="O558" s="442"/>
      <c r="P558" s="442"/>
      <c r="Q558" s="413"/>
      <c r="R558" s="411"/>
      <c r="S558" s="413"/>
      <c r="T558" s="414">
        <f>+HLOOKUP(B484,[238]Hoja1!$2:$78,31,FALSE)</f>
        <v>0</v>
      </c>
      <c r="Y558" s="439">
        <f t="shared" si="75"/>
        <v>0</v>
      </c>
      <c r="Z558" s="439">
        <f t="shared" si="76"/>
        <v>0</v>
      </c>
    </row>
    <row r="559" spans="1:26" ht="25.5">
      <c r="A559" s="453">
        <f t="shared" si="70"/>
        <v>3.03</v>
      </c>
      <c r="B559" s="383">
        <v>22</v>
      </c>
      <c r="D559" s="406"/>
      <c r="E559" s="407"/>
      <c r="F559" s="407"/>
      <c r="G559" s="407"/>
      <c r="H559" s="407"/>
      <c r="I559" s="407"/>
      <c r="J559" s="408" t="s">
        <v>433</v>
      </c>
      <c r="K559" s="409" t="str">
        <f t="shared" si="67"/>
        <v>V=(Ancho x Largo x Alto)* Cant</v>
      </c>
      <c r="L559" s="410" t="str">
        <f t="shared" si="74"/>
        <v>M3</v>
      </c>
      <c r="M559" s="411"/>
      <c r="N559" s="412"/>
      <c r="O559" s="442">
        <v>0.12</v>
      </c>
      <c r="P559" s="442">
        <v>0.2</v>
      </c>
      <c r="Q559" s="413">
        <f t="shared" si="71"/>
        <v>10.7</v>
      </c>
      <c r="R559" s="411">
        <f t="shared" si="69"/>
        <v>0.25680000000000003</v>
      </c>
      <c r="S559" s="413">
        <v>1</v>
      </c>
      <c r="T559" s="414">
        <f>+HLOOKUP(B485,[238]Hoja1!$2:$78,31,FALSE)</f>
        <v>0.25679999999999997</v>
      </c>
      <c r="Y559" s="439">
        <f t="shared" si="75"/>
        <v>0.25679999999999997</v>
      </c>
      <c r="Z559" s="439">
        <f t="shared" si="76"/>
        <v>0</v>
      </c>
    </row>
    <row r="560" spans="1:26" ht="25.5">
      <c r="A560" s="453">
        <f t="shared" si="70"/>
        <v>3.03</v>
      </c>
      <c r="B560" s="383">
        <v>23</v>
      </c>
      <c r="D560" s="406"/>
      <c r="E560" s="407"/>
      <c r="F560" s="407"/>
      <c r="G560" s="407"/>
      <c r="H560" s="407"/>
      <c r="I560" s="407"/>
      <c r="J560" s="408" t="s">
        <v>434</v>
      </c>
      <c r="K560" s="409" t="str">
        <f t="shared" si="67"/>
        <v>V=(Ancho x Largo x Alto)* Cant</v>
      </c>
      <c r="L560" s="410" t="str">
        <f t="shared" si="74"/>
        <v>M3</v>
      </c>
      <c r="M560" s="411"/>
      <c r="N560" s="412"/>
      <c r="O560" s="442"/>
      <c r="P560" s="442"/>
      <c r="Q560" s="413"/>
      <c r="R560" s="411"/>
      <c r="S560" s="413"/>
      <c r="T560" s="414">
        <f>+HLOOKUP(B486,[238]Hoja1!$2:$78,31,FALSE)</f>
        <v>0</v>
      </c>
      <c r="Y560" s="439">
        <f t="shared" si="75"/>
        <v>0</v>
      </c>
      <c r="Z560" s="439">
        <f t="shared" si="76"/>
        <v>0</v>
      </c>
    </row>
    <row r="561" spans="1:26" ht="25.5">
      <c r="A561" s="453">
        <f t="shared" si="70"/>
        <v>3.03</v>
      </c>
      <c r="B561" s="383">
        <v>24</v>
      </c>
      <c r="D561" s="406"/>
      <c r="E561" s="407"/>
      <c r="F561" s="407"/>
      <c r="G561" s="407"/>
      <c r="H561" s="407"/>
      <c r="I561" s="407"/>
      <c r="J561" s="408" t="s">
        <v>435</v>
      </c>
      <c r="K561" s="409" t="str">
        <f t="shared" si="67"/>
        <v>V=(Ancho x Largo x Alto)* Cant</v>
      </c>
      <c r="L561" s="410" t="str">
        <f t="shared" si="74"/>
        <v>M3</v>
      </c>
      <c r="M561" s="411"/>
      <c r="N561" s="412"/>
      <c r="O561" s="442"/>
      <c r="P561" s="442"/>
      <c r="Q561" s="413"/>
      <c r="R561" s="411"/>
      <c r="S561" s="413"/>
      <c r="T561" s="414">
        <f>+HLOOKUP(B487,[238]Hoja1!$2:$78,31,FALSE)</f>
        <v>0</v>
      </c>
      <c r="Y561" s="439">
        <f t="shared" si="75"/>
        <v>0</v>
      </c>
      <c r="Z561" s="439">
        <f t="shared" si="76"/>
        <v>0</v>
      </c>
    </row>
    <row r="562" spans="1:26" ht="25.5">
      <c r="A562" s="453">
        <f t="shared" si="70"/>
        <v>3.03</v>
      </c>
      <c r="B562" s="383">
        <v>25</v>
      </c>
      <c r="D562" s="406"/>
      <c r="E562" s="407"/>
      <c r="F562" s="407"/>
      <c r="G562" s="407"/>
      <c r="H562" s="407"/>
      <c r="I562" s="407"/>
      <c r="J562" s="408" t="s">
        <v>436</v>
      </c>
      <c r="K562" s="409" t="str">
        <f t="shared" si="67"/>
        <v>V=(Ancho x Largo x Alto)* Cant</v>
      </c>
      <c r="L562" s="410" t="str">
        <f t="shared" si="74"/>
        <v>M3</v>
      </c>
      <c r="M562" s="411"/>
      <c r="N562" s="412"/>
      <c r="O562" s="442">
        <v>0.12</v>
      </c>
      <c r="P562" s="442">
        <v>0.2</v>
      </c>
      <c r="Q562" s="413">
        <f t="shared" si="71"/>
        <v>11.1</v>
      </c>
      <c r="R562" s="411">
        <f t="shared" si="69"/>
        <v>0.26640000000000003</v>
      </c>
      <c r="S562" s="413">
        <v>1</v>
      </c>
      <c r="T562" s="414">
        <f>+HLOOKUP(B488,[238]Hoja1!$2:$78,31,FALSE)</f>
        <v>0.26639999999999997</v>
      </c>
      <c r="Y562" s="439">
        <f t="shared" si="75"/>
        <v>0.26639999999999997</v>
      </c>
      <c r="Z562" s="439">
        <f t="shared" si="76"/>
        <v>0</v>
      </c>
    </row>
    <row r="563" spans="1:26" ht="25.5">
      <c r="A563" s="453">
        <f t="shared" si="70"/>
        <v>3.03</v>
      </c>
      <c r="B563" s="383">
        <v>26</v>
      </c>
      <c r="D563" s="406"/>
      <c r="E563" s="407"/>
      <c r="F563" s="407"/>
      <c r="G563" s="407"/>
      <c r="H563" s="407"/>
      <c r="I563" s="407"/>
      <c r="J563" s="408" t="s">
        <v>437</v>
      </c>
      <c r="K563" s="409" t="str">
        <f t="shared" si="67"/>
        <v>V=(Ancho x Largo x Alto)* Cant</v>
      </c>
      <c r="L563" s="410" t="str">
        <f>+L552</f>
        <v>M3</v>
      </c>
      <c r="M563" s="411"/>
      <c r="N563" s="412"/>
      <c r="O563" s="442"/>
      <c r="P563" s="442"/>
      <c r="Q563" s="413"/>
      <c r="R563" s="411"/>
      <c r="S563" s="413"/>
      <c r="T563" s="414">
        <f>+HLOOKUP(B489,[238]Hoja1!$2:$78,31,FALSE)</f>
        <v>0</v>
      </c>
      <c r="Y563" s="439">
        <f t="shared" si="75"/>
        <v>0</v>
      </c>
      <c r="Z563" s="439">
        <f t="shared" si="76"/>
        <v>0</v>
      </c>
    </row>
    <row r="564" spans="1:26" ht="25.5">
      <c r="A564" s="453">
        <f t="shared" si="70"/>
        <v>3.03</v>
      </c>
      <c r="B564" s="383">
        <v>27</v>
      </c>
      <c r="D564" s="406"/>
      <c r="E564" s="407"/>
      <c r="F564" s="407"/>
      <c r="G564" s="407"/>
      <c r="H564" s="407"/>
      <c r="I564" s="407"/>
      <c r="J564" s="408" t="s">
        <v>438</v>
      </c>
      <c r="K564" s="409" t="str">
        <f t="shared" si="67"/>
        <v>V=(Ancho x Largo x Alto)* Cant</v>
      </c>
      <c r="L564" s="410" t="str">
        <f t="shared" ref="L564:L572" si="77">+L563</f>
        <v>M3</v>
      </c>
      <c r="M564" s="411"/>
      <c r="N564" s="412"/>
      <c r="O564" s="442">
        <v>0.12</v>
      </c>
      <c r="P564" s="442">
        <v>0.2</v>
      </c>
      <c r="Q564" s="413">
        <f t="shared" si="71"/>
        <v>10.7</v>
      </c>
      <c r="R564" s="411">
        <f t="shared" si="69"/>
        <v>0.25680000000000003</v>
      </c>
      <c r="S564" s="413">
        <v>1</v>
      </c>
      <c r="T564" s="414">
        <f>+HLOOKUP(B490,[238]Hoja1!$2:$78,31,FALSE)</f>
        <v>0.25679999999999997</v>
      </c>
      <c r="Y564" s="439">
        <f t="shared" si="75"/>
        <v>0.25679999999999997</v>
      </c>
      <c r="Z564" s="439">
        <f t="shared" si="76"/>
        <v>0</v>
      </c>
    </row>
    <row r="565" spans="1:26" ht="25.5">
      <c r="A565" s="453">
        <f t="shared" si="70"/>
        <v>3.03</v>
      </c>
      <c r="B565" s="383">
        <v>28</v>
      </c>
      <c r="D565" s="406"/>
      <c r="E565" s="440"/>
      <c r="F565" s="407"/>
      <c r="G565" s="407"/>
      <c r="H565" s="407"/>
      <c r="I565" s="437"/>
      <c r="J565" s="408" t="s">
        <v>439</v>
      </c>
      <c r="K565" s="409" t="str">
        <f t="shared" si="67"/>
        <v>V=(Ancho x Largo x Alto)* Cant</v>
      </c>
      <c r="L565" s="410" t="str">
        <f t="shared" si="77"/>
        <v>M3</v>
      </c>
      <c r="M565" s="411"/>
      <c r="N565" s="412"/>
      <c r="O565" s="442"/>
      <c r="P565" s="442"/>
      <c r="Q565" s="413"/>
      <c r="R565" s="411"/>
      <c r="S565" s="413"/>
      <c r="T565" s="414">
        <f>+HLOOKUP(B491,[238]Hoja1!$2:$78,31,FALSE)</f>
        <v>0</v>
      </c>
      <c r="Y565" s="439">
        <f t="shared" si="75"/>
        <v>0</v>
      </c>
      <c r="Z565" s="439">
        <f t="shared" si="76"/>
        <v>0</v>
      </c>
    </row>
    <row r="566" spans="1:26" ht="25.5">
      <c r="A566" s="453">
        <f t="shared" si="70"/>
        <v>3.03</v>
      </c>
      <c r="B566" s="383">
        <v>29</v>
      </c>
      <c r="D566" s="406"/>
      <c r="E566" s="407"/>
      <c r="F566" s="407"/>
      <c r="G566" s="407"/>
      <c r="H566" s="407"/>
      <c r="I566" s="407"/>
      <c r="J566" s="408" t="s">
        <v>440</v>
      </c>
      <c r="K566" s="409" t="str">
        <f t="shared" si="67"/>
        <v>V=(Ancho x Largo x Alto)* Cant</v>
      </c>
      <c r="L566" s="410" t="str">
        <f t="shared" si="77"/>
        <v>M3</v>
      </c>
      <c r="M566" s="411"/>
      <c r="N566" s="412"/>
      <c r="O566" s="442"/>
      <c r="P566" s="442"/>
      <c r="Q566" s="413"/>
      <c r="R566" s="411"/>
      <c r="S566" s="413"/>
      <c r="T566" s="414">
        <f>+HLOOKUP(B492,[238]Hoja1!$2:$78,31,FALSE)</f>
        <v>0</v>
      </c>
      <c r="Y566" s="439">
        <f t="shared" si="75"/>
        <v>0</v>
      </c>
      <c r="Z566" s="439">
        <f t="shared" si="76"/>
        <v>0</v>
      </c>
    </row>
    <row r="567" spans="1:26" ht="25.5">
      <c r="A567" s="453">
        <f t="shared" si="70"/>
        <v>3.03</v>
      </c>
      <c r="B567" s="383">
        <v>30</v>
      </c>
      <c r="D567" s="406"/>
      <c r="E567" s="407"/>
      <c r="F567" s="407"/>
      <c r="G567" s="407"/>
      <c r="H567" s="407"/>
      <c r="I567" s="407"/>
      <c r="J567" s="408" t="s">
        <v>441</v>
      </c>
      <c r="K567" s="409" t="str">
        <f t="shared" si="67"/>
        <v>V=(Ancho x Largo x Alto)* Cant</v>
      </c>
      <c r="L567" s="410" t="str">
        <f t="shared" si="77"/>
        <v>M3</v>
      </c>
      <c r="M567" s="411"/>
      <c r="N567" s="412"/>
      <c r="O567" s="442">
        <v>0.12</v>
      </c>
      <c r="P567" s="442">
        <v>0.2</v>
      </c>
      <c r="Q567" s="413">
        <f t="shared" si="71"/>
        <v>17.875</v>
      </c>
      <c r="R567" s="411">
        <f t="shared" si="69"/>
        <v>0.42899999999999999</v>
      </c>
      <c r="S567" s="413">
        <v>1</v>
      </c>
      <c r="T567" s="414">
        <f>+HLOOKUP(B493,[238]Hoja1!$2:$78,31,FALSE)</f>
        <v>0.42899999999999999</v>
      </c>
      <c r="Y567" s="439">
        <f t="shared" si="75"/>
        <v>0.42899999999999999</v>
      </c>
      <c r="Z567" s="439">
        <f t="shared" si="76"/>
        <v>0</v>
      </c>
    </row>
    <row r="568" spans="1:26" ht="25.5">
      <c r="A568" s="453">
        <f t="shared" si="70"/>
        <v>3.03</v>
      </c>
      <c r="B568" s="383">
        <v>31</v>
      </c>
      <c r="D568" s="406"/>
      <c r="E568" s="407"/>
      <c r="F568" s="407"/>
      <c r="G568" s="407"/>
      <c r="H568" s="407"/>
      <c r="I568" s="407"/>
      <c r="J568" s="408" t="s">
        <v>442</v>
      </c>
      <c r="K568" s="409" t="str">
        <f t="shared" si="67"/>
        <v>V=(Ancho x Largo x Alto)* Cant</v>
      </c>
      <c r="L568" s="410" t="str">
        <f t="shared" si="77"/>
        <v>M3</v>
      </c>
      <c r="M568" s="411"/>
      <c r="N568" s="412"/>
      <c r="O568" s="442"/>
      <c r="P568" s="442"/>
      <c r="Q568" s="413"/>
      <c r="R568" s="411"/>
      <c r="S568" s="413"/>
      <c r="T568" s="414">
        <f>+HLOOKUP(B494,[238]Hoja1!$2:$78,31,FALSE)</f>
        <v>0</v>
      </c>
      <c r="Y568" s="439">
        <f t="shared" si="75"/>
        <v>0</v>
      </c>
      <c r="Z568" s="439">
        <f t="shared" si="76"/>
        <v>0</v>
      </c>
    </row>
    <row r="569" spans="1:26" ht="25.5">
      <c r="A569" s="453">
        <f t="shared" si="70"/>
        <v>3.03</v>
      </c>
      <c r="B569" s="383">
        <v>32</v>
      </c>
      <c r="D569" s="406"/>
      <c r="E569" s="407"/>
      <c r="F569" s="407"/>
      <c r="G569" s="407"/>
      <c r="H569" s="407"/>
      <c r="I569" s="407"/>
      <c r="J569" s="408" t="s">
        <v>443</v>
      </c>
      <c r="K569" s="409" t="str">
        <f t="shared" si="67"/>
        <v>V=(Ancho x Largo x Alto)* Cant</v>
      </c>
      <c r="L569" s="410" t="str">
        <f t="shared" si="77"/>
        <v>M3</v>
      </c>
      <c r="M569" s="411"/>
      <c r="N569" s="412"/>
      <c r="O569" s="442">
        <v>0.12</v>
      </c>
      <c r="P569" s="442">
        <v>0.2</v>
      </c>
      <c r="Q569" s="413">
        <f t="shared" si="71"/>
        <v>11.399999999999999</v>
      </c>
      <c r="R569" s="411">
        <f t="shared" si="69"/>
        <v>0.27359999999999995</v>
      </c>
      <c r="S569" s="413">
        <v>1</v>
      </c>
      <c r="T569" s="414">
        <f>+HLOOKUP(B495,[238]Hoja1!$2:$78,31,FALSE)</f>
        <v>0.27360000000000001</v>
      </c>
      <c r="Y569" s="439">
        <f t="shared" si="75"/>
        <v>0.27359999999999995</v>
      </c>
      <c r="Z569" s="439">
        <f t="shared" si="76"/>
        <v>0</v>
      </c>
    </row>
    <row r="570" spans="1:26" ht="25.5">
      <c r="A570" s="453">
        <f t="shared" si="70"/>
        <v>3.03</v>
      </c>
      <c r="B570" s="383">
        <v>33</v>
      </c>
      <c r="D570" s="406"/>
      <c r="E570" s="407"/>
      <c r="F570" s="407"/>
      <c r="G570" s="407"/>
      <c r="H570" s="407"/>
      <c r="I570" s="407"/>
      <c r="J570" s="408" t="s">
        <v>444</v>
      </c>
      <c r="K570" s="409" t="str">
        <f t="shared" si="67"/>
        <v>V=(Ancho x Largo x Alto)* Cant</v>
      </c>
      <c r="L570" s="410" t="str">
        <f t="shared" si="77"/>
        <v>M3</v>
      </c>
      <c r="M570" s="411"/>
      <c r="N570" s="412"/>
      <c r="O570" s="442">
        <v>0.12</v>
      </c>
      <c r="P570" s="442">
        <v>0.2</v>
      </c>
      <c r="Q570" s="413">
        <f t="shared" si="71"/>
        <v>21.5</v>
      </c>
      <c r="R570" s="411">
        <f t="shared" si="69"/>
        <v>0.51600000000000001</v>
      </c>
      <c r="S570" s="413">
        <v>1</v>
      </c>
      <c r="T570" s="414">
        <f>+HLOOKUP(B496,[238]Hoja1!$2:$78,31,FALSE)</f>
        <v>0.51600000000000001</v>
      </c>
      <c r="Y570" s="439">
        <f t="shared" si="75"/>
        <v>0.51600000000000001</v>
      </c>
      <c r="Z570" s="439">
        <f t="shared" si="76"/>
        <v>0</v>
      </c>
    </row>
    <row r="571" spans="1:26" ht="25.5">
      <c r="A571" s="453">
        <f t="shared" si="70"/>
        <v>3.03</v>
      </c>
      <c r="B571" s="383">
        <v>34</v>
      </c>
      <c r="D571" s="406"/>
      <c r="E571" s="407"/>
      <c r="F571" s="407"/>
      <c r="G571" s="407"/>
      <c r="H571" s="407"/>
      <c r="I571" s="407"/>
      <c r="J571" s="408" t="s">
        <v>445</v>
      </c>
      <c r="K571" s="409" t="str">
        <f t="shared" si="67"/>
        <v>V=(Ancho x Largo x Alto)* Cant</v>
      </c>
      <c r="L571" s="410" t="str">
        <f t="shared" si="77"/>
        <v>M3</v>
      </c>
      <c r="M571" s="411"/>
      <c r="N571" s="412"/>
      <c r="O571" s="442"/>
      <c r="P571" s="442"/>
      <c r="Q571" s="413"/>
      <c r="R571" s="411"/>
      <c r="S571" s="413"/>
      <c r="T571" s="414">
        <f>+HLOOKUP(B497,[238]Hoja1!$2:$78,31,FALSE)</f>
        <v>0</v>
      </c>
      <c r="Y571" s="439">
        <f t="shared" si="75"/>
        <v>0</v>
      </c>
      <c r="Z571" s="439">
        <f t="shared" si="76"/>
        <v>0</v>
      </c>
    </row>
    <row r="572" spans="1:26" ht="25.5">
      <c r="A572" s="453">
        <f t="shared" si="70"/>
        <v>3.03</v>
      </c>
      <c r="B572" s="383">
        <v>35</v>
      </c>
      <c r="D572" s="406"/>
      <c r="E572" s="440"/>
      <c r="F572" s="407"/>
      <c r="G572" s="407"/>
      <c r="H572" s="407"/>
      <c r="I572" s="437"/>
      <c r="J572" s="408" t="s">
        <v>446</v>
      </c>
      <c r="K572" s="409" t="str">
        <f t="shared" si="67"/>
        <v>V=(Ancho x Largo x Alto)* Cant</v>
      </c>
      <c r="L572" s="410" t="str">
        <f t="shared" si="77"/>
        <v>M3</v>
      </c>
      <c r="M572" s="411"/>
      <c r="N572" s="412"/>
      <c r="O572" s="442"/>
      <c r="P572" s="442"/>
      <c r="Q572" s="413"/>
      <c r="R572" s="411"/>
      <c r="S572" s="413"/>
      <c r="T572" s="414">
        <f>+HLOOKUP(B498,[238]Hoja1!$2:$78,31,FALSE)</f>
        <v>0</v>
      </c>
      <c r="Y572" s="439">
        <f>+O572*P572*Q572</f>
        <v>0</v>
      </c>
      <c r="Z572" s="439">
        <f>+Y572-R572</f>
        <v>0</v>
      </c>
    </row>
    <row r="573" spans="1:26" ht="25.5">
      <c r="A573" s="453">
        <f t="shared" si="70"/>
        <v>3.03</v>
      </c>
      <c r="B573" s="383">
        <v>36</v>
      </c>
      <c r="D573" s="406"/>
      <c r="E573" s="407"/>
      <c r="F573" s="407"/>
      <c r="G573" s="407"/>
      <c r="H573" s="407"/>
      <c r="I573" s="407"/>
      <c r="J573" s="408" t="s">
        <v>447</v>
      </c>
      <c r="K573" s="409" t="str">
        <f t="shared" si="67"/>
        <v>V=(Ancho x Largo x Alto)* Cant</v>
      </c>
      <c r="L573" s="410" t="str">
        <f>+L562</f>
        <v>M3</v>
      </c>
      <c r="M573" s="411"/>
      <c r="N573" s="412"/>
      <c r="O573" s="442">
        <v>0.12</v>
      </c>
      <c r="P573" s="442">
        <v>0.2</v>
      </c>
      <c r="Q573" s="413">
        <f t="shared" si="71"/>
        <v>11.399999999999999</v>
      </c>
      <c r="R573" s="411">
        <f t="shared" si="69"/>
        <v>0.27359999999999995</v>
      </c>
      <c r="S573" s="413">
        <v>1</v>
      </c>
      <c r="T573" s="414">
        <f>+HLOOKUP(B499,[238]Hoja1!$2:$78,31,FALSE)</f>
        <v>0.27360000000000001</v>
      </c>
      <c r="Y573" s="439">
        <f t="shared" ref="Y573:Y580" si="78">+O573*P573*Q573</f>
        <v>0.27359999999999995</v>
      </c>
      <c r="Z573" s="439">
        <f t="shared" ref="Z573:Z580" si="79">+Y573-R573</f>
        <v>0</v>
      </c>
    </row>
    <row r="574" spans="1:26" ht="25.5">
      <c r="A574" s="453">
        <f t="shared" si="70"/>
        <v>3.03</v>
      </c>
      <c r="B574" s="383">
        <v>37</v>
      </c>
      <c r="D574" s="406"/>
      <c r="E574" s="407"/>
      <c r="F574" s="407"/>
      <c r="G574" s="407"/>
      <c r="H574" s="407"/>
      <c r="I574" s="407"/>
      <c r="J574" s="408" t="s">
        <v>448</v>
      </c>
      <c r="K574" s="409" t="str">
        <f t="shared" si="67"/>
        <v>V=(Ancho x Largo x Alto)* Cant</v>
      </c>
      <c r="L574" s="410" t="str">
        <f t="shared" ref="L574:L580" si="80">+L573</f>
        <v>M3</v>
      </c>
      <c r="M574" s="411"/>
      <c r="N574" s="412"/>
      <c r="O574" s="442">
        <v>0.12</v>
      </c>
      <c r="P574" s="442">
        <v>0.2</v>
      </c>
      <c r="Q574" s="413">
        <f t="shared" si="71"/>
        <v>12.749999999999998</v>
      </c>
      <c r="R574" s="411">
        <f t="shared" si="69"/>
        <v>0.30599999999999999</v>
      </c>
      <c r="S574" s="413">
        <v>1</v>
      </c>
      <c r="T574" s="414">
        <f>+HLOOKUP(B500,[238]Hoja1!$2:$78,31,FALSE)</f>
        <v>0.30599999999999999</v>
      </c>
      <c r="Y574" s="439">
        <f t="shared" si="78"/>
        <v>0.30599999999999994</v>
      </c>
      <c r="Z574" s="439">
        <f t="shared" si="79"/>
        <v>0</v>
      </c>
    </row>
    <row r="575" spans="1:26" ht="25.5">
      <c r="A575" s="453">
        <f t="shared" si="70"/>
        <v>3.03</v>
      </c>
      <c r="B575" s="383">
        <v>38</v>
      </c>
      <c r="D575" s="406"/>
      <c r="E575" s="440"/>
      <c r="F575" s="407"/>
      <c r="G575" s="407"/>
      <c r="H575" s="407"/>
      <c r="I575" s="437"/>
      <c r="J575" s="408" t="s">
        <v>449</v>
      </c>
      <c r="K575" s="409" t="str">
        <f t="shared" si="67"/>
        <v>V=(Ancho x Largo x Alto)* Cant</v>
      </c>
      <c r="L575" s="410" t="str">
        <f t="shared" si="80"/>
        <v>M3</v>
      </c>
      <c r="M575" s="411"/>
      <c r="N575" s="412"/>
      <c r="O575" s="442"/>
      <c r="P575" s="442"/>
      <c r="Q575" s="413"/>
      <c r="R575" s="411"/>
      <c r="S575" s="413"/>
      <c r="T575" s="414">
        <f>+HLOOKUP(B501,[238]Hoja1!$2:$78,31,FALSE)</f>
        <v>0</v>
      </c>
      <c r="Y575" s="439">
        <f t="shared" si="78"/>
        <v>0</v>
      </c>
      <c r="Z575" s="439">
        <f t="shared" si="79"/>
        <v>0</v>
      </c>
    </row>
    <row r="576" spans="1:26" ht="25.5">
      <c r="A576" s="453">
        <f t="shared" si="70"/>
        <v>3.03</v>
      </c>
      <c r="B576" s="383">
        <v>39</v>
      </c>
      <c r="D576" s="406"/>
      <c r="E576" s="407"/>
      <c r="F576" s="407"/>
      <c r="G576" s="407"/>
      <c r="H576" s="407"/>
      <c r="I576" s="407"/>
      <c r="J576" s="408" t="s">
        <v>450</v>
      </c>
      <c r="K576" s="409" t="str">
        <f t="shared" si="67"/>
        <v>V=(Ancho x Largo x Alto)* Cant</v>
      </c>
      <c r="L576" s="410" t="str">
        <f t="shared" si="80"/>
        <v>M3</v>
      </c>
      <c r="M576" s="411"/>
      <c r="N576" s="412"/>
      <c r="O576" s="442"/>
      <c r="P576" s="442"/>
      <c r="Q576" s="413"/>
      <c r="R576" s="411"/>
      <c r="S576" s="413"/>
      <c r="T576" s="414">
        <f>+HLOOKUP(B502,[238]Hoja1!$2:$78,31,FALSE)</f>
        <v>0</v>
      </c>
      <c r="Y576" s="439">
        <f t="shared" si="78"/>
        <v>0</v>
      </c>
      <c r="Z576" s="439">
        <f t="shared" si="79"/>
        <v>0</v>
      </c>
    </row>
    <row r="577" spans="1:26" ht="25.5">
      <c r="A577" s="453">
        <f t="shared" si="70"/>
        <v>3.03</v>
      </c>
      <c r="B577" s="383">
        <v>40</v>
      </c>
      <c r="D577" s="406"/>
      <c r="E577" s="407"/>
      <c r="F577" s="407"/>
      <c r="G577" s="407"/>
      <c r="H577" s="407"/>
      <c r="I577" s="407"/>
      <c r="J577" s="408" t="s">
        <v>451</v>
      </c>
      <c r="K577" s="409" t="str">
        <f t="shared" si="67"/>
        <v>V=(Ancho x Largo x Alto)* Cant</v>
      </c>
      <c r="L577" s="410" t="str">
        <f t="shared" si="80"/>
        <v>M3</v>
      </c>
      <c r="M577" s="411"/>
      <c r="N577" s="412"/>
      <c r="O577" s="442">
        <v>0.12</v>
      </c>
      <c r="P577" s="442">
        <v>0.2</v>
      </c>
      <c r="Q577" s="413">
        <f t="shared" si="71"/>
        <v>11.399999999999999</v>
      </c>
      <c r="R577" s="411">
        <f t="shared" si="69"/>
        <v>0.27359999999999995</v>
      </c>
      <c r="S577" s="413">
        <v>1</v>
      </c>
      <c r="T577" s="414">
        <f>+HLOOKUP(B503,[238]Hoja1!$2:$78,31,FALSE)</f>
        <v>0.27360000000000001</v>
      </c>
      <c r="Y577" s="439">
        <f t="shared" si="78"/>
        <v>0.27359999999999995</v>
      </c>
      <c r="Z577" s="439">
        <f t="shared" si="79"/>
        <v>0</v>
      </c>
    </row>
    <row r="578" spans="1:26" ht="25.5">
      <c r="A578" s="453">
        <f t="shared" si="70"/>
        <v>3.03</v>
      </c>
      <c r="B578" s="383">
        <v>41</v>
      </c>
      <c r="D578" s="406"/>
      <c r="E578" s="407"/>
      <c r="F578" s="407"/>
      <c r="G578" s="407"/>
      <c r="H578" s="407"/>
      <c r="I578" s="407"/>
      <c r="J578" s="408" t="s">
        <v>452</v>
      </c>
      <c r="K578" s="409" t="str">
        <f t="shared" si="67"/>
        <v>V=(Ancho x Largo x Alto)* Cant</v>
      </c>
      <c r="L578" s="410" t="str">
        <f t="shared" si="80"/>
        <v>M3</v>
      </c>
      <c r="M578" s="411"/>
      <c r="N578" s="412"/>
      <c r="O578" s="442">
        <v>0.12</v>
      </c>
      <c r="P578" s="442">
        <v>0.2</v>
      </c>
      <c r="Q578" s="413">
        <f t="shared" si="71"/>
        <v>8.4700000000000006</v>
      </c>
      <c r="R578" s="411">
        <f t="shared" si="69"/>
        <v>0.20328000000000002</v>
      </c>
      <c r="S578" s="413">
        <v>1</v>
      </c>
      <c r="T578" s="414">
        <f>+HLOOKUP(B504,[238]Hoja1!$2:$78,31,FALSE)</f>
        <v>0.20327999999999999</v>
      </c>
      <c r="Y578" s="439">
        <f t="shared" si="78"/>
        <v>0.20328000000000002</v>
      </c>
      <c r="Z578" s="439">
        <f t="shared" si="79"/>
        <v>0</v>
      </c>
    </row>
    <row r="579" spans="1:26" ht="25.5">
      <c r="A579" s="453">
        <f t="shared" si="70"/>
        <v>3.03</v>
      </c>
      <c r="B579" s="383">
        <v>42</v>
      </c>
      <c r="D579" s="406"/>
      <c r="E579" s="407"/>
      <c r="F579" s="407"/>
      <c r="G579" s="407"/>
      <c r="H579" s="407"/>
      <c r="I579" s="407"/>
      <c r="J579" s="408" t="s">
        <v>453</v>
      </c>
      <c r="K579" s="409" t="str">
        <f t="shared" si="67"/>
        <v>V=(Ancho x Largo x Alto)* Cant</v>
      </c>
      <c r="L579" s="410" t="str">
        <f t="shared" si="80"/>
        <v>M3</v>
      </c>
      <c r="M579" s="411"/>
      <c r="N579" s="412"/>
      <c r="O579" s="442"/>
      <c r="P579" s="442"/>
      <c r="Q579" s="413"/>
      <c r="R579" s="411"/>
      <c r="S579" s="413"/>
      <c r="T579" s="414">
        <f>+HLOOKUP(B505,[238]Hoja1!$2:$78,31,FALSE)</f>
        <v>0</v>
      </c>
      <c r="Y579" s="439">
        <f t="shared" si="78"/>
        <v>0</v>
      </c>
      <c r="Z579" s="439">
        <f t="shared" si="79"/>
        <v>0</v>
      </c>
    </row>
    <row r="580" spans="1:26" ht="26.25" thickBot="1">
      <c r="A580" s="453">
        <f t="shared" si="70"/>
        <v>3.03</v>
      </c>
      <c r="B580" s="383">
        <v>43</v>
      </c>
      <c r="D580" s="406"/>
      <c r="E580" s="407"/>
      <c r="F580" s="407"/>
      <c r="G580" s="407"/>
      <c r="H580" s="407"/>
      <c r="I580" s="407"/>
      <c r="J580" s="408" t="s">
        <v>454</v>
      </c>
      <c r="K580" s="409" t="str">
        <f t="shared" si="67"/>
        <v>V=(Ancho x Largo x Alto)* Cant</v>
      </c>
      <c r="L580" s="410" t="str">
        <f t="shared" si="80"/>
        <v>M3</v>
      </c>
      <c r="M580" s="411"/>
      <c r="N580" s="412"/>
      <c r="O580" s="442"/>
      <c r="P580" s="442"/>
      <c r="Q580" s="413"/>
      <c r="R580" s="411"/>
      <c r="S580" s="413"/>
      <c r="T580" s="414">
        <f>+HLOOKUP(B506,[238]Hoja1!$2:$78,31,FALSE)</f>
        <v>0</v>
      </c>
      <c r="Y580" s="439">
        <f t="shared" si="78"/>
        <v>0</v>
      </c>
      <c r="Z580" s="439">
        <f t="shared" si="79"/>
        <v>0</v>
      </c>
    </row>
    <row r="581" spans="1:26">
      <c r="D581" s="384"/>
      <c r="E581" s="419"/>
      <c r="F581" s="420"/>
      <c r="G581" s="421"/>
      <c r="H581" s="421"/>
      <c r="I581" s="421"/>
      <c r="J581" s="421"/>
      <c r="K581" s="422"/>
      <c r="L581" s="421"/>
      <c r="M581" s="421"/>
      <c r="N581" s="421"/>
      <c r="O581" s="421"/>
      <c r="P581" s="421"/>
      <c r="Q581" s="421"/>
      <c r="R581" s="421"/>
      <c r="S581" s="422"/>
      <c r="T581" s="423"/>
    </row>
    <row r="582" spans="1:26">
      <c r="D582" s="396"/>
      <c r="E582" s="397"/>
      <c r="F582" s="424"/>
      <c r="G582" s="425"/>
      <c r="H582" s="425"/>
      <c r="I582" s="425"/>
      <c r="J582" s="425"/>
      <c r="K582" s="398"/>
      <c r="L582" s="425"/>
      <c r="M582" s="425"/>
      <c r="N582" s="397"/>
      <c r="O582" s="397"/>
      <c r="P582" s="562" t="s">
        <v>455</v>
      </c>
      <c r="Q582" s="563"/>
      <c r="R582" s="564"/>
      <c r="S582" s="426"/>
      <c r="T582" s="427">
        <f>ROUND(SUM(T538:T581),2)</f>
        <v>6.81</v>
      </c>
    </row>
    <row r="583" spans="1:26">
      <c r="D583" s="396"/>
      <c r="E583" s="397"/>
      <c r="F583" s="424"/>
      <c r="G583" s="425"/>
      <c r="H583" s="425"/>
      <c r="I583" s="425"/>
      <c r="J583" s="425"/>
      <c r="K583" s="398"/>
      <c r="L583" s="425"/>
      <c r="M583" s="425"/>
      <c r="N583" s="428"/>
      <c r="O583" s="428"/>
      <c r="P583" s="429"/>
      <c r="Q583" s="425"/>
      <c r="R583" s="425"/>
      <c r="S583" s="430"/>
      <c r="T583" s="431"/>
    </row>
    <row r="584" spans="1:26">
      <c r="D584" s="565" t="e">
        <v>#REF!</v>
      </c>
      <c r="E584" s="566"/>
      <c r="F584" s="566"/>
      <c r="G584" s="566"/>
      <c r="H584" s="566"/>
      <c r="I584" s="566"/>
      <c r="J584" s="566"/>
      <c r="K584" s="566"/>
      <c r="L584" s="566"/>
      <c r="M584" s="566"/>
      <c r="N584" s="566"/>
      <c r="O584" s="567"/>
      <c r="P584" s="568" t="s">
        <v>422</v>
      </c>
      <c r="Q584" s="568"/>
      <c r="R584" s="568"/>
      <c r="S584" s="426"/>
      <c r="T584" s="427">
        <f>T582</f>
        <v>6.81</v>
      </c>
    </row>
    <row r="585" spans="1:26">
      <c r="D585" s="396"/>
      <c r="E585" s="397"/>
      <c r="F585" s="424"/>
      <c r="G585" s="425"/>
      <c r="H585" s="425"/>
      <c r="I585" s="425"/>
      <c r="J585" s="425"/>
      <c r="K585" s="398"/>
      <c r="L585" s="425"/>
      <c r="M585" s="425"/>
      <c r="N585" s="428"/>
      <c r="O585" s="428"/>
      <c r="P585" s="429"/>
      <c r="Q585" s="425"/>
      <c r="R585" s="398"/>
      <c r="S585" s="398"/>
      <c r="T585" s="432"/>
    </row>
    <row r="586" spans="1:26">
      <c r="D586" s="396"/>
      <c r="E586" s="397"/>
      <c r="F586" s="424"/>
      <c r="G586" s="425"/>
      <c r="H586" s="425"/>
      <c r="I586" s="425"/>
      <c r="J586" s="425"/>
      <c r="K586" s="398"/>
      <c r="L586" s="425"/>
      <c r="M586" s="425"/>
      <c r="N586" s="428"/>
      <c r="O586" s="428"/>
      <c r="P586" s="429"/>
      <c r="Q586" s="425"/>
      <c r="R586" s="398"/>
      <c r="S586" s="398"/>
      <c r="T586" s="432"/>
    </row>
    <row r="587" spans="1:26">
      <c r="D587" s="569" t="s">
        <v>423</v>
      </c>
      <c r="E587" s="570"/>
      <c r="F587" s="570"/>
      <c r="G587" s="570"/>
      <c r="H587" s="570"/>
      <c r="I587" s="570"/>
      <c r="J587" s="570"/>
      <c r="K587" s="571"/>
      <c r="L587" s="433" t="s">
        <v>424</v>
      </c>
      <c r="M587" s="434"/>
      <c r="N587" s="434"/>
      <c r="O587" s="434"/>
      <c r="P587" s="434"/>
      <c r="Q587" s="434"/>
      <c r="R587" s="434"/>
      <c r="S587" s="434"/>
      <c r="T587" s="435"/>
    </row>
    <row r="588" spans="1:26">
      <c r="D588" s="542"/>
      <c r="E588" s="543"/>
      <c r="F588" s="543"/>
      <c r="G588" s="543"/>
      <c r="H588" s="436"/>
      <c r="I588" s="436"/>
      <c r="J588" s="436"/>
      <c r="K588" s="447"/>
      <c r="L588" s="436"/>
      <c r="M588" s="407"/>
      <c r="N588" s="407"/>
      <c r="O588" s="407"/>
      <c r="P588" s="407"/>
      <c r="Q588" s="407"/>
      <c r="R588" s="407"/>
      <c r="S588" s="407"/>
      <c r="T588" s="437"/>
    </row>
    <row r="589" spans="1:26">
      <c r="D589" s="542"/>
      <c r="E589" s="543"/>
      <c r="F589" s="543"/>
      <c r="G589" s="543"/>
      <c r="H589" s="436"/>
      <c r="I589" s="436"/>
      <c r="J589" s="436"/>
      <c r="K589" s="447"/>
      <c r="L589" s="436"/>
      <c r="M589" s="407"/>
      <c r="N589" s="407"/>
      <c r="O589" s="407"/>
      <c r="P589" s="407"/>
      <c r="Q589" s="407"/>
      <c r="R589" s="407"/>
      <c r="S589" s="407"/>
      <c r="T589" s="437"/>
    </row>
    <row r="590" spans="1:26">
      <c r="D590" s="542" t="s">
        <v>425</v>
      </c>
      <c r="E590" s="543"/>
      <c r="F590" s="543" t="s">
        <v>425</v>
      </c>
      <c r="G590" s="543"/>
      <c r="H590" s="543" t="s">
        <v>425</v>
      </c>
      <c r="I590" s="543"/>
      <c r="J590" s="543" t="s">
        <v>425</v>
      </c>
      <c r="K590" s="544"/>
      <c r="L590" s="545" t="s">
        <v>426</v>
      </c>
      <c r="M590" s="546"/>
      <c r="N590" s="546"/>
      <c r="O590" s="546"/>
      <c r="P590" s="546"/>
      <c r="Q590" s="546"/>
      <c r="R590" s="546"/>
      <c r="S590" s="546"/>
      <c r="T590" s="547"/>
    </row>
    <row r="591" spans="1:26">
      <c r="D591" s="548" t="str">
        <f>+[42]DATOS!D$8</f>
        <v>HELMER EDUARDO BECERRA SANTANDER</v>
      </c>
      <c r="E591" s="549"/>
      <c r="F591" s="549" t="s">
        <v>427</v>
      </c>
      <c r="G591" s="549"/>
      <c r="H591" s="549" t="s">
        <v>427</v>
      </c>
      <c r="I591" s="549"/>
      <c r="J591" s="549" t="s">
        <v>427</v>
      </c>
      <c r="K591" s="550"/>
      <c r="L591" s="551" t="str">
        <f>+[42]DATOS!D$11</f>
        <v>JESUS IVAN QUIÑONES RUEDA</v>
      </c>
      <c r="M591" s="549"/>
      <c r="N591" s="549"/>
      <c r="O591" s="549"/>
      <c r="P591" s="549"/>
      <c r="Q591" s="549"/>
      <c r="R591" s="549"/>
      <c r="S591" s="549"/>
      <c r="T591" s="552"/>
    </row>
    <row r="592" spans="1:26">
      <c r="D592" s="553" t="str">
        <f>+$D$72</f>
        <v>APOYO SEC. DE PLANEACION Y OBRAS PÚBLICAS</v>
      </c>
      <c r="E592" s="554"/>
      <c r="F592" s="554" t="s">
        <v>428</v>
      </c>
      <c r="G592" s="554"/>
      <c r="H592" s="554" t="s">
        <v>428</v>
      </c>
      <c r="I592" s="554"/>
      <c r="J592" s="554" t="s">
        <v>428</v>
      </c>
      <c r="K592" s="555"/>
      <c r="L592" s="556" t="str">
        <f>+$L$72</f>
        <v>SECRETARIO DE PLANEACION Y OBRAS PÚBLICAS</v>
      </c>
      <c r="M592" s="554"/>
      <c r="N592" s="554"/>
      <c r="O592" s="554"/>
      <c r="P592" s="554"/>
      <c r="Q592" s="554"/>
      <c r="R592" s="554"/>
      <c r="S592" s="554"/>
      <c r="T592" s="557"/>
    </row>
    <row r="593" spans="4:20">
      <c r="D593" s="406"/>
      <c r="E593" s="407"/>
      <c r="F593" s="407"/>
      <c r="G593" s="407"/>
      <c r="H593" s="407"/>
      <c r="I593" s="407"/>
      <c r="J593" s="407"/>
      <c r="K593" s="407"/>
      <c r="L593" s="407"/>
      <c r="M593" s="407"/>
      <c r="N593" s="407"/>
      <c r="O593" s="407"/>
      <c r="P593" s="407"/>
      <c r="Q593" s="407"/>
      <c r="R593" s="407"/>
      <c r="S593" s="407"/>
      <c r="T593" s="437"/>
    </row>
    <row r="594" spans="4:20" ht="111" customHeight="1" thickBot="1">
      <c r="D594" s="417"/>
      <c r="E594" s="418"/>
      <c r="F594" s="418"/>
      <c r="G594" s="418"/>
      <c r="H594" s="418"/>
      <c r="I594" s="418"/>
      <c r="J594" s="418"/>
      <c r="K594" s="418"/>
      <c r="L594" s="418"/>
      <c r="M594" s="418"/>
      <c r="N594" s="418"/>
      <c r="O594" s="418"/>
      <c r="P594" s="418"/>
      <c r="Q594" s="418"/>
      <c r="R594" s="418"/>
      <c r="S594" s="418"/>
      <c r="T594" s="438"/>
    </row>
    <row r="595" spans="4:20" ht="22.5" customHeight="1"/>
    <row r="596" spans="4:20" ht="13.5" thickBot="1"/>
    <row r="597" spans="4:20">
      <c r="D597" s="384"/>
      <c r="E597" s="385"/>
      <c r="F597" s="385"/>
      <c r="G597" s="385"/>
      <c r="H597" s="385"/>
      <c r="I597" s="385"/>
      <c r="J597" s="385"/>
      <c r="K597" s="445"/>
      <c r="L597" s="385"/>
      <c r="M597" s="385"/>
      <c r="N597" s="385"/>
      <c r="O597" s="385"/>
      <c r="P597" s="385"/>
      <c r="Q597" s="385"/>
      <c r="R597" s="385"/>
      <c r="S597" s="385"/>
      <c r="T597" s="386"/>
    </row>
    <row r="598" spans="4:20" ht="121.5" customHeight="1" thickBot="1">
      <c r="D598" s="387"/>
      <c r="E598" s="388"/>
      <c r="F598" s="388"/>
      <c r="G598" s="388"/>
      <c r="H598" s="388"/>
      <c r="I598" s="388"/>
      <c r="J598" s="388"/>
      <c r="K598" s="446"/>
      <c r="L598" s="388"/>
      <c r="M598" s="388"/>
      <c r="N598" s="388"/>
      <c r="O598" s="388"/>
      <c r="P598" s="388"/>
      <c r="Q598" s="388"/>
      <c r="R598" s="388"/>
      <c r="S598" s="388"/>
      <c r="T598" s="389"/>
    </row>
    <row r="599" spans="4:20">
      <c r="D599" s="592" t="str">
        <f>+[42]DATOS!C$7</f>
        <v>MEJORAMIENTO DE VIVIENDA CON ENFOQUE DIFERENCIAL PARA POBLACIÓN VULNERABLE EN EL MUNICIPIO DE CUBARÁ, BOYACÁ (2026).</v>
      </c>
      <c r="E599" s="593"/>
      <c r="F599" s="593"/>
      <c r="G599" s="593"/>
      <c r="H599" s="593"/>
      <c r="I599" s="593"/>
      <c r="J599" s="593"/>
      <c r="K599" s="593"/>
      <c r="L599" s="593"/>
      <c r="M599" s="593"/>
      <c r="N599" s="593"/>
      <c r="O599" s="593"/>
      <c r="P599" s="593"/>
      <c r="Q599" s="593"/>
      <c r="R599" s="593"/>
      <c r="S599" s="593"/>
      <c r="T599" s="594"/>
    </row>
    <row r="600" spans="4:20">
      <c r="D600" s="595"/>
      <c r="E600" s="596"/>
      <c r="F600" s="596"/>
      <c r="G600" s="596"/>
      <c r="H600" s="596"/>
      <c r="I600" s="596"/>
      <c r="J600" s="596"/>
      <c r="K600" s="596"/>
      <c r="L600" s="596"/>
      <c r="M600" s="596"/>
      <c r="N600" s="596"/>
      <c r="O600" s="596"/>
      <c r="P600" s="596"/>
      <c r="Q600" s="596"/>
      <c r="R600" s="596"/>
      <c r="S600" s="596"/>
      <c r="T600" s="597"/>
    </row>
    <row r="601" spans="4:20">
      <c r="D601" s="598" t="s">
        <v>371</v>
      </c>
      <c r="E601" s="599"/>
      <c r="F601" s="599"/>
      <c r="G601" s="599"/>
      <c r="H601" s="599"/>
      <c r="I601" s="599"/>
      <c r="J601" s="599"/>
      <c r="K601" s="599"/>
      <c r="L601" s="599"/>
      <c r="M601" s="599"/>
      <c r="N601" s="599"/>
      <c r="O601" s="599"/>
      <c r="P601" s="599"/>
      <c r="Q601" s="599"/>
      <c r="R601" s="599"/>
      <c r="S601" s="599"/>
      <c r="T601" s="600"/>
    </row>
    <row r="602" spans="4:20">
      <c r="D602" s="586" t="s">
        <v>372</v>
      </c>
      <c r="E602" s="587"/>
      <c r="F602" s="601" t="s">
        <v>373</v>
      </c>
      <c r="G602" s="601"/>
      <c r="H602" s="601"/>
      <c r="I602" s="601"/>
      <c r="J602" s="601"/>
      <c r="K602" s="601"/>
      <c r="L602" s="601"/>
      <c r="M602" s="601"/>
      <c r="N602" s="601"/>
      <c r="O602" s="601"/>
      <c r="P602" s="601"/>
      <c r="Q602" s="601"/>
      <c r="R602" s="601"/>
      <c r="S602" s="601"/>
      <c r="T602" s="602"/>
    </row>
    <row r="603" spans="4:20">
      <c r="D603" s="586" t="s">
        <v>374</v>
      </c>
      <c r="E603" s="587"/>
      <c r="F603" s="603" t="s">
        <v>375</v>
      </c>
      <c r="G603" s="604"/>
      <c r="H603" s="604"/>
      <c r="I603" s="604"/>
      <c r="J603" s="604"/>
      <c r="K603" s="604"/>
      <c r="L603" s="604"/>
      <c r="M603" s="604"/>
      <c r="N603" s="604"/>
      <c r="O603" s="604"/>
      <c r="P603" s="604"/>
      <c r="Q603" s="604"/>
      <c r="R603" s="604"/>
      <c r="S603" s="604"/>
      <c r="T603" s="605"/>
    </row>
    <row r="604" spans="4:20">
      <c r="D604" s="586" t="s">
        <v>376</v>
      </c>
      <c r="E604" s="587"/>
      <c r="F604" s="390">
        <f>+[42]DATOS!F$5</f>
        <v>46143</v>
      </c>
      <c r="G604" s="391"/>
      <c r="H604" s="391"/>
      <c r="I604" s="391"/>
      <c r="J604" s="391"/>
      <c r="K604" s="391"/>
      <c r="L604" s="568" t="s">
        <v>377</v>
      </c>
      <c r="M604" s="568"/>
      <c r="N604" s="588" t="s">
        <v>378</v>
      </c>
      <c r="O604" s="588"/>
      <c r="P604" s="588"/>
      <c r="Q604" s="588"/>
      <c r="R604" s="588"/>
      <c r="S604" s="588"/>
      <c r="T604" s="589"/>
    </row>
    <row r="605" spans="4:20" ht="25.5">
      <c r="D605" s="586" t="s">
        <v>379</v>
      </c>
      <c r="E605" s="587"/>
      <c r="F605" s="590" t="s">
        <v>380</v>
      </c>
      <c r="G605" s="591"/>
      <c r="H605" s="392">
        <f>+[42]DATOS!E$5</f>
        <v>2026</v>
      </c>
      <c r="I605" s="393" t="s">
        <v>381</v>
      </c>
      <c r="J605" s="394">
        <f>+[42]DATOS!E$5</f>
        <v>2026</v>
      </c>
      <c r="K605" s="395"/>
      <c r="L605" s="568" t="s">
        <v>382</v>
      </c>
      <c r="M605" s="568"/>
      <c r="N605" s="588" t="s">
        <v>383</v>
      </c>
      <c r="O605" s="588"/>
      <c r="P605" s="588"/>
      <c r="Q605" s="588"/>
      <c r="R605" s="588"/>
      <c r="S605" s="588"/>
      <c r="T605" s="589"/>
    </row>
    <row r="606" spans="4:20">
      <c r="D606" s="396"/>
      <c r="E606" s="397"/>
      <c r="F606" s="397"/>
      <c r="G606" s="398"/>
      <c r="H606" s="398"/>
      <c r="I606" s="398"/>
      <c r="J606" s="398"/>
      <c r="K606" s="398"/>
      <c r="L606" s="398"/>
      <c r="M606" s="398"/>
      <c r="N606" s="398"/>
      <c r="O606" s="398"/>
      <c r="P606" s="398"/>
      <c r="Q606" s="398"/>
      <c r="R606" s="398"/>
      <c r="S606" s="398"/>
      <c r="T606" s="399"/>
    </row>
    <row r="607" spans="4:20">
      <c r="D607" s="572" t="s">
        <v>384</v>
      </c>
      <c r="E607" s="573"/>
      <c r="F607" s="573"/>
      <c r="G607" s="573"/>
      <c r="H607" s="573"/>
      <c r="I607" s="573"/>
      <c r="J607" s="573"/>
      <c r="K607" s="573"/>
      <c r="L607" s="573"/>
      <c r="M607" s="573"/>
      <c r="N607" s="573"/>
      <c r="O607" s="573"/>
      <c r="P607" s="573"/>
      <c r="Q607" s="573"/>
      <c r="R607" s="573"/>
      <c r="S607" s="573"/>
      <c r="T607" s="574"/>
    </row>
    <row r="608" spans="4:20">
      <c r="D608" s="396"/>
      <c r="E608" s="397"/>
      <c r="F608" s="397"/>
      <c r="G608" s="398"/>
      <c r="H608" s="398"/>
      <c r="I608" s="398"/>
      <c r="J608" s="398"/>
      <c r="K608" s="398"/>
      <c r="L608" s="398"/>
      <c r="M608" s="398"/>
      <c r="N608" s="398"/>
      <c r="O608" s="398"/>
      <c r="P608" s="398"/>
      <c r="Q608" s="398"/>
      <c r="R608" s="398"/>
      <c r="S608" s="398"/>
      <c r="T608" s="399"/>
    </row>
    <row r="609" spans="1:26">
      <c r="D609" s="400" t="s">
        <v>385</v>
      </c>
      <c r="E609" s="575" t="s">
        <v>386</v>
      </c>
      <c r="F609" s="575"/>
      <c r="G609" s="576" t="s">
        <v>387</v>
      </c>
      <c r="H609" s="577"/>
      <c r="I609" s="577"/>
      <c r="J609" s="576" t="s">
        <v>388</v>
      </c>
      <c r="K609" s="576" t="s">
        <v>389</v>
      </c>
      <c r="L609" s="579"/>
      <c r="M609" s="581" t="s">
        <v>390</v>
      </c>
      <c r="N609" s="581"/>
      <c r="O609" s="581"/>
      <c r="P609" s="581"/>
      <c r="Q609" s="581"/>
      <c r="R609" s="581"/>
      <c r="S609" s="581" t="s">
        <v>391</v>
      </c>
      <c r="T609" s="582"/>
    </row>
    <row r="610" spans="1:26" ht="38.25">
      <c r="D610" s="403">
        <f>+'PRESUPUESTO OFICIAL '!C42</f>
        <v>3.04</v>
      </c>
      <c r="E610" s="583" t="str">
        <f>+VLOOKUP(D610,'PRESUPUESTO OFICIAL '!$C$11:$H$103,2)</f>
        <v>COLUMNA EN TUBO ESTRUCTURAL HR50, Dimensiones 0,10 X 0,10 M</v>
      </c>
      <c r="F610" s="584"/>
      <c r="G610" s="585" t="str">
        <f>+VLOOKUP(D610,'PRESUPUESTO OFICIAL '!$C$11:$H$103,3)</f>
        <v>M</v>
      </c>
      <c r="H610" s="585"/>
      <c r="I610" s="585"/>
      <c r="J610" s="578"/>
      <c r="K610" s="578"/>
      <c r="L610" s="580"/>
      <c r="M610" s="401" t="s">
        <v>392</v>
      </c>
      <c r="N610" s="401" t="s">
        <v>393</v>
      </c>
      <c r="O610" s="401" t="s">
        <v>394</v>
      </c>
      <c r="P610" s="401" t="s">
        <v>395</v>
      </c>
      <c r="Q610" s="401" t="s">
        <v>396</v>
      </c>
      <c r="R610" s="401" t="s">
        <v>397</v>
      </c>
      <c r="S610" s="401" t="s">
        <v>398</v>
      </c>
      <c r="T610" s="402" t="s">
        <v>399</v>
      </c>
      <c r="V610" s="404">
        <f>+D610</f>
        <v>3.04</v>
      </c>
      <c r="W610" s="405">
        <f>+T658</f>
        <v>37.65</v>
      </c>
    </row>
    <row r="611" spans="1:26">
      <c r="D611" s="406"/>
      <c r="E611" s="407"/>
      <c r="F611" s="407"/>
      <c r="G611" s="407"/>
      <c r="H611" s="407"/>
      <c r="I611" s="407"/>
      <c r="J611" s="558"/>
      <c r="K611" s="559"/>
      <c r="L611" s="560"/>
      <c r="M611" s="560"/>
      <c r="N611" s="560"/>
      <c r="O611" s="560"/>
      <c r="P611" s="560"/>
      <c r="Q611" s="560"/>
      <c r="R611" s="560"/>
      <c r="S611" s="560"/>
      <c r="T611" s="561"/>
    </row>
    <row r="612" spans="1:26">
      <c r="A612" s="453">
        <f>+D610</f>
        <v>3.04</v>
      </c>
      <c r="B612" s="383">
        <v>1</v>
      </c>
      <c r="D612" s="406"/>
      <c r="E612" s="407"/>
      <c r="F612" s="407"/>
      <c r="G612" s="407"/>
      <c r="H612" s="407"/>
      <c r="I612" s="407"/>
      <c r="J612" s="408" t="s">
        <v>400</v>
      </c>
      <c r="K612" s="409" t="str">
        <f t="shared" ref="K612:K654" si="81">+VLOOKUP(L612,$AH$22:$AJ$58,2,)</f>
        <v>M=(Largo) x Cant</v>
      </c>
      <c r="L612" s="410" t="str">
        <f>+G610</f>
        <v>M</v>
      </c>
      <c r="M612" s="411"/>
      <c r="N612" s="412"/>
      <c r="O612" s="442"/>
      <c r="P612" s="442">
        <f>IF(T612=0,"",T612)</f>
        <v>8.75</v>
      </c>
      <c r="Q612" s="413"/>
      <c r="R612" s="411"/>
      <c r="S612" s="413">
        <f>IF(T612=0,"",1)</f>
        <v>1</v>
      </c>
      <c r="T612" s="414">
        <f>+HLOOKUP(B538,[238]Hoja1!$2:$78,32,FALSE)</f>
        <v>8.75</v>
      </c>
      <c r="Y612" s="439">
        <f>+O612*P612</f>
        <v>0</v>
      </c>
      <c r="Z612" s="439">
        <f t="shared" ref="Z612" si="82">+Y612-R612</f>
        <v>0</v>
      </c>
    </row>
    <row r="613" spans="1:26">
      <c r="A613" s="453">
        <f>+A612</f>
        <v>3.04</v>
      </c>
      <c r="B613" s="383">
        <v>2</v>
      </c>
      <c r="D613" s="406"/>
      <c r="E613" s="407"/>
      <c r="F613" s="407"/>
      <c r="G613" s="407"/>
      <c r="H613" s="407"/>
      <c r="I613" s="407"/>
      <c r="J613" s="408" t="s">
        <v>401</v>
      </c>
      <c r="K613" s="409" t="str">
        <f t="shared" si="81"/>
        <v>M=(Largo) x Cant</v>
      </c>
      <c r="L613" s="410" t="str">
        <f>+L612</f>
        <v>M</v>
      </c>
      <c r="M613" s="411"/>
      <c r="N613" s="412"/>
      <c r="O613" s="442"/>
      <c r="P613" s="442" t="str">
        <f t="shared" ref="P613:P654" si="83">IF(T613=0,"",T613)</f>
        <v/>
      </c>
      <c r="Q613" s="413"/>
      <c r="R613" s="411"/>
      <c r="S613" s="413" t="str">
        <f t="shared" ref="S613:S654" si="84">IF(T613=0,"",1)</f>
        <v/>
      </c>
      <c r="T613" s="414">
        <f>+HLOOKUP(B539,[238]Hoja1!$2:$78,32,FALSE)</f>
        <v>0</v>
      </c>
      <c r="Y613" s="439" t="e">
        <f>+O613*P613</f>
        <v>#VALUE!</v>
      </c>
      <c r="Z613" s="439" t="e">
        <f t="shared" ref="Z613:Z644" si="85">+Y613-M613</f>
        <v>#VALUE!</v>
      </c>
    </row>
    <row r="614" spans="1:26">
      <c r="A614" s="453">
        <f t="shared" ref="A614:A654" si="86">+A613</f>
        <v>3.04</v>
      </c>
      <c r="B614" s="383">
        <v>3</v>
      </c>
      <c r="D614" s="406"/>
      <c r="E614" s="407"/>
      <c r="F614" s="407"/>
      <c r="G614" s="407"/>
      <c r="H614" s="407"/>
      <c r="I614" s="407"/>
      <c r="J614" s="408" t="s">
        <v>402</v>
      </c>
      <c r="K614" s="409" t="str">
        <f t="shared" si="81"/>
        <v>M=(Largo) x Cant</v>
      </c>
      <c r="L614" s="410" t="str">
        <f>+L613</f>
        <v>M</v>
      </c>
      <c r="M614" s="411"/>
      <c r="N614" s="412"/>
      <c r="O614" s="442"/>
      <c r="P614" s="442" t="str">
        <f t="shared" si="83"/>
        <v/>
      </c>
      <c r="Q614" s="413"/>
      <c r="R614" s="411"/>
      <c r="S614" s="413" t="str">
        <f t="shared" si="84"/>
        <v/>
      </c>
      <c r="T614" s="414">
        <f>+HLOOKUP(B540,[238]Hoja1!$2:$78,32,FALSE)</f>
        <v>0</v>
      </c>
      <c r="Y614" s="439" t="e">
        <f t="shared" ref="Y614:Y617" si="87">+O614*P614</f>
        <v>#VALUE!</v>
      </c>
      <c r="Z614" s="439" t="e">
        <f t="shared" si="85"/>
        <v>#VALUE!</v>
      </c>
    </row>
    <row r="615" spans="1:26">
      <c r="A615" s="453">
        <f t="shared" si="86"/>
        <v>3.04</v>
      </c>
      <c r="B615" s="383">
        <v>4</v>
      </c>
      <c r="D615" s="406"/>
      <c r="E615" s="407"/>
      <c r="F615" s="407"/>
      <c r="G615" s="407"/>
      <c r="H615" s="407"/>
      <c r="I615" s="407"/>
      <c r="J615" s="408" t="s">
        <v>403</v>
      </c>
      <c r="K615" s="409" t="str">
        <f t="shared" si="81"/>
        <v>M=(Largo) x Cant</v>
      </c>
      <c r="L615" s="410" t="str">
        <f>+L614</f>
        <v>M</v>
      </c>
      <c r="M615" s="411"/>
      <c r="N615" s="412"/>
      <c r="O615" s="442"/>
      <c r="P615" s="442" t="str">
        <f t="shared" si="83"/>
        <v/>
      </c>
      <c r="Q615" s="413"/>
      <c r="R615" s="411"/>
      <c r="S615" s="413" t="str">
        <f t="shared" si="84"/>
        <v/>
      </c>
      <c r="T615" s="414">
        <f>+HLOOKUP(B541,[238]Hoja1!$2:$78,32,FALSE)</f>
        <v>0</v>
      </c>
      <c r="Y615" s="439" t="e">
        <f t="shared" si="87"/>
        <v>#VALUE!</v>
      </c>
      <c r="Z615" s="439" t="e">
        <f t="shared" si="85"/>
        <v>#VALUE!</v>
      </c>
    </row>
    <row r="616" spans="1:26">
      <c r="A616" s="453">
        <f t="shared" si="86"/>
        <v>3.04</v>
      </c>
      <c r="B616" s="383">
        <v>5</v>
      </c>
      <c r="D616" s="406"/>
      <c r="E616" s="407"/>
      <c r="F616" s="407"/>
      <c r="G616" s="407"/>
      <c r="H616" s="407"/>
      <c r="I616" s="407"/>
      <c r="J616" s="408" t="s">
        <v>405</v>
      </c>
      <c r="K616" s="409" t="str">
        <f t="shared" si="81"/>
        <v>M=(Largo) x Cant</v>
      </c>
      <c r="L616" s="410" t="str">
        <f>+L615</f>
        <v>M</v>
      </c>
      <c r="M616" s="411"/>
      <c r="N616" s="412"/>
      <c r="O616" s="442"/>
      <c r="P616" s="442" t="str">
        <f t="shared" si="83"/>
        <v/>
      </c>
      <c r="Q616" s="413"/>
      <c r="R616" s="411"/>
      <c r="S616" s="413" t="str">
        <f t="shared" si="84"/>
        <v/>
      </c>
      <c r="T616" s="414">
        <f>+HLOOKUP(B542,[238]Hoja1!$2:$78,32,FALSE)</f>
        <v>0</v>
      </c>
      <c r="Y616" s="439" t="e">
        <f t="shared" si="87"/>
        <v>#VALUE!</v>
      </c>
      <c r="Z616" s="439" t="e">
        <f t="shared" si="85"/>
        <v>#VALUE!</v>
      </c>
    </row>
    <row r="617" spans="1:26">
      <c r="A617" s="453">
        <f t="shared" si="86"/>
        <v>3.04</v>
      </c>
      <c r="B617" s="383">
        <v>6</v>
      </c>
      <c r="D617" s="406"/>
      <c r="E617" s="407"/>
      <c r="F617" s="407"/>
      <c r="G617" s="407"/>
      <c r="H617" s="407"/>
      <c r="I617" s="407"/>
      <c r="J617" s="408" t="s">
        <v>407</v>
      </c>
      <c r="K617" s="409" t="str">
        <f t="shared" si="81"/>
        <v>M=(Largo) x Cant</v>
      </c>
      <c r="L617" s="410" t="str">
        <f>+L616</f>
        <v>M</v>
      </c>
      <c r="M617" s="411"/>
      <c r="N617" s="412"/>
      <c r="O617" s="442"/>
      <c r="P617" s="442" t="str">
        <f t="shared" si="83"/>
        <v/>
      </c>
      <c r="Q617" s="413"/>
      <c r="R617" s="411"/>
      <c r="S617" s="413" t="str">
        <f t="shared" si="84"/>
        <v/>
      </c>
      <c r="T617" s="414">
        <f>+HLOOKUP(B543,[238]Hoja1!$2:$78,32,FALSE)</f>
        <v>0</v>
      </c>
      <c r="Y617" s="439" t="e">
        <f t="shared" si="87"/>
        <v>#VALUE!</v>
      </c>
      <c r="Z617" s="439" t="e">
        <f t="shared" si="85"/>
        <v>#VALUE!</v>
      </c>
    </row>
    <row r="618" spans="1:26">
      <c r="A618" s="453">
        <f t="shared" si="86"/>
        <v>3.04</v>
      </c>
      <c r="B618" s="383">
        <v>7</v>
      </c>
      <c r="D618" s="406"/>
      <c r="E618" s="407"/>
      <c r="F618" s="407"/>
      <c r="G618" s="407"/>
      <c r="H618" s="407"/>
      <c r="I618" s="407"/>
      <c r="J618" s="408" t="s">
        <v>409</v>
      </c>
      <c r="K618" s="409" t="str">
        <f t="shared" si="81"/>
        <v>M=(Largo) x Cant</v>
      </c>
      <c r="L618" s="410" t="str">
        <f>+L612</f>
        <v>M</v>
      </c>
      <c r="M618" s="411"/>
      <c r="N618" s="412"/>
      <c r="O618" s="442"/>
      <c r="P618" s="442">
        <f t="shared" si="83"/>
        <v>16.200000000000003</v>
      </c>
      <c r="Q618" s="413"/>
      <c r="R618" s="411"/>
      <c r="S618" s="413">
        <f t="shared" si="84"/>
        <v>1</v>
      </c>
      <c r="T618" s="414">
        <f>+HLOOKUP(B544,[238]Hoja1!$2:$78,32,FALSE)</f>
        <v>16.200000000000003</v>
      </c>
      <c r="Y618" s="439">
        <f>+O618*P618*Q618*S618</f>
        <v>0</v>
      </c>
      <c r="Z618" s="439">
        <f t="shared" si="85"/>
        <v>0</v>
      </c>
    </row>
    <row r="619" spans="1:26">
      <c r="A619" s="453">
        <f t="shared" si="86"/>
        <v>3.04</v>
      </c>
      <c r="B619" s="383">
        <v>8</v>
      </c>
      <c r="D619" s="406"/>
      <c r="E619" s="407"/>
      <c r="F619" s="407"/>
      <c r="G619" s="407"/>
      <c r="H619" s="407"/>
      <c r="I619" s="407"/>
      <c r="J619" s="408" t="s">
        <v>411</v>
      </c>
      <c r="K619" s="409" t="str">
        <f t="shared" si="81"/>
        <v>M=(Largo) x Cant</v>
      </c>
      <c r="L619" s="410" t="str">
        <f>+L618</f>
        <v>M</v>
      </c>
      <c r="M619" s="411"/>
      <c r="N619" s="412"/>
      <c r="O619" s="442"/>
      <c r="P619" s="442" t="str">
        <f t="shared" si="83"/>
        <v/>
      </c>
      <c r="Q619" s="413"/>
      <c r="R619" s="411"/>
      <c r="S619" s="413" t="str">
        <f t="shared" si="84"/>
        <v/>
      </c>
      <c r="T619" s="414">
        <f>+HLOOKUP(B545,[238]Hoja1!$2:$78,32,FALSE)</f>
        <v>0</v>
      </c>
      <c r="Y619" s="439" t="e">
        <f t="shared" ref="Y619:Y625" si="88">+O619*P619</f>
        <v>#VALUE!</v>
      </c>
      <c r="Z619" s="439" t="e">
        <f t="shared" si="85"/>
        <v>#VALUE!</v>
      </c>
    </row>
    <row r="620" spans="1:26">
      <c r="A620" s="453">
        <f t="shared" si="86"/>
        <v>3.04</v>
      </c>
      <c r="B620" s="383">
        <v>9</v>
      </c>
      <c r="D620" s="406"/>
      <c r="E620" s="407"/>
      <c r="F620" s="407"/>
      <c r="G620" s="407"/>
      <c r="H620" s="407"/>
      <c r="I620" s="407"/>
      <c r="J620" s="408" t="s">
        <v>412</v>
      </c>
      <c r="K620" s="409" t="str">
        <f t="shared" si="81"/>
        <v>M=(Largo) x Cant</v>
      </c>
      <c r="L620" s="410" t="str">
        <f>+L619</f>
        <v>M</v>
      </c>
      <c r="M620" s="411"/>
      <c r="N620" s="412"/>
      <c r="O620" s="442"/>
      <c r="P620" s="442" t="str">
        <f t="shared" si="83"/>
        <v/>
      </c>
      <c r="Q620" s="412"/>
      <c r="R620" s="411"/>
      <c r="S620" s="413" t="str">
        <f t="shared" si="84"/>
        <v/>
      </c>
      <c r="T620" s="414">
        <f>+HLOOKUP(B546,[238]Hoja1!$2:$78,32,FALSE)</f>
        <v>0</v>
      </c>
      <c r="Y620" s="439" t="e">
        <f t="shared" si="88"/>
        <v>#VALUE!</v>
      </c>
      <c r="Z620" s="439" t="e">
        <f t="shared" si="85"/>
        <v>#VALUE!</v>
      </c>
    </row>
    <row r="621" spans="1:26">
      <c r="A621" s="453">
        <f t="shared" si="86"/>
        <v>3.04</v>
      </c>
      <c r="B621" s="383">
        <v>10</v>
      </c>
      <c r="D621" s="406"/>
      <c r="E621" s="407"/>
      <c r="F621" s="407"/>
      <c r="G621" s="407"/>
      <c r="H621" s="407"/>
      <c r="I621" s="407"/>
      <c r="J621" s="408" t="s">
        <v>413</v>
      </c>
      <c r="K621" s="409" t="str">
        <f t="shared" si="81"/>
        <v>M=(Largo) x Cant</v>
      </c>
      <c r="L621" s="410" t="str">
        <f>+L620</f>
        <v>M</v>
      </c>
      <c r="M621" s="411"/>
      <c r="N621" s="412"/>
      <c r="O621" s="441"/>
      <c r="P621" s="442" t="str">
        <f t="shared" si="83"/>
        <v/>
      </c>
      <c r="Q621" s="412"/>
      <c r="R621" s="411"/>
      <c r="S621" s="413" t="str">
        <f t="shared" si="84"/>
        <v/>
      </c>
      <c r="T621" s="414">
        <f>+HLOOKUP(B547,[238]Hoja1!$2:$78,32,FALSE)</f>
        <v>0</v>
      </c>
      <c r="Y621" s="439" t="e">
        <f t="shared" si="88"/>
        <v>#VALUE!</v>
      </c>
      <c r="Z621" s="439" t="e">
        <f t="shared" si="85"/>
        <v>#VALUE!</v>
      </c>
    </row>
    <row r="622" spans="1:26">
      <c r="A622" s="453">
        <f t="shared" si="86"/>
        <v>3.04</v>
      </c>
      <c r="B622" s="383">
        <v>11</v>
      </c>
      <c r="D622" s="406"/>
      <c r="E622" s="407"/>
      <c r="F622" s="407"/>
      <c r="G622" s="407"/>
      <c r="H622" s="407"/>
      <c r="I622" s="407"/>
      <c r="J622" s="408" t="s">
        <v>414</v>
      </c>
      <c r="K622" s="409" t="str">
        <f t="shared" si="81"/>
        <v>M=(Largo) x Cant</v>
      </c>
      <c r="L622" s="410" t="str">
        <f>+L621</f>
        <v>M</v>
      </c>
      <c r="M622" s="411"/>
      <c r="N622" s="412"/>
      <c r="O622" s="443"/>
      <c r="P622" s="442" t="str">
        <f t="shared" si="83"/>
        <v/>
      </c>
      <c r="Q622" s="412"/>
      <c r="R622" s="411"/>
      <c r="S622" s="413" t="str">
        <f t="shared" si="84"/>
        <v/>
      </c>
      <c r="T622" s="414">
        <f>+HLOOKUP(B548,[238]Hoja1!$2:$78,32,FALSE)</f>
        <v>0</v>
      </c>
      <c r="Y622" s="439" t="e">
        <f t="shared" si="88"/>
        <v>#VALUE!</v>
      </c>
      <c r="Z622" s="439" t="e">
        <f t="shared" si="85"/>
        <v>#VALUE!</v>
      </c>
    </row>
    <row r="623" spans="1:26">
      <c r="A623" s="453">
        <f t="shared" si="86"/>
        <v>3.04</v>
      </c>
      <c r="B623" s="383">
        <v>12</v>
      </c>
      <c r="D623" s="406"/>
      <c r="E623" s="407"/>
      <c r="F623" s="407"/>
      <c r="G623" s="407"/>
      <c r="H623" s="407"/>
      <c r="I623" s="407"/>
      <c r="J623" s="408" t="s">
        <v>415</v>
      </c>
      <c r="K623" s="409" t="str">
        <f t="shared" si="81"/>
        <v>M=(Largo) x Cant</v>
      </c>
      <c r="L623" s="410" t="str">
        <f>+L617</f>
        <v>M</v>
      </c>
      <c r="M623" s="411"/>
      <c r="N623" s="412"/>
      <c r="O623" s="442"/>
      <c r="P623" s="442" t="str">
        <f t="shared" si="83"/>
        <v/>
      </c>
      <c r="Q623" s="413"/>
      <c r="R623" s="411"/>
      <c r="S623" s="413" t="str">
        <f t="shared" si="84"/>
        <v/>
      </c>
      <c r="T623" s="414">
        <f>+HLOOKUP(B549,[238]Hoja1!$2:$78,32,FALSE)</f>
        <v>0</v>
      </c>
      <c r="Y623" s="439" t="e">
        <f t="shared" si="88"/>
        <v>#VALUE!</v>
      </c>
      <c r="Z623" s="439" t="e">
        <f t="shared" si="85"/>
        <v>#VALUE!</v>
      </c>
    </row>
    <row r="624" spans="1:26">
      <c r="A624" s="453">
        <f t="shared" si="86"/>
        <v>3.04</v>
      </c>
      <c r="B624" s="383">
        <v>13</v>
      </c>
      <c r="D624" s="406"/>
      <c r="E624" s="407"/>
      <c r="F624" s="407"/>
      <c r="G624" s="407"/>
      <c r="H624" s="407"/>
      <c r="I624" s="407"/>
      <c r="J624" s="408" t="s">
        <v>416</v>
      </c>
      <c r="K624" s="409" t="str">
        <f t="shared" si="81"/>
        <v>M=(Largo) x Cant</v>
      </c>
      <c r="L624" s="410" t="str">
        <f>+L619</f>
        <v>M</v>
      </c>
      <c r="M624" s="411"/>
      <c r="N624" s="412"/>
      <c r="O624" s="442"/>
      <c r="P624" s="442" t="str">
        <f t="shared" si="83"/>
        <v/>
      </c>
      <c r="Q624" s="413"/>
      <c r="R624" s="411"/>
      <c r="S624" s="413" t="str">
        <f t="shared" si="84"/>
        <v/>
      </c>
      <c r="T624" s="414">
        <f>+HLOOKUP(B550,[238]Hoja1!$2:$78,32,FALSE)</f>
        <v>0</v>
      </c>
      <c r="Y624" s="439" t="e">
        <f t="shared" si="88"/>
        <v>#VALUE!</v>
      </c>
      <c r="Z624" s="439" t="e">
        <f t="shared" si="85"/>
        <v>#VALUE!</v>
      </c>
    </row>
    <row r="625" spans="1:26">
      <c r="A625" s="453">
        <f t="shared" si="86"/>
        <v>3.04</v>
      </c>
      <c r="B625" s="383">
        <v>14</v>
      </c>
      <c r="D625" s="406"/>
      <c r="E625" s="407"/>
      <c r="F625" s="407"/>
      <c r="G625" s="407"/>
      <c r="H625" s="407"/>
      <c r="I625" s="407"/>
      <c r="J625" s="408" t="s">
        <v>417</v>
      </c>
      <c r="K625" s="409" t="str">
        <f t="shared" si="81"/>
        <v>M=(Largo) x Cant</v>
      </c>
      <c r="L625" s="410" t="str">
        <f t="shared" ref="L625:L636" si="89">+L624</f>
        <v>M</v>
      </c>
      <c r="M625" s="411"/>
      <c r="N625" s="412"/>
      <c r="O625" s="442"/>
      <c r="P625" s="442" t="str">
        <f t="shared" si="83"/>
        <v/>
      </c>
      <c r="Q625" s="412"/>
      <c r="R625" s="411"/>
      <c r="S625" s="413" t="str">
        <f t="shared" si="84"/>
        <v/>
      </c>
      <c r="T625" s="414">
        <f>+HLOOKUP(B551,[238]Hoja1!$2:$78,32,FALSE)</f>
        <v>0</v>
      </c>
      <c r="Y625" s="439" t="e">
        <f t="shared" si="88"/>
        <v>#VALUE!</v>
      </c>
      <c r="Z625" s="439" t="e">
        <f t="shared" si="85"/>
        <v>#VALUE!</v>
      </c>
    </row>
    <row r="626" spans="1:26">
      <c r="A626" s="453">
        <f t="shared" si="86"/>
        <v>3.04</v>
      </c>
      <c r="B626" s="383">
        <v>15</v>
      </c>
      <c r="D626" s="406"/>
      <c r="E626" s="407"/>
      <c r="F626" s="407"/>
      <c r="G626" s="407"/>
      <c r="H626" s="407"/>
      <c r="I626" s="407"/>
      <c r="J626" s="408" t="s">
        <v>418</v>
      </c>
      <c r="K626" s="409" t="str">
        <f t="shared" si="81"/>
        <v>M=(Largo) x Cant</v>
      </c>
      <c r="L626" s="410" t="str">
        <f t="shared" si="89"/>
        <v>M</v>
      </c>
      <c r="M626" s="411"/>
      <c r="N626" s="412"/>
      <c r="O626" s="442"/>
      <c r="P626" s="442">
        <f t="shared" si="83"/>
        <v>12.7</v>
      </c>
      <c r="Q626" s="449"/>
      <c r="R626" s="411"/>
      <c r="S626" s="413">
        <f t="shared" si="84"/>
        <v>1</v>
      </c>
      <c r="T626" s="414">
        <f>+HLOOKUP(B552,[238]Hoja1!$2:$78,32,FALSE)</f>
        <v>12.7</v>
      </c>
      <c r="Y626" s="439">
        <f>+O626*P626*Q626</f>
        <v>0</v>
      </c>
      <c r="Z626" s="439">
        <f t="shared" si="85"/>
        <v>0</v>
      </c>
    </row>
    <row r="627" spans="1:26">
      <c r="A627" s="453">
        <f t="shared" si="86"/>
        <v>3.04</v>
      </c>
      <c r="B627" s="383">
        <v>16</v>
      </c>
      <c r="D627" s="406"/>
      <c r="E627" s="407"/>
      <c r="F627" s="407"/>
      <c r="G627" s="407"/>
      <c r="H627" s="407"/>
      <c r="I627" s="407"/>
      <c r="J627" s="408" t="s">
        <v>419</v>
      </c>
      <c r="K627" s="409" t="str">
        <f t="shared" si="81"/>
        <v>M=(Largo) x Cant</v>
      </c>
      <c r="L627" s="410" t="str">
        <f t="shared" si="89"/>
        <v>M</v>
      </c>
      <c r="M627" s="411"/>
      <c r="N627" s="412"/>
      <c r="O627" s="442"/>
      <c r="P627" s="442" t="str">
        <f t="shared" si="83"/>
        <v/>
      </c>
      <c r="Q627" s="449"/>
      <c r="R627" s="411"/>
      <c r="S627" s="413" t="str">
        <f t="shared" si="84"/>
        <v/>
      </c>
      <c r="T627" s="414">
        <f>+HLOOKUP(B553,[238]Hoja1!$2:$78,32,FALSE)</f>
        <v>0</v>
      </c>
      <c r="Y627" s="439" t="e">
        <f>+O627*P627*Q627</f>
        <v>#VALUE!</v>
      </c>
      <c r="Z627" s="439" t="e">
        <f t="shared" si="85"/>
        <v>#VALUE!</v>
      </c>
    </row>
    <row r="628" spans="1:26">
      <c r="A628" s="453">
        <f t="shared" si="86"/>
        <v>3.04</v>
      </c>
      <c r="B628" s="383">
        <v>17</v>
      </c>
      <c r="D628" s="406"/>
      <c r="E628" s="407"/>
      <c r="F628" s="407"/>
      <c r="G628" s="407"/>
      <c r="H628" s="407"/>
      <c r="I628" s="407"/>
      <c r="J628" s="408" t="s">
        <v>420</v>
      </c>
      <c r="K628" s="409" t="str">
        <f t="shared" si="81"/>
        <v>M=(Largo) x Cant</v>
      </c>
      <c r="L628" s="410" t="str">
        <f t="shared" si="89"/>
        <v>M</v>
      </c>
      <c r="M628" s="411"/>
      <c r="N628" s="412"/>
      <c r="O628" s="442"/>
      <c r="P628" s="442" t="str">
        <f t="shared" si="83"/>
        <v/>
      </c>
      <c r="Q628" s="412"/>
      <c r="R628" s="411"/>
      <c r="S628" s="413" t="str">
        <f t="shared" si="84"/>
        <v/>
      </c>
      <c r="T628" s="414">
        <f>+HLOOKUP(B554,[238]Hoja1!$2:$78,32,FALSE)</f>
        <v>0</v>
      </c>
      <c r="Y628" s="439" t="e">
        <f t="shared" ref="Y628:Y644" si="90">+O628*P628*Q628</f>
        <v>#VALUE!</v>
      </c>
      <c r="Z628" s="439" t="e">
        <f t="shared" si="85"/>
        <v>#VALUE!</v>
      </c>
    </row>
    <row r="629" spans="1:26">
      <c r="A629" s="453">
        <f t="shared" si="86"/>
        <v>3.04</v>
      </c>
      <c r="B629" s="383">
        <v>18</v>
      </c>
      <c r="D629" s="406"/>
      <c r="E629" s="407"/>
      <c r="F629" s="407"/>
      <c r="G629" s="407"/>
      <c r="H629" s="407"/>
      <c r="I629" s="407"/>
      <c r="J629" s="408" t="s">
        <v>429</v>
      </c>
      <c r="K629" s="409" t="str">
        <f t="shared" si="81"/>
        <v>M=(Largo) x Cant</v>
      </c>
      <c r="L629" s="410" t="str">
        <f t="shared" si="89"/>
        <v>M</v>
      </c>
      <c r="M629" s="411"/>
      <c r="N629" s="412"/>
      <c r="O629" s="442"/>
      <c r="P629" s="442" t="str">
        <f t="shared" si="83"/>
        <v/>
      </c>
      <c r="Q629" s="412"/>
      <c r="R629" s="411"/>
      <c r="S629" s="413" t="str">
        <f t="shared" si="84"/>
        <v/>
      </c>
      <c r="T629" s="414">
        <f>+HLOOKUP(B555,[238]Hoja1!$2:$78,32,FALSE)</f>
        <v>0</v>
      </c>
      <c r="Y629" s="439" t="e">
        <f t="shared" si="90"/>
        <v>#VALUE!</v>
      </c>
      <c r="Z629" s="439" t="e">
        <f t="shared" si="85"/>
        <v>#VALUE!</v>
      </c>
    </row>
    <row r="630" spans="1:26">
      <c r="A630" s="453">
        <f t="shared" si="86"/>
        <v>3.04</v>
      </c>
      <c r="B630" s="383">
        <v>19</v>
      </c>
      <c r="D630" s="406"/>
      <c r="E630" s="407"/>
      <c r="F630" s="407"/>
      <c r="G630" s="407"/>
      <c r="H630" s="407"/>
      <c r="I630" s="407"/>
      <c r="J630" s="408" t="s">
        <v>430</v>
      </c>
      <c r="K630" s="409" t="str">
        <f t="shared" si="81"/>
        <v>M=(Largo) x Cant</v>
      </c>
      <c r="L630" s="410" t="str">
        <f t="shared" si="89"/>
        <v>M</v>
      </c>
      <c r="M630" s="411"/>
      <c r="N630" s="412"/>
      <c r="O630" s="442"/>
      <c r="P630" s="442" t="str">
        <f t="shared" si="83"/>
        <v/>
      </c>
      <c r="Q630" s="412"/>
      <c r="R630" s="411"/>
      <c r="S630" s="413" t="str">
        <f t="shared" si="84"/>
        <v/>
      </c>
      <c r="T630" s="414">
        <f>+HLOOKUP(B556,[238]Hoja1!$2:$78,32,FALSE)</f>
        <v>0</v>
      </c>
      <c r="Y630" s="439" t="e">
        <f t="shared" si="90"/>
        <v>#VALUE!</v>
      </c>
      <c r="Z630" s="439" t="e">
        <f t="shared" si="85"/>
        <v>#VALUE!</v>
      </c>
    </row>
    <row r="631" spans="1:26">
      <c r="A631" s="453">
        <f t="shared" si="86"/>
        <v>3.04</v>
      </c>
      <c r="B631" s="383">
        <v>20</v>
      </c>
      <c r="D631" s="406"/>
      <c r="E631" s="407"/>
      <c r="F631" s="407"/>
      <c r="G631" s="407"/>
      <c r="H631" s="407"/>
      <c r="I631" s="407"/>
      <c r="J631" s="408" t="s">
        <v>431</v>
      </c>
      <c r="K631" s="409" t="str">
        <f t="shared" si="81"/>
        <v>M=(Largo) x Cant</v>
      </c>
      <c r="L631" s="410" t="str">
        <f t="shared" si="89"/>
        <v>M</v>
      </c>
      <c r="M631" s="411"/>
      <c r="N631" s="412"/>
      <c r="O631" s="442"/>
      <c r="P631" s="442" t="str">
        <f t="shared" si="83"/>
        <v/>
      </c>
      <c r="Q631" s="412"/>
      <c r="R631" s="411"/>
      <c r="S631" s="413" t="str">
        <f t="shared" si="84"/>
        <v/>
      </c>
      <c r="T631" s="414">
        <f>+HLOOKUP(B557,[238]Hoja1!$2:$78,32,FALSE)</f>
        <v>0</v>
      </c>
      <c r="Y631" s="439" t="e">
        <f t="shared" si="90"/>
        <v>#VALUE!</v>
      </c>
      <c r="Z631" s="439" t="e">
        <f t="shared" si="85"/>
        <v>#VALUE!</v>
      </c>
    </row>
    <row r="632" spans="1:26">
      <c r="A632" s="453">
        <f t="shared" si="86"/>
        <v>3.04</v>
      </c>
      <c r="B632" s="383">
        <v>21</v>
      </c>
      <c r="D632" s="406"/>
      <c r="E632" s="407"/>
      <c r="F632" s="407"/>
      <c r="G632" s="407"/>
      <c r="H632" s="407"/>
      <c r="I632" s="407"/>
      <c r="J632" s="408" t="s">
        <v>432</v>
      </c>
      <c r="K632" s="409" t="str">
        <f t="shared" si="81"/>
        <v>M=(Largo) x Cant</v>
      </c>
      <c r="L632" s="410" t="str">
        <f t="shared" si="89"/>
        <v>M</v>
      </c>
      <c r="M632" s="411"/>
      <c r="N632" s="412"/>
      <c r="O632" s="442"/>
      <c r="P632" s="442" t="str">
        <f t="shared" si="83"/>
        <v/>
      </c>
      <c r="Q632" s="412"/>
      <c r="R632" s="411"/>
      <c r="S632" s="413" t="str">
        <f t="shared" si="84"/>
        <v/>
      </c>
      <c r="T632" s="414">
        <f>+HLOOKUP(B558,[238]Hoja1!$2:$78,32,FALSE)</f>
        <v>0</v>
      </c>
      <c r="Y632" s="439" t="e">
        <f t="shared" si="90"/>
        <v>#VALUE!</v>
      </c>
      <c r="Z632" s="439" t="e">
        <f t="shared" si="85"/>
        <v>#VALUE!</v>
      </c>
    </row>
    <row r="633" spans="1:26">
      <c r="A633" s="453">
        <f t="shared" si="86"/>
        <v>3.04</v>
      </c>
      <c r="B633" s="383">
        <v>22</v>
      </c>
      <c r="D633" s="406"/>
      <c r="E633" s="407"/>
      <c r="F633" s="407"/>
      <c r="G633" s="407"/>
      <c r="H633" s="407"/>
      <c r="I633" s="407"/>
      <c r="J633" s="408" t="s">
        <v>433</v>
      </c>
      <c r="K633" s="409" t="str">
        <f t="shared" si="81"/>
        <v>M=(Largo) x Cant</v>
      </c>
      <c r="L633" s="410" t="str">
        <f t="shared" si="89"/>
        <v>M</v>
      </c>
      <c r="M633" s="411"/>
      <c r="N633" s="412"/>
      <c r="O633" s="442"/>
      <c r="P633" s="442" t="str">
        <f t="shared" si="83"/>
        <v/>
      </c>
      <c r="Q633" s="412"/>
      <c r="R633" s="411"/>
      <c r="S633" s="413" t="str">
        <f t="shared" si="84"/>
        <v/>
      </c>
      <c r="T633" s="414">
        <f>+HLOOKUP(B559,[238]Hoja1!$2:$78,32,FALSE)</f>
        <v>0</v>
      </c>
      <c r="Y633" s="439" t="e">
        <f t="shared" si="90"/>
        <v>#VALUE!</v>
      </c>
      <c r="Z633" s="439" t="e">
        <f t="shared" si="85"/>
        <v>#VALUE!</v>
      </c>
    </row>
    <row r="634" spans="1:26">
      <c r="A634" s="453">
        <f t="shared" si="86"/>
        <v>3.04</v>
      </c>
      <c r="B634" s="383">
        <v>23</v>
      </c>
      <c r="D634" s="406"/>
      <c r="E634" s="407"/>
      <c r="F634" s="407"/>
      <c r="G634" s="407"/>
      <c r="H634" s="407"/>
      <c r="I634" s="407"/>
      <c r="J634" s="408" t="s">
        <v>434</v>
      </c>
      <c r="K634" s="409" t="str">
        <f t="shared" si="81"/>
        <v>M=(Largo) x Cant</v>
      </c>
      <c r="L634" s="410" t="str">
        <f t="shared" si="89"/>
        <v>M</v>
      </c>
      <c r="M634" s="411"/>
      <c r="N634" s="412"/>
      <c r="O634" s="441"/>
      <c r="P634" s="442" t="str">
        <f t="shared" si="83"/>
        <v/>
      </c>
      <c r="Q634" s="412"/>
      <c r="R634" s="411"/>
      <c r="S634" s="413" t="str">
        <f t="shared" si="84"/>
        <v/>
      </c>
      <c r="T634" s="414">
        <f>+HLOOKUP(B560,[238]Hoja1!$2:$78,32,FALSE)</f>
        <v>0</v>
      </c>
      <c r="Y634" s="439" t="e">
        <f t="shared" si="90"/>
        <v>#VALUE!</v>
      </c>
      <c r="Z634" s="439" t="e">
        <f t="shared" si="85"/>
        <v>#VALUE!</v>
      </c>
    </row>
    <row r="635" spans="1:26">
      <c r="A635" s="453">
        <f t="shared" si="86"/>
        <v>3.04</v>
      </c>
      <c r="B635" s="383">
        <v>24</v>
      </c>
      <c r="D635" s="406"/>
      <c r="E635" s="407"/>
      <c r="F635" s="407"/>
      <c r="G635" s="407"/>
      <c r="H635" s="407"/>
      <c r="I635" s="407"/>
      <c r="J635" s="408" t="s">
        <v>435</v>
      </c>
      <c r="K635" s="409" t="str">
        <f t="shared" si="81"/>
        <v>M=(Largo) x Cant</v>
      </c>
      <c r="L635" s="410" t="str">
        <f t="shared" si="89"/>
        <v>M</v>
      </c>
      <c r="M635" s="411"/>
      <c r="N635" s="412"/>
      <c r="O635" s="442"/>
      <c r="P635" s="442" t="str">
        <f t="shared" si="83"/>
        <v/>
      </c>
      <c r="Q635" s="413"/>
      <c r="R635" s="411"/>
      <c r="S635" s="413" t="str">
        <f t="shared" si="84"/>
        <v/>
      </c>
      <c r="T635" s="414">
        <f>+HLOOKUP(B561,[238]Hoja1!$2:$78,32,FALSE)</f>
        <v>0</v>
      </c>
      <c r="Y635" s="439" t="e">
        <f t="shared" si="90"/>
        <v>#VALUE!</v>
      </c>
      <c r="Z635" s="439" t="e">
        <f t="shared" si="85"/>
        <v>#VALUE!</v>
      </c>
    </row>
    <row r="636" spans="1:26">
      <c r="A636" s="453">
        <f t="shared" si="86"/>
        <v>3.04</v>
      </c>
      <c r="B636" s="383">
        <v>25</v>
      </c>
      <c r="D636" s="406"/>
      <c r="E636" s="407"/>
      <c r="F636" s="407"/>
      <c r="G636" s="407"/>
      <c r="H636" s="407"/>
      <c r="I636" s="407"/>
      <c r="J636" s="408" t="s">
        <v>436</v>
      </c>
      <c r="K636" s="409" t="str">
        <f t="shared" si="81"/>
        <v>M=(Largo) x Cant</v>
      </c>
      <c r="L636" s="410" t="str">
        <f t="shared" si="89"/>
        <v>M</v>
      </c>
      <c r="M636" s="411"/>
      <c r="N636" s="412"/>
      <c r="O636" s="442"/>
      <c r="P636" s="442" t="str">
        <f t="shared" si="83"/>
        <v/>
      </c>
      <c r="Q636" s="412"/>
      <c r="R636" s="411"/>
      <c r="S636" s="413" t="str">
        <f t="shared" si="84"/>
        <v/>
      </c>
      <c r="T636" s="414">
        <f>+HLOOKUP(B562,[238]Hoja1!$2:$78,32,FALSE)</f>
        <v>0</v>
      </c>
      <c r="Y636" s="439" t="e">
        <f t="shared" si="90"/>
        <v>#VALUE!</v>
      </c>
      <c r="Z636" s="439" t="e">
        <f t="shared" si="85"/>
        <v>#VALUE!</v>
      </c>
    </row>
    <row r="637" spans="1:26">
      <c r="A637" s="453">
        <f t="shared" si="86"/>
        <v>3.04</v>
      </c>
      <c r="B637" s="383">
        <v>26</v>
      </c>
      <c r="D637" s="406"/>
      <c r="E637" s="407"/>
      <c r="F637" s="407"/>
      <c r="G637" s="407"/>
      <c r="H637" s="407"/>
      <c r="I637" s="407"/>
      <c r="J637" s="408" t="s">
        <v>437</v>
      </c>
      <c r="K637" s="409" t="str">
        <f t="shared" si="81"/>
        <v>M=(Largo) x Cant</v>
      </c>
      <c r="L637" s="410" t="str">
        <f>+L626</f>
        <v>M</v>
      </c>
      <c r="M637" s="411"/>
      <c r="N637" s="412"/>
      <c r="O637" s="442"/>
      <c r="P637" s="442" t="str">
        <f t="shared" si="83"/>
        <v/>
      </c>
      <c r="Q637" s="412"/>
      <c r="R637" s="411"/>
      <c r="S637" s="413" t="str">
        <f t="shared" si="84"/>
        <v/>
      </c>
      <c r="T637" s="414">
        <f>+HLOOKUP(B563,[238]Hoja1!$2:$78,32,FALSE)</f>
        <v>0</v>
      </c>
      <c r="Y637" s="439" t="e">
        <f t="shared" si="90"/>
        <v>#VALUE!</v>
      </c>
      <c r="Z637" s="439" t="e">
        <f t="shared" si="85"/>
        <v>#VALUE!</v>
      </c>
    </row>
    <row r="638" spans="1:26">
      <c r="A638" s="453">
        <f t="shared" si="86"/>
        <v>3.04</v>
      </c>
      <c r="B638" s="383">
        <v>27</v>
      </c>
      <c r="D638" s="406"/>
      <c r="E638" s="407"/>
      <c r="F638" s="407"/>
      <c r="G638" s="407"/>
      <c r="H638" s="407"/>
      <c r="I638" s="407"/>
      <c r="J638" s="408" t="s">
        <v>438</v>
      </c>
      <c r="K638" s="409" t="str">
        <f t="shared" si="81"/>
        <v>M=(Largo) x Cant</v>
      </c>
      <c r="L638" s="410" t="str">
        <f t="shared" ref="L638:L646" si="91">+L637</f>
        <v>M</v>
      </c>
      <c r="M638" s="411"/>
      <c r="N638" s="412"/>
      <c r="O638" s="442"/>
      <c r="P638" s="442" t="str">
        <f t="shared" si="83"/>
        <v/>
      </c>
      <c r="Q638" s="412"/>
      <c r="R638" s="411"/>
      <c r="S638" s="413" t="str">
        <f t="shared" si="84"/>
        <v/>
      </c>
      <c r="T638" s="414">
        <f>+HLOOKUP(B564,[238]Hoja1!$2:$78,32,FALSE)</f>
        <v>0</v>
      </c>
      <c r="Y638" s="439" t="e">
        <f t="shared" si="90"/>
        <v>#VALUE!</v>
      </c>
      <c r="Z638" s="439" t="e">
        <f t="shared" si="85"/>
        <v>#VALUE!</v>
      </c>
    </row>
    <row r="639" spans="1:26">
      <c r="A639" s="453">
        <f t="shared" si="86"/>
        <v>3.04</v>
      </c>
      <c r="B639" s="383">
        <v>28</v>
      </c>
      <c r="D639" s="406"/>
      <c r="E639" s="440"/>
      <c r="F639" s="407"/>
      <c r="G639" s="407"/>
      <c r="H639" s="407"/>
      <c r="I639" s="437"/>
      <c r="J639" s="408" t="s">
        <v>439</v>
      </c>
      <c r="K639" s="409" t="str">
        <f t="shared" si="81"/>
        <v>M=(Largo) x Cant</v>
      </c>
      <c r="L639" s="410" t="str">
        <f t="shared" si="91"/>
        <v>M</v>
      </c>
      <c r="M639" s="411"/>
      <c r="N639" s="412"/>
      <c r="O639" s="442"/>
      <c r="P639" s="442" t="str">
        <f t="shared" si="83"/>
        <v/>
      </c>
      <c r="Q639" s="413"/>
      <c r="R639" s="411"/>
      <c r="S639" s="413" t="str">
        <f t="shared" si="84"/>
        <v/>
      </c>
      <c r="T639" s="414">
        <f>+HLOOKUP(B565,[238]Hoja1!$2:$78,32,FALSE)</f>
        <v>0</v>
      </c>
      <c r="Y639" s="439" t="e">
        <f t="shared" si="90"/>
        <v>#VALUE!</v>
      </c>
      <c r="Z639" s="439" t="e">
        <f t="shared" si="85"/>
        <v>#VALUE!</v>
      </c>
    </row>
    <row r="640" spans="1:26">
      <c r="A640" s="453">
        <f t="shared" si="86"/>
        <v>3.04</v>
      </c>
      <c r="B640" s="383">
        <v>29</v>
      </c>
      <c r="D640" s="406"/>
      <c r="E640" s="407"/>
      <c r="F640" s="407"/>
      <c r="G640" s="407"/>
      <c r="H640" s="407"/>
      <c r="I640" s="407"/>
      <c r="J640" s="408" t="s">
        <v>440</v>
      </c>
      <c r="K640" s="409" t="str">
        <f t="shared" si="81"/>
        <v>M=(Largo) x Cant</v>
      </c>
      <c r="L640" s="410" t="str">
        <f t="shared" si="91"/>
        <v>M</v>
      </c>
      <c r="M640" s="411"/>
      <c r="N640" s="412"/>
      <c r="O640" s="443"/>
      <c r="P640" s="442" t="str">
        <f t="shared" si="83"/>
        <v/>
      </c>
      <c r="Q640" s="412"/>
      <c r="R640" s="411"/>
      <c r="S640" s="413" t="str">
        <f t="shared" si="84"/>
        <v/>
      </c>
      <c r="T640" s="414">
        <f>+HLOOKUP(B566,[238]Hoja1!$2:$78,32,FALSE)</f>
        <v>0</v>
      </c>
      <c r="Y640" s="439" t="e">
        <f t="shared" si="90"/>
        <v>#VALUE!</v>
      </c>
      <c r="Z640" s="439" t="e">
        <f t="shared" si="85"/>
        <v>#VALUE!</v>
      </c>
    </row>
    <row r="641" spans="1:26">
      <c r="A641" s="453">
        <f t="shared" si="86"/>
        <v>3.04</v>
      </c>
      <c r="B641" s="383">
        <v>30</v>
      </c>
      <c r="D641" s="406"/>
      <c r="E641" s="407"/>
      <c r="F641" s="407"/>
      <c r="G641" s="407"/>
      <c r="H641" s="407"/>
      <c r="I641" s="407"/>
      <c r="J641" s="408" t="s">
        <v>441</v>
      </c>
      <c r="K641" s="409" t="str">
        <f t="shared" si="81"/>
        <v>M=(Largo) x Cant</v>
      </c>
      <c r="L641" s="410" t="str">
        <f t="shared" si="91"/>
        <v>M</v>
      </c>
      <c r="M641" s="411"/>
      <c r="N641" s="412"/>
      <c r="O641" s="442"/>
      <c r="P641" s="442" t="str">
        <f t="shared" si="83"/>
        <v/>
      </c>
      <c r="Q641" s="412"/>
      <c r="R641" s="411"/>
      <c r="S641" s="413" t="str">
        <f t="shared" si="84"/>
        <v/>
      </c>
      <c r="T641" s="414">
        <f>+HLOOKUP(B567,[238]Hoja1!$2:$78,32,FALSE)</f>
        <v>0</v>
      </c>
      <c r="Y641" s="439" t="e">
        <f t="shared" si="90"/>
        <v>#VALUE!</v>
      </c>
      <c r="Z641" s="439" t="e">
        <f t="shared" si="85"/>
        <v>#VALUE!</v>
      </c>
    </row>
    <row r="642" spans="1:26">
      <c r="A642" s="453">
        <f t="shared" si="86"/>
        <v>3.04</v>
      </c>
      <c r="B642" s="383">
        <v>31</v>
      </c>
      <c r="D642" s="406"/>
      <c r="E642" s="407"/>
      <c r="F642" s="407"/>
      <c r="G642" s="407"/>
      <c r="H642" s="407"/>
      <c r="I642" s="407"/>
      <c r="J642" s="408" t="s">
        <v>442</v>
      </c>
      <c r="K642" s="409" t="str">
        <f t="shared" si="81"/>
        <v>M=(Largo) x Cant</v>
      </c>
      <c r="L642" s="410" t="str">
        <f t="shared" si="91"/>
        <v>M</v>
      </c>
      <c r="M642" s="411"/>
      <c r="N642" s="412"/>
      <c r="O642" s="442"/>
      <c r="P642" s="442" t="str">
        <f t="shared" si="83"/>
        <v/>
      </c>
      <c r="Q642" s="413"/>
      <c r="R642" s="411"/>
      <c r="S642" s="413" t="str">
        <f t="shared" si="84"/>
        <v/>
      </c>
      <c r="T642" s="414">
        <f>+HLOOKUP(B568,[238]Hoja1!$2:$78,32,FALSE)</f>
        <v>0</v>
      </c>
      <c r="Y642" s="439" t="e">
        <f t="shared" si="90"/>
        <v>#VALUE!</v>
      </c>
      <c r="Z642" s="439" t="e">
        <f t="shared" si="85"/>
        <v>#VALUE!</v>
      </c>
    </row>
    <row r="643" spans="1:26">
      <c r="A643" s="453">
        <f t="shared" si="86"/>
        <v>3.04</v>
      </c>
      <c r="B643" s="383">
        <v>32</v>
      </c>
      <c r="D643" s="406"/>
      <c r="E643" s="407"/>
      <c r="F643" s="407"/>
      <c r="G643" s="407"/>
      <c r="H643" s="407"/>
      <c r="I643" s="407"/>
      <c r="J643" s="408" t="s">
        <v>443</v>
      </c>
      <c r="K643" s="409" t="str">
        <f t="shared" si="81"/>
        <v>M=(Largo) x Cant</v>
      </c>
      <c r="L643" s="410" t="str">
        <f t="shared" si="91"/>
        <v>M</v>
      </c>
      <c r="M643" s="411"/>
      <c r="N643" s="412"/>
      <c r="O643" s="442"/>
      <c r="P643" s="442" t="str">
        <f t="shared" si="83"/>
        <v/>
      </c>
      <c r="Q643" s="412"/>
      <c r="R643" s="411"/>
      <c r="S643" s="413" t="str">
        <f t="shared" si="84"/>
        <v/>
      </c>
      <c r="T643" s="414">
        <f>+HLOOKUP(B569,[238]Hoja1!$2:$78,32,FALSE)</f>
        <v>0</v>
      </c>
      <c r="Y643" s="439" t="e">
        <f t="shared" si="90"/>
        <v>#VALUE!</v>
      </c>
      <c r="Z643" s="439" t="e">
        <f t="shared" si="85"/>
        <v>#VALUE!</v>
      </c>
    </row>
    <row r="644" spans="1:26">
      <c r="A644" s="453">
        <f t="shared" si="86"/>
        <v>3.04</v>
      </c>
      <c r="B644" s="383">
        <v>33</v>
      </c>
      <c r="D644" s="406"/>
      <c r="E644" s="407"/>
      <c r="F644" s="407"/>
      <c r="G644" s="407"/>
      <c r="H644" s="407"/>
      <c r="I644" s="407"/>
      <c r="J644" s="408" t="s">
        <v>444</v>
      </c>
      <c r="K644" s="409" t="str">
        <f t="shared" si="81"/>
        <v>M=(Largo) x Cant</v>
      </c>
      <c r="L644" s="410" t="str">
        <f t="shared" si="91"/>
        <v>M</v>
      </c>
      <c r="M644" s="411"/>
      <c r="N644" s="412"/>
      <c r="O644" s="442"/>
      <c r="P644" s="442" t="str">
        <f t="shared" si="83"/>
        <v/>
      </c>
      <c r="Q644" s="412"/>
      <c r="R644" s="411"/>
      <c r="S644" s="413" t="str">
        <f t="shared" si="84"/>
        <v/>
      </c>
      <c r="T644" s="414">
        <f>+HLOOKUP(B570,[238]Hoja1!$2:$78,32,FALSE)</f>
        <v>0</v>
      </c>
      <c r="Y644" s="439" t="e">
        <f t="shared" si="90"/>
        <v>#VALUE!</v>
      </c>
      <c r="Z644" s="439" t="e">
        <f t="shared" si="85"/>
        <v>#VALUE!</v>
      </c>
    </row>
    <row r="645" spans="1:26">
      <c r="A645" s="453">
        <f t="shared" si="86"/>
        <v>3.04</v>
      </c>
      <c r="B645" s="383">
        <v>34</v>
      </c>
      <c r="D645" s="406"/>
      <c r="E645" s="407"/>
      <c r="F645" s="407"/>
      <c r="G645" s="407"/>
      <c r="H645" s="407"/>
      <c r="I645" s="407"/>
      <c r="J645" s="408" t="s">
        <v>445</v>
      </c>
      <c r="K645" s="409" t="str">
        <f t="shared" si="81"/>
        <v>M=(Largo) x Cant</v>
      </c>
      <c r="L645" s="410" t="str">
        <f t="shared" si="91"/>
        <v>M</v>
      </c>
      <c r="M645" s="411"/>
      <c r="N645" s="412"/>
      <c r="O645" s="441"/>
      <c r="P645" s="442" t="str">
        <f t="shared" si="83"/>
        <v/>
      </c>
      <c r="Q645" s="412"/>
      <c r="R645" s="411"/>
      <c r="S645" s="413" t="str">
        <f t="shared" si="84"/>
        <v/>
      </c>
      <c r="T645" s="414">
        <f>+HLOOKUP(B571,[238]Hoja1!$2:$78,32,FALSE)</f>
        <v>0</v>
      </c>
      <c r="Y645" s="439" t="e">
        <f>+O645*P645</f>
        <v>#VALUE!</v>
      </c>
      <c r="Z645" s="439" t="e">
        <f>+Y645-M645</f>
        <v>#VALUE!</v>
      </c>
    </row>
    <row r="646" spans="1:26">
      <c r="A646" s="453">
        <f t="shared" si="86"/>
        <v>3.04</v>
      </c>
      <c r="B646" s="383">
        <v>35</v>
      </c>
      <c r="D646" s="406"/>
      <c r="E646" s="440"/>
      <c r="F646" s="407"/>
      <c r="G646" s="407"/>
      <c r="H646" s="407"/>
      <c r="I646" s="437"/>
      <c r="J646" s="408" t="s">
        <v>446</v>
      </c>
      <c r="K646" s="409" t="str">
        <f t="shared" si="81"/>
        <v>M=(Largo) x Cant</v>
      </c>
      <c r="L646" s="410" t="str">
        <f t="shared" si="91"/>
        <v>M</v>
      </c>
      <c r="M646" s="411"/>
      <c r="N646" s="412"/>
      <c r="O646" s="442"/>
      <c r="P646" s="442" t="str">
        <f t="shared" si="83"/>
        <v/>
      </c>
      <c r="Q646" s="413"/>
      <c r="R646" s="411"/>
      <c r="S646" s="413" t="str">
        <f t="shared" si="84"/>
        <v/>
      </c>
      <c r="T646" s="414">
        <f>+HLOOKUP(B572,[238]Hoja1!$2:$78,32,FALSE)</f>
        <v>0</v>
      </c>
      <c r="Y646" s="439" t="e">
        <f>+O646*P646*Q646</f>
        <v>#VALUE!</v>
      </c>
      <c r="Z646" s="439" t="e">
        <f t="shared" ref="Z646:Z654" si="92">+Y646-M646</f>
        <v>#VALUE!</v>
      </c>
    </row>
    <row r="647" spans="1:26">
      <c r="A647" s="453">
        <f t="shared" si="86"/>
        <v>3.04</v>
      </c>
      <c r="B647" s="383">
        <v>36</v>
      </c>
      <c r="D647" s="406"/>
      <c r="E647" s="407"/>
      <c r="F647" s="407"/>
      <c r="G647" s="407"/>
      <c r="H647" s="407"/>
      <c r="I647" s="407"/>
      <c r="J647" s="408" t="s">
        <v>447</v>
      </c>
      <c r="K647" s="409" t="str">
        <f t="shared" si="81"/>
        <v>M=(Largo) x Cant</v>
      </c>
      <c r="L647" s="410" t="str">
        <f>+L636</f>
        <v>M</v>
      </c>
      <c r="M647" s="411"/>
      <c r="N647" s="412"/>
      <c r="O647" s="442"/>
      <c r="P647" s="442" t="str">
        <f t="shared" si="83"/>
        <v/>
      </c>
      <c r="Q647" s="412"/>
      <c r="R647" s="411"/>
      <c r="S647" s="413" t="str">
        <f t="shared" si="84"/>
        <v/>
      </c>
      <c r="T647" s="414">
        <f>+HLOOKUP(B573,[238]Hoja1!$2:$78,32,FALSE)</f>
        <v>0</v>
      </c>
      <c r="Y647" s="439" t="e">
        <f t="shared" ref="Y647:Y654" si="93">+O647*P647*Q647</f>
        <v>#VALUE!</v>
      </c>
      <c r="Z647" s="439" t="e">
        <f t="shared" si="92"/>
        <v>#VALUE!</v>
      </c>
    </row>
    <row r="648" spans="1:26">
      <c r="A648" s="453">
        <f t="shared" si="86"/>
        <v>3.04</v>
      </c>
      <c r="B648" s="383">
        <v>37</v>
      </c>
      <c r="D648" s="406"/>
      <c r="E648" s="407"/>
      <c r="F648" s="407"/>
      <c r="G648" s="407"/>
      <c r="H648" s="407"/>
      <c r="I648" s="407"/>
      <c r="J648" s="408" t="s">
        <v>448</v>
      </c>
      <c r="K648" s="409" t="str">
        <f t="shared" si="81"/>
        <v>M=(Largo) x Cant</v>
      </c>
      <c r="L648" s="410" t="str">
        <f t="shared" ref="L648:L654" si="94">+L647</f>
        <v>M</v>
      </c>
      <c r="M648" s="411"/>
      <c r="N648" s="412"/>
      <c r="O648" s="441"/>
      <c r="P648" s="442" t="str">
        <f t="shared" si="83"/>
        <v/>
      </c>
      <c r="Q648" s="449"/>
      <c r="R648" s="411"/>
      <c r="S648" s="413" t="str">
        <f t="shared" si="84"/>
        <v/>
      </c>
      <c r="T648" s="414">
        <f>+HLOOKUP(B574,[238]Hoja1!$2:$78,32,FALSE)</f>
        <v>0</v>
      </c>
      <c r="Y648" s="439" t="e">
        <f t="shared" si="93"/>
        <v>#VALUE!</v>
      </c>
      <c r="Z648" s="439" t="e">
        <f t="shared" si="92"/>
        <v>#VALUE!</v>
      </c>
    </row>
    <row r="649" spans="1:26">
      <c r="A649" s="453">
        <f t="shared" si="86"/>
        <v>3.04</v>
      </c>
      <c r="B649" s="383">
        <v>38</v>
      </c>
      <c r="D649" s="406"/>
      <c r="E649" s="440"/>
      <c r="F649" s="407"/>
      <c r="G649" s="407"/>
      <c r="H649" s="407"/>
      <c r="I649" s="437"/>
      <c r="J649" s="408" t="s">
        <v>449</v>
      </c>
      <c r="K649" s="409" t="str">
        <f t="shared" si="81"/>
        <v>M=(Largo) x Cant</v>
      </c>
      <c r="L649" s="410" t="str">
        <f t="shared" si="94"/>
        <v>M</v>
      </c>
      <c r="M649" s="411"/>
      <c r="N649" s="412"/>
      <c r="O649" s="442"/>
      <c r="P649" s="442" t="str">
        <f t="shared" si="83"/>
        <v/>
      </c>
      <c r="Q649" s="413"/>
      <c r="R649" s="411"/>
      <c r="S649" s="413" t="str">
        <f t="shared" si="84"/>
        <v/>
      </c>
      <c r="T649" s="414">
        <f>+HLOOKUP(B575,[238]Hoja1!$2:$78,32,FALSE)</f>
        <v>0</v>
      </c>
      <c r="Y649" s="439" t="e">
        <f t="shared" si="93"/>
        <v>#VALUE!</v>
      </c>
      <c r="Z649" s="439" t="e">
        <f t="shared" si="92"/>
        <v>#VALUE!</v>
      </c>
    </row>
    <row r="650" spans="1:26">
      <c r="A650" s="453">
        <f t="shared" si="86"/>
        <v>3.04</v>
      </c>
      <c r="B650" s="383">
        <v>39</v>
      </c>
      <c r="D650" s="406"/>
      <c r="E650" s="407"/>
      <c r="F650" s="407"/>
      <c r="G650" s="407"/>
      <c r="H650" s="407"/>
      <c r="I650" s="407"/>
      <c r="J650" s="408" t="s">
        <v>450</v>
      </c>
      <c r="K650" s="409" t="str">
        <f t="shared" si="81"/>
        <v>M=(Largo) x Cant</v>
      </c>
      <c r="L650" s="410" t="str">
        <f t="shared" si="94"/>
        <v>M</v>
      </c>
      <c r="M650" s="411"/>
      <c r="N650" s="412"/>
      <c r="O650" s="441"/>
      <c r="P650" s="442" t="str">
        <f t="shared" si="83"/>
        <v/>
      </c>
      <c r="Q650" s="412"/>
      <c r="R650" s="411"/>
      <c r="S650" s="413" t="str">
        <f t="shared" si="84"/>
        <v/>
      </c>
      <c r="T650" s="414">
        <f>+HLOOKUP(B576,[238]Hoja1!$2:$78,32,FALSE)</f>
        <v>0</v>
      </c>
      <c r="Y650" s="439" t="e">
        <f t="shared" si="93"/>
        <v>#VALUE!</v>
      </c>
      <c r="Z650" s="439" t="e">
        <f t="shared" si="92"/>
        <v>#VALUE!</v>
      </c>
    </row>
    <row r="651" spans="1:26">
      <c r="A651" s="453">
        <f t="shared" si="86"/>
        <v>3.04</v>
      </c>
      <c r="B651" s="383">
        <v>40</v>
      </c>
      <c r="D651" s="406"/>
      <c r="E651" s="407"/>
      <c r="F651" s="407"/>
      <c r="G651" s="407"/>
      <c r="H651" s="407"/>
      <c r="I651" s="407"/>
      <c r="J651" s="408" t="s">
        <v>451</v>
      </c>
      <c r="K651" s="409" t="str">
        <f t="shared" si="81"/>
        <v>M=(Largo) x Cant</v>
      </c>
      <c r="L651" s="410" t="str">
        <f t="shared" si="94"/>
        <v>M</v>
      </c>
      <c r="M651" s="411"/>
      <c r="N651" s="412"/>
      <c r="O651" s="442"/>
      <c r="P651" s="442" t="str">
        <f t="shared" si="83"/>
        <v/>
      </c>
      <c r="Q651" s="412"/>
      <c r="R651" s="411"/>
      <c r="S651" s="413" t="str">
        <f t="shared" si="84"/>
        <v/>
      </c>
      <c r="T651" s="414">
        <f>+HLOOKUP(B577,[238]Hoja1!$2:$78,32,FALSE)</f>
        <v>0</v>
      </c>
      <c r="Y651" s="439" t="e">
        <f t="shared" si="93"/>
        <v>#VALUE!</v>
      </c>
      <c r="Z651" s="439" t="e">
        <f t="shared" si="92"/>
        <v>#VALUE!</v>
      </c>
    </row>
    <row r="652" spans="1:26">
      <c r="A652" s="453">
        <f t="shared" si="86"/>
        <v>3.04</v>
      </c>
      <c r="B652" s="383">
        <v>41</v>
      </c>
      <c r="D652" s="406"/>
      <c r="E652" s="407"/>
      <c r="F652" s="407"/>
      <c r="G652" s="407"/>
      <c r="H652" s="407"/>
      <c r="I652" s="407"/>
      <c r="J652" s="408" t="s">
        <v>452</v>
      </c>
      <c r="K652" s="409" t="str">
        <f t="shared" si="81"/>
        <v>M=(Largo) x Cant</v>
      </c>
      <c r="L652" s="410" t="str">
        <f t="shared" si="94"/>
        <v>M</v>
      </c>
      <c r="M652" s="411"/>
      <c r="N652" s="412"/>
      <c r="O652" s="442"/>
      <c r="P652" s="442" t="str">
        <f t="shared" si="83"/>
        <v/>
      </c>
      <c r="Q652" s="413"/>
      <c r="R652" s="411"/>
      <c r="S652" s="413" t="str">
        <f t="shared" si="84"/>
        <v/>
      </c>
      <c r="T652" s="414">
        <f>+HLOOKUP(B578,[238]Hoja1!$2:$78,32,FALSE)</f>
        <v>0</v>
      </c>
      <c r="Y652" s="439" t="e">
        <f t="shared" si="93"/>
        <v>#VALUE!</v>
      </c>
      <c r="Z652" s="439" t="e">
        <f t="shared" si="92"/>
        <v>#VALUE!</v>
      </c>
    </row>
    <row r="653" spans="1:26">
      <c r="A653" s="453">
        <f t="shared" si="86"/>
        <v>3.04</v>
      </c>
      <c r="B653" s="383">
        <v>42</v>
      </c>
      <c r="D653" s="406"/>
      <c r="E653" s="407"/>
      <c r="F653" s="407"/>
      <c r="G653" s="407"/>
      <c r="H653" s="407"/>
      <c r="I653" s="407"/>
      <c r="J653" s="408" t="s">
        <v>453</v>
      </c>
      <c r="K653" s="409" t="str">
        <f t="shared" si="81"/>
        <v>M=(Largo) x Cant</v>
      </c>
      <c r="L653" s="410" t="str">
        <f t="shared" si="94"/>
        <v>M</v>
      </c>
      <c r="M653" s="411"/>
      <c r="N653" s="412"/>
      <c r="O653" s="442"/>
      <c r="P653" s="442" t="str">
        <f t="shared" si="83"/>
        <v/>
      </c>
      <c r="Q653" s="412"/>
      <c r="R653" s="411"/>
      <c r="S653" s="413" t="str">
        <f t="shared" si="84"/>
        <v/>
      </c>
      <c r="T653" s="414">
        <f>+HLOOKUP(B579,[238]Hoja1!$2:$78,32,FALSE)</f>
        <v>0</v>
      </c>
      <c r="Y653" s="439" t="e">
        <f t="shared" si="93"/>
        <v>#VALUE!</v>
      </c>
      <c r="Z653" s="439" t="e">
        <f t="shared" si="92"/>
        <v>#VALUE!</v>
      </c>
    </row>
    <row r="654" spans="1:26" ht="13.5" thickBot="1">
      <c r="A654" s="453">
        <f t="shared" si="86"/>
        <v>3.04</v>
      </c>
      <c r="B654" s="383">
        <v>43</v>
      </c>
      <c r="D654" s="406"/>
      <c r="E654" s="407"/>
      <c r="F654" s="407"/>
      <c r="G654" s="407"/>
      <c r="H654" s="407"/>
      <c r="I654" s="407"/>
      <c r="J654" s="408" t="s">
        <v>454</v>
      </c>
      <c r="K654" s="409" t="str">
        <f t="shared" si="81"/>
        <v>M=(Largo) x Cant</v>
      </c>
      <c r="L654" s="410" t="str">
        <f t="shared" si="94"/>
        <v>M</v>
      </c>
      <c r="M654" s="411"/>
      <c r="N654" s="412"/>
      <c r="O654" s="442"/>
      <c r="P654" s="442" t="str">
        <f t="shared" si="83"/>
        <v/>
      </c>
      <c r="Q654" s="412"/>
      <c r="R654" s="411"/>
      <c r="S654" s="413" t="str">
        <f t="shared" si="84"/>
        <v/>
      </c>
      <c r="T654" s="414">
        <f>+HLOOKUP(B580,[238]Hoja1!$2:$78,32,FALSE)</f>
        <v>0</v>
      </c>
      <c r="Y654" s="439" t="e">
        <f t="shared" si="93"/>
        <v>#VALUE!</v>
      </c>
      <c r="Z654" s="439" t="e">
        <f t="shared" si="92"/>
        <v>#VALUE!</v>
      </c>
    </row>
    <row r="655" spans="1:26">
      <c r="D655" s="384"/>
      <c r="E655" s="419"/>
      <c r="F655" s="420"/>
      <c r="G655" s="421"/>
      <c r="H655" s="421"/>
      <c r="I655" s="421"/>
      <c r="J655" s="421"/>
      <c r="K655" s="422"/>
      <c r="L655" s="421"/>
      <c r="M655" s="421"/>
      <c r="N655" s="421"/>
      <c r="O655" s="421"/>
      <c r="P655" s="421"/>
      <c r="Q655" s="421"/>
      <c r="R655" s="421"/>
      <c r="S655" s="422"/>
      <c r="T655" s="423"/>
    </row>
    <row r="656" spans="1:26">
      <c r="D656" s="396"/>
      <c r="E656" s="397"/>
      <c r="F656" s="424"/>
      <c r="G656" s="425"/>
      <c r="H656" s="425"/>
      <c r="I656" s="425"/>
      <c r="J656" s="425"/>
      <c r="K656" s="398"/>
      <c r="L656" s="425"/>
      <c r="M656" s="425"/>
      <c r="N656" s="397"/>
      <c r="O656" s="397"/>
      <c r="P656" s="562" t="s">
        <v>455</v>
      </c>
      <c r="Q656" s="563"/>
      <c r="R656" s="564"/>
      <c r="S656" s="426"/>
      <c r="T656" s="427">
        <f>ROUND(SUM(T612:T655),2)</f>
        <v>37.65</v>
      </c>
    </row>
    <row r="657" spans="4:20">
      <c r="D657" s="396"/>
      <c r="E657" s="397"/>
      <c r="F657" s="424"/>
      <c r="G657" s="425"/>
      <c r="H657" s="425"/>
      <c r="I657" s="425"/>
      <c r="J657" s="425"/>
      <c r="K657" s="398"/>
      <c r="L657" s="425"/>
      <c r="M657" s="425"/>
      <c r="N657" s="428"/>
      <c r="O657" s="428"/>
      <c r="P657" s="429"/>
      <c r="Q657" s="425"/>
      <c r="R657" s="425"/>
      <c r="S657" s="430"/>
      <c r="T657" s="431"/>
    </row>
    <row r="658" spans="4:20">
      <c r="D658" s="565" t="e">
        <v>#REF!</v>
      </c>
      <c r="E658" s="566"/>
      <c r="F658" s="566"/>
      <c r="G658" s="566"/>
      <c r="H658" s="566"/>
      <c r="I658" s="566"/>
      <c r="J658" s="566"/>
      <c r="K658" s="566"/>
      <c r="L658" s="566"/>
      <c r="M658" s="566"/>
      <c r="N658" s="566"/>
      <c r="O658" s="567"/>
      <c r="P658" s="568" t="s">
        <v>422</v>
      </c>
      <c r="Q658" s="568"/>
      <c r="R658" s="568"/>
      <c r="S658" s="426"/>
      <c r="T658" s="427">
        <f>T656</f>
        <v>37.65</v>
      </c>
    </row>
    <row r="659" spans="4:20">
      <c r="D659" s="396"/>
      <c r="E659" s="397"/>
      <c r="F659" s="424"/>
      <c r="G659" s="425"/>
      <c r="H659" s="425"/>
      <c r="I659" s="425"/>
      <c r="J659" s="425"/>
      <c r="K659" s="398"/>
      <c r="L659" s="425"/>
      <c r="M659" s="425"/>
      <c r="N659" s="428"/>
      <c r="O659" s="428"/>
      <c r="P659" s="429"/>
      <c r="Q659" s="425"/>
      <c r="R659" s="398"/>
      <c r="S659" s="398"/>
      <c r="T659" s="432"/>
    </row>
    <row r="660" spans="4:20">
      <c r="D660" s="396"/>
      <c r="E660" s="397"/>
      <c r="F660" s="424"/>
      <c r="G660" s="425"/>
      <c r="H660" s="425"/>
      <c r="I660" s="425"/>
      <c r="J660" s="425"/>
      <c r="K660" s="398"/>
      <c r="L660" s="425"/>
      <c r="M660" s="425"/>
      <c r="N660" s="428"/>
      <c r="O660" s="428"/>
      <c r="P660" s="429"/>
      <c r="Q660" s="425"/>
      <c r="R660" s="398"/>
      <c r="S660" s="398"/>
      <c r="T660" s="432"/>
    </row>
    <row r="661" spans="4:20">
      <c r="D661" s="569" t="s">
        <v>423</v>
      </c>
      <c r="E661" s="570"/>
      <c r="F661" s="570"/>
      <c r="G661" s="570"/>
      <c r="H661" s="570"/>
      <c r="I661" s="570"/>
      <c r="J661" s="570"/>
      <c r="K661" s="571"/>
      <c r="L661" s="433" t="s">
        <v>424</v>
      </c>
      <c r="M661" s="434"/>
      <c r="N661" s="434"/>
      <c r="O661" s="434"/>
      <c r="P661" s="434"/>
      <c r="Q661" s="434"/>
      <c r="R661" s="434"/>
      <c r="S661" s="434"/>
      <c r="T661" s="435"/>
    </row>
    <row r="662" spans="4:20">
      <c r="D662" s="542"/>
      <c r="E662" s="543"/>
      <c r="F662" s="543"/>
      <c r="G662" s="543"/>
      <c r="H662" s="436"/>
      <c r="I662" s="436"/>
      <c r="J662" s="436"/>
      <c r="K662" s="447"/>
      <c r="L662" s="436"/>
      <c r="M662" s="407"/>
      <c r="N662" s="407"/>
      <c r="O662" s="407"/>
      <c r="P662" s="407"/>
      <c r="Q662" s="407"/>
      <c r="R662" s="407"/>
      <c r="S662" s="407"/>
      <c r="T662" s="437"/>
    </row>
    <row r="663" spans="4:20">
      <c r="D663" s="542"/>
      <c r="E663" s="543"/>
      <c r="F663" s="543"/>
      <c r="G663" s="543"/>
      <c r="H663" s="436"/>
      <c r="I663" s="436"/>
      <c r="J663" s="436"/>
      <c r="K663" s="447"/>
      <c r="L663" s="436"/>
      <c r="M663" s="407"/>
      <c r="N663" s="407"/>
      <c r="O663" s="407"/>
      <c r="P663" s="407"/>
      <c r="Q663" s="407"/>
      <c r="R663" s="407"/>
      <c r="S663" s="407"/>
      <c r="T663" s="437"/>
    </row>
    <row r="664" spans="4:20">
      <c r="D664" s="542" t="s">
        <v>425</v>
      </c>
      <c r="E664" s="543"/>
      <c r="F664" s="543" t="s">
        <v>425</v>
      </c>
      <c r="G664" s="543"/>
      <c r="H664" s="543" t="s">
        <v>425</v>
      </c>
      <c r="I664" s="543"/>
      <c r="J664" s="543" t="s">
        <v>425</v>
      </c>
      <c r="K664" s="544"/>
      <c r="L664" s="545" t="s">
        <v>426</v>
      </c>
      <c r="M664" s="546"/>
      <c r="N664" s="546"/>
      <c r="O664" s="546"/>
      <c r="P664" s="546"/>
      <c r="Q664" s="546"/>
      <c r="R664" s="546"/>
      <c r="S664" s="546"/>
      <c r="T664" s="547"/>
    </row>
    <row r="665" spans="4:20">
      <c r="D665" s="548" t="str">
        <f>+[42]DATOS!D$8</f>
        <v>HELMER EDUARDO BECERRA SANTANDER</v>
      </c>
      <c r="E665" s="549"/>
      <c r="F665" s="549" t="s">
        <v>427</v>
      </c>
      <c r="G665" s="549"/>
      <c r="H665" s="549" t="s">
        <v>427</v>
      </c>
      <c r="I665" s="549"/>
      <c r="J665" s="549" t="s">
        <v>427</v>
      </c>
      <c r="K665" s="550"/>
      <c r="L665" s="551" t="str">
        <f>+[42]DATOS!D$11</f>
        <v>JESUS IVAN QUIÑONES RUEDA</v>
      </c>
      <c r="M665" s="549"/>
      <c r="N665" s="549"/>
      <c r="O665" s="549"/>
      <c r="P665" s="549"/>
      <c r="Q665" s="549"/>
      <c r="R665" s="549"/>
      <c r="S665" s="549"/>
      <c r="T665" s="552"/>
    </row>
    <row r="666" spans="4:20">
      <c r="D666" s="553" t="str">
        <f>+$D$72</f>
        <v>APOYO SEC. DE PLANEACION Y OBRAS PÚBLICAS</v>
      </c>
      <c r="E666" s="554"/>
      <c r="F666" s="554" t="s">
        <v>428</v>
      </c>
      <c r="G666" s="554"/>
      <c r="H666" s="554" t="s">
        <v>428</v>
      </c>
      <c r="I666" s="554"/>
      <c r="J666" s="554" t="s">
        <v>428</v>
      </c>
      <c r="K666" s="555"/>
      <c r="L666" s="556" t="str">
        <f>+$L$72</f>
        <v>SECRETARIO DE PLANEACION Y OBRAS PÚBLICAS</v>
      </c>
      <c r="M666" s="554"/>
      <c r="N666" s="554"/>
      <c r="O666" s="554"/>
      <c r="P666" s="554"/>
      <c r="Q666" s="554"/>
      <c r="R666" s="554"/>
      <c r="S666" s="554"/>
      <c r="T666" s="557"/>
    </row>
    <row r="667" spans="4:20">
      <c r="D667" s="406"/>
      <c r="E667" s="407"/>
      <c r="F667" s="407"/>
      <c r="G667" s="407"/>
      <c r="H667" s="407"/>
      <c r="I667" s="407"/>
      <c r="J667" s="407"/>
      <c r="K667" s="407"/>
      <c r="L667" s="407"/>
      <c r="M667" s="407"/>
      <c r="N667" s="407"/>
      <c r="O667" s="407"/>
      <c r="P667" s="407"/>
      <c r="Q667" s="407"/>
      <c r="R667" s="407"/>
      <c r="S667" s="407"/>
      <c r="T667" s="437"/>
    </row>
    <row r="668" spans="4:20" ht="111" customHeight="1" thickBot="1">
      <c r="D668" s="417"/>
      <c r="E668" s="418"/>
      <c r="F668" s="418"/>
      <c r="G668" s="418"/>
      <c r="H668" s="418"/>
      <c r="I668" s="418"/>
      <c r="J668" s="418"/>
      <c r="K668" s="418"/>
      <c r="L668" s="418"/>
      <c r="M668" s="418"/>
      <c r="N668" s="418"/>
      <c r="O668" s="418"/>
      <c r="P668" s="418"/>
      <c r="Q668" s="418"/>
      <c r="R668" s="418"/>
      <c r="S668" s="418"/>
      <c r="T668" s="438"/>
    </row>
    <row r="669" spans="4:20" ht="22.5" customHeight="1"/>
    <row r="670" spans="4:20" ht="13.5" thickBot="1"/>
    <row r="671" spans="4:20">
      <c r="D671" s="384"/>
      <c r="E671" s="385"/>
      <c r="F671" s="385"/>
      <c r="G671" s="385"/>
      <c r="H671" s="385"/>
      <c r="I671" s="385"/>
      <c r="J671" s="385"/>
      <c r="K671" s="445"/>
      <c r="L671" s="385"/>
      <c r="M671" s="385"/>
      <c r="N671" s="385"/>
      <c r="O671" s="385"/>
      <c r="P671" s="385"/>
      <c r="Q671" s="385"/>
      <c r="R671" s="385"/>
      <c r="S671" s="385"/>
      <c r="T671" s="386"/>
    </row>
    <row r="672" spans="4:20" ht="121.5" customHeight="1" thickBot="1">
      <c r="D672" s="387"/>
      <c r="E672" s="388"/>
      <c r="F672" s="388"/>
      <c r="G672" s="388"/>
      <c r="H672" s="388"/>
      <c r="I672" s="388"/>
      <c r="J672" s="388"/>
      <c r="K672" s="446"/>
      <c r="L672" s="388"/>
      <c r="M672" s="388"/>
      <c r="N672" s="388"/>
      <c r="O672" s="388"/>
      <c r="P672" s="388"/>
      <c r="Q672" s="388"/>
      <c r="R672" s="388"/>
      <c r="S672" s="388"/>
      <c r="T672" s="389"/>
    </row>
    <row r="673" spans="1:26">
      <c r="D673" s="592" t="str">
        <f>+[42]DATOS!C$7</f>
        <v>MEJORAMIENTO DE VIVIENDA CON ENFOQUE DIFERENCIAL PARA POBLACIÓN VULNERABLE EN EL MUNICIPIO DE CUBARÁ, BOYACÁ (2026).</v>
      </c>
      <c r="E673" s="593"/>
      <c r="F673" s="593"/>
      <c r="G673" s="593"/>
      <c r="H673" s="593"/>
      <c r="I673" s="593"/>
      <c r="J673" s="593"/>
      <c r="K673" s="593"/>
      <c r="L673" s="593"/>
      <c r="M673" s="593"/>
      <c r="N673" s="593"/>
      <c r="O673" s="593"/>
      <c r="P673" s="593"/>
      <c r="Q673" s="593"/>
      <c r="R673" s="593"/>
      <c r="S673" s="593"/>
      <c r="T673" s="594"/>
    </row>
    <row r="674" spans="1:26">
      <c r="D674" s="595"/>
      <c r="E674" s="596"/>
      <c r="F674" s="596"/>
      <c r="G674" s="596"/>
      <c r="H674" s="596"/>
      <c r="I674" s="596"/>
      <c r="J674" s="596"/>
      <c r="K674" s="596"/>
      <c r="L674" s="596"/>
      <c r="M674" s="596"/>
      <c r="N674" s="596"/>
      <c r="O674" s="596"/>
      <c r="P674" s="596"/>
      <c r="Q674" s="596"/>
      <c r="R674" s="596"/>
      <c r="S674" s="596"/>
      <c r="T674" s="597"/>
    </row>
    <row r="675" spans="1:26">
      <c r="D675" s="598" t="s">
        <v>371</v>
      </c>
      <c r="E675" s="599"/>
      <c r="F675" s="599"/>
      <c r="G675" s="599"/>
      <c r="H675" s="599"/>
      <c r="I675" s="599"/>
      <c r="J675" s="599"/>
      <c r="K675" s="599"/>
      <c r="L675" s="599"/>
      <c r="M675" s="599"/>
      <c r="N675" s="599"/>
      <c r="O675" s="599"/>
      <c r="P675" s="599"/>
      <c r="Q675" s="599"/>
      <c r="R675" s="599"/>
      <c r="S675" s="599"/>
      <c r="T675" s="600"/>
    </row>
    <row r="676" spans="1:26">
      <c r="D676" s="586" t="s">
        <v>372</v>
      </c>
      <c r="E676" s="587"/>
      <c r="F676" s="601" t="s">
        <v>373</v>
      </c>
      <c r="G676" s="601"/>
      <c r="H676" s="601"/>
      <c r="I676" s="601"/>
      <c r="J676" s="601"/>
      <c r="K676" s="601"/>
      <c r="L676" s="601"/>
      <c r="M676" s="601"/>
      <c r="N676" s="601"/>
      <c r="O676" s="601"/>
      <c r="P676" s="601"/>
      <c r="Q676" s="601"/>
      <c r="R676" s="601"/>
      <c r="S676" s="601"/>
      <c r="T676" s="602"/>
    </row>
    <row r="677" spans="1:26">
      <c r="D677" s="586" t="s">
        <v>374</v>
      </c>
      <c r="E677" s="587"/>
      <c r="F677" s="603" t="s">
        <v>375</v>
      </c>
      <c r="G677" s="604"/>
      <c r="H677" s="604"/>
      <c r="I677" s="604"/>
      <c r="J677" s="604"/>
      <c r="K677" s="604"/>
      <c r="L677" s="604"/>
      <c r="M677" s="604"/>
      <c r="N677" s="604"/>
      <c r="O677" s="604"/>
      <c r="P677" s="604"/>
      <c r="Q677" s="604"/>
      <c r="R677" s="604"/>
      <c r="S677" s="604"/>
      <c r="T677" s="605"/>
    </row>
    <row r="678" spans="1:26">
      <c r="D678" s="586" t="s">
        <v>376</v>
      </c>
      <c r="E678" s="587"/>
      <c r="F678" s="390">
        <f>+[42]DATOS!F$5</f>
        <v>46143</v>
      </c>
      <c r="G678" s="391"/>
      <c r="H678" s="391"/>
      <c r="I678" s="391"/>
      <c r="J678" s="391"/>
      <c r="K678" s="391"/>
      <c r="L678" s="568" t="s">
        <v>377</v>
      </c>
      <c r="M678" s="568"/>
      <c r="N678" s="588" t="s">
        <v>378</v>
      </c>
      <c r="O678" s="588"/>
      <c r="P678" s="588"/>
      <c r="Q678" s="588"/>
      <c r="R678" s="588"/>
      <c r="S678" s="588"/>
      <c r="T678" s="589"/>
    </row>
    <row r="679" spans="1:26" ht="25.5">
      <c r="D679" s="586" t="s">
        <v>379</v>
      </c>
      <c r="E679" s="587"/>
      <c r="F679" s="590" t="s">
        <v>380</v>
      </c>
      <c r="G679" s="591"/>
      <c r="H679" s="392">
        <f>+[42]DATOS!E$5</f>
        <v>2026</v>
      </c>
      <c r="I679" s="393" t="s">
        <v>381</v>
      </c>
      <c r="J679" s="394">
        <f>+[42]DATOS!E$5</f>
        <v>2026</v>
      </c>
      <c r="K679" s="395"/>
      <c r="L679" s="568" t="s">
        <v>382</v>
      </c>
      <c r="M679" s="568"/>
      <c r="N679" s="588" t="s">
        <v>383</v>
      </c>
      <c r="O679" s="588"/>
      <c r="P679" s="588"/>
      <c r="Q679" s="588"/>
      <c r="R679" s="588"/>
      <c r="S679" s="588"/>
      <c r="T679" s="589"/>
    </row>
    <row r="680" spans="1:26">
      <c r="D680" s="396"/>
      <c r="E680" s="397"/>
      <c r="F680" s="397"/>
      <c r="G680" s="398"/>
      <c r="H680" s="398"/>
      <c r="I680" s="398"/>
      <c r="J680" s="398"/>
      <c r="K680" s="398"/>
      <c r="L680" s="398"/>
      <c r="M680" s="398"/>
      <c r="N680" s="398"/>
      <c r="O680" s="398"/>
      <c r="P680" s="398"/>
      <c r="Q680" s="398"/>
      <c r="R680" s="398"/>
      <c r="S680" s="398"/>
      <c r="T680" s="399"/>
    </row>
    <row r="681" spans="1:26">
      <c r="D681" s="572" t="s">
        <v>384</v>
      </c>
      <c r="E681" s="573"/>
      <c r="F681" s="573"/>
      <c r="G681" s="573"/>
      <c r="H681" s="573"/>
      <c r="I681" s="573"/>
      <c r="J681" s="573"/>
      <c r="K681" s="573"/>
      <c r="L681" s="573"/>
      <c r="M681" s="573"/>
      <c r="N681" s="573"/>
      <c r="O681" s="573"/>
      <c r="P681" s="573"/>
      <c r="Q681" s="573"/>
      <c r="R681" s="573"/>
      <c r="S681" s="573"/>
      <c r="T681" s="574"/>
    </row>
    <row r="682" spans="1:26">
      <c r="D682" s="396"/>
      <c r="E682" s="397"/>
      <c r="F682" s="397"/>
      <c r="G682" s="398"/>
      <c r="H682" s="398"/>
      <c r="I682" s="398"/>
      <c r="J682" s="398"/>
      <c r="K682" s="398"/>
      <c r="L682" s="398"/>
      <c r="M682" s="398"/>
      <c r="N682" s="398"/>
      <c r="O682" s="398"/>
      <c r="P682" s="398"/>
      <c r="Q682" s="398"/>
      <c r="R682" s="398"/>
      <c r="S682" s="398"/>
      <c r="T682" s="399"/>
    </row>
    <row r="683" spans="1:26">
      <c r="D683" s="400" t="s">
        <v>385</v>
      </c>
      <c r="E683" s="575" t="s">
        <v>386</v>
      </c>
      <c r="F683" s="575"/>
      <c r="G683" s="576" t="s">
        <v>387</v>
      </c>
      <c r="H683" s="577"/>
      <c r="I683" s="577"/>
      <c r="J683" s="576" t="s">
        <v>388</v>
      </c>
      <c r="K683" s="576" t="s">
        <v>389</v>
      </c>
      <c r="L683" s="579"/>
      <c r="M683" s="581" t="s">
        <v>390</v>
      </c>
      <c r="N683" s="581"/>
      <c r="O683" s="581"/>
      <c r="P683" s="581"/>
      <c r="Q683" s="581"/>
      <c r="R683" s="581"/>
      <c r="S683" s="581" t="s">
        <v>391</v>
      </c>
      <c r="T683" s="582"/>
    </row>
    <row r="684" spans="1:26" ht="38.25">
      <c r="D684" s="403">
        <f>+'PRESUPUESTO OFICIAL '!C43</f>
        <v>3.05</v>
      </c>
      <c r="E684" s="583" t="str">
        <f>+VLOOKUP(D684,'PRESUPUESTO OFICIAL '!$C$11:$H$103,2)</f>
        <v xml:space="preserve">PLACA BASE E= 8 CM EN CONCRETO f'c = 2500 PSI (17.5 Mpa), Incluye malla electrosoldada </v>
      </c>
      <c r="F684" s="584"/>
      <c r="G684" s="585" t="str">
        <f>+VLOOKUP(D684,'PRESUPUESTO OFICIAL '!$C$11:$H$103,3)</f>
        <v>M2</v>
      </c>
      <c r="H684" s="585"/>
      <c r="I684" s="585"/>
      <c r="J684" s="578"/>
      <c r="K684" s="578"/>
      <c r="L684" s="580"/>
      <c r="M684" s="401" t="s">
        <v>392</v>
      </c>
      <c r="N684" s="401" t="s">
        <v>393</v>
      </c>
      <c r="O684" s="401" t="s">
        <v>394</v>
      </c>
      <c r="P684" s="401" t="s">
        <v>395</v>
      </c>
      <c r="Q684" s="401" t="s">
        <v>396</v>
      </c>
      <c r="R684" s="401" t="s">
        <v>397</v>
      </c>
      <c r="S684" s="401" t="s">
        <v>398</v>
      </c>
      <c r="T684" s="402" t="s">
        <v>399</v>
      </c>
      <c r="V684" s="404">
        <f>+D684</f>
        <v>3.05</v>
      </c>
      <c r="W684" s="405">
        <f>+T732</f>
        <v>235.59</v>
      </c>
    </row>
    <row r="685" spans="1:26">
      <c r="D685" s="406"/>
      <c r="E685" s="407"/>
      <c r="F685" s="407"/>
      <c r="G685" s="407"/>
      <c r="H685" s="407"/>
      <c r="I685" s="407"/>
      <c r="J685" s="558"/>
      <c r="K685" s="559"/>
      <c r="L685" s="560"/>
      <c r="M685" s="560"/>
      <c r="N685" s="560"/>
      <c r="O685" s="560"/>
      <c r="P685" s="560"/>
      <c r="Q685" s="560"/>
      <c r="R685" s="560"/>
      <c r="S685" s="560"/>
      <c r="T685" s="561"/>
    </row>
    <row r="686" spans="1:26" ht="25.5">
      <c r="A686" s="453">
        <f>+D684</f>
        <v>3.05</v>
      </c>
      <c r="B686" s="383">
        <v>1</v>
      </c>
      <c r="D686" s="406"/>
      <c r="E686" s="407"/>
      <c r="F686" s="407"/>
      <c r="G686" s="407"/>
      <c r="H686" s="407"/>
      <c r="I686" s="407"/>
      <c r="J686" s="408" t="s">
        <v>400</v>
      </c>
      <c r="K686" s="409" t="str">
        <f t="shared" ref="K686:K728" si="95">+VLOOKUP(L686,$AH$22:$AJ$58,2,)</f>
        <v>A=(Ancho x Largo)* Cant</v>
      </c>
      <c r="L686" s="410" t="str">
        <f>+G684</f>
        <v>M2</v>
      </c>
      <c r="M686" s="411"/>
      <c r="N686" s="412"/>
      <c r="O686" s="442"/>
      <c r="P686" s="442"/>
      <c r="Q686" s="413"/>
      <c r="R686" s="411"/>
      <c r="S686" s="413" t="str">
        <f>IF(T686=0,"",1)</f>
        <v/>
      </c>
      <c r="T686" s="414">
        <f>+HLOOKUP(B612,[238]Hoja1!$2:$78,33,FALSE)</f>
        <v>0</v>
      </c>
      <c r="Y686" s="439">
        <f>+O686*P686</f>
        <v>0</v>
      </c>
      <c r="Z686" s="439">
        <f t="shared" ref="Z686" si="96">+Y686-R686</f>
        <v>0</v>
      </c>
    </row>
    <row r="687" spans="1:26" ht="25.5">
      <c r="A687" s="453">
        <f>+A686</f>
        <v>3.05</v>
      </c>
      <c r="B687" s="383">
        <v>2</v>
      </c>
      <c r="D687" s="406"/>
      <c r="E687" s="407"/>
      <c r="F687" s="407"/>
      <c r="G687" s="407"/>
      <c r="H687" s="407"/>
      <c r="I687" s="407"/>
      <c r="J687" s="408" t="s">
        <v>401</v>
      </c>
      <c r="K687" s="409" t="str">
        <f t="shared" si="95"/>
        <v>A=(Ancho x Largo)* Cant</v>
      </c>
      <c r="L687" s="410" t="str">
        <f>+L686</f>
        <v>M2</v>
      </c>
      <c r="M687" s="411">
        <f>+O687*P687</f>
        <v>5.93</v>
      </c>
      <c r="N687" s="412"/>
      <c r="O687" s="442">
        <f>+T687/2.5</f>
        <v>2.3719999999999999</v>
      </c>
      <c r="P687" s="442">
        <v>2.5</v>
      </c>
      <c r="Q687" s="413"/>
      <c r="R687" s="411"/>
      <c r="S687" s="413">
        <f t="shared" ref="S687:S728" si="97">IF(T687=0,"",1)</f>
        <v>1</v>
      </c>
      <c r="T687" s="414">
        <f>+HLOOKUP(B613,[238]Hoja1!$2:$78,33,FALSE)</f>
        <v>5.93</v>
      </c>
      <c r="Y687" s="439">
        <f>+O687*P687</f>
        <v>5.93</v>
      </c>
      <c r="Z687" s="439">
        <f t="shared" ref="Z687:Z718" si="98">+Y687-M687</f>
        <v>0</v>
      </c>
    </row>
    <row r="688" spans="1:26" ht="25.5">
      <c r="A688" s="453">
        <f t="shared" ref="A688:A728" si="99">+A687</f>
        <v>3.05</v>
      </c>
      <c r="B688" s="383">
        <v>3</v>
      </c>
      <c r="D688" s="406"/>
      <c r="E688" s="407"/>
      <c r="F688" s="407"/>
      <c r="G688" s="407"/>
      <c r="H688" s="407"/>
      <c r="I688" s="407"/>
      <c r="J688" s="408" t="s">
        <v>402</v>
      </c>
      <c r="K688" s="409" t="str">
        <f t="shared" si="95"/>
        <v>A=(Ancho x Largo)* Cant</v>
      </c>
      <c r="L688" s="410" t="str">
        <f>+L687</f>
        <v>M2</v>
      </c>
      <c r="M688" s="411">
        <f t="shared" ref="M688:M691" si="100">+O688*P688</f>
        <v>5.93</v>
      </c>
      <c r="N688" s="412"/>
      <c r="O688" s="442">
        <f t="shared" ref="O688:O690" si="101">+T688/2.5</f>
        <v>2.3719999999999999</v>
      </c>
      <c r="P688" s="442">
        <v>2.5</v>
      </c>
      <c r="Q688" s="413"/>
      <c r="R688" s="411"/>
      <c r="S688" s="413">
        <f t="shared" si="97"/>
        <v>1</v>
      </c>
      <c r="T688" s="414">
        <f>+HLOOKUP(B614,[238]Hoja1!$2:$78,33,FALSE)</f>
        <v>5.93</v>
      </c>
      <c r="Y688" s="439">
        <f t="shared" ref="Y688:Y691" si="102">+O688*P688</f>
        <v>5.93</v>
      </c>
      <c r="Z688" s="439">
        <f t="shared" si="98"/>
        <v>0</v>
      </c>
    </row>
    <row r="689" spans="1:26" ht="25.5">
      <c r="A689" s="453">
        <f t="shared" si="99"/>
        <v>3.05</v>
      </c>
      <c r="B689" s="383">
        <v>4</v>
      </c>
      <c r="D689" s="406"/>
      <c r="E689" s="407"/>
      <c r="F689" s="407"/>
      <c r="G689" s="407"/>
      <c r="H689" s="407"/>
      <c r="I689" s="407"/>
      <c r="J689" s="408" t="s">
        <v>403</v>
      </c>
      <c r="K689" s="409" t="str">
        <f t="shared" si="95"/>
        <v>A=(Ancho x Largo)* Cant</v>
      </c>
      <c r="L689" s="410" t="str">
        <f>+L688</f>
        <v>M2</v>
      </c>
      <c r="M689" s="411">
        <f t="shared" si="100"/>
        <v>5.93</v>
      </c>
      <c r="N689" s="412"/>
      <c r="O689" s="442">
        <f t="shared" si="101"/>
        <v>2.3719999999999999</v>
      </c>
      <c r="P689" s="442">
        <v>2.5</v>
      </c>
      <c r="Q689" s="413"/>
      <c r="R689" s="411"/>
      <c r="S689" s="413">
        <f t="shared" si="97"/>
        <v>1</v>
      </c>
      <c r="T689" s="414">
        <f>+HLOOKUP(B615,[238]Hoja1!$2:$78,33,FALSE)</f>
        <v>5.93</v>
      </c>
      <c r="Y689" s="439">
        <f t="shared" si="102"/>
        <v>5.93</v>
      </c>
      <c r="Z689" s="439">
        <f t="shared" si="98"/>
        <v>0</v>
      </c>
    </row>
    <row r="690" spans="1:26" ht="25.5">
      <c r="A690" s="453">
        <f t="shared" si="99"/>
        <v>3.05</v>
      </c>
      <c r="B690" s="383">
        <v>5</v>
      </c>
      <c r="D690" s="406"/>
      <c r="E690" s="407"/>
      <c r="F690" s="407"/>
      <c r="G690" s="407"/>
      <c r="H690" s="407"/>
      <c r="I690" s="407"/>
      <c r="J690" s="408" t="s">
        <v>405</v>
      </c>
      <c r="K690" s="409" t="str">
        <f t="shared" si="95"/>
        <v>A=(Ancho x Largo)* Cant</v>
      </c>
      <c r="L690" s="410" t="str">
        <f>+L689</f>
        <v>M2</v>
      </c>
      <c r="M690" s="411">
        <f t="shared" si="100"/>
        <v>5.93</v>
      </c>
      <c r="N690" s="412"/>
      <c r="O690" s="442">
        <f t="shared" si="101"/>
        <v>2.3719999999999999</v>
      </c>
      <c r="P690" s="442">
        <v>2.5</v>
      </c>
      <c r="Q690" s="413"/>
      <c r="R690" s="411"/>
      <c r="S690" s="413">
        <f t="shared" si="97"/>
        <v>1</v>
      </c>
      <c r="T690" s="414">
        <f>+HLOOKUP(B616,[238]Hoja1!$2:$78,33,FALSE)</f>
        <v>5.93</v>
      </c>
      <c r="Y690" s="439">
        <f t="shared" si="102"/>
        <v>5.93</v>
      </c>
      <c r="Z690" s="439">
        <f t="shared" si="98"/>
        <v>0</v>
      </c>
    </row>
    <row r="691" spans="1:26" ht="25.5">
      <c r="A691" s="453">
        <f t="shared" si="99"/>
        <v>3.05</v>
      </c>
      <c r="B691" s="383">
        <v>6</v>
      </c>
      <c r="D691" s="406"/>
      <c r="E691" s="407"/>
      <c r="F691" s="407"/>
      <c r="G691" s="407"/>
      <c r="H691" s="407"/>
      <c r="I691" s="407"/>
      <c r="J691" s="408" t="s">
        <v>407</v>
      </c>
      <c r="K691" s="409" t="str">
        <f t="shared" si="95"/>
        <v>A=(Ancho x Largo)* Cant</v>
      </c>
      <c r="L691" s="410" t="str">
        <f>+L690</f>
        <v>M2</v>
      </c>
      <c r="M691" s="411">
        <f t="shared" si="100"/>
        <v>6.9176000000000002</v>
      </c>
      <c r="N691" s="412"/>
      <c r="O691" s="442">
        <f>+T691/2.8</f>
        <v>2.4705714285714286</v>
      </c>
      <c r="P691" s="442">
        <v>2.8</v>
      </c>
      <c r="Q691" s="413"/>
      <c r="R691" s="411"/>
      <c r="S691" s="413">
        <f t="shared" si="97"/>
        <v>1</v>
      </c>
      <c r="T691" s="414">
        <f>+HLOOKUP(B617,[238]Hoja1!$2:$78,33,FALSE)</f>
        <v>6.9176000000000002</v>
      </c>
      <c r="Y691" s="439">
        <f t="shared" si="102"/>
        <v>6.9176000000000002</v>
      </c>
      <c r="Z691" s="439">
        <f t="shared" si="98"/>
        <v>0</v>
      </c>
    </row>
    <row r="692" spans="1:26" ht="25.5">
      <c r="A692" s="453">
        <f t="shared" si="99"/>
        <v>3.05</v>
      </c>
      <c r="B692" s="383">
        <v>7</v>
      </c>
      <c r="D692" s="406"/>
      <c r="E692" s="407"/>
      <c r="F692" s="407"/>
      <c r="G692" s="407"/>
      <c r="H692" s="407"/>
      <c r="I692" s="407"/>
      <c r="J692" s="408" t="s">
        <v>409</v>
      </c>
      <c r="K692" s="409" t="str">
        <f t="shared" si="95"/>
        <v>A=(Ancho x Largo)* Cant</v>
      </c>
      <c r="L692" s="410" t="str">
        <f>+L686</f>
        <v>M2</v>
      </c>
      <c r="M692" s="411">
        <f>+T692</f>
        <v>1.26</v>
      </c>
      <c r="N692" s="412"/>
      <c r="O692" s="442">
        <f>+M692/0.5</f>
        <v>2.52</v>
      </c>
      <c r="P692" s="442">
        <v>0.5</v>
      </c>
      <c r="Q692" s="413"/>
      <c r="R692" s="411"/>
      <c r="S692" s="413">
        <f t="shared" si="97"/>
        <v>1</v>
      </c>
      <c r="T692" s="414">
        <f>+HLOOKUP(B618,[238]Hoja1!$2:$78,33,FALSE)</f>
        <v>1.26</v>
      </c>
      <c r="Y692" s="439">
        <f>+O692*P692*Q692*S692</f>
        <v>0</v>
      </c>
      <c r="Z692" s="439">
        <f t="shared" si="98"/>
        <v>-1.26</v>
      </c>
    </row>
    <row r="693" spans="1:26" ht="25.5">
      <c r="A693" s="453">
        <f t="shared" si="99"/>
        <v>3.05</v>
      </c>
      <c r="B693" s="383">
        <v>8</v>
      </c>
      <c r="D693" s="406"/>
      <c r="E693" s="407"/>
      <c r="F693" s="407"/>
      <c r="G693" s="407"/>
      <c r="H693" s="407"/>
      <c r="I693" s="407"/>
      <c r="J693" s="408" t="s">
        <v>411</v>
      </c>
      <c r="K693" s="409" t="str">
        <f t="shared" si="95"/>
        <v>A=(Ancho x Largo)* Cant</v>
      </c>
      <c r="L693" s="410" t="str">
        <f>+L692</f>
        <v>M2</v>
      </c>
      <c r="M693" s="411">
        <f t="shared" ref="M693:M694" si="103">+O693*P693</f>
        <v>8.5</v>
      </c>
      <c r="N693" s="412"/>
      <c r="O693" s="442">
        <v>2.8813559322033897</v>
      </c>
      <c r="P693" s="442">
        <v>2.95</v>
      </c>
      <c r="Q693" s="413"/>
      <c r="R693" s="411"/>
      <c r="S693" s="413">
        <f t="shared" si="97"/>
        <v>1</v>
      </c>
      <c r="T693" s="414">
        <f>+HLOOKUP(B619,[238]Hoja1!$2:$78,33,FALSE)</f>
        <v>8.5</v>
      </c>
      <c r="Y693" s="439">
        <f t="shared" ref="Y693:Y699" si="104">+O693*P693</f>
        <v>8.5</v>
      </c>
      <c r="Z693" s="439">
        <f t="shared" si="98"/>
        <v>0</v>
      </c>
    </row>
    <row r="694" spans="1:26" ht="25.5">
      <c r="A694" s="453">
        <f t="shared" si="99"/>
        <v>3.05</v>
      </c>
      <c r="B694" s="383">
        <v>9</v>
      </c>
      <c r="D694" s="406"/>
      <c r="E694" s="407"/>
      <c r="F694" s="407"/>
      <c r="G694" s="407"/>
      <c r="H694" s="407"/>
      <c r="I694" s="407"/>
      <c r="J694" s="408" t="s">
        <v>412</v>
      </c>
      <c r="K694" s="409" t="str">
        <f t="shared" si="95"/>
        <v>A=(Ancho x Largo)* Cant</v>
      </c>
      <c r="L694" s="410" t="str">
        <f>+L693</f>
        <v>M2</v>
      </c>
      <c r="M694" s="411">
        <f t="shared" si="103"/>
        <v>5.93</v>
      </c>
      <c r="N694" s="412"/>
      <c r="O694" s="442">
        <f t="shared" ref="O694" si="105">+T694/2.5</f>
        <v>2.3719999999999999</v>
      </c>
      <c r="P694" s="442">
        <v>2.5</v>
      </c>
      <c r="Q694" s="412"/>
      <c r="R694" s="411"/>
      <c r="S694" s="413">
        <f t="shared" si="97"/>
        <v>1</v>
      </c>
      <c r="T694" s="414">
        <f>+HLOOKUP(B620,[238]Hoja1!$2:$78,33,FALSE)</f>
        <v>5.93</v>
      </c>
      <c r="Y694" s="439">
        <f t="shared" si="104"/>
        <v>5.93</v>
      </c>
      <c r="Z694" s="439">
        <f t="shared" si="98"/>
        <v>0</v>
      </c>
    </row>
    <row r="695" spans="1:26" ht="25.5">
      <c r="A695" s="453">
        <f t="shared" si="99"/>
        <v>3.05</v>
      </c>
      <c r="B695" s="383">
        <v>10</v>
      </c>
      <c r="D695" s="406"/>
      <c r="E695" s="407"/>
      <c r="F695" s="407"/>
      <c r="G695" s="407"/>
      <c r="H695" s="407"/>
      <c r="I695" s="407"/>
      <c r="J695" s="408" t="s">
        <v>413</v>
      </c>
      <c r="K695" s="409" t="str">
        <f t="shared" si="95"/>
        <v>A=(Ancho x Largo)* Cant</v>
      </c>
      <c r="L695" s="410" t="str">
        <f>+L694</f>
        <v>M2</v>
      </c>
      <c r="M695" s="411"/>
      <c r="N695" s="412"/>
      <c r="O695" s="441"/>
      <c r="P695" s="441"/>
      <c r="Q695" s="412"/>
      <c r="R695" s="411"/>
      <c r="S695" s="413" t="str">
        <f t="shared" si="97"/>
        <v/>
      </c>
      <c r="T695" s="414">
        <f>+HLOOKUP(B621,[238]Hoja1!$2:$78,33,FALSE)</f>
        <v>0</v>
      </c>
      <c r="Y695" s="439">
        <f t="shared" si="104"/>
        <v>0</v>
      </c>
      <c r="Z695" s="439">
        <f t="shared" si="98"/>
        <v>0</v>
      </c>
    </row>
    <row r="696" spans="1:26" ht="25.5">
      <c r="A696" s="453">
        <f t="shared" si="99"/>
        <v>3.05</v>
      </c>
      <c r="B696" s="383">
        <v>11</v>
      </c>
      <c r="D696" s="406"/>
      <c r="E696" s="407"/>
      <c r="F696" s="407"/>
      <c r="G696" s="407"/>
      <c r="H696" s="407"/>
      <c r="I696" s="407"/>
      <c r="J696" s="408" t="s">
        <v>414</v>
      </c>
      <c r="K696" s="409" t="str">
        <f t="shared" si="95"/>
        <v>A=(Ancho x Largo)* Cant</v>
      </c>
      <c r="L696" s="410" t="str">
        <f>+L695</f>
        <v>M2</v>
      </c>
      <c r="M696" s="411"/>
      <c r="N696" s="412"/>
      <c r="O696" s="443"/>
      <c r="P696" s="443"/>
      <c r="Q696" s="412"/>
      <c r="R696" s="411"/>
      <c r="S696" s="413" t="str">
        <f t="shared" si="97"/>
        <v/>
      </c>
      <c r="T696" s="414">
        <f>+HLOOKUP(B622,[238]Hoja1!$2:$78,33,FALSE)</f>
        <v>0</v>
      </c>
      <c r="Y696" s="439">
        <f t="shared" si="104"/>
        <v>0</v>
      </c>
      <c r="Z696" s="439">
        <f t="shared" si="98"/>
        <v>0</v>
      </c>
    </row>
    <row r="697" spans="1:26" ht="25.5">
      <c r="A697" s="453">
        <f t="shared" si="99"/>
        <v>3.05</v>
      </c>
      <c r="B697" s="383">
        <v>12</v>
      </c>
      <c r="D697" s="406"/>
      <c r="E697" s="407"/>
      <c r="F697" s="407"/>
      <c r="G697" s="407"/>
      <c r="H697" s="407"/>
      <c r="I697" s="407"/>
      <c r="J697" s="408" t="s">
        <v>415</v>
      </c>
      <c r="K697" s="409" t="str">
        <f t="shared" si="95"/>
        <v>A=(Ancho x Largo)* Cant</v>
      </c>
      <c r="L697" s="410" t="str">
        <f>+L691</f>
        <v>M2</v>
      </c>
      <c r="M697" s="411"/>
      <c r="N697" s="412"/>
      <c r="O697" s="442"/>
      <c r="P697" s="442"/>
      <c r="Q697" s="413"/>
      <c r="R697" s="411"/>
      <c r="S697" s="413" t="str">
        <f t="shared" si="97"/>
        <v/>
      </c>
      <c r="T697" s="414">
        <f>+HLOOKUP(B623,[238]Hoja1!$2:$78,33,FALSE)</f>
        <v>0</v>
      </c>
      <c r="Y697" s="439">
        <f t="shared" si="104"/>
        <v>0</v>
      </c>
      <c r="Z697" s="439">
        <f t="shared" si="98"/>
        <v>0</v>
      </c>
    </row>
    <row r="698" spans="1:26" ht="25.5">
      <c r="A698" s="453">
        <f t="shared" si="99"/>
        <v>3.05</v>
      </c>
      <c r="B698" s="383">
        <v>13</v>
      </c>
      <c r="D698" s="406"/>
      <c r="E698" s="407"/>
      <c r="F698" s="407"/>
      <c r="G698" s="407"/>
      <c r="H698" s="407"/>
      <c r="I698" s="407"/>
      <c r="J698" s="408" t="s">
        <v>416</v>
      </c>
      <c r="K698" s="409" t="str">
        <f t="shared" si="95"/>
        <v>A=(Ancho x Largo)* Cant</v>
      </c>
      <c r="L698" s="410" t="str">
        <f>+L693</f>
        <v>M2</v>
      </c>
      <c r="M698" s="411"/>
      <c r="N698" s="412"/>
      <c r="O698" s="442"/>
      <c r="P698" s="442"/>
      <c r="Q698" s="413"/>
      <c r="R698" s="411"/>
      <c r="S698" s="413" t="str">
        <f t="shared" si="97"/>
        <v/>
      </c>
      <c r="T698" s="414">
        <f>+HLOOKUP(B624,[238]Hoja1!$2:$78,33,FALSE)</f>
        <v>0</v>
      </c>
      <c r="Y698" s="439">
        <f t="shared" si="104"/>
        <v>0</v>
      </c>
      <c r="Z698" s="439">
        <f t="shared" si="98"/>
        <v>0</v>
      </c>
    </row>
    <row r="699" spans="1:26" ht="25.5">
      <c r="A699" s="453">
        <f t="shared" si="99"/>
        <v>3.05</v>
      </c>
      <c r="B699" s="383">
        <v>14</v>
      </c>
      <c r="D699" s="406"/>
      <c r="E699" s="407"/>
      <c r="F699" s="407"/>
      <c r="G699" s="407"/>
      <c r="H699" s="407"/>
      <c r="I699" s="407"/>
      <c r="J699" s="408" t="s">
        <v>417</v>
      </c>
      <c r="K699" s="409" t="str">
        <f t="shared" si="95"/>
        <v>A=(Ancho x Largo)* Cant</v>
      </c>
      <c r="L699" s="410" t="str">
        <f t="shared" ref="L699:L710" si="106">+L698</f>
        <v>M2</v>
      </c>
      <c r="M699" s="411">
        <f t="shared" ref="M699:M702" si="107">+O699*P699</f>
        <v>5.93</v>
      </c>
      <c r="N699" s="412"/>
      <c r="O699" s="442">
        <f t="shared" ref="O699" si="108">+T699/2.5</f>
        <v>2.3719999999999999</v>
      </c>
      <c r="P699" s="442">
        <v>2.5</v>
      </c>
      <c r="Q699" s="412"/>
      <c r="R699" s="411"/>
      <c r="S699" s="413">
        <f t="shared" si="97"/>
        <v>1</v>
      </c>
      <c r="T699" s="414">
        <f>+HLOOKUP(B625,[238]Hoja1!$2:$78,33,FALSE)</f>
        <v>5.93</v>
      </c>
      <c r="Y699" s="439">
        <f t="shared" si="104"/>
        <v>5.93</v>
      </c>
      <c r="Z699" s="439">
        <f t="shared" si="98"/>
        <v>0</v>
      </c>
    </row>
    <row r="700" spans="1:26" ht="25.5">
      <c r="A700" s="453">
        <f t="shared" si="99"/>
        <v>3.05</v>
      </c>
      <c r="B700" s="383">
        <v>15</v>
      </c>
      <c r="D700" s="406"/>
      <c r="E700" s="407"/>
      <c r="F700" s="407"/>
      <c r="G700" s="407"/>
      <c r="H700" s="407"/>
      <c r="I700" s="407"/>
      <c r="J700" s="408" t="s">
        <v>418</v>
      </c>
      <c r="K700" s="409" t="str">
        <f t="shared" si="95"/>
        <v>A=(Ancho x Largo)* Cant</v>
      </c>
      <c r="L700" s="410" t="str">
        <f t="shared" si="106"/>
        <v>M2</v>
      </c>
      <c r="M700" s="411">
        <f t="shared" si="107"/>
        <v>1.0799999999999998</v>
      </c>
      <c r="N700" s="412"/>
      <c r="O700" s="442">
        <v>0.3</v>
      </c>
      <c r="P700" s="442">
        <f>0.6*6</f>
        <v>3.5999999999999996</v>
      </c>
      <c r="Q700" s="449"/>
      <c r="R700" s="411"/>
      <c r="S700" s="413">
        <f t="shared" si="97"/>
        <v>1</v>
      </c>
      <c r="T700" s="414">
        <f>+HLOOKUP(B626,[238]Hoja1!$2:$78,33,FALSE)</f>
        <v>1.08</v>
      </c>
      <c r="Y700" s="439">
        <f>+O700*P700*Q700</f>
        <v>0</v>
      </c>
      <c r="Z700" s="439">
        <f t="shared" si="98"/>
        <v>-1.0799999999999998</v>
      </c>
    </row>
    <row r="701" spans="1:26" ht="25.5">
      <c r="A701" s="453">
        <f t="shared" si="99"/>
        <v>3.05</v>
      </c>
      <c r="B701" s="383">
        <v>16</v>
      </c>
      <c r="D701" s="406"/>
      <c r="E701" s="407"/>
      <c r="F701" s="407"/>
      <c r="G701" s="407"/>
      <c r="H701" s="407"/>
      <c r="I701" s="407"/>
      <c r="J701" s="408" t="s">
        <v>419</v>
      </c>
      <c r="K701" s="409" t="str">
        <f t="shared" si="95"/>
        <v>A=(Ancho x Largo)* Cant</v>
      </c>
      <c r="L701" s="410" t="str">
        <f t="shared" si="106"/>
        <v>M2</v>
      </c>
      <c r="M701" s="411">
        <f t="shared" si="107"/>
        <v>14.13</v>
      </c>
      <c r="N701" s="412"/>
      <c r="O701" s="442">
        <f>+T701/3.09</f>
        <v>4.5728155339805827</v>
      </c>
      <c r="P701" s="442">
        <v>3.09</v>
      </c>
      <c r="Q701" s="449"/>
      <c r="R701" s="411"/>
      <c r="S701" s="413">
        <f t="shared" si="97"/>
        <v>1</v>
      </c>
      <c r="T701" s="414">
        <f>+HLOOKUP(B627,[238]Hoja1!$2:$78,33,FALSE)</f>
        <v>14.13</v>
      </c>
      <c r="Y701" s="439">
        <f>+O701*P701*Q701</f>
        <v>0</v>
      </c>
      <c r="Z701" s="439">
        <f t="shared" si="98"/>
        <v>-14.13</v>
      </c>
    </row>
    <row r="702" spans="1:26" ht="25.5">
      <c r="A702" s="453">
        <f t="shared" si="99"/>
        <v>3.05</v>
      </c>
      <c r="B702" s="383">
        <v>17</v>
      </c>
      <c r="D702" s="406"/>
      <c r="E702" s="407"/>
      <c r="F702" s="407"/>
      <c r="G702" s="407"/>
      <c r="H702" s="407"/>
      <c r="I702" s="407"/>
      <c r="J702" s="408" t="s">
        <v>420</v>
      </c>
      <c r="K702" s="409" t="str">
        <f t="shared" si="95"/>
        <v>A=(Ancho x Largo)* Cant</v>
      </c>
      <c r="L702" s="410" t="str">
        <f t="shared" si="106"/>
        <v>M2</v>
      </c>
      <c r="M702" s="411">
        <f t="shared" si="107"/>
        <v>72.09</v>
      </c>
      <c r="N702" s="412"/>
      <c r="O702" s="442">
        <v>8.1</v>
      </c>
      <c r="P702" s="442">
        <v>8.9</v>
      </c>
      <c r="Q702" s="412"/>
      <c r="R702" s="411"/>
      <c r="S702" s="413">
        <f t="shared" si="97"/>
        <v>1</v>
      </c>
      <c r="T702" s="414">
        <f>+HLOOKUP(B628,[238]Hoja1!$2:$78,33,FALSE)</f>
        <v>72.09</v>
      </c>
      <c r="Y702" s="439">
        <f t="shared" ref="Y702:Y718" si="109">+O702*P702*Q702</f>
        <v>0</v>
      </c>
      <c r="Z702" s="439">
        <f t="shared" si="98"/>
        <v>-72.09</v>
      </c>
    </row>
    <row r="703" spans="1:26" ht="25.5">
      <c r="A703" s="453">
        <f t="shared" si="99"/>
        <v>3.05</v>
      </c>
      <c r="B703" s="383">
        <v>18</v>
      </c>
      <c r="D703" s="406"/>
      <c r="E703" s="407"/>
      <c r="F703" s="407"/>
      <c r="G703" s="407"/>
      <c r="H703" s="407"/>
      <c r="I703" s="407"/>
      <c r="J703" s="408" t="s">
        <v>429</v>
      </c>
      <c r="K703" s="409" t="str">
        <f t="shared" si="95"/>
        <v>A=(Ancho x Largo)* Cant</v>
      </c>
      <c r="L703" s="410" t="str">
        <f t="shared" si="106"/>
        <v>M2</v>
      </c>
      <c r="M703" s="411">
        <f t="shared" ref="M703" si="110">+O703*P703</f>
        <v>6.9176000000000002</v>
      </c>
      <c r="N703" s="412"/>
      <c r="O703" s="442">
        <f>+T703/2.8</f>
        <v>2.4705714285714286</v>
      </c>
      <c r="P703" s="442">
        <v>2.8</v>
      </c>
      <c r="Q703" s="412"/>
      <c r="R703" s="411"/>
      <c r="S703" s="413">
        <f t="shared" si="97"/>
        <v>1</v>
      </c>
      <c r="T703" s="414">
        <f>+HLOOKUP(B629,[238]Hoja1!$2:$78,33,FALSE)</f>
        <v>6.9176000000000002</v>
      </c>
      <c r="Y703" s="439">
        <f t="shared" si="109"/>
        <v>0</v>
      </c>
      <c r="Z703" s="439">
        <f t="shared" si="98"/>
        <v>-6.9176000000000002</v>
      </c>
    </row>
    <row r="704" spans="1:26" ht="25.5">
      <c r="A704" s="453">
        <f t="shared" si="99"/>
        <v>3.05</v>
      </c>
      <c r="B704" s="383">
        <v>19</v>
      </c>
      <c r="D704" s="406"/>
      <c r="E704" s="407"/>
      <c r="F704" s="407"/>
      <c r="G704" s="407"/>
      <c r="H704" s="407"/>
      <c r="I704" s="407"/>
      <c r="J704" s="408" t="s">
        <v>430</v>
      </c>
      <c r="K704" s="409" t="str">
        <f t="shared" si="95"/>
        <v>A=(Ancho x Largo)* Cant</v>
      </c>
      <c r="L704" s="410" t="str">
        <f t="shared" si="106"/>
        <v>M2</v>
      </c>
      <c r="M704" s="411">
        <f t="shared" ref="M704:M705" si="111">+O704*P704</f>
        <v>5.93</v>
      </c>
      <c r="N704" s="412"/>
      <c r="O704" s="442">
        <f t="shared" ref="O704" si="112">+T704/2.5</f>
        <v>2.3719999999999999</v>
      </c>
      <c r="P704" s="442">
        <v>2.5</v>
      </c>
      <c r="Q704" s="412"/>
      <c r="R704" s="411"/>
      <c r="S704" s="413">
        <f t="shared" si="97"/>
        <v>1</v>
      </c>
      <c r="T704" s="414">
        <f>+HLOOKUP(B630,[238]Hoja1!$2:$78,33,FALSE)</f>
        <v>5.93</v>
      </c>
      <c r="Y704" s="439">
        <f t="shared" si="109"/>
        <v>0</v>
      </c>
      <c r="Z704" s="439">
        <f t="shared" si="98"/>
        <v>-5.93</v>
      </c>
    </row>
    <row r="705" spans="1:26" ht="25.5">
      <c r="A705" s="453">
        <f t="shared" si="99"/>
        <v>3.05</v>
      </c>
      <c r="B705" s="383">
        <v>20</v>
      </c>
      <c r="D705" s="406"/>
      <c r="E705" s="407"/>
      <c r="F705" s="407"/>
      <c r="G705" s="407"/>
      <c r="H705" s="407"/>
      <c r="I705" s="407"/>
      <c r="J705" s="408" t="s">
        <v>431</v>
      </c>
      <c r="K705" s="409" t="str">
        <f t="shared" si="95"/>
        <v>A=(Ancho x Largo)* Cant</v>
      </c>
      <c r="L705" s="410" t="str">
        <f t="shared" si="106"/>
        <v>M2</v>
      </c>
      <c r="M705" s="411">
        <f t="shared" si="111"/>
        <v>8.5</v>
      </c>
      <c r="N705" s="412"/>
      <c r="O705" s="442">
        <f>+T705/3</f>
        <v>2.8333333333333335</v>
      </c>
      <c r="P705" s="442">
        <v>3</v>
      </c>
      <c r="Q705" s="412"/>
      <c r="R705" s="411"/>
      <c r="S705" s="413">
        <f t="shared" si="97"/>
        <v>1</v>
      </c>
      <c r="T705" s="414">
        <f>+HLOOKUP(B631,[238]Hoja1!$2:$78,33,FALSE)</f>
        <v>8.5</v>
      </c>
      <c r="Y705" s="439">
        <f t="shared" si="109"/>
        <v>0</v>
      </c>
      <c r="Z705" s="439">
        <f t="shared" si="98"/>
        <v>-8.5</v>
      </c>
    </row>
    <row r="706" spans="1:26" ht="25.5">
      <c r="A706" s="453">
        <f t="shared" si="99"/>
        <v>3.05</v>
      </c>
      <c r="B706" s="383">
        <v>21</v>
      </c>
      <c r="D706" s="406"/>
      <c r="E706" s="407"/>
      <c r="F706" s="407"/>
      <c r="G706" s="407"/>
      <c r="H706" s="407"/>
      <c r="I706" s="407"/>
      <c r="J706" s="408" t="s">
        <v>432</v>
      </c>
      <c r="K706" s="409" t="str">
        <f t="shared" si="95"/>
        <v>A=(Ancho x Largo)* Cant</v>
      </c>
      <c r="L706" s="410" t="str">
        <f t="shared" si="106"/>
        <v>M2</v>
      </c>
      <c r="M706" s="411"/>
      <c r="N706" s="412"/>
      <c r="O706" s="442"/>
      <c r="P706" s="442"/>
      <c r="Q706" s="412"/>
      <c r="R706" s="411"/>
      <c r="S706" s="413" t="str">
        <f t="shared" si="97"/>
        <v/>
      </c>
      <c r="T706" s="414">
        <f>+HLOOKUP(B632,[238]Hoja1!$2:$78,33,FALSE)</f>
        <v>0</v>
      </c>
      <c r="Y706" s="439">
        <f t="shared" si="109"/>
        <v>0</v>
      </c>
      <c r="Z706" s="439">
        <f t="shared" si="98"/>
        <v>0</v>
      </c>
    </row>
    <row r="707" spans="1:26" ht="25.5">
      <c r="A707" s="453">
        <f t="shared" si="99"/>
        <v>3.05</v>
      </c>
      <c r="B707" s="383">
        <v>22</v>
      </c>
      <c r="D707" s="406"/>
      <c r="E707" s="407"/>
      <c r="F707" s="407"/>
      <c r="G707" s="407"/>
      <c r="H707" s="407"/>
      <c r="I707" s="407"/>
      <c r="J707" s="408" t="s">
        <v>433</v>
      </c>
      <c r="K707" s="409" t="str">
        <f t="shared" si="95"/>
        <v>A=(Ancho x Largo)* Cant</v>
      </c>
      <c r="L707" s="410" t="str">
        <f t="shared" si="106"/>
        <v>M2</v>
      </c>
      <c r="M707" s="411">
        <f t="shared" ref="M707:M710" si="113">+O707*P707</f>
        <v>5.93</v>
      </c>
      <c r="N707" s="412"/>
      <c r="O707" s="442">
        <f t="shared" ref="O707" si="114">+T707/2.5</f>
        <v>2.3719999999999999</v>
      </c>
      <c r="P707" s="442">
        <v>2.5</v>
      </c>
      <c r="Q707" s="412"/>
      <c r="R707" s="411"/>
      <c r="S707" s="413">
        <f t="shared" si="97"/>
        <v>1</v>
      </c>
      <c r="T707" s="414">
        <f>+HLOOKUP(B633,[238]Hoja1!$2:$78,33,FALSE)</f>
        <v>5.93</v>
      </c>
      <c r="Y707" s="439">
        <f t="shared" si="109"/>
        <v>0</v>
      </c>
      <c r="Z707" s="439">
        <f t="shared" si="98"/>
        <v>-5.93</v>
      </c>
    </row>
    <row r="708" spans="1:26" ht="25.5">
      <c r="A708" s="453">
        <f t="shared" si="99"/>
        <v>3.05</v>
      </c>
      <c r="B708" s="383">
        <v>23</v>
      </c>
      <c r="D708" s="406"/>
      <c r="E708" s="407"/>
      <c r="F708" s="407"/>
      <c r="G708" s="407"/>
      <c r="H708" s="407"/>
      <c r="I708" s="407"/>
      <c r="J708" s="408" t="s">
        <v>434</v>
      </c>
      <c r="K708" s="409" t="str">
        <f t="shared" si="95"/>
        <v>A=(Ancho x Largo)* Cant</v>
      </c>
      <c r="L708" s="410" t="str">
        <f t="shared" si="106"/>
        <v>M2</v>
      </c>
      <c r="M708" s="411">
        <f t="shared" si="113"/>
        <v>0.5</v>
      </c>
      <c r="N708" s="412"/>
      <c r="O708" s="441">
        <f>0.25*4</f>
        <v>1</v>
      </c>
      <c r="P708" s="441">
        <v>0.5</v>
      </c>
      <c r="Q708" s="412"/>
      <c r="R708" s="411"/>
      <c r="S708" s="413">
        <f t="shared" si="97"/>
        <v>1</v>
      </c>
      <c r="T708" s="414">
        <f>+HLOOKUP(B634,[238]Hoja1!$2:$78,33,FALSE)</f>
        <v>0.5</v>
      </c>
      <c r="Y708" s="439">
        <f t="shared" si="109"/>
        <v>0</v>
      </c>
      <c r="Z708" s="439">
        <f t="shared" si="98"/>
        <v>-0.5</v>
      </c>
    </row>
    <row r="709" spans="1:26" ht="25.5">
      <c r="A709" s="453">
        <f t="shared" si="99"/>
        <v>3.05</v>
      </c>
      <c r="B709" s="383">
        <v>24</v>
      </c>
      <c r="D709" s="406"/>
      <c r="E709" s="407"/>
      <c r="F709" s="407"/>
      <c r="G709" s="407"/>
      <c r="H709" s="407"/>
      <c r="I709" s="407"/>
      <c r="J709" s="408" t="s">
        <v>435</v>
      </c>
      <c r="K709" s="409" t="str">
        <f t="shared" si="95"/>
        <v>A=(Ancho x Largo)* Cant</v>
      </c>
      <c r="L709" s="410" t="str">
        <f t="shared" si="106"/>
        <v>M2</v>
      </c>
      <c r="M709" s="411">
        <f t="shared" si="113"/>
        <v>7.08</v>
      </c>
      <c r="N709" s="412"/>
      <c r="O709" s="442">
        <v>2.5</v>
      </c>
      <c r="P709" s="442">
        <f>+T709/2.5</f>
        <v>2.8319999999999999</v>
      </c>
      <c r="Q709" s="413"/>
      <c r="R709" s="411"/>
      <c r="S709" s="413">
        <f t="shared" si="97"/>
        <v>1</v>
      </c>
      <c r="T709" s="414">
        <f>+HLOOKUP(B635,[238]Hoja1!$2:$78,33,FALSE)</f>
        <v>7.08</v>
      </c>
      <c r="Y709" s="439">
        <f t="shared" si="109"/>
        <v>0</v>
      </c>
      <c r="Z709" s="439">
        <f t="shared" si="98"/>
        <v>-7.08</v>
      </c>
    </row>
    <row r="710" spans="1:26" ht="25.5">
      <c r="A710" s="453">
        <f t="shared" si="99"/>
        <v>3.05</v>
      </c>
      <c r="B710" s="383">
        <v>25</v>
      </c>
      <c r="D710" s="406"/>
      <c r="E710" s="407"/>
      <c r="F710" s="407"/>
      <c r="G710" s="407"/>
      <c r="H710" s="407"/>
      <c r="I710" s="407"/>
      <c r="J710" s="408" t="s">
        <v>436</v>
      </c>
      <c r="K710" s="409" t="str">
        <f t="shared" si="95"/>
        <v>A=(Ancho x Largo)* Cant</v>
      </c>
      <c r="L710" s="410" t="str">
        <f t="shared" si="106"/>
        <v>M2</v>
      </c>
      <c r="M710" s="411">
        <f t="shared" si="113"/>
        <v>6.15</v>
      </c>
      <c r="N710" s="412"/>
      <c r="O710" s="442">
        <f>+T710/2.25</f>
        <v>2.7333333333333334</v>
      </c>
      <c r="P710" s="442">
        <v>2.25</v>
      </c>
      <c r="Q710" s="412"/>
      <c r="R710" s="411"/>
      <c r="S710" s="413">
        <f t="shared" si="97"/>
        <v>1</v>
      </c>
      <c r="T710" s="414">
        <f>+HLOOKUP(B636,[238]Hoja1!$2:$78,33,FALSE)</f>
        <v>6.15</v>
      </c>
      <c r="Y710" s="439">
        <f t="shared" si="109"/>
        <v>0</v>
      </c>
      <c r="Z710" s="439">
        <f t="shared" si="98"/>
        <v>-6.15</v>
      </c>
    </row>
    <row r="711" spans="1:26" ht="25.5">
      <c r="A711" s="453">
        <f t="shared" si="99"/>
        <v>3.05</v>
      </c>
      <c r="B711" s="383">
        <v>26</v>
      </c>
      <c r="D711" s="406"/>
      <c r="E711" s="407"/>
      <c r="F711" s="407"/>
      <c r="G711" s="407"/>
      <c r="H711" s="407"/>
      <c r="I711" s="407"/>
      <c r="J711" s="408" t="s">
        <v>437</v>
      </c>
      <c r="K711" s="409" t="str">
        <f t="shared" si="95"/>
        <v>A=(Ancho x Largo)* Cant</v>
      </c>
      <c r="L711" s="410" t="str">
        <f>+L700</f>
        <v>M2</v>
      </c>
      <c r="M711" s="411"/>
      <c r="N711" s="412"/>
      <c r="O711" s="442"/>
      <c r="P711" s="442"/>
      <c r="Q711" s="412"/>
      <c r="R711" s="411"/>
      <c r="S711" s="413" t="str">
        <f t="shared" si="97"/>
        <v/>
      </c>
      <c r="T711" s="414">
        <f>+HLOOKUP(B637,[238]Hoja1!$2:$78,33,FALSE)</f>
        <v>0</v>
      </c>
      <c r="Y711" s="439">
        <f t="shared" si="109"/>
        <v>0</v>
      </c>
      <c r="Z711" s="439">
        <f t="shared" si="98"/>
        <v>0</v>
      </c>
    </row>
    <row r="712" spans="1:26" ht="25.5">
      <c r="A712" s="453">
        <f t="shared" si="99"/>
        <v>3.05</v>
      </c>
      <c r="B712" s="383">
        <v>27</v>
      </c>
      <c r="D712" s="406"/>
      <c r="E712" s="407"/>
      <c r="F712" s="407"/>
      <c r="G712" s="407"/>
      <c r="H712" s="407"/>
      <c r="I712" s="407"/>
      <c r="J712" s="408" t="s">
        <v>438</v>
      </c>
      <c r="K712" s="409" t="str">
        <f t="shared" si="95"/>
        <v>A=(Ancho x Largo)* Cant</v>
      </c>
      <c r="L712" s="410" t="str">
        <f t="shared" ref="L712:L720" si="115">+L711</f>
        <v>M2</v>
      </c>
      <c r="M712" s="411">
        <f t="shared" ref="M712" si="116">+O712*P712</f>
        <v>5.93</v>
      </c>
      <c r="N712" s="412"/>
      <c r="O712" s="442">
        <f t="shared" ref="O712" si="117">+T712/2.5</f>
        <v>2.3719999999999999</v>
      </c>
      <c r="P712" s="442">
        <v>2.5</v>
      </c>
      <c r="Q712" s="412"/>
      <c r="R712" s="411"/>
      <c r="S712" s="413">
        <f t="shared" si="97"/>
        <v>1</v>
      </c>
      <c r="T712" s="414">
        <f>+HLOOKUP(B638,[238]Hoja1!$2:$78,33,FALSE)</f>
        <v>5.93</v>
      </c>
      <c r="Y712" s="439">
        <f t="shared" si="109"/>
        <v>0</v>
      </c>
      <c r="Z712" s="439">
        <f t="shared" si="98"/>
        <v>-5.93</v>
      </c>
    </row>
    <row r="713" spans="1:26" ht="25.5">
      <c r="A713" s="453">
        <f t="shared" si="99"/>
        <v>3.05</v>
      </c>
      <c r="B713" s="383">
        <v>28</v>
      </c>
      <c r="D713" s="406"/>
      <c r="E713" s="440"/>
      <c r="F713" s="407"/>
      <c r="G713" s="407"/>
      <c r="H713" s="407"/>
      <c r="I713" s="437"/>
      <c r="J713" s="408" t="s">
        <v>439</v>
      </c>
      <c r="K713" s="409" t="str">
        <f t="shared" si="95"/>
        <v>A=(Ancho x Largo)* Cant</v>
      </c>
      <c r="L713" s="410" t="str">
        <f t="shared" si="115"/>
        <v>M2</v>
      </c>
      <c r="M713" s="411"/>
      <c r="N713" s="412"/>
      <c r="O713" s="442"/>
      <c r="P713" s="442"/>
      <c r="Q713" s="413"/>
      <c r="R713" s="411"/>
      <c r="S713" s="413" t="str">
        <f t="shared" si="97"/>
        <v/>
      </c>
      <c r="T713" s="414">
        <f>+HLOOKUP(B639,[238]Hoja1!$2:$78,33,FALSE)</f>
        <v>0</v>
      </c>
      <c r="Y713" s="439">
        <f t="shared" si="109"/>
        <v>0</v>
      </c>
      <c r="Z713" s="439">
        <f t="shared" si="98"/>
        <v>0</v>
      </c>
    </row>
    <row r="714" spans="1:26" ht="25.5">
      <c r="A714" s="453">
        <f t="shared" si="99"/>
        <v>3.05</v>
      </c>
      <c r="B714" s="383">
        <v>29</v>
      </c>
      <c r="D714" s="406"/>
      <c r="E714" s="407"/>
      <c r="F714" s="407"/>
      <c r="G714" s="407"/>
      <c r="H714" s="407"/>
      <c r="I714" s="407"/>
      <c r="J714" s="408" t="s">
        <v>440</v>
      </c>
      <c r="K714" s="409" t="str">
        <f t="shared" si="95"/>
        <v>A=(Ancho x Largo)* Cant</v>
      </c>
      <c r="L714" s="410" t="str">
        <f t="shared" si="115"/>
        <v>M2</v>
      </c>
      <c r="M714" s="411"/>
      <c r="N714" s="412"/>
      <c r="O714" s="443"/>
      <c r="P714" s="443"/>
      <c r="Q714" s="412"/>
      <c r="R714" s="411"/>
      <c r="S714" s="413" t="str">
        <f t="shared" si="97"/>
        <v/>
      </c>
      <c r="T714" s="414">
        <f>+HLOOKUP(B640,[238]Hoja1!$2:$78,33,FALSE)</f>
        <v>0</v>
      </c>
      <c r="Y714" s="439">
        <f t="shared" si="109"/>
        <v>0</v>
      </c>
      <c r="Z714" s="439">
        <f t="shared" si="98"/>
        <v>0</v>
      </c>
    </row>
    <row r="715" spans="1:26" ht="25.5">
      <c r="A715" s="453">
        <f t="shared" si="99"/>
        <v>3.05</v>
      </c>
      <c r="B715" s="383">
        <v>30</v>
      </c>
      <c r="D715" s="406"/>
      <c r="E715" s="407"/>
      <c r="F715" s="407"/>
      <c r="G715" s="407"/>
      <c r="H715" s="407"/>
      <c r="I715" s="407"/>
      <c r="J715" s="408" t="s">
        <v>441</v>
      </c>
      <c r="K715" s="409" t="str">
        <f t="shared" si="95"/>
        <v>A=(Ancho x Largo)* Cant</v>
      </c>
      <c r="L715" s="410" t="str">
        <f t="shared" si="115"/>
        <v>M2</v>
      </c>
      <c r="M715" s="411">
        <f t="shared" ref="M715:M717" si="118">+O715*P715</f>
        <v>8.5</v>
      </c>
      <c r="N715" s="412"/>
      <c r="O715" s="442">
        <f>+T715/3</f>
        <v>2.8333333333333335</v>
      </c>
      <c r="P715" s="442">
        <v>3</v>
      </c>
      <c r="Q715" s="412"/>
      <c r="R715" s="411"/>
      <c r="S715" s="413">
        <f t="shared" si="97"/>
        <v>1</v>
      </c>
      <c r="T715" s="414">
        <f>+HLOOKUP(B641,[238]Hoja1!$2:$78,33,FALSE)</f>
        <v>8.5</v>
      </c>
      <c r="Y715" s="439">
        <f t="shared" si="109"/>
        <v>0</v>
      </c>
      <c r="Z715" s="439">
        <f t="shared" si="98"/>
        <v>-8.5</v>
      </c>
    </row>
    <row r="716" spans="1:26" ht="25.5">
      <c r="A716" s="453">
        <f t="shared" si="99"/>
        <v>3.05</v>
      </c>
      <c r="B716" s="383">
        <v>31</v>
      </c>
      <c r="D716" s="406"/>
      <c r="E716" s="407"/>
      <c r="F716" s="407"/>
      <c r="G716" s="407"/>
      <c r="H716" s="407"/>
      <c r="I716" s="407"/>
      <c r="J716" s="408" t="s">
        <v>442</v>
      </c>
      <c r="K716" s="409" t="str">
        <f t="shared" si="95"/>
        <v>A=(Ancho x Largo)* Cant</v>
      </c>
      <c r="L716" s="410" t="str">
        <f t="shared" si="115"/>
        <v>M2</v>
      </c>
      <c r="M716" s="411"/>
      <c r="N716" s="412"/>
      <c r="O716" s="442"/>
      <c r="P716" s="442"/>
      <c r="Q716" s="413"/>
      <c r="R716" s="411"/>
      <c r="S716" s="413" t="str">
        <f t="shared" si="97"/>
        <v/>
      </c>
      <c r="T716" s="414">
        <f>+HLOOKUP(B642,[238]Hoja1!$2:$78,33,FALSE)</f>
        <v>0</v>
      </c>
      <c r="Y716" s="439">
        <f t="shared" si="109"/>
        <v>0</v>
      </c>
      <c r="Z716" s="439">
        <f t="shared" si="98"/>
        <v>0</v>
      </c>
    </row>
    <row r="717" spans="1:26" ht="25.5">
      <c r="A717" s="453">
        <f t="shared" si="99"/>
        <v>3.05</v>
      </c>
      <c r="B717" s="383">
        <v>32</v>
      </c>
      <c r="D717" s="406"/>
      <c r="E717" s="407"/>
      <c r="F717" s="407"/>
      <c r="G717" s="407"/>
      <c r="H717" s="407"/>
      <c r="I717" s="407"/>
      <c r="J717" s="408" t="s">
        <v>443</v>
      </c>
      <c r="K717" s="409" t="str">
        <f t="shared" si="95"/>
        <v>A=(Ancho x Largo)* Cant</v>
      </c>
      <c r="L717" s="410" t="str">
        <f t="shared" si="115"/>
        <v>M2</v>
      </c>
      <c r="M717" s="411">
        <f t="shared" si="118"/>
        <v>6.9176000000000002</v>
      </c>
      <c r="N717" s="412"/>
      <c r="O717" s="442">
        <f>+T717/2.8</f>
        <v>2.4705714285714286</v>
      </c>
      <c r="P717" s="442">
        <v>2.8</v>
      </c>
      <c r="Q717" s="412"/>
      <c r="R717" s="411"/>
      <c r="S717" s="413">
        <f t="shared" si="97"/>
        <v>1</v>
      </c>
      <c r="T717" s="414">
        <f>+HLOOKUP(B643,[238]Hoja1!$2:$78,33,FALSE)</f>
        <v>6.9176000000000002</v>
      </c>
      <c r="Y717" s="439">
        <f t="shared" si="109"/>
        <v>0</v>
      </c>
      <c r="Z717" s="439">
        <f t="shared" si="98"/>
        <v>-6.9176000000000002</v>
      </c>
    </row>
    <row r="718" spans="1:26" ht="25.5">
      <c r="A718" s="453">
        <f t="shared" si="99"/>
        <v>3.05</v>
      </c>
      <c r="B718" s="383">
        <v>33</v>
      </c>
      <c r="D718" s="406"/>
      <c r="E718" s="407"/>
      <c r="F718" s="407"/>
      <c r="G718" s="407"/>
      <c r="H718" s="407"/>
      <c r="I718" s="407"/>
      <c r="J718" s="408" t="s">
        <v>444</v>
      </c>
      <c r="K718" s="409" t="str">
        <f t="shared" si="95"/>
        <v>A=(Ancho x Largo)* Cant</v>
      </c>
      <c r="L718" s="410" t="str">
        <f t="shared" si="115"/>
        <v>M2</v>
      </c>
      <c r="M718" s="411"/>
      <c r="N718" s="412"/>
      <c r="O718" s="442"/>
      <c r="P718" s="442"/>
      <c r="Q718" s="412"/>
      <c r="R718" s="411"/>
      <c r="S718" s="413" t="str">
        <f t="shared" si="97"/>
        <v/>
      </c>
      <c r="T718" s="414">
        <f>+HLOOKUP(B644,[238]Hoja1!$2:$78,33,FALSE)</f>
        <v>0</v>
      </c>
      <c r="Y718" s="439">
        <f t="shared" si="109"/>
        <v>0</v>
      </c>
      <c r="Z718" s="439">
        <f t="shared" si="98"/>
        <v>0</v>
      </c>
    </row>
    <row r="719" spans="1:26" ht="25.5">
      <c r="A719" s="453">
        <f t="shared" si="99"/>
        <v>3.05</v>
      </c>
      <c r="B719" s="383">
        <v>34</v>
      </c>
      <c r="D719" s="406"/>
      <c r="E719" s="407"/>
      <c r="F719" s="407"/>
      <c r="G719" s="407"/>
      <c r="H719" s="407"/>
      <c r="I719" s="407"/>
      <c r="J719" s="408" t="s">
        <v>445</v>
      </c>
      <c r="K719" s="409" t="str">
        <f t="shared" si="95"/>
        <v>A=(Ancho x Largo)* Cant</v>
      </c>
      <c r="L719" s="410" t="str">
        <f t="shared" si="115"/>
        <v>M2</v>
      </c>
      <c r="M719" s="411"/>
      <c r="N719" s="412"/>
      <c r="O719" s="441"/>
      <c r="P719" s="441"/>
      <c r="Q719" s="412"/>
      <c r="R719" s="411"/>
      <c r="S719" s="413" t="str">
        <f t="shared" si="97"/>
        <v/>
      </c>
      <c r="T719" s="414">
        <f>+HLOOKUP(B645,[238]Hoja1!$2:$78,33,FALSE)</f>
        <v>0</v>
      </c>
      <c r="Y719" s="439">
        <f>+O719*P719</f>
        <v>0</v>
      </c>
      <c r="Z719" s="439">
        <f>+Y719-M719</f>
        <v>0</v>
      </c>
    </row>
    <row r="720" spans="1:26" ht="25.5">
      <c r="A720" s="453">
        <f t="shared" si="99"/>
        <v>3.05</v>
      </c>
      <c r="B720" s="383">
        <v>35</v>
      </c>
      <c r="D720" s="406"/>
      <c r="E720" s="440"/>
      <c r="F720" s="407"/>
      <c r="G720" s="407"/>
      <c r="H720" s="407"/>
      <c r="I720" s="437"/>
      <c r="J720" s="408" t="s">
        <v>446</v>
      </c>
      <c r="K720" s="409" t="str">
        <f t="shared" si="95"/>
        <v>A=(Ancho x Largo)* Cant</v>
      </c>
      <c r="L720" s="410" t="str">
        <f t="shared" si="115"/>
        <v>M2</v>
      </c>
      <c r="M720" s="411"/>
      <c r="N720" s="412"/>
      <c r="O720" s="442"/>
      <c r="P720" s="442"/>
      <c r="Q720" s="413"/>
      <c r="R720" s="411"/>
      <c r="S720" s="413" t="str">
        <f t="shared" si="97"/>
        <v/>
      </c>
      <c r="T720" s="414">
        <f>+HLOOKUP(B646,[238]Hoja1!$2:$78,33,FALSE)</f>
        <v>0</v>
      </c>
      <c r="Y720" s="439">
        <f>+O720*P720*Q720</f>
        <v>0</v>
      </c>
      <c r="Z720" s="439">
        <f t="shared" ref="Z720:Z728" si="119">+Y720-M720</f>
        <v>0</v>
      </c>
    </row>
    <row r="721" spans="1:26" ht="25.5">
      <c r="A721" s="453">
        <f t="shared" si="99"/>
        <v>3.05</v>
      </c>
      <c r="B721" s="383">
        <v>36</v>
      </c>
      <c r="D721" s="406"/>
      <c r="E721" s="407"/>
      <c r="F721" s="407"/>
      <c r="G721" s="407"/>
      <c r="H721" s="407"/>
      <c r="I721" s="407"/>
      <c r="J721" s="408" t="s">
        <v>447</v>
      </c>
      <c r="K721" s="409" t="str">
        <f t="shared" si="95"/>
        <v>A=(Ancho x Largo)* Cant</v>
      </c>
      <c r="L721" s="410" t="str">
        <f>+L710</f>
        <v>M2</v>
      </c>
      <c r="M721" s="411">
        <f t="shared" ref="M721:M722" si="120">+O721*P721</f>
        <v>6.9176000000000002</v>
      </c>
      <c r="N721" s="412"/>
      <c r="O721" s="442">
        <f>+T721/2.8</f>
        <v>2.4705714285714286</v>
      </c>
      <c r="P721" s="442">
        <v>2.8</v>
      </c>
      <c r="Q721" s="412"/>
      <c r="R721" s="411"/>
      <c r="S721" s="413">
        <f t="shared" si="97"/>
        <v>1</v>
      </c>
      <c r="T721" s="414">
        <f>+HLOOKUP(B647,[238]Hoja1!$2:$78,33,FALSE)</f>
        <v>6.9176000000000002</v>
      </c>
      <c r="Y721" s="439">
        <f t="shared" ref="Y721:Y728" si="121">+O721*P721*Q721</f>
        <v>0</v>
      </c>
      <c r="Z721" s="439">
        <f t="shared" si="119"/>
        <v>-6.9176000000000002</v>
      </c>
    </row>
    <row r="722" spans="1:26" ht="25.5">
      <c r="A722" s="453">
        <f t="shared" si="99"/>
        <v>3.05</v>
      </c>
      <c r="B722" s="383">
        <v>37</v>
      </c>
      <c r="D722" s="406"/>
      <c r="E722" s="407"/>
      <c r="F722" s="407"/>
      <c r="G722" s="407"/>
      <c r="H722" s="407"/>
      <c r="I722" s="407"/>
      <c r="J722" s="408" t="s">
        <v>448</v>
      </c>
      <c r="K722" s="409" t="str">
        <f t="shared" si="95"/>
        <v>A=(Ancho x Largo)* Cant</v>
      </c>
      <c r="L722" s="410" t="str">
        <f t="shared" ref="L722:L728" si="122">+L721</f>
        <v>M2</v>
      </c>
      <c r="M722" s="411">
        <f t="shared" si="120"/>
        <v>6.9160000000000004</v>
      </c>
      <c r="N722" s="412"/>
      <c r="O722" s="442">
        <f>+T722/2.8</f>
        <v>2.4700000000000002</v>
      </c>
      <c r="P722" s="442">
        <v>2.8</v>
      </c>
      <c r="Q722" s="449"/>
      <c r="R722" s="411"/>
      <c r="S722" s="413">
        <f t="shared" si="97"/>
        <v>1</v>
      </c>
      <c r="T722" s="414">
        <f>+HLOOKUP(B648,[238]Hoja1!$2:$78,33,FALSE)</f>
        <v>6.9160000000000004</v>
      </c>
      <c r="Y722" s="439">
        <f t="shared" si="121"/>
        <v>0</v>
      </c>
      <c r="Z722" s="439">
        <f t="shared" si="119"/>
        <v>-6.9160000000000004</v>
      </c>
    </row>
    <row r="723" spans="1:26" ht="25.5">
      <c r="A723" s="453">
        <f t="shared" si="99"/>
        <v>3.05</v>
      </c>
      <c r="B723" s="383">
        <v>38</v>
      </c>
      <c r="D723" s="406"/>
      <c r="E723" s="440"/>
      <c r="F723" s="407"/>
      <c r="G723" s="407"/>
      <c r="H723" s="407"/>
      <c r="I723" s="437"/>
      <c r="J723" s="408" t="s">
        <v>449</v>
      </c>
      <c r="K723" s="409" t="str">
        <f t="shared" si="95"/>
        <v>A=(Ancho x Largo)* Cant</v>
      </c>
      <c r="L723" s="410" t="str">
        <f t="shared" si="122"/>
        <v>M2</v>
      </c>
      <c r="M723" s="411"/>
      <c r="N723" s="412"/>
      <c r="O723" s="442"/>
      <c r="P723" s="442"/>
      <c r="Q723" s="413"/>
      <c r="R723" s="411"/>
      <c r="S723" s="413" t="str">
        <f t="shared" si="97"/>
        <v/>
      </c>
      <c r="T723" s="414">
        <f>+HLOOKUP(B649,[238]Hoja1!$2:$78,33,FALSE)</f>
        <v>0</v>
      </c>
      <c r="Y723" s="439">
        <f t="shared" si="121"/>
        <v>0</v>
      </c>
      <c r="Z723" s="439">
        <f t="shared" si="119"/>
        <v>0</v>
      </c>
    </row>
    <row r="724" spans="1:26" ht="25.5">
      <c r="A724" s="453">
        <f t="shared" si="99"/>
        <v>3.05</v>
      </c>
      <c r="B724" s="383">
        <v>39</v>
      </c>
      <c r="D724" s="406"/>
      <c r="E724" s="407"/>
      <c r="F724" s="407"/>
      <c r="G724" s="407"/>
      <c r="H724" s="407"/>
      <c r="I724" s="407"/>
      <c r="J724" s="408" t="s">
        <v>450</v>
      </c>
      <c r="K724" s="409" t="str">
        <f t="shared" si="95"/>
        <v>A=(Ancho x Largo)* Cant</v>
      </c>
      <c r="L724" s="410" t="str">
        <f t="shared" si="122"/>
        <v>M2</v>
      </c>
      <c r="M724" s="411"/>
      <c r="N724" s="412"/>
      <c r="O724" s="441"/>
      <c r="P724" s="441"/>
      <c r="Q724" s="412"/>
      <c r="R724" s="411"/>
      <c r="S724" s="413" t="str">
        <f t="shared" si="97"/>
        <v/>
      </c>
      <c r="T724" s="414">
        <f>+HLOOKUP(B650,[238]Hoja1!$2:$78,33,FALSE)</f>
        <v>0</v>
      </c>
      <c r="Y724" s="439">
        <f t="shared" si="121"/>
        <v>0</v>
      </c>
      <c r="Z724" s="439">
        <f t="shared" si="119"/>
        <v>0</v>
      </c>
    </row>
    <row r="725" spans="1:26" ht="25.5">
      <c r="A725" s="453">
        <f t="shared" si="99"/>
        <v>3.05</v>
      </c>
      <c r="B725" s="383">
        <v>40</v>
      </c>
      <c r="D725" s="406"/>
      <c r="E725" s="407"/>
      <c r="F725" s="407"/>
      <c r="G725" s="407"/>
      <c r="H725" s="407"/>
      <c r="I725" s="407"/>
      <c r="J725" s="408" t="s">
        <v>451</v>
      </c>
      <c r="K725" s="409" t="str">
        <f t="shared" si="95"/>
        <v>A=(Ancho x Largo)* Cant</v>
      </c>
      <c r="L725" s="410" t="str">
        <f t="shared" si="122"/>
        <v>M2</v>
      </c>
      <c r="M725" s="411">
        <f>+T725</f>
        <v>17.1876</v>
      </c>
      <c r="N725" s="412"/>
      <c r="O725" s="442"/>
      <c r="P725" s="442"/>
      <c r="Q725" s="412"/>
      <c r="R725" s="411"/>
      <c r="S725" s="413">
        <f t="shared" si="97"/>
        <v>1</v>
      </c>
      <c r="T725" s="414">
        <f>+HLOOKUP(B651,[238]Hoja1!$2:$78,33,FALSE)</f>
        <v>17.1876</v>
      </c>
      <c r="Y725" s="439">
        <f t="shared" si="121"/>
        <v>0</v>
      </c>
      <c r="Z725" s="439">
        <f t="shared" si="119"/>
        <v>-17.1876</v>
      </c>
    </row>
    <row r="726" spans="1:26" ht="25.5">
      <c r="A726" s="453">
        <f t="shared" si="99"/>
        <v>3.05</v>
      </c>
      <c r="B726" s="383">
        <v>41</v>
      </c>
      <c r="D726" s="406"/>
      <c r="E726" s="407"/>
      <c r="F726" s="407"/>
      <c r="G726" s="407"/>
      <c r="H726" s="407"/>
      <c r="I726" s="407"/>
      <c r="J726" s="408" t="s">
        <v>452</v>
      </c>
      <c r="K726" s="409" t="str">
        <f t="shared" si="95"/>
        <v>A=(Ancho x Largo)* Cant</v>
      </c>
      <c r="L726" s="410" t="str">
        <f t="shared" si="122"/>
        <v>M2</v>
      </c>
      <c r="M726" s="411">
        <f>+O726*P726</f>
        <v>2.66</v>
      </c>
      <c r="N726" s="412"/>
      <c r="O726" s="442">
        <v>0.95</v>
      </c>
      <c r="P726" s="442">
        <f>+T726/0.95</f>
        <v>2.8000000000000003</v>
      </c>
      <c r="Q726" s="413"/>
      <c r="R726" s="411"/>
      <c r="S726" s="413">
        <f t="shared" si="97"/>
        <v>1</v>
      </c>
      <c r="T726" s="414">
        <f>+HLOOKUP(B652,[238]Hoja1!$2:$78,33,FALSE)</f>
        <v>2.66</v>
      </c>
      <c r="Y726" s="439">
        <f t="shared" si="121"/>
        <v>0</v>
      </c>
      <c r="Z726" s="439">
        <f t="shared" si="119"/>
        <v>-2.66</v>
      </c>
    </row>
    <row r="727" spans="1:26" ht="25.5">
      <c r="A727" s="453">
        <f t="shared" si="99"/>
        <v>3.05</v>
      </c>
      <c r="B727" s="383">
        <v>42</v>
      </c>
      <c r="D727" s="406"/>
      <c r="E727" s="407"/>
      <c r="F727" s="407"/>
      <c r="G727" s="407"/>
      <c r="H727" s="407"/>
      <c r="I727" s="407"/>
      <c r="J727" s="408" t="s">
        <v>453</v>
      </c>
      <c r="K727" s="409" t="str">
        <f t="shared" si="95"/>
        <v>A=(Ancho x Largo)* Cant</v>
      </c>
      <c r="L727" s="410" t="str">
        <f t="shared" si="122"/>
        <v>M2</v>
      </c>
      <c r="M727" s="411"/>
      <c r="N727" s="412"/>
      <c r="O727" s="442"/>
      <c r="P727" s="442"/>
      <c r="Q727" s="412"/>
      <c r="R727" s="411"/>
      <c r="S727" s="413" t="str">
        <f t="shared" si="97"/>
        <v/>
      </c>
      <c r="T727" s="414">
        <f>+HLOOKUP(B653,[238]Hoja1!$2:$78,33,FALSE)</f>
        <v>0</v>
      </c>
      <c r="Y727" s="439">
        <f t="shared" si="121"/>
        <v>0</v>
      </c>
      <c r="Z727" s="439">
        <f t="shared" si="119"/>
        <v>0</v>
      </c>
    </row>
    <row r="728" spans="1:26" ht="26.25" thickBot="1">
      <c r="A728" s="453">
        <f t="shared" si="99"/>
        <v>3.05</v>
      </c>
      <c r="B728" s="383">
        <v>43</v>
      </c>
      <c r="D728" s="406"/>
      <c r="E728" s="407"/>
      <c r="F728" s="407"/>
      <c r="G728" s="407"/>
      <c r="H728" s="407"/>
      <c r="I728" s="407"/>
      <c r="J728" s="408" t="s">
        <v>454</v>
      </c>
      <c r="K728" s="409" t="str">
        <f t="shared" si="95"/>
        <v>A=(Ancho x Largo)* Cant</v>
      </c>
      <c r="L728" s="410" t="str">
        <f t="shared" si="122"/>
        <v>M2</v>
      </c>
      <c r="M728" s="411"/>
      <c r="N728" s="412"/>
      <c r="O728" s="442"/>
      <c r="P728" s="442"/>
      <c r="Q728" s="412"/>
      <c r="R728" s="411"/>
      <c r="S728" s="413" t="str">
        <f t="shared" si="97"/>
        <v/>
      </c>
      <c r="T728" s="414">
        <f>+HLOOKUP(B654,[238]Hoja1!$2:$78,33,FALSE)</f>
        <v>0</v>
      </c>
      <c r="Y728" s="439">
        <f t="shared" si="121"/>
        <v>0</v>
      </c>
      <c r="Z728" s="439">
        <f t="shared" si="119"/>
        <v>0</v>
      </c>
    </row>
    <row r="729" spans="1:26">
      <c r="D729" s="384"/>
      <c r="E729" s="419"/>
      <c r="F729" s="420"/>
      <c r="G729" s="421"/>
      <c r="H729" s="421"/>
      <c r="I729" s="421"/>
      <c r="J729" s="421"/>
      <c r="K729" s="422"/>
      <c r="L729" s="421"/>
      <c r="M729" s="421"/>
      <c r="N729" s="421"/>
      <c r="O729" s="421"/>
      <c r="P729" s="421"/>
      <c r="Q729" s="421"/>
      <c r="R729" s="421"/>
      <c r="S729" s="422"/>
      <c r="T729" s="423"/>
    </row>
    <row r="730" spans="1:26">
      <c r="D730" s="396"/>
      <c r="E730" s="397"/>
      <c r="F730" s="424"/>
      <c r="G730" s="425"/>
      <c r="H730" s="425"/>
      <c r="I730" s="425"/>
      <c r="J730" s="425"/>
      <c r="K730" s="398"/>
      <c r="L730" s="425"/>
      <c r="M730" s="425"/>
      <c r="N730" s="397"/>
      <c r="O730" s="397"/>
      <c r="P730" s="562" t="s">
        <v>455</v>
      </c>
      <c r="Q730" s="563"/>
      <c r="R730" s="564"/>
      <c r="S730" s="426"/>
      <c r="T730" s="427">
        <f>ROUND(SUM(T686:T729),2)</f>
        <v>235.59</v>
      </c>
    </row>
    <row r="731" spans="1:26">
      <c r="D731" s="396"/>
      <c r="E731" s="397"/>
      <c r="F731" s="424"/>
      <c r="G731" s="425"/>
      <c r="H731" s="425"/>
      <c r="I731" s="425"/>
      <c r="J731" s="425"/>
      <c r="K731" s="398"/>
      <c r="L731" s="425"/>
      <c r="M731" s="425"/>
      <c r="N731" s="428"/>
      <c r="O731" s="428"/>
      <c r="P731" s="429"/>
      <c r="Q731" s="425"/>
      <c r="R731" s="425"/>
      <c r="S731" s="430"/>
      <c r="T731" s="431"/>
    </row>
    <row r="732" spans="1:26">
      <c r="D732" s="565" t="e">
        <v>#REF!</v>
      </c>
      <c r="E732" s="566"/>
      <c r="F732" s="566"/>
      <c r="G732" s="566"/>
      <c r="H732" s="566"/>
      <c r="I732" s="566"/>
      <c r="J732" s="566"/>
      <c r="K732" s="566"/>
      <c r="L732" s="566"/>
      <c r="M732" s="566"/>
      <c r="N732" s="566"/>
      <c r="O732" s="567"/>
      <c r="P732" s="568" t="s">
        <v>422</v>
      </c>
      <c r="Q732" s="568"/>
      <c r="R732" s="568"/>
      <c r="S732" s="426"/>
      <c r="T732" s="427">
        <f>T730</f>
        <v>235.59</v>
      </c>
    </row>
    <row r="733" spans="1:26">
      <c r="D733" s="396"/>
      <c r="E733" s="397"/>
      <c r="F733" s="424"/>
      <c r="G733" s="425"/>
      <c r="H733" s="425"/>
      <c r="I733" s="425"/>
      <c r="J733" s="425"/>
      <c r="K733" s="398"/>
      <c r="L733" s="425"/>
      <c r="M733" s="425"/>
      <c r="N733" s="428"/>
      <c r="O733" s="428"/>
      <c r="P733" s="429"/>
      <c r="Q733" s="425"/>
      <c r="R733" s="398"/>
      <c r="S733" s="398"/>
      <c r="T733" s="432"/>
    </row>
    <row r="734" spans="1:26">
      <c r="D734" s="396"/>
      <c r="E734" s="397"/>
      <c r="F734" s="424"/>
      <c r="G734" s="425"/>
      <c r="H734" s="425"/>
      <c r="I734" s="425"/>
      <c r="J734" s="425"/>
      <c r="K734" s="398"/>
      <c r="L734" s="425"/>
      <c r="M734" s="425"/>
      <c r="N734" s="428"/>
      <c r="O734" s="428"/>
      <c r="P734" s="429"/>
      <c r="Q734" s="425"/>
      <c r="R734" s="398"/>
      <c r="S734" s="398"/>
      <c r="T734" s="432"/>
    </row>
    <row r="735" spans="1:26">
      <c r="D735" s="569" t="s">
        <v>423</v>
      </c>
      <c r="E735" s="570"/>
      <c r="F735" s="570"/>
      <c r="G735" s="570"/>
      <c r="H735" s="570"/>
      <c r="I735" s="570"/>
      <c r="J735" s="570"/>
      <c r="K735" s="571"/>
      <c r="L735" s="433" t="s">
        <v>424</v>
      </c>
      <c r="M735" s="434"/>
      <c r="N735" s="434"/>
      <c r="O735" s="434"/>
      <c r="P735" s="434"/>
      <c r="Q735" s="434"/>
      <c r="R735" s="434"/>
      <c r="S735" s="434"/>
      <c r="T735" s="435"/>
    </row>
    <row r="736" spans="1:26">
      <c r="D736" s="542"/>
      <c r="E736" s="543"/>
      <c r="F736" s="543"/>
      <c r="G736" s="543"/>
      <c r="H736" s="436"/>
      <c r="I736" s="436"/>
      <c r="J736" s="436"/>
      <c r="K736" s="447"/>
      <c r="L736" s="436"/>
      <c r="M736" s="407"/>
      <c r="N736" s="407"/>
      <c r="O736" s="407"/>
      <c r="P736" s="407"/>
      <c r="Q736" s="407"/>
      <c r="R736" s="407"/>
      <c r="S736" s="407"/>
      <c r="T736" s="437"/>
    </row>
    <row r="737" spans="4:20">
      <c r="D737" s="542"/>
      <c r="E737" s="543"/>
      <c r="F737" s="543"/>
      <c r="G737" s="543"/>
      <c r="H737" s="436"/>
      <c r="I737" s="436"/>
      <c r="J737" s="436"/>
      <c r="K737" s="447"/>
      <c r="L737" s="436"/>
      <c r="M737" s="407"/>
      <c r="N737" s="407"/>
      <c r="O737" s="407"/>
      <c r="P737" s="407"/>
      <c r="Q737" s="407"/>
      <c r="R737" s="407"/>
      <c r="S737" s="407"/>
      <c r="T737" s="437"/>
    </row>
    <row r="738" spans="4:20">
      <c r="D738" s="542" t="s">
        <v>425</v>
      </c>
      <c r="E738" s="543"/>
      <c r="F738" s="543" t="s">
        <v>425</v>
      </c>
      <c r="G738" s="543"/>
      <c r="H738" s="543" t="s">
        <v>425</v>
      </c>
      <c r="I738" s="543"/>
      <c r="J738" s="543" t="s">
        <v>425</v>
      </c>
      <c r="K738" s="544"/>
      <c r="L738" s="545" t="s">
        <v>426</v>
      </c>
      <c r="M738" s="546"/>
      <c r="N738" s="546"/>
      <c r="O738" s="546"/>
      <c r="P738" s="546"/>
      <c r="Q738" s="546"/>
      <c r="R738" s="546"/>
      <c r="S738" s="546"/>
      <c r="T738" s="547"/>
    </row>
    <row r="739" spans="4:20">
      <c r="D739" s="548" t="str">
        <f>+[42]DATOS!D$8</f>
        <v>HELMER EDUARDO BECERRA SANTANDER</v>
      </c>
      <c r="E739" s="549"/>
      <c r="F739" s="549" t="s">
        <v>427</v>
      </c>
      <c r="G739" s="549"/>
      <c r="H739" s="549" t="s">
        <v>427</v>
      </c>
      <c r="I739" s="549"/>
      <c r="J739" s="549" t="s">
        <v>427</v>
      </c>
      <c r="K739" s="550"/>
      <c r="L739" s="551" t="str">
        <f>+[42]DATOS!D$11</f>
        <v>JESUS IVAN QUIÑONES RUEDA</v>
      </c>
      <c r="M739" s="549"/>
      <c r="N739" s="549"/>
      <c r="O739" s="549"/>
      <c r="P739" s="549"/>
      <c r="Q739" s="549"/>
      <c r="R739" s="549"/>
      <c r="S739" s="549"/>
      <c r="T739" s="552"/>
    </row>
    <row r="740" spans="4:20">
      <c r="D740" s="553" t="str">
        <f>+$D$72</f>
        <v>APOYO SEC. DE PLANEACION Y OBRAS PÚBLICAS</v>
      </c>
      <c r="E740" s="554"/>
      <c r="F740" s="554" t="s">
        <v>428</v>
      </c>
      <c r="G740" s="554"/>
      <c r="H740" s="554" t="s">
        <v>428</v>
      </c>
      <c r="I740" s="554"/>
      <c r="J740" s="554" t="s">
        <v>428</v>
      </c>
      <c r="K740" s="555"/>
      <c r="L740" s="556" t="str">
        <f>+$L$72</f>
        <v>SECRETARIO DE PLANEACION Y OBRAS PÚBLICAS</v>
      </c>
      <c r="M740" s="554"/>
      <c r="N740" s="554"/>
      <c r="O740" s="554"/>
      <c r="P740" s="554"/>
      <c r="Q740" s="554"/>
      <c r="R740" s="554"/>
      <c r="S740" s="554"/>
      <c r="T740" s="557"/>
    </row>
    <row r="741" spans="4:20">
      <c r="D741" s="406"/>
      <c r="E741" s="407"/>
      <c r="F741" s="407"/>
      <c r="G741" s="407"/>
      <c r="H741" s="407"/>
      <c r="I741" s="407"/>
      <c r="J741" s="407"/>
      <c r="K741" s="407"/>
      <c r="L741" s="407"/>
      <c r="M741" s="407"/>
      <c r="N741" s="407"/>
      <c r="O741" s="407"/>
      <c r="P741" s="407"/>
      <c r="Q741" s="407"/>
      <c r="R741" s="407"/>
      <c r="S741" s="407"/>
      <c r="T741" s="437"/>
    </row>
    <row r="742" spans="4:20" ht="111" customHeight="1" thickBot="1">
      <c r="D742" s="417"/>
      <c r="E742" s="418"/>
      <c r="F742" s="418"/>
      <c r="G742" s="418"/>
      <c r="H742" s="418"/>
      <c r="I742" s="418"/>
      <c r="J742" s="418"/>
      <c r="K742" s="418"/>
      <c r="L742" s="418"/>
      <c r="M742" s="418"/>
      <c r="N742" s="418"/>
      <c r="O742" s="418"/>
      <c r="P742" s="418"/>
      <c r="Q742" s="418"/>
      <c r="R742" s="418"/>
      <c r="S742" s="418"/>
      <c r="T742" s="438"/>
    </row>
    <row r="743" spans="4:20" ht="22.5" customHeight="1"/>
    <row r="744" spans="4:20" ht="13.5" thickBot="1"/>
    <row r="745" spans="4:20">
      <c r="D745" s="384"/>
      <c r="E745" s="385"/>
      <c r="F745" s="385"/>
      <c r="G745" s="385"/>
      <c r="H745" s="385"/>
      <c r="I745" s="385"/>
      <c r="J745" s="385"/>
      <c r="K745" s="445"/>
      <c r="L745" s="385"/>
      <c r="M745" s="385"/>
      <c r="N745" s="385"/>
      <c r="O745" s="385"/>
      <c r="P745" s="385"/>
      <c r="Q745" s="385"/>
      <c r="R745" s="385"/>
      <c r="S745" s="385"/>
      <c r="T745" s="386"/>
    </row>
    <row r="746" spans="4:20" ht="121.5" customHeight="1" thickBot="1">
      <c r="D746" s="387"/>
      <c r="E746" s="388"/>
      <c r="F746" s="388"/>
      <c r="G746" s="388"/>
      <c r="H746" s="388"/>
      <c r="I746" s="388"/>
      <c r="J746" s="388"/>
      <c r="K746" s="446"/>
      <c r="L746" s="388"/>
      <c r="M746" s="388"/>
      <c r="N746" s="388"/>
      <c r="O746" s="388"/>
      <c r="P746" s="388"/>
      <c r="Q746" s="388"/>
      <c r="R746" s="388"/>
      <c r="S746" s="388"/>
      <c r="T746" s="389"/>
    </row>
    <row r="747" spans="4:20">
      <c r="D747" s="592" t="str">
        <f>+[42]DATOS!C$7</f>
        <v>MEJORAMIENTO DE VIVIENDA CON ENFOQUE DIFERENCIAL PARA POBLACIÓN VULNERABLE EN EL MUNICIPIO DE CUBARÁ, BOYACÁ (2026).</v>
      </c>
      <c r="E747" s="593"/>
      <c r="F747" s="593"/>
      <c r="G747" s="593"/>
      <c r="H747" s="593"/>
      <c r="I747" s="593"/>
      <c r="J747" s="593"/>
      <c r="K747" s="593"/>
      <c r="L747" s="593"/>
      <c r="M747" s="593"/>
      <c r="N747" s="593"/>
      <c r="O747" s="593"/>
      <c r="P747" s="593"/>
      <c r="Q747" s="593"/>
      <c r="R747" s="593"/>
      <c r="S747" s="593"/>
      <c r="T747" s="594"/>
    </row>
    <row r="748" spans="4:20">
      <c r="D748" s="595"/>
      <c r="E748" s="596"/>
      <c r="F748" s="596"/>
      <c r="G748" s="596"/>
      <c r="H748" s="596"/>
      <c r="I748" s="596"/>
      <c r="J748" s="596"/>
      <c r="K748" s="596"/>
      <c r="L748" s="596"/>
      <c r="M748" s="596"/>
      <c r="N748" s="596"/>
      <c r="O748" s="596"/>
      <c r="P748" s="596"/>
      <c r="Q748" s="596"/>
      <c r="R748" s="596"/>
      <c r="S748" s="596"/>
      <c r="T748" s="597"/>
    </row>
    <row r="749" spans="4:20">
      <c r="D749" s="598" t="s">
        <v>371</v>
      </c>
      <c r="E749" s="599"/>
      <c r="F749" s="599"/>
      <c r="G749" s="599"/>
      <c r="H749" s="599"/>
      <c r="I749" s="599"/>
      <c r="J749" s="599"/>
      <c r="K749" s="599"/>
      <c r="L749" s="599"/>
      <c r="M749" s="599"/>
      <c r="N749" s="599"/>
      <c r="O749" s="599"/>
      <c r="P749" s="599"/>
      <c r="Q749" s="599"/>
      <c r="R749" s="599"/>
      <c r="S749" s="599"/>
      <c r="T749" s="600"/>
    </row>
    <row r="750" spans="4:20">
      <c r="D750" s="586" t="s">
        <v>372</v>
      </c>
      <c r="E750" s="587"/>
      <c r="F750" s="601" t="s">
        <v>373</v>
      </c>
      <c r="G750" s="601"/>
      <c r="H750" s="601"/>
      <c r="I750" s="601"/>
      <c r="J750" s="601"/>
      <c r="K750" s="601"/>
      <c r="L750" s="601"/>
      <c r="M750" s="601"/>
      <c r="N750" s="601"/>
      <c r="O750" s="601"/>
      <c r="P750" s="601"/>
      <c r="Q750" s="601"/>
      <c r="R750" s="601"/>
      <c r="S750" s="601"/>
      <c r="T750" s="602"/>
    </row>
    <row r="751" spans="4:20">
      <c r="D751" s="586" t="s">
        <v>374</v>
      </c>
      <c r="E751" s="587"/>
      <c r="F751" s="603" t="s">
        <v>375</v>
      </c>
      <c r="G751" s="604"/>
      <c r="H751" s="604"/>
      <c r="I751" s="604"/>
      <c r="J751" s="604"/>
      <c r="K751" s="604"/>
      <c r="L751" s="604"/>
      <c r="M751" s="604"/>
      <c r="N751" s="604"/>
      <c r="O751" s="604"/>
      <c r="P751" s="604"/>
      <c r="Q751" s="604"/>
      <c r="R751" s="604"/>
      <c r="S751" s="604"/>
      <c r="T751" s="605"/>
    </row>
    <row r="752" spans="4:20">
      <c r="D752" s="586" t="s">
        <v>376</v>
      </c>
      <c r="E752" s="587"/>
      <c r="F752" s="390">
        <f>+[42]DATOS!F$5</f>
        <v>46143</v>
      </c>
      <c r="G752" s="391"/>
      <c r="H752" s="391"/>
      <c r="I752" s="391"/>
      <c r="J752" s="391"/>
      <c r="K752" s="391"/>
      <c r="L752" s="568" t="s">
        <v>377</v>
      </c>
      <c r="M752" s="568"/>
      <c r="N752" s="588" t="s">
        <v>378</v>
      </c>
      <c r="O752" s="588"/>
      <c r="P752" s="588"/>
      <c r="Q752" s="588"/>
      <c r="R752" s="588"/>
      <c r="S752" s="588"/>
      <c r="T752" s="589"/>
    </row>
    <row r="753" spans="1:26" ht="25.5">
      <c r="D753" s="586" t="s">
        <v>379</v>
      </c>
      <c r="E753" s="587"/>
      <c r="F753" s="590" t="s">
        <v>380</v>
      </c>
      <c r="G753" s="591"/>
      <c r="H753" s="392">
        <f>+[42]DATOS!E$5</f>
        <v>2026</v>
      </c>
      <c r="I753" s="393" t="s">
        <v>381</v>
      </c>
      <c r="J753" s="394">
        <f>+[42]DATOS!E$5</f>
        <v>2026</v>
      </c>
      <c r="K753" s="395"/>
      <c r="L753" s="568" t="s">
        <v>382</v>
      </c>
      <c r="M753" s="568"/>
      <c r="N753" s="588" t="s">
        <v>383</v>
      </c>
      <c r="O753" s="588"/>
      <c r="P753" s="588"/>
      <c r="Q753" s="588"/>
      <c r="R753" s="588"/>
      <c r="S753" s="588"/>
      <c r="T753" s="589"/>
    </row>
    <row r="754" spans="1:26">
      <c r="D754" s="396"/>
      <c r="E754" s="397"/>
      <c r="F754" s="397"/>
      <c r="G754" s="398"/>
      <c r="H754" s="398"/>
      <c r="I754" s="398"/>
      <c r="J754" s="398"/>
      <c r="K754" s="398"/>
      <c r="L754" s="398"/>
      <c r="M754" s="398"/>
      <c r="N754" s="398"/>
      <c r="O754" s="398"/>
      <c r="P754" s="398"/>
      <c r="Q754" s="398"/>
      <c r="R754" s="398"/>
      <c r="S754" s="398"/>
      <c r="T754" s="399"/>
    </row>
    <row r="755" spans="1:26">
      <c r="D755" s="572" t="s">
        <v>384</v>
      </c>
      <c r="E755" s="573"/>
      <c r="F755" s="573"/>
      <c r="G755" s="573"/>
      <c r="H755" s="573"/>
      <c r="I755" s="573"/>
      <c r="J755" s="573"/>
      <c r="K755" s="573"/>
      <c r="L755" s="573"/>
      <c r="M755" s="573"/>
      <c r="N755" s="573"/>
      <c r="O755" s="573"/>
      <c r="P755" s="573"/>
      <c r="Q755" s="573"/>
      <c r="R755" s="573"/>
      <c r="S755" s="573"/>
      <c r="T755" s="574"/>
    </row>
    <row r="756" spans="1:26">
      <c r="D756" s="396"/>
      <c r="E756" s="397"/>
      <c r="F756" s="397"/>
      <c r="G756" s="398"/>
      <c r="H756" s="398"/>
      <c r="I756" s="398"/>
      <c r="J756" s="398"/>
      <c r="K756" s="398"/>
      <c r="L756" s="398"/>
      <c r="M756" s="398"/>
      <c r="N756" s="398"/>
      <c r="O756" s="398"/>
      <c r="P756" s="398"/>
      <c r="Q756" s="398"/>
      <c r="R756" s="398"/>
      <c r="S756" s="398"/>
      <c r="T756" s="399"/>
    </row>
    <row r="757" spans="1:26">
      <c r="D757" s="400" t="s">
        <v>385</v>
      </c>
      <c r="E757" s="575" t="s">
        <v>386</v>
      </c>
      <c r="F757" s="575"/>
      <c r="G757" s="576" t="s">
        <v>387</v>
      </c>
      <c r="H757" s="577"/>
      <c r="I757" s="577"/>
      <c r="J757" s="576" t="s">
        <v>388</v>
      </c>
      <c r="K757" s="576" t="s">
        <v>389</v>
      </c>
      <c r="L757" s="579"/>
      <c r="M757" s="581" t="s">
        <v>390</v>
      </c>
      <c r="N757" s="581"/>
      <c r="O757" s="581"/>
      <c r="P757" s="581"/>
      <c r="Q757" s="581"/>
      <c r="R757" s="581"/>
      <c r="S757" s="581" t="s">
        <v>391</v>
      </c>
      <c r="T757" s="582"/>
    </row>
    <row r="758" spans="1:26" ht="38.25">
      <c r="D758" s="403">
        <f>+'PRESUPUESTO OFICIAL '!C44</f>
        <v>3.06</v>
      </c>
      <c r="E758" s="583" t="str">
        <f>+VLOOKUP(D758,'PRESUPUESTO OFICIAL '!$C$11:$H$103,2)</f>
        <v>PLACA BASE E= 5 CM EN CONCRETO f'c = 2500 PSI (17.5 Mpa)</v>
      </c>
      <c r="F758" s="584"/>
      <c r="G758" s="585" t="str">
        <f>+VLOOKUP(D758,'PRESUPUESTO OFICIAL '!$C$11:$H$103,3)</f>
        <v>M2</v>
      </c>
      <c r="H758" s="585"/>
      <c r="I758" s="585"/>
      <c r="J758" s="578"/>
      <c r="K758" s="578"/>
      <c r="L758" s="580"/>
      <c r="M758" s="401" t="s">
        <v>392</v>
      </c>
      <c r="N758" s="401" t="s">
        <v>393</v>
      </c>
      <c r="O758" s="401" t="s">
        <v>394</v>
      </c>
      <c r="P758" s="401" t="s">
        <v>395</v>
      </c>
      <c r="Q758" s="401" t="s">
        <v>396</v>
      </c>
      <c r="R758" s="401" t="s">
        <v>397</v>
      </c>
      <c r="S758" s="401" t="s">
        <v>398</v>
      </c>
      <c r="T758" s="402" t="s">
        <v>399</v>
      </c>
      <c r="V758" s="404">
        <f>+D758</f>
        <v>3.06</v>
      </c>
      <c r="W758" s="405">
        <f>+T806</f>
        <v>10.36</v>
      </c>
    </row>
    <row r="759" spans="1:26">
      <c r="D759" s="406"/>
      <c r="E759" s="407"/>
      <c r="F759" s="407"/>
      <c r="G759" s="407"/>
      <c r="H759" s="407"/>
      <c r="I759" s="407"/>
      <c r="J759" s="558"/>
      <c r="K759" s="559"/>
      <c r="L759" s="560"/>
      <c r="M759" s="560"/>
      <c r="N759" s="560"/>
      <c r="O759" s="560"/>
      <c r="P759" s="560"/>
      <c r="Q759" s="560"/>
      <c r="R759" s="560"/>
      <c r="S759" s="560"/>
      <c r="T759" s="561"/>
    </row>
    <row r="760" spans="1:26" ht="25.5">
      <c r="A760" s="453">
        <f>+D758</f>
        <v>3.06</v>
      </c>
      <c r="B760" s="383">
        <v>1</v>
      </c>
      <c r="D760" s="406"/>
      <c r="E760" s="407"/>
      <c r="F760" s="407"/>
      <c r="G760" s="407"/>
      <c r="H760" s="407"/>
      <c r="I760" s="407"/>
      <c r="J760" s="408" t="s">
        <v>400</v>
      </c>
      <c r="K760" s="409" t="str">
        <f t="shared" ref="K760:K802" si="123">+VLOOKUP(L760,$AH$22:$AJ$58,2,)</f>
        <v>A=(Ancho x Largo)* Cant</v>
      </c>
      <c r="L760" s="410" t="str">
        <f>+G758</f>
        <v>M2</v>
      </c>
      <c r="M760" s="411"/>
      <c r="N760" s="412"/>
      <c r="O760" s="442"/>
      <c r="P760" s="442"/>
      <c r="Q760" s="413"/>
      <c r="R760" s="411"/>
      <c r="S760" s="413" t="str">
        <f>IF(T760=0,"",1)</f>
        <v/>
      </c>
      <c r="T760" s="414">
        <f>+HLOOKUP(B686,[238]Hoja1!$2:$78,34,FALSE)</f>
        <v>0</v>
      </c>
      <c r="Y760" s="439">
        <f t="shared" ref="Y760:Y776" si="124">+O760*P760</f>
        <v>0</v>
      </c>
      <c r="Z760" s="439">
        <f t="shared" ref="Z760:Z802" si="125">+Y760-M760</f>
        <v>0</v>
      </c>
    </row>
    <row r="761" spans="1:26" ht="25.5">
      <c r="A761" s="453">
        <f>+A760</f>
        <v>3.06</v>
      </c>
      <c r="B761" s="383">
        <v>2</v>
      </c>
      <c r="D761" s="406"/>
      <c r="E761" s="407"/>
      <c r="F761" s="407"/>
      <c r="G761" s="407"/>
      <c r="H761" s="407"/>
      <c r="I761" s="407"/>
      <c r="J761" s="408" t="s">
        <v>401</v>
      </c>
      <c r="K761" s="409" t="str">
        <f t="shared" si="123"/>
        <v>A=(Ancho x Largo)* Cant</v>
      </c>
      <c r="L761" s="410" t="str">
        <f>+L760</f>
        <v>M2</v>
      </c>
      <c r="M761" s="411"/>
      <c r="N761" s="412"/>
      <c r="O761" s="442"/>
      <c r="P761" s="442"/>
      <c r="Q761" s="413"/>
      <c r="R761" s="411"/>
      <c r="S761" s="413" t="str">
        <f t="shared" ref="S761:S802" si="126">IF(T761=0,"",1)</f>
        <v/>
      </c>
      <c r="T761" s="414">
        <f>+HLOOKUP(B687,[238]Hoja1!$2:$78,34,FALSE)</f>
        <v>0</v>
      </c>
      <c r="Y761" s="439">
        <f t="shared" si="124"/>
        <v>0</v>
      </c>
      <c r="Z761" s="439">
        <f t="shared" si="125"/>
        <v>0</v>
      </c>
    </row>
    <row r="762" spans="1:26" ht="25.5">
      <c r="A762" s="453">
        <f t="shared" ref="A762:A802" si="127">+A761</f>
        <v>3.06</v>
      </c>
      <c r="B762" s="383">
        <v>3</v>
      </c>
      <c r="D762" s="406"/>
      <c r="E762" s="407"/>
      <c r="F762" s="407"/>
      <c r="G762" s="407"/>
      <c r="H762" s="407"/>
      <c r="I762" s="407"/>
      <c r="J762" s="408" t="s">
        <v>402</v>
      </c>
      <c r="K762" s="409" t="str">
        <f t="shared" si="123"/>
        <v>A=(Ancho x Largo)* Cant</v>
      </c>
      <c r="L762" s="410" t="str">
        <f>+L761</f>
        <v>M2</v>
      </c>
      <c r="M762" s="411"/>
      <c r="N762" s="412"/>
      <c r="O762" s="442"/>
      <c r="P762" s="442"/>
      <c r="Q762" s="413"/>
      <c r="R762" s="411"/>
      <c r="S762" s="413" t="str">
        <f t="shared" si="126"/>
        <v/>
      </c>
      <c r="T762" s="414">
        <f>+HLOOKUP(B688,[238]Hoja1!$2:$78,34,FALSE)</f>
        <v>0</v>
      </c>
      <c r="Y762" s="439">
        <f t="shared" si="124"/>
        <v>0</v>
      </c>
      <c r="Z762" s="439">
        <f t="shared" si="125"/>
        <v>0</v>
      </c>
    </row>
    <row r="763" spans="1:26" ht="25.5">
      <c r="A763" s="453">
        <f t="shared" si="127"/>
        <v>3.06</v>
      </c>
      <c r="B763" s="383">
        <v>4</v>
      </c>
      <c r="D763" s="406"/>
      <c r="E763" s="407"/>
      <c r="F763" s="407"/>
      <c r="G763" s="407"/>
      <c r="H763" s="407"/>
      <c r="I763" s="407"/>
      <c r="J763" s="408" t="s">
        <v>403</v>
      </c>
      <c r="K763" s="409" t="str">
        <f t="shared" si="123"/>
        <v>A=(Ancho x Largo)* Cant</v>
      </c>
      <c r="L763" s="410" t="str">
        <f>+L762</f>
        <v>M2</v>
      </c>
      <c r="M763" s="411"/>
      <c r="N763" s="412"/>
      <c r="O763" s="442"/>
      <c r="P763" s="442"/>
      <c r="Q763" s="413"/>
      <c r="R763" s="411"/>
      <c r="S763" s="413" t="str">
        <f t="shared" si="126"/>
        <v/>
      </c>
      <c r="T763" s="414">
        <f>+HLOOKUP(B689,[238]Hoja1!$2:$78,34,FALSE)</f>
        <v>0</v>
      </c>
      <c r="Y763" s="439">
        <f t="shared" si="124"/>
        <v>0</v>
      </c>
      <c r="Z763" s="439">
        <f t="shared" si="125"/>
        <v>0</v>
      </c>
    </row>
    <row r="764" spans="1:26" ht="25.5">
      <c r="A764" s="453">
        <f t="shared" si="127"/>
        <v>3.06</v>
      </c>
      <c r="B764" s="383">
        <v>5</v>
      </c>
      <c r="D764" s="406"/>
      <c r="E764" s="407"/>
      <c r="F764" s="407"/>
      <c r="G764" s="407"/>
      <c r="H764" s="407"/>
      <c r="I764" s="407"/>
      <c r="J764" s="408" t="s">
        <v>405</v>
      </c>
      <c r="K764" s="409" t="str">
        <f t="shared" si="123"/>
        <v>A=(Ancho x Largo)* Cant</v>
      </c>
      <c r="L764" s="410" t="str">
        <f>+L763</f>
        <v>M2</v>
      </c>
      <c r="M764" s="411"/>
      <c r="N764" s="412"/>
      <c r="O764" s="442"/>
      <c r="P764" s="442"/>
      <c r="Q764" s="413"/>
      <c r="R764" s="411"/>
      <c r="S764" s="413" t="str">
        <f t="shared" si="126"/>
        <v/>
      </c>
      <c r="T764" s="414">
        <f>+HLOOKUP(B690,[238]Hoja1!$2:$78,34,FALSE)</f>
        <v>0</v>
      </c>
      <c r="Y764" s="439">
        <f t="shared" si="124"/>
        <v>0</v>
      </c>
      <c r="Z764" s="439">
        <f t="shared" si="125"/>
        <v>0</v>
      </c>
    </row>
    <row r="765" spans="1:26" ht="25.5">
      <c r="A765" s="453">
        <f t="shared" si="127"/>
        <v>3.06</v>
      </c>
      <c r="B765" s="383">
        <v>6</v>
      </c>
      <c r="D765" s="406"/>
      <c r="E765" s="407"/>
      <c r="F765" s="407"/>
      <c r="G765" s="407"/>
      <c r="H765" s="407"/>
      <c r="I765" s="407"/>
      <c r="J765" s="408" t="s">
        <v>407</v>
      </c>
      <c r="K765" s="409" t="str">
        <f t="shared" si="123"/>
        <v>A=(Ancho x Largo)* Cant</v>
      </c>
      <c r="L765" s="410" t="str">
        <f>+L764</f>
        <v>M2</v>
      </c>
      <c r="M765" s="411">
        <f t="shared" ref="M765:M799" si="128">+O765*P765</f>
        <v>1.2</v>
      </c>
      <c r="N765" s="412"/>
      <c r="O765" s="442">
        <v>0.6</v>
      </c>
      <c r="P765" s="442">
        <f t="shared" ref="P765:P799" si="129">+T765/O765</f>
        <v>2</v>
      </c>
      <c r="Q765" s="413"/>
      <c r="R765" s="411"/>
      <c r="S765" s="413">
        <f t="shared" si="126"/>
        <v>1</v>
      </c>
      <c r="T765" s="414">
        <f>+HLOOKUP(B691,[238]Hoja1!$2:$78,34,FALSE)</f>
        <v>1.2</v>
      </c>
      <c r="Y765" s="439">
        <f t="shared" si="124"/>
        <v>1.2</v>
      </c>
      <c r="Z765" s="439">
        <f t="shared" si="125"/>
        <v>0</v>
      </c>
    </row>
    <row r="766" spans="1:26" ht="25.5">
      <c r="A766" s="453">
        <f t="shared" si="127"/>
        <v>3.06</v>
      </c>
      <c r="B766" s="383">
        <v>7</v>
      </c>
      <c r="D766" s="406"/>
      <c r="E766" s="407"/>
      <c r="F766" s="407"/>
      <c r="G766" s="407"/>
      <c r="H766" s="407"/>
      <c r="I766" s="407"/>
      <c r="J766" s="408" t="s">
        <v>409</v>
      </c>
      <c r="K766" s="409" t="str">
        <f t="shared" si="123"/>
        <v>A=(Ancho x Largo)* Cant</v>
      </c>
      <c r="L766" s="410" t="str">
        <f>+L760</f>
        <v>M2</v>
      </c>
      <c r="M766" s="411"/>
      <c r="N766" s="412"/>
      <c r="O766" s="442"/>
      <c r="P766" s="442"/>
      <c r="Q766" s="413"/>
      <c r="R766" s="411"/>
      <c r="S766" s="413" t="str">
        <f t="shared" si="126"/>
        <v/>
      </c>
      <c r="T766" s="414">
        <f>+HLOOKUP(B692,[238]Hoja1!$2:$78,34,FALSE)</f>
        <v>0</v>
      </c>
      <c r="Y766" s="439">
        <f t="shared" si="124"/>
        <v>0</v>
      </c>
      <c r="Z766" s="439">
        <f t="shared" si="125"/>
        <v>0</v>
      </c>
    </row>
    <row r="767" spans="1:26" ht="25.5">
      <c r="A767" s="453">
        <f t="shared" si="127"/>
        <v>3.06</v>
      </c>
      <c r="B767" s="383">
        <v>8</v>
      </c>
      <c r="D767" s="406"/>
      <c r="E767" s="407"/>
      <c r="F767" s="407"/>
      <c r="G767" s="407"/>
      <c r="H767" s="407"/>
      <c r="I767" s="407"/>
      <c r="J767" s="408" t="s">
        <v>411</v>
      </c>
      <c r="K767" s="409" t="str">
        <f t="shared" si="123"/>
        <v>A=(Ancho x Largo)* Cant</v>
      </c>
      <c r="L767" s="410" t="str">
        <f>+L766</f>
        <v>M2</v>
      </c>
      <c r="M767" s="411"/>
      <c r="N767" s="412"/>
      <c r="O767" s="442"/>
      <c r="P767" s="442"/>
      <c r="Q767" s="413"/>
      <c r="R767" s="411"/>
      <c r="S767" s="413" t="str">
        <f t="shared" si="126"/>
        <v/>
      </c>
      <c r="T767" s="414">
        <f>+HLOOKUP(B693,[238]Hoja1!$2:$78,34,FALSE)</f>
        <v>0</v>
      </c>
      <c r="Y767" s="439">
        <f t="shared" si="124"/>
        <v>0</v>
      </c>
      <c r="Z767" s="439">
        <f t="shared" si="125"/>
        <v>0</v>
      </c>
    </row>
    <row r="768" spans="1:26" ht="25.5">
      <c r="A768" s="453">
        <f t="shared" si="127"/>
        <v>3.06</v>
      </c>
      <c r="B768" s="383">
        <v>9</v>
      </c>
      <c r="D768" s="406"/>
      <c r="E768" s="407"/>
      <c r="F768" s="407"/>
      <c r="G768" s="407"/>
      <c r="H768" s="407"/>
      <c r="I768" s="407"/>
      <c r="J768" s="408" t="s">
        <v>412</v>
      </c>
      <c r="K768" s="409" t="str">
        <f t="shared" si="123"/>
        <v>A=(Ancho x Largo)* Cant</v>
      </c>
      <c r="L768" s="410" t="str">
        <f>+L767</f>
        <v>M2</v>
      </c>
      <c r="M768" s="411"/>
      <c r="N768" s="412"/>
      <c r="O768" s="442"/>
      <c r="P768" s="442"/>
      <c r="Q768" s="412"/>
      <c r="R768" s="411"/>
      <c r="S768" s="413" t="str">
        <f t="shared" si="126"/>
        <v/>
      </c>
      <c r="T768" s="414">
        <f>+HLOOKUP(B694,[238]Hoja1!$2:$78,34,FALSE)</f>
        <v>0</v>
      </c>
      <c r="Y768" s="439">
        <f t="shared" si="124"/>
        <v>0</v>
      </c>
      <c r="Z768" s="439">
        <f t="shared" si="125"/>
        <v>0</v>
      </c>
    </row>
    <row r="769" spans="1:26" ht="25.5">
      <c r="A769" s="453">
        <f t="shared" si="127"/>
        <v>3.06</v>
      </c>
      <c r="B769" s="383">
        <v>10</v>
      </c>
      <c r="D769" s="406"/>
      <c r="E769" s="407"/>
      <c r="F769" s="407"/>
      <c r="G769" s="407"/>
      <c r="H769" s="407"/>
      <c r="I769" s="407"/>
      <c r="J769" s="408" t="s">
        <v>413</v>
      </c>
      <c r="K769" s="409" t="str">
        <f t="shared" si="123"/>
        <v>A=(Ancho x Largo)* Cant</v>
      </c>
      <c r="L769" s="410" t="str">
        <f>+L768</f>
        <v>M2</v>
      </c>
      <c r="M769" s="411"/>
      <c r="N769" s="412"/>
      <c r="O769" s="442"/>
      <c r="P769" s="442"/>
      <c r="Q769" s="412"/>
      <c r="R769" s="411"/>
      <c r="S769" s="413" t="str">
        <f t="shared" si="126"/>
        <v/>
      </c>
      <c r="T769" s="414">
        <f>+HLOOKUP(B695,[238]Hoja1!$2:$78,34,FALSE)</f>
        <v>0</v>
      </c>
      <c r="Y769" s="439">
        <f t="shared" si="124"/>
        <v>0</v>
      </c>
      <c r="Z769" s="439">
        <f t="shared" si="125"/>
        <v>0</v>
      </c>
    </row>
    <row r="770" spans="1:26" ht="25.5">
      <c r="A770" s="453">
        <f t="shared" si="127"/>
        <v>3.06</v>
      </c>
      <c r="B770" s="383">
        <v>11</v>
      </c>
      <c r="D770" s="406"/>
      <c r="E770" s="407"/>
      <c r="F770" s="407"/>
      <c r="G770" s="407"/>
      <c r="H770" s="407"/>
      <c r="I770" s="407"/>
      <c r="J770" s="408" t="s">
        <v>414</v>
      </c>
      <c r="K770" s="409" t="str">
        <f t="shared" si="123"/>
        <v>A=(Ancho x Largo)* Cant</v>
      </c>
      <c r="L770" s="410" t="str">
        <f>+L769</f>
        <v>M2</v>
      </c>
      <c r="M770" s="411"/>
      <c r="N770" s="412"/>
      <c r="O770" s="442"/>
      <c r="P770" s="442"/>
      <c r="Q770" s="412"/>
      <c r="R770" s="411"/>
      <c r="S770" s="413" t="str">
        <f t="shared" si="126"/>
        <v/>
      </c>
      <c r="T770" s="414">
        <f>+HLOOKUP(B696,[238]Hoja1!$2:$78,34,FALSE)</f>
        <v>0</v>
      </c>
      <c r="Y770" s="439">
        <f t="shared" si="124"/>
        <v>0</v>
      </c>
      <c r="Z770" s="439">
        <f t="shared" si="125"/>
        <v>0</v>
      </c>
    </row>
    <row r="771" spans="1:26" ht="25.5">
      <c r="A771" s="453">
        <f t="shared" si="127"/>
        <v>3.06</v>
      </c>
      <c r="B771" s="383">
        <v>12</v>
      </c>
      <c r="D771" s="406"/>
      <c r="E771" s="407"/>
      <c r="F771" s="407"/>
      <c r="G771" s="407"/>
      <c r="H771" s="407"/>
      <c r="I771" s="407"/>
      <c r="J771" s="408" t="s">
        <v>415</v>
      </c>
      <c r="K771" s="409" t="str">
        <f t="shared" si="123"/>
        <v>A=(Ancho x Largo)* Cant</v>
      </c>
      <c r="L771" s="410" t="str">
        <f>+L765</f>
        <v>M2</v>
      </c>
      <c r="M771" s="411"/>
      <c r="N771" s="412"/>
      <c r="O771" s="442"/>
      <c r="P771" s="442"/>
      <c r="Q771" s="413"/>
      <c r="R771" s="411"/>
      <c r="S771" s="413" t="str">
        <f t="shared" si="126"/>
        <v/>
      </c>
      <c r="T771" s="414">
        <f>+HLOOKUP(B697,[238]Hoja1!$2:$78,34,FALSE)</f>
        <v>0</v>
      </c>
      <c r="Y771" s="439">
        <f t="shared" si="124"/>
        <v>0</v>
      </c>
      <c r="Z771" s="439">
        <f t="shared" si="125"/>
        <v>0</v>
      </c>
    </row>
    <row r="772" spans="1:26" ht="25.5">
      <c r="A772" s="453">
        <f t="shared" si="127"/>
        <v>3.06</v>
      </c>
      <c r="B772" s="383">
        <v>13</v>
      </c>
      <c r="D772" s="406"/>
      <c r="E772" s="407"/>
      <c r="F772" s="407"/>
      <c r="G772" s="407"/>
      <c r="H772" s="407"/>
      <c r="I772" s="407"/>
      <c r="J772" s="408" t="s">
        <v>416</v>
      </c>
      <c r="K772" s="409" t="str">
        <f t="shared" si="123"/>
        <v>A=(Ancho x Largo)* Cant</v>
      </c>
      <c r="L772" s="410" t="str">
        <f>+L767</f>
        <v>M2</v>
      </c>
      <c r="M772" s="411"/>
      <c r="N772" s="412"/>
      <c r="O772" s="442"/>
      <c r="P772" s="442"/>
      <c r="Q772" s="413"/>
      <c r="R772" s="411"/>
      <c r="S772" s="413" t="str">
        <f t="shared" si="126"/>
        <v/>
      </c>
      <c r="T772" s="414">
        <f>+HLOOKUP(B698,[238]Hoja1!$2:$78,34,FALSE)</f>
        <v>0</v>
      </c>
      <c r="Y772" s="439">
        <f t="shared" si="124"/>
        <v>0</v>
      </c>
      <c r="Z772" s="439">
        <f t="shared" si="125"/>
        <v>0</v>
      </c>
    </row>
    <row r="773" spans="1:26" ht="25.5">
      <c r="A773" s="453">
        <f t="shared" si="127"/>
        <v>3.06</v>
      </c>
      <c r="B773" s="383">
        <v>14</v>
      </c>
      <c r="D773" s="406"/>
      <c r="E773" s="407"/>
      <c r="F773" s="407"/>
      <c r="G773" s="407"/>
      <c r="H773" s="407"/>
      <c r="I773" s="407"/>
      <c r="J773" s="408" t="s">
        <v>417</v>
      </c>
      <c r="K773" s="409" t="str">
        <f t="shared" si="123"/>
        <v>A=(Ancho x Largo)* Cant</v>
      </c>
      <c r="L773" s="410" t="str">
        <f t="shared" ref="L773:L784" si="130">+L772</f>
        <v>M2</v>
      </c>
      <c r="M773" s="411"/>
      <c r="N773" s="412"/>
      <c r="O773" s="442"/>
      <c r="P773" s="442"/>
      <c r="Q773" s="412"/>
      <c r="R773" s="411"/>
      <c r="S773" s="413" t="str">
        <f t="shared" si="126"/>
        <v/>
      </c>
      <c r="T773" s="414">
        <f>+HLOOKUP(B699,[238]Hoja1!$2:$78,34,FALSE)</f>
        <v>0</v>
      </c>
      <c r="Y773" s="439">
        <f t="shared" si="124"/>
        <v>0</v>
      </c>
      <c r="Z773" s="439">
        <f t="shared" si="125"/>
        <v>0</v>
      </c>
    </row>
    <row r="774" spans="1:26" ht="25.5">
      <c r="A774" s="453">
        <f t="shared" si="127"/>
        <v>3.06</v>
      </c>
      <c r="B774" s="383">
        <v>15</v>
      </c>
      <c r="D774" s="406"/>
      <c r="E774" s="407"/>
      <c r="F774" s="407"/>
      <c r="G774" s="407"/>
      <c r="H774" s="407"/>
      <c r="I774" s="407"/>
      <c r="J774" s="408" t="s">
        <v>418</v>
      </c>
      <c r="K774" s="409" t="str">
        <f t="shared" si="123"/>
        <v>A=(Ancho x Largo)* Cant</v>
      </c>
      <c r="L774" s="410" t="str">
        <f t="shared" si="130"/>
        <v>M2</v>
      </c>
      <c r="M774" s="411"/>
      <c r="N774" s="412"/>
      <c r="O774" s="442"/>
      <c r="P774" s="442"/>
      <c r="Q774" s="449"/>
      <c r="R774" s="411"/>
      <c r="S774" s="413" t="str">
        <f t="shared" si="126"/>
        <v/>
      </c>
      <c r="T774" s="414">
        <f>+HLOOKUP(B700,[238]Hoja1!$2:$78,34,FALSE)</f>
        <v>0</v>
      </c>
      <c r="Y774" s="439">
        <f t="shared" si="124"/>
        <v>0</v>
      </c>
      <c r="Z774" s="439">
        <f t="shared" si="125"/>
        <v>0</v>
      </c>
    </row>
    <row r="775" spans="1:26" ht="25.5">
      <c r="A775" s="453">
        <f t="shared" si="127"/>
        <v>3.06</v>
      </c>
      <c r="B775" s="383">
        <v>16</v>
      </c>
      <c r="D775" s="406"/>
      <c r="E775" s="407"/>
      <c r="F775" s="407"/>
      <c r="G775" s="407"/>
      <c r="H775" s="407"/>
      <c r="I775" s="407"/>
      <c r="J775" s="408" t="s">
        <v>419</v>
      </c>
      <c r="K775" s="409" t="str">
        <f t="shared" si="123"/>
        <v>A=(Ancho x Largo)* Cant</v>
      </c>
      <c r="L775" s="410" t="str">
        <f t="shared" si="130"/>
        <v>M2</v>
      </c>
      <c r="M775" s="411"/>
      <c r="N775" s="412"/>
      <c r="O775" s="442"/>
      <c r="P775" s="442"/>
      <c r="Q775" s="449"/>
      <c r="R775" s="411"/>
      <c r="S775" s="413" t="str">
        <f t="shared" si="126"/>
        <v/>
      </c>
      <c r="T775" s="414">
        <f>+HLOOKUP(B701,[238]Hoja1!$2:$78,34,FALSE)</f>
        <v>0</v>
      </c>
      <c r="Y775" s="439">
        <f t="shared" si="124"/>
        <v>0</v>
      </c>
      <c r="Z775" s="439">
        <f t="shared" si="125"/>
        <v>0</v>
      </c>
    </row>
    <row r="776" spans="1:26" ht="25.5">
      <c r="A776" s="453">
        <f t="shared" si="127"/>
        <v>3.06</v>
      </c>
      <c r="B776" s="383">
        <v>17</v>
      </c>
      <c r="D776" s="406"/>
      <c r="E776" s="407"/>
      <c r="F776" s="407"/>
      <c r="G776" s="407"/>
      <c r="H776" s="407"/>
      <c r="I776" s="407"/>
      <c r="J776" s="408" t="s">
        <v>420</v>
      </c>
      <c r="K776" s="409" t="str">
        <f t="shared" si="123"/>
        <v>A=(Ancho x Largo)* Cant</v>
      </c>
      <c r="L776" s="410" t="str">
        <f t="shared" si="130"/>
        <v>M2</v>
      </c>
      <c r="M776" s="411"/>
      <c r="N776" s="412"/>
      <c r="O776" s="442"/>
      <c r="P776" s="442"/>
      <c r="Q776" s="412"/>
      <c r="R776" s="411"/>
      <c r="S776" s="413" t="str">
        <f t="shared" si="126"/>
        <v/>
      </c>
      <c r="T776" s="414">
        <f>+HLOOKUP(B702,[238]Hoja1!$2:$78,34,FALSE)</f>
        <v>0</v>
      </c>
      <c r="Y776" s="439">
        <f t="shared" si="124"/>
        <v>0</v>
      </c>
      <c r="Z776" s="439">
        <f t="shared" si="125"/>
        <v>0</v>
      </c>
    </row>
    <row r="777" spans="1:26" ht="25.5">
      <c r="A777" s="453">
        <f t="shared" si="127"/>
        <v>3.06</v>
      </c>
      <c r="B777" s="383">
        <v>18</v>
      </c>
      <c r="D777" s="406"/>
      <c r="E777" s="407"/>
      <c r="F777" s="407"/>
      <c r="G777" s="407"/>
      <c r="H777" s="407"/>
      <c r="I777" s="407"/>
      <c r="J777" s="408" t="s">
        <v>429</v>
      </c>
      <c r="K777" s="409" t="str">
        <f t="shared" si="123"/>
        <v>A=(Ancho x Largo)* Cant</v>
      </c>
      <c r="L777" s="410" t="str">
        <f t="shared" si="130"/>
        <v>M2</v>
      </c>
      <c r="M777" s="411">
        <f t="shared" si="128"/>
        <v>1.2</v>
      </c>
      <c r="N777" s="412"/>
      <c r="O777" s="442">
        <v>0.6</v>
      </c>
      <c r="P777" s="442">
        <f t="shared" si="129"/>
        <v>2</v>
      </c>
      <c r="Q777" s="412"/>
      <c r="R777" s="411"/>
      <c r="S777" s="413">
        <f t="shared" si="126"/>
        <v>1</v>
      </c>
      <c r="T777" s="414">
        <f>+HLOOKUP(B703,[238]Hoja1!$2:$78,34,FALSE)</f>
        <v>1.2</v>
      </c>
      <c r="Y777" s="439">
        <f>+O777*P777</f>
        <v>1.2</v>
      </c>
      <c r="Z777" s="439">
        <f t="shared" si="125"/>
        <v>0</v>
      </c>
    </row>
    <row r="778" spans="1:26" ht="25.5">
      <c r="A778" s="453">
        <f t="shared" si="127"/>
        <v>3.06</v>
      </c>
      <c r="B778" s="383">
        <v>19</v>
      </c>
      <c r="D778" s="406"/>
      <c r="E778" s="407"/>
      <c r="F778" s="407"/>
      <c r="G778" s="407"/>
      <c r="H778" s="407"/>
      <c r="I778" s="407"/>
      <c r="J778" s="408" t="s">
        <v>430</v>
      </c>
      <c r="K778" s="409" t="str">
        <f t="shared" si="123"/>
        <v>A=(Ancho x Largo)* Cant</v>
      </c>
      <c r="L778" s="410" t="str">
        <f t="shared" si="130"/>
        <v>M2</v>
      </c>
      <c r="M778" s="411"/>
      <c r="N778" s="412"/>
      <c r="O778" s="442"/>
      <c r="P778" s="442"/>
      <c r="Q778" s="412"/>
      <c r="R778" s="411"/>
      <c r="S778" s="413" t="str">
        <f t="shared" si="126"/>
        <v/>
      </c>
      <c r="T778" s="414">
        <f>+HLOOKUP(B704,[238]Hoja1!$2:$78,34,FALSE)</f>
        <v>0</v>
      </c>
      <c r="Y778" s="439">
        <f t="shared" ref="Y778:Y802" si="131">+O778*P778</f>
        <v>0</v>
      </c>
      <c r="Z778" s="439">
        <f t="shared" si="125"/>
        <v>0</v>
      </c>
    </row>
    <row r="779" spans="1:26" ht="25.5">
      <c r="A779" s="453">
        <f t="shared" si="127"/>
        <v>3.06</v>
      </c>
      <c r="B779" s="383">
        <v>20</v>
      </c>
      <c r="D779" s="406"/>
      <c r="E779" s="407"/>
      <c r="F779" s="407"/>
      <c r="G779" s="407"/>
      <c r="H779" s="407"/>
      <c r="I779" s="407"/>
      <c r="J779" s="408" t="s">
        <v>431</v>
      </c>
      <c r="K779" s="409" t="str">
        <f t="shared" si="123"/>
        <v>A=(Ancho x Largo)* Cant</v>
      </c>
      <c r="L779" s="410" t="str">
        <f t="shared" si="130"/>
        <v>M2</v>
      </c>
      <c r="M779" s="411"/>
      <c r="N779" s="412"/>
      <c r="O779" s="442"/>
      <c r="P779" s="442"/>
      <c r="Q779" s="412"/>
      <c r="R779" s="411"/>
      <c r="S779" s="413" t="str">
        <f t="shared" si="126"/>
        <v/>
      </c>
      <c r="T779" s="414">
        <f>+HLOOKUP(B705,[238]Hoja1!$2:$78,34,FALSE)</f>
        <v>0</v>
      </c>
      <c r="Y779" s="439">
        <f t="shared" si="131"/>
        <v>0</v>
      </c>
      <c r="Z779" s="439">
        <f t="shared" si="125"/>
        <v>0</v>
      </c>
    </row>
    <row r="780" spans="1:26" ht="25.5">
      <c r="A780" s="453">
        <f t="shared" si="127"/>
        <v>3.06</v>
      </c>
      <c r="B780" s="383">
        <v>21</v>
      </c>
      <c r="D780" s="406"/>
      <c r="E780" s="407"/>
      <c r="F780" s="407"/>
      <c r="G780" s="407"/>
      <c r="H780" s="407"/>
      <c r="I780" s="407"/>
      <c r="J780" s="408" t="s">
        <v>432</v>
      </c>
      <c r="K780" s="409" t="str">
        <f t="shared" si="123"/>
        <v>A=(Ancho x Largo)* Cant</v>
      </c>
      <c r="L780" s="410" t="str">
        <f t="shared" si="130"/>
        <v>M2</v>
      </c>
      <c r="M780" s="411"/>
      <c r="N780" s="412"/>
      <c r="O780" s="442"/>
      <c r="P780" s="442"/>
      <c r="Q780" s="412"/>
      <c r="R780" s="411"/>
      <c r="S780" s="413" t="str">
        <f t="shared" si="126"/>
        <v/>
      </c>
      <c r="T780" s="414">
        <f>+HLOOKUP(B706,[238]Hoja1!$2:$78,34,FALSE)</f>
        <v>0</v>
      </c>
      <c r="Y780" s="439">
        <f t="shared" si="131"/>
        <v>0</v>
      </c>
      <c r="Z780" s="439">
        <f t="shared" si="125"/>
        <v>0</v>
      </c>
    </row>
    <row r="781" spans="1:26" ht="25.5">
      <c r="A781" s="453">
        <f t="shared" si="127"/>
        <v>3.06</v>
      </c>
      <c r="B781" s="383">
        <v>22</v>
      </c>
      <c r="D781" s="406"/>
      <c r="E781" s="407"/>
      <c r="F781" s="407"/>
      <c r="G781" s="407"/>
      <c r="H781" s="407"/>
      <c r="I781" s="407"/>
      <c r="J781" s="408" t="s">
        <v>433</v>
      </c>
      <c r="K781" s="409" t="str">
        <f t="shared" si="123"/>
        <v>A=(Ancho x Largo)* Cant</v>
      </c>
      <c r="L781" s="410" t="str">
        <f t="shared" si="130"/>
        <v>M2</v>
      </c>
      <c r="M781" s="411"/>
      <c r="N781" s="412"/>
      <c r="O781" s="442"/>
      <c r="P781" s="442"/>
      <c r="Q781" s="412"/>
      <c r="R781" s="411"/>
      <c r="S781" s="413" t="str">
        <f t="shared" si="126"/>
        <v/>
      </c>
      <c r="T781" s="414">
        <f>+HLOOKUP(B707,[238]Hoja1!$2:$78,34,FALSE)</f>
        <v>0</v>
      </c>
      <c r="Y781" s="439">
        <f t="shared" si="131"/>
        <v>0</v>
      </c>
      <c r="Z781" s="439">
        <f t="shared" si="125"/>
        <v>0</v>
      </c>
    </row>
    <row r="782" spans="1:26" ht="25.5">
      <c r="A782" s="453">
        <f t="shared" si="127"/>
        <v>3.06</v>
      </c>
      <c r="B782" s="383">
        <v>23</v>
      </c>
      <c r="D782" s="406"/>
      <c r="E782" s="407"/>
      <c r="F782" s="407"/>
      <c r="G782" s="407"/>
      <c r="H782" s="407"/>
      <c r="I782" s="407"/>
      <c r="J782" s="408" t="s">
        <v>434</v>
      </c>
      <c r="K782" s="409" t="str">
        <f t="shared" si="123"/>
        <v>A=(Ancho x Largo)* Cant</v>
      </c>
      <c r="L782" s="410" t="str">
        <f t="shared" si="130"/>
        <v>M2</v>
      </c>
      <c r="M782" s="411"/>
      <c r="N782" s="412"/>
      <c r="O782" s="442"/>
      <c r="P782" s="442"/>
      <c r="Q782" s="412"/>
      <c r="R782" s="411"/>
      <c r="S782" s="413" t="str">
        <f t="shared" si="126"/>
        <v/>
      </c>
      <c r="T782" s="414">
        <f>+HLOOKUP(B708,[238]Hoja1!$2:$78,34,FALSE)</f>
        <v>0</v>
      </c>
      <c r="Y782" s="439">
        <f t="shared" si="131"/>
        <v>0</v>
      </c>
      <c r="Z782" s="439">
        <f t="shared" si="125"/>
        <v>0</v>
      </c>
    </row>
    <row r="783" spans="1:26" ht="25.5">
      <c r="A783" s="453">
        <f t="shared" si="127"/>
        <v>3.06</v>
      </c>
      <c r="B783" s="383">
        <v>24</v>
      </c>
      <c r="D783" s="406"/>
      <c r="E783" s="407"/>
      <c r="F783" s="407"/>
      <c r="G783" s="407"/>
      <c r="H783" s="407"/>
      <c r="I783" s="407"/>
      <c r="J783" s="408" t="s">
        <v>435</v>
      </c>
      <c r="K783" s="409" t="str">
        <f t="shared" si="123"/>
        <v>A=(Ancho x Largo)* Cant</v>
      </c>
      <c r="L783" s="410" t="str">
        <f t="shared" si="130"/>
        <v>M2</v>
      </c>
      <c r="M783" s="411">
        <f t="shared" si="128"/>
        <v>2.6300000000000003</v>
      </c>
      <c r="N783" s="412"/>
      <c r="O783" s="442">
        <v>0.6</v>
      </c>
      <c r="P783" s="442">
        <f t="shared" si="129"/>
        <v>4.3833333333333337</v>
      </c>
      <c r="Q783" s="413"/>
      <c r="R783" s="411"/>
      <c r="S783" s="413">
        <f t="shared" si="126"/>
        <v>1</v>
      </c>
      <c r="T783" s="414">
        <f>+HLOOKUP(B709,[238]Hoja1!$2:$78,34,FALSE)</f>
        <v>2.63</v>
      </c>
      <c r="Y783" s="439">
        <f t="shared" si="131"/>
        <v>2.6300000000000003</v>
      </c>
      <c r="Z783" s="439">
        <f t="shared" si="125"/>
        <v>0</v>
      </c>
    </row>
    <row r="784" spans="1:26" ht="25.5">
      <c r="A784" s="453">
        <f t="shared" si="127"/>
        <v>3.06</v>
      </c>
      <c r="B784" s="383">
        <v>25</v>
      </c>
      <c r="D784" s="406"/>
      <c r="E784" s="407"/>
      <c r="F784" s="407"/>
      <c r="G784" s="407"/>
      <c r="H784" s="407"/>
      <c r="I784" s="407"/>
      <c r="J784" s="408" t="s">
        <v>436</v>
      </c>
      <c r="K784" s="409" t="str">
        <f t="shared" si="123"/>
        <v>A=(Ancho x Largo)* Cant</v>
      </c>
      <c r="L784" s="410" t="str">
        <f t="shared" si="130"/>
        <v>M2</v>
      </c>
      <c r="M784" s="411">
        <f t="shared" si="128"/>
        <v>1.73</v>
      </c>
      <c r="N784" s="412"/>
      <c r="O784" s="442">
        <v>0.6</v>
      </c>
      <c r="P784" s="442">
        <f t="shared" si="129"/>
        <v>2.8833333333333333</v>
      </c>
      <c r="Q784" s="412"/>
      <c r="R784" s="411"/>
      <c r="S784" s="413">
        <f t="shared" si="126"/>
        <v>1</v>
      </c>
      <c r="T784" s="414">
        <f>+HLOOKUP(B710,[238]Hoja1!$2:$78,34,FALSE)</f>
        <v>1.73</v>
      </c>
      <c r="Y784" s="439">
        <f t="shared" si="131"/>
        <v>1.73</v>
      </c>
      <c r="Z784" s="439">
        <f t="shared" si="125"/>
        <v>0</v>
      </c>
    </row>
    <row r="785" spans="1:26" ht="25.5">
      <c r="A785" s="453">
        <f t="shared" si="127"/>
        <v>3.06</v>
      </c>
      <c r="B785" s="383">
        <v>26</v>
      </c>
      <c r="D785" s="406"/>
      <c r="E785" s="407"/>
      <c r="F785" s="407"/>
      <c r="G785" s="407"/>
      <c r="H785" s="407"/>
      <c r="I785" s="407"/>
      <c r="J785" s="408" t="s">
        <v>437</v>
      </c>
      <c r="K785" s="409" t="str">
        <f t="shared" si="123"/>
        <v>A=(Ancho x Largo)* Cant</v>
      </c>
      <c r="L785" s="410" t="str">
        <f>+L774</f>
        <v>M2</v>
      </c>
      <c r="M785" s="411"/>
      <c r="N785" s="412"/>
      <c r="O785" s="442"/>
      <c r="P785" s="442"/>
      <c r="Q785" s="412"/>
      <c r="R785" s="411"/>
      <c r="S785" s="413" t="str">
        <f t="shared" si="126"/>
        <v/>
      </c>
      <c r="T785" s="414">
        <f>+HLOOKUP(B711,[238]Hoja1!$2:$78,34,FALSE)</f>
        <v>0</v>
      </c>
      <c r="Y785" s="439">
        <f t="shared" si="131"/>
        <v>0</v>
      </c>
      <c r="Z785" s="439">
        <f t="shared" si="125"/>
        <v>0</v>
      </c>
    </row>
    <row r="786" spans="1:26" ht="25.5">
      <c r="A786" s="453">
        <f t="shared" si="127"/>
        <v>3.06</v>
      </c>
      <c r="B786" s="383">
        <v>27</v>
      </c>
      <c r="D786" s="406"/>
      <c r="E786" s="407"/>
      <c r="F786" s="407"/>
      <c r="G786" s="407"/>
      <c r="H786" s="407"/>
      <c r="I786" s="407"/>
      <c r="J786" s="408" t="s">
        <v>438</v>
      </c>
      <c r="K786" s="409" t="str">
        <f t="shared" si="123"/>
        <v>A=(Ancho x Largo)* Cant</v>
      </c>
      <c r="L786" s="410" t="str">
        <f t="shared" ref="L786:L794" si="132">+L785</f>
        <v>M2</v>
      </c>
      <c r="M786" s="411"/>
      <c r="N786" s="412"/>
      <c r="O786" s="442"/>
      <c r="P786" s="442"/>
      <c r="Q786" s="412"/>
      <c r="R786" s="411"/>
      <c r="S786" s="413" t="str">
        <f t="shared" si="126"/>
        <v/>
      </c>
      <c r="T786" s="414">
        <f>+HLOOKUP(B712,[238]Hoja1!$2:$78,34,FALSE)</f>
        <v>0</v>
      </c>
      <c r="Y786" s="439">
        <f t="shared" si="131"/>
        <v>0</v>
      </c>
      <c r="Z786" s="439">
        <f t="shared" si="125"/>
        <v>0</v>
      </c>
    </row>
    <row r="787" spans="1:26" ht="25.5">
      <c r="A787" s="453">
        <f t="shared" si="127"/>
        <v>3.06</v>
      </c>
      <c r="B787" s="383">
        <v>28</v>
      </c>
      <c r="D787" s="406"/>
      <c r="E787" s="440"/>
      <c r="F787" s="407"/>
      <c r="G787" s="407"/>
      <c r="H787" s="407"/>
      <c r="I787" s="437"/>
      <c r="J787" s="408" t="s">
        <v>439</v>
      </c>
      <c r="K787" s="409" t="str">
        <f t="shared" si="123"/>
        <v>A=(Ancho x Largo)* Cant</v>
      </c>
      <c r="L787" s="410" t="str">
        <f t="shared" si="132"/>
        <v>M2</v>
      </c>
      <c r="M787" s="411"/>
      <c r="N787" s="412"/>
      <c r="O787" s="442"/>
      <c r="P787" s="442"/>
      <c r="Q787" s="413"/>
      <c r="R787" s="411"/>
      <c r="S787" s="413" t="str">
        <f t="shared" si="126"/>
        <v/>
      </c>
      <c r="T787" s="414">
        <f>+HLOOKUP(B713,[238]Hoja1!$2:$78,34,FALSE)</f>
        <v>0</v>
      </c>
      <c r="Y787" s="439">
        <f t="shared" si="131"/>
        <v>0</v>
      </c>
      <c r="Z787" s="439">
        <f t="shared" si="125"/>
        <v>0</v>
      </c>
    </row>
    <row r="788" spans="1:26" ht="25.5">
      <c r="A788" s="453">
        <f t="shared" si="127"/>
        <v>3.06</v>
      </c>
      <c r="B788" s="383">
        <v>29</v>
      </c>
      <c r="D788" s="406"/>
      <c r="E788" s="407"/>
      <c r="F788" s="407"/>
      <c r="G788" s="407"/>
      <c r="H788" s="407"/>
      <c r="I788" s="407"/>
      <c r="J788" s="408" t="s">
        <v>440</v>
      </c>
      <c r="K788" s="409" t="str">
        <f t="shared" si="123"/>
        <v>A=(Ancho x Largo)* Cant</v>
      </c>
      <c r="L788" s="410" t="str">
        <f t="shared" si="132"/>
        <v>M2</v>
      </c>
      <c r="M788" s="411"/>
      <c r="N788" s="412"/>
      <c r="O788" s="442"/>
      <c r="P788" s="442"/>
      <c r="Q788" s="412"/>
      <c r="R788" s="411"/>
      <c r="S788" s="413" t="str">
        <f t="shared" si="126"/>
        <v/>
      </c>
      <c r="T788" s="414">
        <f>+HLOOKUP(B714,[238]Hoja1!$2:$78,34,FALSE)</f>
        <v>0</v>
      </c>
      <c r="Y788" s="439">
        <f t="shared" si="131"/>
        <v>0</v>
      </c>
      <c r="Z788" s="439">
        <f t="shared" si="125"/>
        <v>0</v>
      </c>
    </row>
    <row r="789" spans="1:26" ht="25.5">
      <c r="A789" s="453">
        <f t="shared" si="127"/>
        <v>3.06</v>
      </c>
      <c r="B789" s="383">
        <v>30</v>
      </c>
      <c r="D789" s="406"/>
      <c r="E789" s="407"/>
      <c r="F789" s="407"/>
      <c r="G789" s="407"/>
      <c r="H789" s="407"/>
      <c r="I789" s="407"/>
      <c r="J789" s="408" t="s">
        <v>441</v>
      </c>
      <c r="K789" s="409" t="str">
        <f t="shared" si="123"/>
        <v>A=(Ancho x Largo)* Cant</v>
      </c>
      <c r="L789" s="410" t="str">
        <f t="shared" si="132"/>
        <v>M2</v>
      </c>
      <c r="M789" s="411"/>
      <c r="N789" s="412"/>
      <c r="O789" s="442"/>
      <c r="P789" s="442"/>
      <c r="Q789" s="412"/>
      <c r="R789" s="411"/>
      <c r="S789" s="413" t="str">
        <f t="shared" si="126"/>
        <v/>
      </c>
      <c r="T789" s="414">
        <f>+HLOOKUP(B715,[238]Hoja1!$2:$78,34,FALSE)</f>
        <v>0</v>
      </c>
      <c r="Y789" s="439">
        <f t="shared" si="131"/>
        <v>0</v>
      </c>
      <c r="Z789" s="439">
        <f t="shared" si="125"/>
        <v>0</v>
      </c>
    </row>
    <row r="790" spans="1:26" ht="25.5">
      <c r="A790" s="453">
        <f t="shared" si="127"/>
        <v>3.06</v>
      </c>
      <c r="B790" s="383">
        <v>31</v>
      </c>
      <c r="D790" s="406"/>
      <c r="E790" s="407"/>
      <c r="F790" s="407"/>
      <c r="G790" s="407"/>
      <c r="H790" s="407"/>
      <c r="I790" s="407"/>
      <c r="J790" s="408" t="s">
        <v>442</v>
      </c>
      <c r="K790" s="409" t="str">
        <f t="shared" si="123"/>
        <v>A=(Ancho x Largo)* Cant</v>
      </c>
      <c r="L790" s="410" t="str">
        <f t="shared" si="132"/>
        <v>M2</v>
      </c>
      <c r="M790" s="411"/>
      <c r="N790" s="412"/>
      <c r="O790" s="442"/>
      <c r="P790" s="442"/>
      <c r="Q790" s="413"/>
      <c r="R790" s="411"/>
      <c r="S790" s="413" t="str">
        <f t="shared" si="126"/>
        <v/>
      </c>
      <c r="T790" s="414">
        <f>+HLOOKUP(B716,[238]Hoja1!$2:$78,34,FALSE)</f>
        <v>0</v>
      </c>
      <c r="Y790" s="439">
        <f t="shared" si="131"/>
        <v>0</v>
      </c>
      <c r="Z790" s="439">
        <f t="shared" si="125"/>
        <v>0</v>
      </c>
    </row>
    <row r="791" spans="1:26" ht="25.5">
      <c r="A791" s="453">
        <f t="shared" si="127"/>
        <v>3.06</v>
      </c>
      <c r="B791" s="383">
        <v>32</v>
      </c>
      <c r="D791" s="406"/>
      <c r="E791" s="407"/>
      <c r="F791" s="407"/>
      <c r="G791" s="407"/>
      <c r="H791" s="407"/>
      <c r="I791" s="407"/>
      <c r="J791" s="408" t="s">
        <v>443</v>
      </c>
      <c r="K791" s="409" t="str">
        <f t="shared" si="123"/>
        <v>A=(Ancho x Largo)* Cant</v>
      </c>
      <c r="L791" s="410" t="str">
        <f t="shared" si="132"/>
        <v>M2</v>
      </c>
      <c r="M791" s="411">
        <f t="shared" si="128"/>
        <v>1.2</v>
      </c>
      <c r="N791" s="412"/>
      <c r="O791" s="442">
        <v>0.6</v>
      </c>
      <c r="P791" s="442">
        <f t="shared" si="129"/>
        <v>2</v>
      </c>
      <c r="Q791" s="412"/>
      <c r="R791" s="411"/>
      <c r="S791" s="413">
        <f t="shared" si="126"/>
        <v>1</v>
      </c>
      <c r="T791" s="414">
        <f>+HLOOKUP(B717,[238]Hoja1!$2:$78,34,FALSE)</f>
        <v>1.2</v>
      </c>
      <c r="Y791" s="439">
        <f t="shared" si="131"/>
        <v>1.2</v>
      </c>
      <c r="Z791" s="439">
        <f t="shared" si="125"/>
        <v>0</v>
      </c>
    </row>
    <row r="792" spans="1:26" ht="25.5">
      <c r="A792" s="453">
        <f t="shared" si="127"/>
        <v>3.06</v>
      </c>
      <c r="B792" s="383">
        <v>33</v>
      </c>
      <c r="D792" s="406"/>
      <c r="E792" s="407"/>
      <c r="F792" s="407"/>
      <c r="G792" s="407"/>
      <c r="H792" s="407"/>
      <c r="I792" s="407"/>
      <c r="J792" s="408" t="s">
        <v>444</v>
      </c>
      <c r="K792" s="409" t="str">
        <f t="shared" si="123"/>
        <v>A=(Ancho x Largo)* Cant</v>
      </c>
      <c r="L792" s="410" t="str">
        <f t="shared" si="132"/>
        <v>M2</v>
      </c>
      <c r="M792" s="411"/>
      <c r="N792" s="412"/>
      <c r="O792" s="442"/>
      <c r="P792" s="442"/>
      <c r="Q792" s="412"/>
      <c r="R792" s="411"/>
      <c r="S792" s="413" t="str">
        <f t="shared" si="126"/>
        <v/>
      </c>
      <c r="T792" s="414">
        <f>+HLOOKUP(B718,[238]Hoja1!$2:$78,34,FALSE)</f>
        <v>0</v>
      </c>
      <c r="Y792" s="439">
        <f t="shared" si="131"/>
        <v>0</v>
      </c>
      <c r="Z792" s="439">
        <f t="shared" si="125"/>
        <v>0</v>
      </c>
    </row>
    <row r="793" spans="1:26" ht="25.5">
      <c r="A793" s="453">
        <f t="shared" si="127"/>
        <v>3.06</v>
      </c>
      <c r="B793" s="383">
        <v>34</v>
      </c>
      <c r="D793" s="406"/>
      <c r="E793" s="407"/>
      <c r="F793" s="407"/>
      <c r="G793" s="407"/>
      <c r="H793" s="407"/>
      <c r="I793" s="407"/>
      <c r="J793" s="408" t="s">
        <v>445</v>
      </c>
      <c r="K793" s="409" t="str">
        <f t="shared" si="123"/>
        <v>A=(Ancho x Largo)* Cant</v>
      </c>
      <c r="L793" s="410" t="str">
        <f t="shared" si="132"/>
        <v>M2</v>
      </c>
      <c r="M793" s="411"/>
      <c r="N793" s="412"/>
      <c r="O793" s="442"/>
      <c r="P793" s="442"/>
      <c r="Q793" s="412"/>
      <c r="R793" s="411"/>
      <c r="S793" s="413" t="str">
        <f t="shared" si="126"/>
        <v/>
      </c>
      <c r="T793" s="414">
        <f>+HLOOKUP(B719,[238]Hoja1!$2:$78,34,FALSE)</f>
        <v>0</v>
      </c>
      <c r="Y793" s="439">
        <f t="shared" si="131"/>
        <v>0</v>
      </c>
      <c r="Z793" s="439">
        <f t="shared" si="125"/>
        <v>0</v>
      </c>
    </row>
    <row r="794" spans="1:26" ht="25.5">
      <c r="A794" s="453">
        <f t="shared" si="127"/>
        <v>3.06</v>
      </c>
      <c r="B794" s="383">
        <v>35</v>
      </c>
      <c r="D794" s="406"/>
      <c r="E794" s="440"/>
      <c r="F794" s="407"/>
      <c r="G794" s="407"/>
      <c r="H794" s="407"/>
      <c r="I794" s="437"/>
      <c r="J794" s="408" t="s">
        <v>446</v>
      </c>
      <c r="K794" s="409" t="str">
        <f t="shared" si="123"/>
        <v>A=(Ancho x Largo)* Cant</v>
      </c>
      <c r="L794" s="410" t="str">
        <f t="shared" si="132"/>
        <v>M2</v>
      </c>
      <c r="M794" s="411"/>
      <c r="N794" s="412"/>
      <c r="O794" s="442"/>
      <c r="P794" s="442"/>
      <c r="Q794" s="413"/>
      <c r="R794" s="411"/>
      <c r="S794" s="413" t="str">
        <f t="shared" si="126"/>
        <v/>
      </c>
      <c r="T794" s="414">
        <f>+HLOOKUP(B720,[238]Hoja1!$2:$78,34,FALSE)</f>
        <v>0</v>
      </c>
      <c r="Y794" s="439">
        <f t="shared" si="131"/>
        <v>0</v>
      </c>
      <c r="Z794" s="439">
        <f t="shared" si="125"/>
        <v>0</v>
      </c>
    </row>
    <row r="795" spans="1:26" ht="25.5">
      <c r="A795" s="453">
        <f t="shared" si="127"/>
        <v>3.06</v>
      </c>
      <c r="B795" s="383">
        <v>36</v>
      </c>
      <c r="D795" s="406"/>
      <c r="E795" s="407"/>
      <c r="F795" s="407"/>
      <c r="G795" s="407"/>
      <c r="H795" s="407"/>
      <c r="I795" s="407"/>
      <c r="J795" s="408" t="s">
        <v>447</v>
      </c>
      <c r="K795" s="409" t="str">
        <f t="shared" si="123"/>
        <v>A=(Ancho x Largo)* Cant</v>
      </c>
      <c r="L795" s="410" t="str">
        <f>+L784</f>
        <v>M2</v>
      </c>
      <c r="M795" s="411">
        <f t="shared" si="128"/>
        <v>1.2</v>
      </c>
      <c r="N795" s="412"/>
      <c r="O795" s="442">
        <v>0.6</v>
      </c>
      <c r="P795" s="442">
        <f t="shared" si="129"/>
        <v>2</v>
      </c>
      <c r="Q795" s="412"/>
      <c r="R795" s="411"/>
      <c r="S795" s="413">
        <f t="shared" si="126"/>
        <v>1</v>
      </c>
      <c r="T795" s="414">
        <f>+HLOOKUP(B721,[238]Hoja1!$2:$78,34,FALSE)</f>
        <v>1.2</v>
      </c>
      <c r="Y795" s="439">
        <f t="shared" si="131"/>
        <v>1.2</v>
      </c>
      <c r="Z795" s="439">
        <f t="shared" si="125"/>
        <v>0</v>
      </c>
    </row>
    <row r="796" spans="1:26" ht="25.5">
      <c r="A796" s="453">
        <f t="shared" si="127"/>
        <v>3.06</v>
      </c>
      <c r="B796" s="383">
        <v>37</v>
      </c>
      <c r="D796" s="406"/>
      <c r="E796" s="407"/>
      <c r="F796" s="407"/>
      <c r="G796" s="407"/>
      <c r="H796" s="407"/>
      <c r="I796" s="407"/>
      <c r="J796" s="408" t="s">
        <v>448</v>
      </c>
      <c r="K796" s="409" t="str">
        <f t="shared" si="123"/>
        <v>A=(Ancho x Largo)* Cant</v>
      </c>
      <c r="L796" s="410" t="str">
        <f t="shared" ref="L796:L802" si="133">+L795</f>
        <v>M2</v>
      </c>
      <c r="M796" s="411"/>
      <c r="N796" s="412"/>
      <c r="O796" s="442"/>
      <c r="P796" s="442"/>
      <c r="Q796" s="449"/>
      <c r="R796" s="411"/>
      <c r="S796" s="413" t="str">
        <f t="shared" si="126"/>
        <v/>
      </c>
      <c r="T796" s="414">
        <f>+HLOOKUP(B722,[238]Hoja1!$2:$78,34,FALSE)</f>
        <v>0</v>
      </c>
      <c r="Y796" s="439">
        <f t="shared" si="131"/>
        <v>0</v>
      </c>
      <c r="Z796" s="439">
        <f t="shared" si="125"/>
        <v>0</v>
      </c>
    </row>
    <row r="797" spans="1:26" ht="25.5">
      <c r="A797" s="453">
        <f t="shared" si="127"/>
        <v>3.06</v>
      </c>
      <c r="B797" s="383">
        <v>38</v>
      </c>
      <c r="D797" s="406"/>
      <c r="E797" s="440"/>
      <c r="F797" s="407"/>
      <c r="G797" s="407"/>
      <c r="H797" s="407"/>
      <c r="I797" s="437"/>
      <c r="J797" s="408" t="s">
        <v>449</v>
      </c>
      <c r="K797" s="409" t="str">
        <f t="shared" si="123"/>
        <v>A=(Ancho x Largo)* Cant</v>
      </c>
      <c r="L797" s="410" t="str">
        <f t="shared" si="133"/>
        <v>M2</v>
      </c>
      <c r="M797" s="411"/>
      <c r="N797" s="412"/>
      <c r="O797" s="442"/>
      <c r="P797" s="442"/>
      <c r="Q797" s="413"/>
      <c r="R797" s="411"/>
      <c r="S797" s="413" t="str">
        <f t="shared" si="126"/>
        <v/>
      </c>
      <c r="T797" s="414">
        <f>+HLOOKUP(B723,[238]Hoja1!$2:$78,34,FALSE)</f>
        <v>0</v>
      </c>
      <c r="Y797" s="439">
        <f t="shared" si="131"/>
        <v>0</v>
      </c>
      <c r="Z797" s="439">
        <f t="shared" si="125"/>
        <v>0</v>
      </c>
    </row>
    <row r="798" spans="1:26" ht="25.5">
      <c r="A798" s="453">
        <f t="shared" si="127"/>
        <v>3.06</v>
      </c>
      <c r="B798" s="383">
        <v>39</v>
      </c>
      <c r="D798" s="406"/>
      <c r="E798" s="407"/>
      <c r="F798" s="407"/>
      <c r="G798" s="407"/>
      <c r="H798" s="407"/>
      <c r="I798" s="407"/>
      <c r="J798" s="408" t="s">
        <v>450</v>
      </c>
      <c r="K798" s="409" t="str">
        <f t="shared" si="123"/>
        <v>A=(Ancho x Largo)* Cant</v>
      </c>
      <c r="L798" s="410" t="str">
        <f t="shared" si="133"/>
        <v>M2</v>
      </c>
      <c r="M798" s="411"/>
      <c r="N798" s="412"/>
      <c r="O798" s="442"/>
      <c r="P798" s="442"/>
      <c r="Q798" s="412"/>
      <c r="R798" s="411"/>
      <c r="S798" s="413" t="str">
        <f t="shared" si="126"/>
        <v/>
      </c>
      <c r="T798" s="414">
        <f>+HLOOKUP(B724,[238]Hoja1!$2:$78,34,FALSE)</f>
        <v>0</v>
      </c>
      <c r="Y798" s="439">
        <f t="shared" si="131"/>
        <v>0</v>
      </c>
      <c r="Z798" s="439">
        <f t="shared" si="125"/>
        <v>0</v>
      </c>
    </row>
    <row r="799" spans="1:26" ht="25.5">
      <c r="A799" s="453">
        <f t="shared" si="127"/>
        <v>3.06</v>
      </c>
      <c r="B799" s="383">
        <v>40</v>
      </c>
      <c r="D799" s="406"/>
      <c r="E799" s="407"/>
      <c r="F799" s="407"/>
      <c r="G799" s="407"/>
      <c r="H799" s="407"/>
      <c r="I799" s="407"/>
      <c r="J799" s="408" t="s">
        <v>451</v>
      </c>
      <c r="K799" s="409" t="str">
        <f t="shared" si="123"/>
        <v>A=(Ancho x Largo)* Cant</v>
      </c>
      <c r="L799" s="410" t="str">
        <f t="shared" si="133"/>
        <v>M2</v>
      </c>
      <c r="M799" s="411">
        <f t="shared" si="128"/>
        <v>1.2</v>
      </c>
      <c r="N799" s="412"/>
      <c r="O799" s="442">
        <v>0.6</v>
      </c>
      <c r="P799" s="442">
        <f t="shared" si="129"/>
        <v>2</v>
      </c>
      <c r="Q799" s="412"/>
      <c r="R799" s="411"/>
      <c r="S799" s="413">
        <f t="shared" si="126"/>
        <v>1</v>
      </c>
      <c r="T799" s="414">
        <f>+HLOOKUP(B725,[238]Hoja1!$2:$78,34,FALSE)</f>
        <v>1.2</v>
      </c>
      <c r="Y799" s="439">
        <f t="shared" si="131"/>
        <v>1.2</v>
      </c>
      <c r="Z799" s="439">
        <f t="shared" si="125"/>
        <v>0</v>
      </c>
    </row>
    <row r="800" spans="1:26" ht="25.5">
      <c r="A800" s="453">
        <f t="shared" si="127"/>
        <v>3.06</v>
      </c>
      <c r="B800" s="383">
        <v>41</v>
      </c>
      <c r="D800" s="406"/>
      <c r="E800" s="407"/>
      <c r="F800" s="407"/>
      <c r="G800" s="407"/>
      <c r="H800" s="407"/>
      <c r="I800" s="407"/>
      <c r="J800" s="408" t="s">
        <v>452</v>
      </c>
      <c r="K800" s="409" t="str">
        <f t="shared" si="123"/>
        <v>A=(Ancho x Largo)* Cant</v>
      </c>
      <c r="L800" s="410" t="str">
        <f t="shared" si="133"/>
        <v>M2</v>
      </c>
      <c r="M800" s="411"/>
      <c r="N800" s="412"/>
      <c r="O800" s="442"/>
      <c r="P800" s="442"/>
      <c r="Q800" s="413"/>
      <c r="R800" s="411"/>
      <c r="S800" s="413" t="str">
        <f t="shared" si="126"/>
        <v/>
      </c>
      <c r="T800" s="414">
        <f>+HLOOKUP(B726,[238]Hoja1!$2:$78,34,FALSE)</f>
        <v>0</v>
      </c>
      <c r="Y800" s="439">
        <f t="shared" si="131"/>
        <v>0</v>
      </c>
      <c r="Z800" s="439">
        <f t="shared" si="125"/>
        <v>0</v>
      </c>
    </row>
    <row r="801" spans="1:26" ht="25.5">
      <c r="A801" s="453">
        <f t="shared" si="127"/>
        <v>3.06</v>
      </c>
      <c r="B801" s="383">
        <v>42</v>
      </c>
      <c r="D801" s="406"/>
      <c r="E801" s="407"/>
      <c r="F801" s="407"/>
      <c r="G801" s="407"/>
      <c r="H801" s="407"/>
      <c r="I801" s="407"/>
      <c r="J801" s="408" t="s">
        <v>453</v>
      </c>
      <c r="K801" s="409" t="str">
        <f t="shared" si="123"/>
        <v>A=(Ancho x Largo)* Cant</v>
      </c>
      <c r="L801" s="410" t="str">
        <f t="shared" si="133"/>
        <v>M2</v>
      </c>
      <c r="M801" s="411"/>
      <c r="N801" s="412"/>
      <c r="O801" s="442"/>
      <c r="P801" s="442"/>
      <c r="Q801" s="412"/>
      <c r="R801" s="411"/>
      <c r="S801" s="413" t="str">
        <f t="shared" si="126"/>
        <v/>
      </c>
      <c r="T801" s="414">
        <f>+HLOOKUP(B727,[238]Hoja1!$2:$78,34,FALSE)</f>
        <v>0</v>
      </c>
      <c r="Y801" s="439">
        <f t="shared" si="131"/>
        <v>0</v>
      </c>
      <c r="Z801" s="439">
        <f t="shared" si="125"/>
        <v>0</v>
      </c>
    </row>
    <row r="802" spans="1:26" ht="26.25" thickBot="1">
      <c r="A802" s="453">
        <f t="shared" si="127"/>
        <v>3.06</v>
      </c>
      <c r="B802" s="383">
        <v>43</v>
      </c>
      <c r="D802" s="406"/>
      <c r="E802" s="407"/>
      <c r="F802" s="407"/>
      <c r="G802" s="407"/>
      <c r="H802" s="407"/>
      <c r="I802" s="407"/>
      <c r="J802" s="408" t="s">
        <v>454</v>
      </c>
      <c r="K802" s="409" t="str">
        <f t="shared" si="123"/>
        <v>A=(Ancho x Largo)* Cant</v>
      </c>
      <c r="L802" s="410" t="str">
        <f t="shared" si="133"/>
        <v>M2</v>
      </c>
      <c r="M802" s="411"/>
      <c r="N802" s="412"/>
      <c r="O802" s="442"/>
      <c r="P802" s="442"/>
      <c r="Q802" s="412"/>
      <c r="R802" s="411"/>
      <c r="S802" s="413" t="str">
        <f t="shared" si="126"/>
        <v/>
      </c>
      <c r="T802" s="414">
        <f>+HLOOKUP(B728,[238]Hoja1!$2:$78,34,FALSE)</f>
        <v>0</v>
      </c>
      <c r="Y802" s="439">
        <f t="shared" si="131"/>
        <v>0</v>
      </c>
      <c r="Z802" s="439">
        <f t="shared" si="125"/>
        <v>0</v>
      </c>
    </row>
    <row r="803" spans="1:26">
      <c r="D803" s="384"/>
      <c r="E803" s="419"/>
      <c r="F803" s="420"/>
      <c r="G803" s="421"/>
      <c r="H803" s="421"/>
      <c r="I803" s="421"/>
      <c r="J803" s="421"/>
      <c r="K803" s="422"/>
      <c r="L803" s="421"/>
      <c r="M803" s="421"/>
      <c r="N803" s="421"/>
      <c r="O803" s="421"/>
      <c r="P803" s="421"/>
      <c r="Q803" s="421"/>
      <c r="R803" s="421"/>
      <c r="S803" s="422"/>
      <c r="T803" s="423"/>
    </row>
    <row r="804" spans="1:26">
      <c r="D804" s="396"/>
      <c r="E804" s="397"/>
      <c r="F804" s="424"/>
      <c r="G804" s="425"/>
      <c r="H804" s="425"/>
      <c r="I804" s="425"/>
      <c r="J804" s="425"/>
      <c r="K804" s="398"/>
      <c r="L804" s="425"/>
      <c r="M804" s="425"/>
      <c r="N804" s="397"/>
      <c r="O804" s="397"/>
      <c r="P804" s="562" t="s">
        <v>455</v>
      </c>
      <c r="Q804" s="563"/>
      <c r="R804" s="564"/>
      <c r="S804" s="426"/>
      <c r="T804" s="427">
        <f>ROUND(SUM(T760:T803),2)</f>
        <v>10.36</v>
      </c>
    </row>
    <row r="805" spans="1:26">
      <c r="D805" s="396"/>
      <c r="E805" s="397"/>
      <c r="F805" s="424"/>
      <c r="G805" s="425"/>
      <c r="H805" s="425"/>
      <c r="I805" s="425"/>
      <c r="J805" s="425"/>
      <c r="K805" s="398"/>
      <c r="L805" s="425"/>
      <c r="M805" s="425"/>
      <c r="N805" s="428"/>
      <c r="O805" s="428"/>
      <c r="P805" s="429"/>
      <c r="Q805" s="425"/>
      <c r="R805" s="425"/>
      <c r="S805" s="430"/>
      <c r="T805" s="431"/>
    </row>
    <row r="806" spans="1:26">
      <c r="D806" s="565" t="e">
        <v>#REF!</v>
      </c>
      <c r="E806" s="566"/>
      <c r="F806" s="566"/>
      <c r="G806" s="566"/>
      <c r="H806" s="566"/>
      <c r="I806" s="566"/>
      <c r="J806" s="566"/>
      <c r="K806" s="566"/>
      <c r="L806" s="566"/>
      <c r="M806" s="566"/>
      <c r="N806" s="566"/>
      <c r="O806" s="567"/>
      <c r="P806" s="568" t="s">
        <v>422</v>
      </c>
      <c r="Q806" s="568"/>
      <c r="R806" s="568"/>
      <c r="S806" s="426"/>
      <c r="T806" s="427">
        <f>T804</f>
        <v>10.36</v>
      </c>
    </row>
    <row r="807" spans="1:26">
      <c r="D807" s="396"/>
      <c r="E807" s="397"/>
      <c r="F807" s="424"/>
      <c r="G807" s="425"/>
      <c r="H807" s="425"/>
      <c r="I807" s="425"/>
      <c r="J807" s="425"/>
      <c r="K807" s="398"/>
      <c r="L807" s="425"/>
      <c r="M807" s="425"/>
      <c r="N807" s="428"/>
      <c r="O807" s="428"/>
      <c r="P807" s="429"/>
      <c r="Q807" s="425"/>
      <c r="R807" s="398"/>
      <c r="S807" s="398"/>
      <c r="T807" s="432"/>
    </row>
    <row r="808" spans="1:26">
      <c r="D808" s="396"/>
      <c r="E808" s="397"/>
      <c r="F808" s="424"/>
      <c r="G808" s="425"/>
      <c r="H808" s="425"/>
      <c r="I808" s="425"/>
      <c r="J808" s="425"/>
      <c r="K808" s="398"/>
      <c r="L808" s="425"/>
      <c r="M808" s="425"/>
      <c r="N808" s="428"/>
      <c r="O808" s="428"/>
      <c r="P808" s="429"/>
      <c r="Q808" s="425"/>
      <c r="R808" s="398"/>
      <c r="S808" s="398"/>
      <c r="T808" s="432"/>
    </row>
    <row r="809" spans="1:26">
      <c r="D809" s="569" t="s">
        <v>423</v>
      </c>
      <c r="E809" s="570"/>
      <c r="F809" s="570"/>
      <c r="G809" s="570"/>
      <c r="H809" s="570"/>
      <c r="I809" s="570"/>
      <c r="J809" s="570"/>
      <c r="K809" s="571"/>
      <c r="L809" s="433" t="s">
        <v>424</v>
      </c>
      <c r="M809" s="434"/>
      <c r="N809" s="434"/>
      <c r="O809" s="434"/>
      <c r="P809" s="434"/>
      <c r="Q809" s="434"/>
      <c r="R809" s="434"/>
      <c r="S809" s="434"/>
      <c r="T809" s="435"/>
    </row>
    <row r="810" spans="1:26">
      <c r="D810" s="542"/>
      <c r="E810" s="543"/>
      <c r="F810" s="543"/>
      <c r="G810" s="543"/>
      <c r="H810" s="436"/>
      <c r="I810" s="436"/>
      <c r="J810" s="436"/>
      <c r="K810" s="447"/>
      <c r="L810" s="436"/>
      <c r="M810" s="407"/>
      <c r="N810" s="407"/>
      <c r="O810" s="407"/>
      <c r="P810" s="407"/>
      <c r="Q810" s="407"/>
      <c r="R810" s="407"/>
      <c r="S810" s="407"/>
      <c r="T810" s="437"/>
    </row>
    <row r="811" spans="1:26">
      <c r="D811" s="542"/>
      <c r="E811" s="543"/>
      <c r="F811" s="543"/>
      <c r="G811" s="543"/>
      <c r="H811" s="436"/>
      <c r="I811" s="436"/>
      <c r="J811" s="436"/>
      <c r="K811" s="447"/>
      <c r="L811" s="436"/>
      <c r="M811" s="407"/>
      <c r="N811" s="407"/>
      <c r="O811" s="407"/>
      <c r="P811" s="407"/>
      <c r="Q811" s="407"/>
      <c r="R811" s="407"/>
      <c r="S811" s="407"/>
      <c r="T811" s="437"/>
    </row>
    <row r="812" spans="1:26">
      <c r="D812" s="542" t="s">
        <v>425</v>
      </c>
      <c r="E812" s="543"/>
      <c r="F812" s="543" t="s">
        <v>425</v>
      </c>
      <c r="G812" s="543"/>
      <c r="H812" s="543" t="s">
        <v>425</v>
      </c>
      <c r="I812" s="543"/>
      <c r="J812" s="543" t="s">
        <v>425</v>
      </c>
      <c r="K812" s="544"/>
      <c r="L812" s="545" t="s">
        <v>426</v>
      </c>
      <c r="M812" s="546"/>
      <c r="N812" s="546"/>
      <c r="O812" s="546"/>
      <c r="P812" s="546"/>
      <c r="Q812" s="546"/>
      <c r="R812" s="546"/>
      <c r="S812" s="546"/>
      <c r="T812" s="547"/>
    </row>
    <row r="813" spans="1:26">
      <c r="D813" s="548" t="str">
        <f>+[42]DATOS!D$8</f>
        <v>HELMER EDUARDO BECERRA SANTANDER</v>
      </c>
      <c r="E813" s="549"/>
      <c r="F813" s="549" t="s">
        <v>427</v>
      </c>
      <c r="G813" s="549"/>
      <c r="H813" s="549" t="s">
        <v>427</v>
      </c>
      <c r="I813" s="549"/>
      <c r="J813" s="549" t="s">
        <v>427</v>
      </c>
      <c r="K813" s="550"/>
      <c r="L813" s="551" t="str">
        <f>+[42]DATOS!D$11</f>
        <v>JESUS IVAN QUIÑONES RUEDA</v>
      </c>
      <c r="M813" s="549"/>
      <c r="N813" s="549"/>
      <c r="O813" s="549"/>
      <c r="P813" s="549"/>
      <c r="Q813" s="549"/>
      <c r="R813" s="549"/>
      <c r="S813" s="549"/>
      <c r="T813" s="552"/>
    </row>
    <row r="814" spans="1:26">
      <c r="D814" s="553" t="str">
        <f>+$D$72</f>
        <v>APOYO SEC. DE PLANEACION Y OBRAS PÚBLICAS</v>
      </c>
      <c r="E814" s="554"/>
      <c r="F814" s="554" t="s">
        <v>428</v>
      </c>
      <c r="G814" s="554"/>
      <c r="H814" s="554" t="s">
        <v>428</v>
      </c>
      <c r="I814" s="554"/>
      <c r="J814" s="554" t="s">
        <v>428</v>
      </c>
      <c r="K814" s="555"/>
      <c r="L814" s="556" t="str">
        <f>+$L$72</f>
        <v>SECRETARIO DE PLANEACION Y OBRAS PÚBLICAS</v>
      </c>
      <c r="M814" s="554"/>
      <c r="N814" s="554"/>
      <c r="O814" s="554"/>
      <c r="P814" s="554"/>
      <c r="Q814" s="554"/>
      <c r="R814" s="554"/>
      <c r="S814" s="554"/>
      <c r="T814" s="557"/>
    </row>
    <row r="815" spans="1:26">
      <c r="D815" s="406"/>
      <c r="E815" s="407"/>
      <c r="F815" s="407"/>
      <c r="G815" s="407"/>
      <c r="H815" s="407"/>
      <c r="I815" s="407"/>
      <c r="J815" s="407"/>
      <c r="K815" s="407"/>
      <c r="L815" s="407"/>
      <c r="M815" s="407"/>
      <c r="N815" s="407"/>
      <c r="O815" s="407"/>
      <c r="P815" s="407"/>
      <c r="Q815" s="407"/>
      <c r="R815" s="407"/>
      <c r="S815" s="407"/>
      <c r="T815" s="437"/>
    </row>
    <row r="816" spans="1:26" ht="111" customHeight="1" thickBot="1">
      <c r="D816" s="417"/>
      <c r="E816" s="418"/>
      <c r="F816" s="418"/>
      <c r="G816" s="418"/>
      <c r="H816" s="418"/>
      <c r="I816" s="418"/>
      <c r="J816" s="418"/>
      <c r="K816" s="418"/>
      <c r="L816" s="418"/>
      <c r="M816" s="418"/>
      <c r="N816" s="418"/>
      <c r="O816" s="418"/>
      <c r="P816" s="418"/>
      <c r="Q816" s="418"/>
      <c r="R816" s="418"/>
      <c r="S816" s="418"/>
      <c r="T816" s="438"/>
    </row>
    <row r="817" spans="4:23" ht="22.5" customHeight="1"/>
    <row r="818" spans="4:23" ht="13.5" thickBot="1"/>
    <row r="819" spans="4:23">
      <c r="D819" s="384"/>
      <c r="E819" s="385"/>
      <c r="F819" s="385"/>
      <c r="G819" s="385"/>
      <c r="H819" s="385"/>
      <c r="I819" s="385"/>
      <c r="J819" s="385"/>
      <c r="K819" s="445"/>
      <c r="L819" s="385"/>
      <c r="M819" s="385"/>
      <c r="N819" s="385"/>
      <c r="O819" s="385"/>
      <c r="P819" s="385"/>
      <c r="Q819" s="385"/>
      <c r="R819" s="385"/>
      <c r="S819" s="385"/>
      <c r="T819" s="386"/>
    </row>
    <row r="820" spans="4:23" ht="121.5" customHeight="1" thickBot="1">
      <c r="D820" s="387"/>
      <c r="E820" s="388"/>
      <c r="F820" s="388"/>
      <c r="G820" s="388"/>
      <c r="H820" s="388"/>
      <c r="I820" s="388"/>
      <c r="J820" s="388"/>
      <c r="K820" s="446"/>
      <c r="L820" s="388"/>
      <c r="M820" s="388"/>
      <c r="N820" s="388"/>
      <c r="O820" s="388"/>
      <c r="P820" s="388"/>
      <c r="Q820" s="388"/>
      <c r="R820" s="388"/>
      <c r="S820" s="388"/>
      <c r="T820" s="389"/>
    </row>
    <row r="821" spans="4:23">
      <c r="D821" s="592" t="str">
        <f>+[42]DATOS!C$7</f>
        <v>MEJORAMIENTO DE VIVIENDA CON ENFOQUE DIFERENCIAL PARA POBLACIÓN VULNERABLE EN EL MUNICIPIO DE CUBARÁ, BOYACÁ (2026).</v>
      </c>
      <c r="E821" s="593"/>
      <c r="F821" s="593"/>
      <c r="G821" s="593"/>
      <c r="H821" s="593"/>
      <c r="I821" s="593"/>
      <c r="J821" s="593"/>
      <c r="K821" s="593"/>
      <c r="L821" s="593"/>
      <c r="M821" s="593"/>
      <c r="N821" s="593"/>
      <c r="O821" s="593"/>
      <c r="P821" s="593"/>
      <c r="Q821" s="593"/>
      <c r="R821" s="593"/>
      <c r="S821" s="593"/>
      <c r="T821" s="594"/>
    </row>
    <row r="822" spans="4:23">
      <c r="D822" s="595"/>
      <c r="E822" s="596"/>
      <c r="F822" s="596"/>
      <c r="G822" s="596"/>
      <c r="H822" s="596"/>
      <c r="I822" s="596"/>
      <c r="J822" s="596"/>
      <c r="K822" s="596"/>
      <c r="L822" s="596"/>
      <c r="M822" s="596"/>
      <c r="N822" s="596"/>
      <c r="O822" s="596"/>
      <c r="P822" s="596"/>
      <c r="Q822" s="596"/>
      <c r="R822" s="596"/>
      <c r="S822" s="596"/>
      <c r="T822" s="597"/>
    </row>
    <row r="823" spans="4:23">
      <c r="D823" s="598" t="s">
        <v>371</v>
      </c>
      <c r="E823" s="599"/>
      <c r="F823" s="599"/>
      <c r="G823" s="599"/>
      <c r="H823" s="599"/>
      <c r="I823" s="599"/>
      <c r="J823" s="599"/>
      <c r="K823" s="599"/>
      <c r="L823" s="599"/>
      <c r="M823" s="599"/>
      <c r="N823" s="599"/>
      <c r="O823" s="599"/>
      <c r="P823" s="599"/>
      <c r="Q823" s="599"/>
      <c r="R823" s="599"/>
      <c r="S823" s="599"/>
      <c r="T823" s="600"/>
    </row>
    <row r="824" spans="4:23">
      <c r="D824" s="586" t="s">
        <v>372</v>
      </c>
      <c r="E824" s="587"/>
      <c r="F824" s="601" t="s">
        <v>373</v>
      </c>
      <c r="G824" s="601"/>
      <c r="H824" s="601"/>
      <c r="I824" s="601"/>
      <c r="J824" s="601"/>
      <c r="K824" s="601"/>
      <c r="L824" s="601"/>
      <c r="M824" s="601"/>
      <c r="N824" s="601"/>
      <c r="O824" s="601"/>
      <c r="P824" s="601"/>
      <c r="Q824" s="601"/>
      <c r="R824" s="601"/>
      <c r="S824" s="601"/>
      <c r="T824" s="602"/>
    </row>
    <row r="825" spans="4:23">
      <c r="D825" s="586" t="s">
        <v>374</v>
      </c>
      <c r="E825" s="587"/>
      <c r="F825" s="603" t="s">
        <v>375</v>
      </c>
      <c r="G825" s="604"/>
      <c r="H825" s="604"/>
      <c r="I825" s="604"/>
      <c r="J825" s="604"/>
      <c r="K825" s="604"/>
      <c r="L825" s="604"/>
      <c r="M825" s="604"/>
      <c r="N825" s="604"/>
      <c r="O825" s="604"/>
      <c r="P825" s="604"/>
      <c r="Q825" s="604"/>
      <c r="R825" s="604"/>
      <c r="S825" s="604"/>
      <c r="T825" s="605"/>
    </row>
    <row r="826" spans="4:23">
      <c r="D826" s="586" t="s">
        <v>376</v>
      </c>
      <c r="E826" s="587"/>
      <c r="F826" s="390">
        <f>+[42]DATOS!F$5</f>
        <v>46143</v>
      </c>
      <c r="G826" s="391"/>
      <c r="H826" s="391"/>
      <c r="I826" s="391"/>
      <c r="J826" s="391"/>
      <c r="K826" s="391"/>
      <c r="L826" s="568" t="s">
        <v>377</v>
      </c>
      <c r="M826" s="568"/>
      <c r="N826" s="588" t="s">
        <v>378</v>
      </c>
      <c r="O826" s="588"/>
      <c r="P826" s="588"/>
      <c r="Q826" s="588"/>
      <c r="R826" s="588"/>
      <c r="S826" s="588"/>
      <c r="T826" s="589"/>
    </row>
    <row r="827" spans="4:23" ht="25.5">
      <c r="D827" s="586" t="s">
        <v>379</v>
      </c>
      <c r="E827" s="587"/>
      <c r="F827" s="590" t="s">
        <v>380</v>
      </c>
      <c r="G827" s="591"/>
      <c r="H827" s="392">
        <f>+[42]DATOS!E$5</f>
        <v>2026</v>
      </c>
      <c r="I827" s="393" t="s">
        <v>381</v>
      </c>
      <c r="J827" s="394">
        <f>+[42]DATOS!E$5</f>
        <v>2026</v>
      </c>
      <c r="K827" s="395"/>
      <c r="L827" s="568" t="s">
        <v>382</v>
      </c>
      <c r="M827" s="568"/>
      <c r="N827" s="588" t="s">
        <v>383</v>
      </c>
      <c r="O827" s="588"/>
      <c r="P827" s="588"/>
      <c r="Q827" s="588"/>
      <c r="R827" s="588"/>
      <c r="S827" s="588"/>
      <c r="T827" s="589"/>
    </row>
    <row r="828" spans="4:23">
      <c r="D828" s="396"/>
      <c r="E828" s="397"/>
      <c r="F828" s="397"/>
      <c r="G828" s="398"/>
      <c r="H828" s="398"/>
      <c r="I828" s="398"/>
      <c r="J828" s="398"/>
      <c r="K828" s="398"/>
      <c r="L828" s="398"/>
      <c r="M828" s="398"/>
      <c r="N828" s="398"/>
      <c r="O828" s="398"/>
      <c r="P828" s="398"/>
      <c r="Q828" s="398"/>
      <c r="R828" s="398"/>
      <c r="S828" s="398"/>
      <c r="T828" s="399"/>
    </row>
    <row r="829" spans="4:23">
      <c r="D829" s="572" t="s">
        <v>384</v>
      </c>
      <c r="E829" s="573"/>
      <c r="F829" s="573"/>
      <c r="G829" s="573"/>
      <c r="H829" s="573"/>
      <c r="I829" s="573"/>
      <c r="J829" s="573"/>
      <c r="K829" s="573"/>
      <c r="L829" s="573"/>
      <c r="M829" s="573"/>
      <c r="N829" s="573"/>
      <c r="O829" s="573"/>
      <c r="P829" s="573"/>
      <c r="Q829" s="573"/>
      <c r="R829" s="573"/>
      <c r="S829" s="573"/>
      <c r="T829" s="574"/>
    </row>
    <row r="830" spans="4:23">
      <c r="D830" s="396"/>
      <c r="E830" s="397"/>
      <c r="F830" s="397"/>
      <c r="G830" s="398"/>
      <c r="H830" s="398"/>
      <c r="I830" s="398"/>
      <c r="J830" s="398"/>
      <c r="K830" s="398"/>
      <c r="L830" s="398"/>
      <c r="M830" s="398"/>
      <c r="N830" s="398"/>
      <c r="O830" s="398"/>
      <c r="P830" s="398"/>
      <c r="Q830" s="398"/>
      <c r="R830" s="398"/>
      <c r="S830" s="398"/>
      <c r="T830" s="399"/>
    </row>
    <row r="831" spans="4:23">
      <c r="D831" s="400" t="s">
        <v>385</v>
      </c>
      <c r="E831" s="575" t="s">
        <v>386</v>
      </c>
      <c r="F831" s="575"/>
      <c r="G831" s="576" t="s">
        <v>387</v>
      </c>
      <c r="H831" s="577"/>
      <c r="I831" s="577"/>
      <c r="J831" s="576" t="s">
        <v>388</v>
      </c>
      <c r="K831" s="576" t="s">
        <v>389</v>
      </c>
      <c r="L831" s="579"/>
      <c r="M831" s="581" t="s">
        <v>390</v>
      </c>
      <c r="N831" s="581"/>
      <c r="O831" s="581"/>
      <c r="P831" s="581"/>
      <c r="Q831" s="581"/>
      <c r="R831" s="581"/>
      <c r="S831" s="581" t="s">
        <v>391</v>
      </c>
      <c r="T831" s="582"/>
    </row>
    <row r="832" spans="4:23" ht="38.25">
      <c r="D832" s="403">
        <f>+'PRESUPUESTO OFICIAL '!C45</f>
        <v>3.07</v>
      </c>
      <c r="E832" s="583" t="str">
        <f>+VLOOKUP(D832,'PRESUPUESTO OFICIAL '!$C$11:$H$103,2)</f>
        <v>MESONES EN CONCRETO A = 0.60 M. 17.5 MPa - (2500 PSI) INCLUYE REFUERZO, E = 0.05 M.</v>
      </c>
      <c r="F832" s="584"/>
      <c r="G832" s="585" t="str">
        <f>+VLOOKUP(D832,'PRESUPUESTO OFICIAL '!$C$11:$H$103,3)</f>
        <v>M2</v>
      </c>
      <c r="H832" s="585"/>
      <c r="I832" s="585"/>
      <c r="J832" s="578"/>
      <c r="K832" s="578"/>
      <c r="L832" s="580"/>
      <c r="M832" s="401" t="s">
        <v>392</v>
      </c>
      <c r="N832" s="401" t="s">
        <v>393</v>
      </c>
      <c r="O832" s="401" t="s">
        <v>394</v>
      </c>
      <c r="P832" s="401" t="s">
        <v>395</v>
      </c>
      <c r="Q832" s="401" t="s">
        <v>396</v>
      </c>
      <c r="R832" s="401" t="s">
        <v>397</v>
      </c>
      <c r="S832" s="401" t="s">
        <v>398</v>
      </c>
      <c r="T832" s="402" t="s">
        <v>399</v>
      </c>
      <c r="V832" s="404">
        <f>+D832</f>
        <v>3.07</v>
      </c>
      <c r="W832" s="405">
        <f>+T880</f>
        <v>22.69</v>
      </c>
    </row>
    <row r="833" spans="1:26">
      <c r="D833" s="406"/>
      <c r="E833" s="407"/>
      <c r="F833" s="407"/>
      <c r="G833" s="407"/>
      <c r="H833" s="407"/>
      <c r="I833" s="407"/>
      <c r="J833" s="558"/>
      <c r="K833" s="559"/>
      <c r="L833" s="560"/>
      <c r="M833" s="560"/>
      <c r="N833" s="560"/>
      <c r="O833" s="560"/>
      <c r="P833" s="560"/>
      <c r="Q833" s="560"/>
      <c r="R833" s="560"/>
      <c r="S833" s="560"/>
      <c r="T833" s="561"/>
    </row>
    <row r="834" spans="1:26" ht="25.5">
      <c r="A834" s="453">
        <f>+D832</f>
        <v>3.07</v>
      </c>
      <c r="B834" s="383">
        <v>1</v>
      </c>
      <c r="D834" s="406"/>
      <c r="E834" s="407"/>
      <c r="F834" s="407"/>
      <c r="G834" s="407"/>
      <c r="H834" s="407"/>
      <c r="I834" s="407"/>
      <c r="J834" s="408" t="s">
        <v>400</v>
      </c>
      <c r="K834" s="409" t="str">
        <f t="shared" ref="K834:K876" si="134">+VLOOKUP(L834,$AH$22:$AJ$58,2,)</f>
        <v>A=(Ancho x Largo)* Cant</v>
      </c>
      <c r="L834" s="410" t="str">
        <f>+G832</f>
        <v>M2</v>
      </c>
      <c r="M834" s="411"/>
      <c r="N834" s="412"/>
      <c r="O834" s="442"/>
      <c r="P834" s="442"/>
      <c r="Q834" s="413"/>
      <c r="R834" s="411"/>
      <c r="S834" s="413"/>
      <c r="T834" s="414">
        <f>+HLOOKUP(B760,[238]Hoja1!$2:$78,35,FALSE)</f>
        <v>0</v>
      </c>
      <c r="Y834" s="439">
        <f t="shared" ref="Y834:Y850" si="135">+O834*P834</f>
        <v>0</v>
      </c>
      <c r="Z834" s="439">
        <f t="shared" ref="Z834:Z876" si="136">+Y834-M834</f>
        <v>0</v>
      </c>
    </row>
    <row r="835" spans="1:26" ht="25.5">
      <c r="A835" s="453">
        <f>+A834</f>
        <v>3.07</v>
      </c>
      <c r="B835" s="383">
        <v>2</v>
      </c>
      <c r="D835" s="406"/>
      <c r="E835" s="407"/>
      <c r="F835" s="407"/>
      <c r="G835" s="407"/>
      <c r="H835" s="407"/>
      <c r="I835" s="407"/>
      <c r="J835" s="408" t="s">
        <v>401</v>
      </c>
      <c r="K835" s="409" t="str">
        <f t="shared" si="134"/>
        <v>A=(Ancho x Largo)* Cant</v>
      </c>
      <c r="L835" s="410" t="str">
        <f>+L834</f>
        <v>M2</v>
      </c>
      <c r="M835" s="411"/>
      <c r="N835" s="412"/>
      <c r="O835" s="442"/>
      <c r="P835" s="442"/>
      <c r="Q835" s="413"/>
      <c r="R835" s="411"/>
      <c r="S835" s="413"/>
      <c r="T835" s="414">
        <f>+HLOOKUP(B761,[238]Hoja1!$2:$78,35,FALSE)</f>
        <v>0</v>
      </c>
      <c r="Y835" s="439">
        <f t="shared" si="135"/>
        <v>0</v>
      </c>
      <c r="Z835" s="439">
        <f t="shared" si="136"/>
        <v>0</v>
      </c>
    </row>
    <row r="836" spans="1:26" ht="25.5">
      <c r="A836" s="453">
        <f t="shared" ref="A836:A876" si="137">+A835</f>
        <v>3.07</v>
      </c>
      <c r="B836" s="383">
        <v>3</v>
      </c>
      <c r="D836" s="406"/>
      <c r="E836" s="407"/>
      <c r="F836" s="407"/>
      <c r="G836" s="407"/>
      <c r="H836" s="407"/>
      <c r="I836" s="407"/>
      <c r="J836" s="408" t="s">
        <v>402</v>
      </c>
      <c r="K836" s="409" t="str">
        <f t="shared" si="134"/>
        <v>A=(Ancho x Largo)* Cant</v>
      </c>
      <c r="L836" s="410" t="str">
        <f>+L835</f>
        <v>M2</v>
      </c>
      <c r="M836" s="411"/>
      <c r="N836" s="412"/>
      <c r="O836" s="442"/>
      <c r="P836" s="442"/>
      <c r="Q836" s="413"/>
      <c r="R836" s="411"/>
      <c r="S836" s="413"/>
      <c r="T836" s="414">
        <f>+HLOOKUP(B762,[238]Hoja1!$2:$78,35,FALSE)</f>
        <v>0</v>
      </c>
      <c r="Y836" s="439">
        <f t="shared" si="135"/>
        <v>0</v>
      </c>
      <c r="Z836" s="439">
        <f t="shared" si="136"/>
        <v>0</v>
      </c>
    </row>
    <row r="837" spans="1:26" ht="25.5">
      <c r="A837" s="453">
        <f t="shared" si="137"/>
        <v>3.07</v>
      </c>
      <c r="B837" s="383">
        <v>4</v>
      </c>
      <c r="D837" s="406"/>
      <c r="E837" s="407"/>
      <c r="F837" s="407"/>
      <c r="G837" s="407"/>
      <c r="H837" s="407"/>
      <c r="I837" s="407"/>
      <c r="J837" s="408" t="s">
        <v>403</v>
      </c>
      <c r="K837" s="409" t="str">
        <f t="shared" si="134"/>
        <v>A=(Ancho x Largo)* Cant</v>
      </c>
      <c r="L837" s="410" t="str">
        <f>+L836</f>
        <v>M2</v>
      </c>
      <c r="M837" s="411"/>
      <c r="N837" s="412"/>
      <c r="O837" s="442"/>
      <c r="P837" s="442"/>
      <c r="Q837" s="413"/>
      <c r="R837" s="411"/>
      <c r="S837" s="413"/>
      <c r="T837" s="414">
        <f>+HLOOKUP(B763,[238]Hoja1!$2:$78,35,FALSE)</f>
        <v>0</v>
      </c>
      <c r="Y837" s="439">
        <f t="shared" si="135"/>
        <v>0</v>
      </c>
      <c r="Z837" s="439">
        <f t="shared" si="136"/>
        <v>0</v>
      </c>
    </row>
    <row r="838" spans="1:26" ht="25.5">
      <c r="A838" s="453">
        <f t="shared" si="137"/>
        <v>3.07</v>
      </c>
      <c r="B838" s="383">
        <v>5</v>
      </c>
      <c r="D838" s="406"/>
      <c r="E838" s="407"/>
      <c r="F838" s="407"/>
      <c r="G838" s="407"/>
      <c r="H838" s="407"/>
      <c r="I838" s="407"/>
      <c r="J838" s="408" t="s">
        <v>405</v>
      </c>
      <c r="K838" s="409" t="str">
        <f t="shared" si="134"/>
        <v>A=(Ancho x Largo)* Cant</v>
      </c>
      <c r="L838" s="410" t="str">
        <f>+L837</f>
        <v>M2</v>
      </c>
      <c r="M838" s="411"/>
      <c r="N838" s="412"/>
      <c r="O838" s="442"/>
      <c r="P838" s="442"/>
      <c r="Q838" s="413"/>
      <c r="R838" s="411"/>
      <c r="S838" s="413"/>
      <c r="T838" s="414">
        <f>+HLOOKUP(B764,[238]Hoja1!$2:$78,35,FALSE)</f>
        <v>0</v>
      </c>
      <c r="Y838" s="439">
        <f t="shared" si="135"/>
        <v>0</v>
      </c>
      <c r="Z838" s="439">
        <f t="shared" si="136"/>
        <v>0</v>
      </c>
    </row>
    <row r="839" spans="1:26" ht="25.5">
      <c r="A839" s="453">
        <f t="shared" si="137"/>
        <v>3.07</v>
      </c>
      <c r="B839" s="383">
        <v>6</v>
      </c>
      <c r="D839" s="406"/>
      <c r="E839" s="407"/>
      <c r="F839" s="407"/>
      <c r="G839" s="407"/>
      <c r="H839" s="407"/>
      <c r="I839" s="407"/>
      <c r="J839" s="408" t="s">
        <v>407</v>
      </c>
      <c r="K839" s="409" t="str">
        <f t="shared" si="134"/>
        <v>A=(Ancho x Largo)* Cant</v>
      </c>
      <c r="L839" s="410" t="str">
        <f>+L838</f>
        <v>M2</v>
      </c>
      <c r="M839" s="411">
        <f t="shared" ref="M839:M873" si="138">+O839*P839</f>
        <v>1.2</v>
      </c>
      <c r="N839" s="412"/>
      <c r="O839" s="442">
        <v>0.6</v>
      </c>
      <c r="P839" s="442">
        <f t="shared" ref="P839:P873" si="139">+T839/O839</f>
        <v>2</v>
      </c>
      <c r="Q839" s="413"/>
      <c r="R839" s="411"/>
      <c r="S839" s="413">
        <v>1</v>
      </c>
      <c r="T839" s="414">
        <f>+HLOOKUP(B765,[238]Hoja1!$2:$78,35,FALSE)</f>
        <v>1.2</v>
      </c>
      <c r="Y839" s="439">
        <f t="shared" si="135"/>
        <v>1.2</v>
      </c>
      <c r="Z839" s="439">
        <f t="shared" si="136"/>
        <v>0</v>
      </c>
    </row>
    <row r="840" spans="1:26" ht="25.5">
      <c r="A840" s="453">
        <f t="shared" si="137"/>
        <v>3.07</v>
      </c>
      <c r="B840" s="383">
        <v>7</v>
      </c>
      <c r="D840" s="406"/>
      <c r="E840" s="407"/>
      <c r="F840" s="407"/>
      <c r="G840" s="407"/>
      <c r="H840" s="407"/>
      <c r="I840" s="407"/>
      <c r="J840" s="408" t="s">
        <v>409</v>
      </c>
      <c r="K840" s="409" t="str">
        <f t="shared" si="134"/>
        <v>A=(Ancho x Largo)* Cant</v>
      </c>
      <c r="L840" s="410" t="str">
        <f>+L834</f>
        <v>M2</v>
      </c>
      <c r="M840" s="411"/>
      <c r="N840" s="412"/>
      <c r="O840" s="442"/>
      <c r="P840" s="442"/>
      <c r="Q840" s="413"/>
      <c r="R840" s="411"/>
      <c r="S840" s="413"/>
      <c r="T840" s="414">
        <f>+HLOOKUP(B766,[238]Hoja1!$2:$78,35,FALSE)</f>
        <v>0</v>
      </c>
      <c r="Y840" s="439">
        <f t="shared" si="135"/>
        <v>0</v>
      </c>
      <c r="Z840" s="439">
        <f t="shared" si="136"/>
        <v>0</v>
      </c>
    </row>
    <row r="841" spans="1:26" ht="25.5">
      <c r="A841" s="453">
        <f t="shared" si="137"/>
        <v>3.07</v>
      </c>
      <c r="B841" s="383">
        <v>8</v>
      </c>
      <c r="D841" s="406"/>
      <c r="E841" s="407"/>
      <c r="F841" s="407"/>
      <c r="G841" s="407"/>
      <c r="H841" s="407"/>
      <c r="I841" s="407"/>
      <c r="J841" s="408" t="s">
        <v>411</v>
      </c>
      <c r="K841" s="409" t="str">
        <f t="shared" si="134"/>
        <v>A=(Ancho x Largo)* Cant</v>
      </c>
      <c r="L841" s="410" t="str">
        <f>+L840</f>
        <v>M2</v>
      </c>
      <c r="M841" s="411"/>
      <c r="N841" s="412"/>
      <c r="O841" s="442"/>
      <c r="P841" s="442"/>
      <c r="Q841" s="413"/>
      <c r="R841" s="411"/>
      <c r="S841" s="413"/>
      <c r="T841" s="414">
        <f>+HLOOKUP(B767,[238]Hoja1!$2:$78,35,FALSE)</f>
        <v>0</v>
      </c>
      <c r="Y841" s="439">
        <f t="shared" si="135"/>
        <v>0</v>
      </c>
      <c r="Z841" s="439">
        <f t="shared" si="136"/>
        <v>0</v>
      </c>
    </row>
    <row r="842" spans="1:26" ht="25.5">
      <c r="A842" s="453">
        <f t="shared" si="137"/>
        <v>3.07</v>
      </c>
      <c r="B842" s="383">
        <v>9</v>
      </c>
      <c r="D842" s="406"/>
      <c r="E842" s="407"/>
      <c r="F842" s="407"/>
      <c r="G842" s="407"/>
      <c r="H842" s="407"/>
      <c r="I842" s="407"/>
      <c r="J842" s="408" t="s">
        <v>412</v>
      </c>
      <c r="K842" s="409" t="str">
        <f t="shared" si="134"/>
        <v>A=(Ancho x Largo)* Cant</v>
      </c>
      <c r="L842" s="410" t="str">
        <f>+L841</f>
        <v>M2</v>
      </c>
      <c r="M842" s="411"/>
      <c r="N842" s="412"/>
      <c r="O842" s="442"/>
      <c r="P842" s="442"/>
      <c r="Q842" s="412"/>
      <c r="R842" s="411"/>
      <c r="S842" s="413"/>
      <c r="T842" s="414">
        <f>+HLOOKUP(B768,[238]Hoja1!$2:$78,35,FALSE)</f>
        <v>0</v>
      </c>
      <c r="Y842" s="439">
        <f t="shared" si="135"/>
        <v>0</v>
      </c>
      <c r="Z842" s="439">
        <f t="shared" si="136"/>
        <v>0</v>
      </c>
    </row>
    <row r="843" spans="1:26" ht="25.5">
      <c r="A843" s="453">
        <f t="shared" si="137"/>
        <v>3.07</v>
      </c>
      <c r="B843" s="383">
        <v>10</v>
      </c>
      <c r="D843" s="406"/>
      <c r="E843" s="407"/>
      <c r="F843" s="407"/>
      <c r="G843" s="407"/>
      <c r="H843" s="407"/>
      <c r="I843" s="407"/>
      <c r="J843" s="408" t="s">
        <v>413</v>
      </c>
      <c r="K843" s="409" t="str">
        <f t="shared" si="134"/>
        <v>A=(Ancho x Largo)* Cant</v>
      </c>
      <c r="L843" s="410" t="str">
        <f>+L842</f>
        <v>M2</v>
      </c>
      <c r="M843" s="411"/>
      <c r="N843" s="412"/>
      <c r="O843" s="442"/>
      <c r="P843" s="442"/>
      <c r="Q843" s="412"/>
      <c r="R843" s="411"/>
      <c r="S843" s="413"/>
      <c r="T843" s="414">
        <f>+HLOOKUP(B769,[238]Hoja1!$2:$78,35,FALSE)</f>
        <v>0</v>
      </c>
      <c r="Y843" s="439">
        <f t="shared" si="135"/>
        <v>0</v>
      </c>
      <c r="Z843" s="439">
        <f t="shared" si="136"/>
        <v>0</v>
      </c>
    </row>
    <row r="844" spans="1:26" ht="25.5">
      <c r="A844" s="453">
        <f t="shared" si="137"/>
        <v>3.07</v>
      </c>
      <c r="B844" s="383">
        <v>11</v>
      </c>
      <c r="D844" s="406"/>
      <c r="E844" s="407"/>
      <c r="F844" s="407"/>
      <c r="G844" s="407"/>
      <c r="H844" s="407"/>
      <c r="I844" s="407"/>
      <c r="J844" s="408" t="s">
        <v>414</v>
      </c>
      <c r="K844" s="409" t="str">
        <f t="shared" si="134"/>
        <v>A=(Ancho x Largo)* Cant</v>
      </c>
      <c r="L844" s="410" t="str">
        <f>+L843</f>
        <v>M2</v>
      </c>
      <c r="M844" s="411"/>
      <c r="N844" s="412"/>
      <c r="O844" s="442"/>
      <c r="P844" s="442"/>
      <c r="Q844" s="412"/>
      <c r="R844" s="411"/>
      <c r="S844" s="413"/>
      <c r="T844" s="414">
        <f>+HLOOKUP(B770,[238]Hoja1!$2:$78,35,FALSE)</f>
        <v>0</v>
      </c>
      <c r="Y844" s="439">
        <f t="shared" si="135"/>
        <v>0</v>
      </c>
      <c r="Z844" s="439">
        <f t="shared" si="136"/>
        <v>0</v>
      </c>
    </row>
    <row r="845" spans="1:26" ht="25.5">
      <c r="A845" s="453">
        <f t="shared" si="137"/>
        <v>3.07</v>
      </c>
      <c r="B845" s="383">
        <v>12</v>
      </c>
      <c r="D845" s="406"/>
      <c r="E845" s="407"/>
      <c r="F845" s="407"/>
      <c r="G845" s="407"/>
      <c r="H845" s="407"/>
      <c r="I845" s="407"/>
      <c r="J845" s="408" t="s">
        <v>415</v>
      </c>
      <c r="K845" s="409" t="str">
        <f t="shared" si="134"/>
        <v>A=(Ancho x Largo)* Cant</v>
      </c>
      <c r="L845" s="410" t="str">
        <f>+L839</f>
        <v>M2</v>
      </c>
      <c r="M845" s="411"/>
      <c r="N845" s="412"/>
      <c r="O845" s="442"/>
      <c r="P845" s="442"/>
      <c r="Q845" s="413"/>
      <c r="R845" s="411"/>
      <c r="S845" s="413"/>
      <c r="T845" s="414">
        <f>+HLOOKUP(B771,[238]Hoja1!$2:$78,35,FALSE)</f>
        <v>0</v>
      </c>
      <c r="Y845" s="439">
        <f t="shared" si="135"/>
        <v>0</v>
      </c>
      <c r="Z845" s="439">
        <f t="shared" si="136"/>
        <v>0</v>
      </c>
    </row>
    <row r="846" spans="1:26" ht="25.5">
      <c r="A846" s="453">
        <f t="shared" si="137"/>
        <v>3.07</v>
      </c>
      <c r="B846" s="383">
        <v>13</v>
      </c>
      <c r="D846" s="406"/>
      <c r="E846" s="407"/>
      <c r="F846" s="407"/>
      <c r="G846" s="407"/>
      <c r="H846" s="407"/>
      <c r="I846" s="407"/>
      <c r="J846" s="408" t="s">
        <v>416</v>
      </c>
      <c r="K846" s="409" t="str">
        <f t="shared" si="134"/>
        <v>A=(Ancho x Largo)* Cant</v>
      </c>
      <c r="L846" s="410" t="str">
        <f>+L841</f>
        <v>M2</v>
      </c>
      <c r="M846" s="411"/>
      <c r="N846" s="412"/>
      <c r="O846" s="442"/>
      <c r="P846" s="442"/>
      <c r="Q846" s="413"/>
      <c r="R846" s="411"/>
      <c r="S846" s="413"/>
      <c r="T846" s="414">
        <f>+HLOOKUP(B772,[238]Hoja1!$2:$78,35,FALSE)</f>
        <v>0</v>
      </c>
      <c r="Y846" s="439">
        <f t="shared" si="135"/>
        <v>0</v>
      </c>
      <c r="Z846" s="439">
        <f t="shared" si="136"/>
        <v>0</v>
      </c>
    </row>
    <row r="847" spans="1:26" ht="25.5">
      <c r="A847" s="453">
        <f t="shared" si="137"/>
        <v>3.07</v>
      </c>
      <c r="B847" s="383">
        <v>14</v>
      </c>
      <c r="D847" s="406"/>
      <c r="E847" s="407"/>
      <c r="F847" s="407"/>
      <c r="G847" s="407"/>
      <c r="H847" s="407"/>
      <c r="I847" s="407"/>
      <c r="J847" s="408" t="s">
        <v>417</v>
      </c>
      <c r="K847" s="409" t="str">
        <f t="shared" si="134"/>
        <v>A=(Ancho x Largo)* Cant</v>
      </c>
      <c r="L847" s="410" t="str">
        <f t="shared" ref="L847:L858" si="140">+L846</f>
        <v>M2</v>
      </c>
      <c r="M847" s="411"/>
      <c r="N847" s="412"/>
      <c r="O847" s="442"/>
      <c r="P847" s="442"/>
      <c r="Q847" s="412"/>
      <c r="R847" s="411"/>
      <c r="S847" s="413"/>
      <c r="T847" s="414">
        <f>+HLOOKUP(B773,[238]Hoja1!$2:$78,35,FALSE)</f>
        <v>0</v>
      </c>
      <c r="Y847" s="439">
        <f t="shared" si="135"/>
        <v>0</v>
      </c>
      <c r="Z847" s="439">
        <f t="shared" si="136"/>
        <v>0</v>
      </c>
    </row>
    <row r="848" spans="1:26" ht="25.5">
      <c r="A848" s="453">
        <f t="shared" si="137"/>
        <v>3.07</v>
      </c>
      <c r="B848" s="383">
        <v>15</v>
      </c>
      <c r="D848" s="406"/>
      <c r="E848" s="407"/>
      <c r="F848" s="407"/>
      <c r="G848" s="407"/>
      <c r="H848" s="407"/>
      <c r="I848" s="407"/>
      <c r="J848" s="408" t="s">
        <v>418</v>
      </c>
      <c r="K848" s="409" t="str">
        <f t="shared" si="134"/>
        <v>A=(Ancho x Largo)* Cant</v>
      </c>
      <c r="L848" s="410" t="str">
        <f t="shared" si="140"/>
        <v>M2</v>
      </c>
      <c r="M848" s="411"/>
      <c r="N848" s="412"/>
      <c r="O848" s="442"/>
      <c r="P848" s="442"/>
      <c r="Q848" s="449"/>
      <c r="R848" s="411"/>
      <c r="S848" s="413"/>
      <c r="T848" s="414">
        <f>+HLOOKUP(B774,[238]Hoja1!$2:$78,35,FALSE)</f>
        <v>0</v>
      </c>
      <c r="Y848" s="439">
        <f t="shared" si="135"/>
        <v>0</v>
      </c>
      <c r="Z848" s="439">
        <f t="shared" si="136"/>
        <v>0</v>
      </c>
    </row>
    <row r="849" spans="1:26" ht="25.5">
      <c r="A849" s="453">
        <f t="shared" si="137"/>
        <v>3.07</v>
      </c>
      <c r="B849" s="383">
        <v>16</v>
      </c>
      <c r="D849" s="406"/>
      <c r="E849" s="407"/>
      <c r="F849" s="407"/>
      <c r="G849" s="407"/>
      <c r="H849" s="407"/>
      <c r="I849" s="407"/>
      <c r="J849" s="408" t="s">
        <v>419</v>
      </c>
      <c r="K849" s="409" t="str">
        <f t="shared" si="134"/>
        <v>A=(Ancho x Largo)* Cant</v>
      </c>
      <c r="L849" s="410" t="str">
        <f t="shared" si="140"/>
        <v>M2</v>
      </c>
      <c r="M849" s="411"/>
      <c r="N849" s="412"/>
      <c r="O849" s="442"/>
      <c r="P849" s="442"/>
      <c r="Q849" s="449"/>
      <c r="R849" s="411"/>
      <c r="S849" s="413"/>
      <c r="T849" s="414">
        <f>+HLOOKUP(B775,[238]Hoja1!$2:$78,35,FALSE)</f>
        <v>0</v>
      </c>
      <c r="Y849" s="439">
        <f t="shared" si="135"/>
        <v>0</v>
      </c>
      <c r="Z849" s="439">
        <f t="shared" si="136"/>
        <v>0</v>
      </c>
    </row>
    <row r="850" spans="1:26" ht="25.5">
      <c r="A850" s="453">
        <f t="shared" si="137"/>
        <v>3.07</v>
      </c>
      <c r="B850" s="383">
        <v>17</v>
      </c>
      <c r="D850" s="406"/>
      <c r="E850" s="407"/>
      <c r="F850" s="407"/>
      <c r="G850" s="407"/>
      <c r="H850" s="407"/>
      <c r="I850" s="407"/>
      <c r="J850" s="408" t="s">
        <v>420</v>
      </c>
      <c r="K850" s="409" t="str">
        <f t="shared" si="134"/>
        <v>A=(Ancho x Largo)* Cant</v>
      </c>
      <c r="L850" s="410" t="str">
        <f t="shared" si="140"/>
        <v>M2</v>
      </c>
      <c r="M850" s="411"/>
      <c r="N850" s="412"/>
      <c r="O850" s="442"/>
      <c r="P850" s="442"/>
      <c r="Q850" s="412"/>
      <c r="R850" s="411"/>
      <c r="S850" s="413"/>
      <c r="T850" s="414">
        <f>+HLOOKUP(B776,[238]Hoja1!$2:$78,35,FALSE)</f>
        <v>0</v>
      </c>
      <c r="Y850" s="439">
        <f t="shared" si="135"/>
        <v>0</v>
      </c>
      <c r="Z850" s="439">
        <f t="shared" si="136"/>
        <v>0</v>
      </c>
    </row>
    <row r="851" spans="1:26" ht="25.5">
      <c r="A851" s="453">
        <f t="shared" si="137"/>
        <v>3.07</v>
      </c>
      <c r="B851" s="383">
        <v>18</v>
      </c>
      <c r="D851" s="406"/>
      <c r="E851" s="407"/>
      <c r="F851" s="407"/>
      <c r="G851" s="407"/>
      <c r="H851" s="407"/>
      <c r="I851" s="407"/>
      <c r="J851" s="408" t="s">
        <v>429</v>
      </c>
      <c r="K851" s="409" t="str">
        <f t="shared" si="134"/>
        <v>A=(Ancho x Largo)* Cant</v>
      </c>
      <c r="L851" s="410" t="str">
        <f t="shared" si="140"/>
        <v>M2</v>
      </c>
      <c r="M851" s="411">
        <f t="shared" si="138"/>
        <v>1.2</v>
      </c>
      <c r="N851" s="412"/>
      <c r="O851" s="442">
        <v>0.6</v>
      </c>
      <c r="P851" s="442">
        <f t="shared" si="139"/>
        <v>2</v>
      </c>
      <c r="Q851" s="412"/>
      <c r="R851" s="411"/>
      <c r="S851" s="413">
        <v>1</v>
      </c>
      <c r="T851" s="414">
        <f>+HLOOKUP(B777,[238]Hoja1!$2:$78,35,FALSE)</f>
        <v>1.2</v>
      </c>
      <c r="Y851" s="439">
        <f>+O851*P851</f>
        <v>1.2</v>
      </c>
      <c r="Z851" s="439">
        <f t="shared" si="136"/>
        <v>0</v>
      </c>
    </row>
    <row r="852" spans="1:26" ht="25.5">
      <c r="A852" s="453">
        <f t="shared" si="137"/>
        <v>3.07</v>
      </c>
      <c r="B852" s="383">
        <v>19</v>
      </c>
      <c r="D852" s="406"/>
      <c r="E852" s="407"/>
      <c r="F852" s="407"/>
      <c r="G852" s="407"/>
      <c r="H852" s="407"/>
      <c r="I852" s="407"/>
      <c r="J852" s="408" t="s">
        <v>430</v>
      </c>
      <c r="K852" s="409" t="str">
        <f t="shared" si="134"/>
        <v>A=(Ancho x Largo)* Cant</v>
      </c>
      <c r="L852" s="410" t="str">
        <f t="shared" si="140"/>
        <v>M2</v>
      </c>
      <c r="M852" s="411"/>
      <c r="N852" s="412"/>
      <c r="O852" s="442"/>
      <c r="P852" s="442"/>
      <c r="Q852" s="412"/>
      <c r="R852" s="411"/>
      <c r="S852" s="413"/>
      <c r="T852" s="414">
        <f>+HLOOKUP(B778,[238]Hoja1!$2:$78,35,FALSE)</f>
        <v>0</v>
      </c>
      <c r="Y852" s="439">
        <f t="shared" ref="Y852:Y876" si="141">+O852*P852</f>
        <v>0</v>
      </c>
      <c r="Z852" s="439">
        <f t="shared" si="136"/>
        <v>0</v>
      </c>
    </row>
    <row r="853" spans="1:26" ht="25.5">
      <c r="A853" s="453">
        <f t="shared" si="137"/>
        <v>3.07</v>
      </c>
      <c r="B853" s="383">
        <v>20</v>
      </c>
      <c r="D853" s="406"/>
      <c r="E853" s="407"/>
      <c r="F853" s="407"/>
      <c r="G853" s="407"/>
      <c r="H853" s="407"/>
      <c r="I853" s="407"/>
      <c r="J853" s="408" t="s">
        <v>431</v>
      </c>
      <c r="K853" s="409" t="str">
        <f t="shared" si="134"/>
        <v>A=(Ancho x Largo)* Cant</v>
      </c>
      <c r="L853" s="410" t="str">
        <f t="shared" si="140"/>
        <v>M2</v>
      </c>
      <c r="M853" s="411"/>
      <c r="N853" s="412"/>
      <c r="O853" s="442"/>
      <c r="P853" s="442"/>
      <c r="Q853" s="412"/>
      <c r="R853" s="411"/>
      <c r="S853" s="413"/>
      <c r="T853" s="414">
        <f>+HLOOKUP(B779,[238]Hoja1!$2:$78,35,FALSE)</f>
        <v>0</v>
      </c>
      <c r="Y853" s="439">
        <f t="shared" si="141"/>
        <v>0</v>
      </c>
      <c r="Z853" s="439">
        <f t="shared" si="136"/>
        <v>0</v>
      </c>
    </row>
    <row r="854" spans="1:26" ht="25.5">
      <c r="A854" s="453">
        <f t="shared" si="137"/>
        <v>3.07</v>
      </c>
      <c r="B854" s="383">
        <v>21</v>
      </c>
      <c r="D854" s="406"/>
      <c r="E854" s="407"/>
      <c r="F854" s="407"/>
      <c r="G854" s="407"/>
      <c r="H854" s="407"/>
      <c r="I854" s="407"/>
      <c r="J854" s="408" t="s">
        <v>432</v>
      </c>
      <c r="K854" s="409" t="str">
        <f t="shared" si="134"/>
        <v>A=(Ancho x Largo)* Cant</v>
      </c>
      <c r="L854" s="410" t="str">
        <f t="shared" si="140"/>
        <v>M2</v>
      </c>
      <c r="M854" s="411"/>
      <c r="N854" s="412"/>
      <c r="O854" s="442"/>
      <c r="P854" s="442"/>
      <c r="Q854" s="412"/>
      <c r="R854" s="411"/>
      <c r="S854" s="413"/>
      <c r="T854" s="414">
        <f>+HLOOKUP(B780,[238]Hoja1!$2:$78,35,FALSE)</f>
        <v>0</v>
      </c>
      <c r="Y854" s="439">
        <f t="shared" si="141"/>
        <v>0</v>
      </c>
      <c r="Z854" s="439">
        <f t="shared" si="136"/>
        <v>0</v>
      </c>
    </row>
    <row r="855" spans="1:26" ht="25.5">
      <c r="A855" s="453">
        <f t="shared" si="137"/>
        <v>3.07</v>
      </c>
      <c r="B855" s="383">
        <v>22</v>
      </c>
      <c r="D855" s="406"/>
      <c r="E855" s="407"/>
      <c r="F855" s="407"/>
      <c r="G855" s="407"/>
      <c r="H855" s="407"/>
      <c r="I855" s="407"/>
      <c r="J855" s="408" t="s">
        <v>433</v>
      </c>
      <c r="K855" s="409" t="str">
        <f t="shared" si="134"/>
        <v>A=(Ancho x Largo)* Cant</v>
      </c>
      <c r="L855" s="410" t="str">
        <f t="shared" si="140"/>
        <v>M2</v>
      </c>
      <c r="M855" s="411"/>
      <c r="N855" s="412"/>
      <c r="O855" s="442"/>
      <c r="P855" s="442"/>
      <c r="Q855" s="412"/>
      <c r="R855" s="411"/>
      <c r="S855" s="413"/>
      <c r="T855" s="414">
        <f>+HLOOKUP(B781,[238]Hoja1!$2:$78,35,FALSE)</f>
        <v>0</v>
      </c>
      <c r="Y855" s="439">
        <f t="shared" si="141"/>
        <v>0</v>
      </c>
      <c r="Z855" s="439">
        <f t="shared" si="136"/>
        <v>0</v>
      </c>
    </row>
    <row r="856" spans="1:26" ht="25.5">
      <c r="A856" s="453">
        <f t="shared" si="137"/>
        <v>3.07</v>
      </c>
      <c r="B856" s="383">
        <v>23</v>
      </c>
      <c r="D856" s="406"/>
      <c r="E856" s="407"/>
      <c r="F856" s="407"/>
      <c r="G856" s="407"/>
      <c r="H856" s="407"/>
      <c r="I856" s="407"/>
      <c r="J856" s="408" t="s">
        <v>434</v>
      </c>
      <c r="K856" s="409" t="str">
        <f t="shared" si="134"/>
        <v>A=(Ancho x Largo)* Cant</v>
      </c>
      <c r="L856" s="410" t="str">
        <f t="shared" si="140"/>
        <v>M2</v>
      </c>
      <c r="M856" s="411"/>
      <c r="N856" s="412"/>
      <c r="O856" s="442"/>
      <c r="P856" s="442"/>
      <c r="Q856" s="412"/>
      <c r="R856" s="411"/>
      <c r="S856" s="413"/>
      <c r="T856" s="414">
        <f>+HLOOKUP(B782,[238]Hoja1!$2:$78,35,FALSE)</f>
        <v>0</v>
      </c>
      <c r="Y856" s="439">
        <f t="shared" si="141"/>
        <v>0</v>
      </c>
      <c r="Z856" s="439">
        <f t="shared" si="136"/>
        <v>0</v>
      </c>
    </row>
    <row r="857" spans="1:26" ht="25.5">
      <c r="A857" s="453">
        <f t="shared" si="137"/>
        <v>3.07</v>
      </c>
      <c r="B857" s="383">
        <v>24</v>
      </c>
      <c r="D857" s="406"/>
      <c r="E857" s="407"/>
      <c r="F857" s="407"/>
      <c r="G857" s="407"/>
      <c r="H857" s="407"/>
      <c r="I857" s="407"/>
      <c r="J857" s="408" t="s">
        <v>435</v>
      </c>
      <c r="K857" s="409" t="str">
        <f t="shared" si="134"/>
        <v>A=(Ancho x Largo)* Cant</v>
      </c>
      <c r="L857" s="410" t="str">
        <f t="shared" si="140"/>
        <v>M2</v>
      </c>
      <c r="M857" s="411">
        <f t="shared" si="138"/>
        <v>7.96</v>
      </c>
      <c r="N857" s="412"/>
      <c r="O857" s="442">
        <v>0.6</v>
      </c>
      <c r="P857" s="442">
        <f t="shared" si="139"/>
        <v>13.266666666666667</v>
      </c>
      <c r="Q857" s="413"/>
      <c r="R857" s="411"/>
      <c r="S857" s="413">
        <v>1</v>
      </c>
      <c r="T857" s="414">
        <f>+HLOOKUP(B783,[238]Hoja1!$2:$78,35,FALSE)</f>
        <v>7.96</v>
      </c>
      <c r="Y857" s="439">
        <f t="shared" si="141"/>
        <v>7.96</v>
      </c>
      <c r="Z857" s="439">
        <f t="shared" si="136"/>
        <v>0</v>
      </c>
    </row>
    <row r="858" spans="1:26" ht="25.5">
      <c r="A858" s="453">
        <f t="shared" si="137"/>
        <v>3.07</v>
      </c>
      <c r="B858" s="383">
        <v>25</v>
      </c>
      <c r="D858" s="406"/>
      <c r="E858" s="407"/>
      <c r="F858" s="407"/>
      <c r="G858" s="407"/>
      <c r="H858" s="407"/>
      <c r="I858" s="407"/>
      <c r="J858" s="408" t="s">
        <v>436</v>
      </c>
      <c r="K858" s="409" t="str">
        <f t="shared" si="134"/>
        <v>A=(Ancho x Largo)* Cant</v>
      </c>
      <c r="L858" s="410" t="str">
        <f t="shared" si="140"/>
        <v>M2</v>
      </c>
      <c r="M858" s="411">
        <f t="shared" si="138"/>
        <v>5.79</v>
      </c>
      <c r="N858" s="412"/>
      <c r="O858" s="442">
        <v>0.6</v>
      </c>
      <c r="P858" s="442">
        <f t="shared" si="139"/>
        <v>9.65</v>
      </c>
      <c r="Q858" s="412"/>
      <c r="R858" s="411"/>
      <c r="S858" s="413">
        <v>1</v>
      </c>
      <c r="T858" s="414">
        <f>+HLOOKUP(B784,[238]Hoja1!$2:$78,35,FALSE)</f>
        <v>5.79</v>
      </c>
      <c r="Y858" s="439">
        <f t="shared" si="141"/>
        <v>5.79</v>
      </c>
      <c r="Z858" s="439">
        <f t="shared" si="136"/>
        <v>0</v>
      </c>
    </row>
    <row r="859" spans="1:26" ht="25.5">
      <c r="A859" s="453">
        <f t="shared" si="137"/>
        <v>3.07</v>
      </c>
      <c r="B859" s="383">
        <v>26</v>
      </c>
      <c r="D859" s="406"/>
      <c r="E859" s="407"/>
      <c r="F859" s="407"/>
      <c r="G859" s="407"/>
      <c r="H859" s="407"/>
      <c r="I859" s="407"/>
      <c r="J859" s="408" t="s">
        <v>437</v>
      </c>
      <c r="K859" s="409" t="str">
        <f t="shared" si="134"/>
        <v>A=(Ancho x Largo)* Cant</v>
      </c>
      <c r="L859" s="410" t="str">
        <f>+L848</f>
        <v>M2</v>
      </c>
      <c r="M859" s="411"/>
      <c r="N859" s="412"/>
      <c r="O859" s="442"/>
      <c r="P859" s="442"/>
      <c r="Q859" s="412"/>
      <c r="R859" s="411"/>
      <c r="S859" s="413"/>
      <c r="T859" s="414">
        <f>+HLOOKUP(B785,[238]Hoja1!$2:$78,35,FALSE)</f>
        <v>0</v>
      </c>
      <c r="Y859" s="439">
        <f t="shared" si="141"/>
        <v>0</v>
      </c>
      <c r="Z859" s="439">
        <f t="shared" si="136"/>
        <v>0</v>
      </c>
    </row>
    <row r="860" spans="1:26" ht="25.5">
      <c r="A860" s="453">
        <f t="shared" si="137"/>
        <v>3.07</v>
      </c>
      <c r="B860" s="383">
        <v>27</v>
      </c>
      <c r="D860" s="406"/>
      <c r="E860" s="407"/>
      <c r="F860" s="407"/>
      <c r="G860" s="407"/>
      <c r="H860" s="407"/>
      <c r="I860" s="407"/>
      <c r="J860" s="408" t="s">
        <v>438</v>
      </c>
      <c r="K860" s="409" t="str">
        <f t="shared" si="134"/>
        <v>A=(Ancho x Largo)* Cant</v>
      </c>
      <c r="L860" s="410" t="str">
        <f t="shared" ref="L860:L868" si="142">+L859</f>
        <v>M2</v>
      </c>
      <c r="M860" s="411"/>
      <c r="N860" s="412"/>
      <c r="O860" s="442"/>
      <c r="P860" s="442"/>
      <c r="Q860" s="412"/>
      <c r="R860" s="411"/>
      <c r="S860" s="413"/>
      <c r="T860" s="414">
        <f>+HLOOKUP(B786,[238]Hoja1!$2:$78,35,FALSE)</f>
        <v>0</v>
      </c>
      <c r="Y860" s="439">
        <f t="shared" si="141"/>
        <v>0</v>
      </c>
      <c r="Z860" s="439">
        <f t="shared" si="136"/>
        <v>0</v>
      </c>
    </row>
    <row r="861" spans="1:26" ht="25.5">
      <c r="A861" s="453">
        <f t="shared" si="137"/>
        <v>3.07</v>
      </c>
      <c r="B861" s="383">
        <v>28</v>
      </c>
      <c r="D861" s="406"/>
      <c r="E861" s="440"/>
      <c r="F861" s="407"/>
      <c r="G861" s="407"/>
      <c r="H861" s="407"/>
      <c r="I861" s="437"/>
      <c r="J861" s="408" t="s">
        <v>439</v>
      </c>
      <c r="K861" s="409" t="str">
        <f t="shared" si="134"/>
        <v>A=(Ancho x Largo)* Cant</v>
      </c>
      <c r="L861" s="410" t="str">
        <f t="shared" si="142"/>
        <v>M2</v>
      </c>
      <c r="M861" s="411"/>
      <c r="N861" s="412"/>
      <c r="O861" s="442"/>
      <c r="P861" s="442"/>
      <c r="Q861" s="413"/>
      <c r="R861" s="411"/>
      <c r="S861" s="413"/>
      <c r="T861" s="414">
        <f>+HLOOKUP(B787,[238]Hoja1!$2:$78,35,FALSE)</f>
        <v>0</v>
      </c>
      <c r="Y861" s="439">
        <f t="shared" si="141"/>
        <v>0</v>
      </c>
      <c r="Z861" s="439">
        <f t="shared" si="136"/>
        <v>0</v>
      </c>
    </row>
    <row r="862" spans="1:26" ht="25.5">
      <c r="A862" s="453">
        <f t="shared" si="137"/>
        <v>3.07</v>
      </c>
      <c r="B862" s="383">
        <v>29</v>
      </c>
      <c r="D862" s="406"/>
      <c r="E862" s="407"/>
      <c r="F862" s="407"/>
      <c r="G862" s="407"/>
      <c r="H862" s="407"/>
      <c r="I862" s="407"/>
      <c r="J862" s="408" t="s">
        <v>440</v>
      </c>
      <c r="K862" s="409" t="str">
        <f t="shared" si="134"/>
        <v>A=(Ancho x Largo)* Cant</v>
      </c>
      <c r="L862" s="410" t="str">
        <f t="shared" si="142"/>
        <v>M2</v>
      </c>
      <c r="M862" s="411"/>
      <c r="N862" s="412"/>
      <c r="O862" s="442"/>
      <c r="P862" s="442"/>
      <c r="Q862" s="412"/>
      <c r="R862" s="411"/>
      <c r="S862" s="413"/>
      <c r="T862" s="414">
        <f>+HLOOKUP(B788,[238]Hoja1!$2:$78,35,FALSE)</f>
        <v>0</v>
      </c>
      <c r="Y862" s="439">
        <f t="shared" si="141"/>
        <v>0</v>
      </c>
      <c r="Z862" s="439">
        <f t="shared" si="136"/>
        <v>0</v>
      </c>
    </row>
    <row r="863" spans="1:26" ht="25.5">
      <c r="A863" s="453">
        <f t="shared" si="137"/>
        <v>3.07</v>
      </c>
      <c r="B863" s="383">
        <v>30</v>
      </c>
      <c r="D863" s="406"/>
      <c r="E863" s="407"/>
      <c r="F863" s="407"/>
      <c r="G863" s="407"/>
      <c r="H863" s="407"/>
      <c r="I863" s="407"/>
      <c r="J863" s="408" t="s">
        <v>441</v>
      </c>
      <c r="K863" s="409" t="str">
        <f t="shared" si="134"/>
        <v>A=(Ancho x Largo)* Cant</v>
      </c>
      <c r="L863" s="410" t="str">
        <f t="shared" si="142"/>
        <v>M2</v>
      </c>
      <c r="M863" s="411"/>
      <c r="N863" s="412"/>
      <c r="O863" s="442"/>
      <c r="P863" s="442"/>
      <c r="Q863" s="412"/>
      <c r="R863" s="411"/>
      <c r="S863" s="413"/>
      <c r="T863" s="414">
        <f>+HLOOKUP(B789,[238]Hoja1!$2:$78,35,FALSE)</f>
        <v>0</v>
      </c>
      <c r="Y863" s="439">
        <f t="shared" si="141"/>
        <v>0</v>
      </c>
      <c r="Z863" s="439">
        <f t="shared" si="136"/>
        <v>0</v>
      </c>
    </row>
    <row r="864" spans="1:26" ht="25.5">
      <c r="A864" s="453">
        <f t="shared" si="137"/>
        <v>3.07</v>
      </c>
      <c r="B864" s="383">
        <v>31</v>
      </c>
      <c r="D864" s="406"/>
      <c r="E864" s="407"/>
      <c r="F864" s="407"/>
      <c r="G864" s="407"/>
      <c r="H864" s="407"/>
      <c r="I864" s="407"/>
      <c r="J864" s="408" t="s">
        <v>442</v>
      </c>
      <c r="K864" s="409" t="str">
        <f t="shared" si="134"/>
        <v>A=(Ancho x Largo)* Cant</v>
      </c>
      <c r="L864" s="410" t="str">
        <f t="shared" si="142"/>
        <v>M2</v>
      </c>
      <c r="M864" s="411"/>
      <c r="N864" s="412"/>
      <c r="O864" s="442"/>
      <c r="P864" s="442"/>
      <c r="Q864" s="413"/>
      <c r="R864" s="411"/>
      <c r="S864" s="413"/>
      <c r="T864" s="414">
        <f>+HLOOKUP(B790,[238]Hoja1!$2:$78,35,FALSE)</f>
        <v>0</v>
      </c>
      <c r="Y864" s="439">
        <f t="shared" si="141"/>
        <v>0</v>
      </c>
      <c r="Z864" s="439">
        <f t="shared" si="136"/>
        <v>0</v>
      </c>
    </row>
    <row r="865" spans="1:26" ht="25.5">
      <c r="A865" s="453">
        <f t="shared" si="137"/>
        <v>3.07</v>
      </c>
      <c r="B865" s="383">
        <v>32</v>
      </c>
      <c r="D865" s="406"/>
      <c r="E865" s="407"/>
      <c r="F865" s="407"/>
      <c r="G865" s="407"/>
      <c r="H865" s="407"/>
      <c r="I865" s="407"/>
      <c r="J865" s="408" t="s">
        <v>443</v>
      </c>
      <c r="K865" s="409" t="str">
        <f t="shared" si="134"/>
        <v>A=(Ancho x Largo)* Cant</v>
      </c>
      <c r="L865" s="410" t="str">
        <f t="shared" si="142"/>
        <v>M2</v>
      </c>
      <c r="M865" s="411">
        <f t="shared" si="138"/>
        <v>1.2</v>
      </c>
      <c r="N865" s="412"/>
      <c r="O865" s="442">
        <v>0.6</v>
      </c>
      <c r="P865" s="442">
        <f t="shared" si="139"/>
        <v>2</v>
      </c>
      <c r="Q865" s="412"/>
      <c r="R865" s="411"/>
      <c r="S865" s="413">
        <v>1</v>
      </c>
      <c r="T865" s="414">
        <f>+HLOOKUP(B791,[238]Hoja1!$2:$78,35,FALSE)</f>
        <v>1.2</v>
      </c>
      <c r="Y865" s="439">
        <f t="shared" si="141"/>
        <v>1.2</v>
      </c>
      <c r="Z865" s="439">
        <f t="shared" si="136"/>
        <v>0</v>
      </c>
    </row>
    <row r="866" spans="1:26" ht="25.5">
      <c r="A866" s="453">
        <f t="shared" si="137"/>
        <v>3.07</v>
      </c>
      <c r="B866" s="383">
        <v>33</v>
      </c>
      <c r="D866" s="406"/>
      <c r="E866" s="407"/>
      <c r="F866" s="407"/>
      <c r="G866" s="407"/>
      <c r="H866" s="407"/>
      <c r="I866" s="407"/>
      <c r="J866" s="408" t="s">
        <v>444</v>
      </c>
      <c r="K866" s="409" t="str">
        <f t="shared" si="134"/>
        <v>A=(Ancho x Largo)* Cant</v>
      </c>
      <c r="L866" s="410" t="str">
        <f t="shared" si="142"/>
        <v>M2</v>
      </c>
      <c r="M866" s="411"/>
      <c r="N866" s="412"/>
      <c r="O866" s="442"/>
      <c r="P866" s="442"/>
      <c r="Q866" s="412"/>
      <c r="R866" s="411"/>
      <c r="S866" s="413"/>
      <c r="T866" s="414">
        <f>+HLOOKUP(B792,[238]Hoja1!$2:$78,35,FALSE)</f>
        <v>0</v>
      </c>
      <c r="Y866" s="439">
        <f t="shared" si="141"/>
        <v>0</v>
      </c>
      <c r="Z866" s="439">
        <f t="shared" si="136"/>
        <v>0</v>
      </c>
    </row>
    <row r="867" spans="1:26" ht="25.5">
      <c r="A867" s="453">
        <f t="shared" si="137"/>
        <v>3.07</v>
      </c>
      <c r="B867" s="383">
        <v>34</v>
      </c>
      <c r="D867" s="406"/>
      <c r="E867" s="407"/>
      <c r="F867" s="407"/>
      <c r="G867" s="407"/>
      <c r="H867" s="407"/>
      <c r="I867" s="407"/>
      <c r="J867" s="408" t="s">
        <v>445</v>
      </c>
      <c r="K867" s="409" t="str">
        <f t="shared" si="134"/>
        <v>A=(Ancho x Largo)* Cant</v>
      </c>
      <c r="L867" s="410" t="str">
        <f t="shared" si="142"/>
        <v>M2</v>
      </c>
      <c r="M867" s="411"/>
      <c r="N867" s="412"/>
      <c r="O867" s="442"/>
      <c r="P867" s="442"/>
      <c r="Q867" s="412"/>
      <c r="R867" s="411"/>
      <c r="S867" s="413"/>
      <c r="T867" s="414">
        <f>+HLOOKUP(B793,[238]Hoja1!$2:$78,35,FALSE)</f>
        <v>0</v>
      </c>
      <c r="Y867" s="439">
        <f t="shared" si="141"/>
        <v>0</v>
      </c>
      <c r="Z867" s="439">
        <f t="shared" si="136"/>
        <v>0</v>
      </c>
    </row>
    <row r="868" spans="1:26" ht="25.5">
      <c r="A868" s="453">
        <f t="shared" si="137"/>
        <v>3.07</v>
      </c>
      <c r="B868" s="383">
        <v>35</v>
      </c>
      <c r="D868" s="406"/>
      <c r="E868" s="440"/>
      <c r="F868" s="407"/>
      <c r="G868" s="407"/>
      <c r="H868" s="407"/>
      <c r="I868" s="437"/>
      <c r="J868" s="408" t="s">
        <v>446</v>
      </c>
      <c r="K868" s="409" t="str">
        <f t="shared" si="134"/>
        <v>A=(Ancho x Largo)* Cant</v>
      </c>
      <c r="L868" s="410" t="str">
        <f t="shared" si="142"/>
        <v>M2</v>
      </c>
      <c r="M868" s="411"/>
      <c r="N868" s="412"/>
      <c r="O868" s="442"/>
      <c r="P868" s="442"/>
      <c r="Q868" s="413"/>
      <c r="R868" s="411"/>
      <c r="S868" s="413"/>
      <c r="T868" s="414">
        <f>+HLOOKUP(B794,[238]Hoja1!$2:$78,35,FALSE)</f>
        <v>0</v>
      </c>
      <c r="Y868" s="439">
        <f t="shared" si="141"/>
        <v>0</v>
      </c>
      <c r="Z868" s="439">
        <f t="shared" si="136"/>
        <v>0</v>
      </c>
    </row>
    <row r="869" spans="1:26" ht="25.5">
      <c r="A869" s="453">
        <f t="shared" si="137"/>
        <v>3.07</v>
      </c>
      <c r="B869" s="383">
        <v>36</v>
      </c>
      <c r="D869" s="406"/>
      <c r="E869" s="407"/>
      <c r="F869" s="407"/>
      <c r="G869" s="407"/>
      <c r="H869" s="407"/>
      <c r="I869" s="407"/>
      <c r="J869" s="408" t="s">
        <v>447</v>
      </c>
      <c r="K869" s="409" t="str">
        <f t="shared" si="134"/>
        <v>A=(Ancho x Largo)* Cant</v>
      </c>
      <c r="L869" s="410" t="str">
        <f>+L858</f>
        <v>M2</v>
      </c>
      <c r="M869" s="411">
        <f t="shared" si="138"/>
        <v>1.2</v>
      </c>
      <c r="N869" s="412"/>
      <c r="O869" s="442">
        <v>0.6</v>
      </c>
      <c r="P869" s="442">
        <f t="shared" si="139"/>
        <v>2</v>
      </c>
      <c r="Q869" s="412"/>
      <c r="R869" s="411"/>
      <c r="S869" s="413">
        <v>1</v>
      </c>
      <c r="T869" s="414">
        <f>+HLOOKUP(B795,[238]Hoja1!$2:$78,35,FALSE)</f>
        <v>1.2</v>
      </c>
      <c r="Y869" s="439">
        <f t="shared" si="141"/>
        <v>1.2</v>
      </c>
      <c r="Z869" s="439">
        <f t="shared" si="136"/>
        <v>0</v>
      </c>
    </row>
    <row r="870" spans="1:26" ht="25.5">
      <c r="A870" s="453">
        <f t="shared" si="137"/>
        <v>3.07</v>
      </c>
      <c r="B870" s="383">
        <v>37</v>
      </c>
      <c r="D870" s="406"/>
      <c r="E870" s="407"/>
      <c r="F870" s="407"/>
      <c r="G870" s="407"/>
      <c r="H870" s="407"/>
      <c r="I870" s="407"/>
      <c r="J870" s="408" t="s">
        <v>448</v>
      </c>
      <c r="K870" s="409" t="str">
        <f t="shared" si="134"/>
        <v>A=(Ancho x Largo)* Cant</v>
      </c>
      <c r="L870" s="410" t="str">
        <f t="shared" ref="L870:L876" si="143">+L869</f>
        <v>M2</v>
      </c>
      <c r="M870" s="411"/>
      <c r="N870" s="412"/>
      <c r="O870" s="442"/>
      <c r="P870" s="442"/>
      <c r="Q870" s="449"/>
      <c r="R870" s="411"/>
      <c r="S870" s="413"/>
      <c r="T870" s="414">
        <f>+HLOOKUP(B796,[238]Hoja1!$2:$78,35,FALSE)</f>
        <v>0</v>
      </c>
      <c r="Y870" s="439">
        <f t="shared" si="141"/>
        <v>0</v>
      </c>
      <c r="Z870" s="439">
        <f t="shared" si="136"/>
        <v>0</v>
      </c>
    </row>
    <row r="871" spans="1:26" ht="25.5">
      <c r="A871" s="453">
        <f t="shared" si="137"/>
        <v>3.07</v>
      </c>
      <c r="B871" s="383">
        <v>38</v>
      </c>
      <c r="D871" s="406"/>
      <c r="E871" s="440"/>
      <c r="F871" s="407"/>
      <c r="G871" s="407"/>
      <c r="H871" s="407"/>
      <c r="I871" s="437"/>
      <c r="J871" s="408" t="s">
        <v>449</v>
      </c>
      <c r="K871" s="409" t="str">
        <f t="shared" si="134"/>
        <v>A=(Ancho x Largo)* Cant</v>
      </c>
      <c r="L871" s="410" t="str">
        <f t="shared" si="143"/>
        <v>M2</v>
      </c>
      <c r="M871" s="411">
        <f t="shared" si="138"/>
        <v>2.94</v>
      </c>
      <c r="N871" s="412"/>
      <c r="O871" s="442">
        <v>0.6</v>
      </c>
      <c r="P871" s="442">
        <f t="shared" si="139"/>
        <v>4.9000000000000004</v>
      </c>
      <c r="Q871" s="413"/>
      <c r="R871" s="411"/>
      <c r="S871" s="413">
        <v>1</v>
      </c>
      <c r="T871" s="414">
        <f>+HLOOKUP(B797,[238]Hoja1!$2:$78,35,FALSE)</f>
        <v>2.94</v>
      </c>
      <c r="Y871" s="439">
        <f t="shared" si="141"/>
        <v>2.94</v>
      </c>
      <c r="Z871" s="439">
        <f t="shared" si="136"/>
        <v>0</v>
      </c>
    </row>
    <row r="872" spans="1:26" ht="25.5">
      <c r="A872" s="453">
        <f t="shared" si="137"/>
        <v>3.07</v>
      </c>
      <c r="B872" s="383">
        <v>39</v>
      </c>
      <c r="D872" s="406"/>
      <c r="E872" s="407"/>
      <c r="F872" s="407"/>
      <c r="G872" s="407"/>
      <c r="H872" s="407"/>
      <c r="I872" s="407"/>
      <c r="J872" s="408" t="s">
        <v>450</v>
      </c>
      <c r="K872" s="409" t="str">
        <f t="shared" si="134"/>
        <v>A=(Ancho x Largo)* Cant</v>
      </c>
      <c r="L872" s="410" t="str">
        <f t="shared" si="143"/>
        <v>M2</v>
      </c>
      <c r="M872" s="411"/>
      <c r="N872" s="412"/>
      <c r="O872" s="442"/>
      <c r="P872" s="442"/>
      <c r="Q872" s="412"/>
      <c r="R872" s="411"/>
      <c r="S872" s="413"/>
      <c r="T872" s="414">
        <f>+HLOOKUP(B798,[238]Hoja1!$2:$78,35,FALSE)</f>
        <v>0</v>
      </c>
      <c r="Y872" s="439">
        <f t="shared" si="141"/>
        <v>0</v>
      </c>
      <c r="Z872" s="439">
        <f t="shared" si="136"/>
        <v>0</v>
      </c>
    </row>
    <row r="873" spans="1:26" ht="25.5">
      <c r="A873" s="453">
        <f t="shared" si="137"/>
        <v>3.07</v>
      </c>
      <c r="B873" s="383">
        <v>40</v>
      </c>
      <c r="D873" s="406"/>
      <c r="E873" s="407"/>
      <c r="F873" s="407"/>
      <c r="G873" s="407"/>
      <c r="H873" s="407"/>
      <c r="I873" s="407"/>
      <c r="J873" s="408" t="s">
        <v>451</v>
      </c>
      <c r="K873" s="409" t="str">
        <f t="shared" si="134"/>
        <v>A=(Ancho x Largo)* Cant</v>
      </c>
      <c r="L873" s="410" t="str">
        <f t="shared" si="143"/>
        <v>M2</v>
      </c>
      <c r="M873" s="411">
        <f t="shared" si="138"/>
        <v>1.2</v>
      </c>
      <c r="N873" s="412"/>
      <c r="O873" s="442">
        <v>0.6</v>
      </c>
      <c r="P873" s="442">
        <f t="shared" si="139"/>
        <v>2</v>
      </c>
      <c r="Q873" s="412"/>
      <c r="R873" s="411"/>
      <c r="S873" s="413">
        <v>1</v>
      </c>
      <c r="T873" s="414">
        <f>+HLOOKUP(B799,[238]Hoja1!$2:$78,35,FALSE)</f>
        <v>1.2</v>
      </c>
      <c r="Y873" s="439">
        <f t="shared" si="141"/>
        <v>1.2</v>
      </c>
      <c r="Z873" s="439">
        <f t="shared" si="136"/>
        <v>0</v>
      </c>
    </row>
    <row r="874" spans="1:26" ht="25.5">
      <c r="A874" s="453">
        <f t="shared" si="137"/>
        <v>3.07</v>
      </c>
      <c r="B874" s="383">
        <v>41</v>
      </c>
      <c r="D874" s="406"/>
      <c r="E874" s="407"/>
      <c r="F874" s="407"/>
      <c r="G874" s="407"/>
      <c r="H874" s="407"/>
      <c r="I874" s="407"/>
      <c r="J874" s="408" t="s">
        <v>452</v>
      </c>
      <c r="K874" s="409" t="str">
        <f t="shared" si="134"/>
        <v>A=(Ancho x Largo)* Cant</v>
      </c>
      <c r="L874" s="410" t="str">
        <f t="shared" si="143"/>
        <v>M2</v>
      </c>
      <c r="M874" s="411"/>
      <c r="N874" s="412"/>
      <c r="O874" s="442"/>
      <c r="P874" s="442"/>
      <c r="Q874" s="413"/>
      <c r="R874" s="411"/>
      <c r="S874" s="413"/>
      <c r="T874" s="414">
        <f>+HLOOKUP(B800,[238]Hoja1!$2:$78,35,FALSE)</f>
        <v>0</v>
      </c>
      <c r="Y874" s="439">
        <f t="shared" si="141"/>
        <v>0</v>
      </c>
      <c r="Z874" s="439">
        <f t="shared" si="136"/>
        <v>0</v>
      </c>
    </row>
    <row r="875" spans="1:26" ht="25.5">
      <c r="A875" s="453">
        <f t="shared" si="137"/>
        <v>3.07</v>
      </c>
      <c r="B875" s="383">
        <v>42</v>
      </c>
      <c r="D875" s="406"/>
      <c r="E875" s="407"/>
      <c r="F875" s="407"/>
      <c r="G875" s="407"/>
      <c r="H875" s="407"/>
      <c r="I875" s="407"/>
      <c r="J875" s="408" t="s">
        <v>453</v>
      </c>
      <c r="K875" s="409" t="str">
        <f t="shared" si="134"/>
        <v>A=(Ancho x Largo)* Cant</v>
      </c>
      <c r="L875" s="410" t="str">
        <f t="shared" si="143"/>
        <v>M2</v>
      </c>
      <c r="M875" s="411"/>
      <c r="N875" s="412"/>
      <c r="O875" s="442"/>
      <c r="P875" s="442"/>
      <c r="Q875" s="412"/>
      <c r="R875" s="411"/>
      <c r="S875" s="413"/>
      <c r="T875" s="414">
        <f>+HLOOKUP(B801,[238]Hoja1!$2:$78,35,FALSE)</f>
        <v>0</v>
      </c>
      <c r="Y875" s="439">
        <f t="shared" si="141"/>
        <v>0</v>
      </c>
      <c r="Z875" s="439">
        <f t="shared" si="136"/>
        <v>0</v>
      </c>
    </row>
    <row r="876" spans="1:26" ht="26.25" thickBot="1">
      <c r="A876" s="453">
        <f t="shared" si="137"/>
        <v>3.07</v>
      </c>
      <c r="B876" s="383">
        <v>43</v>
      </c>
      <c r="D876" s="406"/>
      <c r="E876" s="407"/>
      <c r="F876" s="407"/>
      <c r="G876" s="407"/>
      <c r="H876" s="407"/>
      <c r="I876" s="407"/>
      <c r="J876" s="408" t="s">
        <v>454</v>
      </c>
      <c r="K876" s="409" t="str">
        <f t="shared" si="134"/>
        <v>A=(Ancho x Largo)* Cant</v>
      </c>
      <c r="L876" s="410" t="str">
        <f t="shared" si="143"/>
        <v>M2</v>
      </c>
      <c r="M876" s="411"/>
      <c r="N876" s="412"/>
      <c r="O876" s="442"/>
      <c r="P876" s="442"/>
      <c r="Q876" s="412"/>
      <c r="R876" s="411"/>
      <c r="S876" s="413"/>
      <c r="T876" s="414">
        <f>+HLOOKUP(B802,[238]Hoja1!$2:$78,35,FALSE)</f>
        <v>0</v>
      </c>
      <c r="Y876" s="439">
        <f t="shared" si="141"/>
        <v>0</v>
      </c>
      <c r="Z876" s="439">
        <f t="shared" si="136"/>
        <v>0</v>
      </c>
    </row>
    <row r="877" spans="1:26">
      <c r="D877" s="384"/>
      <c r="E877" s="419"/>
      <c r="F877" s="420"/>
      <c r="G877" s="421"/>
      <c r="H877" s="421"/>
      <c r="I877" s="421"/>
      <c r="J877" s="421"/>
      <c r="K877" s="422"/>
      <c r="L877" s="421"/>
      <c r="M877" s="421"/>
      <c r="N877" s="421"/>
      <c r="O877" s="421"/>
      <c r="P877" s="421"/>
      <c r="Q877" s="421"/>
      <c r="R877" s="421"/>
      <c r="S877" s="422"/>
      <c r="T877" s="423"/>
    </row>
    <row r="878" spans="1:26">
      <c r="D878" s="396"/>
      <c r="E878" s="397"/>
      <c r="F878" s="424"/>
      <c r="G878" s="425"/>
      <c r="H878" s="425"/>
      <c r="I878" s="425"/>
      <c r="J878" s="425"/>
      <c r="K878" s="398"/>
      <c r="L878" s="425"/>
      <c r="M878" s="425"/>
      <c r="N878" s="397"/>
      <c r="O878" s="397"/>
      <c r="P878" s="562" t="s">
        <v>455</v>
      </c>
      <c r="Q878" s="563"/>
      <c r="R878" s="564"/>
      <c r="S878" s="426"/>
      <c r="T878" s="427">
        <f>ROUND(SUM(T834:T877),2)</f>
        <v>22.69</v>
      </c>
    </row>
    <row r="879" spans="1:26">
      <c r="D879" s="396"/>
      <c r="E879" s="397"/>
      <c r="F879" s="424"/>
      <c r="G879" s="425"/>
      <c r="H879" s="425"/>
      <c r="I879" s="425"/>
      <c r="J879" s="425"/>
      <c r="K879" s="398"/>
      <c r="L879" s="425"/>
      <c r="M879" s="425"/>
      <c r="N879" s="428"/>
      <c r="O879" s="428"/>
      <c r="P879" s="429"/>
      <c r="Q879" s="425"/>
      <c r="R879" s="425"/>
      <c r="S879" s="430"/>
      <c r="T879" s="431"/>
    </row>
    <row r="880" spans="1:26">
      <c r="D880" s="565" t="e">
        <v>#REF!</v>
      </c>
      <c r="E880" s="566"/>
      <c r="F880" s="566"/>
      <c r="G880" s="566"/>
      <c r="H880" s="566"/>
      <c r="I880" s="566"/>
      <c r="J880" s="566"/>
      <c r="K880" s="566"/>
      <c r="L880" s="566"/>
      <c r="M880" s="566"/>
      <c r="N880" s="566"/>
      <c r="O880" s="567"/>
      <c r="P880" s="568" t="s">
        <v>422</v>
      </c>
      <c r="Q880" s="568"/>
      <c r="R880" s="568"/>
      <c r="S880" s="426"/>
      <c r="T880" s="427">
        <f>T878</f>
        <v>22.69</v>
      </c>
    </row>
    <row r="881" spans="4:20">
      <c r="D881" s="396"/>
      <c r="E881" s="397"/>
      <c r="F881" s="424"/>
      <c r="G881" s="425"/>
      <c r="H881" s="425"/>
      <c r="I881" s="425"/>
      <c r="J881" s="425"/>
      <c r="K881" s="398"/>
      <c r="L881" s="425"/>
      <c r="M881" s="425"/>
      <c r="N881" s="428"/>
      <c r="O881" s="428"/>
      <c r="P881" s="429"/>
      <c r="Q881" s="425"/>
      <c r="R881" s="398"/>
      <c r="S881" s="398"/>
      <c r="T881" s="432"/>
    </row>
    <row r="882" spans="4:20">
      <c r="D882" s="396"/>
      <c r="E882" s="397"/>
      <c r="F882" s="424"/>
      <c r="G882" s="425"/>
      <c r="H882" s="425"/>
      <c r="I882" s="425"/>
      <c r="J882" s="425"/>
      <c r="K882" s="398"/>
      <c r="L882" s="425"/>
      <c r="M882" s="425"/>
      <c r="N882" s="428"/>
      <c r="O882" s="428"/>
      <c r="P882" s="429"/>
      <c r="Q882" s="425"/>
      <c r="R882" s="398"/>
      <c r="S882" s="398"/>
      <c r="T882" s="432"/>
    </row>
    <row r="883" spans="4:20">
      <c r="D883" s="569" t="s">
        <v>423</v>
      </c>
      <c r="E883" s="570"/>
      <c r="F883" s="570"/>
      <c r="G883" s="570"/>
      <c r="H883" s="570"/>
      <c r="I883" s="570"/>
      <c r="J883" s="570"/>
      <c r="K883" s="571"/>
      <c r="L883" s="433" t="s">
        <v>424</v>
      </c>
      <c r="M883" s="434"/>
      <c r="N883" s="434"/>
      <c r="O883" s="434"/>
      <c r="P883" s="434"/>
      <c r="Q883" s="434"/>
      <c r="R883" s="434"/>
      <c r="S883" s="434"/>
      <c r="T883" s="435"/>
    </row>
    <row r="884" spans="4:20">
      <c r="D884" s="542"/>
      <c r="E884" s="543"/>
      <c r="F884" s="543"/>
      <c r="G884" s="543"/>
      <c r="H884" s="436"/>
      <c r="I884" s="436"/>
      <c r="J884" s="436"/>
      <c r="K884" s="447"/>
      <c r="L884" s="436"/>
      <c r="M884" s="407"/>
      <c r="N884" s="407"/>
      <c r="O884" s="407"/>
      <c r="P884" s="407"/>
      <c r="Q884" s="407"/>
      <c r="R884" s="407"/>
      <c r="S884" s="407"/>
      <c r="T884" s="437"/>
    </row>
    <row r="885" spans="4:20">
      <c r="D885" s="542"/>
      <c r="E885" s="543"/>
      <c r="F885" s="543"/>
      <c r="G885" s="543"/>
      <c r="H885" s="436"/>
      <c r="I885" s="436"/>
      <c r="J885" s="436"/>
      <c r="K885" s="447"/>
      <c r="L885" s="436"/>
      <c r="M885" s="407"/>
      <c r="N885" s="407"/>
      <c r="O885" s="407"/>
      <c r="P885" s="407"/>
      <c r="Q885" s="407"/>
      <c r="R885" s="407"/>
      <c r="S885" s="407"/>
      <c r="T885" s="437"/>
    </row>
    <row r="886" spans="4:20">
      <c r="D886" s="542" t="s">
        <v>425</v>
      </c>
      <c r="E886" s="543"/>
      <c r="F886" s="543" t="s">
        <v>425</v>
      </c>
      <c r="G886" s="543"/>
      <c r="H886" s="543" t="s">
        <v>425</v>
      </c>
      <c r="I886" s="543"/>
      <c r="J886" s="543" t="s">
        <v>425</v>
      </c>
      <c r="K886" s="544"/>
      <c r="L886" s="545" t="s">
        <v>426</v>
      </c>
      <c r="M886" s="546"/>
      <c r="N886" s="546"/>
      <c r="O886" s="546"/>
      <c r="P886" s="546"/>
      <c r="Q886" s="546"/>
      <c r="R886" s="546"/>
      <c r="S886" s="546"/>
      <c r="T886" s="547"/>
    </row>
    <row r="887" spans="4:20">
      <c r="D887" s="548" t="str">
        <f>+[42]DATOS!D$8</f>
        <v>HELMER EDUARDO BECERRA SANTANDER</v>
      </c>
      <c r="E887" s="549"/>
      <c r="F887" s="549" t="s">
        <v>427</v>
      </c>
      <c r="G887" s="549"/>
      <c r="H887" s="549" t="s">
        <v>427</v>
      </c>
      <c r="I887" s="549"/>
      <c r="J887" s="549" t="s">
        <v>427</v>
      </c>
      <c r="K887" s="550"/>
      <c r="L887" s="551" t="str">
        <f>+[42]DATOS!D$11</f>
        <v>JESUS IVAN QUIÑONES RUEDA</v>
      </c>
      <c r="M887" s="549"/>
      <c r="N887" s="549"/>
      <c r="O887" s="549"/>
      <c r="P887" s="549"/>
      <c r="Q887" s="549"/>
      <c r="R887" s="549"/>
      <c r="S887" s="549"/>
      <c r="T887" s="552"/>
    </row>
    <row r="888" spans="4:20">
      <c r="D888" s="553" t="str">
        <f>+$D$72</f>
        <v>APOYO SEC. DE PLANEACION Y OBRAS PÚBLICAS</v>
      </c>
      <c r="E888" s="554"/>
      <c r="F888" s="554" t="s">
        <v>428</v>
      </c>
      <c r="G888" s="554"/>
      <c r="H888" s="554" t="s">
        <v>428</v>
      </c>
      <c r="I888" s="554"/>
      <c r="J888" s="554" t="s">
        <v>428</v>
      </c>
      <c r="K888" s="555"/>
      <c r="L888" s="556" t="str">
        <f>+$L$72</f>
        <v>SECRETARIO DE PLANEACION Y OBRAS PÚBLICAS</v>
      </c>
      <c r="M888" s="554"/>
      <c r="N888" s="554"/>
      <c r="O888" s="554"/>
      <c r="P888" s="554"/>
      <c r="Q888" s="554"/>
      <c r="R888" s="554"/>
      <c r="S888" s="554"/>
      <c r="T888" s="557"/>
    </row>
    <row r="889" spans="4:20">
      <c r="D889" s="406"/>
      <c r="E889" s="407"/>
      <c r="F889" s="407"/>
      <c r="G889" s="407"/>
      <c r="H889" s="407"/>
      <c r="I889" s="407"/>
      <c r="J889" s="407"/>
      <c r="K889" s="407"/>
      <c r="L889" s="407"/>
      <c r="M889" s="407"/>
      <c r="N889" s="407"/>
      <c r="O889" s="407"/>
      <c r="P889" s="407"/>
      <c r="Q889" s="407"/>
      <c r="R889" s="407"/>
      <c r="S889" s="407"/>
      <c r="T889" s="437"/>
    </row>
    <row r="890" spans="4:20" ht="111" customHeight="1" thickBot="1">
      <c r="D890" s="417"/>
      <c r="E890" s="418"/>
      <c r="F890" s="418"/>
      <c r="G890" s="418"/>
      <c r="H890" s="418"/>
      <c r="I890" s="418"/>
      <c r="J890" s="418"/>
      <c r="K890" s="418"/>
      <c r="L890" s="418"/>
      <c r="M890" s="418"/>
      <c r="N890" s="418"/>
      <c r="O890" s="418"/>
      <c r="P890" s="418"/>
      <c r="Q890" s="418"/>
      <c r="R890" s="418"/>
      <c r="S890" s="418"/>
      <c r="T890" s="438"/>
    </row>
    <row r="891" spans="4:20" ht="22.5" customHeight="1"/>
    <row r="892" spans="4:20" ht="13.5" thickBot="1"/>
    <row r="893" spans="4:20">
      <c r="D893" s="384"/>
      <c r="E893" s="385"/>
      <c r="F893" s="385"/>
      <c r="G893" s="385"/>
      <c r="H893" s="385"/>
      <c r="I893" s="385"/>
      <c r="J893" s="385"/>
      <c r="K893" s="445"/>
      <c r="L893" s="385"/>
      <c r="M893" s="385"/>
      <c r="N893" s="385"/>
      <c r="O893" s="385"/>
      <c r="P893" s="385"/>
      <c r="Q893" s="385"/>
      <c r="R893" s="385"/>
      <c r="S893" s="385"/>
      <c r="T893" s="386"/>
    </row>
    <row r="894" spans="4:20" ht="121.5" customHeight="1" thickBot="1">
      <c r="D894" s="387"/>
      <c r="E894" s="388"/>
      <c r="F894" s="388"/>
      <c r="G894" s="388"/>
      <c r="H894" s="388"/>
      <c r="I894" s="388"/>
      <c r="J894" s="388"/>
      <c r="K894" s="446"/>
      <c r="L894" s="388"/>
      <c r="M894" s="388"/>
      <c r="N894" s="388"/>
      <c r="O894" s="388"/>
      <c r="P894" s="388"/>
      <c r="Q894" s="388"/>
      <c r="R894" s="388"/>
      <c r="S894" s="388"/>
      <c r="T894" s="389"/>
    </row>
    <row r="895" spans="4:20">
      <c r="D895" s="592" t="str">
        <f>+[42]DATOS!C$7</f>
        <v>MEJORAMIENTO DE VIVIENDA CON ENFOQUE DIFERENCIAL PARA POBLACIÓN VULNERABLE EN EL MUNICIPIO DE CUBARÁ, BOYACÁ (2026).</v>
      </c>
      <c r="E895" s="593"/>
      <c r="F895" s="593"/>
      <c r="G895" s="593"/>
      <c r="H895" s="593"/>
      <c r="I895" s="593"/>
      <c r="J895" s="593"/>
      <c r="K895" s="593"/>
      <c r="L895" s="593"/>
      <c r="M895" s="593"/>
      <c r="N895" s="593"/>
      <c r="O895" s="593"/>
      <c r="P895" s="593"/>
      <c r="Q895" s="593"/>
      <c r="R895" s="593"/>
      <c r="S895" s="593"/>
      <c r="T895" s="594"/>
    </row>
    <row r="896" spans="4:20">
      <c r="D896" s="595"/>
      <c r="E896" s="596"/>
      <c r="F896" s="596"/>
      <c r="G896" s="596"/>
      <c r="H896" s="596"/>
      <c r="I896" s="596"/>
      <c r="J896" s="596"/>
      <c r="K896" s="596"/>
      <c r="L896" s="596"/>
      <c r="M896" s="596"/>
      <c r="N896" s="596"/>
      <c r="O896" s="596"/>
      <c r="P896" s="596"/>
      <c r="Q896" s="596"/>
      <c r="R896" s="596"/>
      <c r="S896" s="596"/>
      <c r="T896" s="597"/>
    </row>
    <row r="897" spans="1:26">
      <c r="D897" s="598" t="s">
        <v>371</v>
      </c>
      <c r="E897" s="599"/>
      <c r="F897" s="599"/>
      <c r="G897" s="599"/>
      <c r="H897" s="599"/>
      <c r="I897" s="599"/>
      <c r="J897" s="599"/>
      <c r="K897" s="599"/>
      <c r="L897" s="599"/>
      <c r="M897" s="599"/>
      <c r="N897" s="599"/>
      <c r="O897" s="599"/>
      <c r="P897" s="599"/>
      <c r="Q897" s="599"/>
      <c r="R897" s="599"/>
      <c r="S897" s="599"/>
      <c r="T897" s="600"/>
    </row>
    <row r="898" spans="1:26">
      <c r="D898" s="586" t="s">
        <v>372</v>
      </c>
      <c r="E898" s="587"/>
      <c r="F898" s="601" t="s">
        <v>373</v>
      </c>
      <c r="G898" s="601"/>
      <c r="H898" s="601"/>
      <c r="I898" s="601"/>
      <c r="J898" s="601"/>
      <c r="K898" s="601"/>
      <c r="L898" s="601"/>
      <c r="M898" s="601"/>
      <c r="N898" s="601"/>
      <c r="O898" s="601"/>
      <c r="P898" s="601"/>
      <c r="Q898" s="601"/>
      <c r="R898" s="601"/>
      <c r="S898" s="601"/>
      <c r="T898" s="602"/>
    </row>
    <row r="899" spans="1:26">
      <c r="D899" s="586" t="s">
        <v>374</v>
      </c>
      <c r="E899" s="587"/>
      <c r="F899" s="603" t="s">
        <v>375</v>
      </c>
      <c r="G899" s="604"/>
      <c r="H899" s="604"/>
      <c r="I899" s="604"/>
      <c r="J899" s="604"/>
      <c r="K899" s="604"/>
      <c r="L899" s="604"/>
      <c r="M899" s="604"/>
      <c r="N899" s="604"/>
      <c r="O899" s="604"/>
      <c r="P899" s="604"/>
      <c r="Q899" s="604"/>
      <c r="R899" s="604"/>
      <c r="S899" s="604"/>
      <c r="T899" s="605"/>
    </row>
    <row r="900" spans="1:26">
      <c r="D900" s="586" t="s">
        <v>376</v>
      </c>
      <c r="E900" s="587"/>
      <c r="F900" s="390">
        <f>+[42]DATOS!F$5</f>
        <v>46143</v>
      </c>
      <c r="G900" s="391"/>
      <c r="H900" s="391"/>
      <c r="I900" s="391"/>
      <c r="J900" s="391"/>
      <c r="K900" s="391"/>
      <c r="L900" s="568" t="s">
        <v>377</v>
      </c>
      <c r="M900" s="568"/>
      <c r="N900" s="588" t="s">
        <v>378</v>
      </c>
      <c r="O900" s="588"/>
      <c r="P900" s="588"/>
      <c r="Q900" s="588"/>
      <c r="R900" s="588"/>
      <c r="S900" s="588"/>
      <c r="T900" s="589"/>
    </row>
    <row r="901" spans="1:26" ht="25.5">
      <c r="D901" s="586" t="s">
        <v>379</v>
      </c>
      <c r="E901" s="587"/>
      <c r="F901" s="590" t="s">
        <v>380</v>
      </c>
      <c r="G901" s="591"/>
      <c r="H901" s="392">
        <f>+[42]DATOS!E$5</f>
        <v>2026</v>
      </c>
      <c r="I901" s="393" t="s">
        <v>381</v>
      </c>
      <c r="J901" s="394">
        <f>+[42]DATOS!E$5</f>
        <v>2026</v>
      </c>
      <c r="K901" s="395"/>
      <c r="L901" s="568" t="s">
        <v>382</v>
      </c>
      <c r="M901" s="568"/>
      <c r="N901" s="588" t="s">
        <v>383</v>
      </c>
      <c r="O901" s="588"/>
      <c r="P901" s="588"/>
      <c r="Q901" s="588"/>
      <c r="R901" s="588"/>
      <c r="S901" s="588"/>
      <c r="T901" s="589"/>
    </row>
    <row r="902" spans="1:26">
      <c r="D902" s="396"/>
      <c r="E902" s="397"/>
      <c r="F902" s="397"/>
      <c r="G902" s="398"/>
      <c r="H902" s="398"/>
      <c r="I902" s="398"/>
      <c r="J902" s="398"/>
      <c r="K902" s="398"/>
      <c r="L902" s="398"/>
      <c r="M902" s="398"/>
      <c r="N902" s="398"/>
      <c r="O902" s="398"/>
      <c r="P902" s="398"/>
      <c r="Q902" s="398"/>
      <c r="R902" s="398"/>
      <c r="S902" s="398"/>
      <c r="T902" s="399"/>
    </row>
    <row r="903" spans="1:26">
      <c r="D903" s="572" t="s">
        <v>384</v>
      </c>
      <c r="E903" s="573"/>
      <c r="F903" s="573"/>
      <c r="G903" s="573"/>
      <c r="H903" s="573"/>
      <c r="I903" s="573"/>
      <c r="J903" s="573"/>
      <c r="K903" s="573"/>
      <c r="L903" s="573"/>
      <c r="M903" s="573"/>
      <c r="N903" s="573"/>
      <c r="O903" s="573"/>
      <c r="P903" s="573"/>
      <c r="Q903" s="573"/>
      <c r="R903" s="573"/>
      <c r="S903" s="573"/>
      <c r="T903" s="574"/>
    </row>
    <row r="904" spans="1:26">
      <c r="D904" s="396"/>
      <c r="E904" s="397"/>
      <c r="F904" s="397"/>
      <c r="G904" s="398"/>
      <c r="H904" s="398"/>
      <c r="I904" s="398"/>
      <c r="J904" s="398"/>
      <c r="K904" s="398"/>
      <c r="L904" s="398"/>
      <c r="M904" s="398"/>
      <c r="N904" s="398"/>
      <c r="O904" s="398"/>
      <c r="P904" s="398"/>
      <c r="Q904" s="398"/>
      <c r="R904" s="398"/>
      <c r="S904" s="398"/>
      <c r="T904" s="399"/>
    </row>
    <row r="905" spans="1:26">
      <c r="D905" s="400" t="s">
        <v>385</v>
      </c>
      <c r="E905" s="575" t="s">
        <v>386</v>
      </c>
      <c r="F905" s="575"/>
      <c r="G905" s="576" t="s">
        <v>387</v>
      </c>
      <c r="H905" s="577"/>
      <c r="I905" s="577"/>
      <c r="J905" s="576" t="s">
        <v>388</v>
      </c>
      <c r="K905" s="576" t="s">
        <v>389</v>
      </c>
      <c r="L905" s="579"/>
      <c r="M905" s="581" t="s">
        <v>390</v>
      </c>
      <c r="N905" s="581"/>
      <c r="O905" s="581"/>
      <c r="P905" s="581"/>
      <c r="Q905" s="581"/>
      <c r="R905" s="581"/>
      <c r="S905" s="581" t="s">
        <v>391</v>
      </c>
      <c r="T905" s="582"/>
    </row>
    <row r="906" spans="1:26" ht="38.25">
      <c r="D906" s="403">
        <f>+'PRESUPUESTO OFICIAL '!C46</f>
        <v>3.08</v>
      </c>
      <c r="E906" s="583" t="str">
        <f>+VLOOKUP(D906,'PRESUPUESTO OFICIAL '!$C$11:$H$103,2)</f>
        <v>SUMINISTRO, FIGURADA Y AMARRE DE ACERO 60,000 PSI (420 Mpa)</v>
      </c>
      <c r="F906" s="584"/>
      <c r="G906" s="585" t="str">
        <f>+VLOOKUP(D906,'PRESUPUESTO OFICIAL '!$C$11:$H$103,3)</f>
        <v>KG</v>
      </c>
      <c r="H906" s="585"/>
      <c r="I906" s="585"/>
      <c r="J906" s="578"/>
      <c r="K906" s="578"/>
      <c r="L906" s="580"/>
      <c r="M906" s="401" t="s">
        <v>392</v>
      </c>
      <c r="N906" s="401" t="s">
        <v>459</v>
      </c>
      <c r="O906" s="401" t="s">
        <v>394</v>
      </c>
      <c r="P906" s="401" t="s">
        <v>395</v>
      </c>
      <c r="Q906" s="401" t="s">
        <v>396</v>
      </c>
      <c r="R906" s="401" t="s">
        <v>397</v>
      </c>
      <c r="S906" s="401" t="s">
        <v>398</v>
      </c>
      <c r="T906" s="402" t="s">
        <v>399</v>
      </c>
      <c r="V906" s="404">
        <f>+D906</f>
        <v>3.08</v>
      </c>
      <c r="W906" s="405">
        <f>+T954</f>
        <v>6290.78</v>
      </c>
    </row>
    <row r="907" spans="1:26">
      <c r="D907" s="406"/>
      <c r="E907" s="407"/>
      <c r="F907" s="407"/>
      <c r="G907" s="407"/>
      <c r="H907" s="407"/>
      <c r="I907" s="407"/>
      <c r="J907" s="558"/>
      <c r="K907" s="559"/>
      <c r="L907" s="560"/>
      <c r="M907" s="560"/>
      <c r="N907" s="560"/>
      <c r="O907" s="560"/>
      <c r="P907" s="560"/>
      <c r="Q907" s="560"/>
      <c r="R907" s="560"/>
      <c r="S907" s="560"/>
      <c r="T907" s="561"/>
    </row>
    <row r="908" spans="1:26" ht="25.5">
      <c r="A908" s="453">
        <f>+D906</f>
        <v>3.08</v>
      </c>
      <c r="B908" s="383">
        <v>1</v>
      </c>
      <c r="D908" s="406"/>
      <c r="E908" s="407"/>
      <c r="F908" s="407"/>
      <c r="G908" s="407"/>
      <c r="H908" s="407"/>
      <c r="I908" s="407"/>
      <c r="J908" s="408" t="s">
        <v>400</v>
      </c>
      <c r="K908" s="409" t="str">
        <f t="shared" ref="K908:K950" si="144">+VLOOKUP(L908,$AH$22:$AJ$58,2,)</f>
        <v>Kilogramos x Cant. Elementos</v>
      </c>
      <c r="L908" s="410" t="str">
        <f>+G906</f>
        <v>KG</v>
      </c>
      <c r="M908" s="411"/>
      <c r="N908" s="493">
        <f>+T908</f>
        <v>30.296615384615386</v>
      </c>
      <c r="O908" s="442"/>
      <c r="P908" s="442"/>
      <c r="Q908" s="413"/>
      <c r="R908" s="411"/>
      <c r="S908" s="413">
        <v>1</v>
      </c>
      <c r="T908" s="414">
        <f>+HLOOKUP(B834,[238]Hoja1!$2:$78,36,FALSE)</f>
        <v>30.296615384615386</v>
      </c>
      <c r="Y908" s="439">
        <f t="shared" ref="Y908:Y913" si="145">+O908*P908*Q908</f>
        <v>0</v>
      </c>
      <c r="Z908" s="439">
        <f t="shared" ref="Z908:Z913" si="146">+Y908-R908</f>
        <v>0</v>
      </c>
    </row>
    <row r="909" spans="1:26" ht="25.5">
      <c r="A909" s="453">
        <f>+A908</f>
        <v>3.08</v>
      </c>
      <c r="B909" s="383">
        <v>2</v>
      </c>
      <c r="D909" s="406"/>
      <c r="E909" s="407"/>
      <c r="F909" s="407"/>
      <c r="G909" s="407"/>
      <c r="H909" s="407"/>
      <c r="I909" s="407"/>
      <c r="J909" s="408" t="s">
        <v>401</v>
      </c>
      <c r="K909" s="409" t="str">
        <f t="shared" si="144"/>
        <v>Kilogramos x Cant. Elementos</v>
      </c>
      <c r="L909" s="410" t="str">
        <f>+L908</f>
        <v>KG</v>
      </c>
      <c r="M909" s="411"/>
      <c r="N909" s="493">
        <f t="shared" ref="N909:N948" si="147">+T909</f>
        <v>264.15880615384617</v>
      </c>
      <c r="O909" s="442"/>
      <c r="P909" s="442"/>
      <c r="Q909" s="413"/>
      <c r="R909" s="411"/>
      <c r="S909" s="413">
        <v>1</v>
      </c>
      <c r="T909" s="414">
        <f>+HLOOKUP(B835,[238]Hoja1!$2:$78,36,FALSE)</f>
        <v>264.15880615384617</v>
      </c>
      <c r="Y909" s="439">
        <f t="shared" si="145"/>
        <v>0</v>
      </c>
      <c r="Z909" s="439">
        <f t="shared" si="146"/>
        <v>0</v>
      </c>
    </row>
    <row r="910" spans="1:26" ht="25.5">
      <c r="A910" s="453">
        <f t="shared" ref="A910:A950" si="148">+A909</f>
        <v>3.08</v>
      </c>
      <c r="B910" s="383">
        <v>3</v>
      </c>
      <c r="D910" s="406"/>
      <c r="E910" s="407"/>
      <c r="F910" s="407"/>
      <c r="G910" s="407"/>
      <c r="H910" s="407"/>
      <c r="I910" s="407"/>
      <c r="J910" s="408" t="s">
        <v>402</v>
      </c>
      <c r="K910" s="409" t="str">
        <f t="shared" si="144"/>
        <v>Kilogramos x Cant. Elementos</v>
      </c>
      <c r="L910" s="410" t="str">
        <f>+L909</f>
        <v>KG</v>
      </c>
      <c r="M910" s="411"/>
      <c r="N910" s="493">
        <f t="shared" si="147"/>
        <v>223.68697846153847</v>
      </c>
      <c r="O910" s="442"/>
      <c r="P910" s="442"/>
      <c r="Q910" s="413"/>
      <c r="R910" s="411"/>
      <c r="S910" s="413">
        <v>1</v>
      </c>
      <c r="T910" s="414">
        <f>+HLOOKUP(B836,[238]Hoja1!$2:$78,36,FALSE)</f>
        <v>223.68697846153847</v>
      </c>
      <c r="Y910" s="439">
        <f t="shared" si="145"/>
        <v>0</v>
      </c>
      <c r="Z910" s="439">
        <f t="shared" si="146"/>
        <v>0</v>
      </c>
    </row>
    <row r="911" spans="1:26" ht="25.5">
      <c r="A911" s="453">
        <f t="shared" si="148"/>
        <v>3.08</v>
      </c>
      <c r="B911" s="383">
        <v>4</v>
      </c>
      <c r="D911" s="406"/>
      <c r="E911" s="407"/>
      <c r="F911" s="407"/>
      <c r="G911" s="407"/>
      <c r="H911" s="407"/>
      <c r="I911" s="407"/>
      <c r="J911" s="408" t="s">
        <v>403</v>
      </c>
      <c r="K911" s="409" t="str">
        <f t="shared" si="144"/>
        <v>Kilogramos x Cant. Elementos</v>
      </c>
      <c r="L911" s="410" t="str">
        <f>+L910</f>
        <v>KG</v>
      </c>
      <c r="M911" s="411"/>
      <c r="N911" s="493">
        <f t="shared" si="147"/>
        <v>223.68697846153847</v>
      </c>
      <c r="O911" s="442"/>
      <c r="P911" s="442"/>
      <c r="Q911" s="413"/>
      <c r="R911" s="411"/>
      <c r="S911" s="413">
        <v>1</v>
      </c>
      <c r="T911" s="414">
        <f>+HLOOKUP(B837,[238]Hoja1!$2:$78,36,FALSE)</f>
        <v>223.68697846153847</v>
      </c>
      <c r="Y911" s="439">
        <f t="shared" si="145"/>
        <v>0</v>
      </c>
      <c r="Z911" s="439">
        <f t="shared" si="146"/>
        <v>0</v>
      </c>
    </row>
    <row r="912" spans="1:26" ht="25.5">
      <c r="A912" s="453">
        <f t="shared" si="148"/>
        <v>3.08</v>
      </c>
      <c r="B912" s="383">
        <v>5</v>
      </c>
      <c r="D912" s="406"/>
      <c r="E912" s="407"/>
      <c r="F912" s="407"/>
      <c r="G912" s="407"/>
      <c r="H912" s="407"/>
      <c r="I912" s="407"/>
      <c r="J912" s="408" t="s">
        <v>405</v>
      </c>
      <c r="K912" s="409" t="str">
        <f t="shared" si="144"/>
        <v>Kilogramos x Cant. Elementos</v>
      </c>
      <c r="L912" s="410" t="str">
        <f>+L911</f>
        <v>KG</v>
      </c>
      <c r="M912" s="411"/>
      <c r="N912" s="493">
        <f t="shared" si="147"/>
        <v>264.15880615384617</v>
      </c>
      <c r="O912" s="442"/>
      <c r="P912" s="442"/>
      <c r="Q912" s="413"/>
      <c r="R912" s="411"/>
      <c r="S912" s="413">
        <v>1</v>
      </c>
      <c r="T912" s="414">
        <f>+HLOOKUP(B838,[238]Hoja1!$2:$78,36,FALSE)</f>
        <v>264.15880615384617</v>
      </c>
      <c r="Y912" s="439">
        <f t="shared" si="145"/>
        <v>0</v>
      </c>
      <c r="Z912" s="439">
        <f t="shared" si="146"/>
        <v>0</v>
      </c>
    </row>
    <row r="913" spans="1:26" ht="25.5">
      <c r="A913" s="453">
        <f t="shared" si="148"/>
        <v>3.08</v>
      </c>
      <c r="B913" s="383">
        <v>6</v>
      </c>
      <c r="D913" s="406"/>
      <c r="E913" s="407"/>
      <c r="F913" s="407"/>
      <c r="G913" s="407"/>
      <c r="H913" s="407"/>
      <c r="I913" s="407"/>
      <c r="J913" s="408" t="s">
        <v>407</v>
      </c>
      <c r="K913" s="409" t="str">
        <f t="shared" si="144"/>
        <v>Kilogramos x Cant. Elementos</v>
      </c>
      <c r="L913" s="410" t="str">
        <f>+L912</f>
        <v>KG</v>
      </c>
      <c r="M913" s="411"/>
      <c r="N913" s="493">
        <f t="shared" si="147"/>
        <v>222.65637907692309</v>
      </c>
      <c r="O913" s="442"/>
      <c r="P913" s="442"/>
      <c r="Q913" s="413"/>
      <c r="R913" s="411"/>
      <c r="S913" s="413">
        <v>1</v>
      </c>
      <c r="T913" s="414">
        <f>+HLOOKUP(B839,[238]Hoja1!$2:$78,36,FALSE)</f>
        <v>222.65637907692309</v>
      </c>
      <c r="Y913" s="439">
        <f t="shared" si="145"/>
        <v>0</v>
      </c>
      <c r="Z913" s="439">
        <f t="shared" si="146"/>
        <v>0</v>
      </c>
    </row>
    <row r="914" spans="1:26" ht="25.5">
      <c r="A914" s="453">
        <f t="shared" si="148"/>
        <v>3.08</v>
      </c>
      <c r="B914" s="383">
        <v>7</v>
      </c>
      <c r="D914" s="406"/>
      <c r="E914" s="407"/>
      <c r="F914" s="407"/>
      <c r="G914" s="407"/>
      <c r="H914" s="407"/>
      <c r="I914" s="407"/>
      <c r="J914" s="408" t="s">
        <v>409</v>
      </c>
      <c r="K914" s="409" t="str">
        <f t="shared" si="144"/>
        <v>Kilogramos x Cant. Elementos</v>
      </c>
      <c r="L914" s="410" t="str">
        <f>+L908</f>
        <v>KG</v>
      </c>
      <c r="M914" s="411"/>
      <c r="N914" s="493">
        <f t="shared" si="147"/>
        <v>56.81232</v>
      </c>
      <c r="O914" s="442"/>
      <c r="P914" s="442"/>
      <c r="Q914" s="413"/>
      <c r="R914" s="411"/>
      <c r="S914" s="413">
        <v>1</v>
      </c>
      <c r="T914" s="414">
        <f>+HLOOKUP(B840,[238]Hoja1!$2:$78,36,FALSE)</f>
        <v>56.81232</v>
      </c>
      <c r="Y914" s="439">
        <f>+O914*P914*Q914</f>
        <v>0</v>
      </c>
      <c r="Z914" s="439">
        <f>+Y914-R914</f>
        <v>0</v>
      </c>
    </row>
    <row r="915" spans="1:26" ht="25.5">
      <c r="A915" s="453">
        <f t="shared" si="148"/>
        <v>3.08</v>
      </c>
      <c r="B915" s="383">
        <v>8</v>
      </c>
      <c r="D915" s="406"/>
      <c r="E915" s="407"/>
      <c r="F915" s="407"/>
      <c r="G915" s="407"/>
      <c r="H915" s="407"/>
      <c r="I915" s="407"/>
      <c r="J915" s="408" t="s">
        <v>411</v>
      </c>
      <c r="K915" s="409" t="str">
        <f t="shared" si="144"/>
        <v>Kilogramos x Cant. Elementos</v>
      </c>
      <c r="L915" s="410" t="str">
        <f>+L914</f>
        <v>KG</v>
      </c>
      <c r="M915" s="411"/>
      <c r="N915" s="493">
        <f t="shared" si="147"/>
        <v>294.19205513846163</v>
      </c>
      <c r="O915" s="442"/>
      <c r="P915" s="442"/>
      <c r="Q915" s="413"/>
      <c r="R915" s="411"/>
      <c r="S915" s="413">
        <v>1</v>
      </c>
      <c r="T915" s="414">
        <f>+HLOOKUP(B841,[238]Hoja1!$2:$78,36,FALSE)</f>
        <v>294.19205513846163</v>
      </c>
      <c r="Y915" s="439">
        <f t="shared" ref="Y915:Y950" si="149">+O915*P915*Q915</f>
        <v>0</v>
      </c>
      <c r="Z915" s="439">
        <f t="shared" ref="Z915:Z950" si="150">+Y915-R915</f>
        <v>0</v>
      </c>
    </row>
    <row r="916" spans="1:26" ht="25.5">
      <c r="A916" s="453">
        <f t="shared" si="148"/>
        <v>3.08</v>
      </c>
      <c r="B916" s="383">
        <v>9</v>
      </c>
      <c r="D916" s="406"/>
      <c r="E916" s="407"/>
      <c r="F916" s="407"/>
      <c r="G916" s="407"/>
      <c r="H916" s="407"/>
      <c r="I916" s="407"/>
      <c r="J916" s="408" t="s">
        <v>412</v>
      </c>
      <c r="K916" s="409" t="str">
        <f t="shared" si="144"/>
        <v>Kilogramos x Cant. Elementos</v>
      </c>
      <c r="L916" s="410" t="str">
        <f>+L915</f>
        <v>KG</v>
      </c>
      <c r="M916" s="411"/>
      <c r="N916" s="493">
        <f t="shared" si="147"/>
        <v>264.15880615384617</v>
      </c>
      <c r="O916" s="442"/>
      <c r="P916" s="442"/>
      <c r="Q916" s="412"/>
      <c r="R916" s="411"/>
      <c r="S916" s="413">
        <v>1</v>
      </c>
      <c r="T916" s="414">
        <f>+HLOOKUP(B842,[238]Hoja1!$2:$78,36,FALSE)</f>
        <v>264.15880615384617</v>
      </c>
      <c r="Y916" s="439">
        <f t="shared" si="149"/>
        <v>0</v>
      </c>
      <c r="Z916" s="439">
        <f t="shared" si="150"/>
        <v>0</v>
      </c>
    </row>
    <row r="917" spans="1:26" ht="25.5">
      <c r="A917" s="453">
        <f t="shared" si="148"/>
        <v>3.08</v>
      </c>
      <c r="B917" s="383">
        <v>10</v>
      </c>
      <c r="D917" s="406"/>
      <c r="E917" s="407"/>
      <c r="F917" s="407"/>
      <c r="G917" s="407"/>
      <c r="H917" s="407"/>
      <c r="I917" s="407"/>
      <c r="J917" s="408" t="s">
        <v>413</v>
      </c>
      <c r="K917" s="409" t="str">
        <f t="shared" si="144"/>
        <v>Kilogramos x Cant. Elementos</v>
      </c>
      <c r="L917" s="410" t="str">
        <f>+L916</f>
        <v>KG</v>
      </c>
      <c r="M917" s="411"/>
      <c r="N917" s="493"/>
      <c r="O917" s="441"/>
      <c r="P917" s="441"/>
      <c r="Q917" s="412"/>
      <c r="R917" s="411"/>
      <c r="S917" s="413"/>
      <c r="T917" s="414">
        <f>+HLOOKUP(B843,[238]Hoja1!$2:$78,36,FALSE)</f>
        <v>0</v>
      </c>
      <c r="Y917" s="439">
        <f t="shared" si="149"/>
        <v>0</v>
      </c>
      <c r="Z917" s="439">
        <f t="shared" si="150"/>
        <v>0</v>
      </c>
    </row>
    <row r="918" spans="1:26" ht="25.5">
      <c r="A918" s="453">
        <f t="shared" si="148"/>
        <v>3.08</v>
      </c>
      <c r="B918" s="383">
        <v>11</v>
      </c>
      <c r="D918" s="406"/>
      <c r="E918" s="407"/>
      <c r="F918" s="407"/>
      <c r="G918" s="407"/>
      <c r="H918" s="407"/>
      <c r="I918" s="407"/>
      <c r="J918" s="408" t="s">
        <v>414</v>
      </c>
      <c r="K918" s="409" t="str">
        <f t="shared" si="144"/>
        <v>Kilogramos x Cant. Elementos</v>
      </c>
      <c r="L918" s="410" t="str">
        <f>+L917</f>
        <v>KG</v>
      </c>
      <c r="M918" s="411"/>
      <c r="N918" s="493"/>
      <c r="O918" s="443"/>
      <c r="P918" s="443"/>
      <c r="Q918" s="412"/>
      <c r="R918" s="411"/>
      <c r="S918" s="413"/>
      <c r="T918" s="414">
        <f>+HLOOKUP(B844,[238]Hoja1!$2:$78,36,FALSE)</f>
        <v>0</v>
      </c>
      <c r="Y918" s="439">
        <f t="shared" si="149"/>
        <v>0</v>
      </c>
      <c r="Z918" s="439">
        <f t="shared" si="150"/>
        <v>0</v>
      </c>
    </row>
    <row r="919" spans="1:26" ht="25.5">
      <c r="A919" s="453">
        <f t="shared" si="148"/>
        <v>3.08</v>
      </c>
      <c r="B919" s="383">
        <v>12</v>
      </c>
      <c r="D919" s="406"/>
      <c r="E919" s="407"/>
      <c r="F919" s="407"/>
      <c r="G919" s="407"/>
      <c r="H919" s="407"/>
      <c r="I919" s="407"/>
      <c r="J919" s="408" t="s">
        <v>415</v>
      </c>
      <c r="K919" s="409" t="str">
        <f t="shared" si="144"/>
        <v>Kilogramos x Cant. Elementos</v>
      </c>
      <c r="L919" s="410" t="str">
        <f>+L913</f>
        <v>KG</v>
      </c>
      <c r="M919" s="411"/>
      <c r="N919" s="493"/>
      <c r="O919" s="442"/>
      <c r="P919" s="442"/>
      <c r="Q919" s="413"/>
      <c r="R919" s="411"/>
      <c r="S919" s="413"/>
      <c r="T919" s="414">
        <f>+HLOOKUP(B845,[238]Hoja1!$2:$78,36,FALSE)</f>
        <v>0</v>
      </c>
      <c r="Y919" s="439">
        <f t="shared" si="149"/>
        <v>0</v>
      </c>
      <c r="Z919" s="439">
        <f t="shared" si="150"/>
        <v>0</v>
      </c>
    </row>
    <row r="920" spans="1:26" ht="25.5">
      <c r="A920" s="453">
        <f t="shared" si="148"/>
        <v>3.08</v>
      </c>
      <c r="B920" s="383">
        <v>13</v>
      </c>
      <c r="D920" s="406"/>
      <c r="E920" s="407"/>
      <c r="F920" s="407"/>
      <c r="G920" s="407"/>
      <c r="H920" s="407"/>
      <c r="I920" s="407"/>
      <c r="J920" s="408" t="s">
        <v>416</v>
      </c>
      <c r="K920" s="409" t="str">
        <f t="shared" si="144"/>
        <v>Kilogramos x Cant. Elementos</v>
      </c>
      <c r="L920" s="410" t="str">
        <f>+L915</f>
        <v>KG</v>
      </c>
      <c r="M920" s="411"/>
      <c r="N920" s="493"/>
      <c r="O920" s="442"/>
      <c r="P920" s="442"/>
      <c r="Q920" s="413"/>
      <c r="R920" s="411"/>
      <c r="S920" s="413"/>
      <c r="T920" s="414">
        <f>+HLOOKUP(B846,[238]Hoja1!$2:$78,36,FALSE)</f>
        <v>0</v>
      </c>
      <c r="Y920" s="439">
        <f t="shared" si="149"/>
        <v>0</v>
      </c>
      <c r="Z920" s="439">
        <f t="shared" si="150"/>
        <v>0</v>
      </c>
    </row>
    <row r="921" spans="1:26" ht="25.5">
      <c r="A921" s="453">
        <f t="shared" si="148"/>
        <v>3.08</v>
      </c>
      <c r="B921" s="383">
        <v>14</v>
      </c>
      <c r="D921" s="406"/>
      <c r="E921" s="407"/>
      <c r="F921" s="407"/>
      <c r="G921" s="407"/>
      <c r="H921" s="407"/>
      <c r="I921" s="407"/>
      <c r="J921" s="408" t="s">
        <v>417</v>
      </c>
      <c r="K921" s="409" t="str">
        <f t="shared" si="144"/>
        <v>Kilogramos x Cant. Elementos</v>
      </c>
      <c r="L921" s="410" t="str">
        <f t="shared" ref="L921:L932" si="151">+L920</f>
        <v>KG</v>
      </c>
      <c r="M921" s="411"/>
      <c r="N921" s="493">
        <f t="shared" si="147"/>
        <v>264.15880615384617</v>
      </c>
      <c r="O921" s="442"/>
      <c r="P921" s="442"/>
      <c r="Q921" s="412"/>
      <c r="R921" s="411"/>
      <c r="S921" s="413">
        <v>1</v>
      </c>
      <c r="T921" s="414">
        <f>+HLOOKUP(B847,[238]Hoja1!$2:$78,36,FALSE)</f>
        <v>264.15880615384617</v>
      </c>
      <c r="Y921" s="439">
        <f t="shared" si="149"/>
        <v>0</v>
      </c>
      <c r="Z921" s="439">
        <f t="shared" si="150"/>
        <v>0</v>
      </c>
    </row>
    <row r="922" spans="1:26" ht="25.5">
      <c r="A922" s="453">
        <f t="shared" si="148"/>
        <v>3.08</v>
      </c>
      <c r="B922" s="383">
        <v>15</v>
      </c>
      <c r="D922" s="406"/>
      <c r="E922" s="407"/>
      <c r="F922" s="407"/>
      <c r="G922" s="407"/>
      <c r="H922" s="407"/>
      <c r="I922" s="407"/>
      <c r="J922" s="408" t="s">
        <v>418</v>
      </c>
      <c r="K922" s="409" t="str">
        <f t="shared" si="144"/>
        <v>Kilogramos x Cant. Elementos</v>
      </c>
      <c r="L922" s="410" t="str">
        <f t="shared" si="151"/>
        <v>KG</v>
      </c>
      <c r="M922" s="411"/>
      <c r="N922" s="493">
        <f t="shared" si="147"/>
        <v>187.0664086153846</v>
      </c>
      <c r="O922" s="442"/>
      <c r="P922" s="442"/>
      <c r="Q922" s="449"/>
      <c r="R922" s="411"/>
      <c r="S922" s="413">
        <v>1</v>
      </c>
      <c r="T922" s="414">
        <f>+HLOOKUP(B848,[238]Hoja1!$2:$78,36,FALSE)</f>
        <v>187.0664086153846</v>
      </c>
      <c r="Y922" s="439">
        <f t="shared" si="149"/>
        <v>0</v>
      </c>
      <c r="Z922" s="439">
        <f t="shared" si="150"/>
        <v>0</v>
      </c>
    </row>
    <row r="923" spans="1:26" ht="25.5">
      <c r="A923" s="453">
        <f t="shared" si="148"/>
        <v>3.08</v>
      </c>
      <c r="B923" s="383">
        <v>16</v>
      </c>
      <c r="D923" s="406"/>
      <c r="E923" s="407"/>
      <c r="F923" s="407"/>
      <c r="G923" s="407"/>
      <c r="H923" s="407"/>
      <c r="I923" s="407"/>
      <c r="J923" s="408" t="s">
        <v>419</v>
      </c>
      <c r="K923" s="409" t="str">
        <f t="shared" si="144"/>
        <v>Kilogramos x Cant. Elementos</v>
      </c>
      <c r="L923" s="410" t="str">
        <f t="shared" si="151"/>
        <v>KG</v>
      </c>
      <c r="M923" s="411"/>
      <c r="N923" s="493">
        <f t="shared" si="147"/>
        <v>313.76497476923078</v>
      </c>
      <c r="O923" s="442"/>
      <c r="P923" s="442"/>
      <c r="Q923" s="449"/>
      <c r="R923" s="411"/>
      <c r="S923" s="413">
        <v>1</v>
      </c>
      <c r="T923" s="414">
        <f>+HLOOKUP(B849,[238]Hoja1!$2:$78,36,FALSE)</f>
        <v>313.76497476923078</v>
      </c>
      <c r="Y923" s="439">
        <f t="shared" si="149"/>
        <v>0</v>
      </c>
      <c r="Z923" s="439">
        <f t="shared" si="150"/>
        <v>0</v>
      </c>
    </row>
    <row r="924" spans="1:26" ht="25.5">
      <c r="A924" s="453">
        <f t="shared" si="148"/>
        <v>3.08</v>
      </c>
      <c r="B924" s="383">
        <v>17</v>
      </c>
      <c r="D924" s="406"/>
      <c r="E924" s="407"/>
      <c r="F924" s="407"/>
      <c r="G924" s="407"/>
      <c r="H924" s="407"/>
      <c r="I924" s="407"/>
      <c r="J924" s="408" t="s">
        <v>420</v>
      </c>
      <c r="K924" s="409" t="str">
        <f t="shared" si="144"/>
        <v>Kilogramos x Cant. Elementos</v>
      </c>
      <c r="L924" s="410" t="str">
        <f t="shared" si="151"/>
        <v>KG</v>
      </c>
      <c r="M924" s="411"/>
      <c r="N924" s="493">
        <f t="shared" si="147"/>
        <v>163.53400615384618</v>
      </c>
      <c r="O924" s="442"/>
      <c r="P924" s="442"/>
      <c r="Q924" s="412"/>
      <c r="R924" s="411"/>
      <c r="S924" s="413">
        <v>1</v>
      </c>
      <c r="T924" s="414">
        <f>+HLOOKUP(B850,[238]Hoja1!$2:$78,36,FALSE)</f>
        <v>163.53400615384618</v>
      </c>
      <c r="Y924" s="439">
        <f t="shared" si="149"/>
        <v>0</v>
      </c>
      <c r="Z924" s="439">
        <f t="shared" si="150"/>
        <v>0</v>
      </c>
    </row>
    <row r="925" spans="1:26" ht="25.5">
      <c r="A925" s="453">
        <f t="shared" si="148"/>
        <v>3.08</v>
      </c>
      <c r="B925" s="383">
        <v>18</v>
      </c>
      <c r="D925" s="406"/>
      <c r="E925" s="407"/>
      <c r="F925" s="407"/>
      <c r="G925" s="407"/>
      <c r="H925" s="407"/>
      <c r="I925" s="407"/>
      <c r="J925" s="408" t="s">
        <v>429</v>
      </c>
      <c r="K925" s="409" t="str">
        <f t="shared" si="144"/>
        <v>Kilogramos x Cant. Elementos</v>
      </c>
      <c r="L925" s="410" t="str">
        <f t="shared" si="151"/>
        <v>KG</v>
      </c>
      <c r="M925" s="411"/>
      <c r="N925" s="493">
        <f t="shared" si="147"/>
        <v>234.03705353846146</v>
      </c>
      <c r="O925" s="442"/>
      <c r="P925" s="442"/>
      <c r="Q925" s="412"/>
      <c r="R925" s="411"/>
      <c r="S925" s="413">
        <v>1</v>
      </c>
      <c r="T925" s="414">
        <f>+HLOOKUP(B851,[238]Hoja1!$2:$78,36,FALSE)</f>
        <v>234.03705353846146</v>
      </c>
      <c r="Y925" s="439">
        <f t="shared" si="149"/>
        <v>0</v>
      </c>
      <c r="Z925" s="439">
        <f t="shared" si="150"/>
        <v>0</v>
      </c>
    </row>
    <row r="926" spans="1:26" ht="25.5">
      <c r="A926" s="453">
        <f t="shared" si="148"/>
        <v>3.08</v>
      </c>
      <c r="B926" s="383">
        <v>19</v>
      </c>
      <c r="D926" s="406"/>
      <c r="E926" s="407"/>
      <c r="F926" s="407"/>
      <c r="G926" s="407"/>
      <c r="H926" s="407"/>
      <c r="I926" s="407"/>
      <c r="J926" s="408" t="s">
        <v>430</v>
      </c>
      <c r="K926" s="409" t="str">
        <f t="shared" si="144"/>
        <v>Kilogramos x Cant. Elementos</v>
      </c>
      <c r="L926" s="410" t="str">
        <f t="shared" si="151"/>
        <v>KG</v>
      </c>
      <c r="M926" s="411"/>
      <c r="N926" s="493">
        <f t="shared" si="147"/>
        <v>264.15880615384617</v>
      </c>
      <c r="O926" s="442"/>
      <c r="P926" s="442"/>
      <c r="Q926" s="412"/>
      <c r="R926" s="411"/>
      <c r="S926" s="413">
        <v>1</v>
      </c>
      <c r="T926" s="414">
        <f>+HLOOKUP(B852,[238]Hoja1!$2:$78,36,FALSE)</f>
        <v>264.15880615384617</v>
      </c>
      <c r="Y926" s="439">
        <f t="shared" si="149"/>
        <v>0</v>
      </c>
      <c r="Z926" s="439">
        <f t="shared" si="150"/>
        <v>0</v>
      </c>
    </row>
    <row r="927" spans="1:26" ht="25.5">
      <c r="A927" s="453">
        <f t="shared" si="148"/>
        <v>3.08</v>
      </c>
      <c r="B927" s="383">
        <v>20</v>
      </c>
      <c r="D927" s="406"/>
      <c r="E927" s="407"/>
      <c r="F927" s="407"/>
      <c r="G927" s="407"/>
      <c r="H927" s="407"/>
      <c r="I927" s="407"/>
      <c r="J927" s="408" t="s">
        <v>431</v>
      </c>
      <c r="K927" s="409" t="str">
        <f t="shared" si="144"/>
        <v>Kilogramos x Cant. Elementos</v>
      </c>
      <c r="L927" s="410" t="str">
        <f t="shared" si="151"/>
        <v>KG</v>
      </c>
      <c r="M927" s="411"/>
      <c r="N927" s="493">
        <f t="shared" si="147"/>
        <v>294.19205513846163</v>
      </c>
      <c r="O927" s="442"/>
      <c r="P927" s="442"/>
      <c r="Q927" s="412"/>
      <c r="R927" s="411"/>
      <c r="S927" s="413">
        <v>1</v>
      </c>
      <c r="T927" s="414">
        <f>+HLOOKUP(B853,[238]Hoja1!$2:$78,36,FALSE)</f>
        <v>294.19205513846163</v>
      </c>
      <c r="Y927" s="439">
        <f t="shared" si="149"/>
        <v>0</v>
      </c>
      <c r="Z927" s="439">
        <f t="shared" si="150"/>
        <v>0</v>
      </c>
    </row>
    <row r="928" spans="1:26" ht="25.5">
      <c r="A928" s="453">
        <f t="shared" si="148"/>
        <v>3.08</v>
      </c>
      <c r="B928" s="383">
        <v>21</v>
      </c>
      <c r="D928" s="406"/>
      <c r="E928" s="407"/>
      <c r="F928" s="407"/>
      <c r="G928" s="407"/>
      <c r="H928" s="407"/>
      <c r="I928" s="407"/>
      <c r="J928" s="408" t="s">
        <v>432</v>
      </c>
      <c r="K928" s="409" t="str">
        <f t="shared" si="144"/>
        <v>Kilogramos x Cant. Elementos</v>
      </c>
      <c r="L928" s="410" t="str">
        <f t="shared" si="151"/>
        <v>KG</v>
      </c>
      <c r="M928" s="411"/>
      <c r="N928" s="493">
        <f t="shared" si="147"/>
        <v>110.68935999999999</v>
      </c>
      <c r="O928" s="442"/>
      <c r="P928" s="442"/>
      <c r="Q928" s="412"/>
      <c r="R928" s="411"/>
      <c r="S928" s="413">
        <v>1</v>
      </c>
      <c r="T928" s="414">
        <f>+HLOOKUP(B854,[238]Hoja1!$2:$78,36,FALSE)</f>
        <v>110.68935999999999</v>
      </c>
      <c r="Y928" s="439">
        <f t="shared" si="149"/>
        <v>0</v>
      </c>
      <c r="Z928" s="439">
        <f t="shared" si="150"/>
        <v>0</v>
      </c>
    </row>
    <row r="929" spans="1:26" ht="25.5">
      <c r="A929" s="453">
        <f t="shared" si="148"/>
        <v>3.08</v>
      </c>
      <c r="B929" s="383">
        <v>22</v>
      </c>
      <c r="D929" s="406"/>
      <c r="E929" s="407"/>
      <c r="F929" s="407"/>
      <c r="G929" s="407"/>
      <c r="H929" s="407"/>
      <c r="I929" s="407"/>
      <c r="J929" s="408" t="s">
        <v>433</v>
      </c>
      <c r="K929" s="409" t="str">
        <f t="shared" si="144"/>
        <v>Kilogramos x Cant. Elementos</v>
      </c>
      <c r="L929" s="410" t="str">
        <f t="shared" si="151"/>
        <v>KG</v>
      </c>
      <c r="M929" s="411"/>
      <c r="N929" s="493">
        <f t="shared" si="147"/>
        <v>264.15880615384617</v>
      </c>
      <c r="O929" s="442"/>
      <c r="P929" s="442"/>
      <c r="Q929" s="412"/>
      <c r="R929" s="411"/>
      <c r="S929" s="413">
        <v>1</v>
      </c>
      <c r="T929" s="414">
        <f>+HLOOKUP(B855,[238]Hoja1!$2:$78,36,FALSE)</f>
        <v>264.15880615384617</v>
      </c>
      <c r="Y929" s="439">
        <f t="shared" si="149"/>
        <v>0</v>
      </c>
      <c r="Z929" s="439">
        <f t="shared" si="150"/>
        <v>0</v>
      </c>
    </row>
    <row r="930" spans="1:26" ht="25.5">
      <c r="A930" s="453">
        <f t="shared" si="148"/>
        <v>3.08</v>
      </c>
      <c r="B930" s="383">
        <v>23</v>
      </c>
      <c r="D930" s="406"/>
      <c r="E930" s="407"/>
      <c r="F930" s="407"/>
      <c r="G930" s="407"/>
      <c r="H930" s="407"/>
      <c r="I930" s="407"/>
      <c r="J930" s="408" t="s">
        <v>434</v>
      </c>
      <c r="K930" s="409" t="str">
        <f t="shared" si="144"/>
        <v>Kilogramos x Cant. Elementos</v>
      </c>
      <c r="L930" s="410" t="str">
        <f t="shared" si="151"/>
        <v>KG</v>
      </c>
      <c r="M930" s="411"/>
      <c r="N930" s="493">
        <f t="shared" si="147"/>
        <v>135.2281353846154</v>
      </c>
      <c r="O930" s="441"/>
      <c r="P930" s="441"/>
      <c r="Q930" s="412"/>
      <c r="R930" s="411"/>
      <c r="S930" s="413">
        <v>1</v>
      </c>
      <c r="T930" s="414">
        <f>+HLOOKUP(B856,[238]Hoja1!$2:$78,36,FALSE)</f>
        <v>135.2281353846154</v>
      </c>
      <c r="Y930" s="439">
        <f t="shared" si="149"/>
        <v>0</v>
      </c>
      <c r="Z930" s="439">
        <f t="shared" si="150"/>
        <v>0</v>
      </c>
    </row>
    <row r="931" spans="1:26" ht="25.5">
      <c r="A931" s="453">
        <f t="shared" si="148"/>
        <v>3.08</v>
      </c>
      <c r="B931" s="383">
        <v>24</v>
      </c>
      <c r="D931" s="406"/>
      <c r="E931" s="407"/>
      <c r="F931" s="407"/>
      <c r="G931" s="407"/>
      <c r="H931" s="407"/>
      <c r="I931" s="407"/>
      <c r="J931" s="408" t="s">
        <v>435</v>
      </c>
      <c r="K931" s="409" t="str">
        <f t="shared" si="144"/>
        <v>Kilogramos x Cant. Elementos</v>
      </c>
      <c r="L931" s="410" t="str">
        <f t="shared" si="151"/>
        <v>KG</v>
      </c>
      <c r="M931" s="411"/>
      <c r="N931" s="493">
        <f>+T931</f>
        <v>5.3</v>
      </c>
      <c r="O931" s="442"/>
      <c r="P931" s="442"/>
      <c r="Q931" s="413"/>
      <c r="R931" s="411"/>
      <c r="S931" s="413">
        <v>1</v>
      </c>
      <c r="T931" s="414">
        <f>+HLOOKUP(B857,[238]Hoja1!$2:$78,36,FALSE)</f>
        <v>5.3</v>
      </c>
      <c r="Y931" s="439">
        <f t="shared" si="149"/>
        <v>0</v>
      </c>
      <c r="Z931" s="439">
        <f t="shared" si="150"/>
        <v>0</v>
      </c>
    </row>
    <row r="932" spans="1:26" ht="25.5">
      <c r="A932" s="453">
        <f t="shared" si="148"/>
        <v>3.08</v>
      </c>
      <c r="B932" s="383">
        <v>25</v>
      </c>
      <c r="D932" s="406"/>
      <c r="E932" s="407"/>
      <c r="F932" s="407"/>
      <c r="G932" s="407"/>
      <c r="H932" s="407"/>
      <c r="I932" s="407"/>
      <c r="J932" s="408" t="s">
        <v>436</v>
      </c>
      <c r="K932" s="409" t="str">
        <f t="shared" si="144"/>
        <v>Kilogramos x Cant. Elementos</v>
      </c>
      <c r="L932" s="410" t="str">
        <f t="shared" si="151"/>
        <v>KG</v>
      </c>
      <c r="M932" s="411"/>
      <c r="N932" s="493">
        <f t="shared" si="147"/>
        <v>222.41619692307697</v>
      </c>
      <c r="O932" s="442"/>
      <c r="P932" s="442"/>
      <c r="Q932" s="412"/>
      <c r="R932" s="411"/>
      <c r="S932" s="413">
        <v>1</v>
      </c>
      <c r="T932" s="414">
        <f>+HLOOKUP(B858,[238]Hoja1!$2:$78,36,FALSE)</f>
        <v>222.41619692307697</v>
      </c>
      <c r="Y932" s="439">
        <f t="shared" si="149"/>
        <v>0</v>
      </c>
      <c r="Z932" s="439">
        <f t="shared" si="150"/>
        <v>0</v>
      </c>
    </row>
    <row r="933" spans="1:26" ht="25.5">
      <c r="A933" s="453">
        <f t="shared" si="148"/>
        <v>3.08</v>
      </c>
      <c r="B933" s="383">
        <v>26</v>
      </c>
      <c r="D933" s="406"/>
      <c r="E933" s="407"/>
      <c r="F933" s="407"/>
      <c r="G933" s="407"/>
      <c r="H933" s="407"/>
      <c r="I933" s="407"/>
      <c r="J933" s="408" t="s">
        <v>437</v>
      </c>
      <c r="K933" s="409" t="str">
        <f t="shared" si="144"/>
        <v>Kilogramos x Cant. Elementos</v>
      </c>
      <c r="L933" s="410" t="str">
        <f>+L922</f>
        <v>KG</v>
      </c>
      <c r="M933" s="411"/>
      <c r="N933" s="493"/>
      <c r="O933" s="442"/>
      <c r="P933" s="442"/>
      <c r="Q933" s="412"/>
      <c r="R933" s="411"/>
      <c r="S933" s="413"/>
      <c r="T933" s="414">
        <f>+HLOOKUP(B859,[238]Hoja1!$2:$78,36,FALSE)</f>
        <v>0</v>
      </c>
      <c r="Y933" s="439">
        <f t="shared" si="149"/>
        <v>0</v>
      </c>
      <c r="Z933" s="439">
        <f t="shared" si="150"/>
        <v>0</v>
      </c>
    </row>
    <row r="934" spans="1:26" ht="25.5">
      <c r="A934" s="453">
        <f t="shared" si="148"/>
        <v>3.08</v>
      </c>
      <c r="B934" s="383">
        <v>27</v>
      </c>
      <c r="D934" s="406"/>
      <c r="E934" s="407"/>
      <c r="F934" s="407"/>
      <c r="G934" s="407"/>
      <c r="H934" s="407"/>
      <c r="I934" s="407"/>
      <c r="J934" s="408" t="s">
        <v>438</v>
      </c>
      <c r="K934" s="409" t="str">
        <f t="shared" si="144"/>
        <v>Kilogramos x Cant. Elementos</v>
      </c>
      <c r="L934" s="410" t="str">
        <f t="shared" ref="L934:L942" si="152">+L933</f>
        <v>KG</v>
      </c>
      <c r="M934" s="411"/>
      <c r="N934" s="493">
        <f t="shared" si="147"/>
        <v>264.15880615384617</v>
      </c>
      <c r="O934" s="442"/>
      <c r="P934" s="442"/>
      <c r="Q934" s="412"/>
      <c r="R934" s="411"/>
      <c r="S934" s="413">
        <v>1</v>
      </c>
      <c r="T934" s="414">
        <f>+HLOOKUP(B860,[238]Hoja1!$2:$78,36,FALSE)</f>
        <v>264.15880615384617</v>
      </c>
      <c r="Y934" s="439">
        <f t="shared" si="149"/>
        <v>0</v>
      </c>
      <c r="Z934" s="439">
        <f t="shared" si="150"/>
        <v>0</v>
      </c>
    </row>
    <row r="935" spans="1:26" ht="25.5">
      <c r="A935" s="453">
        <f t="shared" si="148"/>
        <v>3.08</v>
      </c>
      <c r="B935" s="383">
        <v>28</v>
      </c>
      <c r="D935" s="406"/>
      <c r="E935" s="440"/>
      <c r="F935" s="407"/>
      <c r="G935" s="407"/>
      <c r="H935" s="407"/>
      <c r="I935" s="437"/>
      <c r="J935" s="408" t="s">
        <v>439</v>
      </c>
      <c r="K935" s="409" t="str">
        <f t="shared" si="144"/>
        <v>Kilogramos x Cant. Elementos</v>
      </c>
      <c r="L935" s="410" t="str">
        <f t="shared" si="152"/>
        <v>KG</v>
      </c>
      <c r="M935" s="411"/>
      <c r="N935" s="493"/>
      <c r="O935" s="442"/>
      <c r="P935" s="442"/>
      <c r="Q935" s="413"/>
      <c r="R935" s="411"/>
      <c r="S935" s="413"/>
      <c r="T935" s="414">
        <f>+HLOOKUP(B861,[238]Hoja1!$2:$78,36,FALSE)</f>
        <v>0</v>
      </c>
      <c r="Y935" s="439">
        <f t="shared" si="149"/>
        <v>0</v>
      </c>
      <c r="Z935" s="439">
        <f t="shared" si="150"/>
        <v>0</v>
      </c>
    </row>
    <row r="936" spans="1:26" ht="25.5">
      <c r="A936" s="453">
        <f t="shared" si="148"/>
        <v>3.08</v>
      </c>
      <c r="B936" s="383">
        <v>29</v>
      </c>
      <c r="D936" s="406"/>
      <c r="E936" s="407"/>
      <c r="F936" s="407"/>
      <c r="G936" s="407"/>
      <c r="H936" s="407"/>
      <c r="I936" s="407"/>
      <c r="J936" s="408" t="s">
        <v>440</v>
      </c>
      <c r="K936" s="409" t="str">
        <f t="shared" si="144"/>
        <v>Kilogramos x Cant. Elementos</v>
      </c>
      <c r="L936" s="410" t="str">
        <f t="shared" si="152"/>
        <v>KG</v>
      </c>
      <c r="M936" s="411"/>
      <c r="N936" s="493"/>
      <c r="O936" s="443"/>
      <c r="P936" s="443"/>
      <c r="Q936" s="412"/>
      <c r="R936" s="411"/>
      <c r="S936" s="413"/>
      <c r="T936" s="414">
        <f>+HLOOKUP(B862,[238]Hoja1!$2:$78,36,FALSE)</f>
        <v>0</v>
      </c>
      <c r="Y936" s="439">
        <f t="shared" si="149"/>
        <v>0</v>
      </c>
      <c r="Z936" s="439">
        <f t="shared" si="150"/>
        <v>0</v>
      </c>
    </row>
    <row r="937" spans="1:26" ht="25.5">
      <c r="A937" s="453">
        <f t="shared" si="148"/>
        <v>3.08</v>
      </c>
      <c r="B937" s="383">
        <v>30</v>
      </c>
      <c r="D937" s="406"/>
      <c r="E937" s="407"/>
      <c r="F937" s="407"/>
      <c r="G937" s="407"/>
      <c r="H937" s="407"/>
      <c r="I937" s="407"/>
      <c r="J937" s="408" t="s">
        <v>441</v>
      </c>
      <c r="K937" s="409" t="str">
        <f t="shared" si="144"/>
        <v>Kilogramos x Cant. Elementos</v>
      </c>
      <c r="L937" s="410" t="str">
        <f t="shared" si="152"/>
        <v>KG</v>
      </c>
      <c r="M937" s="411"/>
      <c r="N937" s="493">
        <f t="shared" si="147"/>
        <v>294.19205513846163</v>
      </c>
      <c r="O937" s="442"/>
      <c r="P937" s="442"/>
      <c r="Q937" s="412"/>
      <c r="R937" s="411"/>
      <c r="S937" s="413">
        <v>1</v>
      </c>
      <c r="T937" s="414">
        <f>+HLOOKUP(B863,[238]Hoja1!$2:$78,36,FALSE)</f>
        <v>294.19205513846163</v>
      </c>
      <c r="Y937" s="439">
        <f t="shared" si="149"/>
        <v>0</v>
      </c>
      <c r="Z937" s="439">
        <f t="shared" si="150"/>
        <v>0</v>
      </c>
    </row>
    <row r="938" spans="1:26" ht="25.5">
      <c r="A938" s="453">
        <f t="shared" si="148"/>
        <v>3.08</v>
      </c>
      <c r="B938" s="383">
        <v>31</v>
      </c>
      <c r="D938" s="406"/>
      <c r="E938" s="407"/>
      <c r="F938" s="407"/>
      <c r="G938" s="407"/>
      <c r="H938" s="407"/>
      <c r="I938" s="407"/>
      <c r="J938" s="408" t="s">
        <v>442</v>
      </c>
      <c r="K938" s="409" t="str">
        <f t="shared" si="144"/>
        <v>Kilogramos x Cant. Elementos</v>
      </c>
      <c r="L938" s="410" t="str">
        <f t="shared" si="152"/>
        <v>KG</v>
      </c>
      <c r="M938" s="411"/>
      <c r="N938" s="493">
        <f t="shared" si="147"/>
        <v>107.87405538461539</v>
      </c>
      <c r="O938" s="442"/>
      <c r="P938" s="442"/>
      <c r="Q938" s="413"/>
      <c r="R938" s="411"/>
      <c r="S938" s="413">
        <v>1</v>
      </c>
      <c r="T938" s="414">
        <f>+HLOOKUP(B864,[238]Hoja1!$2:$78,36,FALSE)</f>
        <v>107.87405538461539</v>
      </c>
      <c r="Y938" s="439">
        <f t="shared" si="149"/>
        <v>0</v>
      </c>
      <c r="Z938" s="439">
        <f t="shared" si="150"/>
        <v>0</v>
      </c>
    </row>
    <row r="939" spans="1:26" ht="25.5">
      <c r="A939" s="453">
        <f t="shared" si="148"/>
        <v>3.08</v>
      </c>
      <c r="B939" s="383">
        <v>32</v>
      </c>
      <c r="D939" s="406"/>
      <c r="E939" s="407"/>
      <c r="F939" s="407"/>
      <c r="G939" s="407"/>
      <c r="H939" s="407"/>
      <c r="I939" s="407"/>
      <c r="J939" s="408" t="s">
        <v>443</v>
      </c>
      <c r="K939" s="409" t="str">
        <f t="shared" si="144"/>
        <v>Kilogramos x Cant. Elementos</v>
      </c>
      <c r="L939" s="410" t="str">
        <f t="shared" si="152"/>
        <v>KG</v>
      </c>
      <c r="M939" s="411"/>
      <c r="N939" s="493">
        <f t="shared" si="147"/>
        <v>222.65637907692309</v>
      </c>
      <c r="O939" s="442"/>
      <c r="P939" s="442"/>
      <c r="Q939" s="412"/>
      <c r="R939" s="411"/>
      <c r="S939" s="413">
        <v>1</v>
      </c>
      <c r="T939" s="414">
        <f>+HLOOKUP(B865,[238]Hoja1!$2:$78,36,FALSE)</f>
        <v>222.65637907692309</v>
      </c>
      <c r="Y939" s="439">
        <f t="shared" si="149"/>
        <v>0</v>
      </c>
      <c r="Z939" s="439">
        <f t="shared" si="150"/>
        <v>0</v>
      </c>
    </row>
    <row r="940" spans="1:26" ht="25.5">
      <c r="A940" s="453">
        <f t="shared" si="148"/>
        <v>3.08</v>
      </c>
      <c r="B940" s="383">
        <v>33</v>
      </c>
      <c r="D940" s="406"/>
      <c r="E940" s="407"/>
      <c r="F940" s="407"/>
      <c r="G940" s="407"/>
      <c r="H940" s="407"/>
      <c r="I940" s="407"/>
      <c r="J940" s="408" t="s">
        <v>444</v>
      </c>
      <c r="K940" s="409" t="str">
        <f t="shared" si="144"/>
        <v>Kilogramos x Cant. Elementos</v>
      </c>
      <c r="L940" s="410" t="str">
        <f t="shared" si="152"/>
        <v>KG</v>
      </c>
      <c r="M940" s="411"/>
      <c r="N940" s="493">
        <f t="shared" si="147"/>
        <v>242.06818461538467</v>
      </c>
      <c r="O940" s="442"/>
      <c r="P940" s="442"/>
      <c r="Q940" s="412"/>
      <c r="R940" s="411"/>
      <c r="S940" s="413">
        <v>1</v>
      </c>
      <c r="T940" s="414">
        <f>+HLOOKUP(B866,[238]Hoja1!$2:$78,36,FALSE)</f>
        <v>242.06818461538467</v>
      </c>
      <c r="Y940" s="439">
        <f t="shared" si="149"/>
        <v>0</v>
      </c>
      <c r="Z940" s="439">
        <f t="shared" si="150"/>
        <v>0</v>
      </c>
    </row>
    <row r="941" spans="1:26" ht="25.5">
      <c r="A941" s="453">
        <f t="shared" si="148"/>
        <v>3.08</v>
      </c>
      <c r="B941" s="383">
        <v>34</v>
      </c>
      <c r="D941" s="406"/>
      <c r="E941" s="407"/>
      <c r="F941" s="407"/>
      <c r="G941" s="407"/>
      <c r="H941" s="407"/>
      <c r="I941" s="407"/>
      <c r="J941" s="408" t="s">
        <v>445</v>
      </c>
      <c r="K941" s="409" t="str">
        <f t="shared" si="144"/>
        <v>Kilogramos x Cant. Elementos</v>
      </c>
      <c r="L941" s="410" t="str">
        <f t="shared" si="152"/>
        <v>KG</v>
      </c>
      <c r="M941" s="411"/>
      <c r="N941" s="493"/>
      <c r="O941" s="441"/>
      <c r="P941" s="441"/>
      <c r="Q941" s="412"/>
      <c r="R941" s="411"/>
      <c r="S941" s="413"/>
      <c r="T941" s="414">
        <f>+HLOOKUP(B867,[238]Hoja1!$2:$78,36,FALSE)</f>
        <v>0</v>
      </c>
      <c r="Y941" s="439">
        <f t="shared" si="149"/>
        <v>0</v>
      </c>
      <c r="Z941" s="439">
        <f t="shared" si="150"/>
        <v>0</v>
      </c>
    </row>
    <row r="942" spans="1:26" ht="25.5">
      <c r="A942" s="453">
        <f t="shared" si="148"/>
        <v>3.08</v>
      </c>
      <c r="B942" s="383">
        <v>35</v>
      </c>
      <c r="D942" s="406"/>
      <c r="E942" s="440"/>
      <c r="F942" s="407"/>
      <c r="G942" s="407"/>
      <c r="H942" s="407"/>
      <c r="I942" s="437"/>
      <c r="J942" s="408" t="s">
        <v>446</v>
      </c>
      <c r="K942" s="409" t="str">
        <f t="shared" si="144"/>
        <v>Kilogramos x Cant. Elementos</v>
      </c>
      <c r="L942" s="410" t="str">
        <f t="shared" si="152"/>
        <v>KG</v>
      </c>
      <c r="M942" s="411"/>
      <c r="N942" s="493"/>
      <c r="O942" s="442"/>
      <c r="P942" s="442"/>
      <c r="Q942" s="413"/>
      <c r="R942" s="411"/>
      <c r="S942" s="413"/>
      <c r="T942" s="414">
        <f>+HLOOKUP(B868,[238]Hoja1!$2:$78,36,FALSE)</f>
        <v>0</v>
      </c>
      <c r="Y942" s="439">
        <f t="shared" si="149"/>
        <v>0</v>
      </c>
      <c r="Z942" s="439">
        <f t="shared" si="150"/>
        <v>0</v>
      </c>
    </row>
    <row r="943" spans="1:26" ht="25.5">
      <c r="A943" s="453">
        <f t="shared" si="148"/>
        <v>3.08</v>
      </c>
      <c r="B943" s="383">
        <v>36</v>
      </c>
      <c r="D943" s="406"/>
      <c r="E943" s="407"/>
      <c r="F943" s="407"/>
      <c r="G943" s="407"/>
      <c r="H943" s="407"/>
      <c r="I943" s="407"/>
      <c r="J943" s="408" t="s">
        <v>447</v>
      </c>
      <c r="K943" s="409" t="str">
        <f t="shared" si="144"/>
        <v>Kilogramos x Cant. Elementos</v>
      </c>
      <c r="L943" s="410" t="str">
        <f>+L932</f>
        <v>KG</v>
      </c>
      <c r="M943" s="411"/>
      <c r="N943" s="493">
        <f t="shared" si="147"/>
        <v>223.36318523076926</v>
      </c>
      <c r="O943" s="442"/>
      <c r="P943" s="442"/>
      <c r="Q943" s="412"/>
      <c r="R943" s="411"/>
      <c r="S943" s="413">
        <v>1</v>
      </c>
      <c r="T943" s="414">
        <f>+HLOOKUP(B869,[238]Hoja1!$2:$78,36,FALSE)</f>
        <v>223.36318523076926</v>
      </c>
      <c r="Y943" s="439">
        <f t="shared" si="149"/>
        <v>0</v>
      </c>
      <c r="Z943" s="439">
        <f t="shared" si="150"/>
        <v>0</v>
      </c>
    </row>
    <row r="944" spans="1:26" ht="25.5">
      <c r="A944" s="453">
        <f t="shared" si="148"/>
        <v>3.08</v>
      </c>
      <c r="B944" s="383">
        <v>37</v>
      </c>
      <c r="D944" s="406"/>
      <c r="E944" s="407"/>
      <c r="F944" s="407"/>
      <c r="G944" s="407"/>
      <c r="H944" s="407"/>
      <c r="I944" s="407"/>
      <c r="J944" s="408" t="s">
        <v>448</v>
      </c>
      <c r="K944" s="409" t="str">
        <f t="shared" si="144"/>
        <v>Kilogramos x Cant. Elementos</v>
      </c>
      <c r="L944" s="410" t="str">
        <f t="shared" ref="L944:L950" si="153">+L943</f>
        <v>KG</v>
      </c>
      <c r="M944" s="411"/>
      <c r="N944" s="493">
        <f t="shared" si="147"/>
        <v>248.6088873846154</v>
      </c>
      <c r="O944" s="441"/>
      <c r="P944" s="441"/>
      <c r="Q944" s="449"/>
      <c r="R944" s="411"/>
      <c r="S944" s="413">
        <v>1</v>
      </c>
      <c r="T944" s="414">
        <f>+HLOOKUP(B870,[238]Hoja1!$2:$78,36,FALSE)</f>
        <v>248.6088873846154</v>
      </c>
      <c r="Y944" s="439">
        <f t="shared" si="149"/>
        <v>0</v>
      </c>
      <c r="Z944" s="439">
        <f t="shared" si="150"/>
        <v>0</v>
      </c>
    </row>
    <row r="945" spans="1:26" ht="25.5">
      <c r="A945" s="453">
        <f t="shared" si="148"/>
        <v>3.08</v>
      </c>
      <c r="B945" s="383">
        <v>38</v>
      </c>
      <c r="D945" s="406"/>
      <c r="E945" s="440"/>
      <c r="F945" s="407"/>
      <c r="G945" s="407"/>
      <c r="H945" s="407"/>
      <c r="I945" s="437"/>
      <c r="J945" s="408" t="s">
        <v>449</v>
      </c>
      <c r="K945" s="409" t="str">
        <f t="shared" si="144"/>
        <v>Kilogramos x Cant. Elementos</v>
      </c>
      <c r="L945" s="410" t="str">
        <f t="shared" si="153"/>
        <v>KG</v>
      </c>
      <c r="M945" s="411"/>
      <c r="N945" s="493"/>
      <c r="O945" s="442"/>
      <c r="P945" s="442"/>
      <c r="Q945" s="413"/>
      <c r="R945" s="411"/>
      <c r="S945" s="413"/>
      <c r="T945" s="414">
        <f>+HLOOKUP(B871,[238]Hoja1!$2:$78,36,FALSE)</f>
        <v>0</v>
      </c>
      <c r="Y945" s="439">
        <f t="shared" si="149"/>
        <v>0</v>
      </c>
      <c r="Z945" s="439">
        <f t="shared" si="150"/>
        <v>0</v>
      </c>
    </row>
    <row r="946" spans="1:26" ht="25.5">
      <c r="A946" s="453">
        <f t="shared" si="148"/>
        <v>3.08</v>
      </c>
      <c r="B946" s="383">
        <v>39</v>
      </c>
      <c r="D946" s="406"/>
      <c r="E946" s="407"/>
      <c r="F946" s="407"/>
      <c r="G946" s="407"/>
      <c r="H946" s="407"/>
      <c r="I946" s="407"/>
      <c r="J946" s="408" t="s">
        <v>450</v>
      </c>
      <c r="K946" s="409" t="str">
        <f t="shared" si="144"/>
        <v>Kilogramos x Cant. Elementos</v>
      </c>
      <c r="L946" s="410" t="str">
        <f t="shared" si="153"/>
        <v>KG</v>
      </c>
      <c r="M946" s="411"/>
      <c r="N946" s="493"/>
      <c r="O946" s="441"/>
      <c r="P946" s="441"/>
      <c r="Q946" s="412"/>
      <c r="R946" s="411"/>
      <c r="S946" s="413"/>
      <c r="T946" s="414">
        <f>+HLOOKUP(B872,[238]Hoja1!$2:$78,36,FALSE)</f>
        <v>0</v>
      </c>
      <c r="Y946" s="439">
        <f t="shared" si="149"/>
        <v>0</v>
      </c>
      <c r="Z946" s="439">
        <f t="shared" si="150"/>
        <v>0</v>
      </c>
    </row>
    <row r="947" spans="1:26" ht="25.5">
      <c r="A947" s="453">
        <f t="shared" si="148"/>
        <v>3.08</v>
      </c>
      <c r="B947" s="383">
        <v>40</v>
      </c>
      <c r="D947" s="406"/>
      <c r="E947" s="407"/>
      <c r="F947" s="407"/>
      <c r="G947" s="407"/>
      <c r="H947" s="407"/>
      <c r="I947" s="407"/>
      <c r="J947" s="408" t="s">
        <v>451</v>
      </c>
      <c r="K947" s="409" t="str">
        <f t="shared" si="144"/>
        <v>Kilogramos x Cant. Elementos</v>
      </c>
      <c r="L947" s="410" t="str">
        <f t="shared" si="153"/>
        <v>KG</v>
      </c>
      <c r="M947" s="411"/>
      <c r="N947" s="493">
        <f t="shared" si="147"/>
        <v>222.65637907692309</v>
      </c>
      <c r="O947" s="442"/>
      <c r="P947" s="442"/>
      <c r="Q947" s="412"/>
      <c r="R947" s="411"/>
      <c r="S947" s="413">
        <v>1</v>
      </c>
      <c r="T947" s="414">
        <f>+HLOOKUP(B873,[238]Hoja1!$2:$78,36,FALSE)</f>
        <v>222.65637907692309</v>
      </c>
      <c r="Y947" s="439">
        <f t="shared" si="149"/>
        <v>0</v>
      </c>
      <c r="Z947" s="439">
        <f t="shared" si="150"/>
        <v>0</v>
      </c>
    </row>
    <row r="948" spans="1:26" ht="25.5">
      <c r="A948" s="453">
        <f t="shared" si="148"/>
        <v>3.08</v>
      </c>
      <c r="B948" s="383">
        <v>41</v>
      </c>
      <c r="D948" s="406"/>
      <c r="E948" s="407"/>
      <c r="F948" s="407"/>
      <c r="G948" s="407"/>
      <c r="H948" s="407"/>
      <c r="I948" s="407"/>
      <c r="J948" s="408" t="s">
        <v>452</v>
      </c>
      <c r="K948" s="409" t="str">
        <f t="shared" si="144"/>
        <v>Kilogramos x Cant. Elementos</v>
      </c>
      <c r="L948" s="410" t="str">
        <f t="shared" si="153"/>
        <v>KG</v>
      </c>
      <c r="M948" s="411"/>
      <c r="N948" s="493">
        <f t="shared" si="147"/>
        <v>162.69012461538463</v>
      </c>
      <c r="O948" s="442"/>
      <c r="P948" s="442"/>
      <c r="Q948" s="413"/>
      <c r="R948" s="411"/>
      <c r="S948" s="413">
        <v>1</v>
      </c>
      <c r="T948" s="414">
        <f>+HLOOKUP(B874,[238]Hoja1!$2:$78,36,FALSE)</f>
        <v>162.69012461538463</v>
      </c>
      <c r="Y948" s="439">
        <f t="shared" si="149"/>
        <v>0</v>
      </c>
      <c r="Z948" s="439">
        <f t="shared" si="150"/>
        <v>0</v>
      </c>
    </row>
    <row r="949" spans="1:26" ht="25.5">
      <c r="A949" s="453">
        <f t="shared" si="148"/>
        <v>3.08</v>
      </c>
      <c r="B949" s="383">
        <v>42</v>
      </c>
      <c r="D949" s="406"/>
      <c r="E949" s="407"/>
      <c r="F949" s="407"/>
      <c r="G949" s="407"/>
      <c r="H949" s="407"/>
      <c r="I949" s="407"/>
      <c r="J949" s="408" t="s">
        <v>453</v>
      </c>
      <c r="K949" s="409" t="str">
        <f t="shared" si="144"/>
        <v>Kilogramos x Cant. Elementos</v>
      </c>
      <c r="L949" s="410" t="str">
        <f t="shared" si="153"/>
        <v>KG</v>
      </c>
      <c r="M949" s="411"/>
      <c r="N949" s="493"/>
      <c r="O949" s="442"/>
      <c r="P949" s="442"/>
      <c r="Q949" s="412"/>
      <c r="R949" s="411"/>
      <c r="S949" s="413"/>
      <c r="T949" s="414">
        <f>+HLOOKUP(B875,[238]Hoja1!$2:$78,36,FALSE)</f>
        <v>0</v>
      </c>
      <c r="Y949" s="439">
        <f t="shared" si="149"/>
        <v>0</v>
      </c>
      <c r="Z949" s="439">
        <f t="shared" si="150"/>
        <v>0</v>
      </c>
    </row>
    <row r="950" spans="1:26" ht="26.25" thickBot="1">
      <c r="A950" s="453">
        <f t="shared" si="148"/>
        <v>3.08</v>
      </c>
      <c r="B950" s="383">
        <v>43</v>
      </c>
      <c r="D950" s="406"/>
      <c r="E950" s="407"/>
      <c r="F950" s="407"/>
      <c r="G950" s="407"/>
      <c r="H950" s="407"/>
      <c r="I950" s="407"/>
      <c r="J950" s="408" t="s">
        <v>454</v>
      </c>
      <c r="K950" s="409" t="str">
        <f t="shared" si="144"/>
        <v>Kilogramos x Cant. Elementos</v>
      </c>
      <c r="L950" s="410" t="str">
        <f t="shared" si="153"/>
        <v>KG</v>
      </c>
      <c r="M950" s="411"/>
      <c r="N950" s="493"/>
      <c r="O950" s="442"/>
      <c r="P950" s="442"/>
      <c r="Q950" s="412"/>
      <c r="R950" s="411"/>
      <c r="S950" s="413"/>
      <c r="T950" s="414">
        <f>+HLOOKUP(B876,[238]Hoja1!$2:$78,36,FALSE)</f>
        <v>0</v>
      </c>
      <c r="Y950" s="439">
        <f t="shared" si="149"/>
        <v>0</v>
      </c>
      <c r="Z950" s="439">
        <f t="shared" si="150"/>
        <v>0</v>
      </c>
    </row>
    <row r="951" spans="1:26">
      <c r="D951" s="384"/>
      <c r="E951" s="419"/>
      <c r="F951" s="420"/>
      <c r="G951" s="421"/>
      <c r="H951" s="421"/>
      <c r="I951" s="421"/>
      <c r="J951" s="421"/>
      <c r="K951" s="422"/>
      <c r="L951" s="421"/>
      <c r="M951" s="421"/>
      <c r="N951" s="421"/>
      <c r="O951" s="421"/>
      <c r="P951" s="421"/>
      <c r="Q951" s="421"/>
      <c r="R951" s="421"/>
      <c r="S951" s="422"/>
      <c r="T951" s="423"/>
    </row>
    <row r="952" spans="1:26">
      <c r="D952" s="396"/>
      <c r="E952" s="397"/>
      <c r="F952" s="424"/>
      <c r="G952" s="425"/>
      <c r="H952" s="425"/>
      <c r="I952" s="425"/>
      <c r="J952" s="425"/>
      <c r="K952" s="398"/>
      <c r="L952" s="425"/>
      <c r="M952" s="425"/>
      <c r="N952" s="397"/>
      <c r="O952" s="397"/>
      <c r="P952" s="562" t="s">
        <v>455</v>
      </c>
      <c r="Q952" s="563"/>
      <c r="R952" s="564"/>
      <c r="S952" s="426"/>
      <c r="T952" s="427">
        <f>ROUND(SUM(T908:T951),2)</f>
        <v>6290.78</v>
      </c>
    </row>
    <row r="953" spans="1:26">
      <c r="D953" s="396"/>
      <c r="E953" s="397"/>
      <c r="F953" s="424"/>
      <c r="G953" s="425"/>
      <c r="H953" s="425"/>
      <c r="I953" s="425"/>
      <c r="J953" s="425"/>
      <c r="K953" s="398"/>
      <c r="L953" s="425"/>
      <c r="M953" s="425"/>
      <c r="N953" s="428"/>
      <c r="O953" s="428"/>
      <c r="P953" s="429"/>
      <c r="Q953" s="425"/>
      <c r="R953" s="425"/>
      <c r="S953" s="430"/>
      <c r="T953" s="431"/>
    </row>
    <row r="954" spans="1:26">
      <c r="D954" s="565" t="e">
        <v>#REF!</v>
      </c>
      <c r="E954" s="566"/>
      <c r="F954" s="566"/>
      <c r="G954" s="566"/>
      <c r="H954" s="566"/>
      <c r="I954" s="566"/>
      <c r="J954" s="566"/>
      <c r="K954" s="566"/>
      <c r="L954" s="566"/>
      <c r="M954" s="566"/>
      <c r="N954" s="566"/>
      <c r="O954" s="567"/>
      <c r="P954" s="568" t="s">
        <v>422</v>
      </c>
      <c r="Q954" s="568"/>
      <c r="R954" s="568"/>
      <c r="S954" s="426"/>
      <c r="T954" s="427">
        <f>T952</f>
        <v>6290.78</v>
      </c>
    </row>
    <row r="955" spans="1:26">
      <c r="D955" s="396"/>
      <c r="E955" s="397"/>
      <c r="F955" s="424"/>
      <c r="G955" s="425"/>
      <c r="H955" s="425"/>
      <c r="I955" s="425"/>
      <c r="J955" s="425"/>
      <c r="K955" s="398"/>
      <c r="L955" s="425"/>
      <c r="M955" s="425"/>
      <c r="N955" s="428"/>
      <c r="O955" s="428"/>
      <c r="P955" s="429"/>
      <c r="Q955" s="425"/>
      <c r="R955" s="398"/>
      <c r="S955" s="398"/>
      <c r="T955" s="432"/>
    </row>
    <row r="956" spans="1:26">
      <c r="D956" s="396"/>
      <c r="E956" s="397"/>
      <c r="F956" s="424"/>
      <c r="G956" s="425"/>
      <c r="H956" s="425"/>
      <c r="I956" s="425"/>
      <c r="J956" s="425"/>
      <c r="K956" s="398"/>
      <c r="L956" s="425"/>
      <c r="M956" s="425"/>
      <c r="N956" s="428"/>
      <c r="O956" s="428"/>
      <c r="P956" s="429"/>
      <c r="Q956" s="425"/>
      <c r="R956" s="398"/>
      <c r="S956" s="398"/>
      <c r="T956" s="432"/>
    </row>
    <row r="957" spans="1:26">
      <c r="D957" s="569" t="s">
        <v>423</v>
      </c>
      <c r="E957" s="570"/>
      <c r="F957" s="570"/>
      <c r="G957" s="570"/>
      <c r="H957" s="570"/>
      <c r="I957" s="570"/>
      <c r="J957" s="570"/>
      <c r="K957" s="571"/>
      <c r="L957" s="433" t="s">
        <v>424</v>
      </c>
      <c r="M957" s="434"/>
      <c r="N957" s="434"/>
      <c r="O957" s="434"/>
      <c r="P957" s="434"/>
      <c r="Q957" s="434"/>
      <c r="R957" s="434"/>
      <c r="S957" s="434"/>
      <c r="T957" s="435"/>
    </row>
    <row r="958" spans="1:26">
      <c r="D958" s="542"/>
      <c r="E958" s="543"/>
      <c r="F958" s="543"/>
      <c r="G958" s="543"/>
      <c r="H958" s="436"/>
      <c r="I958" s="436"/>
      <c r="J958" s="436"/>
      <c r="K958" s="447"/>
      <c r="L958" s="436"/>
      <c r="M958" s="407"/>
      <c r="N958" s="407"/>
      <c r="O958" s="407"/>
      <c r="P958" s="407"/>
      <c r="Q958" s="407"/>
      <c r="R958" s="407"/>
      <c r="S958" s="407"/>
      <c r="T958" s="437"/>
    </row>
    <row r="959" spans="1:26">
      <c r="D959" s="542"/>
      <c r="E959" s="543"/>
      <c r="F959" s="543"/>
      <c r="G959" s="543"/>
      <c r="H959" s="436"/>
      <c r="I959" s="436"/>
      <c r="J959" s="436"/>
      <c r="K959" s="447"/>
      <c r="L959" s="436"/>
      <c r="M959" s="407"/>
      <c r="N959" s="407"/>
      <c r="O959" s="407"/>
      <c r="P959" s="407"/>
      <c r="Q959" s="407"/>
      <c r="R959" s="407"/>
      <c r="S959" s="407"/>
      <c r="T959" s="437"/>
    </row>
    <row r="960" spans="1:26">
      <c r="D960" s="542" t="s">
        <v>425</v>
      </c>
      <c r="E960" s="543"/>
      <c r="F960" s="543" t="s">
        <v>425</v>
      </c>
      <c r="G960" s="543"/>
      <c r="H960" s="543" t="s">
        <v>425</v>
      </c>
      <c r="I960" s="543"/>
      <c r="J960" s="543" t="s">
        <v>425</v>
      </c>
      <c r="K960" s="544"/>
      <c r="L960" s="545" t="s">
        <v>426</v>
      </c>
      <c r="M960" s="546"/>
      <c r="N960" s="546"/>
      <c r="O960" s="546"/>
      <c r="P960" s="546"/>
      <c r="Q960" s="546"/>
      <c r="R960" s="546"/>
      <c r="S960" s="546"/>
      <c r="T960" s="547"/>
    </row>
    <row r="961" spans="4:20">
      <c r="D961" s="548" t="str">
        <f>+[42]DATOS!D$8</f>
        <v>HELMER EDUARDO BECERRA SANTANDER</v>
      </c>
      <c r="E961" s="549"/>
      <c r="F961" s="549" t="s">
        <v>427</v>
      </c>
      <c r="G961" s="549"/>
      <c r="H961" s="549" t="s">
        <v>427</v>
      </c>
      <c r="I961" s="549"/>
      <c r="J961" s="549" t="s">
        <v>427</v>
      </c>
      <c r="K961" s="550"/>
      <c r="L961" s="551" t="str">
        <f>+[42]DATOS!D$11</f>
        <v>JESUS IVAN QUIÑONES RUEDA</v>
      </c>
      <c r="M961" s="549"/>
      <c r="N961" s="549"/>
      <c r="O961" s="549"/>
      <c r="P961" s="549"/>
      <c r="Q961" s="549"/>
      <c r="R961" s="549"/>
      <c r="S961" s="549"/>
      <c r="T961" s="552"/>
    </row>
    <row r="962" spans="4:20">
      <c r="D962" s="553" t="str">
        <f>+$D$72</f>
        <v>APOYO SEC. DE PLANEACION Y OBRAS PÚBLICAS</v>
      </c>
      <c r="E962" s="554"/>
      <c r="F962" s="554" t="s">
        <v>428</v>
      </c>
      <c r="G962" s="554"/>
      <c r="H962" s="554" t="s">
        <v>428</v>
      </c>
      <c r="I962" s="554"/>
      <c r="J962" s="554" t="s">
        <v>428</v>
      </c>
      <c r="K962" s="555"/>
      <c r="L962" s="556" t="str">
        <f>+$L$72</f>
        <v>SECRETARIO DE PLANEACION Y OBRAS PÚBLICAS</v>
      </c>
      <c r="M962" s="554"/>
      <c r="N962" s="554"/>
      <c r="O962" s="554"/>
      <c r="P962" s="554"/>
      <c r="Q962" s="554"/>
      <c r="R962" s="554"/>
      <c r="S962" s="554"/>
      <c r="T962" s="557"/>
    </row>
    <row r="963" spans="4:20">
      <c r="D963" s="406"/>
      <c r="E963" s="407"/>
      <c r="F963" s="407"/>
      <c r="G963" s="407"/>
      <c r="H963" s="407"/>
      <c r="I963" s="407"/>
      <c r="J963" s="407"/>
      <c r="K963" s="407"/>
      <c r="L963" s="407"/>
      <c r="M963" s="407"/>
      <c r="N963" s="407"/>
      <c r="O963" s="407"/>
      <c r="P963" s="407"/>
      <c r="Q963" s="407"/>
      <c r="R963" s="407"/>
      <c r="S963" s="407"/>
      <c r="T963" s="437"/>
    </row>
    <row r="964" spans="4:20" ht="111" customHeight="1" thickBot="1">
      <c r="D964" s="417"/>
      <c r="E964" s="418"/>
      <c r="F964" s="418"/>
      <c r="G964" s="418"/>
      <c r="H964" s="418"/>
      <c r="I964" s="418"/>
      <c r="J964" s="418"/>
      <c r="K964" s="418"/>
      <c r="L964" s="418"/>
      <c r="M964" s="418"/>
      <c r="N964" s="418"/>
      <c r="O964" s="418"/>
      <c r="P964" s="418"/>
      <c r="Q964" s="418"/>
      <c r="R964" s="418"/>
      <c r="S964" s="418"/>
      <c r="T964" s="438"/>
    </row>
    <row r="965" spans="4:20" ht="12" customHeight="1"/>
    <row r="966" spans="4:20" ht="13.5" thickBot="1"/>
    <row r="967" spans="4:20">
      <c r="D967" s="384"/>
      <c r="E967" s="385"/>
      <c r="F967" s="385"/>
      <c r="G967" s="385"/>
      <c r="H967" s="385"/>
      <c r="I967" s="385"/>
      <c r="J967" s="385"/>
      <c r="K967" s="445"/>
      <c r="L967" s="385"/>
      <c r="M967" s="385"/>
      <c r="N967" s="385"/>
      <c r="O967" s="385"/>
      <c r="P967" s="385"/>
      <c r="Q967" s="385"/>
      <c r="R967" s="385"/>
      <c r="S967" s="385"/>
      <c r="T967" s="386"/>
    </row>
    <row r="968" spans="4:20" ht="121.5" customHeight="1" thickBot="1">
      <c r="D968" s="387"/>
      <c r="E968" s="388"/>
      <c r="F968" s="388"/>
      <c r="G968" s="388"/>
      <c r="H968" s="388"/>
      <c r="I968" s="388"/>
      <c r="J968" s="388"/>
      <c r="K968" s="446"/>
      <c r="L968" s="388"/>
      <c r="M968" s="388"/>
      <c r="N968" s="388"/>
      <c r="O968" s="388"/>
      <c r="P968" s="388"/>
      <c r="Q968" s="388"/>
      <c r="R968" s="388"/>
      <c r="S968" s="388"/>
      <c r="T968" s="389"/>
    </row>
    <row r="969" spans="4:20">
      <c r="D969" s="592" t="str">
        <f>+[42]DATOS!C$7</f>
        <v>MEJORAMIENTO DE VIVIENDA CON ENFOQUE DIFERENCIAL PARA POBLACIÓN VULNERABLE EN EL MUNICIPIO DE CUBARÁ, BOYACÁ (2026).</v>
      </c>
      <c r="E969" s="593"/>
      <c r="F969" s="593"/>
      <c r="G969" s="593"/>
      <c r="H969" s="593"/>
      <c r="I969" s="593"/>
      <c r="J969" s="593"/>
      <c r="K969" s="593"/>
      <c r="L969" s="593"/>
      <c r="M969" s="593"/>
      <c r="N969" s="593"/>
      <c r="O969" s="593"/>
      <c r="P969" s="593"/>
      <c r="Q969" s="593"/>
      <c r="R969" s="593"/>
      <c r="S969" s="593"/>
      <c r="T969" s="594"/>
    </row>
    <row r="970" spans="4:20">
      <c r="D970" s="595"/>
      <c r="E970" s="596"/>
      <c r="F970" s="596"/>
      <c r="G970" s="596"/>
      <c r="H970" s="596"/>
      <c r="I970" s="596"/>
      <c r="J970" s="596"/>
      <c r="K970" s="596"/>
      <c r="L970" s="596"/>
      <c r="M970" s="596"/>
      <c r="N970" s="596"/>
      <c r="O970" s="596"/>
      <c r="P970" s="596"/>
      <c r="Q970" s="596"/>
      <c r="R970" s="596"/>
      <c r="S970" s="596"/>
      <c r="T970" s="597"/>
    </row>
    <row r="971" spans="4:20">
      <c r="D971" s="598" t="s">
        <v>371</v>
      </c>
      <c r="E971" s="599"/>
      <c r="F971" s="599"/>
      <c r="G971" s="599"/>
      <c r="H971" s="599"/>
      <c r="I971" s="599"/>
      <c r="J971" s="599"/>
      <c r="K971" s="599"/>
      <c r="L971" s="599"/>
      <c r="M971" s="599"/>
      <c r="N971" s="599"/>
      <c r="O971" s="599"/>
      <c r="P971" s="599"/>
      <c r="Q971" s="599"/>
      <c r="R971" s="599"/>
      <c r="S971" s="599"/>
      <c r="T971" s="600"/>
    </row>
    <row r="972" spans="4:20">
      <c r="D972" s="586" t="s">
        <v>372</v>
      </c>
      <c r="E972" s="587"/>
      <c r="F972" s="601" t="s">
        <v>373</v>
      </c>
      <c r="G972" s="601"/>
      <c r="H972" s="601"/>
      <c r="I972" s="601"/>
      <c r="J972" s="601"/>
      <c r="K972" s="601"/>
      <c r="L972" s="601"/>
      <c r="M972" s="601"/>
      <c r="N972" s="601"/>
      <c r="O972" s="601"/>
      <c r="P972" s="601"/>
      <c r="Q972" s="601"/>
      <c r="R972" s="601"/>
      <c r="S972" s="601"/>
      <c r="T972" s="602"/>
    </row>
    <row r="973" spans="4:20">
      <c r="D973" s="586" t="s">
        <v>374</v>
      </c>
      <c r="E973" s="587"/>
      <c r="F973" s="603" t="s">
        <v>375</v>
      </c>
      <c r="G973" s="604"/>
      <c r="H973" s="604"/>
      <c r="I973" s="604"/>
      <c r="J973" s="604"/>
      <c r="K973" s="604"/>
      <c r="L973" s="604"/>
      <c r="M973" s="604"/>
      <c r="N973" s="604"/>
      <c r="O973" s="604"/>
      <c r="P973" s="604"/>
      <c r="Q973" s="604"/>
      <c r="R973" s="604"/>
      <c r="S973" s="604"/>
      <c r="T973" s="605"/>
    </row>
    <row r="974" spans="4:20">
      <c r="D974" s="586" t="s">
        <v>376</v>
      </c>
      <c r="E974" s="587"/>
      <c r="F974" s="390">
        <f>+[42]DATOS!F$5</f>
        <v>46143</v>
      </c>
      <c r="G974" s="391"/>
      <c r="H974" s="391"/>
      <c r="I974" s="391"/>
      <c r="J974" s="391"/>
      <c r="K974" s="391"/>
      <c r="L974" s="568" t="s">
        <v>377</v>
      </c>
      <c r="M974" s="568"/>
      <c r="N974" s="588" t="s">
        <v>378</v>
      </c>
      <c r="O974" s="588"/>
      <c r="P974" s="588"/>
      <c r="Q974" s="588"/>
      <c r="R974" s="588"/>
      <c r="S974" s="588"/>
      <c r="T974" s="589"/>
    </row>
    <row r="975" spans="4:20" ht="25.5">
      <c r="D975" s="586" t="s">
        <v>379</v>
      </c>
      <c r="E975" s="587"/>
      <c r="F975" s="590" t="s">
        <v>380</v>
      </c>
      <c r="G975" s="591"/>
      <c r="H975" s="392">
        <f>+[42]DATOS!E$5</f>
        <v>2026</v>
      </c>
      <c r="I975" s="393" t="s">
        <v>381</v>
      </c>
      <c r="J975" s="394">
        <f>+[42]DATOS!E$5</f>
        <v>2026</v>
      </c>
      <c r="K975" s="395"/>
      <c r="L975" s="568" t="s">
        <v>382</v>
      </c>
      <c r="M975" s="568"/>
      <c r="N975" s="588" t="s">
        <v>383</v>
      </c>
      <c r="O975" s="588"/>
      <c r="P975" s="588"/>
      <c r="Q975" s="588"/>
      <c r="R975" s="588"/>
      <c r="S975" s="588"/>
      <c r="T975" s="589"/>
    </row>
    <row r="976" spans="4:20">
      <c r="D976" s="396"/>
      <c r="E976" s="397"/>
      <c r="F976" s="397"/>
      <c r="G976" s="398"/>
      <c r="H976" s="398"/>
      <c r="I976" s="398"/>
      <c r="J976" s="398"/>
      <c r="K976" s="398"/>
      <c r="L976" s="398"/>
      <c r="M976" s="398"/>
      <c r="N976" s="398"/>
      <c r="O976" s="398"/>
      <c r="P976" s="398"/>
      <c r="Q976" s="398"/>
      <c r="R976" s="398"/>
      <c r="S976" s="398"/>
      <c r="T976" s="399"/>
    </row>
    <row r="977" spans="1:26">
      <c r="D977" s="572" t="s">
        <v>384</v>
      </c>
      <c r="E977" s="573"/>
      <c r="F977" s="573"/>
      <c r="G977" s="573"/>
      <c r="H977" s="573"/>
      <c r="I977" s="573"/>
      <c r="J977" s="573"/>
      <c r="K977" s="573"/>
      <c r="L977" s="573"/>
      <c r="M977" s="573"/>
      <c r="N977" s="573"/>
      <c r="O977" s="573"/>
      <c r="P977" s="573"/>
      <c r="Q977" s="573"/>
      <c r="R977" s="573"/>
      <c r="S977" s="573"/>
      <c r="T977" s="574"/>
    </row>
    <row r="978" spans="1:26">
      <c r="D978" s="396"/>
      <c r="E978" s="397"/>
      <c r="F978" s="397"/>
      <c r="G978" s="398"/>
      <c r="H978" s="398"/>
      <c r="I978" s="398"/>
      <c r="J978" s="398"/>
      <c r="K978" s="398"/>
      <c r="L978" s="398"/>
      <c r="M978" s="398"/>
      <c r="N978" s="398"/>
      <c r="O978" s="398"/>
      <c r="P978" s="398"/>
      <c r="Q978" s="398"/>
      <c r="R978" s="398"/>
      <c r="S978" s="398"/>
      <c r="T978" s="399"/>
    </row>
    <row r="979" spans="1:26">
      <c r="D979" s="400" t="s">
        <v>385</v>
      </c>
      <c r="E979" s="575" t="s">
        <v>386</v>
      </c>
      <c r="F979" s="575"/>
      <c r="G979" s="576" t="s">
        <v>387</v>
      </c>
      <c r="H979" s="577"/>
      <c r="I979" s="577"/>
      <c r="J979" s="576" t="s">
        <v>388</v>
      </c>
      <c r="K979" s="576" t="s">
        <v>389</v>
      </c>
      <c r="L979" s="579"/>
      <c r="M979" s="581" t="s">
        <v>390</v>
      </c>
      <c r="N979" s="581"/>
      <c r="O979" s="581"/>
      <c r="P979" s="581"/>
      <c r="Q979" s="581"/>
      <c r="R979" s="581"/>
      <c r="S979" s="581" t="s">
        <v>391</v>
      </c>
      <c r="T979" s="582"/>
    </row>
    <row r="980" spans="1:26" ht="38.25">
      <c r="D980" s="403">
        <f>+'PRESUPUESTO OFICIAL '!C50</f>
        <v>4.01</v>
      </c>
      <c r="E980" s="583" t="str">
        <f>+VLOOKUP(D980,'PRESUPUESTO OFICIAL '!$C$11:$H$103,2)</f>
        <v>SUMINISTRO E INSTALACIÓN DE TUBERÍA PVC DE 1/2" T.P, PARA RED DE SUMINISTRO INTERNA.</v>
      </c>
      <c r="F980" s="584"/>
      <c r="G980" s="585" t="str">
        <f>+VLOOKUP(D980,'PRESUPUESTO OFICIAL '!$C$11:$H$103,3)</f>
        <v>M</v>
      </c>
      <c r="H980" s="585"/>
      <c r="I980" s="585"/>
      <c r="J980" s="578"/>
      <c r="K980" s="578"/>
      <c r="L980" s="580"/>
      <c r="M980" s="401" t="s">
        <v>392</v>
      </c>
      <c r="N980" s="401" t="s">
        <v>393</v>
      </c>
      <c r="O980" s="401" t="s">
        <v>394</v>
      </c>
      <c r="P980" s="401" t="s">
        <v>395</v>
      </c>
      <c r="Q980" s="401" t="s">
        <v>396</v>
      </c>
      <c r="R980" s="401" t="s">
        <v>397</v>
      </c>
      <c r="S980" s="401" t="s">
        <v>398</v>
      </c>
      <c r="T980" s="402" t="s">
        <v>399</v>
      </c>
      <c r="V980" s="404">
        <f>+D980</f>
        <v>4.01</v>
      </c>
      <c r="W980" s="405">
        <f>+T1028</f>
        <v>128</v>
      </c>
    </row>
    <row r="981" spans="1:26">
      <c r="D981" s="406"/>
      <c r="E981" s="407"/>
      <c r="F981" s="407"/>
      <c r="G981" s="407"/>
      <c r="H981" s="407"/>
      <c r="I981" s="407"/>
      <c r="J981" s="558"/>
      <c r="K981" s="559"/>
      <c r="L981" s="560"/>
      <c r="M981" s="560"/>
      <c r="N981" s="560"/>
      <c r="O981" s="560"/>
      <c r="P981" s="560"/>
      <c r="Q981" s="560"/>
      <c r="R981" s="560"/>
      <c r="S981" s="560"/>
      <c r="T981" s="561"/>
    </row>
    <row r="982" spans="1:26">
      <c r="A982" s="453">
        <f>+D980</f>
        <v>4.01</v>
      </c>
      <c r="B982" s="383">
        <v>1</v>
      </c>
      <c r="D982" s="406"/>
      <c r="E982" s="407"/>
      <c r="F982" s="407"/>
      <c r="G982" s="407"/>
      <c r="H982" s="407"/>
      <c r="I982" s="407"/>
      <c r="J982" s="408" t="s">
        <v>400</v>
      </c>
      <c r="K982" s="409" t="str">
        <f t="shared" ref="K982:K1024" si="154">+VLOOKUP(L982,$AH$22:$AJ$58,2,)</f>
        <v>M=(Largo) x Cant</v>
      </c>
      <c r="L982" s="410" t="str">
        <f>+G980</f>
        <v>M</v>
      </c>
      <c r="M982" s="411"/>
      <c r="N982" s="412"/>
      <c r="O982" s="442"/>
      <c r="P982" s="442"/>
      <c r="Q982" s="413"/>
      <c r="R982" s="411"/>
      <c r="S982" s="413"/>
      <c r="T982" s="414">
        <f>+HLOOKUP(B908,[238]Hoja1!$2:$78,39,FALSE)</f>
        <v>0</v>
      </c>
      <c r="V982" s="453">
        <f>+T982</f>
        <v>0</v>
      </c>
      <c r="Y982" s="439">
        <f t="shared" ref="Y982" si="155">+O982*P982*Q982</f>
        <v>0</v>
      </c>
      <c r="Z982" s="439">
        <f t="shared" ref="Z982" si="156">+Y982-R982</f>
        <v>0</v>
      </c>
    </row>
    <row r="983" spans="1:26">
      <c r="A983" s="453">
        <f>+A982</f>
        <v>4.01</v>
      </c>
      <c r="B983" s="383">
        <v>2</v>
      </c>
      <c r="D983" s="406"/>
      <c r="E983" s="407"/>
      <c r="F983" s="407"/>
      <c r="G983" s="407"/>
      <c r="H983" s="407"/>
      <c r="I983" s="407"/>
      <c r="J983" s="408" t="s">
        <v>401</v>
      </c>
      <c r="K983" s="409" t="str">
        <f t="shared" si="154"/>
        <v>M=(Largo) x Cant</v>
      </c>
      <c r="L983" s="410" t="str">
        <f>+L982</f>
        <v>M</v>
      </c>
      <c r="M983" s="411"/>
      <c r="N983" s="412"/>
      <c r="O983" s="442"/>
      <c r="P983" s="442">
        <f t="shared" ref="P983:P1022" si="157">+T983</f>
        <v>15.3</v>
      </c>
      <c r="Q983" s="413"/>
      <c r="R983" s="411"/>
      <c r="S983" s="413">
        <v>1</v>
      </c>
      <c r="T983" s="414">
        <f>+HLOOKUP(B909,[238]Hoja1!$2:$78,39,FALSE)</f>
        <v>15.3</v>
      </c>
      <c r="V983" s="453">
        <f t="shared" ref="V983:V1024" si="158">+T983</f>
        <v>15.3</v>
      </c>
      <c r="Y983" s="439">
        <f>+M983*Q983</f>
        <v>0</v>
      </c>
      <c r="Z983" s="439">
        <f>+Y983-R983</f>
        <v>0</v>
      </c>
    </row>
    <row r="984" spans="1:26">
      <c r="A984" s="453">
        <f t="shared" ref="A984:A1024" si="159">+A983</f>
        <v>4.01</v>
      </c>
      <c r="B984" s="383">
        <v>3</v>
      </c>
      <c r="D984" s="406"/>
      <c r="E984" s="407"/>
      <c r="F984" s="407"/>
      <c r="G984" s="407"/>
      <c r="H984" s="407"/>
      <c r="I984" s="407"/>
      <c r="J984" s="408" t="s">
        <v>402</v>
      </c>
      <c r="K984" s="409" t="str">
        <f t="shared" si="154"/>
        <v>M=(Largo) x Cant</v>
      </c>
      <c r="L984" s="410" t="str">
        <f>+L983</f>
        <v>M</v>
      </c>
      <c r="M984" s="411"/>
      <c r="N984" s="412"/>
      <c r="O984" s="442"/>
      <c r="P984" s="442">
        <f t="shared" si="157"/>
        <v>15.3</v>
      </c>
      <c r="Q984" s="413"/>
      <c r="R984" s="411"/>
      <c r="S984" s="413">
        <v>1</v>
      </c>
      <c r="T984" s="414">
        <f>+HLOOKUP(B910,[238]Hoja1!$2:$78,39,FALSE)</f>
        <v>15.3</v>
      </c>
      <c r="V984" s="453">
        <f t="shared" si="158"/>
        <v>15.3</v>
      </c>
      <c r="Y984" s="439">
        <f t="shared" ref="Y984:Y986" si="160">+M984*Q984</f>
        <v>0</v>
      </c>
      <c r="Z984" s="439">
        <f t="shared" ref="Z984:Z986" si="161">+Y984-R984</f>
        <v>0</v>
      </c>
    </row>
    <row r="985" spans="1:26">
      <c r="A985" s="453">
        <f t="shared" si="159"/>
        <v>4.01</v>
      </c>
      <c r="B985" s="383">
        <v>4</v>
      </c>
      <c r="D985" s="406"/>
      <c r="E985" s="407"/>
      <c r="F985" s="407"/>
      <c r="G985" s="407"/>
      <c r="H985" s="407"/>
      <c r="I985" s="407"/>
      <c r="J985" s="408" t="s">
        <v>403</v>
      </c>
      <c r="K985" s="409" t="str">
        <f t="shared" si="154"/>
        <v>M=(Largo) x Cant</v>
      </c>
      <c r="L985" s="410" t="str">
        <f>+L984</f>
        <v>M</v>
      </c>
      <c r="M985" s="411"/>
      <c r="N985" s="412"/>
      <c r="O985" s="442"/>
      <c r="P985" s="442">
        <f t="shared" si="157"/>
        <v>8.1999999999999993</v>
      </c>
      <c r="Q985" s="413"/>
      <c r="R985" s="411"/>
      <c r="S985" s="413">
        <v>1</v>
      </c>
      <c r="T985" s="414">
        <f>+HLOOKUP(B911,[238]Hoja1!$2:$78,39,FALSE)</f>
        <v>8.1999999999999993</v>
      </c>
      <c r="V985" s="453">
        <f t="shared" si="158"/>
        <v>8.1999999999999993</v>
      </c>
      <c r="Y985" s="439">
        <f t="shared" si="160"/>
        <v>0</v>
      </c>
      <c r="Z985" s="439">
        <f t="shared" si="161"/>
        <v>0</v>
      </c>
    </row>
    <row r="986" spans="1:26">
      <c r="A986" s="453">
        <f t="shared" si="159"/>
        <v>4.01</v>
      </c>
      <c r="B986" s="383">
        <v>5</v>
      </c>
      <c r="D986" s="406"/>
      <c r="E986" s="407"/>
      <c r="F986" s="407"/>
      <c r="G986" s="407"/>
      <c r="H986" s="407"/>
      <c r="I986" s="407"/>
      <c r="J986" s="408" t="s">
        <v>405</v>
      </c>
      <c r="K986" s="409" t="str">
        <f t="shared" si="154"/>
        <v>M=(Largo) x Cant</v>
      </c>
      <c r="L986" s="410" t="str">
        <f>+L985</f>
        <v>M</v>
      </c>
      <c r="M986" s="411"/>
      <c r="N986" s="412"/>
      <c r="O986" s="442"/>
      <c r="P986" s="442">
        <f t="shared" si="157"/>
        <v>8.1999999999999993</v>
      </c>
      <c r="Q986" s="413"/>
      <c r="R986" s="411"/>
      <c r="S986" s="413">
        <v>1</v>
      </c>
      <c r="T986" s="414">
        <f>+HLOOKUP(B912,[238]Hoja1!$2:$78,39,FALSE)</f>
        <v>8.1999999999999993</v>
      </c>
      <c r="V986" s="453">
        <f t="shared" si="158"/>
        <v>8.1999999999999993</v>
      </c>
      <c r="Y986" s="439">
        <f t="shared" si="160"/>
        <v>0</v>
      </c>
      <c r="Z986" s="439">
        <f t="shared" si="161"/>
        <v>0</v>
      </c>
    </row>
    <row r="987" spans="1:26">
      <c r="A987" s="453">
        <f t="shared" si="159"/>
        <v>4.01</v>
      </c>
      <c r="B987" s="383">
        <v>6</v>
      </c>
      <c r="D987" s="406"/>
      <c r="E987" s="407"/>
      <c r="F987" s="407"/>
      <c r="G987" s="407"/>
      <c r="H987" s="407"/>
      <c r="I987" s="407"/>
      <c r="J987" s="408" t="s">
        <v>407</v>
      </c>
      <c r="K987" s="409" t="str">
        <f t="shared" si="154"/>
        <v>M=(Largo) x Cant</v>
      </c>
      <c r="L987" s="410" t="str">
        <f>+L986</f>
        <v>M</v>
      </c>
      <c r="M987" s="411"/>
      <c r="N987" s="412"/>
      <c r="O987" s="442"/>
      <c r="P987" s="442">
        <f t="shared" si="157"/>
        <v>5</v>
      </c>
      <c r="Q987" s="413"/>
      <c r="R987" s="411"/>
      <c r="S987" s="413">
        <v>1</v>
      </c>
      <c r="T987" s="414">
        <f>+HLOOKUP(B913,[238]Hoja1!$2:$78,39,FALSE)</f>
        <v>5</v>
      </c>
      <c r="V987" s="453">
        <f t="shared" si="158"/>
        <v>5</v>
      </c>
      <c r="Y987" s="439">
        <f>+M987*Q987</f>
        <v>0</v>
      </c>
      <c r="Z987" s="439">
        <f>+Y987-R987</f>
        <v>0</v>
      </c>
    </row>
    <row r="988" spans="1:26">
      <c r="A988" s="453">
        <f t="shared" si="159"/>
        <v>4.01</v>
      </c>
      <c r="B988" s="383">
        <v>7</v>
      </c>
      <c r="D988" s="406"/>
      <c r="E988" s="407"/>
      <c r="F988" s="407"/>
      <c r="G988" s="407"/>
      <c r="H988" s="407"/>
      <c r="I988" s="407"/>
      <c r="J988" s="408" t="s">
        <v>409</v>
      </c>
      <c r="K988" s="409" t="str">
        <f t="shared" si="154"/>
        <v>M=(Largo) x Cant</v>
      </c>
      <c r="L988" s="410" t="str">
        <f>+L982</f>
        <v>M</v>
      </c>
      <c r="M988" s="411"/>
      <c r="N988" s="412"/>
      <c r="O988" s="442"/>
      <c r="P988" s="442"/>
      <c r="Q988" s="413"/>
      <c r="R988" s="411"/>
      <c r="S988" s="413"/>
      <c r="T988" s="414">
        <f>+HLOOKUP(B914,[238]Hoja1!$2:$78,39,FALSE)</f>
        <v>0</v>
      </c>
      <c r="V988" s="453">
        <f t="shared" si="158"/>
        <v>0</v>
      </c>
      <c r="Y988" s="439">
        <f t="shared" ref="Y988:Y1024" si="162">+M988*Q988</f>
        <v>0</v>
      </c>
      <c r="Z988" s="439">
        <f t="shared" ref="Z988:Z1024" si="163">+Y988-R988</f>
        <v>0</v>
      </c>
    </row>
    <row r="989" spans="1:26">
      <c r="A989" s="453">
        <f t="shared" si="159"/>
        <v>4.01</v>
      </c>
      <c r="B989" s="383">
        <v>8</v>
      </c>
      <c r="D989" s="406"/>
      <c r="E989" s="407"/>
      <c r="F989" s="407"/>
      <c r="G989" s="407"/>
      <c r="H989" s="407"/>
      <c r="I989" s="407"/>
      <c r="J989" s="408" t="s">
        <v>411</v>
      </c>
      <c r="K989" s="409" t="str">
        <f t="shared" si="154"/>
        <v>M=(Largo) x Cant</v>
      </c>
      <c r="L989" s="410" t="str">
        <f>+L988</f>
        <v>M</v>
      </c>
      <c r="M989" s="411"/>
      <c r="N989" s="412"/>
      <c r="O989" s="442"/>
      <c r="P989" s="442"/>
      <c r="Q989" s="413"/>
      <c r="R989" s="411"/>
      <c r="S989" s="413"/>
      <c r="T989" s="414">
        <f>+HLOOKUP(B915,[238]Hoja1!$2:$78,39,FALSE)</f>
        <v>0</v>
      </c>
      <c r="V989" s="453">
        <f t="shared" si="158"/>
        <v>0</v>
      </c>
      <c r="Y989" s="439">
        <f t="shared" si="162"/>
        <v>0</v>
      </c>
      <c r="Z989" s="439">
        <f t="shared" si="163"/>
        <v>0</v>
      </c>
    </row>
    <row r="990" spans="1:26">
      <c r="A990" s="453">
        <f t="shared" si="159"/>
        <v>4.01</v>
      </c>
      <c r="B990" s="383">
        <v>9</v>
      </c>
      <c r="D990" s="406"/>
      <c r="E990" s="407"/>
      <c r="F990" s="407"/>
      <c r="G990" s="407"/>
      <c r="H990" s="407"/>
      <c r="I990" s="407"/>
      <c r="J990" s="408" t="s">
        <v>412</v>
      </c>
      <c r="K990" s="409" t="str">
        <f t="shared" si="154"/>
        <v>M=(Largo) x Cant</v>
      </c>
      <c r="L990" s="410" t="str">
        <f>+L989</f>
        <v>M</v>
      </c>
      <c r="M990" s="411"/>
      <c r="N990" s="412"/>
      <c r="O990" s="442"/>
      <c r="P990" s="442">
        <f t="shared" si="157"/>
        <v>8.1999999999999993</v>
      </c>
      <c r="Q990" s="413"/>
      <c r="R990" s="411"/>
      <c r="S990" s="413">
        <v>1</v>
      </c>
      <c r="T990" s="414">
        <f>+HLOOKUP(B916,[238]Hoja1!$2:$78,39,FALSE)</f>
        <v>8.1999999999999993</v>
      </c>
      <c r="V990" s="453">
        <f t="shared" si="158"/>
        <v>8.1999999999999993</v>
      </c>
      <c r="Y990" s="439">
        <f t="shared" si="162"/>
        <v>0</v>
      </c>
      <c r="Z990" s="439">
        <f t="shared" si="163"/>
        <v>0</v>
      </c>
    </row>
    <row r="991" spans="1:26">
      <c r="A991" s="453">
        <f t="shared" si="159"/>
        <v>4.01</v>
      </c>
      <c r="B991" s="383">
        <v>10</v>
      </c>
      <c r="D991" s="406"/>
      <c r="E991" s="407"/>
      <c r="F991" s="407"/>
      <c r="G991" s="407"/>
      <c r="H991" s="407"/>
      <c r="I991" s="407"/>
      <c r="J991" s="408" t="s">
        <v>413</v>
      </c>
      <c r="K991" s="409" t="str">
        <f t="shared" si="154"/>
        <v>M=(Largo) x Cant</v>
      </c>
      <c r="L991" s="410" t="str">
        <f>+L990</f>
        <v>M</v>
      </c>
      <c r="M991" s="411"/>
      <c r="N991" s="412"/>
      <c r="O991" s="441"/>
      <c r="P991" s="442"/>
      <c r="Q991" s="412"/>
      <c r="R991" s="411"/>
      <c r="S991" s="413"/>
      <c r="T991" s="414">
        <f>+HLOOKUP(B917,[238]Hoja1!$2:$78,39,FALSE)</f>
        <v>0</v>
      </c>
      <c r="V991" s="453">
        <f t="shared" si="158"/>
        <v>0</v>
      </c>
      <c r="Y991" s="439">
        <f t="shared" si="162"/>
        <v>0</v>
      </c>
      <c r="Z991" s="439">
        <f t="shared" si="163"/>
        <v>0</v>
      </c>
    </row>
    <row r="992" spans="1:26">
      <c r="A992" s="453">
        <f t="shared" si="159"/>
        <v>4.01</v>
      </c>
      <c r="B992" s="383">
        <v>11</v>
      </c>
      <c r="D992" s="406"/>
      <c r="E992" s="407"/>
      <c r="F992" s="407"/>
      <c r="G992" s="407"/>
      <c r="H992" s="407"/>
      <c r="I992" s="407"/>
      <c r="J992" s="408" t="s">
        <v>414</v>
      </c>
      <c r="K992" s="409" t="str">
        <f t="shared" si="154"/>
        <v>M=(Largo) x Cant</v>
      </c>
      <c r="L992" s="410" t="str">
        <f>+L991</f>
        <v>M</v>
      </c>
      <c r="M992" s="411"/>
      <c r="N992" s="412"/>
      <c r="O992" s="443"/>
      <c r="P992" s="442"/>
      <c r="Q992" s="412"/>
      <c r="R992" s="411"/>
      <c r="S992" s="413"/>
      <c r="T992" s="414">
        <f>+HLOOKUP(B918,[238]Hoja1!$2:$78,39,FALSE)</f>
        <v>0</v>
      </c>
      <c r="V992" s="453">
        <f t="shared" si="158"/>
        <v>0</v>
      </c>
      <c r="Y992" s="439">
        <f t="shared" si="162"/>
        <v>0</v>
      </c>
      <c r="Z992" s="439">
        <f t="shared" si="163"/>
        <v>0</v>
      </c>
    </row>
    <row r="993" spans="1:26">
      <c r="A993" s="453">
        <f t="shared" si="159"/>
        <v>4.01</v>
      </c>
      <c r="B993" s="383">
        <v>12</v>
      </c>
      <c r="D993" s="406"/>
      <c r="E993" s="407"/>
      <c r="F993" s="407"/>
      <c r="G993" s="407"/>
      <c r="H993" s="407"/>
      <c r="I993" s="407"/>
      <c r="J993" s="408" t="s">
        <v>415</v>
      </c>
      <c r="K993" s="409" t="str">
        <f t="shared" si="154"/>
        <v>M=(Largo) x Cant</v>
      </c>
      <c r="L993" s="410" t="str">
        <f>+L987</f>
        <v>M</v>
      </c>
      <c r="M993" s="411"/>
      <c r="N993" s="412"/>
      <c r="O993" s="442"/>
      <c r="P993" s="442"/>
      <c r="Q993" s="413"/>
      <c r="R993" s="411"/>
      <c r="S993" s="413"/>
      <c r="T993" s="414">
        <f>+HLOOKUP(B919,[238]Hoja1!$2:$78,39,FALSE)</f>
        <v>0</v>
      </c>
      <c r="V993" s="453">
        <f t="shared" si="158"/>
        <v>0</v>
      </c>
      <c r="Y993" s="439">
        <f t="shared" si="162"/>
        <v>0</v>
      </c>
      <c r="Z993" s="439">
        <f t="shared" si="163"/>
        <v>0</v>
      </c>
    </row>
    <row r="994" spans="1:26">
      <c r="A994" s="453">
        <f t="shared" si="159"/>
        <v>4.01</v>
      </c>
      <c r="B994" s="383">
        <v>13</v>
      </c>
      <c r="D994" s="406"/>
      <c r="E994" s="407"/>
      <c r="F994" s="407"/>
      <c r="G994" s="407"/>
      <c r="H994" s="407"/>
      <c r="I994" s="407"/>
      <c r="J994" s="408" t="s">
        <v>416</v>
      </c>
      <c r="K994" s="409" t="str">
        <f t="shared" si="154"/>
        <v>M=(Largo) x Cant</v>
      </c>
      <c r="L994" s="410" t="str">
        <f>+L989</f>
        <v>M</v>
      </c>
      <c r="M994" s="411"/>
      <c r="N994" s="412"/>
      <c r="O994" s="442"/>
      <c r="P994" s="442"/>
      <c r="Q994" s="413"/>
      <c r="R994" s="411"/>
      <c r="S994" s="413"/>
      <c r="T994" s="414">
        <f>+HLOOKUP(B920,[238]Hoja1!$2:$78,39,FALSE)</f>
        <v>0</v>
      </c>
      <c r="V994" s="453">
        <f t="shared" si="158"/>
        <v>0</v>
      </c>
      <c r="Y994" s="439">
        <f t="shared" si="162"/>
        <v>0</v>
      </c>
      <c r="Z994" s="439">
        <f t="shared" si="163"/>
        <v>0</v>
      </c>
    </row>
    <row r="995" spans="1:26">
      <c r="A995" s="453">
        <f t="shared" si="159"/>
        <v>4.01</v>
      </c>
      <c r="B995" s="383">
        <v>14</v>
      </c>
      <c r="D995" s="406"/>
      <c r="E995" s="407"/>
      <c r="F995" s="407"/>
      <c r="G995" s="407"/>
      <c r="H995" s="407"/>
      <c r="I995" s="407"/>
      <c r="J995" s="408" t="s">
        <v>417</v>
      </c>
      <c r="K995" s="409" t="str">
        <f t="shared" si="154"/>
        <v>M=(Largo) x Cant</v>
      </c>
      <c r="L995" s="410" t="str">
        <f t="shared" ref="L995:L1006" si="164">+L994</f>
        <v>M</v>
      </c>
      <c r="M995" s="411"/>
      <c r="N995" s="412"/>
      <c r="O995" s="442"/>
      <c r="P995" s="442">
        <f t="shared" si="157"/>
        <v>8.1999999999999993</v>
      </c>
      <c r="Q995" s="413"/>
      <c r="R995" s="411"/>
      <c r="S995" s="413">
        <v>1</v>
      </c>
      <c r="T995" s="414">
        <f>+HLOOKUP(B921,[238]Hoja1!$2:$78,39,FALSE)</f>
        <v>8.1999999999999993</v>
      </c>
      <c r="V995" s="453">
        <f t="shared" si="158"/>
        <v>8.1999999999999993</v>
      </c>
      <c r="Y995" s="439">
        <f t="shared" si="162"/>
        <v>0</v>
      </c>
      <c r="Z995" s="439">
        <f t="shared" si="163"/>
        <v>0</v>
      </c>
    </row>
    <row r="996" spans="1:26">
      <c r="A996" s="453">
        <f t="shared" si="159"/>
        <v>4.01</v>
      </c>
      <c r="B996" s="383">
        <v>15</v>
      </c>
      <c r="D996" s="406"/>
      <c r="E996" s="407"/>
      <c r="F996" s="407"/>
      <c r="G996" s="407"/>
      <c r="H996" s="407"/>
      <c r="I996" s="407"/>
      <c r="J996" s="408" t="s">
        <v>418</v>
      </c>
      <c r="K996" s="409" t="str">
        <f t="shared" si="154"/>
        <v>M=(Largo) x Cant</v>
      </c>
      <c r="L996" s="410" t="str">
        <f t="shared" si="164"/>
        <v>M</v>
      </c>
      <c r="M996" s="411"/>
      <c r="N996" s="412"/>
      <c r="O996" s="442"/>
      <c r="P996" s="442"/>
      <c r="Q996" s="449"/>
      <c r="R996" s="411"/>
      <c r="S996" s="413"/>
      <c r="T996" s="414">
        <f>+HLOOKUP(B922,[238]Hoja1!$2:$78,39,FALSE)</f>
        <v>0</v>
      </c>
      <c r="V996" s="453">
        <f t="shared" si="158"/>
        <v>0</v>
      </c>
      <c r="Y996" s="439">
        <f t="shared" si="162"/>
        <v>0</v>
      </c>
      <c r="Z996" s="439">
        <f t="shared" si="163"/>
        <v>0</v>
      </c>
    </row>
    <row r="997" spans="1:26">
      <c r="A997" s="453">
        <f t="shared" si="159"/>
        <v>4.01</v>
      </c>
      <c r="B997" s="383">
        <v>16</v>
      </c>
      <c r="D997" s="406"/>
      <c r="E997" s="407"/>
      <c r="F997" s="407"/>
      <c r="G997" s="407"/>
      <c r="H997" s="407"/>
      <c r="I997" s="407"/>
      <c r="J997" s="408" t="s">
        <v>419</v>
      </c>
      <c r="K997" s="409" t="str">
        <f t="shared" si="154"/>
        <v>M=(Largo) x Cant</v>
      </c>
      <c r="L997" s="410" t="str">
        <f t="shared" si="164"/>
        <v>M</v>
      </c>
      <c r="M997" s="411"/>
      <c r="N997" s="412"/>
      <c r="O997" s="442"/>
      <c r="P997" s="442"/>
      <c r="Q997" s="449"/>
      <c r="R997" s="411"/>
      <c r="S997" s="413"/>
      <c r="T997" s="414">
        <f>+HLOOKUP(B923,[238]Hoja1!$2:$78,39,FALSE)</f>
        <v>0</v>
      </c>
      <c r="V997" s="453">
        <f t="shared" si="158"/>
        <v>0</v>
      </c>
      <c r="Y997" s="439">
        <f t="shared" si="162"/>
        <v>0</v>
      </c>
      <c r="Z997" s="439">
        <f t="shared" si="163"/>
        <v>0</v>
      </c>
    </row>
    <row r="998" spans="1:26">
      <c r="A998" s="453">
        <f t="shared" si="159"/>
        <v>4.01</v>
      </c>
      <c r="B998" s="383">
        <v>17</v>
      </c>
      <c r="D998" s="406"/>
      <c r="E998" s="407"/>
      <c r="F998" s="407"/>
      <c r="G998" s="407"/>
      <c r="H998" s="407"/>
      <c r="I998" s="407"/>
      <c r="J998" s="408" t="s">
        <v>420</v>
      </c>
      <c r="K998" s="409" t="str">
        <f t="shared" si="154"/>
        <v>M=(Largo) x Cant</v>
      </c>
      <c r="L998" s="410" t="str">
        <f t="shared" si="164"/>
        <v>M</v>
      </c>
      <c r="M998" s="411"/>
      <c r="N998" s="412"/>
      <c r="O998" s="442"/>
      <c r="P998" s="442"/>
      <c r="Q998" s="448"/>
      <c r="R998" s="411"/>
      <c r="S998" s="413"/>
      <c r="T998" s="414">
        <f>+HLOOKUP(B924,[238]Hoja1!$2:$78,39,FALSE)</f>
        <v>0</v>
      </c>
      <c r="V998" s="453">
        <f t="shared" si="158"/>
        <v>0</v>
      </c>
      <c r="W998" s="383">
        <f>+Q998*P998*O998</f>
        <v>0</v>
      </c>
      <c r="Y998" s="439">
        <f t="shared" si="162"/>
        <v>0</v>
      </c>
      <c r="Z998" s="439">
        <f t="shared" si="163"/>
        <v>0</v>
      </c>
    </row>
    <row r="999" spans="1:26">
      <c r="A999" s="453">
        <f t="shared" si="159"/>
        <v>4.01</v>
      </c>
      <c r="B999" s="383">
        <v>18</v>
      </c>
      <c r="D999" s="406"/>
      <c r="E999" s="407"/>
      <c r="F999" s="407"/>
      <c r="G999" s="407"/>
      <c r="H999" s="407"/>
      <c r="I999" s="407"/>
      <c r="J999" s="408" t="s">
        <v>429</v>
      </c>
      <c r="K999" s="409" t="str">
        <f t="shared" si="154"/>
        <v>M=(Largo) x Cant</v>
      </c>
      <c r="L999" s="410" t="str">
        <f t="shared" si="164"/>
        <v>M</v>
      </c>
      <c r="M999" s="411"/>
      <c r="N999" s="412"/>
      <c r="O999" s="442"/>
      <c r="P999" s="442">
        <f t="shared" si="157"/>
        <v>5</v>
      </c>
      <c r="Q999" s="413"/>
      <c r="R999" s="411"/>
      <c r="S999" s="413">
        <v>1</v>
      </c>
      <c r="T999" s="414">
        <f>+HLOOKUP(B925,[238]Hoja1!$2:$78,39,FALSE)</f>
        <v>5</v>
      </c>
      <c r="V999" s="453">
        <f t="shared" si="158"/>
        <v>5</v>
      </c>
      <c r="Y999" s="439">
        <f t="shared" si="162"/>
        <v>0</v>
      </c>
      <c r="Z999" s="439">
        <f t="shared" si="163"/>
        <v>0</v>
      </c>
    </row>
    <row r="1000" spans="1:26">
      <c r="A1000" s="453">
        <f t="shared" si="159"/>
        <v>4.01</v>
      </c>
      <c r="B1000" s="383">
        <v>19</v>
      </c>
      <c r="D1000" s="406"/>
      <c r="E1000" s="407"/>
      <c r="F1000" s="407"/>
      <c r="G1000" s="407"/>
      <c r="H1000" s="407"/>
      <c r="I1000" s="407"/>
      <c r="J1000" s="408" t="s">
        <v>430</v>
      </c>
      <c r="K1000" s="409" t="str">
        <f t="shared" si="154"/>
        <v>M=(Largo) x Cant</v>
      </c>
      <c r="L1000" s="410" t="str">
        <f t="shared" si="164"/>
        <v>M</v>
      </c>
      <c r="M1000" s="411"/>
      <c r="N1000" s="412"/>
      <c r="O1000" s="442"/>
      <c r="P1000" s="442">
        <f t="shared" si="157"/>
        <v>8.1999999999999993</v>
      </c>
      <c r="Q1000" s="448"/>
      <c r="R1000" s="411"/>
      <c r="S1000" s="413">
        <v>1</v>
      </c>
      <c r="T1000" s="414">
        <f>+HLOOKUP(B926,[238]Hoja1!$2:$78,39,FALSE)</f>
        <v>8.1999999999999993</v>
      </c>
      <c r="V1000" s="453">
        <f t="shared" si="158"/>
        <v>8.1999999999999993</v>
      </c>
      <c r="Y1000" s="439">
        <f t="shared" si="162"/>
        <v>0</v>
      </c>
      <c r="Z1000" s="439">
        <f t="shared" si="163"/>
        <v>0</v>
      </c>
    </row>
    <row r="1001" spans="1:26">
      <c r="A1001" s="453">
        <f t="shared" si="159"/>
        <v>4.01</v>
      </c>
      <c r="B1001" s="383">
        <v>20</v>
      </c>
      <c r="D1001" s="406"/>
      <c r="E1001" s="407"/>
      <c r="F1001" s="407"/>
      <c r="G1001" s="407"/>
      <c r="H1001" s="407"/>
      <c r="I1001" s="407"/>
      <c r="J1001" s="408" t="s">
        <v>431</v>
      </c>
      <c r="K1001" s="409" t="str">
        <f t="shared" si="154"/>
        <v>M=(Largo) x Cant</v>
      </c>
      <c r="L1001" s="410" t="str">
        <f t="shared" si="164"/>
        <v>M</v>
      </c>
      <c r="M1001" s="411"/>
      <c r="N1001" s="412"/>
      <c r="O1001" s="442"/>
      <c r="P1001" s="442"/>
      <c r="Q1001" s="413"/>
      <c r="R1001" s="411"/>
      <c r="S1001" s="413"/>
      <c r="T1001" s="414">
        <f>+HLOOKUP(B927,[238]Hoja1!$2:$78,39,FALSE)</f>
        <v>0</v>
      </c>
      <c r="V1001" s="453">
        <f t="shared" si="158"/>
        <v>0</v>
      </c>
      <c r="Y1001" s="439">
        <f t="shared" si="162"/>
        <v>0</v>
      </c>
      <c r="Z1001" s="439">
        <f t="shared" si="163"/>
        <v>0</v>
      </c>
    </row>
    <row r="1002" spans="1:26">
      <c r="A1002" s="453">
        <f t="shared" si="159"/>
        <v>4.01</v>
      </c>
      <c r="B1002" s="383">
        <v>21</v>
      </c>
      <c r="D1002" s="406"/>
      <c r="E1002" s="407"/>
      <c r="F1002" s="407"/>
      <c r="G1002" s="407"/>
      <c r="H1002" s="407"/>
      <c r="I1002" s="407"/>
      <c r="J1002" s="408" t="s">
        <v>432</v>
      </c>
      <c r="K1002" s="409" t="str">
        <f t="shared" si="154"/>
        <v>M=(Largo) x Cant</v>
      </c>
      <c r="L1002" s="410" t="str">
        <f t="shared" si="164"/>
        <v>M</v>
      </c>
      <c r="M1002" s="411"/>
      <c r="N1002" s="412"/>
      <c r="O1002" s="442"/>
      <c r="P1002" s="442"/>
      <c r="Q1002" s="412"/>
      <c r="R1002" s="411"/>
      <c r="S1002" s="413"/>
      <c r="T1002" s="414">
        <f>+HLOOKUP(B928,[238]Hoja1!$2:$78,39,FALSE)</f>
        <v>0</v>
      </c>
      <c r="V1002" s="453">
        <f t="shared" si="158"/>
        <v>0</v>
      </c>
      <c r="Y1002" s="439">
        <f t="shared" si="162"/>
        <v>0</v>
      </c>
      <c r="Z1002" s="439">
        <f t="shared" si="163"/>
        <v>0</v>
      </c>
    </row>
    <row r="1003" spans="1:26">
      <c r="A1003" s="453">
        <f t="shared" si="159"/>
        <v>4.01</v>
      </c>
      <c r="B1003" s="383">
        <v>22</v>
      </c>
      <c r="D1003" s="406"/>
      <c r="E1003" s="407"/>
      <c r="F1003" s="407"/>
      <c r="G1003" s="407"/>
      <c r="H1003" s="407"/>
      <c r="I1003" s="407"/>
      <c r="J1003" s="408" t="s">
        <v>433</v>
      </c>
      <c r="K1003" s="409" t="str">
        <f t="shared" si="154"/>
        <v>M=(Largo) x Cant</v>
      </c>
      <c r="L1003" s="410" t="str">
        <f t="shared" si="164"/>
        <v>M</v>
      </c>
      <c r="M1003" s="411"/>
      <c r="N1003" s="412"/>
      <c r="O1003" s="442"/>
      <c r="P1003" s="442">
        <f t="shared" si="157"/>
        <v>8.1999999999999993</v>
      </c>
      <c r="Q1003" s="448"/>
      <c r="R1003" s="411"/>
      <c r="S1003" s="413">
        <v>1</v>
      </c>
      <c r="T1003" s="414">
        <f>+HLOOKUP(B929,[238]Hoja1!$2:$78,39,FALSE)</f>
        <v>8.1999999999999993</v>
      </c>
      <c r="V1003" s="453">
        <f t="shared" si="158"/>
        <v>8.1999999999999993</v>
      </c>
      <c r="Y1003" s="439">
        <f t="shared" si="162"/>
        <v>0</v>
      </c>
      <c r="Z1003" s="439">
        <f t="shared" si="163"/>
        <v>0</v>
      </c>
    </row>
    <row r="1004" spans="1:26">
      <c r="A1004" s="453">
        <f t="shared" si="159"/>
        <v>4.01</v>
      </c>
      <c r="B1004" s="383">
        <v>23</v>
      </c>
      <c r="D1004" s="406"/>
      <c r="E1004" s="407"/>
      <c r="F1004" s="407"/>
      <c r="G1004" s="407"/>
      <c r="H1004" s="407"/>
      <c r="I1004" s="407"/>
      <c r="J1004" s="408" t="s">
        <v>434</v>
      </c>
      <c r="K1004" s="409" t="str">
        <f t="shared" si="154"/>
        <v>M=(Largo) x Cant</v>
      </c>
      <c r="L1004" s="410" t="str">
        <f t="shared" si="164"/>
        <v>M</v>
      </c>
      <c r="M1004" s="411"/>
      <c r="N1004" s="412"/>
      <c r="O1004" s="441"/>
      <c r="P1004" s="442"/>
      <c r="Q1004" s="412"/>
      <c r="R1004" s="411"/>
      <c r="S1004" s="413"/>
      <c r="T1004" s="414">
        <f>+HLOOKUP(B930,[238]Hoja1!$2:$78,39,FALSE)</f>
        <v>0</v>
      </c>
      <c r="V1004" s="453">
        <f t="shared" si="158"/>
        <v>0</v>
      </c>
      <c r="Y1004" s="439">
        <f t="shared" si="162"/>
        <v>0</v>
      </c>
      <c r="Z1004" s="439">
        <f t="shared" si="163"/>
        <v>0</v>
      </c>
    </row>
    <row r="1005" spans="1:26">
      <c r="A1005" s="453">
        <f t="shared" si="159"/>
        <v>4.01</v>
      </c>
      <c r="B1005" s="383">
        <v>24</v>
      </c>
      <c r="D1005" s="406"/>
      <c r="E1005" s="407"/>
      <c r="F1005" s="407"/>
      <c r="G1005" s="407"/>
      <c r="H1005" s="407"/>
      <c r="I1005" s="407"/>
      <c r="J1005" s="408" t="s">
        <v>435</v>
      </c>
      <c r="K1005" s="409" t="str">
        <f t="shared" si="154"/>
        <v>M=(Largo) x Cant</v>
      </c>
      <c r="L1005" s="410" t="str">
        <f t="shared" si="164"/>
        <v>M</v>
      </c>
      <c r="M1005" s="411"/>
      <c r="N1005" s="412"/>
      <c r="O1005" s="442"/>
      <c r="P1005" s="442">
        <f t="shared" si="157"/>
        <v>7</v>
      </c>
      <c r="Q1005" s="413"/>
      <c r="R1005" s="411"/>
      <c r="S1005" s="413">
        <v>1</v>
      </c>
      <c r="T1005" s="414">
        <f>+HLOOKUP(B931,[238]Hoja1!$2:$78,39,FALSE)</f>
        <v>7</v>
      </c>
      <c r="V1005" s="453">
        <f t="shared" si="158"/>
        <v>7</v>
      </c>
      <c r="Y1005" s="439">
        <f t="shared" si="162"/>
        <v>0</v>
      </c>
      <c r="Z1005" s="439">
        <f t="shared" si="163"/>
        <v>0</v>
      </c>
    </row>
    <row r="1006" spans="1:26">
      <c r="A1006" s="453">
        <f t="shared" si="159"/>
        <v>4.01</v>
      </c>
      <c r="B1006" s="383">
        <v>25</v>
      </c>
      <c r="D1006" s="406"/>
      <c r="E1006" s="407"/>
      <c r="F1006" s="407"/>
      <c r="G1006" s="407"/>
      <c r="H1006" s="407"/>
      <c r="I1006" s="407"/>
      <c r="J1006" s="408" t="s">
        <v>436</v>
      </c>
      <c r="K1006" s="409" t="str">
        <f t="shared" si="154"/>
        <v>M=(Largo) x Cant</v>
      </c>
      <c r="L1006" s="410" t="str">
        <f t="shared" si="164"/>
        <v>M</v>
      </c>
      <c r="M1006" s="411"/>
      <c r="N1006" s="412"/>
      <c r="O1006" s="442"/>
      <c r="P1006" s="442">
        <f t="shared" si="157"/>
        <v>2</v>
      </c>
      <c r="Q1006" s="450"/>
      <c r="R1006" s="411"/>
      <c r="S1006" s="413">
        <v>1</v>
      </c>
      <c r="T1006" s="414">
        <f>+HLOOKUP(B932,[238]Hoja1!$2:$78,39,FALSE)</f>
        <v>2</v>
      </c>
      <c r="V1006" s="453">
        <f t="shared" si="158"/>
        <v>2</v>
      </c>
      <c r="Y1006" s="439">
        <f t="shared" si="162"/>
        <v>0</v>
      </c>
      <c r="Z1006" s="439">
        <f t="shared" si="163"/>
        <v>0</v>
      </c>
    </row>
    <row r="1007" spans="1:26">
      <c r="A1007" s="453">
        <f t="shared" si="159"/>
        <v>4.01</v>
      </c>
      <c r="B1007" s="383">
        <v>26</v>
      </c>
      <c r="D1007" s="406"/>
      <c r="E1007" s="407"/>
      <c r="F1007" s="407"/>
      <c r="G1007" s="407"/>
      <c r="H1007" s="407"/>
      <c r="I1007" s="407"/>
      <c r="J1007" s="408" t="s">
        <v>437</v>
      </c>
      <c r="K1007" s="409" t="str">
        <f t="shared" si="154"/>
        <v>M=(Largo) x Cant</v>
      </c>
      <c r="L1007" s="410" t="str">
        <f>+L996</f>
        <v>M</v>
      </c>
      <c r="M1007" s="411"/>
      <c r="N1007" s="412"/>
      <c r="O1007" s="442"/>
      <c r="P1007" s="442"/>
      <c r="Q1007" s="412"/>
      <c r="R1007" s="411"/>
      <c r="S1007" s="413"/>
      <c r="T1007" s="414">
        <f>+HLOOKUP(B933,[238]Hoja1!$2:$78,39,FALSE)</f>
        <v>0</v>
      </c>
      <c r="V1007" s="453">
        <f t="shared" si="158"/>
        <v>0</v>
      </c>
      <c r="Y1007" s="439">
        <f t="shared" si="162"/>
        <v>0</v>
      </c>
      <c r="Z1007" s="439">
        <f t="shared" si="163"/>
        <v>0</v>
      </c>
    </row>
    <row r="1008" spans="1:26">
      <c r="A1008" s="453">
        <f t="shared" si="159"/>
        <v>4.01</v>
      </c>
      <c r="B1008" s="383">
        <v>27</v>
      </c>
      <c r="D1008" s="406"/>
      <c r="E1008" s="407"/>
      <c r="F1008" s="407"/>
      <c r="G1008" s="407"/>
      <c r="H1008" s="407"/>
      <c r="I1008" s="407"/>
      <c r="J1008" s="408" t="s">
        <v>438</v>
      </c>
      <c r="K1008" s="409" t="str">
        <f t="shared" si="154"/>
        <v>M=(Largo) x Cant</v>
      </c>
      <c r="L1008" s="410" t="str">
        <f t="shared" ref="L1008:L1016" si="165">+L1007</f>
        <v>M</v>
      </c>
      <c r="M1008" s="411"/>
      <c r="N1008" s="412"/>
      <c r="O1008" s="442"/>
      <c r="P1008" s="442">
        <f t="shared" si="157"/>
        <v>8.1999999999999993</v>
      </c>
      <c r="Q1008" s="448"/>
      <c r="R1008" s="411"/>
      <c r="S1008" s="413">
        <v>1</v>
      </c>
      <c r="T1008" s="414">
        <f>+HLOOKUP(B934,[238]Hoja1!$2:$78,39,FALSE)</f>
        <v>8.1999999999999993</v>
      </c>
      <c r="V1008" s="453">
        <f t="shared" si="158"/>
        <v>8.1999999999999993</v>
      </c>
      <c r="Y1008" s="439">
        <f t="shared" si="162"/>
        <v>0</v>
      </c>
      <c r="Z1008" s="439">
        <f t="shared" si="163"/>
        <v>0</v>
      </c>
    </row>
    <row r="1009" spans="1:26">
      <c r="A1009" s="453">
        <f t="shared" si="159"/>
        <v>4.01</v>
      </c>
      <c r="B1009" s="383">
        <v>28</v>
      </c>
      <c r="D1009" s="406"/>
      <c r="E1009" s="440"/>
      <c r="F1009" s="407"/>
      <c r="G1009" s="407"/>
      <c r="H1009" s="407"/>
      <c r="I1009" s="437"/>
      <c r="J1009" s="408" t="s">
        <v>439</v>
      </c>
      <c r="K1009" s="409" t="str">
        <f t="shared" si="154"/>
        <v>M=(Largo) x Cant</v>
      </c>
      <c r="L1009" s="410" t="str">
        <f t="shared" si="165"/>
        <v>M</v>
      </c>
      <c r="M1009" s="411"/>
      <c r="N1009" s="412"/>
      <c r="O1009" s="442"/>
      <c r="P1009" s="442"/>
      <c r="Q1009" s="413"/>
      <c r="R1009" s="411"/>
      <c r="S1009" s="413"/>
      <c r="T1009" s="414">
        <f>+HLOOKUP(B935,[238]Hoja1!$2:$78,39,FALSE)</f>
        <v>0</v>
      </c>
      <c r="V1009" s="453">
        <f t="shared" si="158"/>
        <v>0</v>
      </c>
      <c r="Y1009" s="439">
        <f t="shared" si="162"/>
        <v>0</v>
      </c>
      <c r="Z1009" s="439">
        <f t="shared" si="163"/>
        <v>0</v>
      </c>
    </row>
    <row r="1010" spans="1:26">
      <c r="A1010" s="453">
        <f t="shared" si="159"/>
        <v>4.01</v>
      </c>
      <c r="B1010" s="383">
        <v>29</v>
      </c>
      <c r="D1010" s="406"/>
      <c r="E1010" s="407"/>
      <c r="F1010" s="407"/>
      <c r="G1010" s="407"/>
      <c r="H1010" s="407"/>
      <c r="I1010" s="407"/>
      <c r="J1010" s="408" t="s">
        <v>440</v>
      </c>
      <c r="K1010" s="409" t="str">
        <f t="shared" si="154"/>
        <v>M=(Largo) x Cant</v>
      </c>
      <c r="L1010" s="410" t="str">
        <f t="shared" si="165"/>
        <v>M</v>
      </c>
      <c r="M1010" s="411"/>
      <c r="N1010" s="412"/>
      <c r="O1010" s="443"/>
      <c r="P1010" s="442"/>
      <c r="Q1010" s="412"/>
      <c r="R1010" s="411"/>
      <c r="S1010" s="413"/>
      <c r="T1010" s="414">
        <f>+HLOOKUP(B936,[238]Hoja1!$2:$78,39,FALSE)</f>
        <v>0</v>
      </c>
      <c r="V1010" s="453">
        <f t="shared" si="158"/>
        <v>0</v>
      </c>
      <c r="Y1010" s="439">
        <f t="shared" si="162"/>
        <v>0</v>
      </c>
      <c r="Z1010" s="439">
        <f t="shared" si="163"/>
        <v>0</v>
      </c>
    </row>
    <row r="1011" spans="1:26">
      <c r="A1011" s="453">
        <f t="shared" si="159"/>
        <v>4.01</v>
      </c>
      <c r="B1011" s="383">
        <v>30</v>
      </c>
      <c r="D1011" s="406"/>
      <c r="E1011" s="407"/>
      <c r="F1011" s="407"/>
      <c r="G1011" s="407"/>
      <c r="H1011" s="407"/>
      <c r="I1011" s="407"/>
      <c r="J1011" s="408" t="s">
        <v>441</v>
      </c>
      <c r="K1011" s="409" t="str">
        <f t="shared" si="154"/>
        <v>M=(Largo) x Cant</v>
      </c>
      <c r="L1011" s="410" t="str">
        <f t="shared" si="165"/>
        <v>M</v>
      </c>
      <c r="M1011" s="411"/>
      <c r="N1011" s="412"/>
      <c r="O1011" s="442"/>
      <c r="P1011" s="442"/>
      <c r="Q1011" s="413"/>
      <c r="R1011" s="411"/>
      <c r="S1011" s="413"/>
      <c r="T1011" s="414">
        <f>+HLOOKUP(B937,[238]Hoja1!$2:$78,39,FALSE)</f>
        <v>0</v>
      </c>
      <c r="V1011" s="453">
        <f t="shared" si="158"/>
        <v>0</v>
      </c>
      <c r="Y1011" s="439">
        <f t="shared" si="162"/>
        <v>0</v>
      </c>
      <c r="Z1011" s="439">
        <f t="shared" si="163"/>
        <v>0</v>
      </c>
    </row>
    <row r="1012" spans="1:26">
      <c r="A1012" s="453">
        <f t="shared" si="159"/>
        <v>4.01</v>
      </c>
      <c r="B1012" s="383">
        <v>31</v>
      </c>
      <c r="D1012" s="406"/>
      <c r="E1012" s="407"/>
      <c r="F1012" s="407"/>
      <c r="G1012" s="407"/>
      <c r="H1012" s="407"/>
      <c r="I1012" s="407"/>
      <c r="J1012" s="408" t="s">
        <v>442</v>
      </c>
      <c r="K1012" s="409" t="str">
        <f t="shared" si="154"/>
        <v>M=(Largo) x Cant</v>
      </c>
      <c r="L1012" s="410" t="str">
        <f t="shared" si="165"/>
        <v>M</v>
      </c>
      <c r="M1012" s="411"/>
      <c r="N1012" s="412"/>
      <c r="O1012" s="442"/>
      <c r="P1012" s="442"/>
      <c r="Q1012" s="413"/>
      <c r="R1012" s="411"/>
      <c r="S1012" s="413"/>
      <c r="T1012" s="414">
        <f>+HLOOKUP(B938,[238]Hoja1!$2:$78,39,FALSE)</f>
        <v>0</v>
      </c>
      <c r="V1012" s="453">
        <f t="shared" si="158"/>
        <v>0</v>
      </c>
      <c r="Y1012" s="439">
        <f t="shared" si="162"/>
        <v>0</v>
      </c>
      <c r="Z1012" s="439">
        <f t="shared" si="163"/>
        <v>0</v>
      </c>
    </row>
    <row r="1013" spans="1:26">
      <c r="A1013" s="453">
        <f t="shared" si="159"/>
        <v>4.01</v>
      </c>
      <c r="B1013" s="383">
        <v>32</v>
      </c>
      <c r="D1013" s="406"/>
      <c r="E1013" s="407"/>
      <c r="F1013" s="407"/>
      <c r="G1013" s="407"/>
      <c r="H1013" s="407"/>
      <c r="I1013" s="407"/>
      <c r="J1013" s="408" t="s">
        <v>443</v>
      </c>
      <c r="K1013" s="409" t="str">
        <f t="shared" si="154"/>
        <v>M=(Largo) x Cant</v>
      </c>
      <c r="L1013" s="410" t="str">
        <f t="shared" si="165"/>
        <v>M</v>
      </c>
      <c r="M1013" s="411"/>
      <c r="N1013" s="412"/>
      <c r="O1013" s="442"/>
      <c r="P1013" s="442">
        <f t="shared" si="157"/>
        <v>5</v>
      </c>
      <c r="Q1013" s="413"/>
      <c r="R1013" s="411"/>
      <c r="S1013" s="413">
        <v>1</v>
      </c>
      <c r="T1013" s="414">
        <f>+HLOOKUP(B939,[238]Hoja1!$2:$78,39,FALSE)</f>
        <v>5</v>
      </c>
      <c r="V1013" s="453">
        <f t="shared" si="158"/>
        <v>5</v>
      </c>
      <c r="Y1013" s="439">
        <f t="shared" si="162"/>
        <v>0</v>
      </c>
      <c r="Z1013" s="439">
        <f t="shared" si="163"/>
        <v>0</v>
      </c>
    </row>
    <row r="1014" spans="1:26">
      <c r="A1014" s="453">
        <f t="shared" si="159"/>
        <v>4.01</v>
      </c>
      <c r="B1014" s="383">
        <v>33</v>
      </c>
      <c r="D1014" s="406"/>
      <c r="E1014" s="407"/>
      <c r="F1014" s="407"/>
      <c r="G1014" s="407"/>
      <c r="H1014" s="407"/>
      <c r="I1014" s="407"/>
      <c r="J1014" s="408" t="s">
        <v>444</v>
      </c>
      <c r="K1014" s="409" t="str">
        <f t="shared" si="154"/>
        <v>M=(Largo) x Cant</v>
      </c>
      <c r="L1014" s="410" t="str">
        <f t="shared" si="165"/>
        <v>M</v>
      </c>
      <c r="M1014" s="411"/>
      <c r="N1014" s="412"/>
      <c r="O1014" s="442"/>
      <c r="P1014" s="442"/>
      <c r="Q1014" s="412"/>
      <c r="R1014" s="411"/>
      <c r="S1014" s="413"/>
      <c r="T1014" s="414">
        <f>+HLOOKUP(B940,[238]Hoja1!$2:$78,39,FALSE)</f>
        <v>0</v>
      </c>
      <c r="V1014" s="453">
        <f t="shared" si="158"/>
        <v>0</v>
      </c>
      <c r="Y1014" s="439">
        <f t="shared" si="162"/>
        <v>0</v>
      </c>
      <c r="Z1014" s="439">
        <f t="shared" si="163"/>
        <v>0</v>
      </c>
    </row>
    <row r="1015" spans="1:26">
      <c r="A1015" s="453">
        <f t="shared" si="159"/>
        <v>4.01</v>
      </c>
      <c r="B1015" s="383">
        <v>34</v>
      </c>
      <c r="D1015" s="406"/>
      <c r="E1015" s="407"/>
      <c r="F1015" s="407"/>
      <c r="G1015" s="407"/>
      <c r="H1015" s="407"/>
      <c r="I1015" s="407"/>
      <c r="J1015" s="408" t="s">
        <v>445</v>
      </c>
      <c r="K1015" s="409" t="str">
        <f t="shared" si="154"/>
        <v>M=(Largo) x Cant</v>
      </c>
      <c r="L1015" s="410" t="str">
        <f t="shared" si="165"/>
        <v>M</v>
      </c>
      <c r="M1015" s="411"/>
      <c r="N1015" s="412"/>
      <c r="O1015" s="441"/>
      <c r="P1015" s="442"/>
      <c r="Q1015" s="412"/>
      <c r="R1015" s="411"/>
      <c r="S1015" s="413"/>
      <c r="T1015" s="414">
        <f>+HLOOKUP(B941,[238]Hoja1!$2:$78,39,FALSE)</f>
        <v>0</v>
      </c>
      <c r="V1015" s="453">
        <f t="shared" si="158"/>
        <v>0</v>
      </c>
      <c r="Y1015" s="439">
        <f t="shared" si="162"/>
        <v>0</v>
      </c>
      <c r="Z1015" s="439">
        <f t="shared" si="163"/>
        <v>0</v>
      </c>
    </row>
    <row r="1016" spans="1:26">
      <c r="A1016" s="453">
        <f t="shared" si="159"/>
        <v>4.01</v>
      </c>
      <c r="B1016" s="383">
        <v>35</v>
      </c>
      <c r="D1016" s="406"/>
      <c r="E1016" s="440"/>
      <c r="F1016" s="407"/>
      <c r="G1016" s="407"/>
      <c r="H1016" s="407"/>
      <c r="I1016" s="437"/>
      <c r="J1016" s="408" t="s">
        <v>446</v>
      </c>
      <c r="K1016" s="409" t="str">
        <f t="shared" si="154"/>
        <v>M=(Largo) x Cant</v>
      </c>
      <c r="L1016" s="410" t="str">
        <f t="shared" si="165"/>
        <v>M</v>
      </c>
      <c r="M1016" s="411"/>
      <c r="N1016" s="412"/>
      <c r="O1016" s="442"/>
      <c r="P1016" s="442"/>
      <c r="Q1016" s="413"/>
      <c r="R1016" s="411"/>
      <c r="S1016" s="413"/>
      <c r="T1016" s="414">
        <f>+HLOOKUP(B942,[238]Hoja1!$2:$78,39,FALSE)</f>
        <v>0</v>
      </c>
      <c r="V1016" s="453">
        <f t="shared" si="158"/>
        <v>0</v>
      </c>
      <c r="Y1016" s="439">
        <f t="shared" si="162"/>
        <v>0</v>
      </c>
      <c r="Z1016" s="439">
        <f t="shared" si="163"/>
        <v>0</v>
      </c>
    </row>
    <row r="1017" spans="1:26">
      <c r="A1017" s="453">
        <f t="shared" si="159"/>
        <v>4.01</v>
      </c>
      <c r="B1017" s="383">
        <v>36</v>
      </c>
      <c r="D1017" s="406"/>
      <c r="E1017" s="407"/>
      <c r="F1017" s="407"/>
      <c r="G1017" s="407"/>
      <c r="H1017" s="407"/>
      <c r="I1017" s="407"/>
      <c r="J1017" s="408" t="s">
        <v>447</v>
      </c>
      <c r="K1017" s="409" t="str">
        <f t="shared" si="154"/>
        <v>M=(Largo) x Cant</v>
      </c>
      <c r="L1017" s="410" t="str">
        <f>+L1006</f>
        <v>M</v>
      </c>
      <c r="M1017" s="411"/>
      <c r="N1017" s="412"/>
      <c r="O1017" s="442"/>
      <c r="P1017" s="442">
        <f t="shared" si="157"/>
        <v>5</v>
      </c>
      <c r="Q1017" s="449"/>
      <c r="R1017" s="411"/>
      <c r="S1017" s="413">
        <v>1</v>
      </c>
      <c r="T1017" s="414">
        <f>+HLOOKUP(B943,[238]Hoja1!$2:$78,39,FALSE)</f>
        <v>5</v>
      </c>
      <c r="V1017" s="453">
        <f t="shared" si="158"/>
        <v>5</v>
      </c>
      <c r="Y1017" s="439">
        <f t="shared" si="162"/>
        <v>0</v>
      </c>
      <c r="Z1017" s="439">
        <f t="shared" si="163"/>
        <v>0</v>
      </c>
    </row>
    <row r="1018" spans="1:26">
      <c r="A1018" s="453">
        <f t="shared" si="159"/>
        <v>4.01</v>
      </c>
      <c r="B1018" s="383">
        <v>37</v>
      </c>
      <c r="D1018" s="406"/>
      <c r="E1018" s="407"/>
      <c r="F1018" s="407"/>
      <c r="G1018" s="407"/>
      <c r="H1018" s="407"/>
      <c r="I1018" s="407"/>
      <c r="J1018" s="408" t="s">
        <v>448</v>
      </c>
      <c r="K1018" s="409" t="str">
        <f t="shared" si="154"/>
        <v>M=(Largo) x Cant</v>
      </c>
      <c r="L1018" s="410" t="str">
        <f t="shared" ref="L1018:L1024" si="166">+L1017</f>
        <v>M</v>
      </c>
      <c r="M1018" s="411"/>
      <c r="N1018" s="412"/>
      <c r="O1018" s="441"/>
      <c r="P1018" s="442"/>
      <c r="Q1018" s="449"/>
      <c r="R1018" s="411"/>
      <c r="S1018" s="413"/>
      <c r="T1018" s="414">
        <f>+HLOOKUP(B944,[238]Hoja1!$2:$78,39,FALSE)</f>
        <v>0</v>
      </c>
      <c r="V1018" s="453">
        <f t="shared" si="158"/>
        <v>0</v>
      </c>
      <c r="Y1018" s="439">
        <f t="shared" si="162"/>
        <v>0</v>
      </c>
      <c r="Z1018" s="439">
        <f t="shared" si="163"/>
        <v>0</v>
      </c>
    </row>
    <row r="1019" spans="1:26">
      <c r="A1019" s="453">
        <f t="shared" si="159"/>
        <v>4.01</v>
      </c>
      <c r="B1019" s="383">
        <v>38</v>
      </c>
      <c r="D1019" s="406"/>
      <c r="E1019" s="440"/>
      <c r="F1019" s="407"/>
      <c r="G1019" s="407"/>
      <c r="H1019" s="407"/>
      <c r="I1019" s="437"/>
      <c r="J1019" s="408" t="s">
        <v>449</v>
      </c>
      <c r="K1019" s="409" t="str">
        <f t="shared" si="154"/>
        <v>M=(Largo) x Cant</v>
      </c>
      <c r="L1019" s="410" t="str">
        <f t="shared" si="166"/>
        <v>M</v>
      </c>
      <c r="M1019" s="411"/>
      <c r="N1019" s="412"/>
      <c r="O1019" s="442"/>
      <c r="P1019" s="442"/>
      <c r="Q1019" s="413"/>
      <c r="R1019" s="411"/>
      <c r="S1019" s="413"/>
      <c r="T1019" s="414">
        <f>+HLOOKUP(B945,[238]Hoja1!$2:$78,39,FALSE)</f>
        <v>0</v>
      </c>
      <c r="V1019" s="453">
        <f t="shared" si="158"/>
        <v>0</v>
      </c>
      <c r="Y1019" s="439">
        <f t="shared" si="162"/>
        <v>0</v>
      </c>
      <c r="Z1019" s="439">
        <f t="shared" si="163"/>
        <v>0</v>
      </c>
    </row>
    <row r="1020" spans="1:26">
      <c r="A1020" s="453">
        <f t="shared" si="159"/>
        <v>4.01</v>
      </c>
      <c r="B1020" s="383">
        <v>39</v>
      </c>
      <c r="D1020" s="406"/>
      <c r="E1020" s="407"/>
      <c r="F1020" s="407"/>
      <c r="G1020" s="407"/>
      <c r="H1020" s="407"/>
      <c r="I1020" s="407"/>
      <c r="J1020" s="408" t="s">
        <v>450</v>
      </c>
      <c r="K1020" s="409" t="str">
        <f t="shared" si="154"/>
        <v>M=(Largo) x Cant</v>
      </c>
      <c r="L1020" s="410" t="str">
        <f t="shared" si="166"/>
        <v>M</v>
      </c>
      <c r="M1020" s="411"/>
      <c r="N1020" s="412"/>
      <c r="O1020" s="441"/>
      <c r="P1020" s="442"/>
      <c r="Q1020" s="412"/>
      <c r="R1020" s="411"/>
      <c r="S1020" s="413"/>
      <c r="T1020" s="414">
        <f>+HLOOKUP(B946,[238]Hoja1!$2:$78,39,FALSE)</f>
        <v>0</v>
      </c>
      <c r="V1020" s="453">
        <f t="shared" si="158"/>
        <v>0</v>
      </c>
      <c r="Y1020" s="439">
        <f t="shared" si="162"/>
        <v>0</v>
      </c>
      <c r="Z1020" s="439">
        <f t="shared" si="163"/>
        <v>0</v>
      </c>
    </row>
    <row r="1021" spans="1:26">
      <c r="A1021" s="453">
        <f t="shared" si="159"/>
        <v>4.01</v>
      </c>
      <c r="B1021" s="383">
        <v>40</v>
      </c>
      <c r="D1021" s="406"/>
      <c r="E1021" s="407"/>
      <c r="F1021" s="407"/>
      <c r="G1021" s="407"/>
      <c r="H1021" s="407"/>
      <c r="I1021" s="407"/>
      <c r="J1021" s="408" t="s">
        <v>451</v>
      </c>
      <c r="K1021" s="409" t="str">
        <f t="shared" si="154"/>
        <v>M=(Largo) x Cant</v>
      </c>
      <c r="L1021" s="410" t="str">
        <f t="shared" si="166"/>
        <v>M</v>
      </c>
      <c r="M1021" s="411"/>
      <c r="N1021" s="412"/>
      <c r="O1021" s="442"/>
      <c r="P1021" s="442">
        <f t="shared" si="157"/>
        <v>5</v>
      </c>
      <c r="Q1021" s="413"/>
      <c r="R1021" s="411"/>
      <c r="S1021" s="413">
        <v>1</v>
      </c>
      <c r="T1021" s="414">
        <f>+HLOOKUP(B947,[238]Hoja1!$2:$78,39,FALSE)</f>
        <v>5</v>
      </c>
      <c r="V1021" s="453">
        <f t="shared" si="158"/>
        <v>5</v>
      </c>
      <c r="Y1021" s="439">
        <f t="shared" si="162"/>
        <v>0</v>
      </c>
      <c r="Z1021" s="439">
        <f t="shared" si="163"/>
        <v>0</v>
      </c>
    </row>
    <row r="1022" spans="1:26">
      <c r="A1022" s="453">
        <f t="shared" si="159"/>
        <v>4.01</v>
      </c>
      <c r="B1022" s="383">
        <v>41</v>
      </c>
      <c r="D1022" s="406"/>
      <c r="E1022" s="407"/>
      <c r="F1022" s="407"/>
      <c r="G1022" s="407"/>
      <c r="H1022" s="407"/>
      <c r="I1022" s="407"/>
      <c r="J1022" s="408" t="s">
        <v>452</v>
      </c>
      <c r="K1022" s="409" t="str">
        <f t="shared" si="154"/>
        <v>M=(Largo) x Cant</v>
      </c>
      <c r="L1022" s="410" t="str">
        <f t="shared" si="166"/>
        <v>M</v>
      </c>
      <c r="M1022" s="411"/>
      <c r="N1022" s="412"/>
      <c r="O1022" s="442"/>
      <c r="P1022" s="442">
        <f t="shared" si="157"/>
        <v>6</v>
      </c>
      <c r="Q1022" s="413"/>
      <c r="R1022" s="411"/>
      <c r="S1022" s="413">
        <v>1</v>
      </c>
      <c r="T1022" s="414">
        <f>+HLOOKUP(B948,[238]Hoja1!$2:$78,39,FALSE)</f>
        <v>6</v>
      </c>
      <c r="V1022" s="453">
        <f t="shared" si="158"/>
        <v>6</v>
      </c>
      <c r="Y1022" s="439">
        <f t="shared" si="162"/>
        <v>0</v>
      </c>
      <c r="Z1022" s="439">
        <f t="shared" si="163"/>
        <v>0</v>
      </c>
    </row>
    <row r="1023" spans="1:26">
      <c r="A1023" s="453">
        <f t="shared" si="159"/>
        <v>4.01</v>
      </c>
      <c r="B1023" s="383">
        <v>42</v>
      </c>
      <c r="D1023" s="406"/>
      <c r="E1023" s="407"/>
      <c r="F1023" s="407"/>
      <c r="G1023" s="407"/>
      <c r="H1023" s="407"/>
      <c r="I1023" s="407"/>
      <c r="J1023" s="408" t="s">
        <v>453</v>
      </c>
      <c r="K1023" s="409" t="str">
        <f t="shared" si="154"/>
        <v>M=(Largo) x Cant</v>
      </c>
      <c r="L1023" s="410" t="str">
        <f t="shared" si="166"/>
        <v>M</v>
      </c>
      <c r="M1023" s="411"/>
      <c r="N1023" s="412"/>
      <c r="O1023" s="442"/>
      <c r="P1023" s="442"/>
      <c r="Q1023" s="412"/>
      <c r="R1023" s="411"/>
      <c r="S1023" s="413"/>
      <c r="T1023" s="414">
        <f>+HLOOKUP(B949,[238]Hoja1!$2:$78,39,FALSE)</f>
        <v>0</v>
      </c>
      <c r="V1023" s="453">
        <f t="shared" si="158"/>
        <v>0</v>
      </c>
      <c r="Y1023" s="439">
        <f t="shared" si="162"/>
        <v>0</v>
      </c>
      <c r="Z1023" s="439">
        <f t="shared" si="163"/>
        <v>0</v>
      </c>
    </row>
    <row r="1024" spans="1:26" ht="13.5" thickBot="1">
      <c r="A1024" s="453">
        <f t="shared" si="159"/>
        <v>4.01</v>
      </c>
      <c r="B1024" s="383">
        <v>43</v>
      </c>
      <c r="D1024" s="406"/>
      <c r="E1024" s="407"/>
      <c r="F1024" s="407"/>
      <c r="G1024" s="407"/>
      <c r="H1024" s="407"/>
      <c r="I1024" s="407"/>
      <c r="J1024" s="408" t="s">
        <v>454</v>
      </c>
      <c r="K1024" s="409" t="str">
        <f t="shared" si="154"/>
        <v>M=(Largo) x Cant</v>
      </c>
      <c r="L1024" s="410" t="str">
        <f t="shared" si="166"/>
        <v>M</v>
      </c>
      <c r="M1024" s="411"/>
      <c r="N1024" s="412"/>
      <c r="O1024" s="442"/>
      <c r="P1024" s="442"/>
      <c r="Q1024" s="412"/>
      <c r="R1024" s="411"/>
      <c r="S1024" s="413"/>
      <c r="T1024" s="414">
        <f>+HLOOKUP(B950,[238]Hoja1!$2:$78,39,FALSE)</f>
        <v>0</v>
      </c>
      <c r="V1024" s="453">
        <f t="shared" si="158"/>
        <v>0</v>
      </c>
      <c r="Y1024" s="439">
        <f t="shared" si="162"/>
        <v>0</v>
      </c>
      <c r="Z1024" s="439">
        <f t="shared" si="163"/>
        <v>0</v>
      </c>
    </row>
    <row r="1025" spans="4:20">
      <c r="D1025" s="384"/>
      <c r="E1025" s="419"/>
      <c r="F1025" s="420"/>
      <c r="G1025" s="421"/>
      <c r="H1025" s="421"/>
      <c r="I1025" s="421"/>
      <c r="J1025" s="421"/>
      <c r="K1025" s="422"/>
      <c r="L1025" s="421"/>
      <c r="M1025" s="421"/>
      <c r="N1025" s="421"/>
      <c r="O1025" s="421"/>
      <c r="P1025" s="421"/>
      <c r="Q1025" s="421"/>
      <c r="R1025" s="421"/>
      <c r="S1025" s="422"/>
      <c r="T1025" s="423"/>
    </row>
    <row r="1026" spans="4:20">
      <c r="D1026" s="396"/>
      <c r="E1026" s="397"/>
      <c r="F1026" s="424"/>
      <c r="G1026" s="425"/>
      <c r="H1026" s="425"/>
      <c r="I1026" s="425"/>
      <c r="J1026" s="425"/>
      <c r="K1026" s="398"/>
      <c r="L1026" s="425"/>
      <c r="M1026" s="425"/>
      <c r="N1026" s="397"/>
      <c r="O1026" s="397"/>
      <c r="P1026" s="562" t="s">
        <v>455</v>
      </c>
      <c r="Q1026" s="563"/>
      <c r="R1026" s="564"/>
      <c r="S1026" s="426"/>
      <c r="T1026" s="427">
        <f>ROUND(SUM(T982:T1025),2)</f>
        <v>128</v>
      </c>
    </row>
    <row r="1027" spans="4:20">
      <c r="D1027" s="396"/>
      <c r="E1027" s="397"/>
      <c r="F1027" s="424"/>
      <c r="G1027" s="425"/>
      <c r="H1027" s="425"/>
      <c r="I1027" s="425"/>
      <c r="J1027" s="425"/>
      <c r="K1027" s="398"/>
      <c r="L1027" s="425"/>
      <c r="M1027" s="425"/>
      <c r="N1027" s="428"/>
      <c r="O1027" s="428"/>
      <c r="P1027" s="429"/>
      <c r="Q1027" s="425"/>
      <c r="R1027" s="425"/>
      <c r="S1027" s="430"/>
      <c r="T1027" s="431"/>
    </row>
    <row r="1028" spans="4:20">
      <c r="D1028" s="565" t="e">
        <v>#REF!</v>
      </c>
      <c r="E1028" s="566"/>
      <c r="F1028" s="566"/>
      <c r="G1028" s="566"/>
      <c r="H1028" s="566"/>
      <c r="I1028" s="566"/>
      <c r="J1028" s="566"/>
      <c r="K1028" s="566"/>
      <c r="L1028" s="566"/>
      <c r="M1028" s="566"/>
      <c r="N1028" s="566"/>
      <c r="O1028" s="567"/>
      <c r="P1028" s="568" t="s">
        <v>422</v>
      </c>
      <c r="Q1028" s="568"/>
      <c r="R1028" s="568"/>
      <c r="S1028" s="426"/>
      <c r="T1028" s="427">
        <f>T1026</f>
        <v>128</v>
      </c>
    </row>
    <row r="1029" spans="4:20">
      <c r="D1029" s="396"/>
      <c r="E1029" s="397"/>
      <c r="F1029" s="424"/>
      <c r="G1029" s="425"/>
      <c r="H1029" s="425"/>
      <c r="I1029" s="425"/>
      <c r="J1029" s="425"/>
      <c r="K1029" s="398"/>
      <c r="L1029" s="425"/>
      <c r="M1029" s="425"/>
      <c r="N1029" s="428"/>
      <c r="O1029" s="428"/>
      <c r="P1029" s="429"/>
      <c r="Q1029" s="425"/>
      <c r="R1029" s="398"/>
      <c r="S1029" s="398"/>
      <c r="T1029" s="432"/>
    </row>
    <row r="1030" spans="4:20">
      <c r="D1030" s="396"/>
      <c r="E1030" s="397"/>
      <c r="F1030" s="424"/>
      <c r="G1030" s="425"/>
      <c r="H1030" s="425"/>
      <c r="I1030" s="425"/>
      <c r="J1030" s="425"/>
      <c r="K1030" s="398"/>
      <c r="L1030" s="425"/>
      <c r="M1030" s="425"/>
      <c r="N1030" s="428"/>
      <c r="O1030" s="428"/>
      <c r="P1030" s="429"/>
      <c r="Q1030" s="425"/>
      <c r="R1030" s="398"/>
      <c r="S1030" s="398"/>
      <c r="T1030" s="432"/>
    </row>
    <row r="1031" spans="4:20">
      <c r="D1031" s="569" t="s">
        <v>423</v>
      </c>
      <c r="E1031" s="570"/>
      <c r="F1031" s="570"/>
      <c r="G1031" s="570"/>
      <c r="H1031" s="570"/>
      <c r="I1031" s="570"/>
      <c r="J1031" s="570"/>
      <c r="K1031" s="571"/>
      <c r="L1031" s="433" t="s">
        <v>424</v>
      </c>
      <c r="M1031" s="434"/>
      <c r="N1031" s="434"/>
      <c r="O1031" s="434"/>
      <c r="P1031" s="434"/>
      <c r="Q1031" s="434"/>
      <c r="R1031" s="434"/>
      <c r="S1031" s="434"/>
      <c r="T1031" s="435"/>
    </row>
    <row r="1032" spans="4:20">
      <c r="D1032" s="542"/>
      <c r="E1032" s="543"/>
      <c r="F1032" s="543"/>
      <c r="G1032" s="543"/>
      <c r="H1032" s="436"/>
      <c r="I1032" s="436"/>
      <c r="J1032" s="436"/>
      <c r="K1032" s="447"/>
      <c r="L1032" s="436"/>
      <c r="M1032" s="407"/>
      <c r="N1032" s="407"/>
      <c r="O1032" s="407"/>
      <c r="P1032" s="407"/>
      <c r="Q1032" s="407"/>
      <c r="R1032" s="407"/>
      <c r="S1032" s="407"/>
      <c r="T1032" s="437"/>
    </row>
    <row r="1033" spans="4:20">
      <c r="D1033" s="542"/>
      <c r="E1033" s="543"/>
      <c r="F1033" s="543"/>
      <c r="G1033" s="543"/>
      <c r="H1033" s="436"/>
      <c r="I1033" s="436"/>
      <c r="J1033" s="436"/>
      <c r="K1033" s="447"/>
      <c r="L1033" s="436"/>
      <c r="M1033" s="407"/>
      <c r="N1033" s="407"/>
      <c r="O1033" s="407"/>
      <c r="P1033" s="407"/>
      <c r="Q1033" s="407"/>
      <c r="R1033" s="407"/>
      <c r="S1033" s="407"/>
      <c r="T1033" s="437"/>
    </row>
    <row r="1034" spans="4:20">
      <c r="D1034" s="542" t="s">
        <v>425</v>
      </c>
      <c r="E1034" s="543"/>
      <c r="F1034" s="543" t="s">
        <v>425</v>
      </c>
      <c r="G1034" s="543"/>
      <c r="H1034" s="543" t="s">
        <v>425</v>
      </c>
      <c r="I1034" s="543"/>
      <c r="J1034" s="543" t="s">
        <v>425</v>
      </c>
      <c r="K1034" s="544"/>
      <c r="L1034" s="545" t="s">
        <v>426</v>
      </c>
      <c r="M1034" s="546"/>
      <c r="N1034" s="546"/>
      <c r="O1034" s="546"/>
      <c r="P1034" s="546"/>
      <c r="Q1034" s="546"/>
      <c r="R1034" s="546"/>
      <c r="S1034" s="546"/>
      <c r="T1034" s="547"/>
    </row>
    <row r="1035" spans="4:20">
      <c r="D1035" s="548" t="str">
        <f>+[42]DATOS!D$8</f>
        <v>HELMER EDUARDO BECERRA SANTANDER</v>
      </c>
      <c r="E1035" s="549"/>
      <c r="F1035" s="549" t="s">
        <v>427</v>
      </c>
      <c r="G1035" s="549"/>
      <c r="H1035" s="549" t="s">
        <v>427</v>
      </c>
      <c r="I1035" s="549"/>
      <c r="J1035" s="549" t="s">
        <v>427</v>
      </c>
      <c r="K1035" s="550"/>
      <c r="L1035" s="551" t="str">
        <f>+[42]DATOS!D$11</f>
        <v>JESUS IVAN QUIÑONES RUEDA</v>
      </c>
      <c r="M1035" s="549"/>
      <c r="N1035" s="549"/>
      <c r="O1035" s="549"/>
      <c r="P1035" s="549"/>
      <c r="Q1035" s="549"/>
      <c r="R1035" s="549"/>
      <c r="S1035" s="549"/>
      <c r="T1035" s="552"/>
    </row>
    <row r="1036" spans="4:20">
      <c r="D1036" s="553" t="str">
        <f>+$D$72</f>
        <v>APOYO SEC. DE PLANEACION Y OBRAS PÚBLICAS</v>
      </c>
      <c r="E1036" s="554"/>
      <c r="F1036" s="554" t="s">
        <v>428</v>
      </c>
      <c r="G1036" s="554"/>
      <c r="H1036" s="554" t="s">
        <v>428</v>
      </c>
      <c r="I1036" s="554"/>
      <c r="J1036" s="554" t="s">
        <v>428</v>
      </c>
      <c r="K1036" s="555"/>
      <c r="L1036" s="556" t="str">
        <f>+$L$72</f>
        <v>SECRETARIO DE PLANEACION Y OBRAS PÚBLICAS</v>
      </c>
      <c r="M1036" s="554"/>
      <c r="N1036" s="554"/>
      <c r="O1036" s="554"/>
      <c r="P1036" s="554"/>
      <c r="Q1036" s="554"/>
      <c r="R1036" s="554"/>
      <c r="S1036" s="554"/>
      <c r="T1036" s="557"/>
    </row>
    <row r="1037" spans="4:20">
      <c r="D1037" s="406"/>
      <c r="E1037" s="407"/>
      <c r="F1037" s="407"/>
      <c r="G1037" s="407"/>
      <c r="H1037" s="407"/>
      <c r="I1037" s="407"/>
      <c r="J1037" s="407"/>
      <c r="K1037" s="407"/>
      <c r="L1037" s="407"/>
      <c r="M1037" s="407"/>
      <c r="N1037" s="407"/>
      <c r="O1037" s="407"/>
      <c r="P1037" s="407"/>
      <c r="Q1037" s="407"/>
      <c r="R1037" s="407"/>
      <c r="S1037" s="407"/>
      <c r="T1037" s="437"/>
    </row>
    <row r="1038" spans="4:20" ht="111" customHeight="1" thickBot="1">
      <c r="D1038" s="417"/>
      <c r="E1038" s="418"/>
      <c r="F1038" s="418"/>
      <c r="G1038" s="418"/>
      <c r="H1038" s="418"/>
      <c r="I1038" s="418"/>
      <c r="J1038" s="418"/>
      <c r="K1038" s="418"/>
      <c r="L1038" s="418"/>
      <c r="M1038" s="418"/>
      <c r="N1038" s="418"/>
      <c r="O1038" s="418"/>
      <c r="P1038" s="418"/>
      <c r="Q1038" s="418"/>
      <c r="R1038" s="418"/>
      <c r="S1038" s="418"/>
      <c r="T1038" s="438"/>
    </row>
    <row r="1039" spans="4:20" ht="14.25" customHeight="1"/>
    <row r="1040" spans="4:20" ht="13.5" thickBot="1"/>
    <row r="1041" spans="1:26">
      <c r="D1041" s="384"/>
      <c r="E1041" s="385"/>
      <c r="F1041" s="385"/>
      <c r="G1041" s="385"/>
      <c r="H1041" s="385"/>
      <c r="I1041" s="385"/>
      <c r="J1041" s="385"/>
      <c r="K1041" s="445"/>
      <c r="L1041" s="385"/>
      <c r="M1041" s="385"/>
      <c r="N1041" s="385"/>
      <c r="O1041" s="385"/>
      <c r="P1041" s="385"/>
      <c r="Q1041" s="385"/>
      <c r="R1041" s="385"/>
      <c r="S1041" s="385"/>
      <c r="T1041" s="386"/>
    </row>
    <row r="1042" spans="1:26" ht="121.5" customHeight="1" thickBot="1">
      <c r="D1042" s="387"/>
      <c r="E1042" s="388"/>
      <c r="F1042" s="388"/>
      <c r="G1042" s="388"/>
      <c r="H1042" s="388"/>
      <c r="I1042" s="388"/>
      <c r="J1042" s="388"/>
      <c r="K1042" s="446"/>
      <c r="L1042" s="388"/>
      <c r="M1042" s="388"/>
      <c r="N1042" s="388"/>
      <c r="O1042" s="388"/>
      <c r="P1042" s="388"/>
      <c r="Q1042" s="388"/>
      <c r="R1042" s="388"/>
      <c r="S1042" s="388"/>
      <c r="T1042" s="389"/>
    </row>
    <row r="1043" spans="1:26">
      <c r="D1043" s="592" t="str">
        <f>+[42]DATOS!C$7</f>
        <v>MEJORAMIENTO DE VIVIENDA CON ENFOQUE DIFERENCIAL PARA POBLACIÓN VULNERABLE EN EL MUNICIPIO DE CUBARÁ, BOYACÁ (2026).</v>
      </c>
      <c r="E1043" s="593"/>
      <c r="F1043" s="593"/>
      <c r="G1043" s="593"/>
      <c r="H1043" s="593"/>
      <c r="I1043" s="593"/>
      <c r="J1043" s="593"/>
      <c r="K1043" s="593"/>
      <c r="L1043" s="593"/>
      <c r="M1043" s="593"/>
      <c r="N1043" s="593"/>
      <c r="O1043" s="593"/>
      <c r="P1043" s="593"/>
      <c r="Q1043" s="593"/>
      <c r="R1043" s="593"/>
      <c r="S1043" s="593"/>
      <c r="T1043" s="594"/>
    </row>
    <row r="1044" spans="1:26">
      <c r="D1044" s="595"/>
      <c r="E1044" s="596"/>
      <c r="F1044" s="596"/>
      <c r="G1044" s="596"/>
      <c r="H1044" s="596"/>
      <c r="I1044" s="596"/>
      <c r="J1044" s="596"/>
      <c r="K1044" s="596"/>
      <c r="L1044" s="596"/>
      <c r="M1044" s="596"/>
      <c r="N1044" s="596"/>
      <c r="O1044" s="596"/>
      <c r="P1044" s="596"/>
      <c r="Q1044" s="596"/>
      <c r="R1044" s="596"/>
      <c r="S1044" s="596"/>
      <c r="T1044" s="597"/>
    </row>
    <row r="1045" spans="1:26">
      <c r="D1045" s="598" t="s">
        <v>371</v>
      </c>
      <c r="E1045" s="599"/>
      <c r="F1045" s="599"/>
      <c r="G1045" s="599"/>
      <c r="H1045" s="599"/>
      <c r="I1045" s="599"/>
      <c r="J1045" s="599"/>
      <c r="K1045" s="599"/>
      <c r="L1045" s="599"/>
      <c r="M1045" s="599"/>
      <c r="N1045" s="599"/>
      <c r="O1045" s="599"/>
      <c r="P1045" s="599"/>
      <c r="Q1045" s="599"/>
      <c r="R1045" s="599"/>
      <c r="S1045" s="599"/>
      <c r="T1045" s="600"/>
    </row>
    <row r="1046" spans="1:26">
      <c r="D1046" s="586" t="s">
        <v>372</v>
      </c>
      <c r="E1046" s="587"/>
      <c r="F1046" s="601" t="s">
        <v>373</v>
      </c>
      <c r="G1046" s="601"/>
      <c r="H1046" s="601"/>
      <c r="I1046" s="601"/>
      <c r="J1046" s="601"/>
      <c r="K1046" s="601"/>
      <c r="L1046" s="601"/>
      <c r="M1046" s="601"/>
      <c r="N1046" s="601"/>
      <c r="O1046" s="601"/>
      <c r="P1046" s="601"/>
      <c r="Q1046" s="601"/>
      <c r="R1046" s="601"/>
      <c r="S1046" s="601"/>
      <c r="T1046" s="602"/>
    </row>
    <row r="1047" spans="1:26">
      <c r="D1047" s="586" t="s">
        <v>374</v>
      </c>
      <c r="E1047" s="587"/>
      <c r="F1047" s="603" t="s">
        <v>375</v>
      </c>
      <c r="G1047" s="604"/>
      <c r="H1047" s="604"/>
      <c r="I1047" s="604"/>
      <c r="J1047" s="604"/>
      <c r="K1047" s="604"/>
      <c r="L1047" s="604"/>
      <c r="M1047" s="604"/>
      <c r="N1047" s="604"/>
      <c r="O1047" s="604"/>
      <c r="P1047" s="604"/>
      <c r="Q1047" s="604"/>
      <c r="R1047" s="604"/>
      <c r="S1047" s="604"/>
      <c r="T1047" s="605"/>
    </row>
    <row r="1048" spans="1:26">
      <c r="D1048" s="586" t="s">
        <v>376</v>
      </c>
      <c r="E1048" s="587"/>
      <c r="F1048" s="390">
        <f>+[42]DATOS!F$5</f>
        <v>46143</v>
      </c>
      <c r="G1048" s="391"/>
      <c r="H1048" s="391"/>
      <c r="I1048" s="391"/>
      <c r="J1048" s="391"/>
      <c r="K1048" s="391"/>
      <c r="L1048" s="568" t="s">
        <v>377</v>
      </c>
      <c r="M1048" s="568"/>
      <c r="N1048" s="588" t="s">
        <v>378</v>
      </c>
      <c r="O1048" s="588"/>
      <c r="P1048" s="588"/>
      <c r="Q1048" s="588"/>
      <c r="R1048" s="588"/>
      <c r="S1048" s="588"/>
      <c r="T1048" s="589"/>
    </row>
    <row r="1049" spans="1:26" ht="25.5">
      <c r="D1049" s="586" t="s">
        <v>379</v>
      </c>
      <c r="E1049" s="587"/>
      <c r="F1049" s="590" t="s">
        <v>380</v>
      </c>
      <c r="G1049" s="591"/>
      <c r="H1049" s="392">
        <f>+[42]DATOS!E$5</f>
        <v>2026</v>
      </c>
      <c r="I1049" s="393" t="s">
        <v>381</v>
      </c>
      <c r="J1049" s="394">
        <f>+[42]DATOS!E$5</f>
        <v>2026</v>
      </c>
      <c r="K1049" s="395"/>
      <c r="L1049" s="568" t="s">
        <v>382</v>
      </c>
      <c r="M1049" s="568"/>
      <c r="N1049" s="588" t="s">
        <v>383</v>
      </c>
      <c r="O1049" s="588"/>
      <c r="P1049" s="588"/>
      <c r="Q1049" s="588"/>
      <c r="R1049" s="588"/>
      <c r="S1049" s="588"/>
      <c r="T1049" s="589"/>
    </row>
    <row r="1050" spans="1:26">
      <c r="D1050" s="396"/>
      <c r="E1050" s="397"/>
      <c r="F1050" s="397"/>
      <c r="G1050" s="398"/>
      <c r="H1050" s="398"/>
      <c r="I1050" s="398"/>
      <c r="J1050" s="398"/>
      <c r="K1050" s="398"/>
      <c r="L1050" s="398"/>
      <c r="M1050" s="398"/>
      <c r="N1050" s="398"/>
      <c r="O1050" s="398"/>
      <c r="P1050" s="398"/>
      <c r="Q1050" s="398"/>
      <c r="R1050" s="398"/>
      <c r="S1050" s="398"/>
      <c r="T1050" s="399"/>
    </row>
    <row r="1051" spans="1:26">
      <c r="D1051" s="572" t="s">
        <v>384</v>
      </c>
      <c r="E1051" s="573"/>
      <c r="F1051" s="573"/>
      <c r="G1051" s="573"/>
      <c r="H1051" s="573"/>
      <c r="I1051" s="573"/>
      <c r="J1051" s="573"/>
      <c r="K1051" s="573"/>
      <c r="L1051" s="573"/>
      <c r="M1051" s="573"/>
      <c r="N1051" s="573"/>
      <c r="O1051" s="573"/>
      <c r="P1051" s="573"/>
      <c r="Q1051" s="573"/>
      <c r="R1051" s="573"/>
      <c r="S1051" s="573"/>
      <c r="T1051" s="574"/>
    </row>
    <row r="1052" spans="1:26">
      <c r="D1052" s="396"/>
      <c r="E1052" s="397"/>
      <c r="F1052" s="397"/>
      <c r="G1052" s="398"/>
      <c r="H1052" s="398"/>
      <c r="I1052" s="398"/>
      <c r="J1052" s="398"/>
      <c r="K1052" s="398"/>
      <c r="L1052" s="398"/>
      <c r="M1052" s="398"/>
      <c r="N1052" s="398"/>
      <c r="O1052" s="398"/>
      <c r="P1052" s="398"/>
      <c r="Q1052" s="398"/>
      <c r="R1052" s="398"/>
      <c r="S1052" s="398"/>
      <c r="T1052" s="399"/>
    </row>
    <row r="1053" spans="1:26">
      <c r="D1053" s="400" t="s">
        <v>385</v>
      </c>
      <c r="E1053" s="575" t="s">
        <v>386</v>
      </c>
      <c r="F1053" s="575"/>
      <c r="G1053" s="576" t="s">
        <v>387</v>
      </c>
      <c r="H1053" s="577"/>
      <c r="I1053" s="577"/>
      <c r="J1053" s="576" t="s">
        <v>388</v>
      </c>
      <c r="K1053" s="576" t="s">
        <v>389</v>
      </c>
      <c r="L1053" s="579"/>
      <c r="M1053" s="581" t="s">
        <v>390</v>
      </c>
      <c r="N1053" s="581"/>
      <c r="O1053" s="581"/>
      <c r="P1053" s="581"/>
      <c r="Q1053" s="581"/>
      <c r="R1053" s="581"/>
      <c r="S1053" s="581" t="s">
        <v>391</v>
      </c>
      <c r="T1053" s="582"/>
    </row>
    <row r="1054" spans="1:26" ht="38.25">
      <c r="D1054" s="403">
        <f>+'PRESUPUESTO OFICIAL '!C51</f>
        <v>4.0199999999999996</v>
      </c>
      <c r="E1054" s="583" t="str">
        <f>+VLOOKUP(D1054,'PRESUPUESTO OFICIAL '!$C$11:$H$103,2)</f>
        <v>SUMINISTRO E INSTALACIÓN DE SALIDA DE AGUA FRÍA EN TUBERÍA PVC DE 1/2" T.P.</v>
      </c>
      <c r="F1054" s="584"/>
      <c r="G1054" s="585" t="str">
        <f>+VLOOKUP(D1054,'PRESUPUESTO OFICIAL '!$C$11:$H$103,3)</f>
        <v>UND</v>
      </c>
      <c r="H1054" s="585"/>
      <c r="I1054" s="585"/>
      <c r="J1054" s="578"/>
      <c r="K1054" s="578"/>
      <c r="L1054" s="580"/>
      <c r="M1054" s="401" t="s">
        <v>392</v>
      </c>
      <c r="N1054" s="401" t="s">
        <v>393</v>
      </c>
      <c r="O1054" s="401" t="s">
        <v>394</v>
      </c>
      <c r="P1054" s="401" t="s">
        <v>395</v>
      </c>
      <c r="Q1054" s="401" t="s">
        <v>396</v>
      </c>
      <c r="R1054" s="401" t="s">
        <v>397</v>
      </c>
      <c r="S1054" s="401" t="s">
        <v>398</v>
      </c>
      <c r="T1054" s="402" t="s">
        <v>399</v>
      </c>
      <c r="V1054" s="404">
        <f>+D1054</f>
        <v>4.0199999999999996</v>
      </c>
      <c r="W1054" s="405">
        <f>+T1102</f>
        <v>37</v>
      </c>
    </row>
    <row r="1055" spans="1:26">
      <c r="D1055" s="406"/>
      <c r="E1055" s="407"/>
      <c r="F1055" s="407"/>
      <c r="G1055" s="407"/>
      <c r="H1055" s="407"/>
      <c r="I1055" s="407"/>
      <c r="J1055" s="558"/>
      <c r="K1055" s="559"/>
      <c r="L1055" s="560"/>
      <c r="M1055" s="560"/>
      <c r="N1055" s="560"/>
      <c r="O1055" s="560"/>
      <c r="P1055" s="560"/>
      <c r="Q1055" s="560"/>
      <c r="R1055" s="560"/>
      <c r="S1055" s="560"/>
      <c r="T1055" s="561"/>
    </row>
    <row r="1056" spans="1:26" ht="25.5">
      <c r="A1056" s="453">
        <f>+D1054</f>
        <v>4.0199999999999996</v>
      </c>
      <c r="B1056" s="383">
        <v>1</v>
      </c>
      <c r="D1056" s="406"/>
      <c r="E1056" s="407"/>
      <c r="F1056" s="407"/>
      <c r="G1056" s="407"/>
      <c r="H1056" s="407"/>
      <c r="I1056" s="407"/>
      <c r="J1056" s="408" t="s">
        <v>400</v>
      </c>
      <c r="K1056" s="409" t="str">
        <f t="shared" ref="K1056:K1098" si="167">+VLOOKUP(L1056,$AH$22:$AJ$58,2,)</f>
        <v>UND= Cant de elementos</v>
      </c>
      <c r="L1056" s="410" t="str">
        <f>+G1054</f>
        <v>UND</v>
      </c>
      <c r="M1056" s="411"/>
      <c r="N1056" s="412"/>
      <c r="O1056" s="442"/>
      <c r="P1056" s="442"/>
      <c r="Q1056" s="413"/>
      <c r="R1056" s="411"/>
      <c r="S1056" s="413">
        <f>+T1056</f>
        <v>0</v>
      </c>
      <c r="T1056" s="414">
        <f>+HLOOKUP(B982,[238]Hoja1!$2:$78,40,FALSE)</f>
        <v>0</v>
      </c>
      <c r="Y1056" s="439">
        <f t="shared" ref="Y1056" si="168">+O1056*P1056*Q1056</f>
        <v>0</v>
      </c>
      <c r="Z1056" s="439">
        <f t="shared" ref="Z1056" si="169">+Y1056-R1056</f>
        <v>0</v>
      </c>
    </row>
    <row r="1057" spans="1:26" ht="25.5">
      <c r="A1057" s="453">
        <f>+A1056</f>
        <v>4.0199999999999996</v>
      </c>
      <c r="B1057" s="383">
        <v>2</v>
      </c>
      <c r="D1057" s="406"/>
      <c r="E1057" s="407"/>
      <c r="F1057" s="407"/>
      <c r="G1057" s="407"/>
      <c r="H1057" s="407"/>
      <c r="I1057" s="407"/>
      <c r="J1057" s="408" t="s">
        <v>401</v>
      </c>
      <c r="K1057" s="409" t="str">
        <f t="shared" si="167"/>
        <v>UND= Cant de elementos</v>
      </c>
      <c r="L1057" s="410" t="str">
        <f>+L1056</f>
        <v>UND</v>
      </c>
      <c r="M1057" s="411"/>
      <c r="N1057" s="412"/>
      <c r="O1057" s="442"/>
      <c r="P1057" s="442"/>
      <c r="Q1057" s="413"/>
      <c r="R1057" s="411"/>
      <c r="S1057" s="413">
        <f t="shared" ref="S1057:S1098" si="170">+T1057</f>
        <v>3</v>
      </c>
      <c r="T1057" s="414">
        <f>+HLOOKUP(B983,[238]Hoja1!$2:$78,40,FALSE)</f>
        <v>3</v>
      </c>
      <c r="Y1057" s="439">
        <f>+M1057*Q1057</f>
        <v>0</v>
      </c>
      <c r="Z1057" s="439">
        <f>+Y1057-R1057</f>
        <v>0</v>
      </c>
    </row>
    <row r="1058" spans="1:26" ht="25.5">
      <c r="A1058" s="453">
        <f t="shared" ref="A1058:A1098" si="171">+A1057</f>
        <v>4.0199999999999996</v>
      </c>
      <c r="B1058" s="383">
        <v>3</v>
      </c>
      <c r="D1058" s="406"/>
      <c r="E1058" s="407"/>
      <c r="F1058" s="407"/>
      <c r="G1058" s="407"/>
      <c r="H1058" s="407"/>
      <c r="I1058" s="407"/>
      <c r="J1058" s="408" t="s">
        <v>402</v>
      </c>
      <c r="K1058" s="409" t="str">
        <f t="shared" si="167"/>
        <v>UND= Cant de elementos</v>
      </c>
      <c r="L1058" s="410" t="str">
        <f>+L1057</f>
        <v>UND</v>
      </c>
      <c r="M1058" s="411"/>
      <c r="N1058" s="412"/>
      <c r="O1058" s="442"/>
      <c r="P1058" s="442"/>
      <c r="Q1058" s="413"/>
      <c r="R1058" s="411"/>
      <c r="S1058" s="413">
        <f t="shared" si="170"/>
        <v>3</v>
      </c>
      <c r="T1058" s="414">
        <f>+HLOOKUP(B984,[238]Hoja1!$2:$78,40,FALSE)</f>
        <v>3</v>
      </c>
      <c r="Y1058" s="439">
        <f t="shared" ref="Y1058:Y1060" si="172">+M1058*Q1058</f>
        <v>0</v>
      </c>
      <c r="Z1058" s="439">
        <f t="shared" ref="Z1058:Z1060" si="173">+Y1058-R1058</f>
        <v>0</v>
      </c>
    </row>
    <row r="1059" spans="1:26" ht="25.5">
      <c r="A1059" s="453">
        <f t="shared" si="171"/>
        <v>4.0199999999999996</v>
      </c>
      <c r="B1059" s="383">
        <v>4</v>
      </c>
      <c r="D1059" s="406"/>
      <c r="E1059" s="407"/>
      <c r="F1059" s="407"/>
      <c r="G1059" s="407"/>
      <c r="H1059" s="407"/>
      <c r="I1059" s="407"/>
      <c r="J1059" s="408" t="s">
        <v>403</v>
      </c>
      <c r="K1059" s="409" t="str">
        <f t="shared" si="167"/>
        <v>UND= Cant de elementos</v>
      </c>
      <c r="L1059" s="410" t="str">
        <f>+L1058</f>
        <v>UND</v>
      </c>
      <c r="M1059" s="411"/>
      <c r="N1059" s="412"/>
      <c r="O1059" s="442"/>
      <c r="P1059" s="442"/>
      <c r="Q1059" s="413"/>
      <c r="R1059" s="411"/>
      <c r="S1059" s="413">
        <f t="shared" si="170"/>
        <v>3</v>
      </c>
      <c r="T1059" s="414">
        <f>+HLOOKUP(B985,[238]Hoja1!$2:$78,40,FALSE)</f>
        <v>3</v>
      </c>
      <c r="Y1059" s="439">
        <f t="shared" si="172"/>
        <v>0</v>
      </c>
      <c r="Z1059" s="439">
        <f t="shared" si="173"/>
        <v>0</v>
      </c>
    </row>
    <row r="1060" spans="1:26" ht="25.5">
      <c r="A1060" s="453">
        <f t="shared" si="171"/>
        <v>4.0199999999999996</v>
      </c>
      <c r="B1060" s="383">
        <v>5</v>
      </c>
      <c r="D1060" s="406"/>
      <c r="E1060" s="407"/>
      <c r="F1060" s="407"/>
      <c r="G1060" s="407"/>
      <c r="H1060" s="407"/>
      <c r="I1060" s="407"/>
      <c r="J1060" s="408" t="s">
        <v>405</v>
      </c>
      <c r="K1060" s="409" t="str">
        <f t="shared" si="167"/>
        <v>UND= Cant de elementos</v>
      </c>
      <c r="L1060" s="410" t="str">
        <f>+L1059</f>
        <v>UND</v>
      </c>
      <c r="M1060" s="411"/>
      <c r="N1060" s="412"/>
      <c r="O1060" s="442"/>
      <c r="P1060" s="442"/>
      <c r="Q1060" s="413"/>
      <c r="R1060" s="411"/>
      <c r="S1060" s="413">
        <f t="shared" si="170"/>
        <v>3</v>
      </c>
      <c r="T1060" s="414">
        <f>+HLOOKUP(B986,[238]Hoja1!$2:$78,40,FALSE)</f>
        <v>3</v>
      </c>
      <c r="Y1060" s="439">
        <f t="shared" si="172"/>
        <v>0</v>
      </c>
      <c r="Z1060" s="439">
        <f t="shared" si="173"/>
        <v>0</v>
      </c>
    </row>
    <row r="1061" spans="1:26" ht="25.5">
      <c r="A1061" s="453">
        <f t="shared" si="171"/>
        <v>4.0199999999999996</v>
      </c>
      <c r="B1061" s="383">
        <v>6</v>
      </c>
      <c r="D1061" s="406"/>
      <c r="E1061" s="407"/>
      <c r="F1061" s="407"/>
      <c r="G1061" s="407"/>
      <c r="H1061" s="407"/>
      <c r="I1061" s="407"/>
      <c r="J1061" s="408" t="s">
        <v>407</v>
      </c>
      <c r="K1061" s="409" t="str">
        <f t="shared" si="167"/>
        <v>UND= Cant de elementos</v>
      </c>
      <c r="L1061" s="410" t="str">
        <f>+L1060</f>
        <v>UND</v>
      </c>
      <c r="M1061" s="411"/>
      <c r="N1061" s="412"/>
      <c r="O1061" s="442"/>
      <c r="P1061" s="442"/>
      <c r="Q1061" s="413"/>
      <c r="R1061" s="411"/>
      <c r="S1061" s="413">
        <f t="shared" si="170"/>
        <v>1</v>
      </c>
      <c r="T1061" s="414">
        <f>+HLOOKUP(B987,[238]Hoja1!$2:$78,40,FALSE)</f>
        <v>1</v>
      </c>
      <c r="Y1061" s="439">
        <f>+M1061*Q1061</f>
        <v>0</v>
      </c>
      <c r="Z1061" s="439">
        <f>+Y1061-R1061</f>
        <v>0</v>
      </c>
    </row>
    <row r="1062" spans="1:26" ht="25.5">
      <c r="A1062" s="453">
        <f t="shared" si="171"/>
        <v>4.0199999999999996</v>
      </c>
      <c r="B1062" s="383">
        <v>7</v>
      </c>
      <c r="D1062" s="406"/>
      <c r="E1062" s="407"/>
      <c r="F1062" s="407"/>
      <c r="G1062" s="407"/>
      <c r="H1062" s="407"/>
      <c r="I1062" s="407"/>
      <c r="J1062" s="408" t="s">
        <v>409</v>
      </c>
      <c r="K1062" s="409" t="str">
        <f t="shared" si="167"/>
        <v>UND= Cant de elementos</v>
      </c>
      <c r="L1062" s="410" t="str">
        <f>+L1056</f>
        <v>UND</v>
      </c>
      <c r="M1062" s="411"/>
      <c r="N1062" s="412"/>
      <c r="O1062" s="442"/>
      <c r="P1062" s="442"/>
      <c r="Q1062" s="413"/>
      <c r="R1062" s="411"/>
      <c r="S1062" s="413">
        <f t="shared" si="170"/>
        <v>0</v>
      </c>
      <c r="T1062" s="414">
        <f>+HLOOKUP(B988,[238]Hoja1!$2:$78,40,FALSE)</f>
        <v>0</v>
      </c>
      <c r="Y1062" s="439">
        <f t="shared" ref="Y1062:Y1098" si="174">+M1062*Q1062</f>
        <v>0</v>
      </c>
      <c r="Z1062" s="439">
        <f t="shared" ref="Z1062:Z1098" si="175">+Y1062-R1062</f>
        <v>0</v>
      </c>
    </row>
    <row r="1063" spans="1:26" ht="25.5">
      <c r="A1063" s="453">
        <f t="shared" si="171"/>
        <v>4.0199999999999996</v>
      </c>
      <c r="B1063" s="383">
        <v>8</v>
      </c>
      <c r="D1063" s="406"/>
      <c r="E1063" s="407"/>
      <c r="F1063" s="407"/>
      <c r="G1063" s="407"/>
      <c r="H1063" s="407"/>
      <c r="I1063" s="407"/>
      <c r="J1063" s="408" t="s">
        <v>411</v>
      </c>
      <c r="K1063" s="409" t="str">
        <f t="shared" si="167"/>
        <v>UND= Cant de elementos</v>
      </c>
      <c r="L1063" s="410" t="str">
        <f>+L1062</f>
        <v>UND</v>
      </c>
      <c r="M1063" s="411"/>
      <c r="N1063" s="412"/>
      <c r="O1063" s="442"/>
      <c r="P1063" s="442"/>
      <c r="Q1063" s="413"/>
      <c r="R1063" s="411"/>
      <c r="S1063" s="413">
        <f t="shared" si="170"/>
        <v>0</v>
      </c>
      <c r="T1063" s="414">
        <f>+HLOOKUP(B989,[238]Hoja1!$2:$78,40,FALSE)</f>
        <v>0</v>
      </c>
      <c r="Y1063" s="439">
        <f t="shared" si="174"/>
        <v>0</v>
      </c>
      <c r="Z1063" s="439">
        <f t="shared" si="175"/>
        <v>0</v>
      </c>
    </row>
    <row r="1064" spans="1:26" ht="25.5">
      <c r="A1064" s="453">
        <f t="shared" si="171"/>
        <v>4.0199999999999996</v>
      </c>
      <c r="B1064" s="383">
        <v>9</v>
      </c>
      <c r="D1064" s="406"/>
      <c r="E1064" s="407"/>
      <c r="F1064" s="407"/>
      <c r="G1064" s="407"/>
      <c r="H1064" s="407"/>
      <c r="I1064" s="407"/>
      <c r="J1064" s="408" t="s">
        <v>412</v>
      </c>
      <c r="K1064" s="409" t="str">
        <f t="shared" si="167"/>
        <v>UND= Cant de elementos</v>
      </c>
      <c r="L1064" s="410" t="str">
        <f>+L1063</f>
        <v>UND</v>
      </c>
      <c r="M1064" s="411"/>
      <c r="N1064" s="412"/>
      <c r="O1064" s="442"/>
      <c r="P1064" s="442"/>
      <c r="Q1064" s="413"/>
      <c r="R1064" s="411"/>
      <c r="S1064" s="413">
        <f t="shared" si="170"/>
        <v>3</v>
      </c>
      <c r="T1064" s="414">
        <f>+HLOOKUP(B990,[238]Hoja1!$2:$78,40,FALSE)</f>
        <v>3</v>
      </c>
      <c r="Y1064" s="439">
        <f t="shared" si="174"/>
        <v>0</v>
      </c>
      <c r="Z1064" s="439">
        <f t="shared" si="175"/>
        <v>0</v>
      </c>
    </row>
    <row r="1065" spans="1:26" ht="25.5">
      <c r="A1065" s="453">
        <f t="shared" si="171"/>
        <v>4.0199999999999996</v>
      </c>
      <c r="B1065" s="383">
        <v>10</v>
      </c>
      <c r="D1065" s="406"/>
      <c r="E1065" s="407"/>
      <c r="F1065" s="407"/>
      <c r="G1065" s="407"/>
      <c r="H1065" s="407"/>
      <c r="I1065" s="407"/>
      <c r="J1065" s="408" t="s">
        <v>413</v>
      </c>
      <c r="K1065" s="409" t="str">
        <f t="shared" si="167"/>
        <v>UND= Cant de elementos</v>
      </c>
      <c r="L1065" s="410" t="str">
        <f>+L1064</f>
        <v>UND</v>
      </c>
      <c r="M1065" s="411"/>
      <c r="N1065" s="412"/>
      <c r="O1065" s="441"/>
      <c r="P1065" s="441"/>
      <c r="Q1065" s="412"/>
      <c r="R1065" s="411"/>
      <c r="S1065" s="413">
        <f t="shared" si="170"/>
        <v>0</v>
      </c>
      <c r="T1065" s="414">
        <f>+HLOOKUP(B991,[238]Hoja1!$2:$78,40,FALSE)</f>
        <v>0</v>
      </c>
      <c r="Y1065" s="439">
        <f t="shared" si="174"/>
        <v>0</v>
      </c>
      <c r="Z1065" s="439">
        <f t="shared" si="175"/>
        <v>0</v>
      </c>
    </row>
    <row r="1066" spans="1:26" ht="25.5">
      <c r="A1066" s="453">
        <f t="shared" si="171"/>
        <v>4.0199999999999996</v>
      </c>
      <c r="B1066" s="383">
        <v>11</v>
      </c>
      <c r="D1066" s="406"/>
      <c r="E1066" s="407"/>
      <c r="F1066" s="407"/>
      <c r="G1066" s="407"/>
      <c r="H1066" s="407"/>
      <c r="I1066" s="407"/>
      <c r="J1066" s="408" t="s">
        <v>414</v>
      </c>
      <c r="K1066" s="409" t="str">
        <f t="shared" si="167"/>
        <v>UND= Cant de elementos</v>
      </c>
      <c r="L1066" s="410" t="str">
        <f>+L1065</f>
        <v>UND</v>
      </c>
      <c r="M1066" s="411"/>
      <c r="N1066" s="412"/>
      <c r="O1066" s="443"/>
      <c r="P1066" s="443"/>
      <c r="Q1066" s="412"/>
      <c r="R1066" s="411"/>
      <c r="S1066" s="413">
        <f t="shared" si="170"/>
        <v>0</v>
      </c>
      <c r="T1066" s="414">
        <f>+HLOOKUP(B992,[238]Hoja1!$2:$78,40,FALSE)</f>
        <v>0</v>
      </c>
      <c r="Y1066" s="439">
        <f t="shared" si="174"/>
        <v>0</v>
      </c>
      <c r="Z1066" s="439">
        <f t="shared" si="175"/>
        <v>0</v>
      </c>
    </row>
    <row r="1067" spans="1:26" ht="25.5">
      <c r="A1067" s="453">
        <f t="shared" si="171"/>
        <v>4.0199999999999996</v>
      </c>
      <c r="B1067" s="383">
        <v>12</v>
      </c>
      <c r="D1067" s="406"/>
      <c r="E1067" s="407"/>
      <c r="F1067" s="407"/>
      <c r="G1067" s="407"/>
      <c r="H1067" s="407"/>
      <c r="I1067" s="407"/>
      <c r="J1067" s="408" t="s">
        <v>415</v>
      </c>
      <c r="K1067" s="409" t="str">
        <f t="shared" si="167"/>
        <v>UND= Cant de elementos</v>
      </c>
      <c r="L1067" s="410" t="str">
        <f>+L1061</f>
        <v>UND</v>
      </c>
      <c r="M1067" s="411"/>
      <c r="N1067" s="412"/>
      <c r="O1067" s="442"/>
      <c r="P1067" s="442"/>
      <c r="Q1067" s="413"/>
      <c r="R1067" s="411"/>
      <c r="S1067" s="413">
        <f t="shared" si="170"/>
        <v>0</v>
      </c>
      <c r="T1067" s="414">
        <f>+HLOOKUP(B993,[238]Hoja1!$2:$78,40,FALSE)</f>
        <v>0</v>
      </c>
      <c r="Y1067" s="439">
        <f t="shared" si="174"/>
        <v>0</v>
      </c>
      <c r="Z1067" s="439">
        <f t="shared" si="175"/>
        <v>0</v>
      </c>
    </row>
    <row r="1068" spans="1:26" ht="25.5">
      <c r="A1068" s="453">
        <f t="shared" si="171"/>
        <v>4.0199999999999996</v>
      </c>
      <c r="B1068" s="383">
        <v>13</v>
      </c>
      <c r="D1068" s="406"/>
      <c r="E1068" s="407"/>
      <c r="F1068" s="407"/>
      <c r="G1068" s="407"/>
      <c r="H1068" s="407"/>
      <c r="I1068" s="407"/>
      <c r="J1068" s="408" t="s">
        <v>416</v>
      </c>
      <c r="K1068" s="409" t="str">
        <f t="shared" si="167"/>
        <v>UND= Cant de elementos</v>
      </c>
      <c r="L1068" s="410" t="str">
        <f>+L1063</f>
        <v>UND</v>
      </c>
      <c r="M1068" s="411"/>
      <c r="N1068" s="412"/>
      <c r="O1068" s="442"/>
      <c r="P1068" s="442"/>
      <c r="Q1068" s="413"/>
      <c r="R1068" s="411"/>
      <c r="S1068" s="413">
        <f t="shared" si="170"/>
        <v>0</v>
      </c>
      <c r="T1068" s="414">
        <f>+HLOOKUP(B994,[238]Hoja1!$2:$78,40,FALSE)</f>
        <v>0</v>
      </c>
      <c r="Y1068" s="439">
        <f t="shared" si="174"/>
        <v>0</v>
      </c>
      <c r="Z1068" s="439">
        <f t="shared" si="175"/>
        <v>0</v>
      </c>
    </row>
    <row r="1069" spans="1:26" ht="25.5">
      <c r="A1069" s="453">
        <f t="shared" si="171"/>
        <v>4.0199999999999996</v>
      </c>
      <c r="B1069" s="383">
        <v>14</v>
      </c>
      <c r="D1069" s="406"/>
      <c r="E1069" s="407"/>
      <c r="F1069" s="407"/>
      <c r="G1069" s="407"/>
      <c r="H1069" s="407"/>
      <c r="I1069" s="407"/>
      <c r="J1069" s="408" t="s">
        <v>417</v>
      </c>
      <c r="K1069" s="409" t="str">
        <f t="shared" si="167"/>
        <v>UND= Cant de elementos</v>
      </c>
      <c r="L1069" s="410" t="str">
        <f t="shared" ref="L1069:L1080" si="176">+L1068</f>
        <v>UND</v>
      </c>
      <c r="M1069" s="411"/>
      <c r="N1069" s="412"/>
      <c r="O1069" s="442"/>
      <c r="P1069" s="442"/>
      <c r="Q1069" s="413"/>
      <c r="R1069" s="411"/>
      <c r="S1069" s="413">
        <f t="shared" si="170"/>
        <v>3</v>
      </c>
      <c r="T1069" s="414">
        <f>+HLOOKUP(B995,[238]Hoja1!$2:$78,40,FALSE)</f>
        <v>3</v>
      </c>
      <c r="Y1069" s="439">
        <f t="shared" si="174"/>
        <v>0</v>
      </c>
      <c r="Z1069" s="439">
        <f t="shared" si="175"/>
        <v>0</v>
      </c>
    </row>
    <row r="1070" spans="1:26" ht="25.5">
      <c r="A1070" s="453">
        <f t="shared" si="171"/>
        <v>4.0199999999999996</v>
      </c>
      <c r="B1070" s="383">
        <v>15</v>
      </c>
      <c r="D1070" s="406"/>
      <c r="E1070" s="407"/>
      <c r="F1070" s="407"/>
      <c r="G1070" s="407"/>
      <c r="H1070" s="407"/>
      <c r="I1070" s="407"/>
      <c r="J1070" s="408" t="s">
        <v>418</v>
      </c>
      <c r="K1070" s="409" t="str">
        <f t="shared" si="167"/>
        <v>UND= Cant de elementos</v>
      </c>
      <c r="L1070" s="410" t="str">
        <f t="shared" si="176"/>
        <v>UND</v>
      </c>
      <c r="M1070" s="411"/>
      <c r="N1070" s="412"/>
      <c r="O1070" s="442"/>
      <c r="P1070" s="442"/>
      <c r="Q1070" s="449"/>
      <c r="R1070" s="411"/>
      <c r="S1070" s="413">
        <f t="shared" si="170"/>
        <v>0</v>
      </c>
      <c r="T1070" s="414">
        <f>+HLOOKUP(B996,[238]Hoja1!$2:$78,40,FALSE)</f>
        <v>0</v>
      </c>
      <c r="Y1070" s="439">
        <f t="shared" si="174"/>
        <v>0</v>
      </c>
      <c r="Z1070" s="439">
        <f t="shared" si="175"/>
        <v>0</v>
      </c>
    </row>
    <row r="1071" spans="1:26" ht="25.5">
      <c r="A1071" s="453">
        <f t="shared" si="171"/>
        <v>4.0199999999999996</v>
      </c>
      <c r="B1071" s="383">
        <v>16</v>
      </c>
      <c r="D1071" s="406"/>
      <c r="E1071" s="407"/>
      <c r="F1071" s="407"/>
      <c r="G1071" s="407"/>
      <c r="H1071" s="407"/>
      <c r="I1071" s="407"/>
      <c r="J1071" s="408" t="s">
        <v>419</v>
      </c>
      <c r="K1071" s="409" t="str">
        <f t="shared" si="167"/>
        <v>UND= Cant de elementos</v>
      </c>
      <c r="L1071" s="410" t="str">
        <f t="shared" si="176"/>
        <v>UND</v>
      </c>
      <c r="M1071" s="411"/>
      <c r="N1071" s="412"/>
      <c r="O1071" s="442"/>
      <c r="P1071" s="442"/>
      <c r="Q1071" s="449"/>
      <c r="R1071" s="411"/>
      <c r="S1071" s="413">
        <f t="shared" si="170"/>
        <v>0</v>
      </c>
      <c r="T1071" s="414">
        <f>+HLOOKUP(B997,[238]Hoja1!$2:$78,40,FALSE)</f>
        <v>0</v>
      </c>
      <c r="Y1071" s="439">
        <f t="shared" si="174"/>
        <v>0</v>
      </c>
      <c r="Z1071" s="439">
        <f t="shared" si="175"/>
        <v>0</v>
      </c>
    </row>
    <row r="1072" spans="1:26" ht="25.5">
      <c r="A1072" s="453">
        <f t="shared" si="171"/>
        <v>4.0199999999999996</v>
      </c>
      <c r="B1072" s="383">
        <v>17</v>
      </c>
      <c r="D1072" s="406"/>
      <c r="E1072" s="407"/>
      <c r="F1072" s="407"/>
      <c r="G1072" s="407"/>
      <c r="H1072" s="407"/>
      <c r="I1072" s="407"/>
      <c r="J1072" s="408" t="s">
        <v>420</v>
      </c>
      <c r="K1072" s="409" t="str">
        <f t="shared" si="167"/>
        <v>UND= Cant de elementos</v>
      </c>
      <c r="L1072" s="410" t="str">
        <f t="shared" si="176"/>
        <v>UND</v>
      </c>
      <c r="M1072" s="411"/>
      <c r="N1072" s="412"/>
      <c r="O1072" s="442"/>
      <c r="P1072" s="442"/>
      <c r="Q1072" s="448"/>
      <c r="R1072" s="411"/>
      <c r="S1072" s="413">
        <f t="shared" si="170"/>
        <v>0</v>
      </c>
      <c r="T1072" s="414">
        <f>+HLOOKUP(B998,[238]Hoja1!$2:$78,40,FALSE)</f>
        <v>0</v>
      </c>
      <c r="W1072" s="383">
        <f>+Q1072*P1072*O1072</f>
        <v>0</v>
      </c>
      <c r="Y1072" s="439">
        <f t="shared" si="174"/>
        <v>0</v>
      </c>
      <c r="Z1072" s="439">
        <f t="shared" si="175"/>
        <v>0</v>
      </c>
    </row>
    <row r="1073" spans="1:26" ht="25.5">
      <c r="A1073" s="453">
        <f t="shared" si="171"/>
        <v>4.0199999999999996</v>
      </c>
      <c r="B1073" s="383">
        <v>18</v>
      </c>
      <c r="D1073" s="406"/>
      <c r="E1073" s="407"/>
      <c r="F1073" s="407"/>
      <c r="G1073" s="407"/>
      <c r="H1073" s="407"/>
      <c r="I1073" s="407"/>
      <c r="J1073" s="408" t="s">
        <v>429</v>
      </c>
      <c r="K1073" s="409" t="str">
        <f t="shared" si="167"/>
        <v>UND= Cant de elementos</v>
      </c>
      <c r="L1073" s="410" t="str">
        <f t="shared" si="176"/>
        <v>UND</v>
      </c>
      <c r="M1073" s="411"/>
      <c r="N1073" s="412"/>
      <c r="O1073" s="442"/>
      <c r="P1073" s="442"/>
      <c r="Q1073" s="413"/>
      <c r="R1073" s="411"/>
      <c r="S1073" s="413">
        <f t="shared" si="170"/>
        <v>1</v>
      </c>
      <c r="T1073" s="414">
        <f>+HLOOKUP(B999,[238]Hoja1!$2:$78,40,FALSE)</f>
        <v>1</v>
      </c>
      <c r="Y1073" s="439">
        <f t="shared" si="174"/>
        <v>0</v>
      </c>
      <c r="Z1073" s="439">
        <f t="shared" si="175"/>
        <v>0</v>
      </c>
    </row>
    <row r="1074" spans="1:26" ht="25.5">
      <c r="A1074" s="453">
        <f t="shared" si="171"/>
        <v>4.0199999999999996</v>
      </c>
      <c r="B1074" s="383">
        <v>19</v>
      </c>
      <c r="D1074" s="406"/>
      <c r="E1074" s="407"/>
      <c r="F1074" s="407"/>
      <c r="G1074" s="407"/>
      <c r="H1074" s="407"/>
      <c r="I1074" s="407"/>
      <c r="J1074" s="408" t="s">
        <v>430</v>
      </c>
      <c r="K1074" s="409" t="str">
        <f t="shared" si="167"/>
        <v>UND= Cant de elementos</v>
      </c>
      <c r="L1074" s="410" t="str">
        <f t="shared" si="176"/>
        <v>UND</v>
      </c>
      <c r="M1074" s="411"/>
      <c r="N1074" s="412"/>
      <c r="O1074" s="442"/>
      <c r="P1074" s="442"/>
      <c r="Q1074" s="448"/>
      <c r="R1074" s="411"/>
      <c r="S1074" s="413">
        <f t="shared" si="170"/>
        <v>3</v>
      </c>
      <c r="T1074" s="414">
        <f>+HLOOKUP(B1000,[238]Hoja1!$2:$78,40,FALSE)</f>
        <v>3</v>
      </c>
      <c r="Y1074" s="439">
        <f t="shared" si="174"/>
        <v>0</v>
      </c>
      <c r="Z1074" s="439">
        <f t="shared" si="175"/>
        <v>0</v>
      </c>
    </row>
    <row r="1075" spans="1:26" ht="25.5">
      <c r="A1075" s="453">
        <f t="shared" si="171"/>
        <v>4.0199999999999996</v>
      </c>
      <c r="B1075" s="383">
        <v>20</v>
      </c>
      <c r="D1075" s="406"/>
      <c r="E1075" s="407"/>
      <c r="F1075" s="407"/>
      <c r="G1075" s="407"/>
      <c r="H1075" s="407"/>
      <c r="I1075" s="407"/>
      <c r="J1075" s="408" t="s">
        <v>431</v>
      </c>
      <c r="K1075" s="409" t="str">
        <f t="shared" si="167"/>
        <v>UND= Cant de elementos</v>
      </c>
      <c r="L1075" s="410" t="str">
        <f t="shared" si="176"/>
        <v>UND</v>
      </c>
      <c r="M1075" s="411"/>
      <c r="N1075" s="412"/>
      <c r="O1075" s="442"/>
      <c r="P1075" s="442"/>
      <c r="Q1075" s="413"/>
      <c r="R1075" s="411"/>
      <c r="S1075" s="413">
        <f t="shared" si="170"/>
        <v>0</v>
      </c>
      <c r="T1075" s="414">
        <f>+HLOOKUP(B1001,[238]Hoja1!$2:$78,40,FALSE)</f>
        <v>0</v>
      </c>
      <c r="Y1075" s="439">
        <f t="shared" si="174"/>
        <v>0</v>
      </c>
      <c r="Z1075" s="439">
        <f t="shared" si="175"/>
        <v>0</v>
      </c>
    </row>
    <row r="1076" spans="1:26" ht="25.5">
      <c r="A1076" s="453">
        <f t="shared" si="171"/>
        <v>4.0199999999999996</v>
      </c>
      <c r="B1076" s="383">
        <v>21</v>
      </c>
      <c r="D1076" s="406"/>
      <c r="E1076" s="407"/>
      <c r="F1076" s="407"/>
      <c r="G1076" s="407"/>
      <c r="H1076" s="407"/>
      <c r="I1076" s="407"/>
      <c r="J1076" s="408" t="s">
        <v>432</v>
      </c>
      <c r="K1076" s="409" t="str">
        <f t="shared" si="167"/>
        <v>UND= Cant de elementos</v>
      </c>
      <c r="L1076" s="410" t="str">
        <f t="shared" si="176"/>
        <v>UND</v>
      </c>
      <c r="M1076" s="411"/>
      <c r="N1076" s="412"/>
      <c r="O1076" s="442"/>
      <c r="P1076" s="442"/>
      <c r="Q1076" s="412"/>
      <c r="R1076" s="411"/>
      <c r="S1076" s="413">
        <f t="shared" si="170"/>
        <v>0</v>
      </c>
      <c r="T1076" s="414">
        <f>+HLOOKUP(B1002,[238]Hoja1!$2:$78,40,FALSE)</f>
        <v>0</v>
      </c>
      <c r="Y1076" s="439">
        <f t="shared" si="174"/>
        <v>0</v>
      </c>
      <c r="Z1076" s="439">
        <f t="shared" si="175"/>
        <v>0</v>
      </c>
    </row>
    <row r="1077" spans="1:26" ht="25.5">
      <c r="A1077" s="453">
        <f t="shared" si="171"/>
        <v>4.0199999999999996</v>
      </c>
      <c r="B1077" s="383">
        <v>22</v>
      </c>
      <c r="D1077" s="406"/>
      <c r="E1077" s="407"/>
      <c r="F1077" s="407"/>
      <c r="G1077" s="407"/>
      <c r="H1077" s="407"/>
      <c r="I1077" s="407"/>
      <c r="J1077" s="408" t="s">
        <v>433</v>
      </c>
      <c r="K1077" s="409" t="str">
        <f t="shared" si="167"/>
        <v>UND= Cant de elementos</v>
      </c>
      <c r="L1077" s="410" t="str">
        <f t="shared" si="176"/>
        <v>UND</v>
      </c>
      <c r="M1077" s="411"/>
      <c r="N1077" s="412"/>
      <c r="O1077" s="442"/>
      <c r="P1077" s="442"/>
      <c r="Q1077" s="448"/>
      <c r="R1077" s="411"/>
      <c r="S1077" s="413">
        <f t="shared" si="170"/>
        <v>3</v>
      </c>
      <c r="T1077" s="414">
        <f>+HLOOKUP(B1003,[238]Hoja1!$2:$78,40,FALSE)</f>
        <v>3</v>
      </c>
      <c r="Y1077" s="439">
        <f t="shared" si="174"/>
        <v>0</v>
      </c>
      <c r="Z1077" s="439">
        <f t="shared" si="175"/>
        <v>0</v>
      </c>
    </row>
    <row r="1078" spans="1:26" ht="25.5">
      <c r="A1078" s="453">
        <f t="shared" si="171"/>
        <v>4.0199999999999996</v>
      </c>
      <c r="B1078" s="383">
        <v>23</v>
      </c>
      <c r="D1078" s="406"/>
      <c r="E1078" s="407"/>
      <c r="F1078" s="407"/>
      <c r="G1078" s="407"/>
      <c r="H1078" s="407"/>
      <c r="I1078" s="407"/>
      <c r="J1078" s="408" t="s">
        <v>434</v>
      </c>
      <c r="K1078" s="409" t="str">
        <f t="shared" si="167"/>
        <v>UND= Cant de elementos</v>
      </c>
      <c r="L1078" s="410" t="str">
        <f t="shared" si="176"/>
        <v>UND</v>
      </c>
      <c r="M1078" s="411"/>
      <c r="N1078" s="412"/>
      <c r="O1078" s="441"/>
      <c r="P1078" s="441"/>
      <c r="Q1078" s="412"/>
      <c r="R1078" s="411"/>
      <c r="S1078" s="413">
        <f t="shared" si="170"/>
        <v>0</v>
      </c>
      <c r="T1078" s="414">
        <f>+HLOOKUP(B1004,[238]Hoja1!$2:$78,40,FALSE)</f>
        <v>0</v>
      </c>
      <c r="Y1078" s="439">
        <f t="shared" si="174"/>
        <v>0</v>
      </c>
      <c r="Z1078" s="439">
        <f t="shared" si="175"/>
        <v>0</v>
      </c>
    </row>
    <row r="1079" spans="1:26" ht="25.5">
      <c r="A1079" s="453">
        <f t="shared" si="171"/>
        <v>4.0199999999999996</v>
      </c>
      <c r="B1079" s="383">
        <v>24</v>
      </c>
      <c r="D1079" s="406"/>
      <c r="E1079" s="407"/>
      <c r="F1079" s="407"/>
      <c r="G1079" s="407"/>
      <c r="H1079" s="407"/>
      <c r="I1079" s="407"/>
      <c r="J1079" s="408" t="s">
        <v>435</v>
      </c>
      <c r="K1079" s="409" t="str">
        <f t="shared" si="167"/>
        <v>UND= Cant de elementos</v>
      </c>
      <c r="L1079" s="410" t="str">
        <f t="shared" si="176"/>
        <v>UND</v>
      </c>
      <c r="M1079" s="411"/>
      <c r="N1079" s="412"/>
      <c r="O1079" s="442"/>
      <c r="P1079" s="442"/>
      <c r="Q1079" s="413"/>
      <c r="R1079" s="411"/>
      <c r="S1079" s="413">
        <f t="shared" si="170"/>
        <v>1</v>
      </c>
      <c r="T1079" s="414">
        <f>+HLOOKUP(B1005,[238]Hoja1!$2:$78,40,FALSE)</f>
        <v>1</v>
      </c>
      <c r="Y1079" s="439">
        <f t="shared" si="174"/>
        <v>0</v>
      </c>
      <c r="Z1079" s="439">
        <f t="shared" si="175"/>
        <v>0</v>
      </c>
    </row>
    <row r="1080" spans="1:26" ht="25.5">
      <c r="A1080" s="453">
        <f t="shared" si="171"/>
        <v>4.0199999999999996</v>
      </c>
      <c r="B1080" s="383">
        <v>25</v>
      </c>
      <c r="D1080" s="406"/>
      <c r="E1080" s="407"/>
      <c r="F1080" s="407"/>
      <c r="G1080" s="407"/>
      <c r="H1080" s="407"/>
      <c r="I1080" s="407"/>
      <c r="J1080" s="408" t="s">
        <v>436</v>
      </c>
      <c r="K1080" s="409" t="str">
        <f t="shared" si="167"/>
        <v>UND= Cant de elementos</v>
      </c>
      <c r="L1080" s="410" t="str">
        <f t="shared" si="176"/>
        <v>UND</v>
      </c>
      <c r="M1080" s="411"/>
      <c r="N1080" s="412"/>
      <c r="O1080" s="442"/>
      <c r="P1080" s="442"/>
      <c r="Q1080" s="450"/>
      <c r="R1080" s="411"/>
      <c r="S1080" s="413">
        <f t="shared" si="170"/>
        <v>1</v>
      </c>
      <c r="T1080" s="414">
        <f>+HLOOKUP(B1006,[238]Hoja1!$2:$78,40,FALSE)</f>
        <v>1</v>
      </c>
      <c r="Y1080" s="439">
        <f t="shared" si="174"/>
        <v>0</v>
      </c>
      <c r="Z1080" s="439">
        <f t="shared" si="175"/>
        <v>0</v>
      </c>
    </row>
    <row r="1081" spans="1:26" ht="25.5">
      <c r="A1081" s="453">
        <f t="shared" si="171"/>
        <v>4.0199999999999996</v>
      </c>
      <c r="B1081" s="383">
        <v>26</v>
      </c>
      <c r="D1081" s="406"/>
      <c r="E1081" s="407"/>
      <c r="F1081" s="407"/>
      <c r="G1081" s="407"/>
      <c r="H1081" s="407"/>
      <c r="I1081" s="407"/>
      <c r="J1081" s="408" t="s">
        <v>437</v>
      </c>
      <c r="K1081" s="409" t="str">
        <f t="shared" si="167"/>
        <v>UND= Cant de elementos</v>
      </c>
      <c r="L1081" s="410" t="str">
        <f>+L1070</f>
        <v>UND</v>
      </c>
      <c r="M1081" s="411"/>
      <c r="N1081" s="412"/>
      <c r="O1081" s="442"/>
      <c r="P1081" s="442"/>
      <c r="Q1081" s="412"/>
      <c r="R1081" s="411"/>
      <c r="S1081" s="413">
        <f t="shared" si="170"/>
        <v>0</v>
      </c>
      <c r="T1081" s="414">
        <f>+HLOOKUP(B1007,[238]Hoja1!$2:$78,40,FALSE)</f>
        <v>0</v>
      </c>
      <c r="Y1081" s="439">
        <f t="shared" si="174"/>
        <v>0</v>
      </c>
      <c r="Z1081" s="439">
        <f t="shared" si="175"/>
        <v>0</v>
      </c>
    </row>
    <row r="1082" spans="1:26" ht="25.5">
      <c r="A1082" s="453">
        <f t="shared" si="171"/>
        <v>4.0199999999999996</v>
      </c>
      <c r="B1082" s="383">
        <v>27</v>
      </c>
      <c r="D1082" s="406"/>
      <c r="E1082" s="407"/>
      <c r="F1082" s="407"/>
      <c r="G1082" s="407"/>
      <c r="H1082" s="407"/>
      <c r="I1082" s="407"/>
      <c r="J1082" s="408" t="s">
        <v>438</v>
      </c>
      <c r="K1082" s="409" t="str">
        <f t="shared" si="167"/>
        <v>UND= Cant de elementos</v>
      </c>
      <c r="L1082" s="410" t="str">
        <f t="shared" ref="L1082:L1090" si="177">+L1081</f>
        <v>UND</v>
      </c>
      <c r="M1082" s="411"/>
      <c r="N1082" s="412"/>
      <c r="O1082" s="442"/>
      <c r="P1082" s="442"/>
      <c r="Q1082" s="448"/>
      <c r="R1082" s="411"/>
      <c r="S1082" s="413">
        <f t="shared" si="170"/>
        <v>3</v>
      </c>
      <c r="T1082" s="414">
        <f>+HLOOKUP(B1008,[238]Hoja1!$2:$78,40,FALSE)</f>
        <v>3</v>
      </c>
      <c r="Y1082" s="439">
        <f t="shared" si="174"/>
        <v>0</v>
      </c>
      <c r="Z1082" s="439">
        <f t="shared" si="175"/>
        <v>0</v>
      </c>
    </row>
    <row r="1083" spans="1:26" ht="25.5">
      <c r="A1083" s="453">
        <f t="shared" si="171"/>
        <v>4.0199999999999996</v>
      </c>
      <c r="B1083" s="383">
        <v>28</v>
      </c>
      <c r="D1083" s="406"/>
      <c r="E1083" s="440"/>
      <c r="F1083" s="407"/>
      <c r="G1083" s="407"/>
      <c r="H1083" s="407"/>
      <c r="I1083" s="437"/>
      <c r="J1083" s="408" t="s">
        <v>439</v>
      </c>
      <c r="K1083" s="409" t="str">
        <f t="shared" si="167"/>
        <v>UND= Cant de elementos</v>
      </c>
      <c r="L1083" s="410" t="str">
        <f t="shared" si="177"/>
        <v>UND</v>
      </c>
      <c r="M1083" s="411"/>
      <c r="N1083" s="412"/>
      <c r="O1083" s="442"/>
      <c r="P1083" s="442"/>
      <c r="Q1083" s="413"/>
      <c r="R1083" s="411"/>
      <c r="S1083" s="413">
        <f t="shared" si="170"/>
        <v>0</v>
      </c>
      <c r="T1083" s="414">
        <f>+HLOOKUP(B1009,[238]Hoja1!$2:$78,40,FALSE)</f>
        <v>0</v>
      </c>
      <c r="Y1083" s="439">
        <f t="shared" si="174"/>
        <v>0</v>
      </c>
      <c r="Z1083" s="439">
        <f t="shared" si="175"/>
        <v>0</v>
      </c>
    </row>
    <row r="1084" spans="1:26" ht="25.5">
      <c r="A1084" s="453">
        <f t="shared" si="171"/>
        <v>4.0199999999999996</v>
      </c>
      <c r="B1084" s="383">
        <v>29</v>
      </c>
      <c r="D1084" s="406"/>
      <c r="E1084" s="407"/>
      <c r="F1084" s="407"/>
      <c r="G1084" s="407"/>
      <c r="H1084" s="407"/>
      <c r="I1084" s="407"/>
      <c r="J1084" s="408" t="s">
        <v>440</v>
      </c>
      <c r="K1084" s="409" t="str">
        <f t="shared" si="167"/>
        <v>UND= Cant de elementos</v>
      </c>
      <c r="L1084" s="410" t="str">
        <f t="shared" si="177"/>
        <v>UND</v>
      </c>
      <c r="M1084" s="411"/>
      <c r="N1084" s="412"/>
      <c r="O1084" s="443"/>
      <c r="P1084" s="443"/>
      <c r="Q1084" s="412"/>
      <c r="R1084" s="411"/>
      <c r="S1084" s="413">
        <f t="shared" si="170"/>
        <v>0</v>
      </c>
      <c r="T1084" s="414">
        <f>+HLOOKUP(B1010,[238]Hoja1!$2:$78,40,FALSE)</f>
        <v>0</v>
      </c>
      <c r="Y1084" s="439">
        <f t="shared" si="174"/>
        <v>0</v>
      </c>
      <c r="Z1084" s="439">
        <f t="shared" si="175"/>
        <v>0</v>
      </c>
    </row>
    <row r="1085" spans="1:26" ht="25.5">
      <c r="A1085" s="453">
        <f t="shared" si="171"/>
        <v>4.0199999999999996</v>
      </c>
      <c r="B1085" s="383">
        <v>30</v>
      </c>
      <c r="D1085" s="406"/>
      <c r="E1085" s="407"/>
      <c r="F1085" s="407"/>
      <c r="G1085" s="407"/>
      <c r="H1085" s="407"/>
      <c r="I1085" s="407"/>
      <c r="J1085" s="408" t="s">
        <v>441</v>
      </c>
      <c r="K1085" s="409" t="str">
        <f t="shared" si="167"/>
        <v>UND= Cant de elementos</v>
      </c>
      <c r="L1085" s="410" t="str">
        <f t="shared" si="177"/>
        <v>UND</v>
      </c>
      <c r="M1085" s="411"/>
      <c r="N1085" s="412"/>
      <c r="O1085" s="442"/>
      <c r="P1085" s="442"/>
      <c r="Q1085" s="413"/>
      <c r="R1085" s="411"/>
      <c r="S1085" s="413">
        <f t="shared" si="170"/>
        <v>0</v>
      </c>
      <c r="T1085" s="414">
        <f>+HLOOKUP(B1011,[238]Hoja1!$2:$78,40,FALSE)</f>
        <v>0</v>
      </c>
      <c r="Y1085" s="439">
        <f t="shared" si="174"/>
        <v>0</v>
      </c>
      <c r="Z1085" s="439">
        <f t="shared" si="175"/>
        <v>0</v>
      </c>
    </row>
    <row r="1086" spans="1:26" ht="25.5">
      <c r="A1086" s="453">
        <f t="shared" si="171"/>
        <v>4.0199999999999996</v>
      </c>
      <c r="B1086" s="383">
        <v>31</v>
      </c>
      <c r="D1086" s="406"/>
      <c r="E1086" s="407"/>
      <c r="F1086" s="407"/>
      <c r="G1086" s="407"/>
      <c r="H1086" s="407"/>
      <c r="I1086" s="407"/>
      <c r="J1086" s="408" t="s">
        <v>442</v>
      </c>
      <c r="K1086" s="409" t="str">
        <f t="shared" si="167"/>
        <v>UND= Cant de elementos</v>
      </c>
      <c r="L1086" s="410" t="str">
        <f t="shared" si="177"/>
        <v>UND</v>
      </c>
      <c r="M1086" s="411"/>
      <c r="N1086" s="412"/>
      <c r="O1086" s="442"/>
      <c r="P1086" s="442"/>
      <c r="Q1086" s="413"/>
      <c r="R1086" s="411"/>
      <c r="S1086" s="413">
        <f t="shared" si="170"/>
        <v>0</v>
      </c>
      <c r="T1086" s="414">
        <f>+HLOOKUP(B1012,[238]Hoja1!$2:$78,40,FALSE)</f>
        <v>0</v>
      </c>
      <c r="Y1086" s="439">
        <f t="shared" si="174"/>
        <v>0</v>
      </c>
      <c r="Z1086" s="439">
        <f t="shared" si="175"/>
        <v>0</v>
      </c>
    </row>
    <row r="1087" spans="1:26" ht="25.5">
      <c r="A1087" s="453">
        <f t="shared" si="171"/>
        <v>4.0199999999999996</v>
      </c>
      <c r="B1087" s="383">
        <v>32</v>
      </c>
      <c r="D1087" s="406"/>
      <c r="E1087" s="407"/>
      <c r="F1087" s="407"/>
      <c r="G1087" s="407"/>
      <c r="H1087" s="407"/>
      <c r="I1087" s="407"/>
      <c r="J1087" s="408" t="s">
        <v>443</v>
      </c>
      <c r="K1087" s="409" t="str">
        <f t="shared" si="167"/>
        <v>UND= Cant de elementos</v>
      </c>
      <c r="L1087" s="410" t="str">
        <f t="shared" si="177"/>
        <v>UND</v>
      </c>
      <c r="M1087" s="411"/>
      <c r="N1087" s="412"/>
      <c r="O1087" s="442"/>
      <c r="P1087" s="442"/>
      <c r="Q1087" s="413"/>
      <c r="R1087" s="411"/>
      <c r="S1087" s="413">
        <f t="shared" si="170"/>
        <v>1</v>
      </c>
      <c r="T1087" s="414">
        <f>+HLOOKUP(B1013,[238]Hoja1!$2:$78,40,FALSE)</f>
        <v>1</v>
      </c>
      <c r="Y1087" s="439">
        <f t="shared" si="174"/>
        <v>0</v>
      </c>
      <c r="Z1087" s="439">
        <f t="shared" si="175"/>
        <v>0</v>
      </c>
    </row>
    <row r="1088" spans="1:26" ht="25.5">
      <c r="A1088" s="453">
        <f t="shared" si="171"/>
        <v>4.0199999999999996</v>
      </c>
      <c r="B1088" s="383">
        <v>33</v>
      </c>
      <c r="D1088" s="406"/>
      <c r="E1088" s="407"/>
      <c r="F1088" s="407"/>
      <c r="G1088" s="407"/>
      <c r="H1088" s="407"/>
      <c r="I1088" s="407"/>
      <c r="J1088" s="408" t="s">
        <v>444</v>
      </c>
      <c r="K1088" s="409" t="str">
        <f t="shared" si="167"/>
        <v>UND= Cant de elementos</v>
      </c>
      <c r="L1088" s="410" t="str">
        <f t="shared" si="177"/>
        <v>UND</v>
      </c>
      <c r="M1088" s="411"/>
      <c r="N1088" s="412"/>
      <c r="O1088" s="442"/>
      <c r="P1088" s="442"/>
      <c r="Q1088" s="412"/>
      <c r="R1088" s="411"/>
      <c r="S1088" s="413">
        <f t="shared" si="170"/>
        <v>0</v>
      </c>
      <c r="T1088" s="414">
        <f>+HLOOKUP(B1014,[238]Hoja1!$2:$78,40,FALSE)</f>
        <v>0</v>
      </c>
      <c r="Y1088" s="439">
        <f t="shared" si="174"/>
        <v>0</v>
      </c>
      <c r="Z1088" s="439">
        <f t="shared" si="175"/>
        <v>0</v>
      </c>
    </row>
    <row r="1089" spans="1:26" ht="25.5">
      <c r="A1089" s="453">
        <f t="shared" si="171"/>
        <v>4.0199999999999996</v>
      </c>
      <c r="B1089" s="383">
        <v>34</v>
      </c>
      <c r="D1089" s="406"/>
      <c r="E1089" s="407"/>
      <c r="F1089" s="407"/>
      <c r="G1089" s="407"/>
      <c r="H1089" s="407"/>
      <c r="I1089" s="407"/>
      <c r="J1089" s="408" t="s">
        <v>445</v>
      </c>
      <c r="K1089" s="409" t="str">
        <f t="shared" si="167"/>
        <v>UND= Cant de elementos</v>
      </c>
      <c r="L1089" s="410" t="str">
        <f t="shared" si="177"/>
        <v>UND</v>
      </c>
      <c r="M1089" s="411"/>
      <c r="N1089" s="412"/>
      <c r="O1089" s="441"/>
      <c r="P1089" s="441"/>
      <c r="Q1089" s="412"/>
      <c r="R1089" s="411"/>
      <c r="S1089" s="413">
        <f t="shared" si="170"/>
        <v>0</v>
      </c>
      <c r="T1089" s="414">
        <f>+HLOOKUP(B1015,[238]Hoja1!$2:$78,40,FALSE)</f>
        <v>0</v>
      </c>
      <c r="Y1089" s="439">
        <f t="shared" si="174"/>
        <v>0</v>
      </c>
      <c r="Z1089" s="439">
        <f t="shared" si="175"/>
        <v>0</v>
      </c>
    </row>
    <row r="1090" spans="1:26" ht="25.5">
      <c r="A1090" s="453">
        <f t="shared" si="171"/>
        <v>4.0199999999999996</v>
      </c>
      <c r="B1090" s="383">
        <v>35</v>
      </c>
      <c r="D1090" s="406"/>
      <c r="E1090" s="440"/>
      <c r="F1090" s="407"/>
      <c r="G1090" s="407"/>
      <c r="H1090" s="407"/>
      <c r="I1090" s="437"/>
      <c r="J1090" s="408" t="s">
        <v>446</v>
      </c>
      <c r="K1090" s="409" t="str">
        <f t="shared" si="167"/>
        <v>UND= Cant de elementos</v>
      </c>
      <c r="L1090" s="410" t="str">
        <f t="shared" si="177"/>
        <v>UND</v>
      </c>
      <c r="M1090" s="411"/>
      <c r="N1090" s="412"/>
      <c r="O1090" s="442"/>
      <c r="P1090" s="442"/>
      <c r="Q1090" s="413"/>
      <c r="R1090" s="411"/>
      <c r="S1090" s="413">
        <f t="shared" si="170"/>
        <v>0</v>
      </c>
      <c r="T1090" s="414">
        <f>+HLOOKUP(B1016,[238]Hoja1!$2:$78,40,FALSE)</f>
        <v>0</v>
      </c>
      <c r="Y1090" s="439">
        <f t="shared" si="174"/>
        <v>0</v>
      </c>
      <c r="Z1090" s="439">
        <f t="shared" si="175"/>
        <v>0</v>
      </c>
    </row>
    <row r="1091" spans="1:26" ht="25.5">
      <c r="A1091" s="453">
        <f t="shared" si="171"/>
        <v>4.0199999999999996</v>
      </c>
      <c r="B1091" s="383">
        <v>36</v>
      </c>
      <c r="D1091" s="406"/>
      <c r="E1091" s="407"/>
      <c r="F1091" s="407"/>
      <c r="G1091" s="407"/>
      <c r="H1091" s="407"/>
      <c r="I1091" s="407"/>
      <c r="J1091" s="408" t="s">
        <v>447</v>
      </c>
      <c r="K1091" s="409" t="str">
        <f t="shared" si="167"/>
        <v>UND= Cant de elementos</v>
      </c>
      <c r="L1091" s="410" t="str">
        <f>+L1080</f>
        <v>UND</v>
      </c>
      <c r="M1091" s="411"/>
      <c r="N1091" s="412"/>
      <c r="O1091" s="442"/>
      <c r="P1091" s="442"/>
      <c r="Q1091" s="449"/>
      <c r="R1091" s="411"/>
      <c r="S1091" s="413">
        <f t="shared" si="170"/>
        <v>1</v>
      </c>
      <c r="T1091" s="414">
        <f>+HLOOKUP(B1017,[238]Hoja1!$2:$78,40,FALSE)</f>
        <v>1</v>
      </c>
      <c r="Y1091" s="439">
        <f t="shared" si="174"/>
        <v>0</v>
      </c>
      <c r="Z1091" s="439">
        <f t="shared" si="175"/>
        <v>0</v>
      </c>
    </row>
    <row r="1092" spans="1:26" ht="25.5">
      <c r="A1092" s="453">
        <f t="shared" si="171"/>
        <v>4.0199999999999996</v>
      </c>
      <c r="B1092" s="383">
        <v>37</v>
      </c>
      <c r="D1092" s="406"/>
      <c r="E1092" s="407"/>
      <c r="F1092" s="407"/>
      <c r="G1092" s="407"/>
      <c r="H1092" s="407"/>
      <c r="I1092" s="407"/>
      <c r="J1092" s="408" t="s">
        <v>448</v>
      </c>
      <c r="K1092" s="409" t="str">
        <f t="shared" si="167"/>
        <v>UND= Cant de elementos</v>
      </c>
      <c r="L1092" s="410" t="str">
        <f t="shared" ref="L1092:L1098" si="178">+L1091</f>
        <v>UND</v>
      </c>
      <c r="M1092" s="411"/>
      <c r="N1092" s="412"/>
      <c r="O1092" s="441"/>
      <c r="P1092" s="441"/>
      <c r="Q1092" s="449"/>
      <c r="R1092" s="411"/>
      <c r="S1092" s="413">
        <f t="shared" si="170"/>
        <v>0</v>
      </c>
      <c r="T1092" s="414">
        <f>+HLOOKUP(B1018,[238]Hoja1!$2:$78,40,FALSE)</f>
        <v>0</v>
      </c>
      <c r="Y1092" s="439">
        <f t="shared" si="174"/>
        <v>0</v>
      </c>
      <c r="Z1092" s="439">
        <f t="shared" si="175"/>
        <v>0</v>
      </c>
    </row>
    <row r="1093" spans="1:26" ht="25.5">
      <c r="A1093" s="453">
        <f t="shared" si="171"/>
        <v>4.0199999999999996</v>
      </c>
      <c r="B1093" s="383">
        <v>38</v>
      </c>
      <c r="D1093" s="406"/>
      <c r="E1093" s="440"/>
      <c r="F1093" s="407"/>
      <c r="G1093" s="407"/>
      <c r="H1093" s="407"/>
      <c r="I1093" s="437"/>
      <c r="J1093" s="408" t="s">
        <v>449</v>
      </c>
      <c r="K1093" s="409" t="str">
        <f t="shared" si="167"/>
        <v>UND= Cant de elementos</v>
      </c>
      <c r="L1093" s="410" t="str">
        <f t="shared" si="178"/>
        <v>UND</v>
      </c>
      <c r="M1093" s="411"/>
      <c r="N1093" s="412"/>
      <c r="O1093" s="442"/>
      <c r="P1093" s="442"/>
      <c r="Q1093" s="413"/>
      <c r="R1093" s="411"/>
      <c r="S1093" s="413">
        <f t="shared" si="170"/>
        <v>0</v>
      </c>
      <c r="T1093" s="414">
        <f>+HLOOKUP(B1019,[238]Hoja1!$2:$78,40,FALSE)</f>
        <v>0</v>
      </c>
      <c r="Y1093" s="439">
        <f t="shared" si="174"/>
        <v>0</v>
      </c>
      <c r="Z1093" s="439">
        <f t="shared" si="175"/>
        <v>0</v>
      </c>
    </row>
    <row r="1094" spans="1:26" ht="25.5">
      <c r="A1094" s="453">
        <f t="shared" si="171"/>
        <v>4.0199999999999996</v>
      </c>
      <c r="B1094" s="383">
        <v>39</v>
      </c>
      <c r="D1094" s="406"/>
      <c r="E1094" s="407"/>
      <c r="F1094" s="407"/>
      <c r="G1094" s="407"/>
      <c r="H1094" s="407"/>
      <c r="I1094" s="407"/>
      <c r="J1094" s="408" t="s">
        <v>450</v>
      </c>
      <c r="K1094" s="409" t="str">
        <f t="shared" si="167"/>
        <v>UND= Cant de elementos</v>
      </c>
      <c r="L1094" s="410" t="str">
        <f t="shared" si="178"/>
        <v>UND</v>
      </c>
      <c r="M1094" s="411"/>
      <c r="N1094" s="412"/>
      <c r="O1094" s="441"/>
      <c r="P1094" s="441"/>
      <c r="Q1094" s="412"/>
      <c r="R1094" s="411"/>
      <c r="S1094" s="413">
        <f t="shared" si="170"/>
        <v>0</v>
      </c>
      <c r="T1094" s="414">
        <f>+HLOOKUP(B1020,[238]Hoja1!$2:$78,40,FALSE)</f>
        <v>0</v>
      </c>
      <c r="Y1094" s="439">
        <f t="shared" si="174"/>
        <v>0</v>
      </c>
      <c r="Z1094" s="439">
        <f t="shared" si="175"/>
        <v>0</v>
      </c>
    </row>
    <row r="1095" spans="1:26" ht="25.5">
      <c r="A1095" s="453">
        <f t="shared" si="171"/>
        <v>4.0199999999999996</v>
      </c>
      <c r="B1095" s="383">
        <v>40</v>
      </c>
      <c r="D1095" s="406"/>
      <c r="E1095" s="407"/>
      <c r="F1095" s="407"/>
      <c r="G1095" s="407"/>
      <c r="H1095" s="407"/>
      <c r="I1095" s="407"/>
      <c r="J1095" s="408" t="s">
        <v>451</v>
      </c>
      <c r="K1095" s="409" t="str">
        <f t="shared" si="167"/>
        <v>UND= Cant de elementos</v>
      </c>
      <c r="L1095" s="410" t="str">
        <f t="shared" si="178"/>
        <v>UND</v>
      </c>
      <c r="M1095" s="411"/>
      <c r="N1095" s="412"/>
      <c r="O1095" s="442"/>
      <c r="P1095" s="442"/>
      <c r="Q1095" s="413"/>
      <c r="R1095" s="411"/>
      <c r="S1095" s="413">
        <f t="shared" si="170"/>
        <v>1</v>
      </c>
      <c r="T1095" s="414">
        <f>+HLOOKUP(B1021,[238]Hoja1!$2:$78,40,FALSE)</f>
        <v>1</v>
      </c>
      <c r="Y1095" s="439">
        <f t="shared" si="174"/>
        <v>0</v>
      </c>
      <c r="Z1095" s="439">
        <f t="shared" si="175"/>
        <v>0</v>
      </c>
    </row>
    <row r="1096" spans="1:26" ht="25.5">
      <c r="A1096" s="453">
        <f t="shared" si="171"/>
        <v>4.0199999999999996</v>
      </c>
      <c r="B1096" s="383">
        <v>41</v>
      </c>
      <c r="D1096" s="406"/>
      <c r="E1096" s="407"/>
      <c r="F1096" s="407"/>
      <c r="G1096" s="407"/>
      <c r="H1096" s="407"/>
      <c r="I1096" s="407"/>
      <c r="J1096" s="408" t="s">
        <v>452</v>
      </c>
      <c r="K1096" s="409" t="str">
        <f t="shared" si="167"/>
        <v>UND= Cant de elementos</v>
      </c>
      <c r="L1096" s="410" t="str">
        <f t="shared" si="178"/>
        <v>UND</v>
      </c>
      <c r="M1096" s="411"/>
      <c r="N1096" s="412"/>
      <c r="O1096" s="442"/>
      <c r="P1096" s="442"/>
      <c r="Q1096" s="413"/>
      <c r="R1096" s="411"/>
      <c r="S1096" s="413">
        <f t="shared" si="170"/>
        <v>3</v>
      </c>
      <c r="T1096" s="414">
        <f>+HLOOKUP(B1022,[238]Hoja1!$2:$78,40,FALSE)</f>
        <v>3</v>
      </c>
      <c r="Y1096" s="439">
        <f t="shared" si="174"/>
        <v>0</v>
      </c>
      <c r="Z1096" s="439">
        <f t="shared" si="175"/>
        <v>0</v>
      </c>
    </row>
    <row r="1097" spans="1:26" ht="25.5">
      <c r="A1097" s="453">
        <f t="shared" si="171"/>
        <v>4.0199999999999996</v>
      </c>
      <c r="B1097" s="383">
        <v>42</v>
      </c>
      <c r="D1097" s="406"/>
      <c r="E1097" s="407"/>
      <c r="F1097" s="407"/>
      <c r="G1097" s="407"/>
      <c r="H1097" s="407"/>
      <c r="I1097" s="407"/>
      <c r="J1097" s="408" t="s">
        <v>453</v>
      </c>
      <c r="K1097" s="409" t="str">
        <f t="shared" si="167"/>
        <v>UND= Cant de elementos</v>
      </c>
      <c r="L1097" s="410" t="str">
        <f t="shared" si="178"/>
        <v>UND</v>
      </c>
      <c r="M1097" s="411"/>
      <c r="N1097" s="412"/>
      <c r="O1097" s="442"/>
      <c r="P1097" s="442"/>
      <c r="Q1097" s="412"/>
      <c r="R1097" s="411"/>
      <c r="S1097" s="413">
        <f t="shared" si="170"/>
        <v>0</v>
      </c>
      <c r="T1097" s="414">
        <f>+HLOOKUP(B1023,[238]Hoja1!$2:$78,40,FALSE)</f>
        <v>0</v>
      </c>
      <c r="Y1097" s="439">
        <f t="shared" si="174"/>
        <v>0</v>
      </c>
      <c r="Z1097" s="439">
        <f t="shared" si="175"/>
        <v>0</v>
      </c>
    </row>
    <row r="1098" spans="1:26" ht="26.25" thickBot="1">
      <c r="A1098" s="453">
        <f t="shared" si="171"/>
        <v>4.0199999999999996</v>
      </c>
      <c r="B1098" s="383">
        <v>43</v>
      </c>
      <c r="D1098" s="406"/>
      <c r="E1098" s="407"/>
      <c r="F1098" s="407"/>
      <c r="G1098" s="407"/>
      <c r="H1098" s="407"/>
      <c r="I1098" s="407"/>
      <c r="J1098" s="408" t="s">
        <v>454</v>
      </c>
      <c r="K1098" s="409" t="str">
        <f t="shared" si="167"/>
        <v>UND= Cant de elementos</v>
      </c>
      <c r="L1098" s="410" t="str">
        <f t="shared" si="178"/>
        <v>UND</v>
      </c>
      <c r="M1098" s="411"/>
      <c r="N1098" s="412"/>
      <c r="O1098" s="442"/>
      <c r="P1098" s="442"/>
      <c r="Q1098" s="412"/>
      <c r="R1098" s="411"/>
      <c r="S1098" s="413">
        <f t="shared" si="170"/>
        <v>0</v>
      </c>
      <c r="T1098" s="414">
        <f>+HLOOKUP(B1024,[238]Hoja1!$2:$78,40,FALSE)</f>
        <v>0</v>
      </c>
      <c r="Y1098" s="439">
        <f t="shared" si="174"/>
        <v>0</v>
      </c>
      <c r="Z1098" s="439">
        <f t="shared" si="175"/>
        <v>0</v>
      </c>
    </row>
    <row r="1099" spans="1:26">
      <c r="D1099" s="384"/>
      <c r="E1099" s="419"/>
      <c r="F1099" s="420"/>
      <c r="G1099" s="421"/>
      <c r="H1099" s="421"/>
      <c r="I1099" s="421"/>
      <c r="J1099" s="421"/>
      <c r="K1099" s="422"/>
      <c r="L1099" s="421"/>
      <c r="M1099" s="421"/>
      <c r="N1099" s="421"/>
      <c r="O1099" s="421"/>
      <c r="P1099" s="421"/>
      <c r="Q1099" s="421"/>
      <c r="R1099" s="421"/>
      <c r="S1099" s="422"/>
      <c r="T1099" s="423"/>
    </row>
    <row r="1100" spans="1:26">
      <c r="D1100" s="396"/>
      <c r="E1100" s="397"/>
      <c r="F1100" s="424"/>
      <c r="G1100" s="425"/>
      <c r="H1100" s="425"/>
      <c r="I1100" s="425"/>
      <c r="J1100" s="425"/>
      <c r="K1100" s="398"/>
      <c r="L1100" s="425"/>
      <c r="M1100" s="425"/>
      <c r="N1100" s="397"/>
      <c r="O1100" s="397"/>
      <c r="P1100" s="562" t="s">
        <v>455</v>
      </c>
      <c r="Q1100" s="563"/>
      <c r="R1100" s="564"/>
      <c r="S1100" s="426"/>
      <c r="T1100" s="427">
        <f>ROUND(SUM(T1056:T1099),2)</f>
        <v>37</v>
      </c>
    </row>
    <row r="1101" spans="1:26">
      <c r="D1101" s="396"/>
      <c r="E1101" s="397"/>
      <c r="F1101" s="424"/>
      <c r="G1101" s="425"/>
      <c r="H1101" s="425"/>
      <c r="I1101" s="425"/>
      <c r="J1101" s="425"/>
      <c r="K1101" s="398"/>
      <c r="L1101" s="425"/>
      <c r="M1101" s="425"/>
      <c r="N1101" s="428"/>
      <c r="O1101" s="428"/>
      <c r="P1101" s="429"/>
      <c r="Q1101" s="425"/>
      <c r="R1101" s="425"/>
      <c r="S1101" s="430"/>
      <c r="T1101" s="431"/>
    </row>
    <row r="1102" spans="1:26">
      <c r="D1102" s="565" t="e">
        <v>#REF!</v>
      </c>
      <c r="E1102" s="566"/>
      <c r="F1102" s="566"/>
      <c r="G1102" s="566"/>
      <c r="H1102" s="566"/>
      <c r="I1102" s="566"/>
      <c r="J1102" s="566"/>
      <c r="K1102" s="566"/>
      <c r="L1102" s="566"/>
      <c r="M1102" s="566"/>
      <c r="N1102" s="566"/>
      <c r="O1102" s="567"/>
      <c r="P1102" s="568" t="s">
        <v>422</v>
      </c>
      <c r="Q1102" s="568"/>
      <c r="R1102" s="568"/>
      <c r="S1102" s="426"/>
      <c r="T1102" s="427">
        <f>T1100</f>
        <v>37</v>
      </c>
    </row>
    <row r="1103" spans="1:26">
      <c r="D1103" s="396"/>
      <c r="E1103" s="397"/>
      <c r="F1103" s="424"/>
      <c r="G1103" s="425"/>
      <c r="H1103" s="425"/>
      <c r="I1103" s="425"/>
      <c r="J1103" s="425"/>
      <c r="K1103" s="398"/>
      <c r="L1103" s="425"/>
      <c r="M1103" s="425"/>
      <c r="N1103" s="428"/>
      <c r="O1103" s="428"/>
      <c r="P1103" s="429"/>
      <c r="Q1103" s="425"/>
      <c r="R1103" s="398"/>
      <c r="S1103" s="398"/>
      <c r="T1103" s="432"/>
    </row>
    <row r="1104" spans="1:26">
      <c r="D1104" s="396"/>
      <c r="E1104" s="397"/>
      <c r="F1104" s="424"/>
      <c r="G1104" s="425"/>
      <c r="H1104" s="425"/>
      <c r="I1104" s="425"/>
      <c r="J1104" s="425"/>
      <c r="K1104" s="398"/>
      <c r="L1104" s="425"/>
      <c r="M1104" s="425"/>
      <c r="N1104" s="428"/>
      <c r="O1104" s="428"/>
      <c r="P1104" s="429"/>
      <c r="Q1104" s="425"/>
      <c r="R1104" s="398"/>
      <c r="S1104" s="398"/>
      <c r="T1104" s="432"/>
    </row>
    <row r="1105" spans="4:20">
      <c r="D1105" s="569" t="s">
        <v>423</v>
      </c>
      <c r="E1105" s="570"/>
      <c r="F1105" s="570"/>
      <c r="G1105" s="570"/>
      <c r="H1105" s="570"/>
      <c r="I1105" s="570"/>
      <c r="J1105" s="570"/>
      <c r="K1105" s="571"/>
      <c r="L1105" s="433" t="s">
        <v>424</v>
      </c>
      <c r="M1105" s="434"/>
      <c r="N1105" s="434"/>
      <c r="O1105" s="434"/>
      <c r="P1105" s="434"/>
      <c r="Q1105" s="434"/>
      <c r="R1105" s="434"/>
      <c r="S1105" s="434"/>
      <c r="T1105" s="435"/>
    </row>
    <row r="1106" spans="4:20">
      <c r="D1106" s="542"/>
      <c r="E1106" s="543"/>
      <c r="F1106" s="543"/>
      <c r="G1106" s="543"/>
      <c r="H1106" s="436"/>
      <c r="I1106" s="436"/>
      <c r="J1106" s="436"/>
      <c r="K1106" s="447"/>
      <c r="L1106" s="436"/>
      <c r="M1106" s="407"/>
      <c r="N1106" s="407"/>
      <c r="O1106" s="407"/>
      <c r="P1106" s="407"/>
      <c r="Q1106" s="407"/>
      <c r="R1106" s="407"/>
      <c r="S1106" s="407"/>
      <c r="T1106" s="437"/>
    </row>
    <row r="1107" spans="4:20">
      <c r="D1107" s="542"/>
      <c r="E1107" s="543"/>
      <c r="F1107" s="543"/>
      <c r="G1107" s="543"/>
      <c r="H1107" s="436"/>
      <c r="I1107" s="436"/>
      <c r="J1107" s="436"/>
      <c r="K1107" s="447"/>
      <c r="L1107" s="436"/>
      <c r="M1107" s="407"/>
      <c r="N1107" s="407"/>
      <c r="O1107" s="407"/>
      <c r="P1107" s="407"/>
      <c r="Q1107" s="407"/>
      <c r="R1107" s="407"/>
      <c r="S1107" s="407"/>
      <c r="T1107" s="437"/>
    </row>
    <row r="1108" spans="4:20">
      <c r="D1108" s="542" t="s">
        <v>425</v>
      </c>
      <c r="E1108" s="543"/>
      <c r="F1108" s="543" t="s">
        <v>425</v>
      </c>
      <c r="G1108" s="543"/>
      <c r="H1108" s="543" t="s">
        <v>425</v>
      </c>
      <c r="I1108" s="543"/>
      <c r="J1108" s="543" t="s">
        <v>425</v>
      </c>
      <c r="K1108" s="544"/>
      <c r="L1108" s="545" t="s">
        <v>426</v>
      </c>
      <c r="M1108" s="546"/>
      <c r="N1108" s="546"/>
      <c r="O1108" s="546"/>
      <c r="P1108" s="546"/>
      <c r="Q1108" s="546"/>
      <c r="R1108" s="546"/>
      <c r="S1108" s="546"/>
      <c r="T1108" s="547"/>
    </row>
    <row r="1109" spans="4:20">
      <c r="D1109" s="548" t="str">
        <f>+[42]DATOS!D$8</f>
        <v>HELMER EDUARDO BECERRA SANTANDER</v>
      </c>
      <c r="E1109" s="549"/>
      <c r="F1109" s="549" t="s">
        <v>427</v>
      </c>
      <c r="G1109" s="549"/>
      <c r="H1109" s="549" t="s">
        <v>427</v>
      </c>
      <c r="I1109" s="549"/>
      <c r="J1109" s="549" t="s">
        <v>427</v>
      </c>
      <c r="K1109" s="550"/>
      <c r="L1109" s="551" t="str">
        <f>+[42]DATOS!D$11</f>
        <v>JESUS IVAN QUIÑONES RUEDA</v>
      </c>
      <c r="M1109" s="549"/>
      <c r="N1109" s="549"/>
      <c r="O1109" s="549"/>
      <c r="P1109" s="549"/>
      <c r="Q1109" s="549"/>
      <c r="R1109" s="549"/>
      <c r="S1109" s="549"/>
      <c r="T1109" s="552"/>
    </row>
    <row r="1110" spans="4:20">
      <c r="D1110" s="553" t="str">
        <f>+$D$72</f>
        <v>APOYO SEC. DE PLANEACION Y OBRAS PÚBLICAS</v>
      </c>
      <c r="E1110" s="554"/>
      <c r="F1110" s="554" t="s">
        <v>428</v>
      </c>
      <c r="G1110" s="554"/>
      <c r="H1110" s="554" t="s">
        <v>428</v>
      </c>
      <c r="I1110" s="554"/>
      <c r="J1110" s="554" t="s">
        <v>428</v>
      </c>
      <c r="K1110" s="555"/>
      <c r="L1110" s="556" t="str">
        <f>+$L$72</f>
        <v>SECRETARIO DE PLANEACION Y OBRAS PÚBLICAS</v>
      </c>
      <c r="M1110" s="554"/>
      <c r="N1110" s="554"/>
      <c r="O1110" s="554"/>
      <c r="P1110" s="554"/>
      <c r="Q1110" s="554"/>
      <c r="R1110" s="554"/>
      <c r="S1110" s="554"/>
      <c r="T1110" s="557"/>
    </row>
    <row r="1111" spans="4:20">
      <c r="D1111" s="406"/>
      <c r="E1111" s="407"/>
      <c r="F1111" s="407"/>
      <c r="G1111" s="407"/>
      <c r="H1111" s="407"/>
      <c r="I1111" s="407"/>
      <c r="J1111" s="407"/>
      <c r="K1111" s="407"/>
      <c r="L1111" s="407"/>
      <c r="M1111" s="407"/>
      <c r="N1111" s="407"/>
      <c r="O1111" s="407"/>
      <c r="P1111" s="407"/>
      <c r="Q1111" s="407"/>
      <c r="R1111" s="407"/>
      <c r="S1111" s="407"/>
      <c r="T1111" s="437"/>
    </row>
    <row r="1112" spans="4:20" ht="111" customHeight="1" thickBot="1">
      <c r="D1112" s="417"/>
      <c r="E1112" s="418"/>
      <c r="F1112" s="418"/>
      <c r="G1112" s="418"/>
      <c r="H1112" s="418"/>
      <c r="I1112" s="418"/>
      <c r="J1112" s="418"/>
      <c r="K1112" s="418"/>
      <c r="L1112" s="418"/>
      <c r="M1112" s="418"/>
      <c r="N1112" s="418"/>
      <c r="O1112" s="418"/>
      <c r="P1112" s="418"/>
      <c r="Q1112" s="418"/>
      <c r="R1112" s="418"/>
      <c r="S1112" s="418"/>
      <c r="T1112" s="438"/>
    </row>
    <row r="1113" spans="4:20" ht="22.5" customHeight="1"/>
    <row r="1114" spans="4:20" ht="13.5" thickBot="1"/>
    <row r="1115" spans="4:20">
      <c r="D1115" s="384"/>
      <c r="E1115" s="385"/>
      <c r="F1115" s="385"/>
      <c r="G1115" s="385"/>
      <c r="H1115" s="385"/>
      <c r="I1115" s="385"/>
      <c r="J1115" s="385"/>
      <c r="K1115" s="445"/>
      <c r="L1115" s="385"/>
      <c r="M1115" s="385"/>
      <c r="N1115" s="385"/>
      <c r="O1115" s="385"/>
      <c r="P1115" s="385"/>
      <c r="Q1115" s="385"/>
      <c r="R1115" s="385"/>
      <c r="S1115" s="385"/>
      <c r="T1115" s="386"/>
    </row>
    <row r="1116" spans="4:20" ht="121.5" customHeight="1" thickBot="1">
      <c r="D1116" s="387"/>
      <c r="E1116" s="388"/>
      <c r="F1116" s="388"/>
      <c r="G1116" s="388"/>
      <c r="H1116" s="388"/>
      <c r="I1116" s="388"/>
      <c r="J1116" s="388"/>
      <c r="K1116" s="446"/>
      <c r="L1116" s="388"/>
      <c r="M1116" s="388"/>
      <c r="N1116" s="388"/>
      <c r="O1116" s="388"/>
      <c r="P1116" s="388"/>
      <c r="Q1116" s="388"/>
      <c r="R1116" s="388"/>
      <c r="S1116" s="388"/>
      <c r="T1116" s="389"/>
    </row>
    <row r="1117" spans="4:20">
      <c r="D1117" s="592" t="str">
        <f>+[42]DATOS!C$7</f>
        <v>MEJORAMIENTO DE VIVIENDA CON ENFOQUE DIFERENCIAL PARA POBLACIÓN VULNERABLE EN EL MUNICIPIO DE CUBARÁ, BOYACÁ (2026).</v>
      </c>
      <c r="E1117" s="593"/>
      <c r="F1117" s="593"/>
      <c r="G1117" s="593"/>
      <c r="H1117" s="593"/>
      <c r="I1117" s="593"/>
      <c r="J1117" s="593"/>
      <c r="K1117" s="593"/>
      <c r="L1117" s="593"/>
      <c r="M1117" s="593"/>
      <c r="N1117" s="593"/>
      <c r="O1117" s="593"/>
      <c r="P1117" s="593"/>
      <c r="Q1117" s="593"/>
      <c r="R1117" s="593"/>
      <c r="S1117" s="593"/>
      <c r="T1117" s="594"/>
    </row>
    <row r="1118" spans="4:20">
      <c r="D1118" s="595"/>
      <c r="E1118" s="596"/>
      <c r="F1118" s="596"/>
      <c r="G1118" s="596"/>
      <c r="H1118" s="596"/>
      <c r="I1118" s="596"/>
      <c r="J1118" s="596"/>
      <c r="K1118" s="596"/>
      <c r="L1118" s="596"/>
      <c r="M1118" s="596"/>
      <c r="N1118" s="596"/>
      <c r="O1118" s="596"/>
      <c r="P1118" s="596"/>
      <c r="Q1118" s="596"/>
      <c r="R1118" s="596"/>
      <c r="S1118" s="596"/>
      <c r="T1118" s="597"/>
    </row>
    <row r="1119" spans="4:20">
      <c r="D1119" s="598" t="s">
        <v>371</v>
      </c>
      <c r="E1119" s="599"/>
      <c r="F1119" s="599"/>
      <c r="G1119" s="599"/>
      <c r="H1119" s="599"/>
      <c r="I1119" s="599"/>
      <c r="J1119" s="599"/>
      <c r="K1119" s="599"/>
      <c r="L1119" s="599"/>
      <c r="M1119" s="599"/>
      <c r="N1119" s="599"/>
      <c r="O1119" s="599"/>
      <c r="P1119" s="599"/>
      <c r="Q1119" s="599"/>
      <c r="R1119" s="599"/>
      <c r="S1119" s="599"/>
      <c r="T1119" s="600"/>
    </row>
    <row r="1120" spans="4:20">
      <c r="D1120" s="586" t="s">
        <v>372</v>
      </c>
      <c r="E1120" s="587"/>
      <c r="F1120" s="601" t="s">
        <v>373</v>
      </c>
      <c r="G1120" s="601"/>
      <c r="H1120" s="601"/>
      <c r="I1120" s="601"/>
      <c r="J1120" s="601"/>
      <c r="K1120" s="601"/>
      <c r="L1120" s="601"/>
      <c r="M1120" s="601"/>
      <c r="N1120" s="601"/>
      <c r="O1120" s="601"/>
      <c r="P1120" s="601"/>
      <c r="Q1120" s="601"/>
      <c r="R1120" s="601"/>
      <c r="S1120" s="601"/>
      <c r="T1120" s="602"/>
    </row>
    <row r="1121" spans="1:26">
      <c r="D1121" s="586" t="s">
        <v>374</v>
      </c>
      <c r="E1121" s="587"/>
      <c r="F1121" s="603" t="s">
        <v>375</v>
      </c>
      <c r="G1121" s="604"/>
      <c r="H1121" s="604"/>
      <c r="I1121" s="604"/>
      <c r="J1121" s="604"/>
      <c r="K1121" s="604"/>
      <c r="L1121" s="604"/>
      <c r="M1121" s="604"/>
      <c r="N1121" s="604"/>
      <c r="O1121" s="604"/>
      <c r="P1121" s="604"/>
      <c r="Q1121" s="604"/>
      <c r="R1121" s="604"/>
      <c r="S1121" s="604"/>
      <c r="T1121" s="605"/>
    </row>
    <row r="1122" spans="1:26">
      <c r="D1122" s="586" t="s">
        <v>376</v>
      </c>
      <c r="E1122" s="587"/>
      <c r="F1122" s="390">
        <f>+[42]DATOS!F$5</f>
        <v>46143</v>
      </c>
      <c r="G1122" s="391"/>
      <c r="H1122" s="391"/>
      <c r="I1122" s="391"/>
      <c r="J1122" s="391"/>
      <c r="K1122" s="391"/>
      <c r="L1122" s="568" t="s">
        <v>377</v>
      </c>
      <c r="M1122" s="568"/>
      <c r="N1122" s="588" t="s">
        <v>378</v>
      </c>
      <c r="O1122" s="588"/>
      <c r="P1122" s="588"/>
      <c r="Q1122" s="588"/>
      <c r="R1122" s="588"/>
      <c r="S1122" s="588"/>
      <c r="T1122" s="589"/>
    </row>
    <row r="1123" spans="1:26" ht="25.5">
      <c r="D1123" s="586" t="s">
        <v>379</v>
      </c>
      <c r="E1123" s="587"/>
      <c r="F1123" s="590" t="s">
        <v>380</v>
      </c>
      <c r="G1123" s="591"/>
      <c r="H1123" s="392">
        <f>+[42]DATOS!E$5</f>
        <v>2026</v>
      </c>
      <c r="I1123" s="393" t="s">
        <v>381</v>
      </c>
      <c r="J1123" s="394">
        <f>+[42]DATOS!E$5</f>
        <v>2026</v>
      </c>
      <c r="K1123" s="395"/>
      <c r="L1123" s="568" t="s">
        <v>382</v>
      </c>
      <c r="M1123" s="568"/>
      <c r="N1123" s="588" t="s">
        <v>383</v>
      </c>
      <c r="O1123" s="588"/>
      <c r="P1123" s="588"/>
      <c r="Q1123" s="588"/>
      <c r="R1123" s="588"/>
      <c r="S1123" s="588"/>
      <c r="T1123" s="589"/>
    </row>
    <row r="1124" spans="1:26">
      <c r="D1124" s="396"/>
      <c r="E1124" s="397"/>
      <c r="F1124" s="397"/>
      <c r="G1124" s="398"/>
      <c r="H1124" s="398"/>
      <c r="I1124" s="398"/>
      <c r="J1124" s="398"/>
      <c r="K1124" s="398"/>
      <c r="L1124" s="398"/>
      <c r="M1124" s="398"/>
      <c r="N1124" s="398"/>
      <c r="O1124" s="398"/>
      <c r="P1124" s="398"/>
      <c r="Q1124" s="398"/>
      <c r="R1124" s="398"/>
      <c r="S1124" s="398"/>
      <c r="T1124" s="399"/>
    </row>
    <row r="1125" spans="1:26">
      <c r="D1125" s="572" t="s">
        <v>384</v>
      </c>
      <c r="E1125" s="573"/>
      <c r="F1125" s="573"/>
      <c r="G1125" s="573"/>
      <c r="H1125" s="573"/>
      <c r="I1125" s="573"/>
      <c r="J1125" s="573"/>
      <c r="K1125" s="573"/>
      <c r="L1125" s="573"/>
      <c r="M1125" s="573"/>
      <c r="N1125" s="573"/>
      <c r="O1125" s="573"/>
      <c r="P1125" s="573"/>
      <c r="Q1125" s="573"/>
      <c r="R1125" s="573"/>
      <c r="S1125" s="573"/>
      <c r="T1125" s="574"/>
    </row>
    <row r="1126" spans="1:26">
      <c r="D1126" s="396"/>
      <c r="E1126" s="397"/>
      <c r="F1126" s="397"/>
      <c r="G1126" s="398"/>
      <c r="H1126" s="398"/>
      <c r="I1126" s="398"/>
      <c r="J1126" s="398"/>
      <c r="K1126" s="398"/>
      <c r="L1126" s="398"/>
      <c r="M1126" s="398"/>
      <c r="N1126" s="398"/>
      <c r="O1126" s="398"/>
      <c r="P1126" s="398"/>
      <c r="Q1126" s="398"/>
      <c r="R1126" s="398"/>
      <c r="S1126" s="398"/>
      <c r="T1126" s="399"/>
    </row>
    <row r="1127" spans="1:26">
      <c r="D1127" s="400" t="s">
        <v>385</v>
      </c>
      <c r="E1127" s="575" t="s">
        <v>386</v>
      </c>
      <c r="F1127" s="575"/>
      <c r="G1127" s="576" t="s">
        <v>387</v>
      </c>
      <c r="H1127" s="577"/>
      <c r="I1127" s="577"/>
      <c r="J1127" s="576" t="s">
        <v>388</v>
      </c>
      <c r="K1127" s="576" t="s">
        <v>389</v>
      </c>
      <c r="L1127" s="579"/>
      <c r="M1127" s="581" t="s">
        <v>390</v>
      </c>
      <c r="N1127" s="581"/>
      <c r="O1127" s="581"/>
      <c r="P1127" s="581"/>
      <c r="Q1127" s="581"/>
      <c r="R1127" s="581"/>
      <c r="S1127" s="581" t="s">
        <v>391</v>
      </c>
      <c r="T1127" s="582"/>
    </row>
    <row r="1128" spans="1:26" ht="38.25">
      <c r="D1128" s="403">
        <f>+'PRESUPUESTO OFICIAL '!C52</f>
        <v>4.03</v>
      </c>
      <c r="E1128" s="583" t="str">
        <f>+VLOOKUP(D1128,'PRESUPUESTO OFICIAL '!$C$11:$H$103,2)</f>
        <v>SUMINISTRO E INSTALACIÓN DE TUBERÍA PVC SANITARIA D = 2"</v>
      </c>
      <c r="F1128" s="584"/>
      <c r="G1128" s="585" t="str">
        <f>+VLOOKUP(D1128,'PRESUPUESTO OFICIAL '!$C$11:$H$103,3)</f>
        <v>M</v>
      </c>
      <c r="H1128" s="585"/>
      <c r="I1128" s="585"/>
      <c r="J1128" s="578"/>
      <c r="K1128" s="578"/>
      <c r="L1128" s="580"/>
      <c r="M1128" s="401" t="s">
        <v>392</v>
      </c>
      <c r="N1128" s="401" t="s">
        <v>393</v>
      </c>
      <c r="O1128" s="401" t="s">
        <v>394</v>
      </c>
      <c r="P1128" s="401" t="s">
        <v>395</v>
      </c>
      <c r="Q1128" s="401" t="s">
        <v>396</v>
      </c>
      <c r="R1128" s="401" t="s">
        <v>397</v>
      </c>
      <c r="S1128" s="401" t="s">
        <v>398</v>
      </c>
      <c r="T1128" s="402" t="s">
        <v>399</v>
      </c>
      <c r="V1128" s="404">
        <f>+D1128</f>
        <v>4.03</v>
      </c>
      <c r="W1128" s="405">
        <f>+T1176</f>
        <v>24.6</v>
      </c>
    </row>
    <row r="1129" spans="1:26">
      <c r="D1129" s="406"/>
      <c r="E1129" s="407"/>
      <c r="F1129" s="407"/>
      <c r="G1129" s="407"/>
      <c r="H1129" s="407"/>
      <c r="I1129" s="407"/>
      <c r="J1129" s="558"/>
      <c r="K1129" s="559"/>
      <c r="L1129" s="560"/>
      <c r="M1129" s="560"/>
      <c r="N1129" s="560"/>
      <c r="O1129" s="560"/>
      <c r="P1129" s="560"/>
      <c r="Q1129" s="560"/>
      <c r="R1129" s="560"/>
      <c r="S1129" s="560"/>
      <c r="T1129" s="561"/>
    </row>
    <row r="1130" spans="1:26">
      <c r="A1130" s="453">
        <f>+D1128</f>
        <v>4.03</v>
      </c>
      <c r="B1130" s="383">
        <v>1</v>
      </c>
      <c r="D1130" s="406"/>
      <c r="E1130" s="407"/>
      <c r="F1130" s="407"/>
      <c r="G1130" s="407"/>
      <c r="H1130" s="407"/>
      <c r="I1130" s="407"/>
      <c r="J1130" s="408" t="s">
        <v>400</v>
      </c>
      <c r="K1130" s="409" t="str">
        <f t="shared" ref="K1130:K1172" si="179">+VLOOKUP(L1130,$AH$22:$AJ$58,2,)</f>
        <v>M=(Largo) x Cant</v>
      </c>
      <c r="L1130" s="410" t="str">
        <f>+G1128</f>
        <v>M</v>
      </c>
      <c r="M1130" s="411"/>
      <c r="N1130" s="412"/>
      <c r="O1130" s="442"/>
      <c r="P1130" s="442"/>
      <c r="Q1130" s="413"/>
      <c r="R1130" s="411"/>
      <c r="S1130" s="413"/>
      <c r="T1130" s="414">
        <f>+HLOOKUP(B1130,[238]Hoja1!$2:$78,41,FALSE)</f>
        <v>0</v>
      </c>
      <c r="Y1130" s="439">
        <f t="shared" ref="Y1130" si="180">+O1130*P1130*Q1130</f>
        <v>0</v>
      </c>
      <c r="Z1130" s="439">
        <f t="shared" ref="Z1130" si="181">+Y1130-R1130</f>
        <v>0</v>
      </c>
    </row>
    <row r="1131" spans="1:26">
      <c r="A1131" s="453">
        <f>+A1130</f>
        <v>4.03</v>
      </c>
      <c r="B1131" s="383">
        <v>2</v>
      </c>
      <c r="D1131" s="406"/>
      <c r="E1131" s="407"/>
      <c r="F1131" s="407"/>
      <c r="G1131" s="407"/>
      <c r="H1131" s="407"/>
      <c r="I1131" s="407"/>
      <c r="J1131" s="408" t="s">
        <v>401</v>
      </c>
      <c r="K1131" s="409" t="str">
        <f t="shared" si="179"/>
        <v>M=(Largo) x Cant</v>
      </c>
      <c r="L1131" s="410" t="str">
        <f>+L1130</f>
        <v>M</v>
      </c>
      <c r="M1131" s="411"/>
      <c r="N1131" s="412"/>
      <c r="O1131" s="442"/>
      <c r="P1131" s="442">
        <f t="shared" ref="P1131:P1170" si="182">+T1131</f>
        <v>2.4</v>
      </c>
      <c r="Q1131" s="413"/>
      <c r="R1131" s="411"/>
      <c r="S1131" s="413">
        <v>1</v>
      </c>
      <c r="T1131" s="414">
        <f>+HLOOKUP(B1057,[238]Hoja1!$2:$78,41,FALSE)</f>
        <v>2.4</v>
      </c>
      <c r="Y1131" s="439">
        <f>+M1131*Q1131</f>
        <v>0</v>
      </c>
      <c r="Z1131" s="439">
        <f>+Y1131-R1131</f>
        <v>0</v>
      </c>
    </row>
    <row r="1132" spans="1:26">
      <c r="A1132" s="453">
        <f t="shared" ref="A1132:A1172" si="183">+A1131</f>
        <v>4.03</v>
      </c>
      <c r="B1132" s="383">
        <v>3</v>
      </c>
      <c r="D1132" s="406"/>
      <c r="E1132" s="407"/>
      <c r="F1132" s="407"/>
      <c r="G1132" s="407"/>
      <c r="H1132" s="407"/>
      <c r="I1132" s="407"/>
      <c r="J1132" s="408" t="s">
        <v>402</v>
      </c>
      <c r="K1132" s="409" t="str">
        <f t="shared" si="179"/>
        <v>M=(Largo) x Cant</v>
      </c>
      <c r="L1132" s="410" t="str">
        <f>+L1131</f>
        <v>M</v>
      </c>
      <c r="M1132" s="411"/>
      <c r="N1132" s="412"/>
      <c r="O1132" s="442"/>
      <c r="P1132" s="442">
        <f t="shared" si="182"/>
        <v>2.4</v>
      </c>
      <c r="Q1132" s="413"/>
      <c r="R1132" s="411"/>
      <c r="S1132" s="413">
        <v>1</v>
      </c>
      <c r="T1132" s="414">
        <f>+HLOOKUP(B1058,[238]Hoja1!$2:$78,41,FALSE)</f>
        <v>2.4</v>
      </c>
      <c r="Y1132" s="439">
        <f t="shared" ref="Y1132:Y1134" si="184">+M1132*Q1132</f>
        <v>0</v>
      </c>
      <c r="Z1132" s="439">
        <f t="shared" ref="Z1132:Z1134" si="185">+Y1132-R1132</f>
        <v>0</v>
      </c>
    </row>
    <row r="1133" spans="1:26">
      <c r="A1133" s="453">
        <f t="shared" si="183"/>
        <v>4.03</v>
      </c>
      <c r="B1133" s="383">
        <v>4</v>
      </c>
      <c r="D1133" s="406"/>
      <c r="E1133" s="407"/>
      <c r="F1133" s="407"/>
      <c r="G1133" s="407"/>
      <c r="H1133" s="407"/>
      <c r="I1133" s="407"/>
      <c r="J1133" s="408" t="s">
        <v>403</v>
      </c>
      <c r="K1133" s="409" t="str">
        <f t="shared" si="179"/>
        <v>M=(Largo) x Cant</v>
      </c>
      <c r="L1133" s="410" t="str">
        <f>+L1132</f>
        <v>M</v>
      </c>
      <c r="M1133" s="411"/>
      <c r="N1133" s="412"/>
      <c r="O1133" s="442"/>
      <c r="P1133" s="442">
        <f t="shared" si="182"/>
        <v>2.4</v>
      </c>
      <c r="Q1133" s="413"/>
      <c r="R1133" s="411"/>
      <c r="S1133" s="413">
        <v>1</v>
      </c>
      <c r="T1133" s="414">
        <f>+HLOOKUP(B1059,[238]Hoja1!$2:$78,41,FALSE)</f>
        <v>2.4</v>
      </c>
      <c r="Y1133" s="439">
        <f t="shared" si="184"/>
        <v>0</v>
      </c>
      <c r="Z1133" s="439">
        <f t="shared" si="185"/>
        <v>0</v>
      </c>
    </row>
    <row r="1134" spans="1:26">
      <c r="A1134" s="453">
        <f t="shared" si="183"/>
        <v>4.03</v>
      </c>
      <c r="B1134" s="383">
        <v>5</v>
      </c>
      <c r="D1134" s="406"/>
      <c r="E1134" s="407"/>
      <c r="F1134" s="407"/>
      <c r="G1134" s="407"/>
      <c r="H1134" s="407"/>
      <c r="I1134" s="407"/>
      <c r="J1134" s="408" t="s">
        <v>405</v>
      </c>
      <c r="K1134" s="409" t="str">
        <f t="shared" si="179"/>
        <v>M=(Largo) x Cant</v>
      </c>
      <c r="L1134" s="410" t="str">
        <f>+L1133</f>
        <v>M</v>
      </c>
      <c r="M1134" s="411"/>
      <c r="N1134" s="412"/>
      <c r="O1134" s="442"/>
      <c r="P1134" s="442">
        <f t="shared" si="182"/>
        <v>2.4</v>
      </c>
      <c r="Q1134" s="413"/>
      <c r="R1134" s="411"/>
      <c r="S1134" s="413">
        <v>1</v>
      </c>
      <c r="T1134" s="414">
        <f>+HLOOKUP(B1060,[238]Hoja1!$2:$78,41,FALSE)</f>
        <v>2.4</v>
      </c>
      <c r="Y1134" s="439">
        <f t="shared" si="184"/>
        <v>0</v>
      </c>
      <c r="Z1134" s="439">
        <f t="shared" si="185"/>
        <v>0</v>
      </c>
    </row>
    <row r="1135" spans="1:26">
      <c r="A1135" s="453">
        <f t="shared" si="183"/>
        <v>4.03</v>
      </c>
      <c r="B1135" s="383">
        <v>6</v>
      </c>
      <c r="D1135" s="406"/>
      <c r="E1135" s="407"/>
      <c r="F1135" s="407"/>
      <c r="G1135" s="407"/>
      <c r="H1135" s="407"/>
      <c r="I1135" s="407"/>
      <c r="J1135" s="408" t="s">
        <v>407</v>
      </c>
      <c r="K1135" s="409" t="str">
        <f t="shared" si="179"/>
        <v>M=(Largo) x Cant</v>
      </c>
      <c r="L1135" s="410" t="str">
        <f>+L1134</f>
        <v>M</v>
      </c>
      <c r="M1135" s="411"/>
      <c r="N1135" s="412"/>
      <c r="O1135" s="442"/>
      <c r="P1135" s="442"/>
      <c r="Q1135" s="413"/>
      <c r="R1135" s="411"/>
      <c r="S1135" s="413"/>
      <c r="T1135" s="414">
        <f>+HLOOKUP(B1061,[238]Hoja1!$2:$78,41,FALSE)</f>
        <v>0</v>
      </c>
      <c r="Y1135" s="439">
        <f>+M1135*Q1135</f>
        <v>0</v>
      </c>
      <c r="Z1135" s="439">
        <f>+Y1135-R1135</f>
        <v>0</v>
      </c>
    </row>
    <row r="1136" spans="1:26">
      <c r="A1136" s="453">
        <f t="shared" si="183"/>
        <v>4.03</v>
      </c>
      <c r="B1136" s="383">
        <v>7</v>
      </c>
      <c r="D1136" s="406"/>
      <c r="E1136" s="407"/>
      <c r="F1136" s="407"/>
      <c r="G1136" s="407"/>
      <c r="H1136" s="407"/>
      <c r="I1136" s="407"/>
      <c r="J1136" s="408" t="s">
        <v>409</v>
      </c>
      <c r="K1136" s="409" t="str">
        <f t="shared" si="179"/>
        <v>M=(Largo) x Cant</v>
      </c>
      <c r="L1136" s="410" t="str">
        <f>+L1130</f>
        <v>M</v>
      </c>
      <c r="M1136" s="411"/>
      <c r="N1136" s="412"/>
      <c r="O1136" s="442"/>
      <c r="P1136" s="442"/>
      <c r="Q1136" s="413"/>
      <c r="R1136" s="411"/>
      <c r="S1136" s="413"/>
      <c r="T1136" s="414">
        <f>+HLOOKUP(B1062,[238]Hoja1!$2:$78,41,FALSE)</f>
        <v>0</v>
      </c>
      <c r="Y1136" s="439">
        <f t="shared" ref="Y1136:Y1172" si="186">+M1136*Q1136</f>
        <v>0</v>
      </c>
      <c r="Z1136" s="439">
        <f t="shared" ref="Z1136:Z1172" si="187">+Y1136-R1136</f>
        <v>0</v>
      </c>
    </row>
    <row r="1137" spans="1:26">
      <c r="A1137" s="453">
        <f t="shared" si="183"/>
        <v>4.03</v>
      </c>
      <c r="B1137" s="383">
        <v>8</v>
      </c>
      <c r="D1137" s="406"/>
      <c r="E1137" s="407"/>
      <c r="F1137" s="407"/>
      <c r="G1137" s="407"/>
      <c r="H1137" s="407"/>
      <c r="I1137" s="407"/>
      <c r="J1137" s="408" t="s">
        <v>411</v>
      </c>
      <c r="K1137" s="409" t="str">
        <f t="shared" si="179"/>
        <v>M=(Largo) x Cant</v>
      </c>
      <c r="L1137" s="410" t="str">
        <f>+L1136</f>
        <v>M</v>
      </c>
      <c r="M1137" s="411"/>
      <c r="N1137" s="412"/>
      <c r="O1137" s="442"/>
      <c r="P1137" s="442"/>
      <c r="Q1137" s="413"/>
      <c r="R1137" s="411"/>
      <c r="S1137" s="413"/>
      <c r="T1137" s="414">
        <f>+HLOOKUP(B1063,[238]Hoja1!$2:$78,41,FALSE)</f>
        <v>0</v>
      </c>
      <c r="Y1137" s="439">
        <f t="shared" si="186"/>
        <v>0</v>
      </c>
      <c r="Z1137" s="439">
        <f t="shared" si="187"/>
        <v>0</v>
      </c>
    </row>
    <row r="1138" spans="1:26">
      <c r="A1138" s="453">
        <f t="shared" si="183"/>
        <v>4.03</v>
      </c>
      <c r="B1138" s="383">
        <v>9</v>
      </c>
      <c r="D1138" s="406"/>
      <c r="E1138" s="407"/>
      <c r="F1138" s="407"/>
      <c r="G1138" s="407"/>
      <c r="H1138" s="407"/>
      <c r="I1138" s="407"/>
      <c r="J1138" s="408" t="s">
        <v>412</v>
      </c>
      <c r="K1138" s="409" t="str">
        <f t="shared" si="179"/>
        <v>M=(Largo) x Cant</v>
      </c>
      <c r="L1138" s="410" t="str">
        <f>+L1137</f>
        <v>M</v>
      </c>
      <c r="M1138" s="411"/>
      <c r="N1138" s="412"/>
      <c r="O1138" s="442"/>
      <c r="P1138" s="442">
        <f t="shared" si="182"/>
        <v>2.4</v>
      </c>
      <c r="Q1138" s="413"/>
      <c r="R1138" s="411"/>
      <c r="S1138" s="413">
        <v>1</v>
      </c>
      <c r="T1138" s="414">
        <f>+HLOOKUP(B1064,[238]Hoja1!$2:$78,41,FALSE)</f>
        <v>2.4</v>
      </c>
      <c r="Y1138" s="439">
        <f t="shared" si="186"/>
        <v>0</v>
      </c>
      <c r="Z1138" s="439">
        <f t="shared" si="187"/>
        <v>0</v>
      </c>
    </row>
    <row r="1139" spans="1:26">
      <c r="A1139" s="453">
        <f t="shared" si="183"/>
        <v>4.03</v>
      </c>
      <c r="B1139" s="383">
        <v>10</v>
      </c>
      <c r="D1139" s="406"/>
      <c r="E1139" s="407"/>
      <c r="F1139" s="407"/>
      <c r="G1139" s="407"/>
      <c r="H1139" s="407"/>
      <c r="I1139" s="407"/>
      <c r="J1139" s="408" t="s">
        <v>413</v>
      </c>
      <c r="K1139" s="409" t="str">
        <f t="shared" si="179"/>
        <v>M=(Largo) x Cant</v>
      </c>
      <c r="L1139" s="410" t="str">
        <f>+L1138</f>
        <v>M</v>
      </c>
      <c r="M1139" s="411"/>
      <c r="N1139" s="412"/>
      <c r="O1139" s="441"/>
      <c r="P1139" s="442"/>
      <c r="Q1139" s="412"/>
      <c r="R1139" s="411"/>
      <c r="S1139" s="413"/>
      <c r="T1139" s="414">
        <f>+HLOOKUP(B1065,[238]Hoja1!$2:$78,41,FALSE)</f>
        <v>0</v>
      </c>
      <c r="Y1139" s="439">
        <f t="shared" si="186"/>
        <v>0</v>
      </c>
      <c r="Z1139" s="439">
        <f t="shared" si="187"/>
        <v>0</v>
      </c>
    </row>
    <row r="1140" spans="1:26">
      <c r="A1140" s="453">
        <f t="shared" si="183"/>
        <v>4.03</v>
      </c>
      <c r="B1140" s="383">
        <v>11</v>
      </c>
      <c r="D1140" s="406"/>
      <c r="E1140" s="407"/>
      <c r="F1140" s="407"/>
      <c r="G1140" s="407"/>
      <c r="H1140" s="407"/>
      <c r="I1140" s="407"/>
      <c r="J1140" s="408" t="s">
        <v>414</v>
      </c>
      <c r="K1140" s="409" t="str">
        <f t="shared" si="179"/>
        <v>M=(Largo) x Cant</v>
      </c>
      <c r="L1140" s="410" t="str">
        <f>+L1139</f>
        <v>M</v>
      </c>
      <c r="M1140" s="411"/>
      <c r="N1140" s="412"/>
      <c r="O1140" s="443"/>
      <c r="P1140" s="442"/>
      <c r="Q1140" s="412"/>
      <c r="R1140" s="411"/>
      <c r="S1140" s="413"/>
      <c r="T1140" s="414">
        <f>+HLOOKUP(B1066,[238]Hoja1!$2:$78,41,FALSE)</f>
        <v>0</v>
      </c>
      <c r="Y1140" s="439">
        <f t="shared" si="186"/>
        <v>0</v>
      </c>
      <c r="Z1140" s="439">
        <f t="shared" si="187"/>
        <v>0</v>
      </c>
    </row>
    <row r="1141" spans="1:26">
      <c r="A1141" s="453">
        <f t="shared" si="183"/>
        <v>4.03</v>
      </c>
      <c r="B1141" s="383">
        <v>12</v>
      </c>
      <c r="D1141" s="406"/>
      <c r="E1141" s="407"/>
      <c r="F1141" s="407"/>
      <c r="G1141" s="407"/>
      <c r="H1141" s="407"/>
      <c r="I1141" s="407"/>
      <c r="J1141" s="408" t="s">
        <v>415</v>
      </c>
      <c r="K1141" s="409" t="str">
        <f t="shared" si="179"/>
        <v>M=(Largo) x Cant</v>
      </c>
      <c r="L1141" s="410" t="str">
        <f>+L1135</f>
        <v>M</v>
      </c>
      <c r="M1141" s="411"/>
      <c r="N1141" s="412"/>
      <c r="O1141" s="442"/>
      <c r="P1141" s="442"/>
      <c r="Q1141" s="413"/>
      <c r="R1141" s="411"/>
      <c r="S1141" s="413"/>
      <c r="T1141" s="414">
        <f>+HLOOKUP(B1067,[238]Hoja1!$2:$78,41,FALSE)</f>
        <v>0</v>
      </c>
      <c r="Y1141" s="439">
        <f t="shared" si="186"/>
        <v>0</v>
      </c>
      <c r="Z1141" s="439">
        <f t="shared" si="187"/>
        <v>0</v>
      </c>
    </row>
    <row r="1142" spans="1:26">
      <c r="A1142" s="453">
        <f t="shared" si="183"/>
        <v>4.03</v>
      </c>
      <c r="B1142" s="383">
        <v>13</v>
      </c>
      <c r="D1142" s="406"/>
      <c r="E1142" s="407"/>
      <c r="F1142" s="407"/>
      <c r="G1142" s="407"/>
      <c r="H1142" s="407"/>
      <c r="I1142" s="407"/>
      <c r="J1142" s="408" t="s">
        <v>416</v>
      </c>
      <c r="K1142" s="409" t="str">
        <f t="shared" si="179"/>
        <v>M=(Largo) x Cant</v>
      </c>
      <c r="L1142" s="410" t="str">
        <f>+L1137</f>
        <v>M</v>
      </c>
      <c r="M1142" s="411"/>
      <c r="N1142" s="412"/>
      <c r="O1142" s="442"/>
      <c r="P1142" s="442"/>
      <c r="Q1142" s="413"/>
      <c r="R1142" s="411"/>
      <c r="S1142" s="413"/>
      <c r="T1142" s="414">
        <f>+HLOOKUP(B1068,[238]Hoja1!$2:$78,41,FALSE)</f>
        <v>0</v>
      </c>
      <c r="Y1142" s="439">
        <f t="shared" si="186"/>
        <v>0</v>
      </c>
      <c r="Z1142" s="439">
        <f t="shared" si="187"/>
        <v>0</v>
      </c>
    </row>
    <row r="1143" spans="1:26">
      <c r="A1143" s="453">
        <f t="shared" si="183"/>
        <v>4.03</v>
      </c>
      <c r="B1143" s="383">
        <v>14</v>
      </c>
      <c r="D1143" s="406"/>
      <c r="E1143" s="407"/>
      <c r="F1143" s="407"/>
      <c r="G1143" s="407"/>
      <c r="H1143" s="407"/>
      <c r="I1143" s="407"/>
      <c r="J1143" s="408" t="s">
        <v>417</v>
      </c>
      <c r="K1143" s="409" t="str">
        <f t="shared" si="179"/>
        <v>M=(Largo) x Cant</v>
      </c>
      <c r="L1143" s="410" t="str">
        <f t="shared" ref="L1143:L1154" si="188">+L1142</f>
        <v>M</v>
      </c>
      <c r="M1143" s="411"/>
      <c r="N1143" s="412"/>
      <c r="O1143" s="442"/>
      <c r="P1143" s="442">
        <f t="shared" si="182"/>
        <v>2.4</v>
      </c>
      <c r="Q1143" s="413"/>
      <c r="R1143" s="411"/>
      <c r="S1143" s="413">
        <v>1</v>
      </c>
      <c r="T1143" s="414">
        <f>+HLOOKUP(B1069,[238]Hoja1!$2:$78,41,FALSE)</f>
        <v>2.4</v>
      </c>
      <c r="Y1143" s="439">
        <f t="shared" si="186"/>
        <v>0</v>
      </c>
      <c r="Z1143" s="439">
        <f t="shared" si="187"/>
        <v>0</v>
      </c>
    </row>
    <row r="1144" spans="1:26">
      <c r="A1144" s="453">
        <f t="shared" si="183"/>
        <v>4.03</v>
      </c>
      <c r="B1144" s="383">
        <v>15</v>
      </c>
      <c r="D1144" s="406"/>
      <c r="E1144" s="407"/>
      <c r="F1144" s="407"/>
      <c r="G1144" s="407"/>
      <c r="H1144" s="407"/>
      <c r="I1144" s="407"/>
      <c r="J1144" s="408" t="s">
        <v>418</v>
      </c>
      <c r="K1144" s="409" t="str">
        <f t="shared" si="179"/>
        <v>M=(Largo) x Cant</v>
      </c>
      <c r="L1144" s="410" t="str">
        <f t="shared" si="188"/>
        <v>M</v>
      </c>
      <c r="M1144" s="411"/>
      <c r="N1144" s="412"/>
      <c r="O1144" s="442"/>
      <c r="P1144" s="442"/>
      <c r="Q1144" s="449"/>
      <c r="R1144" s="411"/>
      <c r="S1144" s="413"/>
      <c r="T1144" s="414">
        <f>+HLOOKUP(B1070,[238]Hoja1!$2:$78,41,FALSE)</f>
        <v>0</v>
      </c>
      <c r="Y1144" s="439">
        <f t="shared" si="186"/>
        <v>0</v>
      </c>
      <c r="Z1144" s="439">
        <f t="shared" si="187"/>
        <v>0</v>
      </c>
    </row>
    <row r="1145" spans="1:26">
      <c r="A1145" s="453">
        <f t="shared" si="183"/>
        <v>4.03</v>
      </c>
      <c r="B1145" s="383">
        <v>16</v>
      </c>
      <c r="D1145" s="406"/>
      <c r="E1145" s="407"/>
      <c r="F1145" s="407"/>
      <c r="G1145" s="407"/>
      <c r="H1145" s="407"/>
      <c r="I1145" s="407"/>
      <c r="J1145" s="408" t="s">
        <v>419</v>
      </c>
      <c r="K1145" s="409" t="str">
        <f t="shared" si="179"/>
        <v>M=(Largo) x Cant</v>
      </c>
      <c r="L1145" s="410" t="str">
        <f t="shared" si="188"/>
        <v>M</v>
      </c>
      <c r="M1145" s="411"/>
      <c r="N1145" s="412"/>
      <c r="O1145" s="442"/>
      <c r="P1145" s="442"/>
      <c r="Q1145" s="449"/>
      <c r="R1145" s="411"/>
      <c r="S1145" s="413"/>
      <c r="T1145" s="414">
        <f>+HLOOKUP(B1071,[238]Hoja1!$2:$78,41,FALSE)</f>
        <v>0</v>
      </c>
      <c r="Y1145" s="439">
        <f t="shared" si="186"/>
        <v>0</v>
      </c>
      <c r="Z1145" s="439">
        <f t="shared" si="187"/>
        <v>0</v>
      </c>
    </row>
    <row r="1146" spans="1:26">
      <c r="A1146" s="453">
        <f t="shared" si="183"/>
        <v>4.03</v>
      </c>
      <c r="B1146" s="383">
        <v>17</v>
      </c>
      <c r="D1146" s="406"/>
      <c r="E1146" s="407"/>
      <c r="F1146" s="407"/>
      <c r="G1146" s="407"/>
      <c r="H1146" s="407"/>
      <c r="I1146" s="407"/>
      <c r="J1146" s="408" t="s">
        <v>420</v>
      </c>
      <c r="K1146" s="409" t="str">
        <f t="shared" si="179"/>
        <v>M=(Largo) x Cant</v>
      </c>
      <c r="L1146" s="410" t="str">
        <f t="shared" si="188"/>
        <v>M</v>
      </c>
      <c r="M1146" s="411"/>
      <c r="N1146" s="412"/>
      <c r="O1146" s="442"/>
      <c r="P1146" s="442"/>
      <c r="Q1146" s="448"/>
      <c r="R1146" s="411"/>
      <c r="S1146" s="413"/>
      <c r="T1146" s="414">
        <f>+HLOOKUP(B1072,[238]Hoja1!$2:$78,41,FALSE)</f>
        <v>0</v>
      </c>
      <c r="W1146" s="383">
        <f>+Q1146*P1146*O1146</f>
        <v>0</v>
      </c>
      <c r="Y1146" s="439">
        <f t="shared" si="186"/>
        <v>0</v>
      </c>
      <c r="Z1146" s="439">
        <f t="shared" si="187"/>
        <v>0</v>
      </c>
    </row>
    <row r="1147" spans="1:26">
      <c r="A1147" s="453">
        <f t="shared" si="183"/>
        <v>4.03</v>
      </c>
      <c r="B1147" s="383">
        <v>18</v>
      </c>
      <c r="D1147" s="406"/>
      <c r="E1147" s="407"/>
      <c r="F1147" s="407"/>
      <c r="G1147" s="407"/>
      <c r="H1147" s="407"/>
      <c r="I1147" s="407"/>
      <c r="J1147" s="408" t="s">
        <v>429</v>
      </c>
      <c r="K1147" s="409" t="str">
        <f t="shared" si="179"/>
        <v>M=(Largo) x Cant</v>
      </c>
      <c r="L1147" s="410" t="str">
        <f t="shared" si="188"/>
        <v>M</v>
      </c>
      <c r="M1147" s="411"/>
      <c r="N1147" s="412"/>
      <c r="O1147" s="442"/>
      <c r="P1147" s="442"/>
      <c r="Q1147" s="413"/>
      <c r="R1147" s="411"/>
      <c r="S1147" s="413"/>
      <c r="T1147" s="414">
        <f>+HLOOKUP(B1073,[238]Hoja1!$2:$78,41,FALSE)</f>
        <v>0</v>
      </c>
      <c r="Y1147" s="439">
        <f t="shared" si="186"/>
        <v>0</v>
      </c>
      <c r="Z1147" s="439">
        <f t="shared" si="187"/>
        <v>0</v>
      </c>
    </row>
    <row r="1148" spans="1:26">
      <c r="A1148" s="453">
        <f t="shared" si="183"/>
        <v>4.03</v>
      </c>
      <c r="B1148" s="383">
        <v>19</v>
      </c>
      <c r="D1148" s="406"/>
      <c r="E1148" s="407"/>
      <c r="F1148" s="407"/>
      <c r="G1148" s="407"/>
      <c r="H1148" s="407"/>
      <c r="I1148" s="407"/>
      <c r="J1148" s="408" t="s">
        <v>430</v>
      </c>
      <c r="K1148" s="409" t="str">
        <f t="shared" si="179"/>
        <v>M=(Largo) x Cant</v>
      </c>
      <c r="L1148" s="410" t="str">
        <f t="shared" si="188"/>
        <v>M</v>
      </c>
      <c r="M1148" s="411"/>
      <c r="N1148" s="412"/>
      <c r="O1148" s="442"/>
      <c r="P1148" s="442">
        <f t="shared" si="182"/>
        <v>2.4</v>
      </c>
      <c r="Q1148" s="448"/>
      <c r="R1148" s="411"/>
      <c r="S1148" s="413">
        <v>1</v>
      </c>
      <c r="T1148" s="414">
        <f>+HLOOKUP(B1074,[238]Hoja1!$2:$78,41,FALSE)</f>
        <v>2.4</v>
      </c>
      <c r="Y1148" s="439">
        <f t="shared" si="186"/>
        <v>0</v>
      </c>
      <c r="Z1148" s="439">
        <f t="shared" si="187"/>
        <v>0</v>
      </c>
    </row>
    <row r="1149" spans="1:26">
      <c r="A1149" s="453">
        <f t="shared" si="183"/>
        <v>4.03</v>
      </c>
      <c r="B1149" s="383">
        <v>20</v>
      </c>
      <c r="D1149" s="406"/>
      <c r="E1149" s="407"/>
      <c r="F1149" s="407"/>
      <c r="G1149" s="407"/>
      <c r="H1149" s="407"/>
      <c r="I1149" s="407"/>
      <c r="J1149" s="408" t="s">
        <v>431</v>
      </c>
      <c r="K1149" s="409" t="str">
        <f t="shared" si="179"/>
        <v>M=(Largo) x Cant</v>
      </c>
      <c r="L1149" s="410" t="str">
        <f t="shared" si="188"/>
        <v>M</v>
      </c>
      <c r="M1149" s="411"/>
      <c r="N1149" s="412"/>
      <c r="O1149" s="442"/>
      <c r="P1149" s="442"/>
      <c r="Q1149" s="413"/>
      <c r="R1149" s="411"/>
      <c r="S1149" s="413"/>
      <c r="T1149" s="414">
        <f>+HLOOKUP(B1075,[238]Hoja1!$2:$78,41,FALSE)</f>
        <v>0</v>
      </c>
      <c r="Y1149" s="439">
        <f t="shared" si="186"/>
        <v>0</v>
      </c>
      <c r="Z1149" s="439">
        <f t="shared" si="187"/>
        <v>0</v>
      </c>
    </row>
    <row r="1150" spans="1:26">
      <c r="A1150" s="453">
        <f t="shared" si="183"/>
        <v>4.03</v>
      </c>
      <c r="B1150" s="383">
        <v>21</v>
      </c>
      <c r="D1150" s="406"/>
      <c r="E1150" s="407"/>
      <c r="F1150" s="407"/>
      <c r="G1150" s="407"/>
      <c r="H1150" s="407"/>
      <c r="I1150" s="407"/>
      <c r="J1150" s="408" t="s">
        <v>432</v>
      </c>
      <c r="K1150" s="409" t="str">
        <f t="shared" si="179"/>
        <v>M=(Largo) x Cant</v>
      </c>
      <c r="L1150" s="410" t="str">
        <f t="shared" si="188"/>
        <v>M</v>
      </c>
      <c r="M1150" s="411"/>
      <c r="N1150" s="412"/>
      <c r="O1150" s="442"/>
      <c r="P1150" s="442"/>
      <c r="Q1150" s="412"/>
      <c r="R1150" s="411"/>
      <c r="S1150" s="413"/>
      <c r="T1150" s="414">
        <f>+HLOOKUP(B1076,[238]Hoja1!$2:$78,41,FALSE)</f>
        <v>0</v>
      </c>
      <c r="Y1150" s="439">
        <f t="shared" si="186"/>
        <v>0</v>
      </c>
      <c r="Z1150" s="439">
        <f t="shared" si="187"/>
        <v>0</v>
      </c>
    </row>
    <row r="1151" spans="1:26">
      <c r="A1151" s="453">
        <f t="shared" si="183"/>
        <v>4.03</v>
      </c>
      <c r="B1151" s="383">
        <v>22</v>
      </c>
      <c r="D1151" s="406"/>
      <c r="E1151" s="407"/>
      <c r="F1151" s="407"/>
      <c r="G1151" s="407"/>
      <c r="H1151" s="407"/>
      <c r="I1151" s="407"/>
      <c r="J1151" s="408" t="s">
        <v>433</v>
      </c>
      <c r="K1151" s="409" t="str">
        <f t="shared" si="179"/>
        <v>M=(Largo) x Cant</v>
      </c>
      <c r="L1151" s="410" t="str">
        <f t="shared" si="188"/>
        <v>M</v>
      </c>
      <c r="M1151" s="411"/>
      <c r="N1151" s="412"/>
      <c r="O1151" s="442"/>
      <c r="P1151" s="442">
        <f t="shared" si="182"/>
        <v>2.4</v>
      </c>
      <c r="Q1151" s="448"/>
      <c r="R1151" s="411"/>
      <c r="S1151" s="413">
        <v>1</v>
      </c>
      <c r="T1151" s="414">
        <f>+HLOOKUP(B1077,[238]Hoja1!$2:$78,41,FALSE)</f>
        <v>2.4</v>
      </c>
      <c r="Y1151" s="439">
        <f t="shared" si="186"/>
        <v>0</v>
      </c>
      <c r="Z1151" s="439">
        <f t="shared" si="187"/>
        <v>0</v>
      </c>
    </row>
    <row r="1152" spans="1:26">
      <c r="A1152" s="453">
        <f t="shared" si="183"/>
        <v>4.03</v>
      </c>
      <c r="B1152" s="383">
        <v>23</v>
      </c>
      <c r="D1152" s="406"/>
      <c r="E1152" s="407"/>
      <c r="F1152" s="407"/>
      <c r="G1152" s="407"/>
      <c r="H1152" s="407"/>
      <c r="I1152" s="407"/>
      <c r="J1152" s="408" t="s">
        <v>434</v>
      </c>
      <c r="K1152" s="409" t="str">
        <f t="shared" si="179"/>
        <v>M=(Largo) x Cant</v>
      </c>
      <c r="L1152" s="410" t="str">
        <f t="shared" si="188"/>
        <v>M</v>
      </c>
      <c r="M1152" s="411"/>
      <c r="N1152" s="412"/>
      <c r="O1152" s="441"/>
      <c r="P1152" s="442"/>
      <c r="Q1152" s="412"/>
      <c r="R1152" s="411"/>
      <c r="S1152" s="413"/>
      <c r="T1152" s="414">
        <f>+HLOOKUP(B1078,[238]Hoja1!$2:$78,41,FALSE)</f>
        <v>0</v>
      </c>
      <c r="Y1152" s="439">
        <f t="shared" si="186"/>
        <v>0</v>
      </c>
      <c r="Z1152" s="439">
        <f t="shared" si="187"/>
        <v>0</v>
      </c>
    </row>
    <row r="1153" spans="1:26">
      <c r="A1153" s="453">
        <f t="shared" si="183"/>
        <v>4.03</v>
      </c>
      <c r="B1153" s="383">
        <v>24</v>
      </c>
      <c r="D1153" s="406"/>
      <c r="E1153" s="407"/>
      <c r="F1153" s="407"/>
      <c r="G1153" s="407"/>
      <c r="H1153" s="407"/>
      <c r="I1153" s="407"/>
      <c r="J1153" s="408" t="s">
        <v>435</v>
      </c>
      <c r="K1153" s="409" t="str">
        <f t="shared" si="179"/>
        <v>M=(Largo) x Cant</v>
      </c>
      <c r="L1153" s="410" t="str">
        <f t="shared" si="188"/>
        <v>M</v>
      </c>
      <c r="M1153" s="411"/>
      <c r="N1153" s="412"/>
      <c r="O1153" s="442"/>
      <c r="P1153" s="442"/>
      <c r="Q1153" s="413"/>
      <c r="R1153" s="411"/>
      <c r="S1153" s="413"/>
      <c r="T1153" s="414">
        <f>+HLOOKUP(B1079,[238]Hoja1!$2:$78,41,FALSE)</f>
        <v>0</v>
      </c>
      <c r="Y1153" s="439">
        <f t="shared" si="186"/>
        <v>0</v>
      </c>
      <c r="Z1153" s="439">
        <f t="shared" si="187"/>
        <v>0</v>
      </c>
    </row>
    <row r="1154" spans="1:26">
      <c r="A1154" s="453">
        <f t="shared" si="183"/>
        <v>4.03</v>
      </c>
      <c r="B1154" s="383">
        <v>25</v>
      </c>
      <c r="D1154" s="406"/>
      <c r="E1154" s="407"/>
      <c r="F1154" s="407"/>
      <c r="G1154" s="407"/>
      <c r="H1154" s="407"/>
      <c r="I1154" s="407"/>
      <c r="J1154" s="408" t="s">
        <v>436</v>
      </c>
      <c r="K1154" s="409" t="str">
        <f t="shared" si="179"/>
        <v>M=(Largo) x Cant</v>
      </c>
      <c r="L1154" s="410" t="str">
        <f t="shared" si="188"/>
        <v>M</v>
      </c>
      <c r="M1154" s="411"/>
      <c r="N1154" s="412"/>
      <c r="O1154" s="442"/>
      <c r="P1154" s="442"/>
      <c r="Q1154" s="450"/>
      <c r="R1154" s="411"/>
      <c r="S1154" s="413"/>
      <c r="T1154" s="414">
        <f>+HLOOKUP(B1080,[238]Hoja1!$2:$78,41,FALSE)</f>
        <v>0</v>
      </c>
      <c r="Y1154" s="439">
        <f t="shared" si="186"/>
        <v>0</v>
      </c>
      <c r="Z1154" s="439">
        <f t="shared" si="187"/>
        <v>0</v>
      </c>
    </row>
    <row r="1155" spans="1:26">
      <c r="A1155" s="453">
        <f t="shared" si="183"/>
        <v>4.03</v>
      </c>
      <c r="B1155" s="383">
        <v>26</v>
      </c>
      <c r="D1155" s="406"/>
      <c r="E1155" s="407"/>
      <c r="F1155" s="407"/>
      <c r="G1155" s="407"/>
      <c r="H1155" s="407"/>
      <c r="I1155" s="407"/>
      <c r="J1155" s="408" t="s">
        <v>437</v>
      </c>
      <c r="K1155" s="409" t="str">
        <f t="shared" si="179"/>
        <v>M=(Largo) x Cant</v>
      </c>
      <c r="L1155" s="410" t="str">
        <f>+L1144</f>
        <v>M</v>
      </c>
      <c r="M1155" s="411"/>
      <c r="N1155" s="412"/>
      <c r="O1155" s="442"/>
      <c r="P1155" s="442"/>
      <c r="Q1155" s="412"/>
      <c r="R1155" s="411"/>
      <c r="S1155" s="413"/>
      <c r="T1155" s="414">
        <f>+HLOOKUP(B1081,[238]Hoja1!$2:$78,41,FALSE)</f>
        <v>0</v>
      </c>
      <c r="Y1155" s="439">
        <f t="shared" si="186"/>
        <v>0</v>
      </c>
      <c r="Z1155" s="439">
        <f t="shared" si="187"/>
        <v>0</v>
      </c>
    </row>
    <row r="1156" spans="1:26">
      <c r="A1156" s="453">
        <f t="shared" si="183"/>
        <v>4.03</v>
      </c>
      <c r="B1156" s="383">
        <v>27</v>
      </c>
      <c r="D1156" s="406"/>
      <c r="E1156" s="407"/>
      <c r="F1156" s="407"/>
      <c r="G1156" s="407"/>
      <c r="H1156" s="407"/>
      <c r="I1156" s="407"/>
      <c r="J1156" s="408" t="s">
        <v>438</v>
      </c>
      <c r="K1156" s="409" t="str">
        <f t="shared" si="179"/>
        <v>M=(Largo) x Cant</v>
      </c>
      <c r="L1156" s="410" t="str">
        <f t="shared" ref="L1156:L1164" si="189">+L1155</f>
        <v>M</v>
      </c>
      <c r="M1156" s="411"/>
      <c r="N1156" s="412"/>
      <c r="O1156" s="442"/>
      <c r="P1156" s="442">
        <f t="shared" si="182"/>
        <v>2.4</v>
      </c>
      <c r="Q1156" s="448"/>
      <c r="R1156" s="411"/>
      <c r="S1156" s="413">
        <v>1</v>
      </c>
      <c r="T1156" s="414">
        <f>+HLOOKUP(B1082,[238]Hoja1!$2:$78,41,FALSE)</f>
        <v>2.4</v>
      </c>
      <c r="Y1156" s="439">
        <f t="shared" si="186"/>
        <v>0</v>
      </c>
      <c r="Z1156" s="439">
        <f t="shared" si="187"/>
        <v>0</v>
      </c>
    </row>
    <row r="1157" spans="1:26">
      <c r="A1157" s="453">
        <f t="shared" si="183"/>
        <v>4.03</v>
      </c>
      <c r="B1157" s="383">
        <v>28</v>
      </c>
      <c r="D1157" s="406"/>
      <c r="E1157" s="440"/>
      <c r="F1157" s="407"/>
      <c r="G1157" s="407"/>
      <c r="H1157" s="407"/>
      <c r="I1157" s="437"/>
      <c r="J1157" s="408" t="s">
        <v>439</v>
      </c>
      <c r="K1157" s="409" t="str">
        <f t="shared" si="179"/>
        <v>M=(Largo) x Cant</v>
      </c>
      <c r="L1157" s="410" t="str">
        <f t="shared" si="189"/>
        <v>M</v>
      </c>
      <c r="M1157" s="411"/>
      <c r="N1157" s="412"/>
      <c r="O1157" s="442"/>
      <c r="P1157" s="442"/>
      <c r="Q1157" s="413"/>
      <c r="R1157" s="411"/>
      <c r="S1157" s="413"/>
      <c r="T1157" s="414">
        <f>+HLOOKUP(B1083,[238]Hoja1!$2:$78,41,FALSE)</f>
        <v>0</v>
      </c>
      <c r="Y1157" s="439">
        <f t="shared" si="186"/>
        <v>0</v>
      </c>
      <c r="Z1157" s="439">
        <f t="shared" si="187"/>
        <v>0</v>
      </c>
    </row>
    <row r="1158" spans="1:26">
      <c r="A1158" s="453">
        <f t="shared" si="183"/>
        <v>4.03</v>
      </c>
      <c r="B1158" s="383">
        <v>29</v>
      </c>
      <c r="D1158" s="406"/>
      <c r="E1158" s="407"/>
      <c r="F1158" s="407"/>
      <c r="G1158" s="407"/>
      <c r="H1158" s="407"/>
      <c r="I1158" s="407"/>
      <c r="J1158" s="408" t="s">
        <v>440</v>
      </c>
      <c r="K1158" s="409" t="str">
        <f t="shared" si="179"/>
        <v>M=(Largo) x Cant</v>
      </c>
      <c r="L1158" s="410" t="str">
        <f t="shared" si="189"/>
        <v>M</v>
      </c>
      <c r="M1158" s="411"/>
      <c r="N1158" s="412"/>
      <c r="O1158" s="443"/>
      <c r="P1158" s="442"/>
      <c r="Q1158" s="412"/>
      <c r="R1158" s="411"/>
      <c r="S1158" s="413"/>
      <c r="T1158" s="414">
        <f>+HLOOKUP(B1084,[238]Hoja1!$2:$78,41,FALSE)</f>
        <v>0</v>
      </c>
      <c r="Y1158" s="439">
        <f t="shared" si="186"/>
        <v>0</v>
      </c>
      <c r="Z1158" s="439">
        <f t="shared" si="187"/>
        <v>0</v>
      </c>
    </row>
    <row r="1159" spans="1:26">
      <c r="A1159" s="453">
        <f t="shared" si="183"/>
        <v>4.03</v>
      </c>
      <c r="B1159" s="383">
        <v>30</v>
      </c>
      <c r="D1159" s="406"/>
      <c r="E1159" s="407"/>
      <c r="F1159" s="407"/>
      <c r="G1159" s="407"/>
      <c r="H1159" s="407"/>
      <c r="I1159" s="407"/>
      <c r="J1159" s="408" t="s">
        <v>441</v>
      </c>
      <c r="K1159" s="409" t="str">
        <f t="shared" si="179"/>
        <v>M=(Largo) x Cant</v>
      </c>
      <c r="L1159" s="410" t="str">
        <f t="shared" si="189"/>
        <v>M</v>
      </c>
      <c r="M1159" s="411"/>
      <c r="N1159" s="412"/>
      <c r="O1159" s="442"/>
      <c r="P1159" s="442"/>
      <c r="Q1159" s="413"/>
      <c r="R1159" s="411"/>
      <c r="S1159" s="413"/>
      <c r="T1159" s="414">
        <f>+HLOOKUP(B1085,[238]Hoja1!$2:$78,41,FALSE)</f>
        <v>0</v>
      </c>
      <c r="Y1159" s="439">
        <f t="shared" si="186"/>
        <v>0</v>
      </c>
      <c r="Z1159" s="439">
        <f t="shared" si="187"/>
        <v>0</v>
      </c>
    </row>
    <row r="1160" spans="1:26">
      <c r="A1160" s="453">
        <f t="shared" si="183"/>
        <v>4.03</v>
      </c>
      <c r="B1160" s="383">
        <v>31</v>
      </c>
      <c r="D1160" s="406"/>
      <c r="E1160" s="407"/>
      <c r="F1160" s="407"/>
      <c r="G1160" s="407"/>
      <c r="H1160" s="407"/>
      <c r="I1160" s="407"/>
      <c r="J1160" s="408" t="s">
        <v>442</v>
      </c>
      <c r="K1160" s="409" t="str">
        <f t="shared" si="179"/>
        <v>M=(Largo) x Cant</v>
      </c>
      <c r="L1160" s="410" t="str">
        <f t="shared" si="189"/>
        <v>M</v>
      </c>
      <c r="M1160" s="411"/>
      <c r="N1160" s="412"/>
      <c r="O1160" s="442"/>
      <c r="P1160" s="442"/>
      <c r="Q1160" s="413"/>
      <c r="R1160" s="411"/>
      <c r="S1160" s="413"/>
      <c r="T1160" s="414">
        <f>+HLOOKUP(B1086,[238]Hoja1!$2:$78,41,FALSE)</f>
        <v>0</v>
      </c>
      <c r="Y1160" s="439">
        <f t="shared" si="186"/>
        <v>0</v>
      </c>
      <c r="Z1160" s="439">
        <f t="shared" si="187"/>
        <v>0</v>
      </c>
    </row>
    <row r="1161" spans="1:26">
      <c r="A1161" s="453">
        <f t="shared" si="183"/>
        <v>4.03</v>
      </c>
      <c r="B1161" s="383">
        <v>32</v>
      </c>
      <c r="D1161" s="406"/>
      <c r="E1161" s="407"/>
      <c r="F1161" s="407"/>
      <c r="G1161" s="407"/>
      <c r="H1161" s="407"/>
      <c r="I1161" s="407"/>
      <c r="J1161" s="408" t="s">
        <v>443</v>
      </c>
      <c r="K1161" s="409" t="str">
        <f t="shared" si="179"/>
        <v>M=(Largo) x Cant</v>
      </c>
      <c r="L1161" s="410" t="str">
        <f t="shared" si="189"/>
        <v>M</v>
      </c>
      <c r="M1161" s="411"/>
      <c r="N1161" s="412"/>
      <c r="O1161" s="442"/>
      <c r="P1161" s="442"/>
      <c r="Q1161" s="413"/>
      <c r="R1161" s="411"/>
      <c r="S1161" s="413"/>
      <c r="T1161" s="414">
        <f>+HLOOKUP(B1087,[238]Hoja1!$2:$78,41,FALSE)</f>
        <v>0</v>
      </c>
      <c r="Y1161" s="439">
        <f t="shared" si="186"/>
        <v>0</v>
      </c>
      <c r="Z1161" s="439">
        <f t="shared" si="187"/>
        <v>0</v>
      </c>
    </row>
    <row r="1162" spans="1:26">
      <c r="A1162" s="453">
        <f t="shared" si="183"/>
        <v>4.03</v>
      </c>
      <c r="B1162" s="383">
        <v>33</v>
      </c>
      <c r="D1162" s="406"/>
      <c r="E1162" s="407"/>
      <c r="F1162" s="407"/>
      <c r="G1162" s="407"/>
      <c r="H1162" s="407"/>
      <c r="I1162" s="407"/>
      <c r="J1162" s="408" t="s">
        <v>444</v>
      </c>
      <c r="K1162" s="409" t="str">
        <f t="shared" si="179"/>
        <v>M=(Largo) x Cant</v>
      </c>
      <c r="L1162" s="410" t="str">
        <f t="shared" si="189"/>
        <v>M</v>
      </c>
      <c r="M1162" s="411"/>
      <c r="N1162" s="412"/>
      <c r="O1162" s="442"/>
      <c r="P1162" s="442"/>
      <c r="Q1162" s="412"/>
      <c r="R1162" s="411"/>
      <c r="S1162" s="413"/>
      <c r="T1162" s="414">
        <f>+HLOOKUP(B1088,[238]Hoja1!$2:$78,41,FALSE)</f>
        <v>0</v>
      </c>
      <c r="Y1162" s="439">
        <f t="shared" si="186"/>
        <v>0</v>
      </c>
      <c r="Z1162" s="439">
        <f t="shared" si="187"/>
        <v>0</v>
      </c>
    </row>
    <row r="1163" spans="1:26">
      <c r="A1163" s="453">
        <f t="shared" si="183"/>
        <v>4.03</v>
      </c>
      <c r="B1163" s="383">
        <v>34</v>
      </c>
      <c r="D1163" s="406"/>
      <c r="E1163" s="407"/>
      <c r="F1163" s="407"/>
      <c r="G1163" s="407"/>
      <c r="H1163" s="407"/>
      <c r="I1163" s="407"/>
      <c r="J1163" s="408" t="s">
        <v>445</v>
      </c>
      <c r="K1163" s="409" t="str">
        <f t="shared" si="179"/>
        <v>M=(Largo) x Cant</v>
      </c>
      <c r="L1163" s="410" t="str">
        <f t="shared" si="189"/>
        <v>M</v>
      </c>
      <c r="M1163" s="411"/>
      <c r="N1163" s="412"/>
      <c r="O1163" s="441"/>
      <c r="P1163" s="442"/>
      <c r="Q1163" s="412"/>
      <c r="R1163" s="411"/>
      <c r="S1163" s="413"/>
      <c r="T1163" s="414">
        <f>+HLOOKUP(B1089,[238]Hoja1!$2:$78,41,FALSE)</f>
        <v>0</v>
      </c>
      <c r="Y1163" s="439">
        <f t="shared" si="186"/>
        <v>0</v>
      </c>
      <c r="Z1163" s="439">
        <f t="shared" si="187"/>
        <v>0</v>
      </c>
    </row>
    <row r="1164" spans="1:26">
      <c r="A1164" s="453">
        <f t="shared" si="183"/>
        <v>4.03</v>
      </c>
      <c r="B1164" s="383">
        <v>35</v>
      </c>
      <c r="D1164" s="406"/>
      <c r="E1164" s="440"/>
      <c r="F1164" s="407"/>
      <c r="G1164" s="407"/>
      <c r="H1164" s="407"/>
      <c r="I1164" s="437"/>
      <c r="J1164" s="408" t="s">
        <v>446</v>
      </c>
      <c r="K1164" s="409" t="str">
        <f t="shared" si="179"/>
        <v>M=(Largo) x Cant</v>
      </c>
      <c r="L1164" s="410" t="str">
        <f t="shared" si="189"/>
        <v>M</v>
      </c>
      <c r="M1164" s="411"/>
      <c r="N1164" s="412"/>
      <c r="O1164" s="442"/>
      <c r="P1164" s="442"/>
      <c r="Q1164" s="413"/>
      <c r="R1164" s="411"/>
      <c r="S1164" s="413"/>
      <c r="T1164" s="414">
        <f>+HLOOKUP(B1090,[238]Hoja1!$2:$78,41,FALSE)</f>
        <v>0</v>
      </c>
      <c r="Y1164" s="439">
        <f t="shared" si="186"/>
        <v>0</v>
      </c>
      <c r="Z1164" s="439">
        <f t="shared" si="187"/>
        <v>0</v>
      </c>
    </row>
    <row r="1165" spans="1:26">
      <c r="A1165" s="453">
        <f t="shared" si="183"/>
        <v>4.03</v>
      </c>
      <c r="B1165" s="383">
        <v>36</v>
      </c>
      <c r="D1165" s="406"/>
      <c r="E1165" s="407"/>
      <c r="F1165" s="407"/>
      <c r="G1165" s="407"/>
      <c r="H1165" s="407"/>
      <c r="I1165" s="407"/>
      <c r="J1165" s="408" t="s">
        <v>447</v>
      </c>
      <c r="K1165" s="409" t="str">
        <f t="shared" si="179"/>
        <v>M=(Largo) x Cant</v>
      </c>
      <c r="L1165" s="410" t="str">
        <f>+L1154</f>
        <v>M</v>
      </c>
      <c r="M1165" s="411"/>
      <c r="N1165" s="412"/>
      <c r="O1165" s="442"/>
      <c r="P1165" s="442"/>
      <c r="Q1165" s="449"/>
      <c r="R1165" s="411"/>
      <c r="S1165" s="413"/>
      <c r="T1165" s="414">
        <f>+HLOOKUP(B1091,[238]Hoja1!$2:$78,41,FALSE)</f>
        <v>0</v>
      </c>
      <c r="Y1165" s="439">
        <f t="shared" si="186"/>
        <v>0</v>
      </c>
      <c r="Z1165" s="439">
        <f t="shared" si="187"/>
        <v>0</v>
      </c>
    </row>
    <row r="1166" spans="1:26">
      <c r="A1166" s="453">
        <f t="shared" si="183"/>
        <v>4.03</v>
      </c>
      <c r="B1166" s="383">
        <v>37</v>
      </c>
      <c r="D1166" s="406"/>
      <c r="E1166" s="407"/>
      <c r="F1166" s="407"/>
      <c r="G1166" s="407"/>
      <c r="H1166" s="407"/>
      <c r="I1166" s="407"/>
      <c r="J1166" s="408" t="s">
        <v>448</v>
      </c>
      <c r="K1166" s="409" t="str">
        <f t="shared" si="179"/>
        <v>M=(Largo) x Cant</v>
      </c>
      <c r="L1166" s="410" t="str">
        <f t="shared" ref="L1166:L1172" si="190">+L1165</f>
        <v>M</v>
      </c>
      <c r="M1166" s="411"/>
      <c r="N1166" s="412"/>
      <c r="O1166" s="441"/>
      <c r="P1166" s="442"/>
      <c r="Q1166" s="449"/>
      <c r="R1166" s="411"/>
      <c r="S1166" s="413"/>
      <c r="T1166" s="414">
        <f>+HLOOKUP(B1092,[238]Hoja1!$2:$78,41,FALSE)</f>
        <v>0</v>
      </c>
      <c r="Y1166" s="439">
        <f t="shared" si="186"/>
        <v>0</v>
      </c>
      <c r="Z1166" s="439">
        <f t="shared" si="187"/>
        <v>0</v>
      </c>
    </row>
    <row r="1167" spans="1:26">
      <c r="A1167" s="453">
        <f t="shared" si="183"/>
        <v>4.03</v>
      </c>
      <c r="B1167" s="383">
        <v>38</v>
      </c>
      <c r="D1167" s="406"/>
      <c r="E1167" s="440"/>
      <c r="F1167" s="407"/>
      <c r="G1167" s="407"/>
      <c r="H1167" s="407"/>
      <c r="I1167" s="437"/>
      <c r="J1167" s="408" t="s">
        <v>449</v>
      </c>
      <c r="K1167" s="409" t="str">
        <f t="shared" si="179"/>
        <v>M=(Largo) x Cant</v>
      </c>
      <c r="L1167" s="410" t="str">
        <f t="shared" si="190"/>
        <v>M</v>
      </c>
      <c r="M1167" s="411"/>
      <c r="N1167" s="412"/>
      <c r="O1167" s="442"/>
      <c r="P1167" s="442"/>
      <c r="Q1167" s="413"/>
      <c r="R1167" s="411"/>
      <c r="S1167" s="413"/>
      <c r="T1167" s="414">
        <f>+HLOOKUP(B1093,[238]Hoja1!$2:$78,41,FALSE)</f>
        <v>0</v>
      </c>
      <c r="Y1167" s="439">
        <f t="shared" si="186"/>
        <v>0</v>
      </c>
      <c r="Z1167" s="439">
        <f t="shared" si="187"/>
        <v>0</v>
      </c>
    </row>
    <row r="1168" spans="1:26">
      <c r="A1168" s="453">
        <f t="shared" si="183"/>
        <v>4.03</v>
      </c>
      <c r="B1168" s="383">
        <v>39</v>
      </c>
      <c r="D1168" s="406"/>
      <c r="E1168" s="407"/>
      <c r="F1168" s="407"/>
      <c r="G1168" s="407"/>
      <c r="H1168" s="407"/>
      <c r="I1168" s="407"/>
      <c r="J1168" s="408" t="s">
        <v>450</v>
      </c>
      <c r="K1168" s="409" t="str">
        <f t="shared" si="179"/>
        <v>M=(Largo) x Cant</v>
      </c>
      <c r="L1168" s="410" t="str">
        <f t="shared" si="190"/>
        <v>M</v>
      </c>
      <c r="M1168" s="411"/>
      <c r="N1168" s="412"/>
      <c r="O1168" s="441"/>
      <c r="P1168" s="442"/>
      <c r="Q1168" s="412"/>
      <c r="R1168" s="411"/>
      <c r="S1168" s="413"/>
      <c r="T1168" s="414">
        <f>+HLOOKUP(B1094,[238]Hoja1!$2:$78,41,FALSE)</f>
        <v>0</v>
      </c>
      <c r="Y1168" s="439">
        <f t="shared" si="186"/>
        <v>0</v>
      </c>
      <c r="Z1168" s="439">
        <f t="shared" si="187"/>
        <v>0</v>
      </c>
    </row>
    <row r="1169" spans="1:26">
      <c r="A1169" s="453">
        <f t="shared" si="183"/>
        <v>4.03</v>
      </c>
      <c r="B1169" s="383">
        <v>40</v>
      </c>
      <c r="D1169" s="406"/>
      <c r="E1169" s="407"/>
      <c r="F1169" s="407"/>
      <c r="G1169" s="407"/>
      <c r="H1169" s="407"/>
      <c r="I1169" s="407"/>
      <c r="J1169" s="408" t="s">
        <v>451</v>
      </c>
      <c r="K1169" s="409" t="str">
        <f t="shared" si="179"/>
        <v>M=(Largo) x Cant</v>
      </c>
      <c r="L1169" s="410" t="str">
        <f t="shared" si="190"/>
        <v>M</v>
      </c>
      <c r="M1169" s="411"/>
      <c r="N1169" s="412"/>
      <c r="O1169" s="442"/>
      <c r="P1169" s="442"/>
      <c r="Q1169" s="413"/>
      <c r="R1169" s="411"/>
      <c r="S1169" s="413"/>
      <c r="T1169" s="414">
        <f>+HLOOKUP(B1095,[238]Hoja1!$2:$78,41,FALSE)</f>
        <v>0</v>
      </c>
      <c r="Y1169" s="439">
        <f t="shared" si="186"/>
        <v>0</v>
      </c>
      <c r="Z1169" s="439">
        <f t="shared" si="187"/>
        <v>0</v>
      </c>
    </row>
    <row r="1170" spans="1:26">
      <c r="A1170" s="453">
        <f t="shared" si="183"/>
        <v>4.03</v>
      </c>
      <c r="B1170" s="383">
        <v>41</v>
      </c>
      <c r="D1170" s="406"/>
      <c r="E1170" s="407"/>
      <c r="F1170" s="407"/>
      <c r="G1170" s="407"/>
      <c r="H1170" s="407"/>
      <c r="I1170" s="407"/>
      <c r="J1170" s="408" t="s">
        <v>452</v>
      </c>
      <c r="K1170" s="409" t="str">
        <f t="shared" si="179"/>
        <v>M=(Largo) x Cant</v>
      </c>
      <c r="L1170" s="410" t="str">
        <f t="shared" si="190"/>
        <v>M</v>
      </c>
      <c r="M1170" s="411"/>
      <c r="N1170" s="412"/>
      <c r="O1170" s="442"/>
      <c r="P1170" s="442">
        <f t="shared" si="182"/>
        <v>3</v>
      </c>
      <c r="Q1170" s="413"/>
      <c r="R1170" s="411"/>
      <c r="S1170" s="413">
        <v>1</v>
      </c>
      <c r="T1170" s="414">
        <f>+HLOOKUP(B1096,[238]Hoja1!$2:$78,41,FALSE)</f>
        <v>3</v>
      </c>
      <c r="Y1170" s="439">
        <f t="shared" si="186"/>
        <v>0</v>
      </c>
      <c r="Z1170" s="439">
        <f t="shared" si="187"/>
        <v>0</v>
      </c>
    </row>
    <row r="1171" spans="1:26">
      <c r="A1171" s="453">
        <f t="shared" si="183"/>
        <v>4.03</v>
      </c>
      <c r="B1171" s="383">
        <v>42</v>
      </c>
      <c r="D1171" s="406"/>
      <c r="E1171" s="407"/>
      <c r="F1171" s="407"/>
      <c r="G1171" s="407"/>
      <c r="H1171" s="407"/>
      <c r="I1171" s="407"/>
      <c r="J1171" s="408" t="s">
        <v>453</v>
      </c>
      <c r="K1171" s="409" t="str">
        <f t="shared" si="179"/>
        <v>M=(Largo) x Cant</v>
      </c>
      <c r="L1171" s="410" t="str">
        <f t="shared" si="190"/>
        <v>M</v>
      </c>
      <c r="M1171" s="411"/>
      <c r="N1171" s="412"/>
      <c r="O1171" s="442"/>
      <c r="P1171" s="442"/>
      <c r="Q1171" s="412"/>
      <c r="R1171" s="411"/>
      <c r="S1171" s="413"/>
      <c r="T1171" s="414">
        <f>+HLOOKUP(B1097,[238]Hoja1!$2:$78,41,FALSE)</f>
        <v>0</v>
      </c>
      <c r="Y1171" s="439">
        <f t="shared" si="186"/>
        <v>0</v>
      </c>
      <c r="Z1171" s="439">
        <f t="shared" si="187"/>
        <v>0</v>
      </c>
    </row>
    <row r="1172" spans="1:26" ht="13.5" thickBot="1">
      <c r="A1172" s="453">
        <f t="shared" si="183"/>
        <v>4.03</v>
      </c>
      <c r="B1172" s="383">
        <v>43</v>
      </c>
      <c r="D1172" s="406"/>
      <c r="E1172" s="407"/>
      <c r="F1172" s="407"/>
      <c r="G1172" s="407"/>
      <c r="H1172" s="407"/>
      <c r="I1172" s="407"/>
      <c r="J1172" s="408" t="s">
        <v>454</v>
      </c>
      <c r="K1172" s="409" t="str">
        <f t="shared" si="179"/>
        <v>M=(Largo) x Cant</v>
      </c>
      <c r="L1172" s="410" t="str">
        <f t="shared" si="190"/>
        <v>M</v>
      </c>
      <c r="M1172" s="411"/>
      <c r="N1172" s="412"/>
      <c r="O1172" s="442"/>
      <c r="P1172" s="442"/>
      <c r="Q1172" s="412"/>
      <c r="R1172" s="411"/>
      <c r="S1172" s="413"/>
      <c r="T1172" s="414">
        <f>+HLOOKUP(B1098,[238]Hoja1!$2:$78,41,FALSE)</f>
        <v>0</v>
      </c>
      <c r="Y1172" s="439">
        <f t="shared" si="186"/>
        <v>0</v>
      </c>
      <c r="Z1172" s="439">
        <f t="shared" si="187"/>
        <v>0</v>
      </c>
    </row>
    <row r="1173" spans="1:26">
      <c r="D1173" s="384"/>
      <c r="E1173" s="419"/>
      <c r="F1173" s="420"/>
      <c r="G1173" s="421"/>
      <c r="H1173" s="421"/>
      <c r="I1173" s="421"/>
      <c r="J1173" s="421"/>
      <c r="K1173" s="422"/>
      <c r="L1173" s="421"/>
      <c r="M1173" s="421"/>
      <c r="N1173" s="421"/>
      <c r="O1173" s="421"/>
      <c r="P1173" s="421"/>
      <c r="Q1173" s="421"/>
      <c r="R1173" s="421"/>
      <c r="S1173" s="422"/>
      <c r="T1173" s="423"/>
    </row>
    <row r="1174" spans="1:26">
      <c r="D1174" s="396"/>
      <c r="E1174" s="397"/>
      <c r="F1174" s="424"/>
      <c r="G1174" s="425"/>
      <c r="H1174" s="425"/>
      <c r="I1174" s="425"/>
      <c r="J1174" s="425"/>
      <c r="K1174" s="398"/>
      <c r="L1174" s="425"/>
      <c r="M1174" s="425"/>
      <c r="N1174" s="397"/>
      <c r="O1174" s="397"/>
      <c r="P1174" s="562" t="s">
        <v>455</v>
      </c>
      <c r="Q1174" s="563"/>
      <c r="R1174" s="564"/>
      <c r="S1174" s="426"/>
      <c r="T1174" s="427">
        <f>ROUND(SUM(T1130:T1173),2)</f>
        <v>24.6</v>
      </c>
    </row>
    <row r="1175" spans="1:26">
      <c r="D1175" s="396"/>
      <c r="E1175" s="397"/>
      <c r="F1175" s="424"/>
      <c r="G1175" s="425"/>
      <c r="H1175" s="425"/>
      <c r="I1175" s="425"/>
      <c r="J1175" s="425"/>
      <c r="K1175" s="398"/>
      <c r="L1175" s="425"/>
      <c r="M1175" s="425"/>
      <c r="N1175" s="428"/>
      <c r="O1175" s="428"/>
      <c r="P1175" s="429"/>
      <c r="Q1175" s="425"/>
      <c r="R1175" s="425"/>
      <c r="S1175" s="430"/>
      <c r="T1175" s="431"/>
    </row>
    <row r="1176" spans="1:26">
      <c r="D1176" s="565" t="e">
        <v>#REF!</v>
      </c>
      <c r="E1176" s="566"/>
      <c r="F1176" s="566"/>
      <c r="G1176" s="566"/>
      <c r="H1176" s="566"/>
      <c r="I1176" s="566"/>
      <c r="J1176" s="566"/>
      <c r="K1176" s="566"/>
      <c r="L1176" s="566"/>
      <c r="M1176" s="566"/>
      <c r="N1176" s="566"/>
      <c r="O1176" s="567"/>
      <c r="P1176" s="568" t="s">
        <v>422</v>
      </c>
      <c r="Q1176" s="568"/>
      <c r="R1176" s="568"/>
      <c r="S1176" s="426"/>
      <c r="T1176" s="427">
        <f>T1174</f>
        <v>24.6</v>
      </c>
    </row>
    <row r="1177" spans="1:26">
      <c r="D1177" s="396"/>
      <c r="E1177" s="397"/>
      <c r="F1177" s="424"/>
      <c r="G1177" s="425"/>
      <c r="H1177" s="425"/>
      <c r="I1177" s="425"/>
      <c r="J1177" s="425"/>
      <c r="K1177" s="398"/>
      <c r="L1177" s="425"/>
      <c r="M1177" s="425"/>
      <c r="N1177" s="428"/>
      <c r="O1177" s="428"/>
      <c r="P1177" s="429"/>
      <c r="Q1177" s="425"/>
      <c r="R1177" s="398"/>
      <c r="S1177" s="398"/>
      <c r="T1177" s="432"/>
    </row>
    <row r="1178" spans="1:26">
      <c r="D1178" s="396"/>
      <c r="E1178" s="397"/>
      <c r="F1178" s="424"/>
      <c r="G1178" s="425"/>
      <c r="H1178" s="425"/>
      <c r="I1178" s="425"/>
      <c r="J1178" s="425"/>
      <c r="K1178" s="398"/>
      <c r="L1178" s="425"/>
      <c r="M1178" s="425"/>
      <c r="N1178" s="428"/>
      <c r="O1178" s="428"/>
      <c r="P1178" s="429"/>
      <c r="Q1178" s="425"/>
      <c r="R1178" s="398"/>
      <c r="S1178" s="398"/>
      <c r="T1178" s="432"/>
    </row>
    <row r="1179" spans="1:26">
      <c r="D1179" s="569" t="s">
        <v>423</v>
      </c>
      <c r="E1179" s="570"/>
      <c r="F1179" s="570"/>
      <c r="G1179" s="570"/>
      <c r="H1179" s="570"/>
      <c r="I1179" s="570"/>
      <c r="J1179" s="570"/>
      <c r="K1179" s="571"/>
      <c r="L1179" s="433" t="s">
        <v>424</v>
      </c>
      <c r="M1179" s="434"/>
      <c r="N1179" s="434"/>
      <c r="O1179" s="434"/>
      <c r="P1179" s="434"/>
      <c r="Q1179" s="434"/>
      <c r="R1179" s="434"/>
      <c r="S1179" s="434"/>
      <c r="T1179" s="435"/>
    </row>
    <row r="1180" spans="1:26">
      <c r="D1180" s="542"/>
      <c r="E1180" s="543"/>
      <c r="F1180" s="543"/>
      <c r="G1180" s="543"/>
      <c r="H1180" s="436"/>
      <c r="I1180" s="436"/>
      <c r="J1180" s="436"/>
      <c r="K1180" s="447"/>
      <c r="L1180" s="436"/>
      <c r="M1180" s="407"/>
      <c r="N1180" s="407"/>
      <c r="O1180" s="407"/>
      <c r="P1180" s="407"/>
      <c r="Q1180" s="407"/>
      <c r="R1180" s="407"/>
      <c r="S1180" s="407"/>
      <c r="T1180" s="437"/>
    </row>
    <row r="1181" spans="1:26">
      <c r="D1181" s="542"/>
      <c r="E1181" s="543"/>
      <c r="F1181" s="543"/>
      <c r="G1181" s="543"/>
      <c r="H1181" s="436"/>
      <c r="I1181" s="436"/>
      <c r="J1181" s="436"/>
      <c r="K1181" s="447"/>
      <c r="L1181" s="436"/>
      <c r="M1181" s="407"/>
      <c r="N1181" s="407"/>
      <c r="O1181" s="407"/>
      <c r="P1181" s="407"/>
      <c r="Q1181" s="407"/>
      <c r="R1181" s="407"/>
      <c r="S1181" s="407"/>
      <c r="T1181" s="437"/>
    </row>
    <row r="1182" spans="1:26">
      <c r="D1182" s="542" t="s">
        <v>425</v>
      </c>
      <c r="E1182" s="543"/>
      <c r="F1182" s="543" t="s">
        <v>425</v>
      </c>
      <c r="G1182" s="543"/>
      <c r="H1182" s="543" t="s">
        <v>425</v>
      </c>
      <c r="I1182" s="543"/>
      <c r="J1182" s="543" t="s">
        <v>425</v>
      </c>
      <c r="K1182" s="544"/>
      <c r="L1182" s="545" t="s">
        <v>426</v>
      </c>
      <c r="M1182" s="546"/>
      <c r="N1182" s="546"/>
      <c r="O1182" s="546"/>
      <c r="P1182" s="546"/>
      <c r="Q1182" s="546"/>
      <c r="R1182" s="546"/>
      <c r="S1182" s="546"/>
      <c r="T1182" s="547"/>
    </row>
    <row r="1183" spans="1:26">
      <c r="D1183" s="548" t="str">
        <f>+[42]DATOS!D$8</f>
        <v>HELMER EDUARDO BECERRA SANTANDER</v>
      </c>
      <c r="E1183" s="549"/>
      <c r="F1183" s="549" t="s">
        <v>427</v>
      </c>
      <c r="G1183" s="549"/>
      <c r="H1183" s="549" t="s">
        <v>427</v>
      </c>
      <c r="I1183" s="549"/>
      <c r="J1183" s="549" t="s">
        <v>427</v>
      </c>
      <c r="K1183" s="550"/>
      <c r="L1183" s="551" t="str">
        <f>+[42]DATOS!D$11</f>
        <v>JESUS IVAN QUIÑONES RUEDA</v>
      </c>
      <c r="M1183" s="549"/>
      <c r="N1183" s="549"/>
      <c r="O1183" s="549"/>
      <c r="P1183" s="549"/>
      <c r="Q1183" s="549"/>
      <c r="R1183" s="549"/>
      <c r="S1183" s="549"/>
      <c r="T1183" s="552"/>
    </row>
    <row r="1184" spans="1:26">
      <c r="D1184" s="553" t="str">
        <f>+$D$72</f>
        <v>APOYO SEC. DE PLANEACION Y OBRAS PÚBLICAS</v>
      </c>
      <c r="E1184" s="554"/>
      <c r="F1184" s="554" t="s">
        <v>428</v>
      </c>
      <c r="G1184" s="554"/>
      <c r="H1184" s="554" t="s">
        <v>428</v>
      </c>
      <c r="I1184" s="554"/>
      <c r="J1184" s="554" t="s">
        <v>428</v>
      </c>
      <c r="K1184" s="555"/>
      <c r="L1184" s="556" t="str">
        <f>+$L$72</f>
        <v>SECRETARIO DE PLANEACION Y OBRAS PÚBLICAS</v>
      </c>
      <c r="M1184" s="554"/>
      <c r="N1184" s="554"/>
      <c r="O1184" s="554"/>
      <c r="P1184" s="554"/>
      <c r="Q1184" s="554"/>
      <c r="R1184" s="554"/>
      <c r="S1184" s="554"/>
      <c r="T1184" s="557"/>
    </row>
    <row r="1185" spans="4:20">
      <c r="D1185" s="406"/>
      <c r="E1185" s="407"/>
      <c r="F1185" s="407"/>
      <c r="G1185" s="407"/>
      <c r="H1185" s="407"/>
      <c r="I1185" s="407"/>
      <c r="J1185" s="407"/>
      <c r="K1185" s="407"/>
      <c r="L1185" s="407"/>
      <c r="M1185" s="407"/>
      <c r="N1185" s="407"/>
      <c r="O1185" s="407"/>
      <c r="P1185" s="407"/>
      <c r="Q1185" s="407"/>
      <c r="R1185" s="407"/>
      <c r="S1185" s="407"/>
      <c r="T1185" s="437"/>
    </row>
    <row r="1186" spans="4:20" ht="111" customHeight="1" thickBot="1">
      <c r="D1186" s="417"/>
      <c r="E1186" s="418"/>
      <c r="F1186" s="418"/>
      <c r="G1186" s="418"/>
      <c r="H1186" s="418"/>
      <c r="I1186" s="418"/>
      <c r="J1186" s="418"/>
      <c r="K1186" s="418"/>
      <c r="L1186" s="418"/>
      <c r="M1186" s="418"/>
      <c r="N1186" s="418"/>
      <c r="O1186" s="418"/>
      <c r="P1186" s="418"/>
      <c r="Q1186" s="418"/>
      <c r="R1186" s="418"/>
      <c r="S1186" s="418"/>
      <c r="T1186" s="438"/>
    </row>
    <row r="1187" spans="4:20" ht="22.5" customHeight="1"/>
    <row r="1188" spans="4:20" ht="13.5" thickBot="1"/>
    <row r="1189" spans="4:20">
      <c r="D1189" s="384"/>
      <c r="E1189" s="385"/>
      <c r="F1189" s="385"/>
      <c r="G1189" s="385"/>
      <c r="H1189" s="385"/>
      <c r="I1189" s="385"/>
      <c r="J1189" s="385"/>
      <c r="K1189" s="445"/>
      <c r="L1189" s="385"/>
      <c r="M1189" s="385"/>
      <c r="N1189" s="385"/>
      <c r="O1189" s="385"/>
      <c r="P1189" s="385"/>
      <c r="Q1189" s="385"/>
      <c r="R1189" s="385"/>
      <c r="S1189" s="385"/>
      <c r="T1189" s="386"/>
    </row>
    <row r="1190" spans="4:20" ht="121.5" customHeight="1" thickBot="1">
      <c r="D1190" s="387"/>
      <c r="E1190" s="388"/>
      <c r="F1190" s="388"/>
      <c r="G1190" s="388"/>
      <c r="H1190" s="388"/>
      <c r="I1190" s="388"/>
      <c r="J1190" s="388"/>
      <c r="K1190" s="446"/>
      <c r="L1190" s="388"/>
      <c r="M1190" s="388"/>
      <c r="N1190" s="388"/>
      <c r="O1190" s="388"/>
      <c r="P1190" s="388"/>
      <c r="Q1190" s="388"/>
      <c r="R1190" s="388"/>
      <c r="S1190" s="388"/>
      <c r="T1190" s="389"/>
    </row>
    <row r="1191" spans="4:20">
      <c r="D1191" s="592" t="str">
        <f>+[42]DATOS!C$7</f>
        <v>MEJORAMIENTO DE VIVIENDA CON ENFOQUE DIFERENCIAL PARA POBLACIÓN VULNERABLE EN EL MUNICIPIO DE CUBARÁ, BOYACÁ (2026).</v>
      </c>
      <c r="E1191" s="593"/>
      <c r="F1191" s="593"/>
      <c r="G1191" s="593"/>
      <c r="H1191" s="593"/>
      <c r="I1191" s="593"/>
      <c r="J1191" s="593"/>
      <c r="K1191" s="593"/>
      <c r="L1191" s="593"/>
      <c r="M1191" s="593"/>
      <c r="N1191" s="593"/>
      <c r="O1191" s="593"/>
      <c r="P1191" s="593"/>
      <c r="Q1191" s="593"/>
      <c r="R1191" s="593"/>
      <c r="S1191" s="593"/>
      <c r="T1191" s="594"/>
    </row>
    <row r="1192" spans="4:20">
      <c r="D1192" s="595"/>
      <c r="E1192" s="596"/>
      <c r="F1192" s="596"/>
      <c r="G1192" s="596"/>
      <c r="H1192" s="596"/>
      <c r="I1192" s="596"/>
      <c r="J1192" s="596"/>
      <c r="K1192" s="596"/>
      <c r="L1192" s="596"/>
      <c r="M1192" s="596"/>
      <c r="N1192" s="596"/>
      <c r="O1192" s="596"/>
      <c r="P1192" s="596"/>
      <c r="Q1192" s="596"/>
      <c r="R1192" s="596"/>
      <c r="S1192" s="596"/>
      <c r="T1192" s="597"/>
    </row>
    <row r="1193" spans="4:20">
      <c r="D1193" s="598" t="s">
        <v>371</v>
      </c>
      <c r="E1193" s="599"/>
      <c r="F1193" s="599"/>
      <c r="G1193" s="599"/>
      <c r="H1193" s="599"/>
      <c r="I1193" s="599"/>
      <c r="J1193" s="599"/>
      <c r="K1193" s="599"/>
      <c r="L1193" s="599"/>
      <c r="M1193" s="599"/>
      <c r="N1193" s="599"/>
      <c r="O1193" s="599"/>
      <c r="P1193" s="599"/>
      <c r="Q1193" s="599"/>
      <c r="R1193" s="599"/>
      <c r="S1193" s="599"/>
      <c r="T1193" s="600"/>
    </row>
    <row r="1194" spans="4:20">
      <c r="D1194" s="586" t="s">
        <v>372</v>
      </c>
      <c r="E1194" s="587"/>
      <c r="F1194" s="601" t="s">
        <v>373</v>
      </c>
      <c r="G1194" s="601"/>
      <c r="H1194" s="601"/>
      <c r="I1194" s="601"/>
      <c r="J1194" s="601"/>
      <c r="K1194" s="601"/>
      <c r="L1194" s="601"/>
      <c r="M1194" s="601"/>
      <c r="N1194" s="601"/>
      <c r="O1194" s="601"/>
      <c r="P1194" s="601"/>
      <c r="Q1194" s="601"/>
      <c r="R1194" s="601"/>
      <c r="S1194" s="601"/>
      <c r="T1194" s="602"/>
    </row>
    <row r="1195" spans="4:20">
      <c r="D1195" s="586" t="s">
        <v>374</v>
      </c>
      <c r="E1195" s="587"/>
      <c r="F1195" s="603" t="s">
        <v>375</v>
      </c>
      <c r="G1195" s="604"/>
      <c r="H1195" s="604"/>
      <c r="I1195" s="604"/>
      <c r="J1195" s="604"/>
      <c r="K1195" s="604"/>
      <c r="L1195" s="604"/>
      <c r="M1195" s="604"/>
      <c r="N1195" s="604"/>
      <c r="O1195" s="604"/>
      <c r="P1195" s="604"/>
      <c r="Q1195" s="604"/>
      <c r="R1195" s="604"/>
      <c r="S1195" s="604"/>
      <c r="T1195" s="605"/>
    </row>
    <row r="1196" spans="4:20">
      <c r="D1196" s="586" t="s">
        <v>376</v>
      </c>
      <c r="E1196" s="587"/>
      <c r="F1196" s="390">
        <f>+[42]DATOS!F$5</f>
        <v>46143</v>
      </c>
      <c r="G1196" s="391"/>
      <c r="H1196" s="391"/>
      <c r="I1196" s="391"/>
      <c r="J1196" s="391"/>
      <c r="K1196" s="391"/>
      <c r="L1196" s="568" t="s">
        <v>377</v>
      </c>
      <c r="M1196" s="568"/>
      <c r="N1196" s="588" t="s">
        <v>378</v>
      </c>
      <c r="O1196" s="588"/>
      <c r="P1196" s="588"/>
      <c r="Q1196" s="588"/>
      <c r="R1196" s="588"/>
      <c r="S1196" s="588"/>
      <c r="T1196" s="589"/>
    </row>
    <row r="1197" spans="4:20" ht="25.5">
      <c r="D1197" s="586" t="s">
        <v>379</v>
      </c>
      <c r="E1197" s="587"/>
      <c r="F1197" s="590" t="s">
        <v>380</v>
      </c>
      <c r="G1197" s="591"/>
      <c r="H1197" s="392">
        <f>+[42]DATOS!E$5</f>
        <v>2026</v>
      </c>
      <c r="I1197" s="393" t="s">
        <v>381</v>
      </c>
      <c r="J1197" s="394">
        <f>+[42]DATOS!E$5</f>
        <v>2026</v>
      </c>
      <c r="K1197" s="395"/>
      <c r="L1197" s="568" t="s">
        <v>382</v>
      </c>
      <c r="M1197" s="568"/>
      <c r="N1197" s="588" t="s">
        <v>383</v>
      </c>
      <c r="O1197" s="588"/>
      <c r="P1197" s="588"/>
      <c r="Q1197" s="588"/>
      <c r="R1197" s="588"/>
      <c r="S1197" s="588"/>
      <c r="T1197" s="589"/>
    </row>
    <row r="1198" spans="4:20">
      <c r="D1198" s="396"/>
      <c r="E1198" s="397"/>
      <c r="F1198" s="397"/>
      <c r="G1198" s="398"/>
      <c r="H1198" s="398"/>
      <c r="I1198" s="398"/>
      <c r="J1198" s="398"/>
      <c r="K1198" s="398"/>
      <c r="L1198" s="398"/>
      <c r="M1198" s="398"/>
      <c r="N1198" s="398"/>
      <c r="O1198" s="398"/>
      <c r="P1198" s="398"/>
      <c r="Q1198" s="398"/>
      <c r="R1198" s="398"/>
      <c r="S1198" s="398"/>
      <c r="T1198" s="399"/>
    </row>
    <row r="1199" spans="4:20">
      <c r="D1199" s="572" t="s">
        <v>384</v>
      </c>
      <c r="E1199" s="573"/>
      <c r="F1199" s="573"/>
      <c r="G1199" s="573"/>
      <c r="H1199" s="573"/>
      <c r="I1199" s="573"/>
      <c r="J1199" s="573"/>
      <c r="K1199" s="573"/>
      <c r="L1199" s="573"/>
      <c r="M1199" s="573"/>
      <c r="N1199" s="573"/>
      <c r="O1199" s="573"/>
      <c r="P1199" s="573"/>
      <c r="Q1199" s="573"/>
      <c r="R1199" s="573"/>
      <c r="S1199" s="573"/>
      <c r="T1199" s="574"/>
    </row>
    <row r="1200" spans="4:20">
      <c r="D1200" s="396"/>
      <c r="E1200" s="397"/>
      <c r="F1200" s="397"/>
      <c r="G1200" s="398"/>
      <c r="H1200" s="398"/>
      <c r="I1200" s="398"/>
      <c r="J1200" s="398"/>
      <c r="K1200" s="398"/>
      <c r="L1200" s="398"/>
      <c r="M1200" s="398"/>
      <c r="N1200" s="398"/>
      <c r="O1200" s="398"/>
      <c r="P1200" s="398"/>
      <c r="Q1200" s="398"/>
      <c r="R1200" s="398"/>
      <c r="S1200" s="398"/>
      <c r="T1200" s="399"/>
    </row>
    <row r="1201" spans="1:26">
      <c r="D1201" s="400" t="s">
        <v>385</v>
      </c>
      <c r="E1201" s="575" t="s">
        <v>386</v>
      </c>
      <c r="F1201" s="575"/>
      <c r="G1201" s="576" t="s">
        <v>387</v>
      </c>
      <c r="H1201" s="577"/>
      <c r="I1201" s="577"/>
      <c r="J1201" s="576" t="s">
        <v>388</v>
      </c>
      <c r="K1201" s="576" t="s">
        <v>389</v>
      </c>
      <c r="L1201" s="579"/>
      <c r="M1201" s="581" t="s">
        <v>390</v>
      </c>
      <c r="N1201" s="581"/>
      <c r="O1201" s="581"/>
      <c r="P1201" s="581"/>
      <c r="Q1201" s="581"/>
      <c r="R1201" s="581"/>
      <c r="S1201" s="581" t="s">
        <v>391</v>
      </c>
      <c r="T1201" s="582"/>
    </row>
    <row r="1202" spans="1:26" ht="38.25">
      <c r="D1202" s="403">
        <f>+'PRESUPUESTO OFICIAL '!C53</f>
        <v>4.04</v>
      </c>
      <c r="E1202" s="583" t="str">
        <f>+VLOOKUP(D1202,'PRESUPUESTO OFICIAL '!$C$11:$H$103,2)</f>
        <v>SUMINISTRO E INSTALACIÓN DE SIFÓN SANITARIO DE 2" PVC</v>
      </c>
      <c r="F1202" s="584"/>
      <c r="G1202" s="585" t="str">
        <f>+VLOOKUP(D1202,'PRESUPUESTO OFICIAL '!$C$11:$H$103,3)</f>
        <v>UND</v>
      </c>
      <c r="H1202" s="585"/>
      <c r="I1202" s="585"/>
      <c r="J1202" s="578"/>
      <c r="K1202" s="578"/>
      <c r="L1202" s="580"/>
      <c r="M1202" s="401" t="s">
        <v>392</v>
      </c>
      <c r="N1202" s="401" t="s">
        <v>393</v>
      </c>
      <c r="O1202" s="401" t="s">
        <v>394</v>
      </c>
      <c r="P1202" s="401" t="s">
        <v>395</v>
      </c>
      <c r="Q1202" s="401" t="s">
        <v>396</v>
      </c>
      <c r="R1202" s="401" t="s">
        <v>397</v>
      </c>
      <c r="S1202" s="401" t="s">
        <v>398</v>
      </c>
      <c r="T1202" s="402" t="s">
        <v>399</v>
      </c>
      <c r="V1202" s="404">
        <f>+D1202</f>
        <v>4.04</v>
      </c>
      <c r="W1202" s="405">
        <f>+T1250</f>
        <v>19</v>
      </c>
    </row>
    <row r="1203" spans="1:26">
      <c r="D1203" s="406"/>
      <c r="E1203" s="407"/>
      <c r="F1203" s="407"/>
      <c r="G1203" s="407"/>
      <c r="H1203" s="407"/>
      <c r="I1203" s="407"/>
      <c r="J1203" s="558"/>
      <c r="K1203" s="559"/>
      <c r="L1203" s="560"/>
      <c r="M1203" s="560"/>
      <c r="N1203" s="560"/>
      <c r="O1203" s="560"/>
      <c r="P1203" s="560"/>
      <c r="Q1203" s="560"/>
      <c r="R1203" s="560"/>
      <c r="S1203" s="560"/>
      <c r="T1203" s="561"/>
    </row>
    <row r="1204" spans="1:26" ht="25.5">
      <c r="A1204" s="453">
        <f>+D1202</f>
        <v>4.04</v>
      </c>
      <c r="B1204" s="383">
        <v>1</v>
      </c>
      <c r="D1204" s="406"/>
      <c r="E1204" s="407"/>
      <c r="F1204" s="407"/>
      <c r="G1204" s="407"/>
      <c r="H1204" s="407"/>
      <c r="I1204" s="407"/>
      <c r="J1204" s="408" t="s">
        <v>400</v>
      </c>
      <c r="K1204" s="409" t="str">
        <f t="shared" ref="K1204:K1246" si="191">+VLOOKUP(L1204,$AH$22:$AJ$58,2,)</f>
        <v>UND= Cant de elementos</v>
      </c>
      <c r="L1204" s="410" t="str">
        <f>+G1202</f>
        <v>UND</v>
      </c>
      <c r="M1204" s="411"/>
      <c r="N1204" s="412"/>
      <c r="O1204" s="442"/>
      <c r="P1204" s="442"/>
      <c r="Q1204" s="413"/>
      <c r="R1204" s="411"/>
      <c r="S1204" s="413">
        <f>+T1204</f>
        <v>0</v>
      </c>
      <c r="T1204" s="414">
        <f>+HLOOKUP(B1204,[238]Hoja1!$2:$78,42,FALSE)</f>
        <v>0</v>
      </c>
      <c r="Y1204" s="439">
        <f t="shared" ref="Y1204" si="192">+O1204*P1204*Q1204</f>
        <v>0</v>
      </c>
      <c r="Z1204" s="439">
        <f t="shared" ref="Z1204" si="193">+Y1204-R1204</f>
        <v>0</v>
      </c>
    </row>
    <row r="1205" spans="1:26" ht="25.5">
      <c r="A1205" s="453">
        <f>+A1204</f>
        <v>4.04</v>
      </c>
      <c r="B1205" s="383">
        <v>2</v>
      </c>
      <c r="D1205" s="406"/>
      <c r="E1205" s="407"/>
      <c r="F1205" s="407"/>
      <c r="G1205" s="407"/>
      <c r="H1205" s="407"/>
      <c r="I1205" s="407"/>
      <c r="J1205" s="408" t="s">
        <v>401</v>
      </c>
      <c r="K1205" s="409" t="str">
        <f t="shared" si="191"/>
        <v>UND= Cant de elementos</v>
      </c>
      <c r="L1205" s="410" t="str">
        <f>+L1204</f>
        <v>UND</v>
      </c>
      <c r="M1205" s="411"/>
      <c r="N1205" s="412"/>
      <c r="O1205" s="442"/>
      <c r="P1205" s="442"/>
      <c r="Q1205" s="413"/>
      <c r="R1205" s="411"/>
      <c r="S1205" s="413">
        <f t="shared" ref="S1205:S1246" si="194">+T1205</f>
        <v>2</v>
      </c>
      <c r="T1205" s="414">
        <f>+HLOOKUP(B1205,[238]Hoja1!$2:$78,42,FALSE)</f>
        <v>2</v>
      </c>
      <c r="Y1205" s="439">
        <f>+M1205*Q1205</f>
        <v>0</v>
      </c>
      <c r="Z1205" s="439">
        <f>+Y1205-R1205</f>
        <v>0</v>
      </c>
    </row>
    <row r="1206" spans="1:26" ht="25.5">
      <c r="A1206" s="453">
        <f t="shared" ref="A1206:A1246" si="195">+A1205</f>
        <v>4.04</v>
      </c>
      <c r="B1206" s="383">
        <v>3</v>
      </c>
      <c r="D1206" s="406"/>
      <c r="E1206" s="407"/>
      <c r="F1206" s="407"/>
      <c r="G1206" s="407"/>
      <c r="H1206" s="407"/>
      <c r="I1206" s="407"/>
      <c r="J1206" s="408" t="s">
        <v>402</v>
      </c>
      <c r="K1206" s="409" t="str">
        <f t="shared" si="191"/>
        <v>UND= Cant de elementos</v>
      </c>
      <c r="L1206" s="410" t="str">
        <f>+L1205</f>
        <v>UND</v>
      </c>
      <c r="M1206" s="411"/>
      <c r="N1206" s="412"/>
      <c r="O1206" s="442"/>
      <c r="P1206" s="442"/>
      <c r="Q1206" s="413"/>
      <c r="R1206" s="411"/>
      <c r="S1206" s="413">
        <f t="shared" si="194"/>
        <v>2</v>
      </c>
      <c r="T1206" s="414">
        <f>+HLOOKUP(B1206,[238]Hoja1!$2:$78,42,FALSE)</f>
        <v>2</v>
      </c>
      <c r="Y1206" s="439">
        <f t="shared" ref="Y1206:Y1208" si="196">+M1206*Q1206</f>
        <v>0</v>
      </c>
      <c r="Z1206" s="439">
        <f t="shared" ref="Z1206:Z1208" si="197">+Y1206-R1206</f>
        <v>0</v>
      </c>
    </row>
    <row r="1207" spans="1:26" ht="25.5">
      <c r="A1207" s="453">
        <f t="shared" si="195"/>
        <v>4.04</v>
      </c>
      <c r="B1207" s="383">
        <v>4</v>
      </c>
      <c r="D1207" s="406"/>
      <c r="E1207" s="407"/>
      <c r="F1207" s="407"/>
      <c r="G1207" s="407"/>
      <c r="H1207" s="407"/>
      <c r="I1207" s="407"/>
      <c r="J1207" s="408" t="s">
        <v>403</v>
      </c>
      <c r="K1207" s="409" t="str">
        <f t="shared" si="191"/>
        <v>UND= Cant de elementos</v>
      </c>
      <c r="L1207" s="410" t="str">
        <f>+L1206</f>
        <v>UND</v>
      </c>
      <c r="M1207" s="411"/>
      <c r="N1207" s="412"/>
      <c r="O1207" s="442"/>
      <c r="P1207" s="442"/>
      <c r="Q1207" s="413"/>
      <c r="R1207" s="411"/>
      <c r="S1207" s="413">
        <f t="shared" si="194"/>
        <v>2</v>
      </c>
      <c r="T1207" s="414">
        <f>+HLOOKUP(B1207,[238]Hoja1!$2:$78,42,FALSE)</f>
        <v>2</v>
      </c>
      <c r="Y1207" s="439">
        <f t="shared" si="196"/>
        <v>0</v>
      </c>
      <c r="Z1207" s="439">
        <f t="shared" si="197"/>
        <v>0</v>
      </c>
    </row>
    <row r="1208" spans="1:26" ht="25.5">
      <c r="A1208" s="453">
        <f t="shared" si="195"/>
        <v>4.04</v>
      </c>
      <c r="B1208" s="383">
        <v>5</v>
      </c>
      <c r="D1208" s="406"/>
      <c r="E1208" s="407"/>
      <c r="F1208" s="407"/>
      <c r="G1208" s="407"/>
      <c r="H1208" s="407"/>
      <c r="I1208" s="407"/>
      <c r="J1208" s="408" t="s">
        <v>405</v>
      </c>
      <c r="K1208" s="409" t="str">
        <f t="shared" si="191"/>
        <v>UND= Cant de elementos</v>
      </c>
      <c r="L1208" s="410" t="str">
        <f>+L1207</f>
        <v>UND</v>
      </c>
      <c r="M1208" s="411"/>
      <c r="N1208" s="412"/>
      <c r="O1208" s="442"/>
      <c r="P1208" s="442"/>
      <c r="Q1208" s="413"/>
      <c r="R1208" s="411"/>
      <c r="S1208" s="413">
        <f t="shared" si="194"/>
        <v>2</v>
      </c>
      <c r="T1208" s="414">
        <f>+HLOOKUP(B1208,[238]Hoja1!$2:$78,42,FALSE)</f>
        <v>2</v>
      </c>
      <c r="Y1208" s="439">
        <f t="shared" si="196"/>
        <v>0</v>
      </c>
      <c r="Z1208" s="439">
        <f t="shared" si="197"/>
        <v>0</v>
      </c>
    </row>
    <row r="1209" spans="1:26" ht="25.5">
      <c r="A1209" s="453">
        <f t="shared" si="195"/>
        <v>4.04</v>
      </c>
      <c r="B1209" s="383">
        <v>6</v>
      </c>
      <c r="D1209" s="406"/>
      <c r="E1209" s="407"/>
      <c r="F1209" s="407"/>
      <c r="G1209" s="407"/>
      <c r="H1209" s="407"/>
      <c r="I1209" s="407"/>
      <c r="J1209" s="408" t="s">
        <v>407</v>
      </c>
      <c r="K1209" s="409" t="str">
        <f t="shared" si="191"/>
        <v>UND= Cant de elementos</v>
      </c>
      <c r="L1209" s="410" t="str">
        <f>+L1208</f>
        <v>UND</v>
      </c>
      <c r="M1209" s="411"/>
      <c r="N1209" s="412"/>
      <c r="O1209" s="442"/>
      <c r="P1209" s="442"/>
      <c r="Q1209" s="413"/>
      <c r="R1209" s="411"/>
      <c r="S1209" s="413">
        <f t="shared" si="194"/>
        <v>0</v>
      </c>
      <c r="T1209" s="414">
        <f>+HLOOKUP(B1209,[238]Hoja1!$2:$78,42,FALSE)</f>
        <v>0</v>
      </c>
      <c r="Y1209" s="439">
        <f>+M1209*Q1209</f>
        <v>0</v>
      </c>
      <c r="Z1209" s="439">
        <f>+Y1209-R1209</f>
        <v>0</v>
      </c>
    </row>
    <row r="1210" spans="1:26" ht="25.5">
      <c r="A1210" s="453">
        <f t="shared" si="195"/>
        <v>4.04</v>
      </c>
      <c r="B1210" s="383">
        <v>7</v>
      </c>
      <c r="D1210" s="406"/>
      <c r="E1210" s="407"/>
      <c r="F1210" s="407"/>
      <c r="G1210" s="407"/>
      <c r="H1210" s="407"/>
      <c r="I1210" s="407"/>
      <c r="J1210" s="408" t="s">
        <v>409</v>
      </c>
      <c r="K1210" s="409" t="str">
        <f t="shared" si="191"/>
        <v>UND= Cant de elementos</v>
      </c>
      <c r="L1210" s="410" t="str">
        <f>+L1204</f>
        <v>UND</v>
      </c>
      <c r="M1210" s="411"/>
      <c r="N1210" s="412"/>
      <c r="O1210" s="442"/>
      <c r="P1210" s="442"/>
      <c r="Q1210" s="413"/>
      <c r="R1210" s="411"/>
      <c r="S1210" s="413">
        <f t="shared" si="194"/>
        <v>0</v>
      </c>
      <c r="T1210" s="414">
        <f>+HLOOKUP(B1210,[238]Hoja1!$2:$78,42,FALSE)</f>
        <v>0</v>
      </c>
      <c r="Y1210" s="439">
        <f t="shared" ref="Y1210:Y1246" si="198">+M1210*Q1210</f>
        <v>0</v>
      </c>
      <c r="Z1210" s="439">
        <f t="shared" ref="Z1210:Z1246" si="199">+Y1210-R1210</f>
        <v>0</v>
      </c>
    </row>
    <row r="1211" spans="1:26" ht="25.5">
      <c r="A1211" s="453">
        <f t="shared" si="195"/>
        <v>4.04</v>
      </c>
      <c r="B1211" s="383">
        <v>8</v>
      </c>
      <c r="D1211" s="406"/>
      <c r="E1211" s="407"/>
      <c r="F1211" s="407"/>
      <c r="G1211" s="407"/>
      <c r="H1211" s="407"/>
      <c r="I1211" s="407"/>
      <c r="J1211" s="408" t="s">
        <v>411</v>
      </c>
      <c r="K1211" s="409" t="str">
        <f t="shared" si="191"/>
        <v>UND= Cant de elementos</v>
      </c>
      <c r="L1211" s="410" t="str">
        <f>+L1210</f>
        <v>UND</v>
      </c>
      <c r="M1211" s="411"/>
      <c r="N1211" s="412"/>
      <c r="O1211" s="442"/>
      <c r="P1211" s="442"/>
      <c r="Q1211" s="413"/>
      <c r="R1211" s="411"/>
      <c r="S1211" s="413">
        <f t="shared" si="194"/>
        <v>0</v>
      </c>
      <c r="T1211" s="414">
        <f>+HLOOKUP(B1211,[238]Hoja1!$2:$78,42,FALSE)</f>
        <v>0</v>
      </c>
      <c r="Y1211" s="439">
        <f t="shared" si="198"/>
        <v>0</v>
      </c>
      <c r="Z1211" s="439">
        <f t="shared" si="199"/>
        <v>0</v>
      </c>
    </row>
    <row r="1212" spans="1:26" ht="25.5">
      <c r="A1212" s="453">
        <f t="shared" si="195"/>
        <v>4.04</v>
      </c>
      <c r="B1212" s="383">
        <v>9</v>
      </c>
      <c r="D1212" s="406"/>
      <c r="E1212" s="407"/>
      <c r="F1212" s="407"/>
      <c r="G1212" s="407"/>
      <c r="H1212" s="407"/>
      <c r="I1212" s="407"/>
      <c r="J1212" s="408" t="s">
        <v>412</v>
      </c>
      <c r="K1212" s="409" t="str">
        <f t="shared" si="191"/>
        <v>UND= Cant de elementos</v>
      </c>
      <c r="L1212" s="410" t="str">
        <f>+L1211</f>
        <v>UND</v>
      </c>
      <c r="M1212" s="411"/>
      <c r="N1212" s="412"/>
      <c r="O1212" s="442"/>
      <c r="P1212" s="442"/>
      <c r="Q1212" s="413"/>
      <c r="R1212" s="411"/>
      <c r="S1212" s="413">
        <f t="shared" si="194"/>
        <v>2</v>
      </c>
      <c r="T1212" s="414">
        <f>+HLOOKUP(B1212,[238]Hoja1!$2:$78,42,FALSE)</f>
        <v>2</v>
      </c>
      <c r="Y1212" s="439">
        <f t="shared" si="198"/>
        <v>0</v>
      </c>
      <c r="Z1212" s="439">
        <f t="shared" si="199"/>
        <v>0</v>
      </c>
    </row>
    <row r="1213" spans="1:26" ht="25.5">
      <c r="A1213" s="453">
        <f t="shared" si="195"/>
        <v>4.04</v>
      </c>
      <c r="B1213" s="383">
        <v>10</v>
      </c>
      <c r="D1213" s="406"/>
      <c r="E1213" s="407"/>
      <c r="F1213" s="407"/>
      <c r="G1213" s="407"/>
      <c r="H1213" s="407"/>
      <c r="I1213" s="407"/>
      <c r="J1213" s="408" t="s">
        <v>413</v>
      </c>
      <c r="K1213" s="409" t="str">
        <f t="shared" si="191"/>
        <v>UND= Cant de elementos</v>
      </c>
      <c r="L1213" s="410" t="str">
        <f>+L1212</f>
        <v>UND</v>
      </c>
      <c r="M1213" s="411"/>
      <c r="N1213" s="412"/>
      <c r="O1213" s="441"/>
      <c r="P1213" s="441"/>
      <c r="Q1213" s="412"/>
      <c r="R1213" s="411"/>
      <c r="S1213" s="413">
        <f t="shared" si="194"/>
        <v>0</v>
      </c>
      <c r="T1213" s="414">
        <f>+HLOOKUP(B1213,[238]Hoja1!$2:$78,42,FALSE)</f>
        <v>0</v>
      </c>
      <c r="Y1213" s="439">
        <f t="shared" si="198"/>
        <v>0</v>
      </c>
      <c r="Z1213" s="439">
        <f t="shared" si="199"/>
        <v>0</v>
      </c>
    </row>
    <row r="1214" spans="1:26" ht="25.5">
      <c r="A1214" s="453">
        <f t="shared" si="195"/>
        <v>4.04</v>
      </c>
      <c r="B1214" s="383">
        <v>11</v>
      </c>
      <c r="D1214" s="406"/>
      <c r="E1214" s="407"/>
      <c r="F1214" s="407"/>
      <c r="G1214" s="407"/>
      <c r="H1214" s="407"/>
      <c r="I1214" s="407"/>
      <c r="J1214" s="408" t="s">
        <v>414</v>
      </c>
      <c r="K1214" s="409" t="str">
        <f t="shared" si="191"/>
        <v>UND= Cant de elementos</v>
      </c>
      <c r="L1214" s="410" t="str">
        <f>+L1213</f>
        <v>UND</v>
      </c>
      <c r="M1214" s="411"/>
      <c r="N1214" s="412"/>
      <c r="O1214" s="443"/>
      <c r="P1214" s="443"/>
      <c r="Q1214" s="412"/>
      <c r="R1214" s="411"/>
      <c r="S1214" s="413">
        <f t="shared" si="194"/>
        <v>0</v>
      </c>
      <c r="T1214" s="414">
        <f>+HLOOKUP(B1214,[238]Hoja1!$2:$78,42,FALSE)</f>
        <v>0</v>
      </c>
      <c r="Y1214" s="439">
        <f t="shared" si="198"/>
        <v>0</v>
      </c>
      <c r="Z1214" s="439">
        <f t="shared" si="199"/>
        <v>0</v>
      </c>
    </row>
    <row r="1215" spans="1:26" ht="25.5">
      <c r="A1215" s="453">
        <f t="shared" si="195"/>
        <v>4.04</v>
      </c>
      <c r="B1215" s="383">
        <v>12</v>
      </c>
      <c r="D1215" s="406"/>
      <c r="E1215" s="407"/>
      <c r="F1215" s="407"/>
      <c r="G1215" s="407"/>
      <c r="H1215" s="407"/>
      <c r="I1215" s="407"/>
      <c r="J1215" s="408" t="s">
        <v>415</v>
      </c>
      <c r="K1215" s="409" t="str">
        <f t="shared" si="191"/>
        <v>UND= Cant de elementos</v>
      </c>
      <c r="L1215" s="410" t="str">
        <f>+L1209</f>
        <v>UND</v>
      </c>
      <c r="M1215" s="411"/>
      <c r="N1215" s="412"/>
      <c r="O1215" s="442"/>
      <c r="P1215" s="442"/>
      <c r="Q1215" s="413"/>
      <c r="R1215" s="411"/>
      <c r="S1215" s="413">
        <f t="shared" si="194"/>
        <v>0</v>
      </c>
      <c r="T1215" s="414">
        <f>+HLOOKUP(B1215,[238]Hoja1!$2:$78,42,FALSE)</f>
        <v>0</v>
      </c>
      <c r="Y1215" s="439">
        <f t="shared" si="198"/>
        <v>0</v>
      </c>
      <c r="Z1215" s="439">
        <f t="shared" si="199"/>
        <v>0</v>
      </c>
    </row>
    <row r="1216" spans="1:26" ht="25.5">
      <c r="A1216" s="453">
        <f t="shared" si="195"/>
        <v>4.04</v>
      </c>
      <c r="B1216" s="383">
        <v>13</v>
      </c>
      <c r="D1216" s="406"/>
      <c r="E1216" s="407"/>
      <c r="F1216" s="407"/>
      <c r="G1216" s="407"/>
      <c r="H1216" s="407"/>
      <c r="I1216" s="407"/>
      <c r="J1216" s="408" t="s">
        <v>416</v>
      </c>
      <c r="K1216" s="409" t="str">
        <f t="shared" si="191"/>
        <v>UND= Cant de elementos</v>
      </c>
      <c r="L1216" s="410" t="str">
        <f>+L1211</f>
        <v>UND</v>
      </c>
      <c r="M1216" s="411"/>
      <c r="N1216" s="412"/>
      <c r="O1216" s="442"/>
      <c r="P1216" s="442"/>
      <c r="Q1216" s="413"/>
      <c r="R1216" s="411"/>
      <c r="S1216" s="413">
        <f t="shared" si="194"/>
        <v>0</v>
      </c>
      <c r="T1216" s="414">
        <f>+HLOOKUP(B1216,[238]Hoja1!$2:$78,42,FALSE)</f>
        <v>0</v>
      </c>
      <c r="Y1216" s="439">
        <f t="shared" si="198"/>
        <v>0</v>
      </c>
      <c r="Z1216" s="439">
        <f t="shared" si="199"/>
        <v>0</v>
      </c>
    </row>
    <row r="1217" spans="1:26" ht="25.5">
      <c r="A1217" s="453">
        <f t="shared" si="195"/>
        <v>4.04</v>
      </c>
      <c r="B1217" s="383">
        <v>14</v>
      </c>
      <c r="D1217" s="406"/>
      <c r="E1217" s="407"/>
      <c r="F1217" s="407"/>
      <c r="G1217" s="407"/>
      <c r="H1217" s="407"/>
      <c r="I1217" s="407"/>
      <c r="J1217" s="408" t="s">
        <v>417</v>
      </c>
      <c r="K1217" s="409" t="str">
        <f t="shared" si="191"/>
        <v>UND= Cant de elementos</v>
      </c>
      <c r="L1217" s="410" t="str">
        <f t="shared" ref="L1217:L1228" si="200">+L1216</f>
        <v>UND</v>
      </c>
      <c r="M1217" s="411"/>
      <c r="N1217" s="412"/>
      <c r="O1217" s="442"/>
      <c r="P1217" s="442"/>
      <c r="Q1217" s="413"/>
      <c r="R1217" s="411"/>
      <c r="S1217" s="413">
        <f t="shared" si="194"/>
        <v>2</v>
      </c>
      <c r="T1217" s="414">
        <f>+HLOOKUP(B1217,[238]Hoja1!$2:$78,42,FALSE)</f>
        <v>2</v>
      </c>
      <c r="Y1217" s="439">
        <f t="shared" si="198"/>
        <v>0</v>
      </c>
      <c r="Z1217" s="439">
        <f t="shared" si="199"/>
        <v>0</v>
      </c>
    </row>
    <row r="1218" spans="1:26" ht="25.5">
      <c r="A1218" s="453">
        <f t="shared" si="195"/>
        <v>4.04</v>
      </c>
      <c r="B1218" s="383">
        <v>15</v>
      </c>
      <c r="D1218" s="406"/>
      <c r="E1218" s="407"/>
      <c r="F1218" s="407"/>
      <c r="G1218" s="407"/>
      <c r="H1218" s="407"/>
      <c r="I1218" s="407"/>
      <c r="J1218" s="408" t="s">
        <v>418</v>
      </c>
      <c r="K1218" s="409" t="str">
        <f t="shared" si="191"/>
        <v>UND= Cant de elementos</v>
      </c>
      <c r="L1218" s="410" t="str">
        <f t="shared" si="200"/>
        <v>UND</v>
      </c>
      <c r="M1218" s="411"/>
      <c r="N1218" s="412"/>
      <c r="O1218" s="442"/>
      <c r="P1218" s="442"/>
      <c r="Q1218" s="449"/>
      <c r="R1218" s="411"/>
      <c r="S1218" s="413">
        <f t="shared" si="194"/>
        <v>0</v>
      </c>
      <c r="T1218" s="414">
        <f>+HLOOKUP(B1218,[238]Hoja1!$2:$78,42,FALSE)</f>
        <v>0</v>
      </c>
      <c r="Y1218" s="439">
        <f t="shared" si="198"/>
        <v>0</v>
      </c>
      <c r="Z1218" s="439">
        <f t="shared" si="199"/>
        <v>0</v>
      </c>
    </row>
    <row r="1219" spans="1:26" ht="25.5">
      <c r="A1219" s="453">
        <f t="shared" si="195"/>
        <v>4.04</v>
      </c>
      <c r="B1219" s="383">
        <v>16</v>
      </c>
      <c r="D1219" s="406"/>
      <c r="E1219" s="407"/>
      <c r="F1219" s="407"/>
      <c r="G1219" s="407"/>
      <c r="H1219" s="407"/>
      <c r="I1219" s="407"/>
      <c r="J1219" s="408" t="s">
        <v>419</v>
      </c>
      <c r="K1219" s="409" t="str">
        <f t="shared" si="191"/>
        <v>UND= Cant de elementos</v>
      </c>
      <c r="L1219" s="410" t="str">
        <f t="shared" si="200"/>
        <v>UND</v>
      </c>
      <c r="M1219" s="411"/>
      <c r="N1219" s="412"/>
      <c r="O1219" s="442"/>
      <c r="P1219" s="442"/>
      <c r="Q1219" s="449"/>
      <c r="R1219" s="411"/>
      <c r="S1219" s="413">
        <f t="shared" si="194"/>
        <v>0</v>
      </c>
      <c r="T1219" s="414">
        <f>+HLOOKUP(B1219,[238]Hoja1!$2:$78,42,FALSE)</f>
        <v>0</v>
      </c>
      <c r="Y1219" s="439">
        <f t="shared" si="198"/>
        <v>0</v>
      </c>
      <c r="Z1219" s="439">
        <f t="shared" si="199"/>
        <v>0</v>
      </c>
    </row>
    <row r="1220" spans="1:26" ht="25.5">
      <c r="A1220" s="453">
        <f t="shared" si="195"/>
        <v>4.04</v>
      </c>
      <c r="B1220" s="383">
        <v>17</v>
      </c>
      <c r="D1220" s="406"/>
      <c r="E1220" s="407"/>
      <c r="F1220" s="407"/>
      <c r="G1220" s="407"/>
      <c r="H1220" s="407"/>
      <c r="I1220" s="407"/>
      <c r="J1220" s="408" t="s">
        <v>420</v>
      </c>
      <c r="K1220" s="409" t="str">
        <f t="shared" si="191"/>
        <v>UND= Cant de elementos</v>
      </c>
      <c r="L1220" s="410" t="str">
        <f t="shared" si="200"/>
        <v>UND</v>
      </c>
      <c r="M1220" s="411"/>
      <c r="N1220" s="412"/>
      <c r="O1220" s="442"/>
      <c r="P1220" s="442"/>
      <c r="Q1220" s="448"/>
      <c r="R1220" s="411"/>
      <c r="S1220" s="413">
        <f t="shared" si="194"/>
        <v>0</v>
      </c>
      <c r="T1220" s="414">
        <f>+HLOOKUP(B1220,[238]Hoja1!$2:$78,42,FALSE)</f>
        <v>0</v>
      </c>
      <c r="W1220" s="383">
        <f>+Q1220*P1220*O1220</f>
        <v>0</v>
      </c>
      <c r="Y1220" s="439">
        <f t="shared" si="198"/>
        <v>0</v>
      </c>
      <c r="Z1220" s="439">
        <f t="shared" si="199"/>
        <v>0</v>
      </c>
    </row>
    <row r="1221" spans="1:26" ht="25.5">
      <c r="A1221" s="453">
        <f t="shared" si="195"/>
        <v>4.04</v>
      </c>
      <c r="B1221" s="383">
        <v>18</v>
      </c>
      <c r="D1221" s="406"/>
      <c r="E1221" s="407"/>
      <c r="F1221" s="407"/>
      <c r="G1221" s="407"/>
      <c r="H1221" s="407"/>
      <c r="I1221" s="407"/>
      <c r="J1221" s="408" t="s">
        <v>429</v>
      </c>
      <c r="K1221" s="409" t="str">
        <f t="shared" si="191"/>
        <v>UND= Cant de elementos</v>
      </c>
      <c r="L1221" s="410" t="str">
        <f t="shared" si="200"/>
        <v>UND</v>
      </c>
      <c r="M1221" s="411"/>
      <c r="N1221" s="412"/>
      <c r="O1221" s="442"/>
      <c r="P1221" s="442"/>
      <c r="Q1221" s="413"/>
      <c r="R1221" s="411"/>
      <c r="S1221" s="413">
        <f t="shared" si="194"/>
        <v>0</v>
      </c>
      <c r="T1221" s="414">
        <f>+HLOOKUP(B1221,[238]Hoja1!$2:$78,42,FALSE)</f>
        <v>0</v>
      </c>
      <c r="Y1221" s="439">
        <f t="shared" si="198"/>
        <v>0</v>
      </c>
      <c r="Z1221" s="439">
        <f t="shared" si="199"/>
        <v>0</v>
      </c>
    </row>
    <row r="1222" spans="1:26" ht="25.5">
      <c r="A1222" s="453">
        <f t="shared" si="195"/>
        <v>4.04</v>
      </c>
      <c r="B1222" s="383">
        <v>19</v>
      </c>
      <c r="D1222" s="406"/>
      <c r="E1222" s="407"/>
      <c r="F1222" s="407"/>
      <c r="G1222" s="407"/>
      <c r="H1222" s="407"/>
      <c r="I1222" s="407"/>
      <c r="J1222" s="408" t="s">
        <v>430</v>
      </c>
      <c r="K1222" s="409" t="str">
        <f t="shared" si="191"/>
        <v>UND= Cant de elementos</v>
      </c>
      <c r="L1222" s="410" t="str">
        <f t="shared" si="200"/>
        <v>UND</v>
      </c>
      <c r="M1222" s="411"/>
      <c r="N1222" s="412"/>
      <c r="O1222" s="442"/>
      <c r="P1222" s="442"/>
      <c r="Q1222" s="448"/>
      <c r="R1222" s="411"/>
      <c r="S1222" s="413">
        <f t="shared" si="194"/>
        <v>2</v>
      </c>
      <c r="T1222" s="414">
        <f>+HLOOKUP(B1222,[238]Hoja1!$2:$78,42,FALSE)</f>
        <v>2</v>
      </c>
      <c r="Y1222" s="439">
        <f t="shared" si="198"/>
        <v>0</v>
      </c>
      <c r="Z1222" s="439">
        <f t="shared" si="199"/>
        <v>0</v>
      </c>
    </row>
    <row r="1223" spans="1:26" ht="25.5">
      <c r="A1223" s="453">
        <f t="shared" si="195"/>
        <v>4.04</v>
      </c>
      <c r="B1223" s="383">
        <v>20</v>
      </c>
      <c r="D1223" s="406"/>
      <c r="E1223" s="407"/>
      <c r="F1223" s="407"/>
      <c r="G1223" s="407"/>
      <c r="H1223" s="407"/>
      <c r="I1223" s="407"/>
      <c r="J1223" s="408" t="s">
        <v>431</v>
      </c>
      <c r="K1223" s="409" t="str">
        <f t="shared" si="191"/>
        <v>UND= Cant de elementos</v>
      </c>
      <c r="L1223" s="410" t="str">
        <f t="shared" si="200"/>
        <v>UND</v>
      </c>
      <c r="M1223" s="411"/>
      <c r="N1223" s="412"/>
      <c r="O1223" s="442"/>
      <c r="P1223" s="442"/>
      <c r="Q1223" s="413"/>
      <c r="R1223" s="411"/>
      <c r="S1223" s="413">
        <f t="shared" si="194"/>
        <v>0</v>
      </c>
      <c r="T1223" s="414">
        <f>+HLOOKUP(B1223,[238]Hoja1!$2:$78,42,FALSE)</f>
        <v>0</v>
      </c>
      <c r="Y1223" s="439">
        <f t="shared" si="198"/>
        <v>0</v>
      </c>
      <c r="Z1223" s="439">
        <f t="shared" si="199"/>
        <v>0</v>
      </c>
    </row>
    <row r="1224" spans="1:26" ht="25.5">
      <c r="A1224" s="453">
        <f t="shared" si="195"/>
        <v>4.04</v>
      </c>
      <c r="B1224" s="383">
        <v>21</v>
      </c>
      <c r="D1224" s="406"/>
      <c r="E1224" s="407"/>
      <c r="F1224" s="407"/>
      <c r="G1224" s="407"/>
      <c r="H1224" s="407"/>
      <c r="I1224" s="407"/>
      <c r="J1224" s="408" t="s">
        <v>432</v>
      </c>
      <c r="K1224" s="409" t="str">
        <f t="shared" si="191"/>
        <v>UND= Cant de elementos</v>
      </c>
      <c r="L1224" s="410" t="str">
        <f t="shared" si="200"/>
        <v>UND</v>
      </c>
      <c r="M1224" s="411"/>
      <c r="N1224" s="412"/>
      <c r="O1224" s="442"/>
      <c r="P1224" s="442"/>
      <c r="Q1224" s="412"/>
      <c r="R1224" s="411"/>
      <c r="S1224" s="413">
        <f t="shared" si="194"/>
        <v>0</v>
      </c>
      <c r="T1224" s="414">
        <f>+HLOOKUP(B1224,[238]Hoja1!$2:$78,42,FALSE)</f>
        <v>0</v>
      </c>
      <c r="Y1224" s="439">
        <f t="shared" si="198"/>
        <v>0</v>
      </c>
      <c r="Z1224" s="439">
        <f t="shared" si="199"/>
        <v>0</v>
      </c>
    </row>
    <row r="1225" spans="1:26" ht="25.5">
      <c r="A1225" s="453">
        <f t="shared" si="195"/>
        <v>4.04</v>
      </c>
      <c r="B1225" s="383">
        <v>22</v>
      </c>
      <c r="D1225" s="406"/>
      <c r="E1225" s="407"/>
      <c r="F1225" s="407"/>
      <c r="G1225" s="407"/>
      <c r="H1225" s="407"/>
      <c r="I1225" s="407"/>
      <c r="J1225" s="408" t="s">
        <v>433</v>
      </c>
      <c r="K1225" s="409" t="str">
        <f t="shared" si="191"/>
        <v>UND= Cant de elementos</v>
      </c>
      <c r="L1225" s="410" t="str">
        <f t="shared" si="200"/>
        <v>UND</v>
      </c>
      <c r="M1225" s="411"/>
      <c r="N1225" s="412"/>
      <c r="O1225" s="442"/>
      <c r="P1225" s="442"/>
      <c r="Q1225" s="448"/>
      <c r="R1225" s="411"/>
      <c r="S1225" s="413">
        <f t="shared" si="194"/>
        <v>2</v>
      </c>
      <c r="T1225" s="414">
        <f>+HLOOKUP(B1225,[238]Hoja1!$2:$78,42,FALSE)</f>
        <v>2</v>
      </c>
      <c r="Y1225" s="439">
        <f t="shared" si="198"/>
        <v>0</v>
      </c>
      <c r="Z1225" s="439">
        <f t="shared" si="199"/>
        <v>0</v>
      </c>
    </row>
    <row r="1226" spans="1:26" ht="25.5">
      <c r="A1226" s="453">
        <f t="shared" si="195"/>
        <v>4.04</v>
      </c>
      <c r="B1226" s="383">
        <v>23</v>
      </c>
      <c r="D1226" s="406"/>
      <c r="E1226" s="407"/>
      <c r="F1226" s="407"/>
      <c r="G1226" s="407"/>
      <c r="H1226" s="407"/>
      <c r="I1226" s="407"/>
      <c r="J1226" s="408" t="s">
        <v>434</v>
      </c>
      <c r="K1226" s="409" t="str">
        <f t="shared" si="191"/>
        <v>UND= Cant de elementos</v>
      </c>
      <c r="L1226" s="410" t="str">
        <f t="shared" si="200"/>
        <v>UND</v>
      </c>
      <c r="M1226" s="411"/>
      <c r="N1226" s="412"/>
      <c r="O1226" s="441"/>
      <c r="P1226" s="441"/>
      <c r="Q1226" s="412"/>
      <c r="R1226" s="411"/>
      <c r="S1226" s="413">
        <f t="shared" si="194"/>
        <v>0</v>
      </c>
      <c r="T1226" s="414">
        <f>+HLOOKUP(B1226,[238]Hoja1!$2:$78,42,FALSE)</f>
        <v>0</v>
      </c>
      <c r="Y1226" s="439">
        <f t="shared" si="198"/>
        <v>0</v>
      </c>
      <c r="Z1226" s="439">
        <f t="shared" si="199"/>
        <v>0</v>
      </c>
    </row>
    <row r="1227" spans="1:26" ht="25.5">
      <c r="A1227" s="453">
        <f t="shared" si="195"/>
        <v>4.04</v>
      </c>
      <c r="B1227" s="383">
        <v>24</v>
      </c>
      <c r="D1227" s="406"/>
      <c r="E1227" s="407"/>
      <c r="F1227" s="407"/>
      <c r="G1227" s="407"/>
      <c r="H1227" s="407"/>
      <c r="I1227" s="407"/>
      <c r="J1227" s="408" t="s">
        <v>435</v>
      </c>
      <c r="K1227" s="409" t="str">
        <f t="shared" si="191"/>
        <v>UND= Cant de elementos</v>
      </c>
      <c r="L1227" s="410" t="str">
        <f t="shared" si="200"/>
        <v>UND</v>
      </c>
      <c r="M1227" s="411"/>
      <c r="N1227" s="412"/>
      <c r="O1227" s="442"/>
      <c r="P1227" s="442"/>
      <c r="Q1227" s="413"/>
      <c r="R1227" s="411"/>
      <c r="S1227" s="413">
        <f t="shared" si="194"/>
        <v>0</v>
      </c>
      <c r="T1227" s="414">
        <f>+HLOOKUP(B1227,[238]Hoja1!$2:$78,42,FALSE)</f>
        <v>0</v>
      </c>
      <c r="Y1227" s="439">
        <f t="shared" si="198"/>
        <v>0</v>
      </c>
      <c r="Z1227" s="439">
        <f t="shared" si="199"/>
        <v>0</v>
      </c>
    </row>
    <row r="1228" spans="1:26" ht="25.5">
      <c r="A1228" s="453">
        <f t="shared" si="195"/>
        <v>4.04</v>
      </c>
      <c r="B1228" s="383">
        <v>25</v>
      </c>
      <c r="D1228" s="406"/>
      <c r="E1228" s="407"/>
      <c r="F1228" s="407"/>
      <c r="G1228" s="407"/>
      <c r="H1228" s="407"/>
      <c r="I1228" s="407"/>
      <c r="J1228" s="408" t="s">
        <v>436</v>
      </c>
      <c r="K1228" s="409" t="str">
        <f t="shared" si="191"/>
        <v>UND= Cant de elementos</v>
      </c>
      <c r="L1228" s="410" t="str">
        <f t="shared" si="200"/>
        <v>UND</v>
      </c>
      <c r="M1228" s="411"/>
      <c r="N1228" s="412"/>
      <c r="O1228" s="442"/>
      <c r="P1228" s="442"/>
      <c r="Q1228" s="450"/>
      <c r="R1228" s="411"/>
      <c r="S1228" s="413">
        <f t="shared" si="194"/>
        <v>0</v>
      </c>
      <c r="T1228" s="414">
        <f>+HLOOKUP(B1228,[238]Hoja1!$2:$78,42,FALSE)</f>
        <v>0</v>
      </c>
      <c r="Y1228" s="439">
        <f t="shared" si="198"/>
        <v>0</v>
      </c>
      <c r="Z1228" s="439">
        <f t="shared" si="199"/>
        <v>0</v>
      </c>
    </row>
    <row r="1229" spans="1:26" ht="25.5">
      <c r="A1229" s="453">
        <f t="shared" si="195"/>
        <v>4.04</v>
      </c>
      <c r="B1229" s="383">
        <v>26</v>
      </c>
      <c r="D1229" s="406"/>
      <c r="E1229" s="407"/>
      <c r="F1229" s="407"/>
      <c r="G1229" s="407"/>
      <c r="H1229" s="407"/>
      <c r="I1229" s="407"/>
      <c r="J1229" s="408" t="s">
        <v>437</v>
      </c>
      <c r="K1229" s="409" t="str">
        <f t="shared" si="191"/>
        <v>UND= Cant de elementos</v>
      </c>
      <c r="L1229" s="410" t="str">
        <f>+L1218</f>
        <v>UND</v>
      </c>
      <c r="M1229" s="411"/>
      <c r="N1229" s="412"/>
      <c r="O1229" s="442"/>
      <c r="P1229" s="442"/>
      <c r="Q1229" s="412"/>
      <c r="R1229" s="411"/>
      <c r="S1229" s="413">
        <f t="shared" si="194"/>
        <v>0</v>
      </c>
      <c r="T1229" s="414">
        <f>+HLOOKUP(B1229,[238]Hoja1!$2:$78,42,FALSE)</f>
        <v>0</v>
      </c>
      <c r="Y1229" s="439">
        <f t="shared" si="198"/>
        <v>0</v>
      </c>
      <c r="Z1229" s="439">
        <f t="shared" si="199"/>
        <v>0</v>
      </c>
    </row>
    <row r="1230" spans="1:26" ht="25.5">
      <c r="A1230" s="453">
        <f t="shared" si="195"/>
        <v>4.04</v>
      </c>
      <c r="B1230" s="383">
        <v>27</v>
      </c>
      <c r="D1230" s="406"/>
      <c r="E1230" s="407"/>
      <c r="F1230" s="407"/>
      <c r="G1230" s="407"/>
      <c r="H1230" s="407"/>
      <c r="I1230" s="407"/>
      <c r="J1230" s="408" t="s">
        <v>438</v>
      </c>
      <c r="K1230" s="409" t="str">
        <f t="shared" si="191"/>
        <v>UND= Cant de elementos</v>
      </c>
      <c r="L1230" s="410" t="str">
        <f t="shared" ref="L1230:L1238" si="201">+L1229</f>
        <v>UND</v>
      </c>
      <c r="M1230" s="411"/>
      <c r="N1230" s="412"/>
      <c r="O1230" s="442"/>
      <c r="P1230" s="442"/>
      <c r="Q1230" s="448"/>
      <c r="R1230" s="411"/>
      <c r="S1230" s="413">
        <f t="shared" si="194"/>
        <v>2</v>
      </c>
      <c r="T1230" s="414">
        <f>+HLOOKUP(B1230,[238]Hoja1!$2:$78,42,FALSE)</f>
        <v>2</v>
      </c>
      <c r="Y1230" s="439">
        <f t="shared" si="198"/>
        <v>0</v>
      </c>
      <c r="Z1230" s="439">
        <f t="shared" si="199"/>
        <v>0</v>
      </c>
    </row>
    <row r="1231" spans="1:26" ht="25.5">
      <c r="A1231" s="453">
        <f t="shared" si="195"/>
        <v>4.04</v>
      </c>
      <c r="B1231" s="383">
        <v>28</v>
      </c>
      <c r="D1231" s="406"/>
      <c r="E1231" s="440"/>
      <c r="F1231" s="407"/>
      <c r="G1231" s="407"/>
      <c r="H1231" s="407"/>
      <c r="I1231" s="437"/>
      <c r="J1231" s="408" t="s">
        <v>439</v>
      </c>
      <c r="K1231" s="409" t="str">
        <f t="shared" si="191"/>
        <v>UND= Cant de elementos</v>
      </c>
      <c r="L1231" s="410" t="str">
        <f t="shared" si="201"/>
        <v>UND</v>
      </c>
      <c r="M1231" s="411"/>
      <c r="N1231" s="412"/>
      <c r="O1231" s="442"/>
      <c r="P1231" s="442"/>
      <c r="Q1231" s="413"/>
      <c r="R1231" s="411"/>
      <c r="S1231" s="413">
        <f t="shared" si="194"/>
        <v>0</v>
      </c>
      <c r="T1231" s="414">
        <f>+HLOOKUP(B1231,[238]Hoja1!$2:$78,42,FALSE)</f>
        <v>0</v>
      </c>
      <c r="Y1231" s="439">
        <f t="shared" si="198"/>
        <v>0</v>
      </c>
      <c r="Z1231" s="439">
        <f t="shared" si="199"/>
        <v>0</v>
      </c>
    </row>
    <row r="1232" spans="1:26" ht="25.5">
      <c r="A1232" s="453">
        <f t="shared" si="195"/>
        <v>4.04</v>
      </c>
      <c r="B1232" s="383">
        <v>29</v>
      </c>
      <c r="D1232" s="406"/>
      <c r="E1232" s="407"/>
      <c r="F1232" s="407"/>
      <c r="G1232" s="407"/>
      <c r="H1232" s="407"/>
      <c r="I1232" s="407"/>
      <c r="J1232" s="408" t="s">
        <v>440</v>
      </c>
      <c r="K1232" s="409" t="str">
        <f t="shared" si="191"/>
        <v>UND= Cant de elementos</v>
      </c>
      <c r="L1232" s="410" t="str">
        <f t="shared" si="201"/>
        <v>UND</v>
      </c>
      <c r="M1232" s="411"/>
      <c r="N1232" s="412"/>
      <c r="O1232" s="443"/>
      <c r="P1232" s="443"/>
      <c r="Q1232" s="412"/>
      <c r="R1232" s="411"/>
      <c r="S1232" s="413">
        <f t="shared" si="194"/>
        <v>0</v>
      </c>
      <c r="T1232" s="414">
        <f>+HLOOKUP(B1232,[238]Hoja1!$2:$78,42,FALSE)</f>
        <v>0</v>
      </c>
      <c r="Y1232" s="439">
        <f t="shared" si="198"/>
        <v>0</v>
      </c>
      <c r="Z1232" s="439">
        <f t="shared" si="199"/>
        <v>0</v>
      </c>
    </row>
    <row r="1233" spans="1:26" ht="25.5">
      <c r="A1233" s="453">
        <f t="shared" si="195"/>
        <v>4.04</v>
      </c>
      <c r="B1233" s="383">
        <v>30</v>
      </c>
      <c r="D1233" s="406"/>
      <c r="E1233" s="407"/>
      <c r="F1233" s="407"/>
      <c r="G1233" s="407"/>
      <c r="H1233" s="407"/>
      <c r="I1233" s="407"/>
      <c r="J1233" s="408" t="s">
        <v>441</v>
      </c>
      <c r="K1233" s="409" t="str">
        <f t="shared" si="191"/>
        <v>UND= Cant de elementos</v>
      </c>
      <c r="L1233" s="410" t="str">
        <f t="shared" si="201"/>
        <v>UND</v>
      </c>
      <c r="M1233" s="411"/>
      <c r="N1233" s="412"/>
      <c r="O1233" s="442"/>
      <c r="P1233" s="442"/>
      <c r="Q1233" s="413"/>
      <c r="R1233" s="411"/>
      <c r="S1233" s="413">
        <f t="shared" si="194"/>
        <v>0</v>
      </c>
      <c r="T1233" s="414">
        <f>+HLOOKUP(B1233,[238]Hoja1!$2:$78,42,FALSE)</f>
        <v>0</v>
      </c>
      <c r="Y1233" s="439">
        <f t="shared" si="198"/>
        <v>0</v>
      </c>
      <c r="Z1233" s="439">
        <f t="shared" si="199"/>
        <v>0</v>
      </c>
    </row>
    <row r="1234" spans="1:26" ht="25.5">
      <c r="A1234" s="453">
        <f t="shared" si="195"/>
        <v>4.04</v>
      </c>
      <c r="B1234" s="383">
        <v>31</v>
      </c>
      <c r="D1234" s="406"/>
      <c r="E1234" s="407"/>
      <c r="F1234" s="407"/>
      <c r="G1234" s="407"/>
      <c r="H1234" s="407"/>
      <c r="I1234" s="407"/>
      <c r="J1234" s="408" t="s">
        <v>442</v>
      </c>
      <c r="K1234" s="409" t="str">
        <f t="shared" si="191"/>
        <v>UND= Cant de elementos</v>
      </c>
      <c r="L1234" s="410" t="str">
        <f t="shared" si="201"/>
        <v>UND</v>
      </c>
      <c r="M1234" s="411"/>
      <c r="N1234" s="412"/>
      <c r="O1234" s="442"/>
      <c r="P1234" s="442"/>
      <c r="Q1234" s="413"/>
      <c r="R1234" s="411"/>
      <c r="S1234" s="413">
        <f t="shared" si="194"/>
        <v>0</v>
      </c>
      <c r="T1234" s="414">
        <f>+HLOOKUP(B1234,[238]Hoja1!$2:$78,42,FALSE)</f>
        <v>0</v>
      </c>
      <c r="Y1234" s="439">
        <f t="shared" si="198"/>
        <v>0</v>
      </c>
      <c r="Z1234" s="439">
        <f t="shared" si="199"/>
        <v>0</v>
      </c>
    </row>
    <row r="1235" spans="1:26" ht="25.5">
      <c r="A1235" s="453">
        <f t="shared" si="195"/>
        <v>4.04</v>
      </c>
      <c r="B1235" s="383">
        <v>32</v>
      </c>
      <c r="D1235" s="406"/>
      <c r="E1235" s="407"/>
      <c r="F1235" s="407"/>
      <c r="G1235" s="407"/>
      <c r="H1235" s="407"/>
      <c r="I1235" s="407"/>
      <c r="J1235" s="408" t="s">
        <v>443</v>
      </c>
      <c r="K1235" s="409" t="str">
        <f t="shared" si="191"/>
        <v>UND= Cant de elementos</v>
      </c>
      <c r="L1235" s="410" t="str">
        <f t="shared" si="201"/>
        <v>UND</v>
      </c>
      <c r="M1235" s="411"/>
      <c r="N1235" s="412"/>
      <c r="O1235" s="442"/>
      <c r="P1235" s="442"/>
      <c r="Q1235" s="413"/>
      <c r="R1235" s="411"/>
      <c r="S1235" s="413">
        <f t="shared" si="194"/>
        <v>0</v>
      </c>
      <c r="T1235" s="414">
        <f>+HLOOKUP(B1235,[238]Hoja1!$2:$78,42,FALSE)</f>
        <v>0</v>
      </c>
      <c r="Y1235" s="439">
        <f t="shared" si="198"/>
        <v>0</v>
      </c>
      <c r="Z1235" s="439">
        <f t="shared" si="199"/>
        <v>0</v>
      </c>
    </row>
    <row r="1236" spans="1:26" ht="25.5">
      <c r="A1236" s="453">
        <f t="shared" si="195"/>
        <v>4.04</v>
      </c>
      <c r="B1236" s="383">
        <v>33</v>
      </c>
      <c r="D1236" s="406"/>
      <c r="E1236" s="407"/>
      <c r="F1236" s="407"/>
      <c r="G1236" s="407"/>
      <c r="H1236" s="407"/>
      <c r="I1236" s="407"/>
      <c r="J1236" s="408" t="s">
        <v>444</v>
      </c>
      <c r="K1236" s="409" t="str">
        <f t="shared" si="191"/>
        <v>UND= Cant de elementos</v>
      </c>
      <c r="L1236" s="410" t="str">
        <f t="shared" si="201"/>
        <v>UND</v>
      </c>
      <c r="M1236" s="411"/>
      <c r="N1236" s="412"/>
      <c r="O1236" s="442"/>
      <c r="P1236" s="442"/>
      <c r="Q1236" s="412"/>
      <c r="R1236" s="411"/>
      <c r="S1236" s="413">
        <f t="shared" si="194"/>
        <v>0</v>
      </c>
      <c r="T1236" s="414">
        <f>+HLOOKUP(B1236,[238]Hoja1!$2:$78,42,FALSE)</f>
        <v>0</v>
      </c>
      <c r="Y1236" s="439">
        <f t="shared" si="198"/>
        <v>0</v>
      </c>
      <c r="Z1236" s="439">
        <f t="shared" si="199"/>
        <v>0</v>
      </c>
    </row>
    <row r="1237" spans="1:26" ht="25.5">
      <c r="A1237" s="453">
        <f t="shared" si="195"/>
        <v>4.04</v>
      </c>
      <c r="B1237" s="383">
        <v>34</v>
      </c>
      <c r="D1237" s="406"/>
      <c r="E1237" s="407"/>
      <c r="F1237" s="407"/>
      <c r="G1237" s="407"/>
      <c r="H1237" s="407"/>
      <c r="I1237" s="407"/>
      <c r="J1237" s="408" t="s">
        <v>445</v>
      </c>
      <c r="K1237" s="409" t="str">
        <f t="shared" si="191"/>
        <v>UND= Cant de elementos</v>
      </c>
      <c r="L1237" s="410" t="str">
        <f t="shared" si="201"/>
        <v>UND</v>
      </c>
      <c r="M1237" s="411"/>
      <c r="N1237" s="412"/>
      <c r="O1237" s="441"/>
      <c r="P1237" s="441"/>
      <c r="Q1237" s="412"/>
      <c r="R1237" s="411"/>
      <c r="S1237" s="413">
        <f t="shared" si="194"/>
        <v>0</v>
      </c>
      <c r="T1237" s="414">
        <f>+HLOOKUP(B1237,[238]Hoja1!$2:$78,42,FALSE)</f>
        <v>0</v>
      </c>
      <c r="Y1237" s="439">
        <f t="shared" si="198"/>
        <v>0</v>
      </c>
      <c r="Z1237" s="439">
        <f t="shared" si="199"/>
        <v>0</v>
      </c>
    </row>
    <row r="1238" spans="1:26" ht="25.5">
      <c r="A1238" s="453">
        <f t="shared" si="195"/>
        <v>4.04</v>
      </c>
      <c r="B1238" s="383">
        <v>35</v>
      </c>
      <c r="D1238" s="406"/>
      <c r="E1238" s="440"/>
      <c r="F1238" s="407"/>
      <c r="G1238" s="407"/>
      <c r="H1238" s="407"/>
      <c r="I1238" s="437"/>
      <c r="J1238" s="408" t="s">
        <v>446</v>
      </c>
      <c r="K1238" s="409" t="str">
        <f t="shared" si="191"/>
        <v>UND= Cant de elementos</v>
      </c>
      <c r="L1238" s="410" t="str">
        <f t="shared" si="201"/>
        <v>UND</v>
      </c>
      <c r="M1238" s="411"/>
      <c r="N1238" s="412"/>
      <c r="O1238" s="442"/>
      <c r="P1238" s="442"/>
      <c r="Q1238" s="413"/>
      <c r="R1238" s="411"/>
      <c r="S1238" s="413">
        <f t="shared" si="194"/>
        <v>0</v>
      </c>
      <c r="T1238" s="414">
        <f>+HLOOKUP(B1238,[238]Hoja1!$2:$78,42,FALSE)</f>
        <v>0</v>
      </c>
      <c r="Y1238" s="439">
        <f t="shared" si="198"/>
        <v>0</v>
      </c>
      <c r="Z1238" s="439">
        <f t="shared" si="199"/>
        <v>0</v>
      </c>
    </row>
    <row r="1239" spans="1:26" ht="25.5">
      <c r="A1239" s="453">
        <f t="shared" si="195"/>
        <v>4.04</v>
      </c>
      <c r="B1239" s="383">
        <v>36</v>
      </c>
      <c r="D1239" s="406"/>
      <c r="E1239" s="407"/>
      <c r="F1239" s="407"/>
      <c r="G1239" s="407"/>
      <c r="H1239" s="407"/>
      <c r="I1239" s="407"/>
      <c r="J1239" s="408" t="s">
        <v>447</v>
      </c>
      <c r="K1239" s="409" t="str">
        <f t="shared" si="191"/>
        <v>UND= Cant de elementos</v>
      </c>
      <c r="L1239" s="410" t="str">
        <f>+L1228</f>
        <v>UND</v>
      </c>
      <c r="M1239" s="411"/>
      <c r="N1239" s="412"/>
      <c r="O1239" s="442"/>
      <c r="P1239" s="442"/>
      <c r="Q1239" s="449"/>
      <c r="R1239" s="411"/>
      <c r="S1239" s="413">
        <f t="shared" si="194"/>
        <v>0</v>
      </c>
      <c r="T1239" s="414">
        <f>+HLOOKUP(B1239,[238]Hoja1!$2:$78,42,FALSE)</f>
        <v>0</v>
      </c>
      <c r="Y1239" s="439">
        <f t="shared" si="198"/>
        <v>0</v>
      </c>
      <c r="Z1239" s="439">
        <f t="shared" si="199"/>
        <v>0</v>
      </c>
    </row>
    <row r="1240" spans="1:26" ht="25.5">
      <c r="A1240" s="453">
        <f t="shared" si="195"/>
        <v>4.04</v>
      </c>
      <c r="B1240" s="383">
        <v>37</v>
      </c>
      <c r="D1240" s="406"/>
      <c r="E1240" s="407"/>
      <c r="F1240" s="407"/>
      <c r="G1240" s="407"/>
      <c r="H1240" s="407"/>
      <c r="I1240" s="407"/>
      <c r="J1240" s="408" t="s">
        <v>448</v>
      </c>
      <c r="K1240" s="409" t="str">
        <f t="shared" si="191"/>
        <v>UND= Cant de elementos</v>
      </c>
      <c r="L1240" s="410" t="str">
        <f t="shared" ref="L1240:L1246" si="202">+L1239</f>
        <v>UND</v>
      </c>
      <c r="M1240" s="411"/>
      <c r="N1240" s="412"/>
      <c r="O1240" s="441"/>
      <c r="P1240" s="441"/>
      <c r="Q1240" s="449"/>
      <c r="R1240" s="411"/>
      <c r="S1240" s="413">
        <f t="shared" si="194"/>
        <v>0</v>
      </c>
      <c r="T1240" s="414">
        <f>+HLOOKUP(B1240,[238]Hoja1!$2:$78,42,FALSE)</f>
        <v>0</v>
      </c>
      <c r="Y1240" s="439">
        <f t="shared" si="198"/>
        <v>0</v>
      </c>
      <c r="Z1240" s="439">
        <f t="shared" si="199"/>
        <v>0</v>
      </c>
    </row>
    <row r="1241" spans="1:26" ht="25.5">
      <c r="A1241" s="453">
        <f t="shared" si="195"/>
        <v>4.04</v>
      </c>
      <c r="B1241" s="383">
        <v>38</v>
      </c>
      <c r="D1241" s="406"/>
      <c r="E1241" s="440"/>
      <c r="F1241" s="407"/>
      <c r="G1241" s="407"/>
      <c r="H1241" s="407"/>
      <c r="I1241" s="437"/>
      <c r="J1241" s="408" t="s">
        <v>449</v>
      </c>
      <c r="K1241" s="409" t="str">
        <f t="shared" si="191"/>
        <v>UND= Cant de elementos</v>
      </c>
      <c r="L1241" s="410" t="str">
        <f t="shared" si="202"/>
        <v>UND</v>
      </c>
      <c r="M1241" s="411"/>
      <c r="N1241" s="412"/>
      <c r="O1241" s="442"/>
      <c r="P1241" s="442"/>
      <c r="Q1241" s="413"/>
      <c r="R1241" s="411"/>
      <c r="S1241" s="413">
        <f t="shared" si="194"/>
        <v>0</v>
      </c>
      <c r="T1241" s="414">
        <f>+HLOOKUP(B1241,[238]Hoja1!$2:$78,42,FALSE)</f>
        <v>0</v>
      </c>
      <c r="Y1241" s="439">
        <f t="shared" si="198"/>
        <v>0</v>
      </c>
      <c r="Z1241" s="439">
        <f t="shared" si="199"/>
        <v>0</v>
      </c>
    </row>
    <row r="1242" spans="1:26" ht="25.5">
      <c r="A1242" s="453">
        <f t="shared" si="195"/>
        <v>4.04</v>
      </c>
      <c r="B1242" s="383">
        <v>39</v>
      </c>
      <c r="D1242" s="406"/>
      <c r="E1242" s="407"/>
      <c r="F1242" s="407"/>
      <c r="G1242" s="407"/>
      <c r="H1242" s="407"/>
      <c r="I1242" s="407"/>
      <c r="J1242" s="408" t="s">
        <v>450</v>
      </c>
      <c r="K1242" s="409" t="str">
        <f t="shared" si="191"/>
        <v>UND= Cant de elementos</v>
      </c>
      <c r="L1242" s="410" t="str">
        <f t="shared" si="202"/>
        <v>UND</v>
      </c>
      <c r="M1242" s="411"/>
      <c r="N1242" s="412"/>
      <c r="O1242" s="441"/>
      <c r="P1242" s="441"/>
      <c r="Q1242" s="412"/>
      <c r="R1242" s="411"/>
      <c r="S1242" s="413">
        <f t="shared" si="194"/>
        <v>0</v>
      </c>
      <c r="T1242" s="414">
        <f>+HLOOKUP(B1242,[238]Hoja1!$2:$78,42,FALSE)</f>
        <v>0</v>
      </c>
      <c r="Y1242" s="439">
        <f t="shared" si="198"/>
        <v>0</v>
      </c>
      <c r="Z1242" s="439">
        <f t="shared" si="199"/>
        <v>0</v>
      </c>
    </row>
    <row r="1243" spans="1:26" ht="25.5">
      <c r="A1243" s="453">
        <f t="shared" si="195"/>
        <v>4.04</v>
      </c>
      <c r="B1243" s="383">
        <v>40</v>
      </c>
      <c r="D1243" s="406"/>
      <c r="E1243" s="407"/>
      <c r="F1243" s="407"/>
      <c r="G1243" s="407"/>
      <c r="H1243" s="407"/>
      <c r="I1243" s="407"/>
      <c r="J1243" s="408" t="s">
        <v>451</v>
      </c>
      <c r="K1243" s="409" t="str">
        <f t="shared" si="191"/>
        <v>UND= Cant de elementos</v>
      </c>
      <c r="L1243" s="410" t="str">
        <f t="shared" si="202"/>
        <v>UND</v>
      </c>
      <c r="M1243" s="411"/>
      <c r="N1243" s="412"/>
      <c r="O1243" s="442"/>
      <c r="P1243" s="442"/>
      <c r="Q1243" s="413"/>
      <c r="R1243" s="411"/>
      <c r="S1243" s="413">
        <f t="shared" si="194"/>
        <v>0</v>
      </c>
      <c r="T1243" s="414">
        <f>+HLOOKUP(B1243,[238]Hoja1!$2:$78,42,FALSE)</f>
        <v>0</v>
      </c>
      <c r="Y1243" s="439">
        <f t="shared" si="198"/>
        <v>0</v>
      </c>
      <c r="Z1243" s="439">
        <f t="shared" si="199"/>
        <v>0</v>
      </c>
    </row>
    <row r="1244" spans="1:26" ht="25.5">
      <c r="A1244" s="453">
        <f t="shared" si="195"/>
        <v>4.04</v>
      </c>
      <c r="B1244" s="383">
        <v>41</v>
      </c>
      <c r="D1244" s="406"/>
      <c r="E1244" s="407"/>
      <c r="F1244" s="407"/>
      <c r="G1244" s="407"/>
      <c r="H1244" s="407"/>
      <c r="I1244" s="407"/>
      <c r="J1244" s="408" t="s">
        <v>452</v>
      </c>
      <c r="K1244" s="409" t="str">
        <f t="shared" si="191"/>
        <v>UND= Cant de elementos</v>
      </c>
      <c r="L1244" s="410" t="str">
        <f t="shared" si="202"/>
        <v>UND</v>
      </c>
      <c r="M1244" s="411"/>
      <c r="N1244" s="412"/>
      <c r="O1244" s="442"/>
      <c r="P1244" s="442"/>
      <c r="Q1244" s="413"/>
      <c r="R1244" s="411"/>
      <c r="S1244" s="413">
        <f t="shared" si="194"/>
        <v>1</v>
      </c>
      <c r="T1244" s="414">
        <f>+HLOOKUP(B1244,[238]Hoja1!$2:$78,42,FALSE)</f>
        <v>1</v>
      </c>
      <c r="Y1244" s="439">
        <f t="shared" si="198"/>
        <v>0</v>
      </c>
      <c r="Z1244" s="439">
        <f t="shared" si="199"/>
        <v>0</v>
      </c>
    </row>
    <row r="1245" spans="1:26" ht="25.5">
      <c r="A1245" s="453">
        <f t="shared" si="195"/>
        <v>4.04</v>
      </c>
      <c r="B1245" s="383">
        <v>42</v>
      </c>
      <c r="D1245" s="406"/>
      <c r="E1245" s="407"/>
      <c r="F1245" s="407"/>
      <c r="G1245" s="407"/>
      <c r="H1245" s="407"/>
      <c r="I1245" s="407"/>
      <c r="J1245" s="408" t="s">
        <v>453</v>
      </c>
      <c r="K1245" s="409" t="str">
        <f t="shared" si="191"/>
        <v>UND= Cant de elementos</v>
      </c>
      <c r="L1245" s="410" t="str">
        <f t="shared" si="202"/>
        <v>UND</v>
      </c>
      <c r="M1245" s="411"/>
      <c r="N1245" s="412"/>
      <c r="O1245" s="442"/>
      <c r="P1245" s="442"/>
      <c r="Q1245" s="412"/>
      <c r="R1245" s="411"/>
      <c r="S1245" s="413">
        <f t="shared" si="194"/>
        <v>0</v>
      </c>
      <c r="T1245" s="414">
        <f>+HLOOKUP(B1245,[238]Hoja1!$2:$78,42,FALSE)</f>
        <v>0</v>
      </c>
      <c r="Y1245" s="439">
        <f t="shared" si="198"/>
        <v>0</v>
      </c>
      <c r="Z1245" s="439">
        <f t="shared" si="199"/>
        <v>0</v>
      </c>
    </row>
    <row r="1246" spans="1:26" ht="26.25" thickBot="1">
      <c r="A1246" s="453">
        <f t="shared" si="195"/>
        <v>4.04</v>
      </c>
      <c r="B1246" s="383">
        <v>43</v>
      </c>
      <c r="D1246" s="406"/>
      <c r="E1246" s="407"/>
      <c r="F1246" s="407"/>
      <c r="G1246" s="407"/>
      <c r="H1246" s="407"/>
      <c r="I1246" s="407"/>
      <c r="J1246" s="408" t="s">
        <v>454</v>
      </c>
      <c r="K1246" s="409" t="str">
        <f t="shared" si="191"/>
        <v>UND= Cant de elementos</v>
      </c>
      <c r="L1246" s="410" t="str">
        <f t="shared" si="202"/>
        <v>UND</v>
      </c>
      <c r="M1246" s="411"/>
      <c r="N1246" s="412"/>
      <c r="O1246" s="442"/>
      <c r="P1246" s="442"/>
      <c r="Q1246" s="412"/>
      <c r="R1246" s="411"/>
      <c r="S1246" s="413">
        <f t="shared" si="194"/>
        <v>0</v>
      </c>
      <c r="T1246" s="414">
        <f>+HLOOKUP(B1246,[238]Hoja1!$2:$78,42,FALSE)</f>
        <v>0</v>
      </c>
      <c r="Y1246" s="439">
        <f t="shared" si="198"/>
        <v>0</v>
      </c>
      <c r="Z1246" s="439">
        <f t="shared" si="199"/>
        <v>0</v>
      </c>
    </row>
    <row r="1247" spans="1:26">
      <c r="D1247" s="384"/>
      <c r="E1247" s="419"/>
      <c r="F1247" s="420"/>
      <c r="G1247" s="421"/>
      <c r="H1247" s="421"/>
      <c r="I1247" s="421"/>
      <c r="J1247" s="421"/>
      <c r="K1247" s="422"/>
      <c r="L1247" s="421"/>
      <c r="M1247" s="421"/>
      <c r="N1247" s="421"/>
      <c r="O1247" s="421"/>
      <c r="P1247" s="421"/>
      <c r="Q1247" s="421"/>
      <c r="R1247" s="421"/>
      <c r="S1247" s="422"/>
      <c r="T1247" s="423"/>
    </row>
    <row r="1248" spans="1:26">
      <c r="D1248" s="396"/>
      <c r="E1248" s="397"/>
      <c r="F1248" s="424"/>
      <c r="G1248" s="425"/>
      <c r="H1248" s="425"/>
      <c r="I1248" s="425"/>
      <c r="J1248" s="425"/>
      <c r="K1248" s="398"/>
      <c r="L1248" s="425"/>
      <c r="M1248" s="425"/>
      <c r="N1248" s="397"/>
      <c r="O1248" s="397"/>
      <c r="P1248" s="562" t="s">
        <v>455</v>
      </c>
      <c r="Q1248" s="563"/>
      <c r="R1248" s="564"/>
      <c r="S1248" s="426"/>
      <c r="T1248" s="427">
        <f>ROUND(SUM(T1204:T1247),2)</f>
        <v>19</v>
      </c>
    </row>
    <row r="1249" spans="4:20">
      <c r="D1249" s="396"/>
      <c r="E1249" s="397"/>
      <c r="F1249" s="424"/>
      <c r="G1249" s="425"/>
      <c r="H1249" s="425"/>
      <c r="I1249" s="425"/>
      <c r="J1249" s="425"/>
      <c r="K1249" s="398"/>
      <c r="L1249" s="425"/>
      <c r="M1249" s="425"/>
      <c r="N1249" s="428"/>
      <c r="O1249" s="428"/>
      <c r="P1249" s="429"/>
      <c r="Q1249" s="425"/>
      <c r="R1249" s="425"/>
      <c r="S1249" s="430"/>
      <c r="T1249" s="431"/>
    </row>
    <row r="1250" spans="4:20">
      <c r="D1250" s="565" t="e">
        <v>#REF!</v>
      </c>
      <c r="E1250" s="566"/>
      <c r="F1250" s="566"/>
      <c r="G1250" s="566"/>
      <c r="H1250" s="566"/>
      <c r="I1250" s="566"/>
      <c r="J1250" s="566"/>
      <c r="K1250" s="566"/>
      <c r="L1250" s="566"/>
      <c r="M1250" s="566"/>
      <c r="N1250" s="566"/>
      <c r="O1250" s="567"/>
      <c r="P1250" s="568" t="s">
        <v>422</v>
      </c>
      <c r="Q1250" s="568"/>
      <c r="R1250" s="568"/>
      <c r="S1250" s="426"/>
      <c r="T1250" s="427">
        <f>T1248</f>
        <v>19</v>
      </c>
    </row>
    <row r="1251" spans="4:20">
      <c r="D1251" s="396"/>
      <c r="E1251" s="397"/>
      <c r="F1251" s="424"/>
      <c r="G1251" s="425"/>
      <c r="H1251" s="425"/>
      <c r="I1251" s="425"/>
      <c r="J1251" s="425"/>
      <c r="K1251" s="398"/>
      <c r="L1251" s="425"/>
      <c r="M1251" s="425"/>
      <c r="N1251" s="428"/>
      <c r="O1251" s="428"/>
      <c r="P1251" s="429"/>
      <c r="Q1251" s="425"/>
      <c r="R1251" s="398"/>
      <c r="S1251" s="398"/>
      <c r="T1251" s="432"/>
    </row>
    <row r="1252" spans="4:20">
      <c r="D1252" s="396"/>
      <c r="E1252" s="397"/>
      <c r="F1252" s="424"/>
      <c r="G1252" s="425"/>
      <c r="H1252" s="425"/>
      <c r="I1252" s="425"/>
      <c r="J1252" s="425"/>
      <c r="K1252" s="398"/>
      <c r="L1252" s="425"/>
      <c r="M1252" s="425"/>
      <c r="N1252" s="428"/>
      <c r="O1252" s="428"/>
      <c r="P1252" s="429"/>
      <c r="Q1252" s="425"/>
      <c r="R1252" s="398"/>
      <c r="S1252" s="398"/>
      <c r="T1252" s="432"/>
    </row>
    <row r="1253" spans="4:20">
      <c r="D1253" s="569" t="s">
        <v>423</v>
      </c>
      <c r="E1253" s="570"/>
      <c r="F1253" s="570"/>
      <c r="G1253" s="570"/>
      <c r="H1253" s="570"/>
      <c r="I1253" s="570"/>
      <c r="J1253" s="570"/>
      <c r="K1253" s="571"/>
      <c r="L1253" s="433" t="s">
        <v>424</v>
      </c>
      <c r="M1253" s="434"/>
      <c r="N1253" s="434"/>
      <c r="O1253" s="434"/>
      <c r="P1253" s="434"/>
      <c r="Q1253" s="434"/>
      <c r="R1253" s="434"/>
      <c r="S1253" s="434"/>
      <c r="T1253" s="435"/>
    </row>
    <row r="1254" spans="4:20">
      <c r="D1254" s="542"/>
      <c r="E1254" s="543"/>
      <c r="F1254" s="543"/>
      <c r="G1254" s="543"/>
      <c r="H1254" s="436"/>
      <c r="I1254" s="436"/>
      <c r="J1254" s="436"/>
      <c r="K1254" s="447"/>
      <c r="L1254" s="436"/>
      <c r="M1254" s="407"/>
      <c r="N1254" s="407"/>
      <c r="O1254" s="407"/>
      <c r="P1254" s="407"/>
      <c r="Q1254" s="407"/>
      <c r="R1254" s="407"/>
      <c r="S1254" s="407"/>
      <c r="T1254" s="437"/>
    </row>
    <row r="1255" spans="4:20">
      <c r="D1255" s="542"/>
      <c r="E1255" s="543"/>
      <c r="F1255" s="543"/>
      <c r="G1255" s="543"/>
      <c r="H1255" s="436"/>
      <c r="I1255" s="436"/>
      <c r="J1255" s="436"/>
      <c r="K1255" s="447"/>
      <c r="L1255" s="436"/>
      <c r="M1255" s="407"/>
      <c r="N1255" s="407"/>
      <c r="O1255" s="407"/>
      <c r="P1255" s="407"/>
      <c r="Q1255" s="407"/>
      <c r="R1255" s="407"/>
      <c r="S1255" s="407"/>
      <c r="T1255" s="437"/>
    </row>
    <row r="1256" spans="4:20">
      <c r="D1256" s="542" t="s">
        <v>425</v>
      </c>
      <c r="E1256" s="543"/>
      <c r="F1256" s="543" t="s">
        <v>425</v>
      </c>
      <c r="G1256" s="543"/>
      <c r="H1256" s="543" t="s">
        <v>425</v>
      </c>
      <c r="I1256" s="543"/>
      <c r="J1256" s="543" t="s">
        <v>425</v>
      </c>
      <c r="K1256" s="544"/>
      <c r="L1256" s="545" t="s">
        <v>426</v>
      </c>
      <c r="M1256" s="546"/>
      <c r="N1256" s="546"/>
      <c r="O1256" s="546"/>
      <c r="P1256" s="546"/>
      <c r="Q1256" s="546"/>
      <c r="R1256" s="546"/>
      <c r="S1256" s="546"/>
      <c r="T1256" s="547"/>
    </row>
    <row r="1257" spans="4:20">
      <c r="D1257" s="548" t="str">
        <f>+[42]DATOS!D$8</f>
        <v>HELMER EDUARDO BECERRA SANTANDER</v>
      </c>
      <c r="E1257" s="549"/>
      <c r="F1257" s="549" t="s">
        <v>427</v>
      </c>
      <c r="G1257" s="549"/>
      <c r="H1257" s="549" t="s">
        <v>427</v>
      </c>
      <c r="I1257" s="549"/>
      <c r="J1257" s="549" t="s">
        <v>427</v>
      </c>
      <c r="K1257" s="550"/>
      <c r="L1257" s="551" t="str">
        <f>+[42]DATOS!D$11</f>
        <v>JESUS IVAN QUIÑONES RUEDA</v>
      </c>
      <c r="M1257" s="549"/>
      <c r="N1257" s="549"/>
      <c r="O1257" s="549"/>
      <c r="P1257" s="549"/>
      <c r="Q1257" s="549"/>
      <c r="R1257" s="549"/>
      <c r="S1257" s="549"/>
      <c r="T1257" s="552"/>
    </row>
    <row r="1258" spans="4:20">
      <c r="D1258" s="553" t="str">
        <f>+$D$72</f>
        <v>APOYO SEC. DE PLANEACION Y OBRAS PÚBLICAS</v>
      </c>
      <c r="E1258" s="554"/>
      <c r="F1258" s="554" t="s">
        <v>428</v>
      </c>
      <c r="G1258" s="554"/>
      <c r="H1258" s="554" t="s">
        <v>428</v>
      </c>
      <c r="I1258" s="554"/>
      <c r="J1258" s="554" t="s">
        <v>428</v>
      </c>
      <c r="K1258" s="555"/>
      <c r="L1258" s="556" t="str">
        <f>+$L$72</f>
        <v>SECRETARIO DE PLANEACION Y OBRAS PÚBLICAS</v>
      </c>
      <c r="M1258" s="554"/>
      <c r="N1258" s="554"/>
      <c r="O1258" s="554"/>
      <c r="P1258" s="554"/>
      <c r="Q1258" s="554"/>
      <c r="R1258" s="554"/>
      <c r="S1258" s="554"/>
      <c r="T1258" s="557"/>
    </row>
    <row r="1259" spans="4:20">
      <c r="D1259" s="406"/>
      <c r="E1259" s="407"/>
      <c r="F1259" s="407"/>
      <c r="G1259" s="407"/>
      <c r="H1259" s="407"/>
      <c r="I1259" s="407"/>
      <c r="J1259" s="407"/>
      <c r="K1259" s="407"/>
      <c r="L1259" s="407"/>
      <c r="M1259" s="407"/>
      <c r="N1259" s="407"/>
      <c r="O1259" s="407"/>
      <c r="P1259" s="407"/>
      <c r="Q1259" s="407"/>
      <c r="R1259" s="407"/>
      <c r="S1259" s="407"/>
      <c r="T1259" s="437"/>
    </row>
    <row r="1260" spans="4:20" ht="111" customHeight="1" thickBot="1">
      <c r="D1260" s="417"/>
      <c r="E1260" s="418"/>
      <c r="F1260" s="418"/>
      <c r="G1260" s="418"/>
      <c r="H1260" s="418"/>
      <c r="I1260" s="418"/>
      <c r="J1260" s="418"/>
      <c r="K1260" s="418"/>
      <c r="L1260" s="418"/>
      <c r="M1260" s="418"/>
      <c r="N1260" s="418"/>
      <c r="O1260" s="418"/>
      <c r="P1260" s="418"/>
      <c r="Q1260" s="418"/>
      <c r="R1260" s="418"/>
      <c r="S1260" s="418"/>
      <c r="T1260" s="438"/>
    </row>
    <row r="1261" spans="4:20" ht="22.5" customHeight="1"/>
    <row r="1262" spans="4:20" ht="13.5" thickBot="1"/>
    <row r="1263" spans="4:20">
      <c r="D1263" s="384"/>
      <c r="E1263" s="385"/>
      <c r="F1263" s="385"/>
      <c r="G1263" s="385"/>
      <c r="H1263" s="385"/>
      <c r="I1263" s="385"/>
      <c r="J1263" s="385"/>
      <c r="K1263" s="445"/>
      <c r="L1263" s="385"/>
      <c r="M1263" s="385"/>
      <c r="N1263" s="385"/>
      <c r="O1263" s="385"/>
      <c r="P1263" s="385"/>
      <c r="Q1263" s="385"/>
      <c r="R1263" s="385"/>
      <c r="S1263" s="385"/>
      <c r="T1263" s="386"/>
    </row>
    <row r="1264" spans="4:20" ht="121.5" customHeight="1" thickBot="1">
      <c r="D1264" s="387"/>
      <c r="E1264" s="388"/>
      <c r="F1264" s="388"/>
      <c r="G1264" s="388"/>
      <c r="H1264" s="388"/>
      <c r="I1264" s="388"/>
      <c r="J1264" s="388"/>
      <c r="K1264" s="446"/>
      <c r="L1264" s="388"/>
      <c r="M1264" s="388"/>
      <c r="N1264" s="388"/>
      <c r="O1264" s="388"/>
      <c r="P1264" s="388"/>
      <c r="Q1264" s="388"/>
      <c r="R1264" s="388"/>
      <c r="S1264" s="388"/>
      <c r="T1264" s="389"/>
    </row>
    <row r="1265" spans="1:26">
      <c r="D1265" s="592" t="str">
        <f>+[42]DATOS!C$7</f>
        <v>MEJORAMIENTO DE VIVIENDA CON ENFOQUE DIFERENCIAL PARA POBLACIÓN VULNERABLE EN EL MUNICIPIO DE CUBARÁ, BOYACÁ (2026).</v>
      </c>
      <c r="E1265" s="593"/>
      <c r="F1265" s="593"/>
      <c r="G1265" s="593"/>
      <c r="H1265" s="593"/>
      <c r="I1265" s="593"/>
      <c r="J1265" s="593"/>
      <c r="K1265" s="593"/>
      <c r="L1265" s="593"/>
      <c r="M1265" s="593"/>
      <c r="N1265" s="593"/>
      <c r="O1265" s="593"/>
      <c r="P1265" s="593"/>
      <c r="Q1265" s="593"/>
      <c r="R1265" s="593"/>
      <c r="S1265" s="593"/>
      <c r="T1265" s="594"/>
    </row>
    <row r="1266" spans="1:26">
      <c r="D1266" s="595"/>
      <c r="E1266" s="596"/>
      <c r="F1266" s="596"/>
      <c r="G1266" s="596"/>
      <c r="H1266" s="596"/>
      <c r="I1266" s="596"/>
      <c r="J1266" s="596"/>
      <c r="K1266" s="596"/>
      <c r="L1266" s="596"/>
      <c r="M1266" s="596"/>
      <c r="N1266" s="596"/>
      <c r="O1266" s="596"/>
      <c r="P1266" s="596"/>
      <c r="Q1266" s="596"/>
      <c r="R1266" s="596"/>
      <c r="S1266" s="596"/>
      <c r="T1266" s="597"/>
    </row>
    <row r="1267" spans="1:26">
      <c r="D1267" s="598" t="s">
        <v>371</v>
      </c>
      <c r="E1267" s="599"/>
      <c r="F1267" s="599"/>
      <c r="G1267" s="599"/>
      <c r="H1267" s="599"/>
      <c r="I1267" s="599"/>
      <c r="J1267" s="599"/>
      <c r="K1267" s="599"/>
      <c r="L1267" s="599"/>
      <c r="M1267" s="599"/>
      <c r="N1267" s="599"/>
      <c r="O1267" s="599"/>
      <c r="P1267" s="599"/>
      <c r="Q1267" s="599"/>
      <c r="R1267" s="599"/>
      <c r="S1267" s="599"/>
      <c r="T1267" s="600"/>
    </row>
    <row r="1268" spans="1:26">
      <c r="D1268" s="586" t="s">
        <v>372</v>
      </c>
      <c r="E1268" s="587"/>
      <c r="F1268" s="601" t="s">
        <v>373</v>
      </c>
      <c r="G1268" s="601"/>
      <c r="H1268" s="601"/>
      <c r="I1268" s="601"/>
      <c r="J1268" s="601"/>
      <c r="K1268" s="601"/>
      <c r="L1268" s="601"/>
      <c r="M1268" s="601"/>
      <c r="N1268" s="601"/>
      <c r="O1268" s="601"/>
      <c r="P1268" s="601"/>
      <c r="Q1268" s="601"/>
      <c r="R1268" s="601"/>
      <c r="S1268" s="601"/>
      <c r="T1268" s="602"/>
    </row>
    <row r="1269" spans="1:26">
      <c r="D1269" s="586" t="s">
        <v>374</v>
      </c>
      <c r="E1269" s="587"/>
      <c r="F1269" s="603" t="s">
        <v>375</v>
      </c>
      <c r="G1269" s="604"/>
      <c r="H1269" s="604"/>
      <c r="I1269" s="604"/>
      <c r="J1269" s="604"/>
      <c r="K1269" s="604"/>
      <c r="L1269" s="604"/>
      <c r="M1269" s="604"/>
      <c r="N1269" s="604"/>
      <c r="O1269" s="604"/>
      <c r="P1269" s="604"/>
      <c r="Q1269" s="604"/>
      <c r="R1269" s="604"/>
      <c r="S1269" s="604"/>
      <c r="T1269" s="605"/>
    </row>
    <row r="1270" spans="1:26">
      <c r="D1270" s="586" t="s">
        <v>376</v>
      </c>
      <c r="E1270" s="587"/>
      <c r="F1270" s="390">
        <f>+[42]DATOS!F$5</f>
        <v>46143</v>
      </c>
      <c r="G1270" s="391"/>
      <c r="H1270" s="391"/>
      <c r="I1270" s="391"/>
      <c r="J1270" s="391"/>
      <c r="K1270" s="391"/>
      <c r="L1270" s="568" t="s">
        <v>377</v>
      </c>
      <c r="M1270" s="568"/>
      <c r="N1270" s="588" t="s">
        <v>378</v>
      </c>
      <c r="O1270" s="588"/>
      <c r="P1270" s="588"/>
      <c r="Q1270" s="588"/>
      <c r="R1270" s="588"/>
      <c r="S1270" s="588"/>
      <c r="T1270" s="589"/>
    </row>
    <row r="1271" spans="1:26" ht="25.5">
      <c r="D1271" s="586" t="s">
        <v>379</v>
      </c>
      <c r="E1271" s="587"/>
      <c r="F1271" s="590" t="s">
        <v>380</v>
      </c>
      <c r="G1271" s="591"/>
      <c r="H1271" s="392">
        <f>+[42]DATOS!E$5</f>
        <v>2026</v>
      </c>
      <c r="I1271" s="393" t="s">
        <v>381</v>
      </c>
      <c r="J1271" s="394">
        <f>+[42]DATOS!E$5</f>
        <v>2026</v>
      </c>
      <c r="K1271" s="395"/>
      <c r="L1271" s="568" t="s">
        <v>382</v>
      </c>
      <c r="M1271" s="568"/>
      <c r="N1271" s="588" t="s">
        <v>383</v>
      </c>
      <c r="O1271" s="588"/>
      <c r="P1271" s="588"/>
      <c r="Q1271" s="588"/>
      <c r="R1271" s="588"/>
      <c r="S1271" s="588"/>
      <c r="T1271" s="589"/>
    </row>
    <row r="1272" spans="1:26">
      <c r="D1272" s="396"/>
      <c r="E1272" s="397"/>
      <c r="F1272" s="397"/>
      <c r="G1272" s="398"/>
      <c r="H1272" s="398"/>
      <c r="I1272" s="398"/>
      <c r="J1272" s="398"/>
      <c r="K1272" s="398"/>
      <c r="L1272" s="398"/>
      <c r="M1272" s="398"/>
      <c r="N1272" s="398"/>
      <c r="O1272" s="398"/>
      <c r="P1272" s="398"/>
      <c r="Q1272" s="398"/>
      <c r="R1272" s="398"/>
      <c r="S1272" s="398"/>
      <c r="T1272" s="399"/>
    </row>
    <row r="1273" spans="1:26">
      <c r="D1273" s="572" t="s">
        <v>384</v>
      </c>
      <c r="E1273" s="573"/>
      <c r="F1273" s="573"/>
      <c r="G1273" s="573"/>
      <c r="H1273" s="573"/>
      <c r="I1273" s="573"/>
      <c r="J1273" s="573"/>
      <c r="K1273" s="573"/>
      <c r="L1273" s="573"/>
      <c r="M1273" s="573"/>
      <c r="N1273" s="573"/>
      <c r="O1273" s="573"/>
      <c r="P1273" s="573"/>
      <c r="Q1273" s="573"/>
      <c r="R1273" s="573"/>
      <c r="S1273" s="573"/>
      <c r="T1273" s="574"/>
    </row>
    <row r="1274" spans="1:26">
      <c r="D1274" s="396"/>
      <c r="E1274" s="397"/>
      <c r="F1274" s="397"/>
      <c r="G1274" s="398"/>
      <c r="H1274" s="398"/>
      <c r="I1274" s="398"/>
      <c r="J1274" s="398"/>
      <c r="K1274" s="398"/>
      <c r="L1274" s="398"/>
      <c r="M1274" s="398"/>
      <c r="N1274" s="398"/>
      <c r="O1274" s="398"/>
      <c r="P1274" s="398"/>
      <c r="Q1274" s="398"/>
      <c r="R1274" s="398"/>
      <c r="S1274" s="398"/>
      <c r="T1274" s="399"/>
    </row>
    <row r="1275" spans="1:26">
      <c r="D1275" s="400" t="s">
        <v>385</v>
      </c>
      <c r="E1275" s="575" t="s">
        <v>386</v>
      </c>
      <c r="F1275" s="575"/>
      <c r="G1275" s="576" t="s">
        <v>387</v>
      </c>
      <c r="H1275" s="577"/>
      <c r="I1275" s="577"/>
      <c r="J1275" s="576" t="s">
        <v>388</v>
      </c>
      <c r="K1275" s="576" t="s">
        <v>389</v>
      </c>
      <c r="L1275" s="579"/>
      <c r="M1275" s="581" t="s">
        <v>390</v>
      </c>
      <c r="N1275" s="581"/>
      <c r="O1275" s="581"/>
      <c r="P1275" s="581"/>
      <c r="Q1275" s="581"/>
      <c r="R1275" s="581"/>
      <c r="S1275" s="581" t="s">
        <v>391</v>
      </c>
      <c r="T1275" s="582"/>
    </row>
    <row r="1276" spans="1:26" ht="38.25">
      <c r="D1276" s="403">
        <f>+'PRESUPUESTO OFICIAL '!C54</f>
        <v>4.05</v>
      </c>
      <c r="E1276" s="583" t="str">
        <f>+VLOOKUP(D1276,'PRESUPUESTO OFICIAL '!$C$11:$H$103,2)</f>
        <v>SUMINISTRO E INSTALACIÓN DE TUBERÍA PVC SANITARIA D = 3"</v>
      </c>
      <c r="F1276" s="584"/>
      <c r="G1276" s="585" t="str">
        <f>+VLOOKUP(D1276,'PRESUPUESTO OFICIAL '!$C$11:$H$103,3)</f>
        <v>M</v>
      </c>
      <c r="H1276" s="585"/>
      <c r="I1276" s="585"/>
      <c r="J1276" s="578"/>
      <c r="K1276" s="578"/>
      <c r="L1276" s="580"/>
      <c r="M1276" s="401" t="s">
        <v>392</v>
      </c>
      <c r="N1276" s="401" t="s">
        <v>393</v>
      </c>
      <c r="O1276" s="401" t="s">
        <v>394</v>
      </c>
      <c r="P1276" s="401" t="s">
        <v>395</v>
      </c>
      <c r="Q1276" s="401" t="s">
        <v>396</v>
      </c>
      <c r="R1276" s="401" t="s">
        <v>397</v>
      </c>
      <c r="S1276" s="401" t="s">
        <v>398</v>
      </c>
      <c r="T1276" s="402" t="s">
        <v>399</v>
      </c>
      <c r="V1276" s="404">
        <f>+D1276</f>
        <v>4.05</v>
      </c>
      <c r="W1276" s="405">
        <f>+T1324</f>
        <v>38</v>
      </c>
    </row>
    <row r="1277" spans="1:26">
      <c r="D1277" s="406"/>
      <c r="E1277" s="407"/>
      <c r="F1277" s="407"/>
      <c r="G1277" s="407"/>
      <c r="H1277" s="407"/>
      <c r="I1277" s="407"/>
      <c r="J1277" s="558"/>
      <c r="K1277" s="559"/>
      <c r="L1277" s="560"/>
      <c r="M1277" s="560"/>
      <c r="N1277" s="560"/>
      <c r="O1277" s="560"/>
      <c r="P1277" s="560"/>
      <c r="Q1277" s="560"/>
      <c r="R1277" s="560"/>
      <c r="S1277" s="560"/>
      <c r="T1277" s="561"/>
    </row>
    <row r="1278" spans="1:26">
      <c r="A1278" s="453">
        <f>+D1276</f>
        <v>4.05</v>
      </c>
      <c r="B1278" s="383">
        <v>1</v>
      </c>
      <c r="D1278" s="406"/>
      <c r="E1278" s="407"/>
      <c r="F1278" s="407"/>
      <c r="G1278" s="407"/>
      <c r="H1278" s="407"/>
      <c r="I1278" s="407"/>
      <c r="J1278" s="408" t="s">
        <v>400</v>
      </c>
      <c r="K1278" s="409" t="str">
        <f t="shared" ref="K1278:K1320" si="203">+VLOOKUP(L1278,$AH$22:$AJ$58,2,)</f>
        <v>M=(Largo) x Cant</v>
      </c>
      <c r="L1278" s="410" t="str">
        <f>+G1276</f>
        <v>M</v>
      </c>
      <c r="M1278" s="411"/>
      <c r="N1278" s="412"/>
      <c r="O1278" s="442"/>
      <c r="P1278" s="442"/>
      <c r="Q1278" s="413"/>
      <c r="R1278" s="411"/>
      <c r="S1278" s="413" t="str">
        <f>IF(T1278=0,"",1)</f>
        <v/>
      </c>
      <c r="T1278" s="414">
        <f>+HLOOKUP(B1278,[238]Hoja1!$2:$78,43,FALSE)</f>
        <v>0</v>
      </c>
      <c r="Y1278" s="439">
        <f t="shared" ref="Y1278" si="204">+O1278*P1278*Q1278</f>
        <v>0</v>
      </c>
      <c r="Z1278" s="439">
        <f t="shared" ref="Z1278" si="205">+Y1278-R1278</f>
        <v>0</v>
      </c>
    </row>
    <row r="1279" spans="1:26">
      <c r="A1279" s="453">
        <f>+A1278</f>
        <v>4.05</v>
      </c>
      <c r="B1279" s="383">
        <v>2</v>
      </c>
      <c r="D1279" s="406"/>
      <c r="E1279" s="407"/>
      <c r="F1279" s="407"/>
      <c r="G1279" s="407"/>
      <c r="H1279" s="407"/>
      <c r="I1279" s="407"/>
      <c r="J1279" s="408" t="s">
        <v>401</v>
      </c>
      <c r="K1279" s="409" t="str">
        <f t="shared" si="203"/>
        <v>M=(Largo) x Cant</v>
      </c>
      <c r="L1279" s="410" t="str">
        <f>+L1278</f>
        <v>M</v>
      </c>
      <c r="M1279" s="411"/>
      <c r="N1279" s="412"/>
      <c r="O1279" s="442"/>
      <c r="P1279" s="442"/>
      <c r="Q1279" s="413"/>
      <c r="R1279" s="411"/>
      <c r="S1279" s="413" t="str">
        <f t="shared" ref="S1279:S1320" si="206">IF(T1279=0,"",1)</f>
        <v/>
      </c>
      <c r="T1279" s="414">
        <f>+HLOOKUP(B1279,[238]Hoja1!$2:$78,43,FALSE)</f>
        <v>0</v>
      </c>
      <c r="Y1279" s="439">
        <f>+M1279*Q1279</f>
        <v>0</v>
      </c>
      <c r="Z1279" s="439">
        <f>+Y1279-R1279</f>
        <v>0</v>
      </c>
    </row>
    <row r="1280" spans="1:26">
      <c r="A1280" s="453">
        <f t="shared" ref="A1280:A1320" si="207">+A1279</f>
        <v>4.05</v>
      </c>
      <c r="B1280" s="383">
        <v>3</v>
      </c>
      <c r="D1280" s="406"/>
      <c r="E1280" s="407"/>
      <c r="F1280" s="407"/>
      <c r="G1280" s="407"/>
      <c r="H1280" s="407"/>
      <c r="I1280" s="407"/>
      <c r="J1280" s="408" t="s">
        <v>402</v>
      </c>
      <c r="K1280" s="409" t="str">
        <f t="shared" si="203"/>
        <v>M=(Largo) x Cant</v>
      </c>
      <c r="L1280" s="410" t="str">
        <f>+L1279</f>
        <v>M</v>
      </c>
      <c r="M1280" s="411"/>
      <c r="N1280" s="412"/>
      <c r="O1280" s="442"/>
      <c r="P1280" s="442"/>
      <c r="Q1280" s="413"/>
      <c r="R1280" s="411"/>
      <c r="S1280" s="413" t="str">
        <f t="shared" si="206"/>
        <v/>
      </c>
      <c r="T1280" s="414">
        <f>+HLOOKUP(B1280,[238]Hoja1!$2:$78,43,FALSE)</f>
        <v>0</v>
      </c>
      <c r="Y1280" s="439">
        <f t="shared" ref="Y1280:Y1282" si="208">+M1280*Q1280</f>
        <v>0</v>
      </c>
      <c r="Z1280" s="439">
        <f t="shared" ref="Z1280:Z1282" si="209">+Y1280-R1280</f>
        <v>0</v>
      </c>
    </row>
    <row r="1281" spans="1:26">
      <c r="A1281" s="453">
        <f t="shared" si="207"/>
        <v>4.05</v>
      </c>
      <c r="B1281" s="383">
        <v>4</v>
      </c>
      <c r="D1281" s="406"/>
      <c r="E1281" s="407"/>
      <c r="F1281" s="407"/>
      <c r="G1281" s="407"/>
      <c r="H1281" s="407"/>
      <c r="I1281" s="407"/>
      <c r="J1281" s="408" t="s">
        <v>403</v>
      </c>
      <c r="K1281" s="409" t="str">
        <f t="shared" si="203"/>
        <v>M=(Largo) x Cant</v>
      </c>
      <c r="L1281" s="410" t="str">
        <f>+L1280</f>
        <v>M</v>
      </c>
      <c r="M1281" s="411"/>
      <c r="N1281" s="412"/>
      <c r="O1281" s="442"/>
      <c r="P1281" s="442"/>
      <c r="Q1281" s="413"/>
      <c r="R1281" s="411"/>
      <c r="S1281" s="413" t="str">
        <f t="shared" si="206"/>
        <v/>
      </c>
      <c r="T1281" s="414">
        <f>+HLOOKUP(B1281,[238]Hoja1!$2:$78,43,FALSE)</f>
        <v>0</v>
      </c>
      <c r="Y1281" s="439">
        <f t="shared" si="208"/>
        <v>0</v>
      </c>
      <c r="Z1281" s="439">
        <f t="shared" si="209"/>
        <v>0</v>
      </c>
    </row>
    <row r="1282" spans="1:26">
      <c r="A1282" s="453">
        <f t="shared" si="207"/>
        <v>4.05</v>
      </c>
      <c r="B1282" s="383">
        <v>5</v>
      </c>
      <c r="D1282" s="406"/>
      <c r="E1282" s="407"/>
      <c r="F1282" s="407"/>
      <c r="G1282" s="407"/>
      <c r="H1282" s="407"/>
      <c r="I1282" s="407"/>
      <c r="J1282" s="408" t="s">
        <v>405</v>
      </c>
      <c r="K1282" s="409" t="str">
        <f t="shared" si="203"/>
        <v>M=(Largo) x Cant</v>
      </c>
      <c r="L1282" s="410" t="str">
        <f>+L1281</f>
        <v>M</v>
      </c>
      <c r="M1282" s="411"/>
      <c r="N1282" s="412"/>
      <c r="O1282" s="442"/>
      <c r="P1282" s="442"/>
      <c r="Q1282" s="413"/>
      <c r="R1282" s="411"/>
      <c r="S1282" s="413" t="str">
        <f t="shared" si="206"/>
        <v/>
      </c>
      <c r="T1282" s="414">
        <f>+HLOOKUP(B1282,[238]Hoja1!$2:$78,43,FALSE)</f>
        <v>0</v>
      </c>
      <c r="Y1282" s="439">
        <f t="shared" si="208"/>
        <v>0</v>
      </c>
      <c r="Z1282" s="439">
        <f t="shared" si="209"/>
        <v>0</v>
      </c>
    </row>
    <row r="1283" spans="1:26">
      <c r="A1283" s="453">
        <f t="shared" si="207"/>
        <v>4.05</v>
      </c>
      <c r="B1283" s="383">
        <v>6</v>
      </c>
      <c r="D1283" s="406"/>
      <c r="E1283" s="407"/>
      <c r="F1283" s="407"/>
      <c r="G1283" s="407"/>
      <c r="H1283" s="407"/>
      <c r="I1283" s="407"/>
      <c r="J1283" s="408" t="s">
        <v>407</v>
      </c>
      <c r="K1283" s="409" t="str">
        <f t="shared" si="203"/>
        <v>M=(Largo) x Cant</v>
      </c>
      <c r="L1283" s="410" t="str">
        <f>+L1282</f>
        <v>M</v>
      </c>
      <c r="M1283" s="411"/>
      <c r="N1283" s="412"/>
      <c r="O1283" s="442"/>
      <c r="P1283" s="442">
        <f t="shared" ref="P1283:P1317" si="210">+T1283</f>
        <v>6</v>
      </c>
      <c r="Q1283" s="413"/>
      <c r="R1283" s="411"/>
      <c r="S1283" s="413">
        <f t="shared" si="206"/>
        <v>1</v>
      </c>
      <c r="T1283" s="414">
        <f>+HLOOKUP(B1283,[238]Hoja1!$2:$78,43,FALSE)</f>
        <v>6</v>
      </c>
      <c r="Y1283" s="439">
        <f>+M1283*Q1283</f>
        <v>0</v>
      </c>
      <c r="Z1283" s="439">
        <f>+Y1283-R1283</f>
        <v>0</v>
      </c>
    </row>
    <row r="1284" spans="1:26">
      <c r="A1284" s="453">
        <f t="shared" si="207"/>
        <v>4.05</v>
      </c>
      <c r="B1284" s="383">
        <v>7</v>
      </c>
      <c r="D1284" s="406"/>
      <c r="E1284" s="407"/>
      <c r="F1284" s="407"/>
      <c r="G1284" s="407"/>
      <c r="H1284" s="407"/>
      <c r="I1284" s="407"/>
      <c r="J1284" s="408" t="s">
        <v>409</v>
      </c>
      <c r="K1284" s="409" t="str">
        <f t="shared" si="203"/>
        <v>M=(Largo) x Cant</v>
      </c>
      <c r="L1284" s="410" t="str">
        <f>+L1278</f>
        <v>M</v>
      </c>
      <c r="M1284" s="411"/>
      <c r="N1284" s="412"/>
      <c r="O1284" s="442"/>
      <c r="P1284" s="442"/>
      <c r="Q1284" s="413"/>
      <c r="R1284" s="411"/>
      <c r="S1284" s="413" t="str">
        <f t="shared" si="206"/>
        <v/>
      </c>
      <c r="T1284" s="414">
        <f>+HLOOKUP(B1284,[238]Hoja1!$2:$78,43,FALSE)</f>
        <v>0</v>
      </c>
      <c r="Y1284" s="439">
        <f t="shared" ref="Y1284:Y1320" si="211">+M1284*Q1284</f>
        <v>0</v>
      </c>
      <c r="Z1284" s="439">
        <f t="shared" ref="Z1284:Z1320" si="212">+Y1284-R1284</f>
        <v>0</v>
      </c>
    </row>
    <row r="1285" spans="1:26">
      <c r="A1285" s="453">
        <f t="shared" si="207"/>
        <v>4.05</v>
      </c>
      <c r="B1285" s="383">
        <v>8</v>
      </c>
      <c r="D1285" s="406"/>
      <c r="E1285" s="407"/>
      <c r="F1285" s="407"/>
      <c r="G1285" s="407"/>
      <c r="H1285" s="407"/>
      <c r="I1285" s="407"/>
      <c r="J1285" s="408" t="s">
        <v>411</v>
      </c>
      <c r="K1285" s="409" t="str">
        <f t="shared" si="203"/>
        <v>M=(Largo) x Cant</v>
      </c>
      <c r="L1285" s="410" t="str">
        <f>+L1284</f>
        <v>M</v>
      </c>
      <c r="M1285" s="411"/>
      <c r="N1285" s="412"/>
      <c r="O1285" s="442"/>
      <c r="P1285" s="442"/>
      <c r="Q1285" s="413"/>
      <c r="R1285" s="411"/>
      <c r="S1285" s="413" t="str">
        <f t="shared" si="206"/>
        <v/>
      </c>
      <c r="T1285" s="414">
        <f>+HLOOKUP(B1285,[238]Hoja1!$2:$78,43,FALSE)</f>
        <v>0</v>
      </c>
      <c r="Y1285" s="439">
        <f t="shared" si="211"/>
        <v>0</v>
      </c>
      <c r="Z1285" s="439">
        <f t="shared" si="212"/>
        <v>0</v>
      </c>
    </row>
    <row r="1286" spans="1:26">
      <c r="A1286" s="453">
        <f t="shared" si="207"/>
        <v>4.05</v>
      </c>
      <c r="B1286" s="383">
        <v>9</v>
      </c>
      <c r="D1286" s="406"/>
      <c r="E1286" s="407"/>
      <c r="F1286" s="407"/>
      <c r="G1286" s="407"/>
      <c r="H1286" s="407"/>
      <c r="I1286" s="407"/>
      <c r="J1286" s="408" t="s">
        <v>412</v>
      </c>
      <c r="K1286" s="409" t="str">
        <f t="shared" si="203"/>
        <v>M=(Largo) x Cant</v>
      </c>
      <c r="L1286" s="410" t="str">
        <f>+L1285</f>
        <v>M</v>
      </c>
      <c r="M1286" s="411"/>
      <c r="N1286" s="412"/>
      <c r="O1286" s="442"/>
      <c r="P1286" s="442"/>
      <c r="Q1286" s="413"/>
      <c r="R1286" s="411"/>
      <c r="S1286" s="413" t="str">
        <f t="shared" si="206"/>
        <v/>
      </c>
      <c r="T1286" s="414">
        <f>+HLOOKUP(B1286,[238]Hoja1!$2:$78,43,FALSE)</f>
        <v>0</v>
      </c>
      <c r="Y1286" s="439">
        <f t="shared" si="211"/>
        <v>0</v>
      </c>
      <c r="Z1286" s="439">
        <f t="shared" si="212"/>
        <v>0</v>
      </c>
    </row>
    <row r="1287" spans="1:26">
      <c r="A1287" s="453">
        <f t="shared" si="207"/>
        <v>4.05</v>
      </c>
      <c r="B1287" s="383">
        <v>10</v>
      </c>
      <c r="D1287" s="406"/>
      <c r="E1287" s="407"/>
      <c r="F1287" s="407"/>
      <c r="G1287" s="407"/>
      <c r="H1287" s="407"/>
      <c r="I1287" s="407"/>
      <c r="J1287" s="408" t="s">
        <v>413</v>
      </c>
      <c r="K1287" s="409" t="str">
        <f t="shared" si="203"/>
        <v>M=(Largo) x Cant</v>
      </c>
      <c r="L1287" s="410" t="str">
        <f>+L1286</f>
        <v>M</v>
      </c>
      <c r="M1287" s="411"/>
      <c r="N1287" s="412"/>
      <c r="O1287" s="441"/>
      <c r="P1287" s="442"/>
      <c r="Q1287" s="413"/>
      <c r="R1287" s="411"/>
      <c r="S1287" s="413" t="str">
        <f t="shared" si="206"/>
        <v/>
      </c>
      <c r="T1287" s="414">
        <f>+HLOOKUP(B1287,[238]Hoja1!$2:$78,43,FALSE)</f>
        <v>0</v>
      </c>
      <c r="Y1287" s="439">
        <f t="shared" si="211"/>
        <v>0</v>
      </c>
      <c r="Z1287" s="439">
        <f t="shared" si="212"/>
        <v>0</v>
      </c>
    </row>
    <row r="1288" spans="1:26">
      <c r="A1288" s="453">
        <f t="shared" si="207"/>
        <v>4.05</v>
      </c>
      <c r="B1288" s="383">
        <v>11</v>
      </c>
      <c r="D1288" s="406"/>
      <c r="E1288" s="407"/>
      <c r="F1288" s="407"/>
      <c r="G1288" s="407"/>
      <c r="H1288" s="407"/>
      <c r="I1288" s="407"/>
      <c r="J1288" s="408" t="s">
        <v>414</v>
      </c>
      <c r="K1288" s="409" t="str">
        <f t="shared" si="203"/>
        <v>M=(Largo) x Cant</v>
      </c>
      <c r="L1288" s="410" t="str">
        <f>+L1287</f>
        <v>M</v>
      </c>
      <c r="M1288" s="411"/>
      <c r="N1288" s="412"/>
      <c r="O1288" s="443"/>
      <c r="P1288" s="442"/>
      <c r="Q1288" s="413"/>
      <c r="R1288" s="411"/>
      <c r="S1288" s="413" t="str">
        <f t="shared" si="206"/>
        <v/>
      </c>
      <c r="T1288" s="414">
        <f>+HLOOKUP(B1288,[238]Hoja1!$2:$78,43,FALSE)</f>
        <v>0</v>
      </c>
      <c r="Y1288" s="439">
        <f t="shared" si="211"/>
        <v>0</v>
      </c>
      <c r="Z1288" s="439">
        <f t="shared" si="212"/>
        <v>0</v>
      </c>
    </row>
    <row r="1289" spans="1:26">
      <c r="A1289" s="453">
        <f t="shared" si="207"/>
        <v>4.05</v>
      </c>
      <c r="B1289" s="383">
        <v>12</v>
      </c>
      <c r="D1289" s="406"/>
      <c r="E1289" s="407"/>
      <c r="F1289" s="407"/>
      <c r="G1289" s="407"/>
      <c r="H1289" s="407"/>
      <c r="I1289" s="407"/>
      <c r="J1289" s="408" t="s">
        <v>415</v>
      </c>
      <c r="K1289" s="409" t="str">
        <f t="shared" si="203"/>
        <v>M=(Largo) x Cant</v>
      </c>
      <c r="L1289" s="410" t="str">
        <f>+L1283</f>
        <v>M</v>
      </c>
      <c r="M1289" s="411"/>
      <c r="N1289" s="412"/>
      <c r="O1289" s="442"/>
      <c r="P1289" s="442"/>
      <c r="Q1289" s="413"/>
      <c r="R1289" s="411"/>
      <c r="S1289" s="413" t="str">
        <f t="shared" si="206"/>
        <v/>
      </c>
      <c r="T1289" s="414">
        <f>+HLOOKUP(B1289,[238]Hoja1!$2:$78,43,FALSE)</f>
        <v>0</v>
      </c>
      <c r="Y1289" s="439">
        <f t="shared" si="211"/>
        <v>0</v>
      </c>
      <c r="Z1289" s="439">
        <f t="shared" si="212"/>
        <v>0</v>
      </c>
    </row>
    <row r="1290" spans="1:26">
      <c r="A1290" s="453">
        <f t="shared" si="207"/>
        <v>4.05</v>
      </c>
      <c r="B1290" s="383">
        <v>13</v>
      </c>
      <c r="D1290" s="406"/>
      <c r="E1290" s="407"/>
      <c r="F1290" s="407"/>
      <c r="G1290" s="407"/>
      <c r="H1290" s="407"/>
      <c r="I1290" s="407"/>
      <c r="J1290" s="408" t="s">
        <v>416</v>
      </c>
      <c r="K1290" s="409" t="str">
        <f t="shared" si="203"/>
        <v>M=(Largo) x Cant</v>
      </c>
      <c r="L1290" s="410" t="str">
        <f>+L1285</f>
        <v>M</v>
      </c>
      <c r="M1290" s="411"/>
      <c r="N1290" s="412"/>
      <c r="O1290" s="442"/>
      <c r="P1290" s="442"/>
      <c r="Q1290" s="413"/>
      <c r="R1290" s="411"/>
      <c r="S1290" s="413" t="str">
        <f t="shared" si="206"/>
        <v/>
      </c>
      <c r="T1290" s="414">
        <f>+HLOOKUP(B1290,[238]Hoja1!$2:$78,43,FALSE)</f>
        <v>0</v>
      </c>
      <c r="Y1290" s="439">
        <f t="shared" si="211"/>
        <v>0</v>
      </c>
      <c r="Z1290" s="439">
        <f t="shared" si="212"/>
        <v>0</v>
      </c>
    </row>
    <row r="1291" spans="1:26">
      <c r="A1291" s="453">
        <f t="shared" si="207"/>
        <v>4.05</v>
      </c>
      <c r="B1291" s="383">
        <v>14</v>
      </c>
      <c r="D1291" s="406"/>
      <c r="E1291" s="407"/>
      <c r="F1291" s="407"/>
      <c r="G1291" s="407"/>
      <c r="H1291" s="407"/>
      <c r="I1291" s="407"/>
      <c r="J1291" s="408" t="s">
        <v>417</v>
      </c>
      <c r="K1291" s="409" t="str">
        <f t="shared" si="203"/>
        <v>M=(Largo) x Cant</v>
      </c>
      <c r="L1291" s="410" t="str">
        <f t="shared" ref="L1291:L1302" si="213">+L1290</f>
        <v>M</v>
      </c>
      <c r="M1291" s="411"/>
      <c r="N1291" s="412"/>
      <c r="O1291" s="442"/>
      <c r="P1291" s="442"/>
      <c r="Q1291" s="413"/>
      <c r="R1291" s="411"/>
      <c r="S1291" s="413" t="str">
        <f t="shared" si="206"/>
        <v/>
      </c>
      <c r="T1291" s="414">
        <f>+HLOOKUP(B1291,[238]Hoja1!$2:$78,43,FALSE)</f>
        <v>0</v>
      </c>
      <c r="Y1291" s="439">
        <f t="shared" si="211"/>
        <v>0</v>
      </c>
      <c r="Z1291" s="439">
        <f t="shared" si="212"/>
        <v>0</v>
      </c>
    </row>
    <row r="1292" spans="1:26">
      <c r="A1292" s="453">
        <f t="shared" si="207"/>
        <v>4.05</v>
      </c>
      <c r="B1292" s="383">
        <v>15</v>
      </c>
      <c r="D1292" s="406"/>
      <c r="E1292" s="407"/>
      <c r="F1292" s="407"/>
      <c r="G1292" s="407"/>
      <c r="H1292" s="407"/>
      <c r="I1292" s="407"/>
      <c r="J1292" s="408" t="s">
        <v>418</v>
      </c>
      <c r="K1292" s="409" t="str">
        <f t="shared" si="203"/>
        <v>M=(Largo) x Cant</v>
      </c>
      <c r="L1292" s="410" t="str">
        <f t="shared" si="213"/>
        <v>M</v>
      </c>
      <c r="M1292" s="411"/>
      <c r="N1292" s="412"/>
      <c r="O1292" s="442"/>
      <c r="P1292" s="442"/>
      <c r="Q1292" s="413"/>
      <c r="R1292" s="411"/>
      <c r="S1292" s="413" t="str">
        <f t="shared" si="206"/>
        <v/>
      </c>
      <c r="T1292" s="414">
        <f>+HLOOKUP(B1292,[238]Hoja1!$2:$78,43,FALSE)</f>
        <v>0</v>
      </c>
      <c r="Y1292" s="439">
        <f t="shared" si="211"/>
        <v>0</v>
      </c>
      <c r="Z1292" s="439">
        <f t="shared" si="212"/>
        <v>0</v>
      </c>
    </row>
    <row r="1293" spans="1:26">
      <c r="A1293" s="453">
        <f t="shared" si="207"/>
        <v>4.05</v>
      </c>
      <c r="B1293" s="383">
        <v>16</v>
      </c>
      <c r="D1293" s="406"/>
      <c r="E1293" s="407"/>
      <c r="F1293" s="407"/>
      <c r="G1293" s="407"/>
      <c r="H1293" s="407"/>
      <c r="I1293" s="407"/>
      <c r="J1293" s="408" t="s">
        <v>419</v>
      </c>
      <c r="K1293" s="409" t="str">
        <f t="shared" si="203"/>
        <v>M=(Largo) x Cant</v>
      </c>
      <c r="L1293" s="410" t="str">
        <f t="shared" si="213"/>
        <v>M</v>
      </c>
      <c r="M1293" s="411"/>
      <c r="N1293" s="412"/>
      <c r="O1293" s="442"/>
      <c r="P1293" s="442"/>
      <c r="Q1293" s="413"/>
      <c r="R1293" s="411"/>
      <c r="S1293" s="413" t="str">
        <f t="shared" si="206"/>
        <v/>
      </c>
      <c r="T1293" s="414">
        <f>+HLOOKUP(B1293,[238]Hoja1!$2:$78,43,FALSE)</f>
        <v>0</v>
      </c>
      <c r="Y1293" s="439">
        <f t="shared" si="211"/>
        <v>0</v>
      </c>
      <c r="Z1293" s="439">
        <f t="shared" si="212"/>
        <v>0</v>
      </c>
    </row>
    <row r="1294" spans="1:26">
      <c r="A1294" s="453">
        <f t="shared" si="207"/>
        <v>4.05</v>
      </c>
      <c r="B1294" s="383">
        <v>17</v>
      </c>
      <c r="D1294" s="406"/>
      <c r="E1294" s="407"/>
      <c r="F1294" s="407"/>
      <c r="G1294" s="407"/>
      <c r="H1294" s="407"/>
      <c r="I1294" s="407"/>
      <c r="J1294" s="408" t="s">
        <v>420</v>
      </c>
      <c r="K1294" s="409" t="str">
        <f t="shared" si="203"/>
        <v>M=(Largo) x Cant</v>
      </c>
      <c r="L1294" s="410" t="str">
        <f t="shared" si="213"/>
        <v>M</v>
      </c>
      <c r="M1294" s="411"/>
      <c r="N1294" s="412"/>
      <c r="O1294" s="442"/>
      <c r="P1294" s="442"/>
      <c r="Q1294" s="413"/>
      <c r="R1294" s="411"/>
      <c r="S1294" s="413" t="str">
        <f t="shared" si="206"/>
        <v/>
      </c>
      <c r="T1294" s="414">
        <f>+HLOOKUP(B1294,[238]Hoja1!$2:$78,43,FALSE)</f>
        <v>0</v>
      </c>
      <c r="W1294" s="383">
        <f>+Q1294*P1294*O1294</f>
        <v>0</v>
      </c>
      <c r="Y1294" s="439">
        <f t="shared" si="211"/>
        <v>0</v>
      </c>
      <c r="Z1294" s="439">
        <f t="shared" si="212"/>
        <v>0</v>
      </c>
    </row>
    <row r="1295" spans="1:26">
      <c r="A1295" s="453">
        <f t="shared" si="207"/>
        <v>4.05</v>
      </c>
      <c r="B1295" s="383">
        <v>18</v>
      </c>
      <c r="D1295" s="406"/>
      <c r="E1295" s="407"/>
      <c r="F1295" s="407"/>
      <c r="G1295" s="407"/>
      <c r="H1295" s="407"/>
      <c r="I1295" s="407"/>
      <c r="J1295" s="408" t="s">
        <v>429</v>
      </c>
      <c r="K1295" s="409" t="str">
        <f t="shared" si="203"/>
        <v>M=(Largo) x Cant</v>
      </c>
      <c r="L1295" s="410" t="str">
        <f t="shared" si="213"/>
        <v>M</v>
      </c>
      <c r="M1295" s="411"/>
      <c r="N1295" s="412"/>
      <c r="O1295" s="442"/>
      <c r="P1295" s="442">
        <f t="shared" si="210"/>
        <v>6</v>
      </c>
      <c r="Q1295" s="413"/>
      <c r="R1295" s="411"/>
      <c r="S1295" s="413">
        <f t="shared" si="206"/>
        <v>1</v>
      </c>
      <c r="T1295" s="414">
        <f>+HLOOKUP(B1295,[238]Hoja1!$2:$78,43,FALSE)</f>
        <v>6</v>
      </c>
      <c r="Y1295" s="439">
        <f t="shared" si="211"/>
        <v>0</v>
      </c>
      <c r="Z1295" s="439">
        <f t="shared" si="212"/>
        <v>0</v>
      </c>
    </row>
    <row r="1296" spans="1:26">
      <c r="A1296" s="453">
        <f t="shared" si="207"/>
        <v>4.05</v>
      </c>
      <c r="B1296" s="383">
        <v>19</v>
      </c>
      <c r="D1296" s="406"/>
      <c r="E1296" s="407"/>
      <c r="F1296" s="407"/>
      <c r="G1296" s="407"/>
      <c r="H1296" s="407"/>
      <c r="I1296" s="407"/>
      <c r="J1296" s="408" t="s">
        <v>430</v>
      </c>
      <c r="K1296" s="409" t="str">
        <f t="shared" si="203"/>
        <v>M=(Largo) x Cant</v>
      </c>
      <c r="L1296" s="410" t="str">
        <f t="shared" si="213"/>
        <v>M</v>
      </c>
      <c r="M1296" s="411"/>
      <c r="N1296" s="412"/>
      <c r="O1296" s="442"/>
      <c r="P1296" s="442"/>
      <c r="Q1296" s="413"/>
      <c r="R1296" s="411"/>
      <c r="S1296" s="413" t="str">
        <f t="shared" si="206"/>
        <v/>
      </c>
      <c r="T1296" s="414">
        <f>+HLOOKUP(B1296,[238]Hoja1!$2:$78,43,FALSE)</f>
        <v>0</v>
      </c>
      <c r="Y1296" s="439">
        <f t="shared" si="211"/>
        <v>0</v>
      </c>
      <c r="Z1296" s="439">
        <f t="shared" si="212"/>
        <v>0</v>
      </c>
    </row>
    <row r="1297" spans="1:26">
      <c r="A1297" s="453">
        <f t="shared" si="207"/>
        <v>4.05</v>
      </c>
      <c r="B1297" s="383">
        <v>20</v>
      </c>
      <c r="D1297" s="406"/>
      <c r="E1297" s="407"/>
      <c r="F1297" s="407"/>
      <c r="G1297" s="407"/>
      <c r="H1297" s="407"/>
      <c r="I1297" s="407"/>
      <c r="J1297" s="408" t="s">
        <v>431</v>
      </c>
      <c r="K1297" s="409" t="str">
        <f t="shared" si="203"/>
        <v>M=(Largo) x Cant</v>
      </c>
      <c r="L1297" s="410" t="str">
        <f t="shared" si="213"/>
        <v>M</v>
      </c>
      <c r="M1297" s="411"/>
      <c r="N1297" s="412"/>
      <c r="O1297" s="442"/>
      <c r="P1297" s="442"/>
      <c r="Q1297" s="413"/>
      <c r="R1297" s="411"/>
      <c r="S1297" s="413" t="str">
        <f t="shared" si="206"/>
        <v/>
      </c>
      <c r="T1297" s="414">
        <f>+HLOOKUP(B1297,[238]Hoja1!$2:$78,43,FALSE)</f>
        <v>0</v>
      </c>
      <c r="Y1297" s="439">
        <f t="shared" si="211"/>
        <v>0</v>
      </c>
      <c r="Z1297" s="439">
        <f t="shared" si="212"/>
        <v>0</v>
      </c>
    </row>
    <row r="1298" spans="1:26">
      <c r="A1298" s="453">
        <f t="shared" si="207"/>
        <v>4.05</v>
      </c>
      <c r="B1298" s="383">
        <v>21</v>
      </c>
      <c r="D1298" s="406"/>
      <c r="E1298" s="407"/>
      <c r="F1298" s="407"/>
      <c r="G1298" s="407"/>
      <c r="H1298" s="407"/>
      <c r="I1298" s="407"/>
      <c r="J1298" s="408" t="s">
        <v>432</v>
      </c>
      <c r="K1298" s="409" t="str">
        <f t="shared" si="203"/>
        <v>M=(Largo) x Cant</v>
      </c>
      <c r="L1298" s="410" t="str">
        <f t="shared" si="213"/>
        <v>M</v>
      </c>
      <c r="M1298" s="411"/>
      <c r="N1298" s="412"/>
      <c r="O1298" s="442"/>
      <c r="P1298" s="442"/>
      <c r="Q1298" s="413"/>
      <c r="R1298" s="411"/>
      <c r="S1298" s="413" t="str">
        <f t="shared" si="206"/>
        <v/>
      </c>
      <c r="T1298" s="414">
        <f>+HLOOKUP(B1298,[238]Hoja1!$2:$78,43,FALSE)</f>
        <v>0</v>
      </c>
      <c r="Y1298" s="439">
        <f t="shared" si="211"/>
        <v>0</v>
      </c>
      <c r="Z1298" s="439">
        <f t="shared" si="212"/>
        <v>0</v>
      </c>
    </row>
    <row r="1299" spans="1:26">
      <c r="A1299" s="453">
        <f t="shared" si="207"/>
        <v>4.05</v>
      </c>
      <c r="B1299" s="383">
        <v>22</v>
      </c>
      <c r="D1299" s="406"/>
      <c r="E1299" s="407"/>
      <c r="F1299" s="407"/>
      <c r="G1299" s="407"/>
      <c r="H1299" s="407"/>
      <c r="I1299" s="407"/>
      <c r="J1299" s="408" t="s">
        <v>433</v>
      </c>
      <c r="K1299" s="409" t="str">
        <f t="shared" si="203"/>
        <v>M=(Largo) x Cant</v>
      </c>
      <c r="L1299" s="410" t="str">
        <f t="shared" si="213"/>
        <v>M</v>
      </c>
      <c r="M1299" s="411"/>
      <c r="N1299" s="412"/>
      <c r="O1299" s="442"/>
      <c r="P1299" s="442"/>
      <c r="Q1299" s="413"/>
      <c r="R1299" s="411"/>
      <c r="S1299" s="413" t="str">
        <f t="shared" si="206"/>
        <v/>
      </c>
      <c r="T1299" s="414">
        <f>+HLOOKUP(B1299,[238]Hoja1!$2:$78,43,FALSE)</f>
        <v>0</v>
      </c>
      <c r="Y1299" s="439">
        <f t="shared" si="211"/>
        <v>0</v>
      </c>
      <c r="Z1299" s="439">
        <f t="shared" si="212"/>
        <v>0</v>
      </c>
    </row>
    <row r="1300" spans="1:26">
      <c r="A1300" s="453">
        <f t="shared" si="207"/>
        <v>4.05</v>
      </c>
      <c r="B1300" s="383">
        <v>23</v>
      </c>
      <c r="D1300" s="406"/>
      <c r="E1300" s="407"/>
      <c r="F1300" s="407"/>
      <c r="G1300" s="407"/>
      <c r="H1300" s="407"/>
      <c r="I1300" s="407"/>
      <c r="J1300" s="408" t="s">
        <v>434</v>
      </c>
      <c r="K1300" s="409" t="str">
        <f t="shared" si="203"/>
        <v>M=(Largo) x Cant</v>
      </c>
      <c r="L1300" s="410" t="str">
        <f t="shared" si="213"/>
        <v>M</v>
      </c>
      <c r="M1300" s="411"/>
      <c r="N1300" s="412"/>
      <c r="O1300" s="441"/>
      <c r="P1300" s="442"/>
      <c r="Q1300" s="413"/>
      <c r="R1300" s="411"/>
      <c r="S1300" s="413" t="str">
        <f t="shared" si="206"/>
        <v/>
      </c>
      <c r="T1300" s="414">
        <f>+HLOOKUP(B1300,[238]Hoja1!$2:$78,43,FALSE)</f>
        <v>0</v>
      </c>
      <c r="Y1300" s="439">
        <f t="shared" si="211"/>
        <v>0</v>
      </c>
      <c r="Z1300" s="439">
        <f t="shared" si="212"/>
        <v>0</v>
      </c>
    </row>
    <row r="1301" spans="1:26">
      <c r="A1301" s="453">
        <f t="shared" si="207"/>
        <v>4.05</v>
      </c>
      <c r="B1301" s="383">
        <v>24</v>
      </c>
      <c r="D1301" s="406"/>
      <c r="E1301" s="407"/>
      <c r="F1301" s="407"/>
      <c r="G1301" s="407"/>
      <c r="H1301" s="407"/>
      <c r="I1301" s="407"/>
      <c r="J1301" s="408" t="s">
        <v>435</v>
      </c>
      <c r="K1301" s="409" t="str">
        <f t="shared" si="203"/>
        <v>M=(Largo) x Cant</v>
      </c>
      <c r="L1301" s="410" t="str">
        <f t="shared" si="213"/>
        <v>M</v>
      </c>
      <c r="M1301" s="411"/>
      <c r="N1301" s="412"/>
      <c r="O1301" s="442"/>
      <c r="P1301" s="442">
        <f t="shared" si="210"/>
        <v>6</v>
      </c>
      <c r="Q1301" s="413"/>
      <c r="R1301" s="411"/>
      <c r="S1301" s="413">
        <f t="shared" si="206"/>
        <v>1</v>
      </c>
      <c r="T1301" s="414">
        <f>+HLOOKUP(B1301,[238]Hoja1!$2:$78,43,FALSE)</f>
        <v>6</v>
      </c>
      <c r="Y1301" s="439">
        <f t="shared" si="211"/>
        <v>0</v>
      </c>
      <c r="Z1301" s="439">
        <f t="shared" si="212"/>
        <v>0</v>
      </c>
    </row>
    <row r="1302" spans="1:26">
      <c r="A1302" s="453">
        <f t="shared" si="207"/>
        <v>4.05</v>
      </c>
      <c r="B1302" s="383">
        <v>25</v>
      </c>
      <c r="D1302" s="406"/>
      <c r="E1302" s="407"/>
      <c r="F1302" s="407"/>
      <c r="G1302" s="407"/>
      <c r="H1302" s="407"/>
      <c r="I1302" s="407"/>
      <c r="J1302" s="408" t="s">
        <v>436</v>
      </c>
      <c r="K1302" s="409" t="str">
        <f t="shared" si="203"/>
        <v>M=(Largo) x Cant</v>
      </c>
      <c r="L1302" s="410" t="str">
        <f t="shared" si="213"/>
        <v>M</v>
      </c>
      <c r="M1302" s="411"/>
      <c r="N1302" s="412"/>
      <c r="O1302" s="442"/>
      <c r="P1302" s="442">
        <f t="shared" si="210"/>
        <v>2</v>
      </c>
      <c r="Q1302" s="413"/>
      <c r="R1302" s="411"/>
      <c r="S1302" s="413">
        <f t="shared" si="206"/>
        <v>1</v>
      </c>
      <c r="T1302" s="414">
        <f>+HLOOKUP(B1302,[238]Hoja1!$2:$78,43,FALSE)</f>
        <v>2</v>
      </c>
      <c r="Y1302" s="439">
        <f t="shared" si="211"/>
        <v>0</v>
      </c>
      <c r="Z1302" s="439">
        <f t="shared" si="212"/>
        <v>0</v>
      </c>
    </row>
    <row r="1303" spans="1:26">
      <c r="A1303" s="453">
        <f t="shared" si="207"/>
        <v>4.05</v>
      </c>
      <c r="B1303" s="383">
        <v>26</v>
      </c>
      <c r="D1303" s="406"/>
      <c r="E1303" s="407"/>
      <c r="F1303" s="407"/>
      <c r="G1303" s="407"/>
      <c r="H1303" s="407"/>
      <c r="I1303" s="407"/>
      <c r="J1303" s="408" t="s">
        <v>437</v>
      </c>
      <c r="K1303" s="409" t="str">
        <f t="shared" si="203"/>
        <v>M=(Largo) x Cant</v>
      </c>
      <c r="L1303" s="410" t="str">
        <f>+L1292</f>
        <v>M</v>
      </c>
      <c r="M1303" s="411"/>
      <c r="N1303" s="412"/>
      <c r="O1303" s="442"/>
      <c r="P1303" s="442"/>
      <c r="Q1303" s="413"/>
      <c r="R1303" s="411"/>
      <c r="S1303" s="413" t="str">
        <f t="shared" si="206"/>
        <v/>
      </c>
      <c r="T1303" s="414">
        <f>+HLOOKUP(B1303,[238]Hoja1!$2:$78,43,FALSE)</f>
        <v>0</v>
      </c>
      <c r="Y1303" s="439">
        <f t="shared" si="211"/>
        <v>0</v>
      </c>
      <c r="Z1303" s="439">
        <f t="shared" si="212"/>
        <v>0</v>
      </c>
    </row>
    <row r="1304" spans="1:26">
      <c r="A1304" s="453">
        <f t="shared" si="207"/>
        <v>4.05</v>
      </c>
      <c r="B1304" s="383">
        <v>27</v>
      </c>
      <c r="D1304" s="406"/>
      <c r="E1304" s="407"/>
      <c r="F1304" s="407"/>
      <c r="G1304" s="407"/>
      <c r="H1304" s="407"/>
      <c r="I1304" s="407"/>
      <c r="J1304" s="408" t="s">
        <v>438</v>
      </c>
      <c r="K1304" s="409" t="str">
        <f t="shared" si="203"/>
        <v>M=(Largo) x Cant</v>
      </c>
      <c r="L1304" s="410" t="str">
        <f t="shared" ref="L1304:L1312" si="214">+L1303</f>
        <v>M</v>
      </c>
      <c r="M1304" s="411"/>
      <c r="N1304" s="412"/>
      <c r="O1304" s="442"/>
      <c r="P1304" s="442"/>
      <c r="Q1304" s="413"/>
      <c r="R1304" s="411"/>
      <c r="S1304" s="413" t="str">
        <f t="shared" si="206"/>
        <v/>
      </c>
      <c r="T1304" s="414">
        <f>+HLOOKUP(B1304,[238]Hoja1!$2:$78,43,FALSE)</f>
        <v>0</v>
      </c>
      <c r="Y1304" s="439">
        <f t="shared" si="211"/>
        <v>0</v>
      </c>
      <c r="Z1304" s="439">
        <f t="shared" si="212"/>
        <v>0</v>
      </c>
    </row>
    <row r="1305" spans="1:26">
      <c r="A1305" s="453">
        <f t="shared" si="207"/>
        <v>4.05</v>
      </c>
      <c r="B1305" s="383">
        <v>28</v>
      </c>
      <c r="D1305" s="406"/>
      <c r="E1305" s="440"/>
      <c r="F1305" s="407"/>
      <c r="G1305" s="407"/>
      <c r="H1305" s="407"/>
      <c r="I1305" s="437"/>
      <c r="J1305" s="408" t="s">
        <v>439</v>
      </c>
      <c r="K1305" s="409" t="str">
        <f t="shared" si="203"/>
        <v>M=(Largo) x Cant</v>
      </c>
      <c r="L1305" s="410" t="str">
        <f t="shared" si="214"/>
        <v>M</v>
      </c>
      <c r="M1305" s="411"/>
      <c r="N1305" s="412"/>
      <c r="O1305" s="442"/>
      <c r="P1305" s="442"/>
      <c r="Q1305" s="413"/>
      <c r="R1305" s="411"/>
      <c r="S1305" s="413" t="str">
        <f t="shared" si="206"/>
        <v/>
      </c>
      <c r="T1305" s="414">
        <f>+HLOOKUP(B1305,[238]Hoja1!$2:$78,43,FALSE)</f>
        <v>0</v>
      </c>
      <c r="Y1305" s="439">
        <f t="shared" si="211"/>
        <v>0</v>
      </c>
      <c r="Z1305" s="439">
        <f t="shared" si="212"/>
        <v>0</v>
      </c>
    </row>
    <row r="1306" spans="1:26">
      <c r="A1306" s="453">
        <f t="shared" si="207"/>
        <v>4.05</v>
      </c>
      <c r="B1306" s="383">
        <v>29</v>
      </c>
      <c r="D1306" s="406"/>
      <c r="E1306" s="407"/>
      <c r="F1306" s="407"/>
      <c r="G1306" s="407"/>
      <c r="H1306" s="407"/>
      <c r="I1306" s="407"/>
      <c r="J1306" s="408" t="s">
        <v>440</v>
      </c>
      <c r="K1306" s="409" t="str">
        <f t="shared" si="203"/>
        <v>M=(Largo) x Cant</v>
      </c>
      <c r="L1306" s="410" t="str">
        <f t="shared" si="214"/>
        <v>M</v>
      </c>
      <c r="M1306" s="411"/>
      <c r="N1306" s="412"/>
      <c r="O1306" s="443"/>
      <c r="P1306" s="442"/>
      <c r="Q1306" s="413"/>
      <c r="R1306" s="411"/>
      <c r="S1306" s="413" t="str">
        <f t="shared" si="206"/>
        <v/>
      </c>
      <c r="T1306" s="414">
        <f>+HLOOKUP(B1306,[238]Hoja1!$2:$78,43,FALSE)</f>
        <v>0</v>
      </c>
      <c r="Y1306" s="439">
        <f t="shared" si="211"/>
        <v>0</v>
      </c>
      <c r="Z1306" s="439">
        <f t="shared" si="212"/>
        <v>0</v>
      </c>
    </row>
    <row r="1307" spans="1:26">
      <c r="A1307" s="453">
        <f t="shared" si="207"/>
        <v>4.05</v>
      </c>
      <c r="B1307" s="383">
        <v>30</v>
      </c>
      <c r="D1307" s="406"/>
      <c r="E1307" s="407"/>
      <c r="F1307" s="407"/>
      <c r="G1307" s="407"/>
      <c r="H1307" s="407"/>
      <c r="I1307" s="407"/>
      <c r="J1307" s="408" t="s">
        <v>441</v>
      </c>
      <c r="K1307" s="409" t="str">
        <f t="shared" si="203"/>
        <v>M=(Largo) x Cant</v>
      </c>
      <c r="L1307" s="410" t="str">
        <f t="shared" si="214"/>
        <v>M</v>
      </c>
      <c r="M1307" s="411"/>
      <c r="N1307" s="412"/>
      <c r="O1307" s="442"/>
      <c r="P1307" s="442"/>
      <c r="Q1307" s="413"/>
      <c r="R1307" s="411"/>
      <c r="S1307" s="413" t="str">
        <f t="shared" si="206"/>
        <v/>
      </c>
      <c r="T1307" s="414">
        <f>+HLOOKUP(B1307,[238]Hoja1!$2:$78,43,FALSE)</f>
        <v>0</v>
      </c>
      <c r="Y1307" s="439">
        <f t="shared" si="211"/>
        <v>0</v>
      </c>
      <c r="Z1307" s="439">
        <f t="shared" si="212"/>
        <v>0</v>
      </c>
    </row>
    <row r="1308" spans="1:26">
      <c r="A1308" s="453">
        <f t="shared" si="207"/>
        <v>4.05</v>
      </c>
      <c r="B1308" s="383">
        <v>31</v>
      </c>
      <c r="D1308" s="406"/>
      <c r="E1308" s="407"/>
      <c r="F1308" s="407"/>
      <c r="G1308" s="407"/>
      <c r="H1308" s="407"/>
      <c r="I1308" s="407"/>
      <c r="J1308" s="408" t="s">
        <v>442</v>
      </c>
      <c r="K1308" s="409" t="str">
        <f t="shared" si="203"/>
        <v>M=(Largo) x Cant</v>
      </c>
      <c r="L1308" s="410" t="str">
        <f t="shared" si="214"/>
        <v>M</v>
      </c>
      <c r="M1308" s="411"/>
      <c r="N1308" s="412"/>
      <c r="O1308" s="442"/>
      <c r="P1308" s="442"/>
      <c r="Q1308" s="413"/>
      <c r="R1308" s="411"/>
      <c r="S1308" s="413" t="str">
        <f t="shared" si="206"/>
        <v/>
      </c>
      <c r="T1308" s="414">
        <f>+HLOOKUP(B1308,[238]Hoja1!$2:$78,43,FALSE)</f>
        <v>0</v>
      </c>
      <c r="Y1308" s="439">
        <f t="shared" si="211"/>
        <v>0</v>
      </c>
      <c r="Z1308" s="439">
        <f t="shared" si="212"/>
        <v>0</v>
      </c>
    </row>
    <row r="1309" spans="1:26">
      <c r="A1309" s="453">
        <f t="shared" si="207"/>
        <v>4.05</v>
      </c>
      <c r="B1309" s="383">
        <v>32</v>
      </c>
      <c r="D1309" s="406"/>
      <c r="E1309" s="407"/>
      <c r="F1309" s="407"/>
      <c r="G1309" s="407"/>
      <c r="H1309" s="407"/>
      <c r="I1309" s="407"/>
      <c r="J1309" s="408" t="s">
        <v>443</v>
      </c>
      <c r="K1309" s="409" t="str">
        <f t="shared" si="203"/>
        <v>M=(Largo) x Cant</v>
      </c>
      <c r="L1309" s="410" t="str">
        <f t="shared" si="214"/>
        <v>M</v>
      </c>
      <c r="M1309" s="411"/>
      <c r="N1309" s="412"/>
      <c r="O1309" s="442"/>
      <c r="P1309" s="442">
        <f t="shared" si="210"/>
        <v>6</v>
      </c>
      <c r="Q1309" s="413"/>
      <c r="R1309" s="411"/>
      <c r="S1309" s="413">
        <f t="shared" si="206"/>
        <v>1</v>
      </c>
      <c r="T1309" s="414">
        <f>+HLOOKUP(B1309,[238]Hoja1!$2:$78,43,FALSE)</f>
        <v>6</v>
      </c>
      <c r="Y1309" s="439">
        <f t="shared" si="211"/>
        <v>0</v>
      </c>
      <c r="Z1309" s="439">
        <f t="shared" si="212"/>
        <v>0</v>
      </c>
    </row>
    <row r="1310" spans="1:26">
      <c r="A1310" s="453">
        <f t="shared" si="207"/>
        <v>4.05</v>
      </c>
      <c r="B1310" s="383">
        <v>33</v>
      </c>
      <c r="D1310" s="406"/>
      <c r="E1310" s="407"/>
      <c r="F1310" s="407"/>
      <c r="G1310" s="407"/>
      <c r="H1310" s="407"/>
      <c r="I1310" s="407"/>
      <c r="J1310" s="408" t="s">
        <v>444</v>
      </c>
      <c r="K1310" s="409" t="str">
        <f t="shared" si="203"/>
        <v>M=(Largo) x Cant</v>
      </c>
      <c r="L1310" s="410" t="str">
        <f t="shared" si="214"/>
        <v>M</v>
      </c>
      <c r="M1310" s="411"/>
      <c r="N1310" s="412"/>
      <c r="O1310" s="442"/>
      <c r="P1310" s="442"/>
      <c r="Q1310" s="413"/>
      <c r="R1310" s="411"/>
      <c r="S1310" s="413" t="str">
        <f t="shared" si="206"/>
        <v/>
      </c>
      <c r="T1310" s="414">
        <f>+HLOOKUP(B1310,[238]Hoja1!$2:$78,43,FALSE)</f>
        <v>0</v>
      </c>
      <c r="Y1310" s="439">
        <f t="shared" si="211"/>
        <v>0</v>
      </c>
      <c r="Z1310" s="439">
        <f t="shared" si="212"/>
        <v>0</v>
      </c>
    </row>
    <row r="1311" spans="1:26">
      <c r="A1311" s="453">
        <f t="shared" si="207"/>
        <v>4.05</v>
      </c>
      <c r="B1311" s="383">
        <v>34</v>
      </c>
      <c r="D1311" s="406"/>
      <c r="E1311" s="407"/>
      <c r="F1311" s="407"/>
      <c r="G1311" s="407"/>
      <c r="H1311" s="407"/>
      <c r="I1311" s="407"/>
      <c r="J1311" s="408" t="s">
        <v>445</v>
      </c>
      <c r="K1311" s="409" t="str">
        <f t="shared" si="203"/>
        <v>M=(Largo) x Cant</v>
      </c>
      <c r="L1311" s="410" t="str">
        <f t="shared" si="214"/>
        <v>M</v>
      </c>
      <c r="M1311" s="411"/>
      <c r="N1311" s="412"/>
      <c r="O1311" s="441"/>
      <c r="P1311" s="442"/>
      <c r="Q1311" s="413"/>
      <c r="R1311" s="411"/>
      <c r="S1311" s="413" t="str">
        <f t="shared" si="206"/>
        <v/>
      </c>
      <c r="T1311" s="414">
        <f>+HLOOKUP(B1311,[238]Hoja1!$2:$78,43,FALSE)</f>
        <v>0</v>
      </c>
      <c r="Y1311" s="439">
        <f t="shared" si="211"/>
        <v>0</v>
      </c>
      <c r="Z1311" s="439">
        <f t="shared" si="212"/>
        <v>0</v>
      </c>
    </row>
    <row r="1312" spans="1:26">
      <c r="A1312" s="453">
        <f t="shared" si="207"/>
        <v>4.05</v>
      </c>
      <c r="B1312" s="383">
        <v>35</v>
      </c>
      <c r="D1312" s="406"/>
      <c r="E1312" s="440"/>
      <c r="F1312" s="407"/>
      <c r="G1312" s="407"/>
      <c r="H1312" s="407"/>
      <c r="I1312" s="437"/>
      <c r="J1312" s="408" t="s">
        <v>446</v>
      </c>
      <c r="K1312" s="409" t="str">
        <f t="shared" si="203"/>
        <v>M=(Largo) x Cant</v>
      </c>
      <c r="L1312" s="410" t="str">
        <f t="shared" si="214"/>
        <v>M</v>
      </c>
      <c r="M1312" s="411"/>
      <c r="N1312" s="412"/>
      <c r="O1312" s="442"/>
      <c r="P1312" s="442"/>
      <c r="Q1312" s="413"/>
      <c r="R1312" s="411"/>
      <c r="S1312" s="413" t="str">
        <f t="shared" si="206"/>
        <v/>
      </c>
      <c r="T1312" s="414">
        <f>+HLOOKUP(B1312,[238]Hoja1!$2:$78,43,FALSE)</f>
        <v>0</v>
      </c>
      <c r="Y1312" s="439">
        <f t="shared" si="211"/>
        <v>0</v>
      </c>
      <c r="Z1312" s="439">
        <f t="shared" si="212"/>
        <v>0</v>
      </c>
    </row>
    <row r="1313" spans="1:26">
      <c r="A1313" s="453">
        <f t="shared" si="207"/>
        <v>4.05</v>
      </c>
      <c r="B1313" s="383">
        <v>36</v>
      </c>
      <c r="D1313" s="406"/>
      <c r="E1313" s="407"/>
      <c r="F1313" s="407"/>
      <c r="G1313" s="407"/>
      <c r="H1313" s="407"/>
      <c r="I1313" s="407"/>
      <c r="J1313" s="408" t="s">
        <v>447</v>
      </c>
      <c r="K1313" s="409" t="str">
        <f t="shared" si="203"/>
        <v>M=(Largo) x Cant</v>
      </c>
      <c r="L1313" s="410" t="str">
        <f>+L1302</f>
        <v>M</v>
      </c>
      <c r="M1313" s="411"/>
      <c r="N1313" s="412"/>
      <c r="O1313" s="442"/>
      <c r="P1313" s="442">
        <f t="shared" si="210"/>
        <v>6</v>
      </c>
      <c r="Q1313" s="413"/>
      <c r="R1313" s="411"/>
      <c r="S1313" s="413">
        <f t="shared" si="206"/>
        <v>1</v>
      </c>
      <c r="T1313" s="414">
        <f>+HLOOKUP(B1313,[238]Hoja1!$2:$78,43,FALSE)</f>
        <v>6</v>
      </c>
      <c r="Y1313" s="439">
        <f t="shared" si="211"/>
        <v>0</v>
      </c>
      <c r="Z1313" s="439">
        <f t="shared" si="212"/>
        <v>0</v>
      </c>
    </row>
    <row r="1314" spans="1:26">
      <c r="A1314" s="453">
        <f t="shared" si="207"/>
        <v>4.05</v>
      </c>
      <c r="B1314" s="383">
        <v>37</v>
      </c>
      <c r="D1314" s="406"/>
      <c r="E1314" s="407"/>
      <c r="F1314" s="407"/>
      <c r="G1314" s="407"/>
      <c r="H1314" s="407"/>
      <c r="I1314" s="407"/>
      <c r="J1314" s="408" t="s">
        <v>448</v>
      </c>
      <c r="K1314" s="409" t="str">
        <f t="shared" si="203"/>
        <v>M=(Largo) x Cant</v>
      </c>
      <c r="L1314" s="410" t="str">
        <f t="shared" ref="L1314:L1320" si="215">+L1313</f>
        <v>M</v>
      </c>
      <c r="M1314" s="411"/>
      <c r="N1314" s="412"/>
      <c r="O1314" s="441"/>
      <c r="P1314" s="442"/>
      <c r="Q1314" s="413"/>
      <c r="R1314" s="411"/>
      <c r="S1314" s="413" t="str">
        <f t="shared" si="206"/>
        <v/>
      </c>
      <c r="T1314" s="414">
        <f>+HLOOKUP(B1314,[238]Hoja1!$2:$78,43,FALSE)</f>
        <v>0</v>
      </c>
      <c r="Y1314" s="439">
        <f t="shared" si="211"/>
        <v>0</v>
      </c>
      <c r="Z1314" s="439">
        <f t="shared" si="212"/>
        <v>0</v>
      </c>
    </row>
    <row r="1315" spans="1:26">
      <c r="A1315" s="453">
        <f t="shared" si="207"/>
        <v>4.05</v>
      </c>
      <c r="B1315" s="383">
        <v>38</v>
      </c>
      <c r="D1315" s="406"/>
      <c r="E1315" s="440"/>
      <c r="F1315" s="407"/>
      <c r="G1315" s="407"/>
      <c r="H1315" s="407"/>
      <c r="I1315" s="437"/>
      <c r="J1315" s="408" t="s">
        <v>449</v>
      </c>
      <c r="K1315" s="409" t="str">
        <f t="shared" si="203"/>
        <v>M=(Largo) x Cant</v>
      </c>
      <c r="L1315" s="410" t="str">
        <f t="shared" si="215"/>
        <v>M</v>
      </c>
      <c r="M1315" s="411"/>
      <c r="N1315" s="412"/>
      <c r="O1315" s="442"/>
      <c r="P1315" s="442"/>
      <c r="Q1315" s="413"/>
      <c r="R1315" s="411"/>
      <c r="S1315" s="413" t="str">
        <f t="shared" si="206"/>
        <v/>
      </c>
      <c r="T1315" s="414">
        <f>+HLOOKUP(B1315,[238]Hoja1!$2:$78,43,FALSE)</f>
        <v>0</v>
      </c>
      <c r="Y1315" s="439">
        <f t="shared" si="211"/>
        <v>0</v>
      </c>
      <c r="Z1315" s="439">
        <f t="shared" si="212"/>
        <v>0</v>
      </c>
    </row>
    <row r="1316" spans="1:26">
      <c r="A1316" s="453">
        <f t="shared" si="207"/>
        <v>4.05</v>
      </c>
      <c r="B1316" s="383">
        <v>39</v>
      </c>
      <c r="D1316" s="406"/>
      <c r="E1316" s="407"/>
      <c r="F1316" s="407"/>
      <c r="G1316" s="407"/>
      <c r="H1316" s="407"/>
      <c r="I1316" s="407"/>
      <c r="J1316" s="408" t="s">
        <v>450</v>
      </c>
      <c r="K1316" s="409" t="str">
        <f t="shared" si="203"/>
        <v>M=(Largo) x Cant</v>
      </c>
      <c r="L1316" s="410" t="str">
        <f t="shared" si="215"/>
        <v>M</v>
      </c>
      <c r="M1316" s="411"/>
      <c r="N1316" s="412"/>
      <c r="O1316" s="441"/>
      <c r="P1316" s="442"/>
      <c r="Q1316" s="413"/>
      <c r="R1316" s="411"/>
      <c r="S1316" s="413" t="str">
        <f t="shared" si="206"/>
        <v/>
      </c>
      <c r="T1316" s="414">
        <f>+HLOOKUP(B1316,[238]Hoja1!$2:$78,43,FALSE)</f>
        <v>0</v>
      </c>
      <c r="Y1316" s="439">
        <f t="shared" si="211"/>
        <v>0</v>
      </c>
      <c r="Z1316" s="439">
        <f t="shared" si="212"/>
        <v>0</v>
      </c>
    </row>
    <row r="1317" spans="1:26">
      <c r="A1317" s="453">
        <f t="shared" si="207"/>
        <v>4.05</v>
      </c>
      <c r="B1317" s="383">
        <v>40</v>
      </c>
      <c r="D1317" s="406"/>
      <c r="E1317" s="407"/>
      <c r="F1317" s="407"/>
      <c r="G1317" s="407"/>
      <c r="H1317" s="407"/>
      <c r="I1317" s="407"/>
      <c r="J1317" s="408" t="s">
        <v>451</v>
      </c>
      <c r="K1317" s="409" t="str">
        <f t="shared" si="203"/>
        <v>M=(Largo) x Cant</v>
      </c>
      <c r="L1317" s="410" t="str">
        <f t="shared" si="215"/>
        <v>M</v>
      </c>
      <c r="M1317" s="411"/>
      <c r="N1317" s="412"/>
      <c r="O1317" s="442"/>
      <c r="P1317" s="442">
        <f t="shared" si="210"/>
        <v>6</v>
      </c>
      <c r="Q1317" s="413"/>
      <c r="R1317" s="411"/>
      <c r="S1317" s="413">
        <f t="shared" si="206"/>
        <v>1</v>
      </c>
      <c r="T1317" s="414">
        <f>+HLOOKUP(B1317,[238]Hoja1!$2:$78,43,FALSE)</f>
        <v>6</v>
      </c>
      <c r="Y1317" s="439">
        <f t="shared" si="211"/>
        <v>0</v>
      </c>
      <c r="Z1317" s="439">
        <f t="shared" si="212"/>
        <v>0</v>
      </c>
    </row>
    <row r="1318" spans="1:26">
      <c r="A1318" s="453">
        <f t="shared" si="207"/>
        <v>4.05</v>
      </c>
      <c r="B1318" s="383">
        <v>41</v>
      </c>
      <c r="D1318" s="406"/>
      <c r="E1318" s="407"/>
      <c r="F1318" s="407"/>
      <c r="G1318" s="407"/>
      <c r="H1318" s="407"/>
      <c r="I1318" s="407"/>
      <c r="J1318" s="408" t="s">
        <v>452</v>
      </c>
      <c r="K1318" s="409" t="str">
        <f t="shared" si="203"/>
        <v>M=(Largo) x Cant</v>
      </c>
      <c r="L1318" s="410" t="str">
        <f t="shared" si="215"/>
        <v>M</v>
      </c>
      <c r="M1318" s="411"/>
      <c r="N1318" s="412"/>
      <c r="O1318" s="442"/>
      <c r="P1318" s="442"/>
      <c r="Q1318" s="413"/>
      <c r="R1318" s="411"/>
      <c r="S1318" s="413" t="str">
        <f t="shared" si="206"/>
        <v/>
      </c>
      <c r="T1318" s="414">
        <f>+HLOOKUP(B1318,[238]Hoja1!$2:$78,43,FALSE)</f>
        <v>0</v>
      </c>
      <c r="Y1318" s="439">
        <f t="shared" si="211"/>
        <v>0</v>
      </c>
      <c r="Z1318" s="439">
        <f t="shared" si="212"/>
        <v>0</v>
      </c>
    </row>
    <row r="1319" spans="1:26">
      <c r="A1319" s="453">
        <f t="shared" si="207"/>
        <v>4.05</v>
      </c>
      <c r="B1319" s="383">
        <v>42</v>
      </c>
      <c r="D1319" s="406"/>
      <c r="E1319" s="407"/>
      <c r="F1319" s="407"/>
      <c r="G1319" s="407"/>
      <c r="H1319" s="407"/>
      <c r="I1319" s="407"/>
      <c r="J1319" s="408" t="s">
        <v>453</v>
      </c>
      <c r="K1319" s="409" t="str">
        <f t="shared" si="203"/>
        <v>M=(Largo) x Cant</v>
      </c>
      <c r="L1319" s="410" t="str">
        <f t="shared" si="215"/>
        <v>M</v>
      </c>
      <c r="M1319" s="411"/>
      <c r="N1319" s="412"/>
      <c r="O1319" s="442"/>
      <c r="P1319" s="442"/>
      <c r="Q1319" s="413"/>
      <c r="R1319" s="411"/>
      <c r="S1319" s="413" t="str">
        <f t="shared" si="206"/>
        <v/>
      </c>
      <c r="T1319" s="414">
        <f>+HLOOKUP(B1319,[238]Hoja1!$2:$78,43,FALSE)</f>
        <v>0</v>
      </c>
      <c r="Y1319" s="439">
        <f t="shared" si="211"/>
        <v>0</v>
      </c>
      <c r="Z1319" s="439">
        <f t="shared" si="212"/>
        <v>0</v>
      </c>
    </row>
    <row r="1320" spans="1:26" ht="13.5" thickBot="1">
      <c r="A1320" s="453">
        <f t="shared" si="207"/>
        <v>4.05</v>
      </c>
      <c r="B1320" s="383">
        <v>43</v>
      </c>
      <c r="D1320" s="406"/>
      <c r="E1320" s="407"/>
      <c r="F1320" s="407"/>
      <c r="G1320" s="407"/>
      <c r="H1320" s="407"/>
      <c r="I1320" s="407"/>
      <c r="J1320" s="408" t="s">
        <v>454</v>
      </c>
      <c r="K1320" s="409" t="str">
        <f t="shared" si="203"/>
        <v>M=(Largo) x Cant</v>
      </c>
      <c r="L1320" s="410" t="str">
        <f t="shared" si="215"/>
        <v>M</v>
      </c>
      <c r="M1320" s="411"/>
      <c r="N1320" s="412"/>
      <c r="O1320" s="442"/>
      <c r="P1320" s="442"/>
      <c r="Q1320" s="413"/>
      <c r="R1320" s="411"/>
      <c r="S1320" s="413" t="str">
        <f t="shared" si="206"/>
        <v/>
      </c>
      <c r="T1320" s="414">
        <f>+HLOOKUP(B1320,[238]Hoja1!$2:$78,43,FALSE)</f>
        <v>0</v>
      </c>
      <c r="Y1320" s="439">
        <f t="shared" si="211"/>
        <v>0</v>
      </c>
      <c r="Z1320" s="439">
        <f t="shared" si="212"/>
        <v>0</v>
      </c>
    </row>
    <row r="1321" spans="1:26">
      <c r="D1321" s="384"/>
      <c r="E1321" s="419"/>
      <c r="F1321" s="420"/>
      <c r="G1321" s="421"/>
      <c r="H1321" s="421"/>
      <c r="I1321" s="421"/>
      <c r="J1321" s="421"/>
      <c r="K1321" s="422"/>
      <c r="L1321" s="421"/>
      <c r="M1321" s="421"/>
      <c r="N1321" s="421"/>
      <c r="O1321" s="421"/>
      <c r="P1321" s="421"/>
      <c r="Q1321" s="421"/>
      <c r="R1321" s="421"/>
      <c r="S1321" s="422"/>
      <c r="T1321" s="423"/>
    </row>
    <row r="1322" spans="1:26">
      <c r="D1322" s="396"/>
      <c r="E1322" s="397"/>
      <c r="F1322" s="424"/>
      <c r="G1322" s="425"/>
      <c r="H1322" s="425"/>
      <c r="I1322" s="425"/>
      <c r="J1322" s="425"/>
      <c r="K1322" s="398"/>
      <c r="L1322" s="425"/>
      <c r="M1322" s="425"/>
      <c r="N1322" s="397"/>
      <c r="O1322" s="397"/>
      <c r="P1322" s="562" t="s">
        <v>455</v>
      </c>
      <c r="Q1322" s="563"/>
      <c r="R1322" s="564"/>
      <c r="S1322" s="426"/>
      <c r="T1322" s="427">
        <f>ROUND(SUM(T1278:T1321),2)</f>
        <v>38</v>
      </c>
    </row>
    <row r="1323" spans="1:26">
      <c r="D1323" s="396"/>
      <c r="E1323" s="397"/>
      <c r="F1323" s="424"/>
      <c r="G1323" s="425"/>
      <c r="H1323" s="425"/>
      <c r="I1323" s="425"/>
      <c r="J1323" s="425"/>
      <c r="K1323" s="398"/>
      <c r="L1323" s="425"/>
      <c r="M1323" s="425"/>
      <c r="N1323" s="428"/>
      <c r="O1323" s="428"/>
      <c r="P1323" s="429"/>
      <c r="Q1323" s="425"/>
      <c r="R1323" s="425"/>
      <c r="S1323" s="430"/>
      <c r="T1323" s="431"/>
    </row>
    <row r="1324" spans="1:26">
      <c r="D1324" s="565" t="e">
        <v>#REF!</v>
      </c>
      <c r="E1324" s="566"/>
      <c r="F1324" s="566"/>
      <c r="G1324" s="566"/>
      <c r="H1324" s="566"/>
      <c r="I1324" s="566"/>
      <c r="J1324" s="566"/>
      <c r="K1324" s="566"/>
      <c r="L1324" s="566"/>
      <c r="M1324" s="566"/>
      <c r="N1324" s="566"/>
      <c r="O1324" s="567"/>
      <c r="P1324" s="568" t="s">
        <v>422</v>
      </c>
      <c r="Q1324" s="568"/>
      <c r="R1324" s="568"/>
      <c r="S1324" s="426"/>
      <c r="T1324" s="427">
        <f>T1322</f>
        <v>38</v>
      </c>
    </row>
    <row r="1325" spans="1:26">
      <c r="D1325" s="396"/>
      <c r="E1325" s="397"/>
      <c r="F1325" s="424"/>
      <c r="G1325" s="425"/>
      <c r="H1325" s="425"/>
      <c r="I1325" s="425"/>
      <c r="J1325" s="425"/>
      <c r="K1325" s="398"/>
      <c r="L1325" s="425"/>
      <c r="M1325" s="425"/>
      <c r="N1325" s="428"/>
      <c r="O1325" s="428"/>
      <c r="P1325" s="429"/>
      <c r="Q1325" s="425"/>
      <c r="R1325" s="398"/>
      <c r="S1325" s="398"/>
      <c r="T1325" s="432"/>
    </row>
    <row r="1326" spans="1:26">
      <c r="D1326" s="396"/>
      <c r="E1326" s="397"/>
      <c r="F1326" s="424"/>
      <c r="G1326" s="425"/>
      <c r="H1326" s="425"/>
      <c r="I1326" s="425"/>
      <c r="J1326" s="425"/>
      <c r="K1326" s="398"/>
      <c r="L1326" s="425"/>
      <c r="M1326" s="425"/>
      <c r="N1326" s="428"/>
      <c r="O1326" s="428"/>
      <c r="P1326" s="429"/>
      <c r="Q1326" s="425"/>
      <c r="R1326" s="398"/>
      <c r="S1326" s="398"/>
      <c r="T1326" s="432"/>
    </row>
    <row r="1327" spans="1:26">
      <c r="D1327" s="569" t="s">
        <v>423</v>
      </c>
      <c r="E1327" s="570"/>
      <c r="F1327" s="570"/>
      <c r="G1327" s="570"/>
      <c r="H1327" s="570"/>
      <c r="I1327" s="570"/>
      <c r="J1327" s="570"/>
      <c r="K1327" s="571"/>
      <c r="L1327" s="433" t="s">
        <v>424</v>
      </c>
      <c r="M1327" s="434"/>
      <c r="N1327" s="434"/>
      <c r="O1327" s="434"/>
      <c r="P1327" s="434"/>
      <c r="Q1327" s="434"/>
      <c r="R1327" s="434"/>
      <c r="S1327" s="434"/>
      <c r="T1327" s="435"/>
    </row>
    <row r="1328" spans="1:26">
      <c r="D1328" s="542"/>
      <c r="E1328" s="543"/>
      <c r="F1328" s="543"/>
      <c r="G1328" s="543"/>
      <c r="H1328" s="436"/>
      <c r="I1328" s="436"/>
      <c r="J1328" s="436"/>
      <c r="K1328" s="447"/>
      <c r="L1328" s="436"/>
      <c r="M1328" s="407"/>
      <c r="N1328" s="407"/>
      <c r="O1328" s="407"/>
      <c r="P1328" s="407"/>
      <c r="Q1328" s="407"/>
      <c r="R1328" s="407"/>
      <c r="S1328" s="407"/>
      <c r="T1328" s="437"/>
    </row>
    <row r="1329" spans="4:20">
      <c r="D1329" s="542"/>
      <c r="E1329" s="543"/>
      <c r="F1329" s="543"/>
      <c r="G1329" s="543"/>
      <c r="H1329" s="436"/>
      <c r="I1329" s="436"/>
      <c r="J1329" s="436"/>
      <c r="K1329" s="447"/>
      <c r="L1329" s="436"/>
      <c r="M1329" s="407"/>
      <c r="N1329" s="407"/>
      <c r="O1329" s="407"/>
      <c r="P1329" s="407"/>
      <c r="Q1329" s="407"/>
      <c r="R1329" s="407"/>
      <c r="S1329" s="407"/>
      <c r="T1329" s="437"/>
    </row>
    <row r="1330" spans="4:20">
      <c r="D1330" s="542" t="s">
        <v>425</v>
      </c>
      <c r="E1330" s="543"/>
      <c r="F1330" s="543" t="s">
        <v>425</v>
      </c>
      <c r="G1330" s="543"/>
      <c r="H1330" s="543" t="s">
        <v>425</v>
      </c>
      <c r="I1330" s="543"/>
      <c r="J1330" s="543" t="s">
        <v>425</v>
      </c>
      <c r="K1330" s="544"/>
      <c r="L1330" s="545" t="s">
        <v>426</v>
      </c>
      <c r="M1330" s="546"/>
      <c r="N1330" s="546"/>
      <c r="O1330" s="546"/>
      <c r="P1330" s="546"/>
      <c r="Q1330" s="546"/>
      <c r="R1330" s="546"/>
      <c r="S1330" s="546"/>
      <c r="T1330" s="547"/>
    </row>
    <row r="1331" spans="4:20">
      <c r="D1331" s="548" t="str">
        <f>+[42]DATOS!D$8</f>
        <v>HELMER EDUARDO BECERRA SANTANDER</v>
      </c>
      <c r="E1331" s="549"/>
      <c r="F1331" s="549" t="s">
        <v>427</v>
      </c>
      <c r="G1331" s="549"/>
      <c r="H1331" s="549" t="s">
        <v>427</v>
      </c>
      <c r="I1331" s="549"/>
      <c r="J1331" s="549" t="s">
        <v>427</v>
      </c>
      <c r="K1331" s="550"/>
      <c r="L1331" s="551" t="str">
        <f>+[42]DATOS!D$11</f>
        <v>JESUS IVAN QUIÑONES RUEDA</v>
      </c>
      <c r="M1331" s="549"/>
      <c r="N1331" s="549"/>
      <c r="O1331" s="549"/>
      <c r="P1331" s="549"/>
      <c r="Q1331" s="549"/>
      <c r="R1331" s="549"/>
      <c r="S1331" s="549"/>
      <c r="T1331" s="552"/>
    </row>
    <row r="1332" spans="4:20">
      <c r="D1332" s="553" t="str">
        <f>+$D$72</f>
        <v>APOYO SEC. DE PLANEACION Y OBRAS PÚBLICAS</v>
      </c>
      <c r="E1332" s="554"/>
      <c r="F1332" s="554" t="s">
        <v>428</v>
      </c>
      <c r="G1332" s="554"/>
      <c r="H1332" s="554" t="s">
        <v>428</v>
      </c>
      <c r="I1332" s="554"/>
      <c r="J1332" s="554" t="s">
        <v>428</v>
      </c>
      <c r="K1332" s="555"/>
      <c r="L1332" s="556" t="str">
        <f>+$L$72</f>
        <v>SECRETARIO DE PLANEACION Y OBRAS PÚBLICAS</v>
      </c>
      <c r="M1332" s="554"/>
      <c r="N1332" s="554"/>
      <c r="O1332" s="554"/>
      <c r="P1332" s="554"/>
      <c r="Q1332" s="554"/>
      <c r="R1332" s="554"/>
      <c r="S1332" s="554"/>
      <c r="T1332" s="557"/>
    </row>
    <row r="1333" spans="4:20">
      <c r="D1333" s="406"/>
      <c r="E1333" s="407"/>
      <c r="F1333" s="407"/>
      <c r="G1333" s="407"/>
      <c r="H1333" s="407"/>
      <c r="I1333" s="407"/>
      <c r="J1333" s="407"/>
      <c r="K1333" s="407"/>
      <c r="L1333" s="407"/>
      <c r="M1333" s="407"/>
      <c r="N1333" s="407"/>
      <c r="O1333" s="407"/>
      <c r="P1333" s="407"/>
      <c r="Q1333" s="407"/>
      <c r="R1333" s="407"/>
      <c r="S1333" s="407"/>
      <c r="T1333" s="437"/>
    </row>
    <row r="1334" spans="4:20" ht="111" customHeight="1" thickBot="1">
      <c r="D1334" s="417"/>
      <c r="E1334" s="418"/>
      <c r="F1334" s="418"/>
      <c r="G1334" s="418"/>
      <c r="H1334" s="418"/>
      <c r="I1334" s="418"/>
      <c r="J1334" s="418"/>
      <c r="K1334" s="418"/>
      <c r="L1334" s="418"/>
      <c r="M1334" s="418"/>
      <c r="N1334" s="418"/>
      <c r="O1334" s="418"/>
      <c r="P1334" s="418"/>
      <c r="Q1334" s="418"/>
      <c r="R1334" s="418"/>
      <c r="S1334" s="418"/>
      <c r="T1334" s="438"/>
    </row>
    <row r="1335" spans="4:20" ht="22.5" customHeight="1"/>
    <row r="1337" spans="4:20" ht="13.5" thickBot="1"/>
    <row r="1338" spans="4:20">
      <c r="D1338" s="384"/>
      <c r="E1338" s="385"/>
      <c r="F1338" s="385"/>
      <c r="G1338" s="385"/>
      <c r="H1338" s="385"/>
      <c r="I1338" s="385"/>
      <c r="J1338" s="385"/>
      <c r="K1338" s="445"/>
      <c r="L1338" s="385"/>
      <c r="M1338" s="385"/>
      <c r="N1338" s="385"/>
      <c r="O1338" s="385"/>
      <c r="P1338" s="385"/>
      <c r="Q1338" s="385"/>
      <c r="R1338" s="385"/>
      <c r="S1338" s="385"/>
      <c r="T1338" s="386"/>
    </row>
    <row r="1339" spans="4:20" ht="121.5" customHeight="1" thickBot="1">
      <c r="D1339" s="387"/>
      <c r="E1339" s="388"/>
      <c r="F1339" s="388"/>
      <c r="G1339" s="388"/>
      <c r="H1339" s="388"/>
      <c r="I1339" s="388"/>
      <c r="J1339" s="388"/>
      <c r="K1339" s="446"/>
      <c r="L1339" s="388"/>
      <c r="M1339" s="388"/>
      <c r="N1339" s="388"/>
      <c r="O1339" s="388"/>
      <c r="P1339" s="388"/>
      <c r="Q1339" s="388"/>
      <c r="R1339" s="388"/>
      <c r="S1339" s="388"/>
      <c r="T1339" s="389"/>
    </row>
    <row r="1340" spans="4:20">
      <c r="D1340" s="592" t="str">
        <f>+[42]DATOS!C$7</f>
        <v>MEJORAMIENTO DE VIVIENDA CON ENFOQUE DIFERENCIAL PARA POBLACIÓN VULNERABLE EN EL MUNICIPIO DE CUBARÁ, BOYACÁ (2026).</v>
      </c>
      <c r="E1340" s="593"/>
      <c r="F1340" s="593"/>
      <c r="G1340" s="593"/>
      <c r="H1340" s="593"/>
      <c r="I1340" s="593"/>
      <c r="J1340" s="593"/>
      <c r="K1340" s="593"/>
      <c r="L1340" s="593"/>
      <c r="M1340" s="593"/>
      <c r="N1340" s="593"/>
      <c r="O1340" s="593"/>
      <c r="P1340" s="593"/>
      <c r="Q1340" s="593"/>
      <c r="R1340" s="593"/>
      <c r="S1340" s="593"/>
      <c r="T1340" s="594"/>
    </row>
    <row r="1341" spans="4:20">
      <c r="D1341" s="595"/>
      <c r="E1341" s="596"/>
      <c r="F1341" s="596"/>
      <c r="G1341" s="596"/>
      <c r="H1341" s="596"/>
      <c r="I1341" s="596"/>
      <c r="J1341" s="596"/>
      <c r="K1341" s="596"/>
      <c r="L1341" s="596"/>
      <c r="M1341" s="596"/>
      <c r="N1341" s="596"/>
      <c r="O1341" s="596"/>
      <c r="P1341" s="596"/>
      <c r="Q1341" s="596"/>
      <c r="R1341" s="596"/>
      <c r="S1341" s="596"/>
      <c r="T1341" s="597"/>
    </row>
    <row r="1342" spans="4:20">
      <c r="D1342" s="598" t="s">
        <v>371</v>
      </c>
      <c r="E1342" s="599"/>
      <c r="F1342" s="599"/>
      <c r="G1342" s="599"/>
      <c r="H1342" s="599"/>
      <c r="I1342" s="599"/>
      <c r="J1342" s="599"/>
      <c r="K1342" s="599"/>
      <c r="L1342" s="599"/>
      <c r="M1342" s="599"/>
      <c r="N1342" s="599"/>
      <c r="O1342" s="599"/>
      <c r="P1342" s="599"/>
      <c r="Q1342" s="599"/>
      <c r="R1342" s="599"/>
      <c r="S1342" s="599"/>
      <c r="T1342" s="600"/>
    </row>
    <row r="1343" spans="4:20">
      <c r="D1343" s="586" t="s">
        <v>372</v>
      </c>
      <c r="E1343" s="587"/>
      <c r="F1343" s="601" t="s">
        <v>373</v>
      </c>
      <c r="G1343" s="601"/>
      <c r="H1343" s="601"/>
      <c r="I1343" s="601"/>
      <c r="J1343" s="601"/>
      <c r="K1343" s="601"/>
      <c r="L1343" s="601"/>
      <c r="M1343" s="601"/>
      <c r="N1343" s="601"/>
      <c r="O1343" s="601"/>
      <c r="P1343" s="601"/>
      <c r="Q1343" s="601"/>
      <c r="R1343" s="601"/>
      <c r="S1343" s="601"/>
      <c r="T1343" s="602"/>
    </row>
    <row r="1344" spans="4:20">
      <c r="D1344" s="586" t="s">
        <v>374</v>
      </c>
      <c r="E1344" s="587"/>
      <c r="F1344" s="603" t="s">
        <v>375</v>
      </c>
      <c r="G1344" s="604"/>
      <c r="H1344" s="604"/>
      <c r="I1344" s="604"/>
      <c r="J1344" s="604"/>
      <c r="K1344" s="604"/>
      <c r="L1344" s="604"/>
      <c r="M1344" s="604"/>
      <c r="N1344" s="604"/>
      <c r="O1344" s="604"/>
      <c r="P1344" s="604"/>
      <c r="Q1344" s="604"/>
      <c r="R1344" s="604"/>
      <c r="S1344" s="604"/>
      <c r="T1344" s="605"/>
    </row>
    <row r="1345" spans="1:26">
      <c r="D1345" s="586" t="s">
        <v>376</v>
      </c>
      <c r="E1345" s="587"/>
      <c r="F1345" s="390">
        <f>+[42]DATOS!F$5</f>
        <v>46143</v>
      </c>
      <c r="G1345" s="391"/>
      <c r="H1345" s="391"/>
      <c r="I1345" s="391"/>
      <c r="J1345" s="391"/>
      <c r="K1345" s="391"/>
      <c r="L1345" s="568" t="s">
        <v>377</v>
      </c>
      <c r="M1345" s="568"/>
      <c r="N1345" s="588" t="s">
        <v>378</v>
      </c>
      <c r="O1345" s="588"/>
      <c r="P1345" s="588"/>
      <c r="Q1345" s="588"/>
      <c r="R1345" s="588"/>
      <c r="S1345" s="588"/>
      <c r="T1345" s="589"/>
    </row>
    <row r="1346" spans="1:26" ht="25.5">
      <c r="D1346" s="586" t="s">
        <v>379</v>
      </c>
      <c r="E1346" s="587"/>
      <c r="F1346" s="590" t="s">
        <v>380</v>
      </c>
      <c r="G1346" s="591"/>
      <c r="H1346" s="392">
        <f>+[42]DATOS!E$5</f>
        <v>2026</v>
      </c>
      <c r="I1346" s="393" t="s">
        <v>381</v>
      </c>
      <c r="J1346" s="394">
        <f>+[42]DATOS!E$5</f>
        <v>2026</v>
      </c>
      <c r="K1346" s="395"/>
      <c r="L1346" s="568" t="s">
        <v>382</v>
      </c>
      <c r="M1346" s="568"/>
      <c r="N1346" s="588" t="s">
        <v>383</v>
      </c>
      <c r="O1346" s="588"/>
      <c r="P1346" s="588"/>
      <c r="Q1346" s="588"/>
      <c r="R1346" s="588"/>
      <c r="S1346" s="588"/>
      <c r="T1346" s="589"/>
    </row>
    <row r="1347" spans="1:26">
      <c r="D1347" s="396"/>
      <c r="E1347" s="397"/>
      <c r="F1347" s="397"/>
      <c r="G1347" s="398"/>
      <c r="H1347" s="398"/>
      <c r="I1347" s="398"/>
      <c r="J1347" s="398"/>
      <c r="K1347" s="398"/>
      <c r="L1347" s="398"/>
      <c r="M1347" s="398"/>
      <c r="N1347" s="398"/>
      <c r="O1347" s="398"/>
      <c r="P1347" s="398"/>
      <c r="Q1347" s="398"/>
      <c r="R1347" s="398"/>
      <c r="S1347" s="398"/>
      <c r="T1347" s="399"/>
    </row>
    <row r="1348" spans="1:26">
      <c r="D1348" s="572" t="s">
        <v>384</v>
      </c>
      <c r="E1348" s="573"/>
      <c r="F1348" s="573"/>
      <c r="G1348" s="573"/>
      <c r="H1348" s="573"/>
      <c r="I1348" s="573"/>
      <c r="J1348" s="573"/>
      <c r="K1348" s="573"/>
      <c r="L1348" s="573"/>
      <c r="M1348" s="573"/>
      <c r="N1348" s="573"/>
      <c r="O1348" s="573"/>
      <c r="P1348" s="573"/>
      <c r="Q1348" s="573"/>
      <c r="R1348" s="573"/>
      <c r="S1348" s="573"/>
      <c r="T1348" s="574"/>
    </row>
    <row r="1349" spans="1:26">
      <c r="D1349" s="396"/>
      <c r="E1349" s="397"/>
      <c r="F1349" s="397"/>
      <c r="G1349" s="398"/>
      <c r="H1349" s="398"/>
      <c r="I1349" s="398"/>
      <c r="J1349" s="398"/>
      <c r="K1349" s="398"/>
      <c r="L1349" s="398"/>
      <c r="M1349" s="398"/>
      <c r="N1349" s="398"/>
      <c r="O1349" s="398"/>
      <c r="P1349" s="398"/>
      <c r="Q1349" s="398"/>
      <c r="R1349" s="398"/>
      <c r="S1349" s="398"/>
      <c r="T1349" s="399"/>
    </row>
    <row r="1350" spans="1:26">
      <c r="D1350" s="400" t="s">
        <v>385</v>
      </c>
      <c r="E1350" s="575" t="s">
        <v>386</v>
      </c>
      <c r="F1350" s="575"/>
      <c r="G1350" s="576" t="s">
        <v>387</v>
      </c>
      <c r="H1350" s="577"/>
      <c r="I1350" s="577"/>
      <c r="J1350" s="576" t="s">
        <v>388</v>
      </c>
      <c r="K1350" s="576" t="s">
        <v>389</v>
      </c>
      <c r="L1350" s="579"/>
      <c r="M1350" s="581" t="s">
        <v>390</v>
      </c>
      <c r="N1350" s="581"/>
      <c r="O1350" s="581"/>
      <c r="P1350" s="581"/>
      <c r="Q1350" s="581"/>
      <c r="R1350" s="581"/>
      <c r="S1350" s="581" t="s">
        <v>391</v>
      </c>
      <c r="T1350" s="582"/>
    </row>
    <row r="1351" spans="1:26" ht="38.25">
      <c r="D1351" s="403">
        <f>+'PRESUPUESTO OFICIAL '!C55</f>
        <v>4.0599999999999996</v>
      </c>
      <c r="E1351" s="583" t="str">
        <f>+VLOOKUP(D1351,'PRESUPUESTO OFICIAL '!$C$11:$H$103,2)</f>
        <v>SUMINISTRO E INSTALACIÓN DE SIFÓN SANITARIO DE 3" PVC</v>
      </c>
      <c r="F1351" s="584"/>
      <c r="G1351" s="585" t="str">
        <f>+VLOOKUP(D1351,'PRESUPUESTO OFICIAL '!$C$11:$H$103,3)</f>
        <v>UND</v>
      </c>
      <c r="H1351" s="585"/>
      <c r="I1351" s="585"/>
      <c r="J1351" s="578"/>
      <c r="K1351" s="578"/>
      <c r="L1351" s="580"/>
      <c r="M1351" s="401" t="s">
        <v>392</v>
      </c>
      <c r="N1351" s="401" t="s">
        <v>393</v>
      </c>
      <c r="O1351" s="401" t="s">
        <v>394</v>
      </c>
      <c r="P1351" s="401" t="s">
        <v>395</v>
      </c>
      <c r="Q1351" s="401" t="s">
        <v>396</v>
      </c>
      <c r="R1351" s="401" t="s">
        <v>397</v>
      </c>
      <c r="S1351" s="401" t="s">
        <v>398</v>
      </c>
      <c r="T1351" s="402" t="s">
        <v>399</v>
      </c>
      <c r="V1351" s="404">
        <f>+D1351</f>
        <v>4.0599999999999996</v>
      </c>
      <c r="W1351" s="405">
        <f>+T1399</f>
        <v>7</v>
      </c>
    </row>
    <row r="1352" spans="1:26">
      <c r="D1352" s="406"/>
      <c r="E1352" s="407"/>
      <c r="F1352" s="407"/>
      <c r="G1352" s="407"/>
      <c r="H1352" s="407"/>
      <c r="I1352" s="407"/>
      <c r="J1352" s="558"/>
      <c r="K1352" s="559"/>
      <c r="L1352" s="560"/>
      <c r="M1352" s="560"/>
      <c r="N1352" s="560"/>
      <c r="O1352" s="560"/>
      <c r="P1352" s="560"/>
      <c r="Q1352" s="560"/>
      <c r="R1352" s="560"/>
      <c r="S1352" s="560"/>
      <c r="T1352" s="561"/>
    </row>
    <row r="1353" spans="1:26" ht="25.5">
      <c r="A1353" s="453">
        <f>+D1351</f>
        <v>4.0599999999999996</v>
      </c>
      <c r="B1353" s="383">
        <v>1</v>
      </c>
      <c r="D1353" s="406"/>
      <c r="E1353" s="407"/>
      <c r="F1353" s="407"/>
      <c r="G1353" s="407"/>
      <c r="H1353" s="407"/>
      <c r="I1353" s="407"/>
      <c r="J1353" s="408" t="s">
        <v>400</v>
      </c>
      <c r="K1353" s="409" t="str">
        <f t="shared" ref="K1353:K1395" si="216">+VLOOKUP(L1353,$AH$22:$AJ$58,2,)</f>
        <v>UND= Cant de elementos</v>
      </c>
      <c r="L1353" s="410" t="str">
        <f>+G1351</f>
        <v>UND</v>
      </c>
      <c r="M1353" s="411"/>
      <c r="N1353" s="412"/>
      <c r="O1353" s="442"/>
      <c r="P1353" s="442"/>
      <c r="Q1353" s="413"/>
      <c r="R1353" s="411"/>
      <c r="S1353" s="413">
        <f>+T1353</f>
        <v>0</v>
      </c>
      <c r="T1353" s="414">
        <f>+HLOOKUP(B1353,[238]Hoja1!$2:$78,44,FALSE)</f>
        <v>0</v>
      </c>
      <c r="Y1353" s="439">
        <f t="shared" ref="Y1353" si="217">+O1353*P1353*Q1353</f>
        <v>0</v>
      </c>
      <c r="Z1353" s="439">
        <f t="shared" ref="Z1353" si="218">+Y1353-R1353</f>
        <v>0</v>
      </c>
    </row>
    <row r="1354" spans="1:26" ht="25.5">
      <c r="A1354" s="453">
        <f>+A1353</f>
        <v>4.0599999999999996</v>
      </c>
      <c r="B1354" s="383">
        <v>2</v>
      </c>
      <c r="D1354" s="406"/>
      <c r="E1354" s="407"/>
      <c r="F1354" s="407"/>
      <c r="G1354" s="407"/>
      <c r="H1354" s="407"/>
      <c r="I1354" s="407"/>
      <c r="J1354" s="408" t="s">
        <v>401</v>
      </c>
      <c r="K1354" s="409" t="str">
        <f t="shared" si="216"/>
        <v>UND= Cant de elementos</v>
      </c>
      <c r="L1354" s="410" t="str">
        <f>+L1353</f>
        <v>UND</v>
      </c>
      <c r="M1354" s="411"/>
      <c r="N1354" s="412"/>
      <c r="O1354" s="442"/>
      <c r="P1354" s="442"/>
      <c r="Q1354" s="413"/>
      <c r="R1354" s="411"/>
      <c r="S1354" s="413">
        <f t="shared" ref="S1354:S1395" si="219">+T1354</f>
        <v>0</v>
      </c>
      <c r="T1354" s="414">
        <f>+HLOOKUP(B1354,[238]Hoja1!$2:$78,44,FALSE)</f>
        <v>0</v>
      </c>
      <c r="Y1354" s="439">
        <f>+M1354*Q1354</f>
        <v>0</v>
      </c>
      <c r="Z1354" s="439">
        <f>+Y1354-R1354</f>
        <v>0</v>
      </c>
    </row>
    <row r="1355" spans="1:26" ht="25.5">
      <c r="A1355" s="453">
        <f t="shared" ref="A1355:A1395" si="220">+A1354</f>
        <v>4.0599999999999996</v>
      </c>
      <c r="B1355" s="383">
        <v>3</v>
      </c>
      <c r="D1355" s="406"/>
      <c r="E1355" s="407"/>
      <c r="F1355" s="407"/>
      <c r="G1355" s="407"/>
      <c r="H1355" s="407"/>
      <c r="I1355" s="407"/>
      <c r="J1355" s="408" t="s">
        <v>402</v>
      </c>
      <c r="K1355" s="409" t="str">
        <f t="shared" si="216"/>
        <v>UND= Cant de elementos</v>
      </c>
      <c r="L1355" s="410" t="str">
        <f>+L1354</f>
        <v>UND</v>
      </c>
      <c r="M1355" s="411"/>
      <c r="N1355" s="412"/>
      <c r="O1355" s="442"/>
      <c r="P1355" s="442"/>
      <c r="Q1355" s="413"/>
      <c r="R1355" s="411"/>
      <c r="S1355" s="413">
        <f t="shared" si="219"/>
        <v>0</v>
      </c>
      <c r="T1355" s="414">
        <f>+HLOOKUP(B1355,[238]Hoja1!$2:$78,44,FALSE)</f>
        <v>0</v>
      </c>
      <c r="Y1355" s="439">
        <f t="shared" ref="Y1355:Y1357" si="221">+M1355*Q1355</f>
        <v>0</v>
      </c>
      <c r="Z1355" s="439">
        <f t="shared" ref="Z1355:Z1357" si="222">+Y1355-R1355</f>
        <v>0</v>
      </c>
    </row>
    <row r="1356" spans="1:26" ht="25.5">
      <c r="A1356" s="453">
        <f t="shared" si="220"/>
        <v>4.0599999999999996</v>
      </c>
      <c r="B1356" s="383">
        <v>4</v>
      </c>
      <c r="D1356" s="406"/>
      <c r="E1356" s="407"/>
      <c r="F1356" s="407"/>
      <c r="G1356" s="407"/>
      <c r="H1356" s="407"/>
      <c r="I1356" s="407"/>
      <c r="J1356" s="408" t="s">
        <v>403</v>
      </c>
      <c r="K1356" s="409" t="str">
        <f t="shared" si="216"/>
        <v>UND= Cant de elementos</v>
      </c>
      <c r="L1356" s="410" t="str">
        <f>+L1355</f>
        <v>UND</v>
      </c>
      <c r="M1356" s="411"/>
      <c r="N1356" s="412"/>
      <c r="O1356" s="442"/>
      <c r="P1356" s="442"/>
      <c r="Q1356" s="413"/>
      <c r="R1356" s="411"/>
      <c r="S1356" s="413">
        <f t="shared" si="219"/>
        <v>0</v>
      </c>
      <c r="T1356" s="414">
        <f>+HLOOKUP(B1356,[238]Hoja1!$2:$78,44,FALSE)</f>
        <v>0</v>
      </c>
      <c r="Y1356" s="439">
        <f t="shared" si="221"/>
        <v>0</v>
      </c>
      <c r="Z1356" s="439">
        <f t="shared" si="222"/>
        <v>0</v>
      </c>
    </row>
    <row r="1357" spans="1:26" ht="25.5">
      <c r="A1357" s="453">
        <f t="shared" si="220"/>
        <v>4.0599999999999996</v>
      </c>
      <c r="B1357" s="383">
        <v>5</v>
      </c>
      <c r="D1357" s="406"/>
      <c r="E1357" s="407"/>
      <c r="F1357" s="407"/>
      <c r="G1357" s="407"/>
      <c r="H1357" s="407"/>
      <c r="I1357" s="407"/>
      <c r="J1357" s="408" t="s">
        <v>405</v>
      </c>
      <c r="K1357" s="409" t="str">
        <f t="shared" si="216"/>
        <v>UND= Cant de elementos</v>
      </c>
      <c r="L1357" s="410" t="str">
        <f>+L1356</f>
        <v>UND</v>
      </c>
      <c r="M1357" s="411"/>
      <c r="N1357" s="412"/>
      <c r="O1357" s="442"/>
      <c r="P1357" s="442"/>
      <c r="Q1357" s="413"/>
      <c r="R1357" s="411"/>
      <c r="S1357" s="413">
        <f t="shared" si="219"/>
        <v>0</v>
      </c>
      <c r="T1357" s="414">
        <f>+HLOOKUP(B1357,[238]Hoja1!$2:$78,44,FALSE)</f>
        <v>0</v>
      </c>
      <c r="Y1357" s="439">
        <f t="shared" si="221"/>
        <v>0</v>
      </c>
      <c r="Z1357" s="439">
        <f t="shared" si="222"/>
        <v>0</v>
      </c>
    </row>
    <row r="1358" spans="1:26" ht="25.5">
      <c r="A1358" s="453">
        <f t="shared" si="220"/>
        <v>4.0599999999999996</v>
      </c>
      <c r="B1358" s="383">
        <v>6</v>
      </c>
      <c r="D1358" s="406"/>
      <c r="E1358" s="407"/>
      <c r="F1358" s="407"/>
      <c r="G1358" s="407"/>
      <c r="H1358" s="407"/>
      <c r="I1358" s="407"/>
      <c r="J1358" s="408" t="s">
        <v>407</v>
      </c>
      <c r="K1358" s="409" t="str">
        <f t="shared" si="216"/>
        <v>UND= Cant de elementos</v>
      </c>
      <c r="L1358" s="410" t="str">
        <f>+L1357</f>
        <v>UND</v>
      </c>
      <c r="M1358" s="411"/>
      <c r="N1358" s="412"/>
      <c r="O1358" s="442"/>
      <c r="P1358" s="442"/>
      <c r="Q1358" s="413"/>
      <c r="R1358" s="411"/>
      <c r="S1358" s="413">
        <f t="shared" si="219"/>
        <v>1</v>
      </c>
      <c r="T1358" s="414">
        <f>+HLOOKUP(B1358,[238]Hoja1!$2:$78,44,FALSE)</f>
        <v>1</v>
      </c>
      <c r="Y1358" s="439">
        <f>+M1358*Q1358</f>
        <v>0</v>
      </c>
      <c r="Z1358" s="439">
        <f>+Y1358-R1358</f>
        <v>0</v>
      </c>
    </row>
    <row r="1359" spans="1:26" ht="25.5">
      <c r="A1359" s="453">
        <f t="shared" si="220"/>
        <v>4.0599999999999996</v>
      </c>
      <c r="B1359" s="383">
        <v>7</v>
      </c>
      <c r="D1359" s="406"/>
      <c r="E1359" s="407"/>
      <c r="F1359" s="407"/>
      <c r="G1359" s="407"/>
      <c r="H1359" s="407"/>
      <c r="I1359" s="407"/>
      <c r="J1359" s="408" t="s">
        <v>409</v>
      </c>
      <c r="K1359" s="409" t="str">
        <f t="shared" si="216"/>
        <v>UND= Cant de elementos</v>
      </c>
      <c r="L1359" s="410" t="str">
        <f>+L1353</f>
        <v>UND</v>
      </c>
      <c r="M1359" s="411"/>
      <c r="N1359" s="412"/>
      <c r="O1359" s="442"/>
      <c r="P1359" s="442"/>
      <c r="Q1359" s="413"/>
      <c r="R1359" s="411"/>
      <c r="S1359" s="413">
        <f t="shared" si="219"/>
        <v>0</v>
      </c>
      <c r="T1359" s="414">
        <f>+HLOOKUP(B1359,[238]Hoja1!$2:$78,44,FALSE)</f>
        <v>0</v>
      </c>
      <c r="Y1359" s="439">
        <f t="shared" ref="Y1359:Y1395" si="223">+M1359*Q1359</f>
        <v>0</v>
      </c>
      <c r="Z1359" s="439">
        <f t="shared" ref="Z1359:Z1395" si="224">+Y1359-R1359</f>
        <v>0</v>
      </c>
    </row>
    <row r="1360" spans="1:26" ht="25.5">
      <c r="A1360" s="453">
        <f t="shared" si="220"/>
        <v>4.0599999999999996</v>
      </c>
      <c r="B1360" s="383">
        <v>8</v>
      </c>
      <c r="D1360" s="406"/>
      <c r="E1360" s="407"/>
      <c r="F1360" s="407"/>
      <c r="G1360" s="407"/>
      <c r="H1360" s="407"/>
      <c r="I1360" s="407"/>
      <c r="J1360" s="408" t="s">
        <v>411</v>
      </c>
      <c r="K1360" s="409" t="str">
        <f t="shared" si="216"/>
        <v>UND= Cant de elementos</v>
      </c>
      <c r="L1360" s="410" t="str">
        <f>+L1359</f>
        <v>UND</v>
      </c>
      <c r="M1360" s="411"/>
      <c r="N1360" s="412"/>
      <c r="O1360" s="442"/>
      <c r="P1360" s="442"/>
      <c r="Q1360" s="413"/>
      <c r="R1360" s="411"/>
      <c r="S1360" s="413">
        <f t="shared" si="219"/>
        <v>0</v>
      </c>
      <c r="T1360" s="414">
        <f>+HLOOKUP(B1360,[238]Hoja1!$2:$78,44,FALSE)</f>
        <v>0</v>
      </c>
      <c r="Y1360" s="439">
        <f t="shared" si="223"/>
        <v>0</v>
      </c>
      <c r="Z1360" s="439">
        <f t="shared" si="224"/>
        <v>0</v>
      </c>
    </row>
    <row r="1361" spans="1:26" ht="25.5">
      <c r="A1361" s="453">
        <f t="shared" si="220"/>
        <v>4.0599999999999996</v>
      </c>
      <c r="B1361" s="383">
        <v>9</v>
      </c>
      <c r="D1361" s="406"/>
      <c r="E1361" s="407"/>
      <c r="F1361" s="407"/>
      <c r="G1361" s="407"/>
      <c r="H1361" s="407"/>
      <c r="I1361" s="407"/>
      <c r="J1361" s="408" t="s">
        <v>412</v>
      </c>
      <c r="K1361" s="409" t="str">
        <f t="shared" si="216"/>
        <v>UND= Cant de elementos</v>
      </c>
      <c r="L1361" s="410" t="str">
        <f>+L1360</f>
        <v>UND</v>
      </c>
      <c r="M1361" s="411"/>
      <c r="N1361" s="412"/>
      <c r="O1361" s="442"/>
      <c r="P1361" s="442"/>
      <c r="Q1361" s="413"/>
      <c r="R1361" s="411"/>
      <c r="S1361" s="413">
        <f t="shared" si="219"/>
        <v>0</v>
      </c>
      <c r="T1361" s="414">
        <f>+HLOOKUP(B1361,[238]Hoja1!$2:$78,44,FALSE)</f>
        <v>0</v>
      </c>
      <c r="Y1361" s="439">
        <f t="shared" si="223"/>
        <v>0</v>
      </c>
      <c r="Z1361" s="439">
        <f t="shared" si="224"/>
        <v>0</v>
      </c>
    </row>
    <row r="1362" spans="1:26" ht="25.5">
      <c r="A1362" s="453">
        <f t="shared" si="220"/>
        <v>4.0599999999999996</v>
      </c>
      <c r="B1362" s="383">
        <v>10</v>
      </c>
      <c r="D1362" s="406"/>
      <c r="E1362" s="407"/>
      <c r="F1362" s="407"/>
      <c r="G1362" s="407"/>
      <c r="H1362" s="407"/>
      <c r="I1362" s="407"/>
      <c r="J1362" s="408" t="s">
        <v>413</v>
      </c>
      <c r="K1362" s="409" t="str">
        <f t="shared" si="216"/>
        <v>UND= Cant de elementos</v>
      </c>
      <c r="L1362" s="410" t="str">
        <f>+L1361</f>
        <v>UND</v>
      </c>
      <c r="M1362" s="411"/>
      <c r="N1362" s="412"/>
      <c r="O1362" s="441"/>
      <c r="P1362" s="442"/>
      <c r="Q1362" s="413"/>
      <c r="R1362" s="411"/>
      <c r="S1362" s="413">
        <f t="shared" si="219"/>
        <v>0</v>
      </c>
      <c r="T1362" s="414">
        <f>+HLOOKUP(B1362,[238]Hoja1!$2:$78,44,FALSE)</f>
        <v>0</v>
      </c>
      <c r="Y1362" s="439">
        <f t="shared" si="223"/>
        <v>0</v>
      </c>
      <c r="Z1362" s="439">
        <f t="shared" si="224"/>
        <v>0</v>
      </c>
    </row>
    <row r="1363" spans="1:26" ht="25.5">
      <c r="A1363" s="453">
        <f t="shared" si="220"/>
        <v>4.0599999999999996</v>
      </c>
      <c r="B1363" s="383">
        <v>11</v>
      </c>
      <c r="D1363" s="406"/>
      <c r="E1363" s="407"/>
      <c r="F1363" s="407"/>
      <c r="G1363" s="407"/>
      <c r="H1363" s="407"/>
      <c r="I1363" s="407"/>
      <c r="J1363" s="408" t="s">
        <v>414</v>
      </c>
      <c r="K1363" s="409" t="str">
        <f t="shared" si="216"/>
        <v>UND= Cant de elementos</v>
      </c>
      <c r="L1363" s="410" t="str">
        <f>+L1362</f>
        <v>UND</v>
      </c>
      <c r="M1363" s="411"/>
      <c r="N1363" s="412"/>
      <c r="O1363" s="443"/>
      <c r="P1363" s="442"/>
      <c r="Q1363" s="413"/>
      <c r="R1363" s="411"/>
      <c r="S1363" s="413">
        <f t="shared" si="219"/>
        <v>0</v>
      </c>
      <c r="T1363" s="414">
        <f>+HLOOKUP(B1363,[238]Hoja1!$2:$78,44,FALSE)</f>
        <v>0</v>
      </c>
      <c r="Y1363" s="439">
        <f t="shared" si="223"/>
        <v>0</v>
      </c>
      <c r="Z1363" s="439">
        <f t="shared" si="224"/>
        <v>0</v>
      </c>
    </row>
    <row r="1364" spans="1:26" ht="25.5">
      <c r="A1364" s="453">
        <f t="shared" si="220"/>
        <v>4.0599999999999996</v>
      </c>
      <c r="B1364" s="383">
        <v>12</v>
      </c>
      <c r="D1364" s="406"/>
      <c r="E1364" s="407"/>
      <c r="F1364" s="407"/>
      <c r="G1364" s="407"/>
      <c r="H1364" s="407"/>
      <c r="I1364" s="407"/>
      <c r="J1364" s="408" t="s">
        <v>415</v>
      </c>
      <c r="K1364" s="409" t="str">
        <f t="shared" si="216"/>
        <v>UND= Cant de elementos</v>
      </c>
      <c r="L1364" s="410" t="str">
        <f>+L1358</f>
        <v>UND</v>
      </c>
      <c r="M1364" s="411"/>
      <c r="N1364" s="412"/>
      <c r="O1364" s="442"/>
      <c r="P1364" s="442"/>
      <c r="Q1364" s="413"/>
      <c r="R1364" s="411"/>
      <c r="S1364" s="413">
        <f t="shared" si="219"/>
        <v>0</v>
      </c>
      <c r="T1364" s="414">
        <f>+HLOOKUP(B1364,[238]Hoja1!$2:$78,44,FALSE)</f>
        <v>0</v>
      </c>
      <c r="Y1364" s="439">
        <f t="shared" si="223"/>
        <v>0</v>
      </c>
      <c r="Z1364" s="439">
        <f t="shared" si="224"/>
        <v>0</v>
      </c>
    </row>
    <row r="1365" spans="1:26" ht="25.5">
      <c r="A1365" s="453">
        <f t="shared" si="220"/>
        <v>4.0599999999999996</v>
      </c>
      <c r="B1365" s="383">
        <v>13</v>
      </c>
      <c r="D1365" s="406"/>
      <c r="E1365" s="407"/>
      <c r="F1365" s="407"/>
      <c r="G1365" s="407"/>
      <c r="H1365" s="407"/>
      <c r="I1365" s="407"/>
      <c r="J1365" s="408" t="s">
        <v>416</v>
      </c>
      <c r="K1365" s="409" t="str">
        <f t="shared" si="216"/>
        <v>UND= Cant de elementos</v>
      </c>
      <c r="L1365" s="410" t="str">
        <f>+L1360</f>
        <v>UND</v>
      </c>
      <c r="M1365" s="411"/>
      <c r="N1365" s="412"/>
      <c r="O1365" s="442"/>
      <c r="P1365" s="442"/>
      <c r="Q1365" s="413"/>
      <c r="R1365" s="411"/>
      <c r="S1365" s="413">
        <f t="shared" si="219"/>
        <v>0</v>
      </c>
      <c r="T1365" s="414">
        <f>+HLOOKUP(B1365,[238]Hoja1!$2:$78,44,FALSE)</f>
        <v>0</v>
      </c>
      <c r="Y1365" s="439">
        <f t="shared" si="223"/>
        <v>0</v>
      </c>
      <c r="Z1365" s="439">
        <f t="shared" si="224"/>
        <v>0</v>
      </c>
    </row>
    <row r="1366" spans="1:26" ht="25.5">
      <c r="A1366" s="453">
        <f t="shared" si="220"/>
        <v>4.0599999999999996</v>
      </c>
      <c r="B1366" s="383">
        <v>14</v>
      </c>
      <c r="D1366" s="406"/>
      <c r="E1366" s="407"/>
      <c r="F1366" s="407"/>
      <c r="G1366" s="407"/>
      <c r="H1366" s="407"/>
      <c r="I1366" s="407"/>
      <c r="J1366" s="408" t="s">
        <v>417</v>
      </c>
      <c r="K1366" s="409" t="str">
        <f t="shared" si="216"/>
        <v>UND= Cant de elementos</v>
      </c>
      <c r="L1366" s="410" t="str">
        <f t="shared" ref="L1366:L1377" si="225">+L1365</f>
        <v>UND</v>
      </c>
      <c r="M1366" s="411"/>
      <c r="N1366" s="412"/>
      <c r="O1366" s="442"/>
      <c r="P1366" s="442"/>
      <c r="Q1366" s="413"/>
      <c r="R1366" s="411"/>
      <c r="S1366" s="413">
        <f t="shared" si="219"/>
        <v>0</v>
      </c>
      <c r="T1366" s="414">
        <f>+HLOOKUP(B1366,[238]Hoja1!$2:$78,44,FALSE)</f>
        <v>0</v>
      </c>
      <c r="Y1366" s="439">
        <f t="shared" si="223"/>
        <v>0</v>
      </c>
      <c r="Z1366" s="439">
        <f t="shared" si="224"/>
        <v>0</v>
      </c>
    </row>
    <row r="1367" spans="1:26" ht="25.5">
      <c r="A1367" s="453">
        <f t="shared" si="220"/>
        <v>4.0599999999999996</v>
      </c>
      <c r="B1367" s="383">
        <v>15</v>
      </c>
      <c r="D1367" s="406"/>
      <c r="E1367" s="407"/>
      <c r="F1367" s="407"/>
      <c r="G1367" s="407"/>
      <c r="H1367" s="407"/>
      <c r="I1367" s="407"/>
      <c r="J1367" s="408" t="s">
        <v>418</v>
      </c>
      <c r="K1367" s="409" t="str">
        <f t="shared" si="216"/>
        <v>UND= Cant de elementos</v>
      </c>
      <c r="L1367" s="410" t="str">
        <f t="shared" si="225"/>
        <v>UND</v>
      </c>
      <c r="M1367" s="411"/>
      <c r="N1367" s="412"/>
      <c r="O1367" s="442"/>
      <c r="P1367" s="442"/>
      <c r="Q1367" s="413"/>
      <c r="R1367" s="411"/>
      <c r="S1367" s="413">
        <f t="shared" si="219"/>
        <v>0</v>
      </c>
      <c r="T1367" s="414">
        <f>+HLOOKUP(B1367,[238]Hoja1!$2:$78,44,FALSE)</f>
        <v>0</v>
      </c>
      <c r="Y1367" s="439">
        <f t="shared" si="223"/>
        <v>0</v>
      </c>
      <c r="Z1367" s="439">
        <f t="shared" si="224"/>
        <v>0</v>
      </c>
    </row>
    <row r="1368" spans="1:26" ht="25.5">
      <c r="A1368" s="453">
        <f t="shared" si="220"/>
        <v>4.0599999999999996</v>
      </c>
      <c r="B1368" s="383">
        <v>16</v>
      </c>
      <c r="D1368" s="406"/>
      <c r="E1368" s="407"/>
      <c r="F1368" s="407"/>
      <c r="G1368" s="407"/>
      <c r="H1368" s="407"/>
      <c r="I1368" s="407"/>
      <c r="J1368" s="408" t="s">
        <v>419</v>
      </c>
      <c r="K1368" s="409" t="str">
        <f t="shared" si="216"/>
        <v>UND= Cant de elementos</v>
      </c>
      <c r="L1368" s="410" t="str">
        <f t="shared" si="225"/>
        <v>UND</v>
      </c>
      <c r="M1368" s="411"/>
      <c r="N1368" s="412"/>
      <c r="O1368" s="442"/>
      <c r="P1368" s="442"/>
      <c r="Q1368" s="413"/>
      <c r="R1368" s="411"/>
      <c r="S1368" s="413">
        <f t="shared" si="219"/>
        <v>0</v>
      </c>
      <c r="T1368" s="414">
        <f>+HLOOKUP(B1368,[238]Hoja1!$2:$78,44,FALSE)</f>
        <v>0</v>
      </c>
      <c r="Y1368" s="439">
        <f t="shared" si="223"/>
        <v>0</v>
      </c>
      <c r="Z1368" s="439">
        <f t="shared" si="224"/>
        <v>0</v>
      </c>
    </row>
    <row r="1369" spans="1:26" ht="25.5">
      <c r="A1369" s="453">
        <f t="shared" si="220"/>
        <v>4.0599999999999996</v>
      </c>
      <c r="B1369" s="383">
        <v>17</v>
      </c>
      <c r="D1369" s="406"/>
      <c r="E1369" s="407"/>
      <c r="F1369" s="407"/>
      <c r="G1369" s="407"/>
      <c r="H1369" s="407"/>
      <c r="I1369" s="407"/>
      <c r="J1369" s="408" t="s">
        <v>420</v>
      </c>
      <c r="K1369" s="409" t="str">
        <f t="shared" si="216"/>
        <v>UND= Cant de elementos</v>
      </c>
      <c r="L1369" s="410" t="str">
        <f t="shared" si="225"/>
        <v>UND</v>
      </c>
      <c r="M1369" s="411"/>
      <c r="N1369" s="412"/>
      <c r="O1369" s="442"/>
      <c r="P1369" s="442"/>
      <c r="Q1369" s="413"/>
      <c r="R1369" s="411"/>
      <c r="S1369" s="413">
        <f t="shared" si="219"/>
        <v>0</v>
      </c>
      <c r="T1369" s="414">
        <f>+HLOOKUP(B1369,[238]Hoja1!$2:$78,44,FALSE)</f>
        <v>0</v>
      </c>
      <c r="W1369" s="383">
        <f>+Q1369*P1369*O1369</f>
        <v>0</v>
      </c>
      <c r="Y1369" s="439">
        <f t="shared" si="223"/>
        <v>0</v>
      </c>
      <c r="Z1369" s="439">
        <f t="shared" si="224"/>
        <v>0</v>
      </c>
    </row>
    <row r="1370" spans="1:26" ht="25.5">
      <c r="A1370" s="453">
        <f t="shared" si="220"/>
        <v>4.0599999999999996</v>
      </c>
      <c r="B1370" s="383">
        <v>18</v>
      </c>
      <c r="D1370" s="406"/>
      <c r="E1370" s="407"/>
      <c r="F1370" s="407"/>
      <c r="G1370" s="407"/>
      <c r="H1370" s="407"/>
      <c r="I1370" s="407"/>
      <c r="J1370" s="408" t="s">
        <v>429</v>
      </c>
      <c r="K1370" s="409" t="str">
        <f t="shared" si="216"/>
        <v>UND= Cant de elementos</v>
      </c>
      <c r="L1370" s="410" t="str">
        <f t="shared" si="225"/>
        <v>UND</v>
      </c>
      <c r="M1370" s="411"/>
      <c r="N1370" s="412"/>
      <c r="O1370" s="442"/>
      <c r="P1370" s="442"/>
      <c r="Q1370" s="413"/>
      <c r="R1370" s="411"/>
      <c r="S1370" s="413">
        <f t="shared" si="219"/>
        <v>1</v>
      </c>
      <c r="T1370" s="414">
        <f>+HLOOKUP(B1370,[238]Hoja1!$2:$78,44,FALSE)</f>
        <v>1</v>
      </c>
      <c r="Y1370" s="439">
        <f t="shared" si="223"/>
        <v>0</v>
      </c>
      <c r="Z1370" s="439">
        <f t="shared" si="224"/>
        <v>0</v>
      </c>
    </row>
    <row r="1371" spans="1:26" ht="25.5">
      <c r="A1371" s="453">
        <f t="shared" si="220"/>
        <v>4.0599999999999996</v>
      </c>
      <c r="B1371" s="383">
        <v>19</v>
      </c>
      <c r="D1371" s="406"/>
      <c r="E1371" s="407"/>
      <c r="F1371" s="407"/>
      <c r="G1371" s="407"/>
      <c r="H1371" s="407"/>
      <c r="I1371" s="407"/>
      <c r="J1371" s="408" t="s">
        <v>430</v>
      </c>
      <c r="K1371" s="409" t="str">
        <f t="shared" si="216"/>
        <v>UND= Cant de elementos</v>
      </c>
      <c r="L1371" s="410" t="str">
        <f t="shared" si="225"/>
        <v>UND</v>
      </c>
      <c r="M1371" s="411"/>
      <c r="N1371" s="412"/>
      <c r="O1371" s="442"/>
      <c r="P1371" s="442"/>
      <c r="Q1371" s="413"/>
      <c r="R1371" s="411"/>
      <c r="S1371" s="413">
        <f t="shared" si="219"/>
        <v>0</v>
      </c>
      <c r="T1371" s="414">
        <f>+HLOOKUP(B1371,[238]Hoja1!$2:$78,44,FALSE)</f>
        <v>0</v>
      </c>
      <c r="Y1371" s="439">
        <f t="shared" si="223"/>
        <v>0</v>
      </c>
      <c r="Z1371" s="439">
        <f t="shared" si="224"/>
        <v>0</v>
      </c>
    </row>
    <row r="1372" spans="1:26" ht="25.5">
      <c r="A1372" s="453">
        <f t="shared" si="220"/>
        <v>4.0599999999999996</v>
      </c>
      <c r="B1372" s="383">
        <v>20</v>
      </c>
      <c r="D1372" s="406"/>
      <c r="E1372" s="407"/>
      <c r="F1372" s="407"/>
      <c r="G1372" s="407"/>
      <c r="H1372" s="407"/>
      <c r="I1372" s="407"/>
      <c r="J1372" s="408" t="s">
        <v>431</v>
      </c>
      <c r="K1372" s="409" t="str">
        <f t="shared" si="216"/>
        <v>UND= Cant de elementos</v>
      </c>
      <c r="L1372" s="410" t="str">
        <f t="shared" si="225"/>
        <v>UND</v>
      </c>
      <c r="M1372" s="411"/>
      <c r="N1372" s="412"/>
      <c r="O1372" s="442"/>
      <c r="P1372" s="442"/>
      <c r="Q1372" s="413"/>
      <c r="R1372" s="411"/>
      <c r="S1372" s="413">
        <f t="shared" si="219"/>
        <v>0</v>
      </c>
      <c r="T1372" s="414">
        <f>+HLOOKUP(B1372,[238]Hoja1!$2:$78,44,FALSE)</f>
        <v>0</v>
      </c>
      <c r="Y1372" s="439">
        <f t="shared" si="223"/>
        <v>0</v>
      </c>
      <c r="Z1372" s="439">
        <f t="shared" si="224"/>
        <v>0</v>
      </c>
    </row>
    <row r="1373" spans="1:26" ht="25.5">
      <c r="A1373" s="453">
        <f t="shared" si="220"/>
        <v>4.0599999999999996</v>
      </c>
      <c r="B1373" s="383">
        <v>21</v>
      </c>
      <c r="D1373" s="406"/>
      <c r="E1373" s="407"/>
      <c r="F1373" s="407"/>
      <c r="G1373" s="407"/>
      <c r="H1373" s="407"/>
      <c r="I1373" s="407"/>
      <c r="J1373" s="408" t="s">
        <v>432</v>
      </c>
      <c r="K1373" s="409" t="str">
        <f t="shared" si="216"/>
        <v>UND= Cant de elementos</v>
      </c>
      <c r="L1373" s="410" t="str">
        <f t="shared" si="225"/>
        <v>UND</v>
      </c>
      <c r="M1373" s="411"/>
      <c r="N1373" s="412"/>
      <c r="O1373" s="442"/>
      <c r="P1373" s="442"/>
      <c r="Q1373" s="413"/>
      <c r="R1373" s="411"/>
      <c r="S1373" s="413">
        <f t="shared" si="219"/>
        <v>0</v>
      </c>
      <c r="T1373" s="414">
        <f>+HLOOKUP(B1373,[238]Hoja1!$2:$78,44,FALSE)</f>
        <v>0</v>
      </c>
      <c r="Y1373" s="439">
        <f t="shared" si="223"/>
        <v>0</v>
      </c>
      <c r="Z1373" s="439">
        <f t="shared" si="224"/>
        <v>0</v>
      </c>
    </row>
    <row r="1374" spans="1:26" ht="25.5">
      <c r="A1374" s="453">
        <f t="shared" si="220"/>
        <v>4.0599999999999996</v>
      </c>
      <c r="B1374" s="383">
        <v>22</v>
      </c>
      <c r="D1374" s="406"/>
      <c r="E1374" s="407"/>
      <c r="F1374" s="407"/>
      <c r="G1374" s="407"/>
      <c r="H1374" s="407"/>
      <c r="I1374" s="407"/>
      <c r="J1374" s="408" t="s">
        <v>433</v>
      </c>
      <c r="K1374" s="409" t="str">
        <f t="shared" si="216"/>
        <v>UND= Cant de elementos</v>
      </c>
      <c r="L1374" s="410" t="str">
        <f t="shared" si="225"/>
        <v>UND</v>
      </c>
      <c r="M1374" s="411"/>
      <c r="N1374" s="412"/>
      <c r="O1374" s="442"/>
      <c r="P1374" s="442"/>
      <c r="Q1374" s="413"/>
      <c r="R1374" s="411"/>
      <c r="S1374" s="413">
        <f t="shared" si="219"/>
        <v>0</v>
      </c>
      <c r="T1374" s="414">
        <f>+HLOOKUP(B1374,[238]Hoja1!$2:$78,44,FALSE)</f>
        <v>0</v>
      </c>
      <c r="Y1374" s="439">
        <f t="shared" si="223"/>
        <v>0</v>
      </c>
      <c r="Z1374" s="439">
        <f t="shared" si="224"/>
        <v>0</v>
      </c>
    </row>
    <row r="1375" spans="1:26" ht="25.5">
      <c r="A1375" s="453">
        <f t="shared" si="220"/>
        <v>4.0599999999999996</v>
      </c>
      <c r="B1375" s="383">
        <v>23</v>
      </c>
      <c r="D1375" s="406"/>
      <c r="E1375" s="407"/>
      <c r="F1375" s="407"/>
      <c r="G1375" s="407"/>
      <c r="H1375" s="407"/>
      <c r="I1375" s="407"/>
      <c r="J1375" s="408" t="s">
        <v>434</v>
      </c>
      <c r="K1375" s="409" t="str">
        <f t="shared" si="216"/>
        <v>UND= Cant de elementos</v>
      </c>
      <c r="L1375" s="410" t="str">
        <f t="shared" si="225"/>
        <v>UND</v>
      </c>
      <c r="M1375" s="411"/>
      <c r="N1375" s="412"/>
      <c r="O1375" s="441"/>
      <c r="P1375" s="442"/>
      <c r="Q1375" s="413"/>
      <c r="R1375" s="411"/>
      <c r="S1375" s="413">
        <f t="shared" si="219"/>
        <v>0</v>
      </c>
      <c r="T1375" s="414">
        <f>+HLOOKUP(B1375,[238]Hoja1!$2:$78,44,FALSE)</f>
        <v>0</v>
      </c>
      <c r="Y1375" s="439">
        <f t="shared" si="223"/>
        <v>0</v>
      </c>
      <c r="Z1375" s="439">
        <f t="shared" si="224"/>
        <v>0</v>
      </c>
    </row>
    <row r="1376" spans="1:26" ht="25.5">
      <c r="A1376" s="453">
        <f t="shared" si="220"/>
        <v>4.0599999999999996</v>
      </c>
      <c r="B1376" s="383">
        <v>24</v>
      </c>
      <c r="D1376" s="406"/>
      <c r="E1376" s="407"/>
      <c r="F1376" s="407"/>
      <c r="G1376" s="407"/>
      <c r="H1376" s="407"/>
      <c r="I1376" s="407"/>
      <c r="J1376" s="408" t="s">
        <v>435</v>
      </c>
      <c r="K1376" s="409" t="str">
        <f t="shared" si="216"/>
        <v>UND= Cant de elementos</v>
      </c>
      <c r="L1376" s="410" t="str">
        <f t="shared" si="225"/>
        <v>UND</v>
      </c>
      <c r="M1376" s="411"/>
      <c r="N1376" s="412"/>
      <c r="O1376" s="442"/>
      <c r="P1376" s="442"/>
      <c r="Q1376" s="413"/>
      <c r="R1376" s="411"/>
      <c r="S1376" s="413">
        <f t="shared" si="219"/>
        <v>1</v>
      </c>
      <c r="T1376" s="414">
        <f>+HLOOKUP(B1376,[238]Hoja1!$2:$78,44,FALSE)</f>
        <v>1</v>
      </c>
      <c r="Y1376" s="439">
        <f t="shared" si="223"/>
        <v>0</v>
      </c>
      <c r="Z1376" s="439">
        <f t="shared" si="224"/>
        <v>0</v>
      </c>
    </row>
    <row r="1377" spans="1:26" ht="25.5">
      <c r="A1377" s="453">
        <f t="shared" si="220"/>
        <v>4.0599999999999996</v>
      </c>
      <c r="B1377" s="383">
        <v>25</v>
      </c>
      <c r="D1377" s="406"/>
      <c r="E1377" s="407"/>
      <c r="F1377" s="407"/>
      <c r="G1377" s="407"/>
      <c r="H1377" s="407"/>
      <c r="I1377" s="407"/>
      <c r="J1377" s="408" t="s">
        <v>436</v>
      </c>
      <c r="K1377" s="409" t="str">
        <f t="shared" si="216"/>
        <v>UND= Cant de elementos</v>
      </c>
      <c r="L1377" s="410" t="str">
        <f t="shared" si="225"/>
        <v>UND</v>
      </c>
      <c r="M1377" s="411"/>
      <c r="N1377" s="412"/>
      <c r="O1377" s="442"/>
      <c r="P1377" s="442"/>
      <c r="Q1377" s="413"/>
      <c r="R1377" s="411"/>
      <c r="S1377" s="413">
        <f t="shared" si="219"/>
        <v>1</v>
      </c>
      <c r="T1377" s="414">
        <f>+HLOOKUP(B1377,[238]Hoja1!$2:$78,44,FALSE)</f>
        <v>1</v>
      </c>
      <c r="Y1377" s="439">
        <f t="shared" si="223"/>
        <v>0</v>
      </c>
      <c r="Z1377" s="439">
        <f t="shared" si="224"/>
        <v>0</v>
      </c>
    </row>
    <row r="1378" spans="1:26" ht="25.5">
      <c r="A1378" s="453">
        <f t="shared" si="220"/>
        <v>4.0599999999999996</v>
      </c>
      <c r="B1378" s="383">
        <v>26</v>
      </c>
      <c r="D1378" s="406"/>
      <c r="E1378" s="407"/>
      <c r="F1378" s="407"/>
      <c r="G1378" s="407"/>
      <c r="H1378" s="407"/>
      <c r="I1378" s="407"/>
      <c r="J1378" s="408" t="s">
        <v>437</v>
      </c>
      <c r="K1378" s="409" t="str">
        <f t="shared" si="216"/>
        <v>UND= Cant de elementos</v>
      </c>
      <c r="L1378" s="410" t="str">
        <f>+L1367</f>
        <v>UND</v>
      </c>
      <c r="M1378" s="411"/>
      <c r="N1378" s="412"/>
      <c r="O1378" s="442"/>
      <c r="P1378" s="442"/>
      <c r="Q1378" s="413"/>
      <c r="R1378" s="411"/>
      <c r="S1378" s="413">
        <f t="shared" si="219"/>
        <v>0</v>
      </c>
      <c r="T1378" s="414">
        <f>+HLOOKUP(B1378,[238]Hoja1!$2:$78,44,FALSE)</f>
        <v>0</v>
      </c>
      <c r="Y1378" s="439">
        <f t="shared" si="223"/>
        <v>0</v>
      </c>
      <c r="Z1378" s="439">
        <f t="shared" si="224"/>
        <v>0</v>
      </c>
    </row>
    <row r="1379" spans="1:26" ht="25.5">
      <c r="A1379" s="453">
        <f t="shared" si="220"/>
        <v>4.0599999999999996</v>
      </c>
      <c r="B1379" s="383">
        <v>27</v>
      </c>
      <c r="D1379" s="406"/>
      <c r="E1379" s="407"/>
      <c r="F1379" s="407"/>
      <c r="G1379" s="407"/>
      <c r="H1379" s="407"/>
      <c r="I1379" s="407"/>
      <c r="J1379" s="408" t="s">
        <v>438</v>
      </c>
      <c r="K1379" s="409" t="str">
        <f t="shared" si="216"/>
        <v>UND= Cant de elementos</v>
      </c>
      <c r="L1379" s="410" t="str">
        <f t="shared" ref="L1379:L1387" si="226">+L1378</f>
        <v>UND</v>
      </c>
      <c r="M1379" s="411"/>
      <c r="N1379" s="412"/>
      <c r="O1379" s="442"/>
      <c r="P1379" s="442"/>
      <c r="Q1379" s="413"/>
      <c r="R1379" s="411"/>
      <c r="S1379" s="413">
        <f t="shared" si="219"/>
        <v>0</v>
      </c>
      <c r="T1379" s="414">
        <f>+HLOOKUP(B1379,[238]Hoja1!$2:$78,44,FALSE)</f>
        <v>0</v>
      </c>
      <c r="Y1379" s="439">
        <f t="shared" si="223"/>
        <v>0</v>
      </c>
      <c r="Z1379" s="439">
        <f t="shared" si="224"/>
        <v>0</v>
      </c>
    </row>
    <row r="1380" spans="1:26" ht="25.5">
      <c r="A1380" s="453">
        <f t="shared" si="220"/>
        <v>4.0599999999999996</v>
      </c>
      <c r="B1380" s="383">
        <v>28</v>
      </c>
      <c r="D1380" s="406"/>
      <c r="E1380" s="440"/>
      <c r="F1380" s="407"/>
      <c r="G1380" s="407"/>
      <c r="H1380" s="407"/>
      <c r="I1380" s="437"/>
      <c r="J1380" s="408" t="s">
        <v>439</v>
      </c>
      <c r="K1380" s="409" t="str">
        <f t="shared" si="216"/>
        <v>UND= Cant de elementos</v>
      </c>
      <c r="L1380" s="410" t="str">
        <f t="shared" si="226"/>
        <v>UND</v>
      </c>
      <c r="M1380" s="411"/>
      <c r="N1380" s="412"/>
      <c r="O1380" s="442"/>
      <c r="P1380" s="442"/>
      <c r="Q1380" s="413"/>
      <c r="R1380" s="411"/>
      <c r="S1380" s="413">
        <f t="shared" si="219"/>
        <v>0</v>
      </c>
      <c r="T1380" s="414">
        <f>+HLOOKUP(B1380,[238]Hoja1!$2:$78,44,FALSE)</f>
        <v>0</v>
      </c>
      <c r="Y1380" s="439">
        <f t="shared" si="223"/>
        <v>0</v>
      </c>
      <c r="Z1380" s="439">
        <f t="shared" si="224"/>
        <v>0</v>
      </c>
    </row>
    <row r="1381" spans="1:26" ht="25.5">
      <c r="A1381" s="453">
        <f t="shared" si="220"/>
        <v>4.0599999999999996</v>
      </c>
      <c r="B1381" s="383">
        <v>29</v>
      </c>
      <c r="D1381" s="406"/>
      <c r="E1381" s="407"/>
      <c r="F1381" s="407"/>
      <c r="G1381" s="407"/>
      <c r="H1381" s="407"/>
      <c r="I1381" s="407"/>
      <c r="J1381" s="408" t="s">
        <v>440</v>
      </c>
      <c r="K1381" s="409" t="str">
        <f t="shared" si="216"/>
        <v>UND= Cant de elementos</v>
      </c>
      <c r="L1381" s="410" t="str">
        <f t="shared" si="226"/>
        <v>UND</v>
      </c>
      <c r="M1381" s="411"/>
      <c r="N1381" s="412"/>
      <c r="O1381" s="443"/>
      <c r="P1381" s="442"/>
      <c r="Q1381" s="413"/>
      <c r="R1381" s="411"/>
      <c r="S1381" s="413">
        <f t="shared" si="219"/>
        <v>0</v>
      </c>
      <c r="T1381" s="414">
        <f>+HLOOKUP(B1381,[238]Hoja1!$2:$78,44,FALSE)</f>
        <v>0</v>
      </c>
      <c r="Y1381" s="439">
        <f t="shared" si="223"/>
        <v>0</v>
      </c>
      <c r="Z1381" s="439">
        <f t="shared" si="224"/>
        <v>0</v>
      </c>
    </row>
    <row r="1382" spans="1:26" ht="25.5">
      <c r="A1382" s="453">
        <f t="shared" si="220"/>
        <v>4.0599999999999996</v>
      </c>
      <c r="B1382" s="383">
        <v>30</v>
      </c>
      <c r="D1382" s="406"/>
      <c r="E1382" s="407"/>
      <c r="F1382" s="407"/>
      <c r="G1382" s="407"/>
      <c r="H1382" s="407"/>
      <c r="I1382" s="407"/>
      <c r="J1382" s="408" t="s">
        <v>441</v>
      </c>
      <c r="K1382" s="409" t="str">
        <f t="shared" si="216"/>
        <v>UND= Cant de elementos</v>
      </c>
      <c r="L1382" s="410" t="str">
        <f t="shared" si="226"/>
        <v>UND</v>
      </c>
      <c r="M1382" s="411"/>
      <c r="N1382" s="412"/>
      <c r="O1382" s="442"/>
      <c r="P1382" s="442"/>
      <c r="Q1382" s="413"/>
      <c r="R1382" s="411"/>
      <c r="S1382" s="413">
        <f t="shared" si="219"/>
        <v>0</v>
      </c>
      <c r="T1382" s="414">
        <f>+HLOOKUP(B1382,[238]Hoja1!$2:$78,44,FALSE)</f>
        <v>0</v>
      </c>
      <c r="Y1382" s="439">
        <f t="shared" si="223"/>
        <v>0</v>
      </c>
      <c r="Z1382" s="439">
        <f t="shared" si="224"/>
        <v>0</v>
      </c>
    </row>
    <row r="1383" spans="1:26" ht="25.5">
      <c r="A1383" s="453">
        <f t="shared" si="220"/>
        <v>4.0599999999999996</v>
      </c>
      <c r="B1383" s="383">
        <v>31</v>
      </c>
      <c r="D1383" s="406"/>
      <c r="E1383" s="407"/>
      <c r="F1383" s="407"/>
      <c r="G1383" s="407"/>
      <c r="H1383" s="407"/>
      <c r="I1383" s="407"/>
      <c r="J1383" s="408" t="s">
        <v>442</v>
      </c>
      <c r="K1383" s="409" t="str">
        <f t="shared" si="216"/>
        <v>UND= Cant de elementos</v>
      </c>
      <c r="L1383" s="410" t="str">
        <f t="shared" si="226"/>
        <v>UND</v>
      </c>
      <c r="M1383" s="411"/>
      <c r="N1383" s="412"/>
      <c r="O1383" s="442"/>
      <c r="P1383" s="442"/>
      <c r="Q1383" s="413"/>
      <c r="R1383" s="411"/>
      <c r="S1383" s="413">
        <f t="shared" si="219"/>
        <v>0</v>
      </c>
      <c r="T1383" s="414">
        <f>+HLOOKUP(B1383,[238]Hoja1!$2:$78,44,FALSE)</f>
        <v>0</v>
      </c>
      <c r="Y1383" s="439">
        <f t="shared" si="223"/>
        <v>0</v>
      </c>
      <c r="Z1383" s="439">
        <f t="shared" si="224"/>
        <v>0</v>
      </c>
    </row>
    <row r="1384" spans="1:26" ht="25.5">
      <c r="A1384" s="453">
        <f t="shared" si="220"/>
        <v>4.0599999999999996</v>
      </c>
      <c r="B1384" s="383">
        <v>32</v>
      </c>
      <c r="D1384" s="406"/>
      <c r="E1384" s="407"/>
      <c r="F1384" s="407"/>
      <c r="G1384" s="407"/>
      <c r="H1384" s="407"/>
      <c r="I1384" s="407"/>
      <c r="J1384" s="408" t="s">
        <v>443</v>
      </c>
      <c r="K1384" s="409" t="str">
        <f t="shared" si="216"/>
        <v>UND= Cant de elementos</v>
      </c>
      <c r="L1384" s="410" t="str">
        <f t="shared" si="226"/>
        <v>UND</v>
      </c>
      <c r="M1384" s="411"/>
      <c r="N1384" s="412"/>
      <c r="O1384" s="442"/>
      <c r="P1384" s="442"/>
      <c r="Q1384" s="413"/>
      <c r="R1384" s="411"/>
      <c r="S1384" s="413">
        <f t="shared" si="219"/>
        <v>1</v>
      </c>
      <c r="T1384" s="414">
        <f>+HLOOKUP(B1384,[238]Hoja1!$2:$78,44,FALSE)</f>
        <v>1</v>
      </c>
      <c r="Y1384" s="439">
        <f t="shared" si="223"/>
        <v>0</v>
      </c>
      <c r="Z1384" s="439">
        <f t="shared" si="224"/>
        <v>0</v>
      </c>
    </row>
    <row r="1385" spans="1:26" ht="25.5">
      <c r="A1385" s="453">
        <f t="shared" si="220"/>
        <v>4.0599999999999996</v>
      </c>
      <c r="B1385" s="383">
        <v>33</v>
      </c>
      <c r="D1385" s="406"/>
      <c r="E1385" s="407"/>
      <c r="F1385" s="407"/>
      <c r="G1385" s="407"/>
      <c r="H1385" s="407"/>
      <c r="I1385" s="407"/>
      <c r="J1385" s="408" t="s">
        <v>444</v>
      </c>
      <c r="K1385" s="409" t="str">
        <f t="shared" si="216"/>
        <v>UND= Cant de elementos</v>
      </c>
      <c r="L1385" s="410" t="str">
        <f t="shared" si="226"/>
        <v>UND</v>
      </c>
      <c r="M1385" s="411"/>
      <c r="N1385" s="412"/>
      <c r="O1385" s="442"/>
      <c r="P1385" s="442"/>
      <c r="Q1385" s="413"/>
      <c r="R1385" s="411"/>
      <c r="S1385" s="413">
        <f t="shared" si="219"/>
        <v>0</v>
      </c>
      <c r="T1385" s="414">
        <f>+HLOOKUP(B1385,[238]Hoja1!$2:$78,44,FALSE)</f>
        <v>0</v>
      </c>
      <c r="Y1385" s="439">
        <f t="shared" si="223"/>
        <v>0</v>
      </c>
      <c r="Z1385" s="439">
        <f t="shared" si="224"/>
        <v>0</v>
      </c>
    </row>
    <row r="1386" spans="1:26" ht="25.5">
      <c r="A1386" s="453">
        <f t="shared" si="220"/>
        <v>4.0599999999999996</v>
      </c>
      <c r="B1386" s="383">
        <v>34</v>
      </c>
      <c r="D1386" s="406"/>
      <c r="E1386" s="407"/>
      <c r="F1386" s="407"/>
      <c r="G1386" s="407"/>
      <c r="H1386" s="407"/>
      <c r="I1386" s="407"/>
      <c r="J1386" s="408" t="s">
        <v>445</v>
      </c>
      <c r="K1386" s="409" t="str">
        <f t="shared" si="216"/>
        <v>UND= Cant de elementos</v>
      </c>
      <c r="L1386" s="410" t="str">
        <f t="shared" si="226"/>
        <v>UND</v>
      </c>
      <c r="M1386" s="411"/>
      <c r="N1386" s="412"/>
      <c r="O1386" s="441"/>
      <c r="P1386" s="442"/>
      <c r="Q1386" s="413"/>
      <c r="R1386" s="411"/>
      <c r="S1386" s="413">
        <f t="shared" si="219"/>
        <v>0</v>
      </c>
      <c r="T1386" s="414">
        <f>+HLOOKUP(B1386,[238]Hoja1!$2:$78,44,FALSE)</f>
        <v>0</v>
      </c>
      <c r="Y1386" s="439">
        <f t="shared" si="223"/>
        <v>0</v>
      </c>
      <c r="Z1386" s="439">
        <f t="shared" si="224"/>
        <v>0</v>
      </c>
    </row>
    <row r="1387" spans="1:26" ht="25.5">
      <c r="A1387" s="453">
        <f t="shared" si="220"/>
        <v>4.0599999999999996</v>
      </c>
      <c r="B1387" s="383">
        <v>35</v>
      </c>
      <c r="D1387" s="406"/>
      <c r="E1387" s="440"/>
      <c r="F1387" s="407"/>
      <c r="G1387" s="407"/>
      <c r="H1387" s="407"/>
      <c r="I1387" s="437"/>
      <c r="J1387" s="408" t="s">
        <v>446</v>
      </c>
      <c r="K1387" s="409" t="str">
        <f t="shared" si="216"/>
        <v>UND= Cant de elementos</v>
      </c>
      <c r="L1387" s="410" t="str">
        <f t="shared" si="226"/>
        <v>UND</v>
      </c>
      <c r="M1387" s="411"/>
      <c r="N1387" s="412"/>
      <c r="O1387" s="442"/>
      <c r="P1387" s="442"/>
      <c r="Q1387" s="413"/>
      <c r="R1387" s="411"/>
      <c r="S1387" s="413">
        <f t="shared" si="219"/>
        <v>0</v>
      </c>
      <c r="T1387" s="414">
        <f>+HLOOKUP(B1387,[238]Hoja1!$2:$78,44,FALSE)</f>
        <v>0</v>
      </c>
      <c r="Y1387" s="439">
        <f t="shared" si="223"/>
        <v>0</v>
      </c>
      <c r="Z1387" s="439">
        <f t="shared" si="224"/>
        <v>0</v>
      </c>
    </row>
    <row r="1388" spans="1:26" ht="25.5">
      <c r="A1388" s="453">
        <f t="shared" si="220"/>
        <v>4.0599999999999996</v>
      </c>
      <c r="B1388" s="383">
        <v>36</v>
      </c>
      <c r="D1388" s="406"/>
      <c r="E1388" s="407"/>
      <c r="F1388" s="407"/>
      <c r="G1388" s="407"/>
      <c r="H1388" s="407"/>
      <c r="I1388" s="407"/>
      <c r="J1388" s="408" t="s">
        <v>447</v>
      </c>
      <c r="K1388" s="409" t="str">
        <f t="shared" si="216"/>
        <v>UND= Cant de elementos</v>
      </c>
      <c r="L1388" s="410" t="str">
        <f>+L1377</f>
        <v>UND</v>
      </c>
      <c r="M1388" s="411"/>
      <c r="N1388" s="412"/>
      <c r="O1388" s="442"/>
      <c r="P1388" s="442"/>
      <c r="Q1388" s="413"/>
      <c r="R1388" s="411"/>
      <c r="S1388" s="413">
        <f t="shared" si="219"/>
        <v>1</v>
      </c>
      <c r="T1388" s="414">
        <f>+HLOOKUP(B1388,[238]Hoja1!$2:$78,44,FALSE)</f>
        <v>1</v>
      </c>
      <c r="Y1388" s="439">
        <f t="shared" si="223"/>
        <v>0</v>
      </c>
      <c r="Z1388" s="439">
        <f t="shared" si="224"/>
        <v>0</v>
      </c>
    </row>
    <row r="1389" spans="1:26" ht="25.5">
      <c r="A1389" s="453">
        <f t="shared" si="220"/>
        <v>4.0599999999999996</v>
      </c>
      <c r="B1389" s="383">
        <v>37</v>
      </c>
      <c r="D1389" s="406"/>
      <c r="E1389" s="407"/>
      <c r="F1389" s="407"/>
      <c r="G1389" s="407"/>
      <c r="H1389" s="407"/>
      <c r="I1389" s="407"/>
      <c r="J1389" s="408" t="s">
        <v>448</v>
      </c>
      <c r="K1389" s="409" t="str">
        <f t="shared" si="216"/>
        <v>UND= Cant de elementos</v>
      </c>
      <c r="L1389" s="410" t="str">
        <f t="shared" ref="L1389:L1395" si="227">+L1388</f>
        <v>UND</v>
      </c>
      <c r="M1389" s="411"/>
      <c r="N1389" s="412"/>
      <c r="O1389" s="441"/>
      <c r="P1389" s="442"/>
      <c r="Q1389" s="413"/>
      <c r="R1389" s="411"/>
      <c r="S1389" s="413">
        <f t="shared" si="219"/>
        <v>0</v>
      </c>
      <c r="T1389" s="414">
        <f>+HLOOKUP(B1389,[238]Hoja1!$2:$78,44,FALSE)</f>
        <v>0</v>
      </c>
      <c r="Y1389" s="439">
        <f t="shared" si="223"/>
        <v>0</v>
      </c>
      <c r="Z1389" s="439">
        <f t="shared" si="224"/>
        <v>0</v>
      </c>
    </row>
    <row r="1390" spans="1:26" ht="25.5">
      <c r="A1390" s="453">
        <f t="shared" si="220"/>
        <v>4.0599999999999996</v>
      </c>
      <c r="B1390" s="383">
        <v>38</v>
      </c>
      <c r="D1390" s="406"/>
      <c r="E1390" s="440"/>
      <c r="F1390" s="407"/>
      <c r="G1390" s="407"/>
      <c r="H1390" s="407"/>
      <c r="I1390" s="437"/>
      <c r="J1390" s="408" t="s">
        <v>449</v>
      </c>
      <c r="K1390" s="409" t="str">
        <f t="shared" si="216"/>
        <v>UND= Cant de elementos</v>
      </c>
      <c r="L1390" s="410" t="str">
        <f t="shared" si="227"/>
        <v>UND</v>
      </c>
      <c r="M1390" s="411"/>
      <c r="N1390" s="412"/>
      <c r="O1390" s="442"/>
      <c r="P1390" s="442"/>
      <c r="Q1390" s="413"/>
      <c r="R1390" s="411"/>
      <c r="S1390" s="413">
        <f t="shared" si="219"/>
        <v>0</v>
      </c>
      <c r="T1390" s="414">
        <f>+HLOOKUP(B1390,[238]Hoja1!$2:$78,44,FALSE)</f>
        <v>0</v>
      </c>
      <c r="Y1390" s="439">
        <f t="shared" si="223"/>
        <v>0</v>
      </c>
      <c r="Z1390" s="439">
        <f t="shared" si="224"/>
        <v>0</v>
      </c>
    </row>
    <row r="1391" spans="1:26" ht="25.5">
      <c r="A1391" s="453">
        <f t="shared" si="220"/>
        <v>4.0599999999999996</v>
      </c>
      <c r="B1391" s="383">
        <v>39</v>
      </c>
      <c r="D1391" s="406"/>
      <c r="E1391" s="407"/>
      <c r="F1391" s="407"/>
      <c r="G1391" s="407"/>
      <c r="H1391" s="407"/>
      <c r="I1391" s="407"/>
      <c r="J1391" s="408" t="s">
        <v>450</v>
      </c>
      <c r="K1391" s="409" t="str">
        <f t="shared" si="216"/>
        <v>UND= Cant de elementos</v>
      </c>
      <c r="L1391" s="410" t="str">
        <f t="shared" si="227"/>
        <v>UND</v>
      </c>
      <c r="M1391" s="411"/>
      <c r="N1391" s="412"/>
      <c r="O1391" s="441"/>
      <c r="P1391" s="442"/>
      <c r="Q1391" s="413"/>
      <c r="R1391" s="411"/>
      <c r="S1391" s="413">
        <f t="shared" si="219"/>
        <v>0</v>
      </c>
      <c r="T1391" s="414">
        <f>+HLOOKUP(B1391,[238]Hoja1!$2:$78,44,FALSE)</f>
        <v>0</v>
      </c>
      <c r="Y1391" s="439">
        <f t="shared" si="223"/>
        <v>0</v>
      </c>
      <c r="Z1391" s="439">
        <f t="shared" si="224"/>
        <v>0</v>
      </c>
    </row>
    <row r="1392" spans="1:26" ht="25.5">
      <c r="A1392" s="453">
        <f t="shared" si="220"/>
        <v>4.0599999999999996</v>
      </c>
      <c r="B1392" s="383">
        <v>40</v>
      </c>
      <c r="D1392" s="406"/>
      <c r="E1392" s="407"/>
      <c r="F1392" s="407"/>
      <c r="G1392" s="407"/>
      <c r="H1392" s="407"/>
      <c r="I1392" s="407"/>
      <c r="J1392" s="408" t="s">
        <v>451</v>
      </c>
      <c r="K1392" s="409" t="str">
        <f t="shared" si="216"/>
        <v>UND= Cant de elementos</v>
      </c>
      <c r="L1392" s="410" t="str">
        <f t="shared" si="227"/>
        <v>UND</v>
      </c>
      <c r="M1392" s="411"/>
      <c r="N1392" s="412"/>
      <c r="O1392" s="442"/>
      <c r="P1392" s="442"/>
      <c r="Q1392" s="413"/>
      <c r="R1392" s="411"/>
      <c r="S1392" s="413">
        <f t="shared" si="219"/>
        <v>1</v>
      </c>
      <c r="T1392" s="414">
        <f>+HLOOKUP(B1392,[238]Hoja1!$2:$78,44,FALSE)</f>
        <v>1</v>
      </c>
      <c r="Y1392" s="439">
        <f t="shared" si="223"/>
        <v>0</v>
      </c>
      <c r="Z1392" s="439">
        <f t="shared" si="224"/>
        <v>0</v>
      </c>
    </row>
    <row r="1393" spans="1:26" ht="25.5">
      <c r="A1393" s="453">
        <f t="shared" si="220"/>
        <v>4.0599999999999996</v>
      </c>
      <c r="B1393" s="383">
        <v>41</v>
      </c>
      <c r="D1393" s="406"/>
      <c r="E1393" s="407"/>
      <c r="F1393" s="407"/>
      <c r="G1393" s="407"/>
      <c r="H1393" s="407"/>
      <c r="I1393" s="407"/>
      <c r="J1393" s="408" t="s">
        <v>452</v>
      </c>
      <c r="K1393" s="409" t="str">
        <f t="shared" si="216"/>
        <v>UND= Cant de elementos</v>
      </c>
      <c r="L1393" s="410" t="str">
        <f t="shared" si="227"/>
        <v>UND</v>
      </c>
      <c r="M1393" s="411"/>
      <c r="N1393" s="412"/>
      <c r="O1393" s="442"/>
      <c r="P1393" s="442"/>
      <c r="Q1393" s="413"/>
      <c r="R1393" s="411"/>
      <c r="S1393" s="413">
        <f t="shared" si="219"/>
        <v>0</v>
      </c>
      <c r="T1393" s="414">
        <f>+HLOOKUP(B1393,[238]Hoja1!$2:$78,44,FALSE)</f>
        <v>0</v>
      </c>
      <c r="Y1393" s="439">
        <f t="shared" si="223"/>
        <v>0</v>
      </c>
      <c r="Z1393" s="439">
        <f t="shared" si="224"/>
        <v>0</v>
      </c>
    </row>
    <row r="1394" spans="1:26" ht="25.5">
      <c r="A1394" s="453">
        <f t="shared" si="220"/>
        <v>4.0599999999999996</v>
      </c>
      <c r="B1394" s="383">
        <v>42</v>
      </c>
      <c r="D1394" s="406"/>
      <c r="E1394" s="407"/>
      <c r="F1394" s="407"/>
      <c r="G1394" s="407"/>
      <c r="H1394" s="407"/>
      <c r="I1394" s="407"/>
      <c r="J1394" s="408" t="s">
        <v>453</v>
      </c>
      <c r="K1394" s="409" t="str">
        <f t="shared" si="216"/>
        <v>UND= Cant de elementos</v>
      </c>
      <c r="L1394" s="410" t="str">
        <f t="shared" si="227"/>
        <v>UND</v>
      </c>
      <c r="M1394" s="411"/>
      <c r="N1394" s="412"/>
      <c r="O1394" s="442"/>
      <c r="P1394" s="442"/>
      <c r="Q1394" s="413"/>
      <c r="R1394" s="411"/>
      <c r="S1394" s="413">
        <f t="shared" si="219"/>
        <v>0</v>
      </c>
      <c r="T1394" s="414">
        <f>+HLOOKUP(B1394,[238]Hoja1!$2:$78,44,FALSE)</f>
        <v>0</v>
      </c>
      <c r="Y1394" s="439">
        <f t="shared" si="223"/>
        <v>0</v>
      </c>
      <c r="Z1394" s="439">
        <f t="shared" si="224"/>
        <v>0</v>
      </c>
    </row>
    <row r="1395" spans="1:26" ht="26.25" thickBot="1">
      <c r="A1395" s="453">
        <f t="shared" si="220"/>
        <v>4.0599999999999996</v>
      </c>
      <c r="B1395" s="383">
        <v>43</v>
      </c>
      <c r="D1395" s="406"/>
      <c r="E1395" s="407"/>
      <c r="F1395" s="407"/>
      <c r="G1395" s="407"/>
      <c r="H1395" s="407"/>
      <c r="I1395" s="407"/>
      <c r="J1395" s="408" t="s">
        <v>454</v>
      </c>
      <c r="K1395" s="409" t="str">
        <f t="shared" si="216"/>
        <v>UND= Cant de elementos</v>
      </c>
      <c r="L1395" s="410" t="str">
        <f t="shared" si="227"/>
        <v>UND</v>
      </c>
      <c r="M1395" s="411"/>
      <c r="N1395" s="412"/>
      <c r="O1395" s="442"/>
      <c r="P1395" s="442"/>
      <c r="Q1395" s="413"/>
      <c r="R1395" s="411"/>
      <c r="S1395" s="413">
        <f t="shared" si="219"/>
        <v>0</v>
      </c>
      <c r="T1395" s="414">
        <f>+HLOOKUP(B1395,[238]Hoja1!$2:$78,44,FALSE)</f>
        <v>0</v>
      </c>
      <c r="Y1395" s="439">
        <f t="shared" si="223"/>
        <v>0</v>
      </c>
      <c r="Z1395" s="439">
        <f t="shared" si="224"/>
        <v>0</v>
      </c>
    </row>
    <row r="1396" spans="1:26">
      <c r="A1396" s="453"/>
      <c r="D1396" s="384"/>
      <c r="E1396" s="419"/>
      <c r="F1396" s="420"/>
      <c r="G1396" s="421"/>
      <c r="H1396" s="421"/>
      <c r="I1396" s="421"/>
      <c r="J1396" s="421"/>
      <c r="K1396" s="422"/>
      <c r="L1396" s="421"/>
      <c r="M1396" s="421"/>
      <c r="N1396" s="421"/>
      <c r="O1396" s="421"/>
      <c r="P1396" s="421"/>
      <c r="Q1396" s="421"/>
      <c r="R1396" s="421"/>
      <c r="S1396" s="422"/>
      <c r="T1396" s="423"/>
    </row>
    <row r="1397" spans="1:26">
      <c r="D1397" s="396"/>
      <c r="E1397" s="397"/>
      <c r="F1397" s="424"/>
      <c r="G1397" s="425"/>
      <c r="H1397" s="425"/>
      <c r="I1397" s="425"/>
      <c r="J1397" s="425"/>
      <c r="K1397" s="398"/>
      <c r="L1397" s="425"/>
      <c r="M1397" s="425"/>
      <c r="N1397" s="397"/>
      <c r="O1397" s="397"/>
      <c r="P1397" s="562" t="s">
        <v>455</v>
      </c>
      <c r="Q1397" s="563"/>
      <c r="R1397" s="564"/>
      <c r="S1397" s="426"/>
      <c r="T1397" s="427">
        <f>ROUND(SUM(T1353:T1396),2)</f>
        <v>7</v>
      </c>
    </row>
    <row r="1398" spans="1:26">
      <c r="D1398" s="396"/>
      <c r="E1398" s="397"/>
      <c r="F1398" s="424"/>
      <c r="G1398" s="425"/>
      <c r="H1398" s="425"/>
      <c r="I1398" s="425"/>
      <c r="J1398" s="425"/>
      <c r="K1398" s="398"/>
      <c r="L1398" s="425"/>
      <c r="M1398" s="425"/>
      <c r="N1398" s="428"/>
      <c r="O1398" s="428"/>
      <c r="P1398" s="429"/>
      <c r="Q1398" s="425"/>
      <c r="R1398" s="425"/>
      <c r="S1398" s="430"/>
      <c r="T1398" s="431"/>
    </row>
    <row r="1399" spans="1:26">
      <c r="D1399" s="565" t="e">
        <v>#REF!</v>
      </c>
      <c r="E1399" s="566"/>
      <c r="F1399" s="566"/>
      <c r="G1399" s="566"/>
      <c r="H1399" s="566"/>
      <c r="I1399" s="566"/>
      <c r="J1399" s="566"/>
      <c r="K1399" s="566"/>
      <c r="L1399" s="566"/>
      <c r="M1399" s="566"/>
      <c r="N1399" s="566"/>
      <c r="O1399" s="567"/>
      <c r="P1399" s="568" t="s">
        <v>422</v>
      </c>
      <c r="Q1399" s="568"/>
      <c r="R1399" s="568"/>
      <c r="S1399" s="426"/>
      <c r="T1399" s="427">
        <f>T1397</f>
        <v>7</v>
      </c>
    </row>
    <row r="1400" spans="1:26">
      <c r="D1400" s="396"/>
      <c r="E1400" s="397"/>
      <c r="F1400" s="424"/>
      <c r="G1400" s="425"/>
      <c r="H1400" s="425"/>
      <c r="I1400" s="425"/>
      <c r="J1400" s="425"/>
      <c r="K1400" s="398"/>
      <c r="L1400" s="425"/>
      <c r="M1400" s="425"/>
      <c r="N1400" s="428"/>
      <c r="O1400" s="428"/>
      <c r="P1400" s="429"/>
      <c r="Q1400" s="425"/>
      <c r="R1400" s="398"/>
      <c r="S1400" s="398"/>
      <c r="T1400" s="432"/>
    </row>
    <row r="1401" spans="1:26">
      <c r="D1401" s="396"/>
      <c r="E1401" s="397"/>
      <c r="F1401" s="424"/>
      <c r="G1401" s="425"/>
      <c r="H1401" s="425"/>
      <c r="I1401" s="425"/>
      <c r="J1401" s="425"/>
      <c r="K1401" s="398"/>
      <c r="L1401" s="425"/>
      <c r="M1401" s="425"/>
      <c r="N1401" s="428"/>
      <c r="O1401" s="428"/>
      <c r="P1401" s="429"/>
      <c r="Q1401" s="425"/>
      <c r="R1401" s="398"/>
      <c r="S1401" s="398"/>
      <c r="T1401" s="432"/>
    </row>
    <row r="1402" spans="1:26">
      <c r="D1402" s="569" t="s">
        <v>423</v>
      </c>
      <c r="E1402" s="570"/>
      <c r="F1402" s="570"/>
      <c r="G1402" s="570"/>
      <c r="H1402" s="570"/>
      <c r="I1402" s="570"/>
      <c r="J1402" s="570"/>
      <c r="K1402" s="571"/>
      <c r="L1402" s="433" t="s">
        <v>424</v>
      </c>
      <c r="M1402" s="434"/>
      <c r="N1402" s="434"/>
      <c r="O1402" s="434"/>
      <c r="P1402" s="434"/>
      <c r="Q1402" s="434"/>
      <c r="R1402" s="434"/>
      <c r="S1402" s="434"/>
      <c r="T1402" s="435"/>
    </row>
    <row r="1403" spans="1:26">
      <c r="D1403" s="542"/>
      <c r="E1403" s="543"/>
      <c r="F1403" s="543"/>
      <c r="G1403" s="543"/>
      <c r="H1403" s="436"/>
      <c r="I1403" s="436"/>
      <c r="J1403" s="436"/>
      <c r="K1403" s="447"/>
      <c r="L1403" s="436"/>
      <c r="M1403" s="407"/>
      <c r="N1403" s="407"/>
      <c r="O1403" s="407"/>
      <c r="P1403" s="407"/>
      <c r="Q1403" s="407"/>
      <c r="R1403" s="407"/>
      <c r="S1403" s="407"/>
      <c r="T1403" s="437"/>
    </row>
    <row r="1404" spans="1:26">
      <c r="D1404" s="542"/>
      <c r="E1404" s="543"/>
      <c r="F1404" s="543"/>
      <c r="G1404" s="543"/>
      <c r="H1404" s="436"/>
      <c r="I1404" s="436"/>
      <c r="J1404" s="436"/>
      <c r="K1404" s="447"/>
      <c r="L1404" s="436"/>
      <c r="M1404" s="407"/>
      <c r="N1404" s="407"/>
      <c r="O1404" s="407"/>
      <c r="P1404" s="407"/>
      <c r="Q1404" s="407"/>
      <c r="R1404" s="407"/>
      <c r="S1404" s="407"/>
      <c r="T1404" s="437"/>
    </row>
    <row r="1405" spans="1:26">
      <c r="D1405" s="542" t="s">
        <v>425</v>
      </c>
      <c r="E1405" s="543"/>
      <c r="F1405" s="543" t="s">
        <v>425</v>
      </c>
      <c r="G1405" s="543"/>
      <c r="H1405" s="543" t="s">
        <v>425</v>
      </c>
      <c r="I1405" s="543"/>
      <c r="J1405" s="543" t="s">
        <v>425</v>
      </c>
      <c r="K1405" s="544"/>
      <c r="L1405" s="545" t="s">
        <v>426</v>
      </c>
      <c r="M1405" s="546"/>
      <c r="N1405" s="546"/>
      <c r="O1405" s="546"/>
      <c r="P1405" s="546"/>
      <c r="Q1405" s="546"/>
      <c r="R1405" s="546"/>
      <c r="S1405" s="546"/>
      <c r="T1405" s="547"/>
    </row>
    <row r="1406" spans="1:26">
      <c r="D1406" s="548" t="str">
        <f>+[42]DATOS!D$8</f>
        <v>HELMER EDUARDO BECERRA SANTANDER</v>
      </c>
      <c r="E1406" s="549"/>
      <c r="F1406" s="549" t="s">
        <v>427</v>
      </c>
      <c r="G1406" s="549"/>
      <c r="H1406" s="549" t="s">
        <v>427</v>
      </c>
      <c r="I1406" s="549"/>
      <c r="J1406" s="549" t="s">
        <v>427</v>
      </c>
      <c r="K1406" s="550"/>
      <c r="L1406" s="551" t="str">
        <f>+[42]DATOS!D$11</f>
        <v>JESUS IVAN QUIÑONES RUEDA</v>
      </c>
      <c r="M1406" s="549"/>
      <c r="N1406" s="549"/>
      <c r="O1406" s="549"/>
      <c r="P1406" s="549"/>
      <c r="Q1406" s="549"/>
      <c r="R1406" s="549"/>
      <c r="S1406" s="549"/>
      <c r="T1406" s="552"/>
    </row>
    <row r="1407" spans="1:26">
      <c r="D1407" s="553" t="str">
        <f>+$D$72</f>
        <v>APOYO SEC. DE PLANEACION Y OBRAS PÚBLICAS</v>
      </c>
      <c r="E1407" s="554"/>
      <c r="F1407" s="554" t="s">
        <v>428</v>
      </c>
      <c r="G1407" s="554"/>
      <c r="H1407" s="554" t="s">
        <v>428</v>
      </c>
      <c r="I1407" s="554"/>
      <c r="J1407" s="554" t="s">
        <v>428</v>
      </c>
      <c r="K1407" s="555"/>
      <c r="L1407" s="556" t="str">
        <f>+$L$72</f>
        <v>SECRETARIO DE PLANEACION Y OBRAS PÚBLICAS</v>
      </c>
      <c r="M1407" s="554"/>
      <c r="N1407" s="554"/>
      <c r="O1407" s="554"/>
      <c r="P1407" s="554"/>
      <c r="Q1407" s="554"/>
      <c r="R1407" s="554"/>
      <c r="S1407" s="554"/>
      <c r="T1407" s="557"/>
    </row>
    <row r="1408" spans="1:26">
      <c r="D1408" s="406"/>
      <c r="E1408" s="407"/>
      <c r="F1408" s="407"/>
      <c r="G1408" s="407"/>
      <c r="H1408" s="407"/>
      <c r="I1408" s="407"/>
      <c r="J1408" s="407"/>
      <c r="K1408" s="407"/>
      <c r="L1408" s="407"/>
      <c r="M1408" s="407"/>
      <c r="N1408" s="407"/>
      <c r="O1408" s="407"/>
      <c r="P1408" s="407"/>
      <c r="Q1408" s="407"/>
      <c r="R1408" s="407"/>
      <c r="S1408" s="407"/>
      <c r="T1408" s="437"/>
    </row>
    <row r="1409" spans="4:20" ht="111" customHeight="1" thickBot="1">
      <c r="D1409" s="417"/>
      <c r="E1409" s="418"/>
      <c r="F1409" s="418"/>
      <c r="G1409" s="418"/>
      <c r="H1409" s="418"/>
      <c r="I1409" s="418"/>
      <c r="J1409" s="418"/>
      <c r="K1409" s="418"/>
      <c r="L1409" s="418"/>
      <c r="M1409" s="418"/>
      <c r="N1409" s="418"/>
      <c r="O1409" s="418"/>
      <c r="P1409" s="418"/>
      <c r="Q1409" s="418"/>
      <c r="R1409" s="418"/>
      <c r="S1409" s="418"/>
      <c r="T1409" s="438"/>
    </row>
    <row r="1410" spans="4:20" ht="22.5" customHeight="1"/>
    <row r="1411" spans="4:20" ht="13.5" thickBot="1"/>
    <row r="1412" spans="4:20">
      <c r="D1412" s="384"/>
      <c r="E1412" s="385"/>
      <c r="F1412" s="385"/>
      <c r="G1412" s="385"/>
      <c r="H1412" s="385"/>
      <c r="I1412" s="385"/>
      <c r="J1412" s="385"/>
      <c r="K1412" s="445"/>
      <c r="L1412" s="385"/>
      <c r="M1412" s="385"/>
      <c r="N1412" s="385"/>
      <c r="O1412" s="385"/>
      <c r="P1412" s="385"/>
      <c r="Q1412" s="385"/>
      <c r="R1412" s="385"/>
      <c r="S1412" s="385"/>
      <c r="T1412" s="386"/>
    </row>
    <row r="1413" spans="4:20" ht="121.5" customHeight="1" thickBot="1">
      <c r="D1413" s="387"/>
      <c r="E1413" s="388"/>
      <c r="F1413" s="388"/>
      <c r="G1413" s="388"/>
      <c r="H1413" s="388"/>
      <c r="I1413" s="388"/>
      <c r="J1413" s="388"/>
      <c r="K1413" s="446"/>
      <c r="L1413" s="388"/>
      <c r="M1413" s="388"/>
      <c r="N1413" s="388"/>
      <c r="O1413" s="388"/>
      <c r="P1413" s="388"/>
      <c r="Q1413" s="388"/>
      <c r="R1413" s="388"/>
      <c r="S1413" s="388"/>
      <c r="T1413" s="389"/>
    </row>
    <row r="1414" spans="4:20">
      <c r="D1414" s="592" t="str">
        <f>+[42]DATOS!C$7</f>
        <v>MEJORAMIENTO DE VIVIENDA CON ENFOQUE DIFERENCIAL PARA POBLACIÓN VULNERABLE EN EL MUNICIPIO DE CUBARÁ, BOYACÁ (2026).</v>
      </c>
      <c r="E1414" s="593"/>
      <c r="F1414" s="593"/>
      <c r="G1414" s="593"/>
      <c r="H1414" s="593"/>
      <c r="I1414" s="593"/>
      <c r="J1414" s="593"/>
      <c r="K1414" s="593"/>
      <c r="L1414" s="593"/>
      <c r="M1414" s="593"/>
      <c r="N1414" s="593"/>
      <c r="O1414" s="593"/>
      <c r="P1414" s="593"/>
      <c r="Q1414" s="593"/>
      <c r="R1414" s="593"/>
      <c r="S1414" s="593"/>
      <c r="T1414" s="594"/>
    </row>
    <row r="1415" spans="4:20">
      <c r="D1415" s="595"/>
      <c r="E1415" s="596"/>
      <c r="F1415" s="596"/>
      <c r="G1415" s="596"/>
      <c r="H1415" s="596"/>
      <c r="I1415" s="596"/>
      <c r="J1415" s="596"/>
      <c r="K1415" s="596"/>
      <c r="L1415" s="596"/>
      <c r="M1415" s="596"/>
      <c r="N1415" s="596"/>
      <c r="O1415" s="596"/>
      <c r="P1415" s="596"/>
      <c r="Q1415" s="596"/>
      <c r="R1415" s="596"/>
      <c r="S1415" s="596"/>
      <c r="T1415" s="597"/>
    </row>
    <row r="1416" spans="4:20">
      <c r="D1416" s="598" t="s">
        <v>371</v>
      </c>
      <c r="E1416" s="599"/>
      <c r="F1416" s="599"/>
      <c r="G1416" s="599"/>
      <c r="H1416" s="599"/>
      <c r="I1416" s="599"/>
      <c r="J1416" s="599"/>
      <c r="K1416" s="599"/>
      <c r="L1416" s="599"/>
      <c r="M1416" s="599"/>
      <c r="N1416" s="599"/>
      <c r="O1416" s="599"/>
      <c r="P1416" s="599"/>
      <c r="Q1416" s="599"/>
      <c r="R1416" s="599"/>
      <c r="S1416" s="599"/>
      <c r="T1416" s="600"/>
    </row>
    <row r="1417" spans="4:20">
      <c r="D1417" s="586" t="s">
        <v>372</v>
      </c>
      <c r="E1417" s="587"/>
      <c r="F1417" s="601" t="s">
        <v>373</v>
      </c>
      <c r="G1417" s="601"/>
      <c r="H1417" s="601"/>
      <c r="I1417" s="601"/>
      <c r="J1417" s="601"/>
      <c r="K1417" s="601"/>
      <c r="L1417" s="601"/>
      <c r="M1417" s="601"/>
      <c r="N1417" s="601"/>
      <c r="O1417" s="601"/>
      <c r="P1417" s="601"/>
      <c r="Q1417" s="601"/>
      <c r="R1417" s="601"/>
      <c r="S1417" s="601"/>
      <c r="T1417" s="602"/>
    </row>
    <row r="1418" spans="4:20">
      <c r="D1418" s="586" t="s">
        <v>374</v>
      </c>
      <c r="E1418" s="587"/>
      <c r="F1418" s="603" t="s">
        <v>375</v>
      </c>
      <c r="G1418" s="604"/>
      <c r="H1418" s="604"/>
      <c r="I1418" s="604"/>
      <c r="J1418" s="604"/>
      <c r="K1418" s="604"/>
      <c r="L1418" s="604"/>
      <c r="M1418" s="604"/>
      <c r="N1418" s="604"/>
      <c r="O1418" s="604"/>
      <c r="P1418" s="604"/>
      <c r="Q1418" s="604"/>
      <c r="R1418" s="604"/>
      <c r="S1418" s="604"/>
      <c r="T1418" s="605"/>
    </row>
    <row r="1419" spans="4:20">
      <c r="D1419" s="586" t="s">
        <v>376</v>
      </c>
      <c r="E1419" s="587"/>
      <c r="F1419" s="390">
        <f>+[42]DATOS!F$5</f>
        <v>46143</v>
      </c>
      <c r="G1419" s="391"/>
      <c r="H1419" s="391"/>
      <c r="I1419" s="391"/>
      <c r="J1419" s="391"/>
      <c r="K1419" s="391"/>
      <c r="L1419" s="568" t="s">
        <v>377</v>
      </c>
      <c r="M1419" s="568"/>
      <c r="N1419" s="588" t="s">
        <v>378</v>
      </c>
      <c r="O1419" s="588"/>
      <c r="P1419" s="588"/>
      <c r="Q1419" s="588"/>
      <c r="R1419" s="588"/>
      <c r="S1419" s="588"/>
      <c r="T1419" s="589"/>
    </row>
    <row r="1420" spans="4:20" ht="25.5">
      <c r="D1420" s="586" t="s">
        <v>379</v>
      </c>
      <c r="E1420" s="587"/>
      <c r="F1420" s="590" t="s">
        <v>380</v>
      </c>
      <c r="G1420" s="591"/>
      <c r="H1420" s="392">
        <f>+[42]DATOS!E$5</f>
        <v>2026</v>
      </c>
      <c r="I1420" s="393" t="s">
        <v>381</v>
      </c>
      <c r="J1420" s="394">
        <f>+[42]DATOS!E$5</f>
        <v>2026</v>
      </c>
      <c r="K1420" s="395"/>
      <c r="L1420" s="568" t="s">
        <v>382</v>
      </c>
      <c r="M1420" s="568"/>
      <c r="N1420" s="588" t="s">
        <v>383</v>
      </c>
      <c r="O1420" s="588"/>
      <c r="P1420" s="588"/>
      <c r="Q1420" s="588"/>
      <c r="R1420" s="588"/>
      <c r="S1420" s="588"/>
      <c r="T1420" s="589"/>
    </row>
    <row r="1421" spans="4:20">
      <c r="D1421" s="396"/>
      <c r="E1421" s="397"/>
      <c r="F1421" s="397"/>
      <c r="G1421" s="398"/>
      <c r="H1421" s="398"/>
      <c r="I1421" s="398"/>
      <c r="J1421" s="398"/>
      <c r="K1421" s="398"/>
      <c r="L1421" s="398"/>
      <c r="M1421" s="398"/>
      <c r="N1421" s="398"/>
      <c r="O1421" s="398"/>
      <c r="P1421" s="398"/>
      <c r="Q1421" s="398"/>
      <c r="R1421" s="398"/>
      <c r="S1421" s="398"/>
      <c r="T1421" s="399"/>
    </row>
    <row r="1422" spans="4:20">
      <c r="D1422" s="572" t="s">
        <v>384</v>
      </c>
      <c r="E1422" s="573"/>
      <c r="F1422" s="573"/>
      <c r="G1422" s="573"/>
      <c r="H1422" s="573"/>
      <c r="I1422" s="573"/>
      <c r="J1422" s="573"/>
      <c r="K1422" s="573"/>
      <c r="L1422" s="573"/>
      <c r="M1422" s="573"/>
      <c r="N1422" s="573"/>
      <c r="O1422" s="573"/>
      <c r="P1422" s="573"/>
      <c r="Q1422" s="573"/>
      <c r="R1422" s="573"/>
      <c r="S1422" s="573"/>
      <c r="T1422" s="574"/>
    </row>
    <row r="1423" spans="4:20">
      <c r="D1423" s="396"/>
      <c r="E1423" s="397"/>
      <c r="F1423" s="397"/>
      <c r="G1423" s="398"/>
      <c r="H1423" s="398"/>
      <c r="I1423" s="398"/>
      <c r="J1423" s="398"/>
      <c r="K1423" s="398"/>
      <c r="L1423" s="398"/>
      <c r="M1423" s="398"/>
      <c r="N1423" s="398"/>
      <c r="O1423" s="398"/>
      <c r="P1423" s="398"/>
      <c r="Q1423" s="398"/>
      <c r="R1423" s="398"/>
      <c r="S1423" s="398"/>
      <c r="T1423" s="399"/>
    </row>
    <row r="1424" spans="4:20">
      <c r="D1424" s="400" t="s">
        <v>385</v>
      </c>
      <c r="E1424" s="575" t="s">
        <v>386</v>
      </c>
      <c r="F1424" s="575"/>
      <c r="G1424" s="576" t="s">
        <v>387</v>
      </c>
      <c r="H1424" s="577"/>
      <c r="I1424" s="577"/>
      <c r="J1424" s="576" t="s">
        <v>388</v>
      </c>
      <c r="K1424" s="576" t="s">
        <v>389</v>
      </c>
      <c r="L1424" s="579"/>
      <c r="M1424" s="581" t="s">
        <v>390</v>
      </c>
      <c r="N1424" s="581"/>
      <c r="O1424" s="581"/>
      <c r="P1424" s="581"/>
      <c r="Q1424" s="581"/>
      <c r="R1424" s="581"/>
      <c r="S1424" s="581" t="s">
        <v>391</v>
      </c>
      <c r="T1424" s="582"/>
    </row>
    <row r="1425" spans="2:26" ht="38.25">
      <c r="D1425" s="403">
        <f>+'PRESUPUESTO OFICIAL '!C56</f>
        <v>4.07</v>
      </c>
      <c r="E1425" s="583" t="str">
        <f>+VLOOKUP(D1425,'PRESUPUESTO OFICIAL '!$C$11:$H$103,2)</f>
        <v>SUMINISTRO E INSTALACIÓN DE TUBERÍA PVC SANITARIA DE Ø=4"</v>
      </c>
      <c r="F1425" s="584"/>
      <c r="G1425" s="585" t="str">
        <f>+VLOOKUP(D1425,'PRESUPUESTO OFICIAL '!$C$11:$H$103,3)</f>
        <v>M</v>
      </c>
      <c r="H1425" s="585"/>
      <c r="I1425" s="585"/>
      <c r="J1425" s="578"/>
      <c r="K1425" s="578"/>
      <c r="L1425" s="580"/>
      <c r="M1425" s="401" t="s">
        <v>392</v>
      </c>
      <c r="N1425" s="401" t="s">
        <v>393</v>
      </c>
      <c r="O1425" s="401" t="s">
        <v>394</v>
      </c>
      <c r="P1425" s="401" t="s">
        <v>395</v>
      </c>
      <c r="Q1425" s="401" t="s">
        <v>396</v>
      </c>
      <c r="R1425" s="401" t="s">
        <v>397</v>
      </c>
      <c r="S1425" s="401" t="s">
        <v>398</v>
      </c>
      <c r="T1425" s="402" t="s">
        <v>399</v>
      </c>
      <c r="V1425" s="404">
        <f>+D1425</f>
        <v>4.07</v>
      </c>
      <c r="W1425" s="405">
        <f>+T1473</f>
        <v>96</v>
      </c>
    </row>
    <row r="1426" spans="2:26">
      <c r="D1426" s="406"/>
      <c r="E1426" s="407"/>
      <c r="F1426" s="407"/>
      <c r="G1426" s="407"/>
      <c r="H1426" s="407"/>
      <c r="I1426" s="407"/>
      <c r="J1426" s="558"/>
      <c r="K1426" s="559"/>
      <c r="L1426" s="560"/>
      <c r="M1426" s="560"/>
      <c r="N1426" s="560"/>
      <c r="O1426" s="560"/>
      <c r="P1426" s="560"/>
      <c r="Q1426" s="560"/>
      <c r="R1426" s="560"/>
      <c r="S1426" s="560"/>
      <c r="T1426" s="561"/>
    </row>
    <row r="1427" spans="2:26">
      <c r="B1427" s="383">
        <v>1</v>
      </c>
      <c r="D1427" s="406"/>
      <c r="E1427" s="407"/>
      <c r="F1427" s="407"/>
      <c r="G1427" s="407"/>
      <c r="H1427" s="407"/>
      <c r="I1427" s="407"/>
      <c r="J1427" s="408" t="s">
        <v>400</v>
      </c>
      <c r="K1427" s="409" t="str">
        <f t="shared" ref="K1427:K1469" si="228">+VLOOKUP(L1427,$AH$22:$AJ$58,2,)</f>
        <v>M=(Largo) x Cant</v>
      </c>
      <c r="L1427" s="410" t="str">
        <f>+G1425</f>
        <v>M</v>
      </c>
      <c r="M1427" s="411"/>
      <c r="N1427" s="412"/>
      <c r="O1427" s="442"/>
      <c r="P1427" s="442"/>
      <c r="Q1427" s="413"/>
      <c r="R1427" s="411"/>
      <c r="S1427" s="413" t="str">
        <f>IF(T1427=0,"",1)</f>
        <v/>
      </c>
      <c r="T1427" s="414">
        <f>+HLOOKUP(B1427,[238]Hoja1!$2:$78,45,FALSE)</f>
        <v>0</v>
      </c>
      <c r="Y1427" s="439">
        <f t="shared" ref="Y1427" si="229">+O1427*P1427*Q1427</f>
        <v>0</v>
      </c>
      <c r="Z1427" s="439">
        <f t="shared" ref="Z1427" si="230">+Y1427-R1427</f>
        <v>0</v>
      </c>
    </row>
    <row r="1428" spans="2:26">
      <c r="B1428" s="383">
        <v>2</v>
      </c>
      <c r="D1428" s="406"/>
      <c r="E1428" s="407"/>
      <c r="F1428" s="407"/>
      <c r="G1428" s="407"/>
      <c r="H1428" s="407"/>
      <c r="I1428" s="407"/>
      <c r="J1428" s="408" t="s">
        <v>401</v>
      </c>
      <c r="K1428" s="409" t="str">
        <f t="shared" si="228"/>
        <v>M=(Largo) x Cant</v>
      </c>
      <c r="L1428" s="410" t="str">
        <f>+L1427</f>
        <v>M</v>
      </c>
      <c r="M1428" s="411"/>
      <c r="N1428" s="412"/>
      <c r="O1428" s="442"/>
      <c r="P1428" s="442">
        <f t="shared" ref="P1428:P1431" si="231">+T1428</f>
        <v>15</v>
      </c>
      <c r="Q1428" s="413"/>
      <c r="R1428" s="411"/>
      <c r="S1428" s="413">
        <f t="shared" ref="S1428:S1469" si="232">IF(T1428=0,"",1)</f>
        <v>1</v>
      </c>
      <c r="T1428" s="414">
        <f>+HLOOKUP(B1428,[238]Hoja1!$2:$78,45,FALSE)</f>
        <v>15</v>
      </c>
      <c r="Y1428" s="439">
        <f>+M1428*Q1428</f>
        <v>0</v>
      </c>
      <c r="Z1428" s="439">
        <f>+Y1428-R1428</f>
        <v>0</v>
      </c>
    </row>
    <row r="1429" spans="2:26">
      <c r="B1429" s="383">
        <v>3</v>
      </c>
      <c r="D1429" s="406"/>
      <c r="E1429" s="407"/>
      <c r="F1429" s="407"/>
      <c r="G1429" s="407"/>
      <c r="H1429" s="407"/>
      <c r="I1429" s="407"/>
      <c r="J1429" s="408" t="s">
        <v>402</v>
      </c>
      <c r="K1429" s="409" t="str">
        <f t="shared" si="228"/>
        <v>M=(Largo) x Cant</v>
      </c>
      <c r="L1429" s="410" t="str">
        <f>+L1428</f>
        <v>M</v>
      </c>
      <c r="M1429" s="411"/>
      <c r="N1429" s="412"/>
      <c r="O1429" s="442"/>
      <c r="P1429" s="442">
        <f t="shared" si="231"/>
        <v>15</v>
      </c>
      <c r="Q1429" s="413"/>
      <c r="R1429" s="411"/>
      <c r="S1429" s="413">
        <f t="shared" si="232"/>
        <v>1</v>
      </c>
      <c r="T1429" s="414">
        <f>+HLOOKUP(B1429,[238]Hoja1!$2:$78,45,FALSE)</f>
        <v>15</v>
      </c>
      <c r="Y1429" s="439">
        <f t="shared" ref="Y1429:Y1431" si="233">+M1429*Q1429</f>
        <v>0</v>
      </c>
      <c r="Z1429" s="439">
        <f t="shared" ref="Z1429:Z1431" si="234">+Y1429-R1429</f>
        <v>0</v>
      </c>
    </row>
    <row r="1430" spans="2:26">
      <c r="B1430" s="383">
        <v>4</v>
      </c>
      <c r="D1430" s="406"/>
      <c r="E1430" s="407"/>
      <c r="G1430" s="407"/>
      <c r="H1430" s="407"/>
      <c r="I1430" s="407"/>
      <c r="J1430" s="408" t="s">
        <v>403</v>
      </c>
      <c r="K1430" s="409" t="str">
        <f t="shared" si="228"/>
        <v>M=(Largo) x Cant</v>
      </c>
      <c r="L1430" s="410" t="str">
        <f>+L1429</f>
        <v>M</v>
      </c>
      <c r="M1430" s="411"/>
      <c r="N1430" s="412"/>
      <c r="O1430" s="442"/>
      <c r="P1430" s="442">
        <f t="shared" si="231"/>
        <v>8</v>
      </c>
      <c r="Q1430" s="413"/>
      <c r="R1430" s="411"/>
      <c r="S1430" s="413">
        <f t="shared" si="232"/>
        <v>1</v>
      </c>
      <c r="T1430" s="414">
        <f>+HLOOKUP(B1430,[238]Hoja1!$2:$78,45,FALSE)</f>
        <v>8</v>
      </c>
      <c r="Y1430" s="439">
        <f t="shared" si="233"/>
        <v>0</v>
      </c>
      <c r="Z1430" s="439">
        <f t="shared" si="234"/>
        <v>0</v>
      </c>
    </row>
    <row r="1431" spans="2:26">
      <c r="B1431" s="383">
        <v>5</v>
      </c>
      <c r="D1431" s="406"/>
      <c r="E1431" s="407"/>
      <c r="F1431" s="407"/>
      <c r="G1431" s="407"/>
      <c r="H1431" s="407"/>
      <c r="I1431" s="407"/>
      <c r="J1431" s="408" t="s">
        <v>405</v>
      </c>
      <c r="K1431" s="409" t="str">
        <f t="shared" si="228"/>
        <v>M=(Largo) x Cant</v>
      </c>
      <c r="L1431" s="410" t="str">
        <f>+L1430</f>
        <v>M</v>
      </c>
      <c r="M1431" s="411"/>
      <c r="N1431" s="412"/>
      <c r="O1431" s="442"/>
      <c r="P1431" s="442">
        <f t="shared" si="231"/>
        <v>8</v>
      </c>
      <c r="Q1431" s="413"/>
      <c r="R1431" s="411"/>
      <c r="S1431" s="413">
        <f t="shared" si="232"/>
        <v>1</v>
      </c>
      <c r="T1431" s="414">
        <f>+HLOOKUP(B1431,[238]Hoja1!$2:$78,45,FALSE)</f>
        <v>8</v>
      </c>
      <c r="Y1431" s="439">
        <f t="shared" si="233"/>
        <v>0</v>
      </c>
      <c r="Z1431" s="439">
        <f t="shared" si="234"/>
        <v>0</v>
      </c>
    </row>
    <row r="1432" spans="2:26">
      <c r="B1432" s="383">
        <v>6</v>
      </c>
      <c r="D1432" s="406"/>
      <c r="E1432" s="407"/>
      <c r="F1432" s="407"/>
      <c r="G1432" s="407"/>
      <c r="H1432" s="407"/>
      <c r="I1432" s="407"/>
      <c r="J1432" s="408" t="s">
        <v>407</v>
      </c>
      <c r="K1432" s="409" t="str">
        <f t="shared" si="228"/>
        <v>M=(Largo) x Cant</v>
      </c>
      <c r="L1432" s="410" t="str">
        <f>+L1431</f>
        <v>M</v>
      </c>
      <c r="M1432" s="411"/>
      <c r="N1432" s="412"/>
      <c r="O1432" s="442"/>
      <c r="P1432" s="442"/>
      <c r="Q1432" s="413"/>
      <c r="R1432" s="411"/>
      <c r="S1432" s="413" t="str">
        <f t="shared" si="232"/>
        <v/>
      </c>
      <c r="T1432" s="414">
        <f>+HLOOKUP(B1432,[238]Hoja1!$2:$78,45,FALSE)</f>
        <v>0</v>
      </c>
      <c r="Y1432" s="439">
        <f>+M1432*Q1432</f>
        <v>0</v>
      </c>
      <c r="Z1432" s="439">
        <f>+Y1432-R1432</f>
        <v>0</v>
      </c>
    </row>
    <row r="1433" spans="2:26">
      <c r="B1433" s="383">
        <v>7</v>
      </c>
      <c r="D1433" s="406"/>
      <c r="E1433" s="407"/>
      <c r="F1433" s="407"/>
      <c r="G1433" s="407"/>
      <c r="H1433" s="407"/>
      <c r="I1433" s="407"/>
      <c r="J1433" s="408" t="s">
        <v>409</v>
      </c>
      <c r="K1433" s="409" t="str">
        <f t="shared" si="228"/>
        <v>M=(Largo) x Cant</v>
      </c>
      <c r="L1433" s="410" t="str">
        <f>+L1427</f>
        <v>M</v>
      </c>
      <c r="M1433" s="411"/>
      <c r="N1433" s="412"/>
      <c r="O1433" s="442"/>
      <c r="P1433" s="442"/>
      <c r="Q1433" s="413"/>
      <c r="R1433" s="411"/>
      <c r="S1433" s="413" t="str">
        <f t="shared" si="232"/>
        <v/>
      </c>
      <c r="T1433" s="414">
        <f>+HLOOKUP(B1433,[238]Hoja1!$2:$78,45,FALSE)</f>
        <v>0</v>
      </c>
      <c r="Y1433" s="439">
        <f t="shared" ref="Y1433:Y1469" si="235">+M1433*Q1433</f>
        <v>0</v>
      </c>
      <c r="Z1433" s="439">
        <f t="shared" ref="Z1433:Z1469" si="236">+Y1433-R1433</f>
        <v>0</v>
      </c>
    </row>
    <row r="1434" spans="2:26">
      <c r="B1434" s="383">
        <v>8</v>
      </c>
      <c r="D1434" s="406"/>
      <c r="E1434" s="407"/>
      <c r="F1434" s="407"/>
      <c r="G1434" s="407"/>
      <c r="H1434" s="407"/>
      <c r="I1434" s="407"/>
      <c r="J1434" s="408" t="s">
        <v>411</v>
      </c>
      <c r="K1434" s="409" t="str">
        <f t="shared" si="228"/>
        <v>M=(Largo) x Cant</v>
      </c>
      <c r="L1434" s="410" t="str">
        <f>+L1433</f>
        <v>M</v>
      </c>
      <c r="M1434" s="411"/>
      <c r="N1434" s="412"/>
      <c r="O1434" s="442"/>
      <c r="P1434" s="442"/>
      <c r="Q1434" s="413"/>
      <c r="R1434" s="411"/>
      <c r="S1434" s="413" t="str">
        <f t="shared" si="232"/>
        <v/>
      </c>
      <c r="T1434" s="414">
        <f>+HLOOKUP(B1434,[238]Hoja1!$2:$78,45,FALSE)</f>
        <v>0</v>
      </c>
      <c r="Y1434" s="439">
        <f t="shared" si="235"/>
        <v>0</v>
      </c>
      <c r="Z1434" s="439">
        <f t="shared" si="236"/>
        <v>0</v>
      </c>
    </row>
    <row r="1435" spans="2:26">
      <c r="B1435" s="383">
        <v>9</v>
      </c>
      <c r="D1435" s="406"/>
      <c r="E1435" s="407"/>
      <c r="F1435" s="407"/>
      <c r="G1435" s="407"/>
      <c r="H1435" s="407"/>
      <c r="I1435" s="407"/>
      <c r="J1435" s="408" t="s">
        <v>412</v>
      </c>
      <c r="K1435" s="409" t="str">
        <f t="shared" si="228"/>
        <v>M=(Largo) x Cant</v>
      </c>
      <c r="L1435" s="410" t="str">
        <f>+L1434</f>
        <v>M</v>
      </c>
      <c r="M1435" s="411"/>
      <c r="N1435" s="412"/>
      <c r="O1435" s="442"/>
      <c r="P1435" s="442">
        <f t="shared" ref="P1435:P1467" si="237">+T1435</f>
        <v>8</v>
      </c>
      <c r="Q1435" s="413"/>
      <c r="R1435" s="411"/>
      <c r="S1435" s="413">
        <f t="shared" si="232"/>
        <v>1</v>
      </c>
      <c r="T1435" s="414">
        <f>+HLOOKUP(B1435,[238]Hoja1!$2:$78,45,FALSE)</f>
        <v>8</v>
      </c>
      <c r="Y1435" s="439">
        <f t="shared" si="235"/>
        <v>0</v>
      </c>
      <c r="Z1435" s="439">
        <f t="shared" si="236"/>
        <v>0</v>
      </c>
    </row>
    <row r="1436" spans="2:26">
      <c r="B1436" s="383">
        <v>10</v>
      </c>
      <c r="D1436" s="406"/>
      <c r="E1436" s="407"/>
      <c r="F1436" s="407"/>
      <c r="G1436" s="407"/>
      <c r="H1436" s="407"/>
      <c r="I1436" s="407"/>
      <c r="J1436" s="408" t="s">
        <v>413</v>
      </c>
      <c r="K1436" s="409" t="str">
        <f t="shared" si="228"/>
        <v>M=(Largo) x Cant</v>
      </c>
      <c r="L1436" s="410" t="str">
        <f>+L1435</f>
        <v>M</v>
      </c>
      <c r="M1436" s="411"/>
      <c r="N1436" s="412"/>
      <c r="O1436" s="441"/>
      <c r="P1436" s="442"/>
      <c r="Q1436" s="413"/>
      <c r="R1436" s="411"/>
      <c r="S1436" s="413" t="str">
        <f t="shared" si="232"/>
        <v/>
      </c>
      <c r="T1436" s="414">
        <f>+HLOOKUP(B1436,[238]Hoja1!$2:$78,45,FALSE)</f>
        <v>0</v>
      </c>
      <c r="Y1436" s="439">
        <f t="shared" si="235"/>
        <v>0</v>
      </c>
      <c r="Z1436" s="439">
        <f t="shared" si="236"/>
        <v>0</v>
      </c>
    </row>
    <row r="1437" spans="2:26">
      <c r="B1437" s="383">
        <v>11</v>
      </c>
      <c r="D1437" s="406"/>
      <c r="E1437" s="407"/>
      <c r="F1437" s="407"/>
      <c r="G1437" s="407"/>
      <c r="H1437" s="407"/>
      <c r="I1437" s="407"/>
      <c r="J1437" s="408" t="s">
        <v>414</v>
      </c>
      <c r="K1437" s="409" t="str">
        <f t="shared" si="228"/>
        <v>M=(Largo) x Cant</v>
      </c>
      <c r="L1437" s="410" t="str">
        <f>+L1436</f>
        <v>M</v>
      </c>
      <c r="M1437" s="411"/>
      <c r="N1437" s="412"/>
      <c r="O1437" s="443"/>
      <c r="P1437" s="442"/>
      <c r="Q1437" s="413"/>
      <c r="R1437" s="411"/>
      <c r="S1437" s="413" t="str">
        <f t="shared" si="232"/>
        <v/>
      </c>
      <c r="T1437" s="414">
        <f>+HLOOKUP(B1437,[238]Hoja1!$2:$78,45,FALSE)</f>
        <v>0</v>
      </c>
      <c r="Y1437" s="439">
        <f t="shared" si="235"/>
        <v>0</v>
      </c>
      <c r="Z1437" s="439">
        <f t="shared" si="236"/>
        <v>0</v>
      </c>
    </row>
    <row r="1438" spans="2:26">
      <c r="B1438" s="383">
        <v>12</v>
      </c>
      <c r="D1438" s="406"/>
      <c r="E1438" s="407"/>
      <c r="F1438" s="407"/>
      <c r="G1438" s="407"/>
      <c r="H1438" s="407"/>
      <c r="I1438" s="407"/>
      <c r="J1438" s="408" t="s">
        <v>415</v>
      </c>
      <c r="K1438" s="409" t="str">
        <f t="shared" si="228"/>
        <v>M=(Largo) x Cant</v>
      </c>
      <c r="L1438" s="410" t="str">
        <f>+L1432</f>
        <v>M</v>
      </c>
      <c r="M1438" s="411"/>
      <c r="N1438" s="412"/>
      <c r="O1438" s="442"/>
      <c r="P1438" s="442"/>
      <c r="Q1438" s="413"/>
      <c r="R1438" s="411"/>
      <c r="S1438" s="413" t="str">
        <f t="shared" si="232"/>
        <v/>
      </c>
      <c r="T1438" s="414">
        <f>+HLOOKUP(B1438,[238]Hoja1!$2:$78,45,FALSE)</f>
        <v>0</v>
      </c>
      <c r="Y1438" s="439">
        <f t="shared" si="235"/>
        <v>0</v>
      </c>
      <c r="Z1438" s="439">
        <f t="shared" si="236"/>
        <v>0</v>
      </c>
    </row>
    <row r="1439" spans="2:26">
      <c r="B1439" s="383">
        <v>13</v>
      </c>
      <c r="D1439" s="406"/>
      <c r="E1439" s="407"/>
      <c r="F1439" s="407"/>
      <c r="G1439" s="407"/>
      <c r="H1439" s="407"/>
      <c r="I1439" s="407"/>
      <c r="J1439" s="408" t="s">
        <v>416</v>
      </c>
      <c r="K1439" s="409" t="str">
        <f t="shared" si="228"/>
        <v>M=(Largo) x Cant</v>
      </c>
      <c r="L1439" s="410" t="str">
        <f>+L1434</f>
        <v>M</v>
      </c>
      <c r="M1439" s="411"/>
      <c r="N1439" s="412"/>
      <c r="O1439" s="442"/>
      <c r="P1439" s="442"/>
      <c r="Q1439" s="413"/>
      <c r="R1439" s="411"/>
      <c r="S1439" s="413" t="str">
        <f t="shared" si="232"/>
        <v/>
      </c>
      <c r="T1439" s="414">
        <f>+HLOOKUP(B1439,[238]Hoja1!$2:$78,45,FALSE)</f>
        <v>0</v>
      </c>
      <c r="Y1439" s="439">
        <f t="shared" si="235"/>
        <v>0</v>
      </c>
      <c r="Z1439" s="439">
        <f t="shared" si="236"/>
        <v>0</v>
      </c>
    </row>
    <row r="1440" spans="2:26">
      <c r="B1440" s="383">
        <v>14</v>
      </c>
      <c r="D1440" s="406"/>
      <c r="E1440" s="407"/>
      <c r="F1440" s="407"/>
      <c r="G1440" s="407"/>
      <c r="H1440" s="407"/>
      <c r="I1440" s="407"/>
      <c r="J1440" s="408" t="s">
        <v>417</v>
      </c>
      <c r="K1440" s="409" t="str">
        <f t="shared" si="228"/>
        <v>M=(Largo) x Cant</v>
      </c>
      <c r="L1440" s="410" t="str">
        <f t="shared" ref="L1440:L1451" si="238">+L1439</f>
        <v>M</v>
      </c>
      <c r="M1440" s="411"/>
      <c r="N1440" s="412"/>
      <c r="O1440" s="442"/>
      <c r="P1440" s="442">
        <f t="shared" si="237"/>
        <v>8</v>
      </c>
      <c r="Q1440" s="413"/>
      <c r="R1440" s="411"/>
      <c r="S1440" s="413">
        <f t="shared" si="232"/>
        <v>1</v>
      </c>
      <c r="T1440" s="414">
        <f>+HLOOKUP(B1440,[238]Hoja1!$2:$78,45,FALSE)</f>
        <v>8</v>
      </c>
      <c r="Y1440" s="439">
        <f t="shared" si="235"/>
        <v>0</v>
      </c>
      <c r="Z1440" s="439">
        <f t="shared" si="236"/>
        <v>0</v>
      </c>
    </row>
    <row r="1441" spans="2:26">
      <c r="B1441" s="383">
        <v>15</v>
      </c>
      <c r="D1441" s="406"/>
      <c r="E1441" s="407"/>
      <c r="F1441" s="407"/>
      <c r="G1441" s="407"/>
      <c r="H1441" s="407"/>
      <c r="I1441" s="407"/>
      <c r="J1441" s="408" t="s">
        <v>418</v>
      </c>
      <c r="K1441" s="409" t="str">
        <f t="shared" si="228"/>
        <v>M=(Largo) x Cant</v>
      </c>
      <c r="L1441" s="410" t="str">
        <f t="shared" si="238"/>
        <v>M</v>
      </c>
      <c r="M1441" s="411"/>
      <c r="N1441" s="412"/>
      <c r="O1441" s="442"/>
      <c r="P1441" s="442"/>
      <c r="Q1441" s="413"/>
      <c r="R1441" s="411"/>
      <c r="S1441" s="413" t="str">
        <f t="shared" si="232"/>
        <v/>
      </c>
      <c r="T1441" s="414">
        <f>+HLOOKUP(B1441,[238]Hoja1!$2:$78,45,FALSE)</f>
        <v>0</v>
      </c>
      <c r="Y1441" s="439">
        <f t="shared" si="235"/>
        <v>0</v>
      </c>
      <c r="Z1441" s="439">
        <f t="shared" si="236"/>
        <v>0</v>
      </c>
    </row>
    <row r="1442" spans="2:26">
      <c r="B1442" s="383">
        <v>16</v>
      </c>
      <c r="D1442" s="406"/>
      <c r="E1442" s="407"/>
      <c r="F1442" s="407"/>
      <c r="G1442" s="407"/>
      <c r="H1442" s="407"/>
      <c r="I1442" s="407"/>
      <c r="J1442" s="408" t="s">
        <v>419</v>
      </c>
      <c r="K1442" s="409" t="str">
        <f t="shared" si="228"/>
        <v>M=(Largo) x Cant</v>
      </c>
      <c r="L1442" s="410" t="str">
        <f t="shared" si="238"/>
        <v>M</v>
      </c>
      <c r="M1442" s="411"/>
      <c r="N1442" s="412"/>
      <c r="O1442" s="442"/>
      <c r="P1442" s="442"/>
      <c r="Q1442" s="413"/>
      <c r="R1442" s="411"/>
      <c r="S1442" s="413" t="str">
        <f t="shared" si="232"/>
        <v/>
      </c>
      <c r="T1442" s="414">
        <f>+HLOOKUP(B1442,[238]Hoja1!$2:$78,45,FALSE)</f>
        <v>0</v>
      </c>
      <c r="Y1442" s="439">
        <f t="shared" si="235"/>
        <v>0</v>
      </c>
      <c r="Z1442" s="439">
        <f t="shared" si="236"/>
        <v>0</v>
      </c>
    </row>
    <row r="1443" spans="2:26">
      <c r="B1443" s="383">
        <v>17</v>
      </c>
      <c r="D1443" s="406"/>
      <c r="E1443" s="407"/>
      <c r="F1443" s="407"/>
      <c r="G1443" s="407"/>
      <c r="H1443" s="407"/>
      <c r="I1443" s="407"/>
      <c r="J1443" s="408" t="s">
        <v>420</v>
      </c>
      <c r="K1443" s="409" t="str">
        <f t="shared" si="228"/>
        <v>M=(Largo) x Cant</v>
      </c>
      <c r="L1443" s="410" t="str">
        <f t="shared" si="238"/>
        <v>M</v>
      </c>
      <c r="M1443" s="411"/>
      <c r="N1443" s="412"/>
      <c r="O1443" s="442"/>
      <c r="P1443" s="442"/>
      <c r="Q1443" s="413"/>
      <c r="R1443" s="411"/>
      <c r="S1443" s="413" t="str">
        <f t="shared" si="232"/>
        <v/>
      </c>
      <c r="T1443" s="414">
        <f>+HLOOKUP(B1443,[238]Hoja1!$2:$78,45,FALSE)</f>
        <v>0</v>
      </c>
      <c r="W1443" s="383">
        <f>+Q1443*P1443*O1443</f>
        <v>0</v>
      </c>
      <c r="Y1443" s="439">
        <f t="shared" si="235"/>
        <v>0</v>
      </c>
      <c r="Z1443" s="439">
        <f t="shared" si="236"/>
        <v>0</v>
      </c>
    </row>
    <row r="1444" spans="2:26">
      <c r="B1444" s="383">
        <v>18</v>
      </c>
      <c r="D1444" s="406"/>
      <c r="E1444" s="407"/>
      <c r="F1444" s="407"/>
      <c r="G1444" s="407"/>
      <c r="H1444" s="407"/>
      <c r="I1444" s="407"/>
      <c r="J1444" s="408" t="s">
        <v>429</v>
      </c>
      <c r="K1444" s="409" t="str">
        <f t="shared" si="228"/>
        <v>M=(Largo) x Cant</v>
      </c>
      <c r="L1444" s="410" t="str">
        <f t="shared" si="238"/>
        <v>M</v>
      </c>
      <c r="M1444" s="411"/>
      <c r="N1444" s="412"/>
      <c r="O1444" s="442"/>
      <c r="P1444" s="442"/>
      <c r="Q1444" s="413"/>
      <c r="R1444" s="411"/>
      <c r="S1444" s="413" t="str">
        <f t="shared" si="232"/>
        <v/>
      </c>
      <c r="T1444" s="414">
        <f>+HLOOKUP(B1444,[238]Hoja1!$2:$78,45,FALSE)</f>
        <v>0</v>
      </c>
      <c r="Y1444" s="439">
        <f t="shared" si="235"/>
        <v>0</v>
      </c>
      <c r="Z1444" s="439">
        <f t="shared" si="236"/>
        <v>0</v>
      </c>
    </row>
    <row r="1445" spans="2:26">
      <c r="B1445" s="383">
        <v>19</v>
      </c>
      <c r="D1445" s="406"/>
      <c r="E1445" s="407"/>
      <c r="F1445" s="407"/>
      <c r="G1445" s="407"/>
      <c r="H1445" s="407"/>
      <c r="I1445" s="407"/>
      <c r="J1445" s="408" t="s">
        <v>430</v>
      </c>
      <c r="K1445" s="409" t="str">
        <f t="shared" si="228"/>
        <v>M=(Largo) x Cant</v>
      </c>
      <c r="L1445" s="410" t="str">
        <f t="shared" si="238"/>
        <v>M</v>
      </c>
      <c r="M1445" s="411"/>
      <c r="N1445" s="412"/>
      <c r="O1445" s="442"/>
      <c r="P1445" s="442">
        <f t="shared" si="237"/>
        <v>8</v>
      </c>
      <c r="Q1445" s="413"/>
      <c r="R1445" s="411"/>
      <c r="S1445" s="413">
        <f t="shared" si="232"/>
        <v>1</v>
      </c>
      <c r="T1445" s="414">
        <f>+HLOOKUP(B1445,[238]Hoja1!$2:$78,45,FALSE)</f>
        <v>8</v>
      </c>
      <c r="Y1445" s="439">
        <f t="shared" si="235"/>
        <v>0</v>
      </c>
      <c r="Z1445" s="439">
        <f t="shared" si="236"/>
        <v>0</v>
      </c>
    </row>
    <row r="1446" spans="2:26">
      <c r="B1446" s="383">
        <v>20</v>
      </c>
      <c r="D1446" s="406"/>
      <c r="E1446" s="407"/>
      <c r="F1446" s="407"/>
      <c r="G1446" s="407"/>
      <c r="H1446" s="407"/>
      <c r="I1446" s="407"/>
      <c r="J1446" s="408" t="s">
        <v>431</v>
      </c>
      <c r="K1446" s="409" t="str">
        <f t="shared" si="228"/>
        <v>M=(Largo) x Cant</v>
      </c>
      <c r="L1446" s="410" t="str">
        <f t="shared" si="238"/>
        <v>M</v>
      </c>
      <c r="M1446" s="411"/>
      <c r="N1446" s="412"/>
      <c r="O1446" s="442"/>
      <c r="P1446" s="442"/>
      <c r="Q1446" s="413"/>
      <c r="R1446" s="411"/>
      <c r="S1446" s="413" t="str">
        <f t="shared" si="232"/>
        <v/>
      </c>
      <c r="T1446" s="414">
        <f>+HLOOKUP(B1446,[238]Hoja1!$2:$78,45,FALSE)</f>
        <v>0</v>
      </c>
      <c r="Y1446" s="439">
        <f t="shared" si="235"/>
        <v>0</v>
      </c>
      <c r="Z1446" s="439">
        <f t="shared" si="236"/>
        <v>0</v>
      </c>
    </row>
    <row r="1447" spans="2:26">
      <c r="B1447" s="383">
        <v>21</v>
      </c>
      <c r="D1447" s="406"/>
      <c r="E1447" s="407"/>
      <c r="F1447" s="407"/>
      <c r="G1447" s="407"/>
      <c r="H1447" s="407"/>
      <c r="I1447" s="407"/>
      <c r="J1447" s="408" t="s">
        <v>432</v>
      </c>
      <c r="K1447" s="409" t="str">
        <f t="shared" si="228"/>
        <v>M=(Largo) x Cant</v>
      </c>
      <c r="L1447" s="410" t="str">
        <f t="shared" si="238"/>
        <v>M</v>
      </c>
      <c r="M1447" s="411"/>
      <c r="N1447" s="412"/>
      <c r="O1447" s="442"/>
      <c r="P1447" s="442"/>
      <c r="Q1447" s="413"/>
      <c r="R1447" s="411"/>
      <c r="S1447" s="413" t="str">
        <f t="shared" si="232"/>
        <v/>
      </c>
      <c r="T1447" s="414">
        <f>+HLOOKUP(B1447,[238]Hoja1!$2:$78,45,FALSE)</f>
        <v>0</v>
      </c>
      <c r="Y1447" s="439">
        <f t="shared" si="235"/>
        <v>0</v>
      </c>
      <c r="Z1447" s="439">
        <f t="shared" si="236"/>
        <v>0</v>
      </c>
    </row>
    <row r="1448" spans="2:26">
      <c r="B1448" s="383">
        <v>22</v>
      </c>
      <c r="D1448" s="406"/>
      <c r="E1448" s="407"/>
      <c r="F1448" s="407"/>
      <c r="G1448" s="407"/>
      <c r="H1448" s="407"/>
      <c r="I1448" s="407"/>
      <c r="J1448" s="408" t="s">
        <v>433</v>
      </c>
      <c r="K1448" s="409" t="str">
        <f t="shared" si="228"/>
        <v>M=(Largo) x Cant</v>
      </c>
      <c r="L1448" s="410" t="str">
        <f t="shared" si="238"/>
        <v>M</v>
      </c>
      <c r="M1448" s="411"/>
      <c r="N1448" s="412"/>
      <c r="O1448" s="442"/>
      <c r="P1448" s="442">
        <f t="shared" si="237"/>
        <v>8</v>
      </c>
      <c r="Q1448" s="413"/>
      <c r="R1448" s="411"/>
      <c r="S1448" s="413">
        <f t="shared" si="232"/>
        <v>1</v>
      </c>
      <c r="T1448" s="414">
        <f>+HLOOKUP(B1448,[238]Hoja1!$2:$78,45,FALSE)</f>
        <v>8</v>
      </c>
      <c r="Y1448" s="439">
        <f t="shared" si="235"/>
        <v>0</v>
      </c>
      <c r="Z1448" s="439">
        <f t="shared" si="236"/>
        <v>0</v>
      </c>
    </row>
    <row r="1449" spans="2:26">
      <c r="B1449" s="383">
        <v>23</v>
      </c>
      <c r="D1449" s="406"/>
      <c r="E1449" s="407"/>
      <c r="F1449" s="407"/>
      <c r="G1449" s="407"/>
      <c r="H1449" s="407"/>
      <c r="I1449" s="407"/>
      <c r="J1449" s="408" t="s">
        <v>434</v>
      </c>
      <c r="K1449" s="409" t="str">
        <f t="shared" si="228"/>
        <v>M=(Largo) x Cant</v>
      </c>
      <c r="L1449" s="410" t="str">
        <f t="shared" si="238"/>
        <v>M</v>
      </c>
      <c r="M1449" s="411"/>
      <c r="N1449" s="412"/>
      <c r="O1449" s="441"/>
      <c r="P1449" s="442"/>
      <c r="Q1449" s="413"/>
      <c r="R1449" s="411"/>
      <c r="S1449" s="413" t="str">
        <f t="shared" si="232"/>
        <v/>
      </c>
      <c r="T1449" s="414">
        <f>+HLOOKUP(B1449,[238]Hoja1!$2:$78,45,FALSE)</f>
        <v>0</v>
      </c>
      <c r="Y1449" s="439">
        <f t="shared" si="235"/>
        <v>0</v>
      </c>
      <c r="Z1449" s="439">
        <f t="shared" si="236"/>
        <v>0</v>
      </c>
    </row>
    <row r="1450" spans="2:26">
      <c r="B1450" s="383">
        <v>24</v>
      </c>
      <c r="D1450" s="406"/>
      <c r="E1450" s="407"/>
      <c r="F1450" s="407"/>
      <c r="G1450" s="407"/>
      <c r="H1450" s="407"/>
      <c r="I1450" s="407"/>
      <c r="J1450" s="408" t="s">
        <v>435</v>
      </c>
      <c r="K1450" s="409" t="str">
        <f t="shared" si="228"/>
        <v>M=(Largo) x Cant</v>
      </c>
      <c r="L1450" s="410" t="str">
        <f t="shared" si="238"/>
        <v>M</v>
      </c>
      <c r="M1450" s="411"/>
      <c r="N1450" s="412"/>
      <c r="O1450" s="442"/>
      <c r="P1450" s="442"/>
      <c r="Q1450" s="413"/>
      <c r="R1450" s="411"/>
      <c r="S1450" s="413" t="str">
        <f t="shared" si="232"/>
        <v/>
      </c>
      <c r="T1450" s="414">
        <f>+HLOOKUP(B1450,[238]Hoja1!$2:$78,45,FALSE)</f>
        <v>0</v>
      </c>
      <c r="Y1450" s="439">
        <f t="shared" si="235"/>
        <v>0</v>
      </c>
      <c r="Z1450" s="439">
        <f t="shared" si="236"/>
        <v>0</v>
      </c>
    </row>
    <row r="1451" spans="2:26">
      <c r="B1451" s="383">
        <v>25</v>
      </c>
      <c r="D1451" s="406"/>
      <c r="E1451" s="407"/>
      <c r="F1451" s="407"/>
      <c r="G1451" s="407"/>
      <c r="H1451" s="407"/>
      <c r="I1451" s="407"/>
      <c r="J1451" s="408" t="s">
        <v>436</v>
      </c>
      <c r="K1451" s="409" t="str">
        <f t="shared" si="228"/>
        <v>M=(Largo) x Cant</v>
      </c>
      <c r="L1451" s="410" t="str">
        <f t="shared" si="238"/>
        <v>M</v>
      </c>
      <c r="M1451" s="411"/>
      <c r="N1451" s="412"/>
      <c r="O1451" s="442"/>
      <c r="P1451" s="442"/>
      <c r="Q1451" s="413"/>
      <c r="R1451" s="411"/>
      <c r="S1451" s="413" t="str">
        <f t="shared" si="232"/>
        <v/>
      </c>
      <c r="T1451" s="414">
        <f>+HLOOKUP(B1451,[238]Hoja1!$2:$78,45,FALSE)</f>
        <v>0</v>
      </c>
      <c r="Y1451" s="439">
        <f t="shared" si="235"/>
        <v>0</v>
      </c>
      <c r="Z1451" s="439">
        <f t="shared" si="236"/>
        <v>0</v>
      </c>
    </row>
    <row r="1452" spans="2:26">
      <c r="B1452" s="383">
        <v>26</v>
      </c>
      <c r="D1452" s="406"/>
      <c r="E1452" s="407"/>
      <c r="F1452" s="407"/>
      <c r="G1452" s="407"/>
      <c r="H1452" s="407"/>
      <c r="I1452" s="407"/>
      <c r="J1452" s="408" t="s">
        <v>437</v>
      </c>
      <c r="K1452" s="409" t="str">
        <f t="shared" si="228"/>
        <v>M=(Largo) x Cant</v>
      </c>
      <c r="L1452" s="410" t="str">
        <f>+L1441</f>
        <v>M</v>
      </c>
      <c r="M1452" s="411"/>
      <c r="N1452" s="412"/>
      <c r="O1452" s="442"/>
      <c r="P1452" s="442"/>
      <c r="Q1452" s="413"/>
      <c r="R1452" s="411"/>
      <c r="S1452" s="413" t="str">
        <f t="shared" si="232"/>
        <v/>
      </c>
      <c r="T1452" s="414">
        <f>+HLOOKUP(B1452,[238]Hoja1!$2:$78,45,FALSE)</f>
        <v>0</v>
      </c>
      <c r="Y1452" s="439">
        <f t="shared" si="235"/>
        <v>0</v>
      </c>
      <c r="Z1452" s="439">
        <f t="shared" si="236"/>
        <v>0</v>
      </c>
    </row>
    <row r="1453" spans="2:26">
      <c r="B1453" s="383">
        <v>27</v>
      </c>
      <c r="D1453" s="406"/>
      <c r="E1453" s="407"/>
      <c r="F1453" s="407"/>
      <c r="G1453" s="407"/>
      <c r="H1453" s="407"/>
      <c r="I1453" s="407"/>
      <c r="J1453" s="408" t="s">
        <v>438</v>
      </c>
      <c r="K1453" s="409" t="str">
        <f t="shared" si="228"/>
        <v>M=(Largo) x Cant</v>
      </c>
      <c r="L1453" s="410" t="str">
        <f t="shared" ref="L1453:L1461" si="239">+L1452</f>
        <v>M</v>
      </c>
      <c r="M1453" s="411"/>
      <c r="N1453" s="412"/>
      <c r="O1453" s="442"/>
      <c r="P1453" s="442">
        <f t="shared" si="237"/>
        <v>15</v>
      </c>
      <c r="Q1453" s="413"/>
      <c r="R1453" s="411"/>
      <c r="S1453" s="413">
        <f t="shared" si="232"/>
        <v>1</v>
      </c>
      <c r="T1453" s="414">
        <f>+HLOOKUP(B1453,[238]Hoja1!$2:$78,45,FALSE)</f>
        <v>15</v>
      </c>
      <c r="Y1453" s="439">
        <f t="shared" si="235"/>
        <v>0</v>
      </c>
      <c r="Z1453" s="439">
        <f t="shared" si="236"/>
        <v>0</v>
      </c>
    </row>
    <row r="1454" spans="2:26">
      <c r="B1454" s="383">
        <v>28</v>
      </c>
      <c r="D1454" s="406"/>
      <c r="E1454" s="440"/>
      <c r="F1454" s="407"/>
      <c r="G1454" s="407"/>
      <c r="H1454" s="407"/>
      <c r="I1454" s="437"/>
      <c r="J1454" s="408" t="s">
        <v>439</v>
      </c>
      <c r="K1454" s="409" t="str">
        <f t="shared" si="228"/>
        <v>M=(Largo) x Cant</v>
      </c>
      <c r="L1454" s="410" t="str">
        <f t="shared" si="239"/>
        <v>M</v>
      </c>
      <c r="M1454" s="411"/>
      <c r="N1454" s="412"/>
      <c r="O1454" s="442"/>
      <c r="P1454" s="442"/>
      <c r="Q1454" s="413"/>
      <c r="R1454" s="411"/>
      <c r="S1454" s="413" t="str">
        <f t="shared" si="232"/>
        <v/>
      </c>
      <c r="T1454" s="414">
        <f>+HLOOKUP(B1454,[238]Hoja1!$2:$78,45,FALSE)</f>
        <v>0</v>
      </c>
      <c r="Y1454" s="439">
        <f t="shared" si="235"/>
        <v>0</v>
      </c>
      <c r="Z1454" s="439">
        <f t="shared" si="236"/>
        <v>0</v>
      </c>
    </row>
    <row r="1455" spans="2:26">
      <c r="B1455" s="383">
        <v>29</v>
      </c>
      <c r="D1455" s="406"/>
      <c r="E1455" s="407"/>
      <c r="F1455" s="407"/>
      <c r="G1455" s="407"/>
      <c r="H1455" s="407"/>
      <c r="I1455" s="407"/>
      <c r="J1455" s="408" t="s">
        <v>440</v>
      </c>
      <c r="K1455" s="409" t="str">
        <f t="shared" si="228"/>
        <v>M=(Largo) x Cant</v>
      </c>
      <c r="L1455" s="410" t="str">
        <f t="shared" si="239"/>
        <v>M</v>
      </c>
      <c r="M1455" s="411"/>
      <c r="N1455" s="412"/>
      <c r="O1455" s="443"/>
      <c r="P1455" s="442"/>
      <c r="Q1455" s="413"/>
      <c r="R1455" s="411"/>
      <c r="S1455" s="413" t="str">
        <f t="shared" si="232"/>
        <v/>
      </c>
      <c r="T1455" s="414">
        <f>+HLOOKUP(B1455,[238]Hoja1!$2:$78,45,FALSE)</f>
        <v>0</v>
      </c>
      <c r="Y1455" s="439">
        <f t="shared" si="235"/>
        <v>0</v>
      </c>
      <c r="Z1455" s="439">
        <f t="shared" si="236"/>
        <v>0</v>
      </c>
    </row>
    <row r="1456" spans="2:26">
      <c r="B1456" s="383">
        <v>30</v>
      </c>
      <c r="D1456" s="406"/>
      <c r="E1456" s="407"/>
      <c r="F1456" s="407"/>
      <c r="G1456" s="407"/>
      <c r="H1456" s="407"/>
      <c r="I1456" s="407"/>
      <c r="J1456" s="408" t="s">
        <v>441</v>
      </c>
      <c r="K1456" s="409" t="str">
        <f t="shared" si="228"/>
        <v>M=(Largo) x Cant</v>
      </c>
      <c r="L1456" s="410" t="str">
        <f t="shared" si="239"/>
        <v>M</v>
      </c>
      <c r="M1456" s="411"/>
      <c r="N1456" s="412"/>
      <c r="O1456" s="442"/>
      <c r="P1456" s="442"/>
      <c r="Q1456" s="413"/>
      <c r="R1456" s="411"/>
      <c r="S1456" s="413" t="str">
        <f t="shared" si="232"/>
        <v/>
      </c>
      <c r="T1456" s="414">
        <f>+HLOOKUP(B1456,[238]Hoja1!$2:$78,45,FALSE)</f>
        <v>0</v>
      </c>
      <c r="Y1456" s="439">
        <f t="shared" si="235"/>
        <v>0</v>
      </c>
      <c r="Z1456" s="439">
        <f t="shared" si="236"/>
        <v>0</v>
      </c>
    </row>
    <row r="1457" spans="2:26">
      <c r="B1457" s="383">
        <v>31</v>
      </c>
      <c r="D1457" s="406"/>
      <c r="E1457" s="407"/>
      <c r="F1457" s="407"/>
      <c r="G1457" s="407"/>
      <c r="H1457" s="407"/>
      <c r="I1457" s="407"/>
      <c r="J1457" s="408" t="s">
        <v>442</v>
      </c>
      <c r="K1457" s="409" t="str">
        <f t="shared" si="228"/>
        <v>M=(Largo) x Cant</v>
      </c>
      <c r="L1457" s="410" t="str">
        <f t="shared" si="239"/>
        <v>M</v>
      </c>
      <c r="M1457" s="411"/>
      <c r="N1457" s="412"/>
      <c r="O1457" s="442"/>
      <c r="P1457" s="442"/>
      <c r="Q1457" s="413"/>
      <c r="R1457" s="411"/>
      <c r="S1457" s="413" t="str">
        <f t="shared" si="232"/>
        <v/>
      </c>
      <c r="T1457" s="414">
        <f>+HLOOKUP(B1457,[238]Hoja1!$2:$78,45,FALSE)</f>
        <v>0</v>
      </c>
      <c r="Y1457" s="439">
        <f t="shared" si="235"/>
        <v>0</v>
      </c>
      <c r="Z1457" s="439">
        <f t="shared" si="236"/>
        <v>0</v>
      </c>
    </row>
    <row r="1458" spans="2:26">
      <c r="B1458" s="383">
        <v>32</v>
      </c>
      <c r="D1458" s="406"/>
      <c r="E1458" s="407"/>
      <c r="F1458" s="407"/>
      <c r="G1458" s="407"/>
      <c r="H1458" s="407"/>
      <c r="I1458" s="407"/>
      <c r="J1458" s="408" t="s">
        <v>443</v>
      </c>
      <c r="K1458" s="409" t="str">
        <f t="shared" si="228"/>
        <v>M=(Largo) x Cant</v>
      </c>
      <c r="L1458" s="410" t="str">
        <f t="shared" si="239"/>
        <v>M</v>
      </c>
      <c r="M1458" s="411"/>
      <c r="N1458" s="412"/>
      <c r="O1458" s="442"/>
      <c r="P1458" s="442"/>
      <c r="Q1458" s="413"/>
      <c r="R1458" s="411"/>
      <c r="S1458" s="413" t="str">
        <f t="shared" si="232"/>
        <v/>
      </c>
      <c r="T1458" s="414">
        <f>+HLOOKUP(B1458,[238]Hoja1!$2:$78,45,FALSE)</f>
        <v>0</v>
      </c>
      <c r="Y1458" s="439">
        <f t="shared" si="235"/>
        <v>0</v>
      </c>
      <c r="Z1458" s="439">
        <f t="shared" si="236"/>
        <v>0</v>
      </c>
    </row>
    <row r="1459" spans="2:26">
      <c r="B1459" s="383">
        <v>33</v>
      </c>
      <c r="D1459" s="406"/>
      <c r="E1459" s="407"/>
      <c r="F1459" s="407"/>
      <c r="G1459" s="407"/>
      <c r="H1459" s="407"/>
      <c r="I1459" s="407"/>
      <c r="J1459" s="408" t="s">
        <v>444</v>
      </c>
      <c r="K1459" s="409" t="str">
        <f t="shared" si="228"/>
        <v>M=(Largo) x Cant</v>
      </c>
      <c r="L1459" s="410" t="str">
        <f t="shared" si="239"/>
        <v>M</v>
      </c>
      <c r="M1459" s="411"/>
      <c r="N1459" s="412"/>
      <c r="O1459" s="442"/>
      <c r="P1459" s="442"/>
      <c r="Q1459" s="413"/>
      <c r="R1459" s="411"/>
      <c r="S1459" s="413" t="str">
        <f t="shared" si="232"/>
        <v/>
      </c>
      <c r="T1459" s="414">
        <f>+HLOOKUP(B1459,[238]Hoja1!$2:$78,45,FALSE)</f>
        <v>0</v>
      </c>
      <c r="Y1459" s="439">
        <f t="shared" si="235"/>
        <v>0</v>
      </c>
      <c r="Z1459" s="439">
        <f t="shared" si="236"/>
        <v>0</v>
      </c>
    </row>
    <row r="1460" spans="2:26">
      <c r="B1460" s="383">
        <v>34</v>
      </c>
      <c r="D1460" s="406"/>
      <c r="E1460" s="407"/>
      <c r="F1460" s="407"/>
      <c r="G1460" s="407"/>
      <c r="H1460" s="407"/>
      <c r="I1460" s="407"/>
      <c r="J1460" s="408" t="s">
        <v>445</v>
      </c>
      <c r="K1460" s="409" t="str">
        <f t="shared" si="228"/>
        <v>M=(Largo) x Cant</v>
      </c>
      <c r="L1460" s="410" t="str">
        <f t="shared" si="239"/>
        <v>M</v>
      </c>
      <c r="M1460" s="411"/>
      <c r="N1460" s="412"/>
      <c r="O1460" s="441"/>
      <c r="P1460" s="442"/>
      <c r="Q1460" s="413"/>
      <c r="R1460" s="411"/>
      <c r="S1460" s="413" t="str">
        <f t="shared" si="232"/>
        <v/>
      </c>
      <c r="T1460" s="414">
        <f>+HLOOKUP(B1460,[238]Hoja1!$2:$78,45,FALSE)</f>
        <v>0</v>
      </c>
      <c r="Y1460" s="439">
        <f t="shared" si="235"/>
        <v>0</v>
      </c>
      <c r="Z1460" s="439">
        <f t="shared" si="236"/>
        <v>0</v>
      </c>
    </row>
    <row r="1461" spans="2:26">
      <c r="B1461" s="383">
        <v>35</v>
      </c>
      <c r="D1461" s="406"/>
      <c r="E1461" s="440"/>
      <c r="F1461" s="407"/>
      <c r="G1461" s="407"/>
      <c r="H1461" s="407"/>
      <c r="I1461" s="437"/>
      <c r="J1461" s="408" t="s">
        <v>446</v>
      </c>
      <c r="K1461" s="409" t="str">
        <f t="shared" si="228"/>
        <v>M=(Largo) x Cant</v>
      </c>
      <c r="L1461" s="410" t="str">
        <f t="shared" si="239"/>
        <v>M</v>
      </c>
      <c r="M1461" s="411"/>
      <c r="N1461" s="412"/>
      <c r="O1461" s="442"/>
      <c r="P1461" s="442"/>
      <c r="Q1461" s="413"/>
      <c r="R1461" s="411"/>
      <c r="S1461" s="413" t="str">
        <f t="shared" si="232"/>
        <v/>
      </c>
      <c r="T1461" s="414">
        <f>+HLOOKUP(B1461,[238]Hoja1!$2:$78,45,FALSE)</f>
        <v>0</v>
      </c>
      <c r="Y1461" s="439">
        <f t="shared" si="235"/>
        <v>0</v>
      </c>
      <c r="Z1461" s="439">
        <f t="shared" si="236"/>
        <v>0</v>
      </c>
    </row>
    <row r="1462" spans="2:26">
      <c r="B1462" s="383">
        <v>36</v>
      </c>
      <c r="D1462" s="406"/>
      <c r="E1462" s="407"/>
      <c r="F1462" s="407"/>
      <c r="G1462" s="407"/>
      <c r="H1462" s="407"/>
      <c r="I1462" s="407"/>
      <c r="J1462" s="408" t="s">
        <v>447</v>
      </c>
      <c r="K1462" s="409" t="str">
        <f t="shared" si="228"/>
        <v>M=(Largo) x Cant</v>
      </c>
      <c r="L1462" s="410" t="str">
        <f>+L1451</f>
        <v>M</v>
      </c>
      <c r="M1462" s="411"/>
      <c r="N1462" s="412"/>
      <c r="O1462" s="442"/>
      <c r="P1462" s="442"/>
      <c r="Q1462" s="413"/>
      <c r="R1462" s="411"/>
      <c r="S1462" s="413" t="str">
        <f t="shared" si="232"/>
        <v/>
      </c>
      <c r="T1462" s="414">
        <f>+HLOOKUP(B1462,[238]Hoja1!$2:$78,45,FALSE)</f>
        <v>0</v>
      </c>
      <c r="Y1462" s="439">
        <f t="shared" si="235"/>
        <v>0</v>
      </c>
      <c r="Z1462" s="439">
        <f t="shared" si="236"/>
        <v>0</v>
      </c>
    </row>
    <row r="1463" spans="2:26">
      <c r="B1463" s="383">
        <v>37</v>
      </c>
      <c r="D1463" s="406"/>
      <c r="E1463" s="407"/>
      <c r="F1463" s="407"/>
      <c r="G1463" s="407"/>
      <c r="H1463" s="407"/>
      <c r="I1463" s="407"/>
      <c r="J1463" s="408" t="s">
        <v>448</v>
      </c>
      <c r="K1463" s="409" t="str">
        <f t="shared" si="228"/>
        <v>M=(Largo) x Cant</v>
      </c>
      <c r="L1463" s="410" t="str">
        <f t="shared" ref="L1463:L1469" si="240">+L1462</f>
        <v>M</v>
      </c>
      <c r="M1463" s="411"/>
      <c r="N1463" s="412"/>
      <c r="O1463" s="441"/>
      <c r="P1463" s="442"/>
      <c r="Q1463" s="413"/>
      <c r="R1463" s="411"/>
      <c r="S1463" s="413" t="str">
        <f t="shared" si="232"/>
        <v/>
      </c>
      <c r="T1463" s="414">
        <f>+HLOOKUP(B1463,[238]Hoja1!$2:$78,45,FALSE)</f>
        <v>0</v>
      </c>
      <c r="Y1463" s="439">
        <f t="shared" si="235"/>
        <v>0</v>
      </c>
      <c r="Z1463" s="439">
        <f t="shared" si="236"/>
        <v>0</v>
      </c>
    </row>
    <row r="1464" spans="2:26">
      <c r="B1464" s="383">
        <v>38</v>
      </c>
      <c r="D1464" s="406"/>
      <c r="E1464" s="440"/>
      <c r="F1464" s="407"/>
      <c r="G1464" s="407"/>
      <c r="H1464" s="407"/>
      <c r="I1464" s="437"/>
      <c r="J1464" s="408" t="s">
        <v>449</v>
      </c>
      <c r="K1464" s="409" t="str">
        <f t="shared" si="228"/>
        <v>M=(Largo) x Cant</v>
      </c>
      <c r="L1464" s="410" t="str">
        <f t="shared" si="240"/>
        <v>M</v>
      </c>
      <c r="M1464" s="411"/>
      <c r="N1464" s="412"/>
      <c r="O1464" s="442"/>
      <c r="P1464" s="442"/>
      <c r="Q1464" s="413"/>
      <c r="R1464" s="411"/>
      <c r="S1464" s="413" t="str">
        <f t="shared" si="232"/>
        <v/>
      </c>
      <c r="T1464" s="414">
        <f>+HLOOKUP(B1464,[238]Hoja1!$2:$78,45,FALSE)</f>
        <v>0</v>
      </c>
      <c r="Y1464" s="439">
        <f t="shared" si="235"/>
        <v>0</v>
      </c>
      <c r="Z1464" s="439">
        <f t="shared" si="236"/>
        <v>0</v>
      </c>
    </row>
    <row r="1465" spans="2:26">
      <c r="B1465" s="383">
        <v>39</v>
      </c>
      <c r="D1465" s="406"/>
      <c r="E1465" s="407"/>
      <c r="F1465" s="407"/>
      <c r="G1465" s="407"/>
      <c r="H1465" s="407"/>
      <c r="I1465" s="407"/>
      <c r="J1465" s="408" t="s">
        <v>450</v>
      </c>
      <c r="K1465" s="409" t="str">
        <f t="shared" si="228"/>
        <v>M=(Largo) x Cant</v>
      </c>
      <c r="L1465" s="410" t="str">
        <f t="shared" si="240"/>
        <v>M</v>
      </c>
      <c r="M1465" s="411"/>
      <c r="N1465" s="412"/>
      <c r="O1465" s="441"/>
      <c r="P1465" s="442"/>
      <c r="Q1465" s="413"/>
      <c r="R1465" s="411"/>
      <c r="S1465" s="413" t="str">
        <f t="shared" si="232"/>
        <v/>
      </c>
      <c r="T1465" s="414">
        <f>+HLOOKUP(B1465,[238]Hoja1!$2:$78,45,FALSE)</f>
        <v>0</v>
      </c>
      <c r="Y1465" s="439">
        <f t="shared" si="235"/>
        <v>0</v>
      </c>
      <c r="Z1465" s="439">
        <f t="shared" si="236"/>
        <v>0</v>
      </c>
    </row>
    <row r="1466" spans="2:26">
      <c r="B1466" s="383">
        <v>40</v>
      </c>
      <c r="D1466" s="406"/>
      <c r="E1466" s="407"/>
      <c r="F1466" s="407"/>
      <c r="G1466" s="407"/>
      <c r="H1466" s="407"/>
      <c r="I1466" s="407"/>
      <c r="J1466" s="408" t="s">
        <v>451</v>
      </c>
      <c r="K1466" s="409" t="str">
        <f t="shared" si="228"/>
        <v>M=(Largo) x Cant</v>
      </c>
      <c r="L1466" s="410" t="str">
        <f t="shared" si="240"/>
        <v>M</v>
      </c>
      <c r="M1466" s="411"/>
      <c r="N1466" s="412"/>
      <c r="O1466" s="442"/>
      <c r="P1466" s="442"/>
      <c r="Q1466" s="413"/>
      <c r="R1466" s="411"/>
      <c r="S1466" s="413" t="str">
        <f t="shared" si="232"/>
        <v/>
      </c>
      <c r="T1466" s="414">
        <f>+HLOOKUP(B1466,[238]Hoja1!$2:$78,45,FALSE)</f>
        <v>0</v>
      </c>
      <c r="Y1466" s="439">
        <f t="shared" si="235"/>
        <v>0</v>
      </c>
      <c r="Z1466" s="439">
        <f t="shared" si="236"/>
        <v>0</v>
      </c>
    </row>
    <row r="1467" spans="2:26">
      <c r="B1467" s="383">
        <v>41</v>
      </c>
      <c r="D1467" s="406"/>
      <c r="E1467" s="407"/>
      <c r="F1467" s="407"/>
      <c r="G1467" s="407"/>
      <c r="H1467" s="407"/>
      <c r="I1467" s="407"/>
      <c r="J1467" s="408" t="s">
        <v>452</v>
      </c>
      <c r="K1467" s="409" t="str">
        <f t="shared" si="228"/>
        <v>M=(Largo) x Cant</v>
      </c>
      <c r="L1467" s="410" t="str">
        <f t="shared" si="240"/>
        <v>M</v>
      </c>
      <c r="M1467" s="411"/>
      <c r="N1467" s="412"/>
      <c r="O1467" s="442"/>
      <c r="P1467" s="442">
        <f t="shared" si="237"/>
        <v>3</v>
      </c>
      <c r="Q1467" s="413"/>
      <c r="R1467" s="411"/>
      <c r="S1467" s="413">
        <f t="shared" si="232"/>
        <v>1</v>
      </c>
      <c r="T1467" s="414">
        <f>+HLOOKUP(B1467,[238]Hoja1!$2:$78,45,FALSE)</f>
        <v>3</v>
      </c>
      <c r="Y1467" s="439">
        <f t="shared" si="235"/>
        <v>0</v>
      </c>
      <c r="Z1467" s="439">
        <f t="shared" si="236"/>
        <v>0</v>
      </c>
    </row>
    <row r="1468" spans="2:26">
      <c r="B1468" s="383">
        <v>42</v>
      </c>
      <c r="D1468" s="406"/>
      <c r="E1468" s="407"/>
      <c r="F1468" s="407"/>
      <c r="G1468" s="407"/>
      <c r="H1468" s="407"/>
      <c r="I1468" s="407"/>
      <c r="J1468" s="408" t="s">
        <v>453</v>
      </c>
      <c r="K1468" s="409" t="str">
        <f t="shared" si="228"/>
        <v>M=(Largo) x Cant</v>
      </c>
      <c r="L1468" s="410" t="str">
        <f t="shared" si="240"/>
        <v>M</v>
      </c>
      <c r="M1468" s="411"/>
      <c r="N1468" s="412"/>
      <c r="O1468" s="442"/>
      <c r="P1468" s="442"/>
      <c r="Q1468" s="413"/>
      <c r="R1468" s="411"/>
      <c r="S1468" s="413" t="str">
        <f t="shared" si="232"/>
        <v/>
      </c>
      <c r="T1468" s="414">
        <f>+HLOOKUP(B1468,[238]Hoja1!$2:$78,45,FALSE)</f>
        <v>0</v>
      </c>
      <c r="Y1468" s="439">
        <f t="shared" si="235"/>
        <v>0</v>
      </c>
      <c r="Z1468" s="439">
        <f t="shared" si="236"/>
        <v>0</v>
      </c>
    </row>
    <row r="1469" spans="2:26" ht="13.5" thickBot="1">
      <c r="B1469" s="383">
        <v>43</v>
      </c>
      <c r="D1469" s="406"/>
      <c r="E1469" s="407"/>
      <c r="F1469" s="407"/>
      <c r="G1469" s="407"/>
      <c r="H1469" s="407"/>
      <c r="I1469" s="407"/>
      <c r="J1469" s="408" t="s">
        <v>454</v>
      </c>
      <c r="K1469" s="409" t="str">
        <f t="shared" si="228"/>
        <v>M=(Largo) x Cant</v>
      </c>
      <c r="L1469" s="410" t="str">
        <f t="shared" si="240"/>
        <v>M</v>
      </c>
      <c r="M1469" s="411"/>
      <c r="N1469" s="412"/>
      <c r="O1469" s="442"/>
      <c r="P1469" s="442"/>
      <c r="Q1469" s="413"/>
      <c r="R1469" s="411"/>
      <c r="S1469" s="413" t="str">
        <f t="shared" si="232"/>
        <v/>
      </c>
      <c r="T1469" s="414">
        <f>+HLOOKUP(B1469,[238]Hoja1!$2:$78,45,FALSE)</f>
        <v>0</v>
      </c>
      <c r="Y1469" s="439">
        <f t="shared" si="235"/>
        <v>0</v>
      </c>
      <c r="Z1469" s="439">
        <f t="shared" si="236"/>
        <v>0</v>
      </c>
    </row>
    <row r="1470" spans="2:26">
      <c r="D1470" s="384"/>
      <c r="E1470" s="419"/>
      <c r="F1470" s="420"/>
      <c r="G1470" s="421"/>
      <c r="H1470" s="421"/>
      <c r="I1470" s="421"/>
      <c r="J1470" s="421"/>
      <c r="K1470" s="422"/>
      <c r="L1470" s="421"/>
      <c r="M1470" s="421"/>
      <c r="N1470" s="421"/>
      <c r="O1470" s="421"/>
      <c r="P1470" s="421"/>
      <c r="Q1470" s="421"/>
      <c r="R1470" s="421"/>
      <c r="S1470" s="422"/>
      <c r="T1470" s="423"/>
    </row>
    <row r="1471" spans="2:26">
      <c r="D1471" s="396"/>
      <c r="E1471" s="397"/>
      <c r="F1471" s="424"/>
      <c r="G1471" s="425"/>
      <c r="H1471" s="425"/>
      <c r="I1471" s="425"/>
      <c r="J1471" s="425"/>
      <c r="K1471" s="398"/>
      <c r="L1471" s="425"/>
      <c r="M1471" s="425"/>
      <c r="N1471" s="397"/>
      <c r="O1471" s="397"/>
      <c r="P1471" s="562" t="s">
        <v>455</v>
      </c>
      <c r="Q1471" s="563"/>
      <c r="R1471" s="564"/>
      <c r="S1471" s="426"/>
      <c r="T1471" s="427">
        <f>ROUND(SUM(T1427:T1470),2)</f>
        <v>96</v>
      </c>
    </row>
    <row r="1472" spans="2:26">
      <c r="D1472" s="396"/>
      <c r="E1472" s="397"/>
      <c r="F1472" s="424"/>
      <c r="G1472" s="425"/>
      <c r="H1472" s="425"/>
      <c r="I1472" s="425"/>
      <c r="J1472" s="425"/>
      <c r="K1472" s="398"/>
      <c r="L1472" s="425"/>
      <c r="M1472" s="425"/>
      <c r="N1472" s="428"/>
      <c r="O1472" s="428"/>
      <c r="P1472" s="429"/>
      <c r="Q1472" s="425"/>
      <c r="R1472" s="425"/>
      <c r="S1472" s="430"/>
      <c r="T1472" s="431"/>
    </row>
    <row r="1473" spans="4:20">
      <c r="D1473" s="565" t="e">
        <v>#REF!</v>
      </c>
      <c r="E1473" s="566"/>
      <c r="F1473" s="566"/>
      <c r="G1473" s="566"/>
      <c r="H1473" s="566"/>
      <c r="I1473" s="566"/>
      <c r="J1473" s="566"/>
      <c r="K1473" s="566"/>
      <c r="L1473" s="566"/>
      <c r="M1473" s="566"/>
      <c r="N1473" s="566"/>
      <c r="O1473" s="567"/>
      <c r="P1473" s="568" t="s">
        <v>422</v>
      </c>
      <c r="Q1473" s="568"/>
      <c r="R1473" s="568"/>
      <c r="S1473" s="426"/>
      <c r="T1473" s="427">
        <f>T1471</f>
        <v>96</v>
      </c>
    </row>
    <row r="1474" spans="4:20">
      <c r="D1474" s="396"/>
      <c r="E1474" s="397"/>
      <c r="F1474" s="424"/>
      <c r="G1474" s="425"/>
      <c r="H1474" s="425"/>
      <c r="I1474" s="425"/>
      <c r="J1474" s="425"/>
      <c r="K1474" s="398"/>
      <c r="L1474" s="425"/>
      <c r="M1474" s="425"/>
      <c r="N1474" s="428"/>
      <c r="O1474" s="428"/>
      <c r="P1474" s="429"/>
      <c r="Q1474" s="425"/>
      <c r="R1474" s="398"/>
      <c r="S1474" s="398"/>
      <c r="T1474" s="432"/>
    </row>
    <row r="1475" spans="4:20">
      <c r="D1475" s="396"/>
      <c r="E1475" s="397"/>
      <c r="F1475" s="424"/>
      <c r="G1475" s="425"/>
      <c r="H1475" s="425"/>
      <c r="I1475" s="425"/>
      <c r="J1475" s="425"/>
      <c r="K1475" s="398"/>
      <c r="L1475" s="425"/>
      <c r="M1475" s="425"/>
      <c r="N1475" s="428"/>
      <c r="O1475" s="428"/>
      <c r="P1475" s="429"/>
      <c r="Q1475" s="425"/>
      <c r="R1475" s="398"/>
      <c r="S1475" s="398"/>
      <c r="T1475" s="432"/>
    </row>
    <row r="1476" spans="4:20">
      <c r="D1476" s="569" t="s">
        <v>423</v>
      </c>
      <c r="E1476" s="570"/>
      <c r="F1476" s="570"/>
      <c r="G1476" s="570"/>
      <c r="H1476" s="570"/>
      <c r="I1476" s="570"/>
      <c r="J1476" s="570"/>
      <c r="K1476" s="571"/>
      <c r="L1476" s="433" t="s">
        <v>424</v>
      </c>
      <c r="M1476" s="434"/>
      <c r="N1476" s="434"/>
      <c r="O1476" s="434"/>
      <c r="P1476" s="434"/>
      <c r="Q1476" s="434"/>
      <c r="R1476" s="434"/>
      <c r="S1476" s="434"/>
      <c r="T1476" s="435"/>
    </row>
    <row r="1477" spans="4:20">
      <c r="D1477" s="542"/>
      <c r="E1477" s="543"/>
      <c r="F1477" s="543"/>
      <c r="G1477" s="543"/>
      <c r="H1477" s="436"/>
      <c r="I1477" s="436"/>
      <c r="J1477" s="436"/>
      <c r="K1477" s="447"/>
      <c r="L1477" s="436"/>
      <c r="M1477" s="407"/>
      <c r="N1477" s="407"/>
      <c r="O1477" s="407"/>
      <c r="P1477" s="407"/>
      <c r="Q1477" s="407"/>
      <c r="R1477" s="407"/>
      <c r="S1477" s="407"/>
      <c r="T1477" s="437"/>
    </row>
    <row r="1478" spans="4:20">
      <c r="D1478" s="542"/>
      <c r="E1478" s="543"/>
      <c r="F1478" s="543"/>
      <c r="G1478" s="543"/>
      <c r="H1478" s="436"/>
      <c r="I1478" s="436"/>
      <c r="J1478" s="436"/>
      <c r="K1478" s="447"/>
      <c r="L1478" s="436"/>
      <c r="M1478" s="407"/>
      <c r="N1478" s="407"/>
      <c r="O1478" s="407"/>
      <c r="P1478" s="407"/>
      <c r="Q1478" s="407"/>
      <c r="R1478" s="407"/>
      <c r="S1478" s="407"/>
      <c r="T1478" s="437"/>
    </row>
    <row r="1479" spans="4:20">
      <c r="D1479" s="542" t="s">
        <v>425</v>
      </c>
      <c r="E1479" s="543"/>
      <c r="F1479" s="543" t="s">
        <v>425</v>
      </c>
      <c r="G1479" s="543"/>
      <c r="H1479" s="543" t="s">
        <v>425</v>
      </c>
      <c r="I1479" s="543"/>
      <c r="J1479" s="543" t="s">
        <v>425</v>
      </c>
      <c r="K1479" s="544"/>
      <c r="L1479" s="545" t="s">
        <v>426</v>
      </c>
      <c r="M1479" s="546"/>
      <c r="N1479" s="546"/>
      <c r="O1479" s="546"/>
      <c r="P1479" s="546"/>
      <c r="Q1479" s="546"/>
      <c r="R1479" s="546"/>
      <c r="S1479" s="546"/>
      <c r="T1479" s="547"/>
    </row>
    <row r="1480" spans="4:20">
      <c r="D1480" s="548" t="str">
        <f>+[42]DATOS!D$8</f>
        <v>HELMER EDUARDO BECERRA SANTANDER</v>
      </c>
      <c r="E1480" s="549"/>
      <c r="F1480" s="549" t="s">
        <v>427</v>
      </c>
      <c r="G1480" s="549"/>
      <c r="H1480" s="549" t="s">
        <v>427</v>
      </c>
      <c r="I1480" s="549"/>
      <c r="J1480" s="549" t="s">
        <v>427</v>
      </c>
      <c r="K1480" s="550"/>
      <c r="L1480" s="551" t="str">
        <f>+[42]DATOS!D$11</f>
        <v>JESUS IVAN QUIÑONES RUEDA</v>
      </c>
      <c r="M1480" s="549"/>
      <c r="N1480" s="549"/>
      <c r="O1480" s="549"/>
      <c r="P1480" s="549"/>
      <c r="Q1480" s="549"/>
      <c r="R1480" s="549"/>
      <c r="S1480" s="549"/>
      <c r="T1480" s="552"/>
    </row>
    <row r="1481" spans="4:20">
      <c r="D1481" s="553" t="str">
        <f>+$D$72</f>
        <v>APOYO SEC. DE PLANEACION Y OBRAS PÚBLICAS</v>
      </c>
      <c r="E1481" s="554"/>
      <c r="F1481" s="554" t="s">
        <v>428</v>
      </c>
      <c r="G1481" s="554"/>
      <c r="H1481" s="554" t="s">
        <v>428</v>
      </c>
      <c r="I1481" s="554"/>
      <c r="J1481" s="554" t="s">
        <v>428</v>
      </c>
      <c r="K1481" s="555"/>
      <c r="L1481" s="556" t="str">
        <f>+$L$72</f>
        <v>SECRETARIO DE PLANEACION Y OBRAS PÚBLICAS</v>
      </c>
      <c r="M1481" s="554"/>
      <c r="N1481" s="554"/>
      <c r="O1481" s="554"/>
      <c r="P1481" s="554"/>
      <c r="Q1481" s="554"/>
      <c r="R1481" s="554"/>
      <c r="S1481" s="554"/>
      <c r="T1481" s="557"/>
    </row>
    <row r="1482" spans="4:20">
      <c r="D1482" s="406"/>
      <c r="E1482" s="407"/>
      <c r="F1482" s="407"/>
      <c r="G1482" s="407"/>
      <c r="H1482" s="407"/>
      <c r="I1482" s="407"/>
      <c r="J1482" s="407"/>
      <c r="K1482" s="407"/>
      <c r="L1482" s="407"/>
      <c r="M1482" s="407"/>
      <c r="N1482" s="407"/>
      <c r="O1482" s="407"/>
      <c r="P1482" s="407"/>
      <c r="Q1482" s="407"/>
      <c r="R1482" s="407"/>
      <c r="S1482" s="407"/>
      <c r="T1482" s="437"/>
    </row>
    <row r="1483" spans="4:20" ht="111" customHeight="1" thickBot="1">
      <c r="D1483" s="417"/>
      <c r="E1483" s="418"/>
      <c r="F1483" s="418"/>
      <c r="G1483" s="418"/>
      <c r="H1483" s="418"/>
      <c r="I1483" s="418"/>
      <c r="J1483" s="418"/>
      <c r="K1483" s="418"/>
      <c r="L1483" s="418"/>
      <c r="M1483" s="418"/>
      <c r="N1483" s="418"/>
      <c r="O1483" s="418"/>
      <c r="P1483" s="418"/>
      <c r="Q1483" s="418"/>
      <c r="R1483" s="418"/>
      <c r="S1483" s="418"/>
      <c r="T1483" s="438"/>
    </row>
    <row r="1484" spans="4:20" ht="22.5" customHeight="1"/>
    <row r="1486" spans="4:20" ht="13.5" thickBot="1"/>
    <row r="1487" spans="4:20">
      <c r="D1487" s="384"/>
      <c r="E1487" s="385"/>
      <c r="F1487" s="385"/>
      <c r="G1487" s="385"/>
      <c r="H1487" s="385"/>
      <c r="I1487" s="385"/>
      <c r="J1487" s="385"/>
      <c r="K1487" s="445"/>
      <c r="L1487" s="385"/>
      <c r="M1487" s="385"/>
      <c r="N1487" s="385"/>
      <c r="O1487" s="385"/>
      <c r="P1487" s="385"/>
      <c r="Q1487" s="385"/>
      <c r="R1487" s="385"/>
      <c r="S1487" s="385"/>
      <c r="T1487" s="386"/>
    </row>
    <row r="1488" spans="4:20" ht="121.5" customHeight="1" thickBot="1">
      <c r="D1488" s="387"/>
      <c r="E1488" s="388"/>
      <c r="F1488" s="388"/>
      <c r="G1488" s="388"/>
      <c r="H1488" s="388"/>
      <c r="I1488" s="388"/>
      <c r="J1488" s="388"/>
      <c r="K1488" s="446"/>
      <c r="L1488" s="388"/>
      <c r="M1488" s="388"/>
      <c r="N1488" s="388"/>
      <c r="O1488" s="388"/>
      <c r="P1488" s="388"/>
      <c r="Q1488" s="388"/>
      <c r="R1488" s="388"/>
      <c r="S1488" s="388"/>
      <c r="T1488" s="389"/>
    </row>
    <row r="1489" spans="2:26">
      <c r="D1489" s="592" t="str">
        <f>+[42]DATOS!C$7</f>
        <v>MEJORAMIENTO DE VIVIENDA CON ENFOQUE DIFERENCIAL PARA POBLACIÓN VULNERABLE EN EL MUNICIPIO DE CUBARÁ, BOYACÁ (2026).</v>
      </c>
      <c r="E1489" s="593"/>
      <c r="F1489" s="593"/>
      <c r="G1489" s="593"/>
      <c r="H1489" s="593"/>
      <c r="I1489" s="593"/>
      <c r="J1489" s="593"/>
      <c r="K1489" s="593"/>
      <c r="L1489" s="593"/>
      <c r="M1489" s="593"/>
      <c r="N1489" s="593"/>
      <c r="O1489" s="593"/>
      <c r="P1489" s="593"/>
      <c r="Q1489" s="593"/>
      <c r="R1489" s="593"/>
      <c r="S1489" s="593"/>
      <c r="T1489" s="594"/>
    </row>
    <row r="1490" spans="2:26">
      <c r="D1490" s="595"/>
      <c r="E1490" s="596"/>
      <c r="F1490" s="596"/>
      <c r="G1490" s="596"/>
      <c r="H1490" s="596"/>
      <c r="I1490" s="596"/>
      <c r="J1490" s="596"/>
      <c r="K1490" s="596"/>
      <c r="L1490" s="596"/>
      <c r="M1490" s="596"/>
      <c r="N1490" s="596"/>
      <c r="O1490" s="596"/>
      <c r="P1490" s="596"/>
      <c r="Q1490" s="596"/>
      <c r="R1490" s="596"/>
      <c r="S1490" s="596"/>
      <c r="T1490" s="597"/>
    </row>
    <row r="1491" spans="2:26">
      <c r="D1491" s="598" t="s">
        <v>371</v>
      </c>
      <c r="E1491" s="599"/>
      <c r="F1491" s="599"/>
      <c r="G1491" s="599"/>
      <c r="H1491" s="599"/>
      <c r="I1491" s="599"/>
      <c r="J1491" s="599"/>
      <c r="K1491" s="599"/>
      <c r="L1491" s="599"/>
      <c r="M1491" s="599"/>
      <c r="N1491" s="599"/>
      <c r="O1491" s="599"/>
      <c r="P1491" s="599"/>
      <c r="Q1491" s="599"/>
      <c r="R1491" s="599"/>
      <c r="S1491" s="599"/>
      <c r="T1491" s="600"/>
    </row>
    <row r="1492" spans="2:26">
      <c r="D1492" s="586" t="s">
        <v>372</v>
      </c>
      <c r="E1492" s="587"/>
      <c r="F1492" s="601" t="s">
        <v>373</v>
      </c>
      <c r="G1492" s="601"/>
      <c r="H1492" s="601"/>
      <c r="I1492" s="601"/>
      <c r="J1492" s="601"/>
      <c r="K1492" s="601"/>
      <c r="L1492" s="601"/>
      <c r="M1492" s="601"/>
      <c r="N1492" s="601"/>
      <c r="O1492" s="601"/>
      <c r="P1492" s="601"/>
      <c r="Q1492" s="601"/>
      <c r="R1492" s="601"/>
      <c r="S1492" s="601"/>
      <c r="T1492" s="602"/>
    </row>
    <row r="1493" spans="2:26">
      <c r="D1493" s="586" t="s">
        <v>374</v>
      </c>
      <c r="E1493" s="587"/>
      <c r="F1493" s="603" t="s">
        <v>375</v>
      </c>
      <c r="G1493" s="604"/>
      <c r="H1493" s="604"/>
      <c r="I1493" s="604"/>
      <c r="J1493" s="604"/>
      <c r="K1493" s="604"/>
      <c r="L1493" s="604"/>
      <c r="M1493" s="604"/>
      <c r="N1493" s="604"/>
      <c r="O1493" s="604"/>
      <c r="P1493" s="604"/>
      <c r="Q1493" s="604"/>
      <c r="R1493" s="604"/>
      <c r="S1493" s="604"/>
      <c r="T1493" s="605"/>
    </row>
    <row r="1494" spans="2:26">
      <c r="D1494" s="586" t="s">
        <v>376</v>
      </c>
      <c r="E1494" s="587"/>
      <c r="F1494" s="390">
        <f>+[42]DATOS!F$5</f>
        <v>46143</v>
      </c>
      <c r="G1494" s="391"/>
      <c r="H1494" s="391"/>
      <c r="I1494" s="391"/>
      <c r="J1494" s="391"/>
      <c r="K1494" s="391"/>
      <c r="L1494" s="568" t="s">
        <v>377</v>
      </c>
      <c r="M1494" s="568"/>
      <c r="N1494" s="588" t="s">
        <v>378</v>
      </c>
      <c r="O1494" s="588"/>
      <c r="P1494" s="588"/>
      <c r="Q1494" s="588"/>
      <c r="R1494" s="588"/>
      <c r="S1494" s="588"/>
      <c r="T1494" s="589"/>
    </row>
    <row r="1495" spans="2:26" ht="25.5">
      <c r="D1495" s="586" t="s">
        <v>379</v>
      </c>
      <c r="E1495" s="587"/>
      <c r="F1495" s="590" t="s">
        <v>380</v>
      </c>
      <c r="G1495" s="591"/>
      <c r="H1495" s="392">
        <f>+[42]DATOS!E$5</f>
        <v>2026</v>
      </c>
      <c r="I1495" s="393" t="s">
        <v>381</v>
      </c>
      <c r="J1495" s="394">
        <f>+[42]DATOS!E$5</f>
        <v>2026</v>
      </c>
      <c r="K1495" s="395"/>
      <c r="L1495" s="568" t="s">
        <v>382</v>
      </c>
      <c r="M1495" s="568"/>
      <c r="N1495" s="588" t="s">
        <v>383</v>
      </c>
      <c r="O1495" s="588"/>
      <c r="P1495" s="588"/>
      <c r="Q1495" s="588"/>
      <c r="R1495" s="588"/>
      <c r="S1495" s="588"/>
      <c r="T1495" s="589"/>
    </row>
    <row r="1496" spans="2:26">
      <c r="D1496" s="396"/>
      <c r="E1496" s="397"/>
      <c r="F1496" s="397"/>
      <c r="G1496" s="398"/>
      <c r="H1496" s="398"/>
      <c r="I1496" s="398"/>
      <c r="J1496" s="398"/>
      <c r="K1496" s="398"/>
      <c r="L1496" s="398"/>
      <c r="M1496" s="398"/>
      <c r="N1496" s="398"/>
      <c r="O1496" s="398"/>
      <c r="P1496" s="398"/>
      <c r="Q1496" s="398"/>
      <c r="R1496" s="398"/>
      <c r="S1496" s="398"/>
      <c r="T1496" s="399"/>
    </row>
    <row r="1497" spans="2:26">
      <c r="D1497" s="572" t="s">
        <v>384</v>
      </c>
      <c r="E1497" s="573"/>
      <c r="F1497" s="573"/>
      <c r="G1497" s="573"/>
      <c r="H1497" s="573"/>
      <c r="I1497" s="573"/>
      <c r="J1497" s="573"/>
      <c r="K1497" s="573"/>
      <c r="L1497" s="573"/>
      <c r="M1497" s="573"/>
      <c r="N1497" s="573"/>
      <c r="O1497" s="573"/>
      <c r="P1497" s="573"/>
      <c r="Q1497" s="573"/>
      <c r="R1497" s="573"/>
      <c r="S1497" s="573"/>
      <c r="T1497" s="574"/>
    </row>
    <row r="1498" spans="2:26">
      <c r="D1498" s="396"/>
      <c r="E1498" s="397"/>
      <c r="F1498" s="397"/>
      <c r="G1498" s="398"/>
      <c r="H1498" s="398"/>
      <c r="I1498" s="398"/>
      <c r="J1498" s="398"/>
      <c r="K1498" s="398"/>
      <c r="L1498" s="398"/>
      <c r="M1498" s="398"/>
      <c r="N1498" s="398"/>
      <c r="O1498" s="398"/>
      <c r="P1498" s="398"/>
      <c r="Q1498" s="398"/>
      <c r="R1498" s="398"/>
      <c r="S1498" s="398"/>
      <c r="T1498" s="399"/>
    </row>
    <row r="1499" spans="2:26">
      <c r="D1499" s="400" t="s">
        <v>385</v>
      </c>
      <c r="E1499" s="575" t="s">
        <v>386</v>
      </c>
      <c r="F1499" s="575"/>
      <c r="G1499" s="576" t="s">
        <v>387</v>
      </c>
      <c r="H1499" s="577"/>
      <c r="I1499" s="577"/>
      <c r="J1499" s="576" t="s">
        <v>388</v>
      </c>
      <c r="K1499" s="576" t="s">
        <v>389</v>
      </c>
      <c r="L1499" s="579"/>
      <c r="M1499" s="581" t="s">
        <v>390</v>
      </c>
      <c r="N1499" s="581"/>
      <c r="O1499" s="581"/>
      <c r="P1499" s="581"/>
      <c r="Q1499" s="581"/>
      <c r="R1499" s="581"/>
      <c r="S1499" s="581" t="s">
        <v>391</v>
      </c>
      <c r="T1499" s="582"/>
    </row>
    <row r="1500" spans="2:26" ht="38.25">
      <c r="D1500" s="403">
        <f>+'PRESUPUESTO OFICIAL '!C57</f>
        <v>4.08</v>
      </c>
      <c r="E1500" s="583" t="str">
        <f>+VLOOKUP(D1500,'PRESUPUESTO OFICIAL '!$C$11:$H$103,2)</f>
        <v>SUMINISTRO E INSTALACIÓN DE SIFÓN SANITARIO DE 4" PVC</v>
      </c>
      <c r="F1500" s="584"/>
      <c r="G1500" s="585" t="str">
        <f>+VLOOKUP(D1500,'PRESUPUESTO OFICIAL '!$C$11:$H$103,3)</f>
        <v>UND</v>
      </c>
      <c r="H1500" s="585"/>
      <c r="I1500" s="585"/>
      <c r="J1500" s="578"/>
      <c r="K1500" s="578"/>
      <c r="L1500" s="580"/>
      <c r="M1500" s="401" t="s">
        <v>392</v>
      </c>
      <c r="N1500" s="401" t="s">
        <v>393</v>
      </c>
      <c r="O1500" s="401" t="s">
        <v>394</v>
      </c>
      <c r="P1500" s="401" t="s">
        <v>395</v>
      </c>
      <c r="Q1500" s="401" t="s">
        <v>396</v>
      </c>
      <c r="R1500" s="401" t="s">
        <v>397</v>
      </c>
      <c r="S1500" s="401" t="s">
        <v>398</v>
      </c>
      <c r="T1500" s="402" t="s">
        <v>399</v>
      </c>
      <c r="V1500" s="404">
        <f>+D1500</f>
        <v>4.08</v>
      </c>
      <c r="W1500" s="405">
        <f>+T1548</f>
        <v>10</v>
      </c>
    </row>
    <row r="1501" spans="2:26">
      <c r="D1501" s="406"/>
      <c r="E1501" s="407"/>
      <c r="F1501" s="407"/>
      <c r="G1501" s="407"/>
      <c r="H1501" s="407"/>
      <c r="I1501" s="407"/>
      <c r="J1501" s="558"/>
      <c r="K1501" s="559"/>
      <c r="L1501" s="560"/>
      <c r="M1501" s="560"/>
      <c r="N1501" s="560"/>
      <c r="O1501" s="560"/>
      <c r="P1501" s="560"/>
      <c r="Q1501" s="560"/>
      <c r="R1501" s="560"/>
      <c r="S1501" s="560"/>
      <c r="T1501" s="561"/>
    </row>
    <row r="1502" spans="2:26" ht="25.5">
      <c r="B1502" s="383">
        <v>1</v>
      </c>
      <c r="D1502" s="406"/>
      <c r="E1502" s="407"/>
      <c r="F1502" s="407"/>
      <c r="G1502" s="407"/>
      <c r="H1502" s="407"/>
      <c r="I1502" s="407"/>
      <c r="J1502" s="408" t="s">
        <v>400</v>
      </c>
      <c r="K1502" s="409" t="str">
        <f t="shared" ref="K1502:K1544" si="241">+VLOOKUP(L1502,$AH$22:$AJ$58,2,)</f>
        <v>UND= Cant de elementos</v>
      </c>
      <c r="L1502" s="410" t="str">
        <f>+G1500</f>
        <v>UND</v>
      </c>
      <c r="M1502" s="411"/>
      <c r="N1502" s="412"/>
      <c r="O1502" s="442"/>
      <c r="P1502" s="442"/>
      <c r="Q1502" s="413"/>
      <c r="R1502" s="411"/>
      <c r="S1502" s="413">
        <f>+T1502</f>
        <v>0</v>
      </c>
      <c r="T1502" s="414">
        <f>+HLOOKUP(B1502,[238]Hoja1!$2:$78,46,FALSE)</f>
        <v>0</v>
      </c>
      <c r="Y1502" s="439">
        <f t="shared" ref="Y1502" si="242">+O1502*P1502*Q1502</f>
        <v>0</v>
      </c>
      <c r="Z1502" s="439">
        <f t="shared" ref="Z1502" si="243">+Y1502-R1502</f>
        <v>0</v>
      </c>
    </row>
    <row r="1503" spans="2:26" ht="25.5">
      <c r="B1503" s="383">
        <v>2</v>
      </c>
      <c r="D1503" s="406"/>
      <c r="E1503" s="407"/>
      <c r="F1503" s="407"/>
      <c r="G1503" s="407"/>
      <c r="H1503" s="407"/>
      <c r="I1503" s="407"/>
      <c r="J1503" s="408" t="s">
        <v>401</v>
      </c>
      <c r="K1503" s="409" t="str">
        <f t="shared" si="241"/>
        <v>UND= Cant de elementos</v>
      </c>
      <c r="L1503" s="410" t="str">
        <f>+L1502</f>
        <v>UND</v>
      </c>
      <c r="M1503" s="411"/>
      <c r="N1503" s="412"/>
      <c r="O1503" s="442"/>
      <c r="P1503" s="442"/>
      <c r="Q1503" s="413"/>
      <c r="R1503" s="411"/>
      <c r="S1503" s="413">
        <f t="shared" ref="S1503:S1544" si="244">+T1503</f>
        <v>1</v>
      </c>
      <c r="T1503" s="414">
        <f>+HLOOKUP(B1503,[238]Hoja1!$2:$78,46,FALSE)</f>
        <v>1</v>
      </c>
      <c r="Y1503" s="439">
        <f>+M1503*Q1503</f>
        <v>0</v>
      </c>
      <c r="Z1503" s="439">
        <f>+Y1503-R1503</f>
        <v>0</v>
      </c>
    </row>
    <row r="1504" spans="2:26" ht="25.5">
      <c r="B1504" s="383">
        <v>3</v>
      </c>
      <c r="D1504" s="406"/>
      <c r="E1504" s="407"/>
      <c r="F1504" s="407"/>
      <c r="G1504" s="407"/>
      <c r="H1504" s="407"/>
      <c r="I1504" s="407"/>
      <c r="J1504" s="408" t="s">
        <v>402</v>
      </c>
      <c r="K1504" s="409" t="str">
        <f t="shared" si="241"/>
        <v>UND= Cant de elementos</v>
      </c>
      <c r="L1504" s="410" t="str">
        <f>+L1503</f>
        <v>UND</v>
      </c>
      <c r="M1504" s="411"/>
      <c r="N1504" s="412"/>
      <c r="O1504" s="442"/>
      <c r="P1504" s="442"/>
      <c r="Q1504" s="413"/>
      <c r="R1504" s="411"/>
      <c r="S1504" s="413">
        <f t="shared" si="244"/>
        <v>1</v>
      </c>
      <c r="T1504" s="414">
        <f>+HLOOKUP(B1504,[238]Hoja1!$2:$78,46,FALSE)</f>
        <v>1</v>
      </c>
      <c r="Y1504" s="439">
        <f t="shared" ref="Y1504:Y1506" si="245">+M1504*Q1504</f>
        <v>0</v>
      </c>
      <c r="Z1504" s="439">
        <f t="shared" ref="Z1504:Z1506" si="246">+Y1504-R1504</f>
        <v>0</v>
      </c>
    </row>
    <row r="1505" spans="2:26" ht="25.5">
      <c r="B1505" s="383">
        <v>4</v>
      </c>
      <c r="D1505" s="406"/>
      <c r="E1505" s="407"/>
      <c r="F1505" s="407"/>
      <c r="G1505" s="407"/>
      <c r="H1505" s="407"/>
      <c r="I1505" s="407"/>
      <c r="J1505" s="408" t="s">
        <v>403</v>
      </c>
      <c r="K1505" s="409" t="str">
        <f t="shared" si="241"/>
        <v>UND= Cant de elementos</v>
      </c>
      <c r="L1505" s="410" t="str">
        <f>+L1504</f>
        <v>UND</v>
      </c>
      <c r="M1505" s="411"/>
      <c r="N1505" s="412"/>
      <c r="O1505" s="442"/>
      <c r="P1505" s="442"/>
      <c r="Q1505" s="413"/>
      <c r="R1505" s="411"/>
      <c r="S1505" s="413">
        <f t="shared" si="244"/>
        <v>1</v>
      </c>
      <c r="T1505" s="414">
        <f>+HLOOKUP(B1505,[238]Hoja1!$2:$78,46,FALSE)</f>
        <v>1</v>
      </c>
      <c r="Y1505" s="439">
        <f t="shared" si="245"/>
        <v>0</v>
      </c>
      <c r="Z1505" s="439">
        <f t="shared" si="246"/>
        <v>0</v>
      </c>
    </row>
    <row r="1506" spans="2:26" ht="25.5">
      <c r="B1506" s="383">
        <v>5</v>
      </c>
      <c r="D1506" s="406"/>
      <c r="E1506" s="407"/>
      <c r="F1506" s="407"/>
      <c r="G1506" s="407"/>
      <c r="H1506" s="407"/>
      <c r="I1506" s="407"/>
      <c r="J1506" s="408" t="s">
        <v>405</v>
      </c>
      <c r="K1506" s="409" t="str">
        <f t="shared" si="241"/>
        <v>UND= Cant de elementos</v>
      </c>
      <c r="L1506" s="410" t="str">
        <f>+L1505</f>
        <v>UND</v>
      </c>
      <c r="M1506" s="411"/>
      <c r="N1506" s="412"/>
      <c r="O1506" s="442"/>
      <c r="P1506" s="442"/>
      <c r="Q1506" s="413"/>
      <c r="R1506" s="411"/>
      <c r="S1506" s="413">
        <f t="shared" si="244"/>
        <v>1</v>
      </c>
      <c r="T1506" s="414">
        <f>+HLOOKUP(B1506,[238]Hoja1!$2:$78,46,FALSE)</f>
        <v>1</v>
      </c>
      <c r="Y1506" s="439">
        <f t="shared" si="245"/>
        <v>0</v>
      </c>
      <c r="Z1506" s="439">
        <f t="shared" si="246"/>
        <v>0</v>
      </c>
    </row>
    <row r="1507" spans="2:26" ht="25.5">
      <c r="B1507" s="383">
        <v>6</v>
      </c>
      <c r="D1507" s="406"/>
      <c r="E1507" s="407"/>
      <c r="F1507" s="407"/>
      <c r="G1507" s="407"/>
      <c r="H1507" s="407"/>
      <c r="I1507" s="407"/>
      <c r="J1507" s="408" t="s">
        <v>407</v>
      </c>
      <c r="K1507" s="409" t="str">
        <f t="shared" si="241"/>
        <v>UND= Cant de elementos</v>
      </c>
      <c r="L1507" s="410" t="str">
        <f>+L1506</f>
        <v>UND</v>
      </c>
      <c r="M1507" s="411"/>
      <c r="N1507" s="412"/>
      <c r="O1507" s="442"/>
      <c r="P1507" s="442"/>
      <c r="Q1507" s="413"/>
      <c r="R1507" s="411"/>
      <c r="S1507" s="413">
        <f t="shared" si="244"/>
        <v>0</v>
      </c>
      <c r="T1507" s="414">
        <f>+HLOOKUP(B1507,[238]Hoja1!$2:$78,46,FALSE)</f>
        <v>0</v>
      </c>
      <c r="Y1507" s="439">
        <f>+M1507*Q1507</f>
        <v>0</v>
      </c>
      <c r="Z1507" s="439">
        <f>+Y1507-R1507</f>
        <v>0</v>
      </c>
    </row>
    <row r="1508" spans="2:26" ht="25.5">
      <c r="B1508" s="383">
        <v>7</v>
      </c>
      <c r="D1508" s="406"/>
      <c r="E1508" s="407"/>
      <c r="F1508" s="407"/>
      <c r="G1508" s="407"/>
      <c r="H1508" s="407"/>
      <c r="I1508" s="407"/>
      <c r="J1508" s="408" t="s">
        <v>409</v>
      </c>
      <c r="K1508" s="409" t="str">
        <f t="shared" si="241"/>
        <v>UND= Cant de elementos</v>
      </c>
      <c r="L1508" s="410" t="str">
        <f>+L1502</f>
        <v>UND</v>
      </c>
      <c r="M1508" s="411"/>
      <c r="N1508" s="412"/>
      <c r="O1508" s="442"/>
      <c r="P1508" s="442"/>
      <c r="Q1508" s="413"/>
      <c r="R1508" s="411"/>
      <c r="S1508" s="413">
        <f t="shared" si="244"/>
        <v>0</v>
      </c>
      <c r="T1508" s="414">
        <f>+HLOOKUP(B1508,[238]Hoja1!$2:$78,46,FALSE)</f>
        <v>0</v>
      </c>
      <c r="Y1508" s="439">
        <f t="shared" ref="Y1508:Y1544" si="247">+M1508*Q1508</f>
        <v>0</v>
      </c>
      <c r="Z1508" s="439">
        <f t="shared" ref="Z1508:Z1544" si="248">+Y1508-R1508</f>
        <v>0</v>
      </c>
    </row>
    <row r="1509" spans="2:26" ht="25.5">
      <c r="B1509" s="383">
        <v>8</v>
      </c>
      <c r="D1509" s="406"/>
      <c r="E1509" s="407"/>
      <c r="F1509" s="407"/>
      <c r="G1509" s="407"/>
      <c r="H1509" s="407"/>
      <c r="I1509" s="407"/>
      <c r="J1509" s="408" t="s">
        <v>411</v>
      </c>
      <c r="K1509" s="409" t="str">
        <f t="shared" si="241"/>
        <v>UND= Cant de elementos</v>
      </c>
      <c r="L1509" s="410" t="str">
        <f>+L1508</f>
        <v>UND</v>
      </c>
      <c r="M1509" s="411"/>
      <c r="N1509" s="412"/>
      <c r="O1509" s="442"/>
      <c r="P1509" s="442"/>
      <c r="Q1509" s="413"/>
      <c r="R1509" s="411"/>
      <c r="S1509" s="413">
        <f t="shared" si="244"/>
        <v>0</v>
      </c>
      <c r="T1509" s="414">
        <f>+HLOOKUP(B1509,[238]Hoja1!$2:$78,46,FALSE)</f>
        <v>0</v>
      </c>
      <c r="Y1509" s="439">
        <f t="shared" si="247"/>
        <v>0</v>
      </c>
      <c r="Z1509" s="439">
        <f t="shared" si="248"/>
        <v>0</v>
      </c>
    </row>
    <row r="1510" spans="2:26" ht="25.5">
      <c r="B1510" s="383">
        <v>9</v>
      </c>
      <c r="D1510" s="406"/>
      <c r="E1510" s="407"/>
      <c r="F1510" s="407"/>
      <c r="G1510" s="407"/>
      <c r="H1510" s="407"/>
      <c r="I1510" s="407"/>
      <c r="J1510" s="408" t="s">
        <v>412</v>
      </c>
      <c r="K1510" s="409" t="str">
        <f t="shared" si="241"/>
        <v>UND= Cant de elementos</v>
      </c>
      <c r="L1510" s="410" t="str">
        <f>+L1509</f>
        <v>UND</v>
      </c>
      <c r="M1510" s="411"/>
      <c r="N1510" s="412"/>
      <c r="O1510" s="442"/>
      <c r="P1510" s="442"/>
      <c r="Q1510" s="413"/>
      <c r="R1510" s="411"/>
      <c r="S1510" s="413">
        <f t="shared" si="244"/>
        <v>1</v>
      </c>
      <c r="T1510" s="414">
        <f>+HLOOKUP(B1510,[238]Hoja1!$2:$78,46,FALSE)</f>
        <v>1</v>
      </c>
      <c r="Y1510" s="439">
        <f t="shared" si="247"/>
        <v>0</v>
      </c>
      <c r="Z1510" s="439">
        <f t="shared" si="248"/>
        <v>0</v>
      </c>
    </row>
    <row r="1511" spans="2:26" ht="25.5">
      <c r="B1511" s="383">
        <v>10</v>
      </c>
      <c r="D1511" s="406"/>
      <c r="E1511" s="407"/>
      <c r="F1511" s="407"/>
      <c r="G1511" s="407"/>
      <c r="H1511" s="407"/>
      <c r="I1511" s="407"/>
      <c r="J1511" s="408" t="s">
        <v>413</v>
      </c>
      <c r="K1511" s="409" t="str">
        <f t="shared" si="241"/>
        <v>UND= Cant de elementos</v>
      </c>
      <c r="L1511" s="410" t="str">
        <f>+L1510</f>
        <v>UND</v>
      </c>
      <c r="M1511" s="411"/>
      <c r="N1511" s="412"/>
      <c r="O1511" s="441"/>
      <c r="P1511" s="442"/>
      <c r="Q1511" s="413"/>
      <c r="R1511" s="411"/>
      <c r="S1511" s="413">
        <f t="shared" si="244"/>
        <v>0</v>
      </c>
      <c r="T1511" s="414">
        <f>+HLOOKUP(B1511,[238]Hoja1!$2:$78,46,FALSE)</f>
        <v>0</v>
      </c>
      <c r="Y1511" s="439">
        <f t="shared" si="247"/>
        <v>0</v>
      </c>
      <c r="Z1511" s="439">
        <f t="shared" si="248"/>
        <v>0</v>
      </c>
    </row>
    <row r="1512" spans="2:26" ht="25.5">
      <c r="B1512" s="383">
        <v>11</v>
      </c>
      <c r="D1512" s="406"/>
      <c r="E1512" s="407"/>
      <c r="F1512" s="407"/>
      <c r="G1512" s="407"/>
      <c r="H1512" s="407"/>
      <c r="I1512" s="407"/>
      <c r="J1512" s="408" t="s">
        <v>414</v>
      </c>
      <c r="K1512" s="409" t="str">
        <f t="shared" si="241"/>
        <v>UND= Cant de elementos</v>
      </c>
      <c r="L1512" s="410" t="str">
        <f>+L1511</f>
        <v>UND</v>
      </c>
      <c r="M1512" s="411"/>
      <c r="N1512" s="412"/>
      <c r="O1512" s="443"/>
      <c r="P1512" s="442"/>
      <c r="Q1512" s="413"/>
      <c r="R1512" s="411"/>
      <c r="S1512" s="413">
        <f t="shared" si="244"/>
        <v>0</v>
      </c>
      <c r="T1512" s="414">
        <f>+HLOOKUP(B1512,[238]Hoja1!$2:$78,46,FALSE)</f>
        <v>0</v>
      </c>
      <c r="Y1512" s="439">
        <f t="shared" si="247"/>
        <v>0</v>
      </c>
      <c r="Z1512" s="439">
        <f t="shared" si="248"/>
        <v>0</v>
      </c>
    </row>
    <row r="1513" spans="2:26" ht="25.5">
      <c r="B1513" s="383">
        <v>12</v>
      </c>
      <c r="D1513" s="406"/>
      <c r="E1513" s="407"/>
      <c r="F1513" s="407"/>
      <c r="G1513" s="407"/>
      <c r="H1513" s="407"/>
      <c r="I1513" s="407"/>
      <c r="J1513" s="408" t="s">
        <v>415</v>
      </c>
      <c r="K1513" s="409" t="str">
        <f t="shared" si="241"/>
        <v>UND= Cant de elementos</v>
      </c>
      <c r="L1513" s="410" t="str">
        <f>+L1507</f>
        <v>UND</v>
      </c>
      <c r="M1513" s="411"/>
      <c r="N1513" s="412"/>
      <c r="O1513" s="442"/>
      <c r="P1513" s="442"/>
      <c r="Q1513" s="413"/>
      <c r="R1513" s="411"/>
      <c r="S1513" s="413">
        <f t="shared" si="244"/>
        <v>0</v>
      </c>
      <c r="T1513" s="414">
        <f>+HLOOKUP(B1513,[238]Hoja1!$2:$78,46,FALSE)</f>
        <v>0</v>
      </c>
      <c r="Y1513" s="439">
        <f t="shared" si="247"/>
        <v>0</v>
      </c>
      <c r="Z1513" s="439">
        <f t="shared" si="248"/>
        <v>0</v>
      </c>
    </row>
    <row r="1514" spans="2:26" ht="25.5">
      <c r="B1514" s="383">
        <v>13</v>
      </c>
      <c r="D1514" s="406"/>
      <c r="E1514" s="407"/>
      <c r="F1514" s="407"/>
      <c r="G1514" s="407"/>
      <c r="H1514" s="407"/>
      <c r="I1514" s="407"/>
      <c r="J1514" s="408" t="s">
        <v>416</v>
      </c>
      <c r="K1514" s="409" t="str">
        <f t="shared" si="241"/>
        <v>UND= Cant de elementos</v>
      </c>
      <c r="L1514" s="410" t="str">
        <f>+L1509</f>
        <v>UND</v>
      </c>
      <c r="M1514" s="411"/>
      <c r="N1514" s="412"/>
      <c r="O1514" s="442"/>
      <c r="P1514" s="442"/>
      <c r="Q1514" s="413"/>
      <c r="R1514" s="411"/>
      <c r="S1514" s="413">
        <f t="shared" si="244"/>
        <v>0</v>
      </c>
      <c r="T1514" s="414">
        <f>+HLOOKUP(B1514,[238]Hoja1!$2:$78,46,FALSE)</f>
        <v>0</v>
      </c>
      <c r="Y1514" s="439">
        <f t="shared" si="247"/>
        <v>0</v>
      </c>
      <c r="Z1514" s="439">
        <f t="shared" si="248"/>
        <v>0</v>
      </c>
    </row>
    <row r="1515" spans="2:26" ht="25.5">
      <c r="B1515" s="383">
        <v>14</v>
      </c>
      <c r="D1515" s="406"/>
      <c r="E1515" s="407"/>
      <c r="F1515" s="407"/>
      <c r="G1515" s="407"/>
      <c r="H1515" s="407"/>
      <c r="I1515" s="407"/>
      <c r="J1515" s="408" t="s">
        <v>417</v>
      </c>
      <c r="K1515" s="409" t="str">
        <f t="shared" si="241"/>
        <v>UND= Cant de elementos</v>
      </c>
      <c r="L1515" s="410" t="str">
        <f t="shared" ref="L1515:L1526" si="249">+L1514</f>
        <v>UND</v>
      </c>
      <c r="M1515" s="411"/>
      <c r="N1515" s="412"/>
      <c r="O1515" s="442"/>
      <c r="P1515" s="442"/>
      <c r="Q1515" s="413"/>
      <c r="R1515" s="411"/>
      <c r="S1515" s="413">
        <f t="shared" si="244"/>
        <v>1</v>
      </c>
      <c r="T1515" s="414">
        <f>+HLOOKUP(B1515,[238]Hoja1!$2:$78,46,FALSE)</f>
        <v>1</v>
      </c>
      <c r="Y1515" s="439">
        <f t="shared" si="247"/>
        <v>0</v>
      </c>
      <c r="Z1515" s="439">
        <f t="shared" si="248"/>
        <v>0</v>
      </c>
    </row>
    <row r="1516" spans="2:26" ht="25.5">
      <c r="B1516" s="383">
        <v>15</v>
      </c>
      <c r="D1516" s="406"/>
      <c r="E1516" s="407"/>
      <c r="F1516" s="407"/>
      <c r="G1516" s="407"/>
      <c r="H1516" s="407"/>
      <c r="I1516" s="407"/>
      <c r="J1516" s="408" t="s">
        <v>418</v>
      </c>
      <c r="K1516" s="409" t="str">
        <f t="shared" si="241"/>
        <v>UND= Cant de elementos</v>
      </c>
      <c r="L1516" s="410" t="str">
        <f t="shared" si="249"/>
        <v>UND</v>
      </c>
      <c r="M1516" s="411"/>
      <c r="N1516" s="412"/>
      <c r="O1516" s="442"/>
      <c r="P1516" s="442"/>
      <c r="Q1516" s="413"/>
      <c r="R1516" s="411"/>
      <c r="S1516" s="413">
        <f t="shared" si="244"/>
        <v>0</v>
      </c>
      <c r="T1516" s="414">
        <f>+HLOOKUP(B1516,[238]Hoja1!$2:$78,46,FALSE)</f>
        <v>0</v>
      </c>
      <c r="Y1516" s="439">
        <f t="shared" si="247"/>
        <v>0</v>
      </c>
      <c r="Z1516" s="439">
        <f t="shared" si="248"/>
        <v>0</v>
      </c>
    </row>
    <row r="1517" spans="2:26" ht="25.5">
      <c r="B1517" s="383">
        <v>16</v>
      </c>
      <c r="D1517" s="406"/>
      <c r="E1517" s="407"/>
      <c r="F1517" s="407"/>
      <c r="G1517" s="407"/>
      <c r="H1517" s="407"/>
      <c r="I1517" s="407"/>
      <c r="J1517" s="408" t="s">
        <v>419</v>
      </c>
      <c r="K1517" s="409" t="str">
        <f t="shared" si="241"/>
        <v>UND= Cant de elementos</v>
      </c>
      <c r="L1517" s="410" t="str">
        <f t="shared" si="249"/>
        <v>UND</v>
      </c>
      <c r="M1517" s="411"/>
      <c r="N1517" s="412"/>
      <c r="O1517" s="442"/>
      <c r="P1517" s="442"/>
      <c r="Q1517" s="413"/>
      <c r="R1517" s="411"/>
      <c r="S1517" s="413">
        <f t="shared" si="244"/>
        <v>0</v>
      </c>
      <c r="T1517" s="414">
        <f>+HLOOKUP(B1517,[238]Hoja1!$2:$78,46,FALSE)</f>
        <v>0</v>
      </c>
      <c r="Y1517" s="439">
        <f t="shared" si="247"/>
        <v>0</v>
      </c>
      <c r="Z1517" s="439">
        <f t="shared" si="248"/>
        <v>0</v>
      </c>
    </row>
    <row r="1518" spans="2:26" ht="25.5">
      <c r="B1518" s="383">
        <v>17</v>
      </c>
      <c r="D1518" s="406"/>
      <c r="E1518" s="407"/>
      <c r="F1518" s="407"/>
      <c r="G1518" s="407"/>
      <c r="H1518" s="407"/>
      <c r="I1518" s="407"/>
      <c r="J1518" s="408" t="s">
        <v>420</v>
      </c>
      <c r="K1518" s="409" t="str">
        <f t="shared" si="241"/>
        <v>UND= Cant de elementos</v>
      </c>
      <c r="L1518" s="410" t="str">
        <f t="shared" si="249"/>
        <v>UND</v>
      </c>
      <c r="M1518" s="411"/>
      <c r="N1518" s="412"/>
      <c r="O1518" s="442"/>
      <c r="P1518" s="442"/>
      <c r="Q1518" s="413"/>
      <c r="R1518" s="411"/>
      <c r="S1518" s="413">
        <f t="shared" si="244"/>
        <v>0</v>
      </c>
      <c r="T1518" s="414">
        <f>+HLOOKUP(B1518,[238]Hoja1!$2:$78,46,FALSE)</f>
        <v>0</v>
      </c>
      <c r="W1518" s="383">
        <f>+Q1518*P1518*O1518</f>
        <v>0</v>
      </c>
      <c r="Y1518" s="439">
        <f t="shared" si="247"/>
        <v>0</v>
      </c>
      <c r="Z1518" s="439">
        <f t="shared" si="248"/>
        <v>0</v>
      </c>
    </row>
    <row r="1519" spans="2:26" ht="25.5">
      <c r="B1519" s="383">
        <v>18</v>
      </c>
      <c r="D1519" s="406"/>
      <c r="E1519" s="407"/>
      <c r="F1519" s="407"/>
      <c r="G1519" s="407"/>
      <c r="H1519" s="407"/>
      <c r="I1519" s="407"/>
      <c r="J1519" s="408" t="s">
        <v>429</v>
      </c>
      <c r="K1519" s="409" t="str">
        <f t="shared" si="241"/>
        <v>UND= Cant de elementos</v>
      </c>
      <c r="L1519" s="410" t="str">
        <f t="shared" si="249"/>
        <v>UND</v>
      </c>
      <c r="M1519" s="411"/>
      <c r="N1519" s="412"/>
      <c r="O1519" s="442"/>
      <c r="P1519" s="442"/>
      <c r="Q1519" s="413"/>
      <c r="R1519" s="411"/>
      <c r="S1519" s="413">
        <f t="shared" si="244"/>
        <v>0</v>
      </c>
      <c r="T1519" s="414">
        <f>+HLOOKUP(B1519,[238]Hoja1!$2:$78,46,FALSE)</f>
        <v>0</v>
      </c>
      <c r="Y1519" s="439">
        <f t="shared" si="247"/>
        <v>0</v>
      </c>
      <c r="Z1519" s="439">
        <f t="shared" si="248"/>
        <v>0</v>
      </c>
    </row>
    <row r="1520" spans="2:26" ht="25.5">
      <c r="B1520" s="383">
        <v>19</v>
      </c>
      <c r="D1520" s="406"/>
      <c r="E1520" s="407"/>
      <c r="F1520" s="407"/>
      <c r="G1520" s="407"/>
      <c r="H1520" s="407"/>
      <c r="I1520" s="407"/>
      <c r="J1520" s="408" t="s">
        <v>430</v>
      </c>
      <c r="K1520" s="409" t="str">
        <f t="shared" si="241"/>
        <v>UND= Cant de elementos</v>
      </c>
      <c r="L1520" s="410" t="str">
        <f t="shared" si="249"/>
        <v>UND</v>
      </c>
      <c r="M1520" s="411"/>
      <c r="N1520" s="412"/>
      <c r="O1520" s="442"/>
      <c r="P1520" s="442"/>
      <c r="Q1520" s="413"/>
      <c r="R1520" s="411"/>
      <c r="S1520" s="413">
        <f t="shared" si="244"/>
        <v>1</v>
      </c>
      <c r="T1520" s="414">
        <f>+HLOOKUP(B1520,[238]Hoja1!$2:$78,46,FALSE)</f>
        <v>1</v>
      </c>
      <c r="Y1520" s="439">
        <f t="shared" si="247"/>
        <v>0</v>
      </c>
      <c r="Z1520" s="439">
        <f t="shared" si="248"/>
        <v>0</v>
      </c>
    </row>
    <row r="1521" spans="2:26" ht="25.5">
      <c r="B1521" s="383">
        <v>20</v>
      </c>
      <c r="D1521" s="406"/>
      <c r="E1521" s="407"/>
      <c r="F1521" s="407"/>
      <c r="G1521" s="407"/>
      <c r="H1521" s="407"/>
      <c r="I1521" s="407"/>
      <c r="J1521" s="408" t="s">
        <v>431</v>
      </c>
      <c r="K1521" s="409" t="str">
        <f t="shared" si="241"/>
        <v>UND= Cant de elementos</v>
      </c>
      <c r="L1521" s="410" t="str">
        <f t="shared" si="249"/>
        <v>UND</v>
      </c>
      <c r="M1521" s="411"/>
      <c r="N1521" s="412"/>
      <c r="O1521" s="442"/>
      <c r="P1521" s="442"/>
      <c r="Q1521" s="413"/>
      <c r="R1521" s="411"/>
      <c r="S1521" s="413">
        <f t="shared" si="244"/>
        <v>0</v>
      </c>
      <c r="T1521" s="414">
        <f>+HLOOKUP(B1521,[238]Hoja1!$2:$78,46,FALSE)</f>
        <v>0</v>
      </c>
      <c r="Y1521" s="439">
        <f t="shared" si="247"/>
        <v>0</v>
      </c>
      <c r="Z1521" s="439">
        <f t="shared" si="248"/>
        <v>0</v>
      </c>
    </row>
    <row r="1522" spans="2:26" ht="25.5">
      <c r="B1522" s="383">
        <v>21</v>
      </c>
      <c r="D1522" s="406"/>
      <c r="E1522" s="407"/>
      <c r="F1522" s="407"/>
      <c r="G1522" s="407"/>
      <c r="H1522" s="407"/>
      <c r="I1522" s="407"/>
      <c r="J1522" s="408" t="s">
        <v>432</v>
      </c>
      <c r="K1522" s="409" t="str">
        <f t="shared" si="241"/>
        <v>UND= Cant de elementos</v>
      </c>
      <c r="L1522" s="410" t="str">
        <f t="shared" si="249"/>
        <v>UND</v>
      </c>
      <c r="M1522" s="411"/>
      <c r="N1522" s="412"/>
      <c r="O1522" s="442"/>
      <c r="P1522" s="442"/>
      <c r="Q1522" s="413"/>
      <c r="R1522" s="411"/>
      <c r="S1522" s="413">
        <f t="shared" si="244"/>
        <v>0</v>
      </c>
      <c r="T1522" s="414">
        <f>+HLOOKUP(B1522,[238]Hoja1!$2:$78,46,FALSE)</f>
        <v>0</v>
      </c>
      <c r="Y1522" s="439">
        <f t="shared" si="247"/>
        <v>0</v>
      </c>
      <c r="Z1522" s="439">
        <f t="shared" si="248"/>
        <v>0</v>
      </c>
    </row>
    <row r="1523" spans="2:26" ht="25.5">
      <c r="B1523" s="383">
        <v>22</v>
      </c>
      <c r="D1523" s="406"/>
      <c r="E1523" s="407"/>
      <c r="F1523" s="407"/>
      <c r="G1523" s="407"/>
      <c r="H1523" s="407"/>
      <c r="I1523" s="407"/>
      <c r="J1523" s="408" t="s">
        <v>433</v>
      </c>
      <c r="K1523" s="409" t="str">
        <f t="shared" si="241"/>
        <v>UND= Cant de elementos</v>
      </c>
      <c r="L1523" s="410" t="str">
        <f t="shared" si="249"/>
        <v>UND</v>
      </c>
      <c r="M1523" s="411"/>
      <c r="N1523" s="412"/>
      <c r="O1523" s="442"/>
      <c r="P1523" s="442"/>
      <c r="Q1523" s="413"/>
      <c r="R1523" s="411"/>
      <c r="S1523" s="413">
        <f t="shared" si="244"/>
        <v>1</v>
      </c>
      <c r="T1523" s="414">
        <f>+HLOOKUP(B1523,[238]Hoja1!$2:$78,46,FALSE)</f>
        <v>1</v>
      </c>
      <c r="Y1523" s="439">
        <f t="shared" si="247"/>
        <v>0</v>
      </c>
      <c r="Z1523" s="439">
        <f t="shared" si="248"/>
        <v>0</v>
      </c>
    </row>
    <row r="1524" spans="2:26" ht="25.5">
      <c r="B1524" s="383">
        <v>23</v>
      </c>
      <c r="D1524" s="406"/>
      <c r="E1524" s="407"/>
      <c r="F1524" s="407"/>
      <c r="G1524" s="407"/>
      <c r="H1524" s="407"/>
      <c r="I1524" s="407"/>
      <c r="J1524" s="408" t="s">
        <v>434</v>
      </c>
      <c r="K1524" s="409" t="str">
        <f t="shared" si="241"/>
        <v>UND= Cant de elementos</v>
      </c>
      <c r="L1524" s="410" t="str">
        <f t="shared" si="249"/>
        <v>UND</v>
      </c>
      <c r="M1524" s="411"/>
      <c r="N1524" s="412"/>
      <c r="O1524" s="441"/>
      <c r="P1524" s="442"/>
      <c r="Q1524" s="413"/>
      <c r="R1524" s="411"/>
      <c r="S1524" s="413">
        <f t="shared" si="244"/>
        <v>0</v>
      </c>
      <c r="T1524" s="414">
        <f>+HLOOKUP(B1524,[238]Hoja1!$2:$78,46,FALSE)</f>
        <v>0</v>
      </c>
      <c r="Y1524" s="439">
        <f t="shared" si="247"/>
        <v>0</v>
      </c>
      <c r="Z1524" s="439">
        <f t="shared" si="248"/>
        <v>0</v>
      </c>
    </row>
    <row r="1525" spans="2:26" ht="25.5">
      <c r="B1525" s="383">
        <v>24</v>
      </c>
      <c r="D1525" s="406"/>
      <c r="E1525" s="407"/>
      <c r="F1525" s="407"/>
      <c r="G1525" s="407"/>
      <c r="H1525" s="407"/>
      <c r="I1525" s="407"/>
      <c r="J1525" s="408" t="s">
        <v>435</v>
      </c>
      <c r="K1525" s="409" t="str">
        <f t="shared" si="241"/>
        <v>UND= Cant de elementos</v>
      </c>
      <c r="L1525" s="410" t="str">
        <f t="shared" si="249"/>
        <v>UND</v>
      </c>
      <c r="M1525" s="411"/>
      <c r="N1525" s="412"/>
      <c r="O1525" s="442"/>
      <c r="P1525" s="442"/>
      <c r="Q1525" s="413"/>
      <c r="R1525" s="411"/>
      <c r="S1525" s="413">
        <f t="shared" si="244"/>
        <v>0</v>
      </c>
      <c r="T1525" s="414">
        <f>+HLOOKUP(B1525,[238]Hoja1!$2:$78,46,FALSE)</f>
        <v>0</v>
      </c>
      <c r="Y1525" s="439">
        <f t="shared" si="247"/>
        <v>0</v>
      </c>
      <c r="Z1525" s="439">
        <f t="shared" si="248"/>
        <v>0</v>
      </c>
    </row>
    <row r="1526" spans="2:26" ht="25.5">
      <c r="B1526" s="383">
        <v>25</v>
      </c>
      <c r="D1526" s="406"/>
      <c r="E1526" s="407"/>
      <c r="F1526" s="407"/>
      <c r="G1526" s="407"/>
      <c r="H1526" s="407"/>
      <c r="I1526" s="407"/>
      <c r="J1526" s="408" t="s">
        <v>436</v>
      </c>
      <c r="K1526" s="409" t="str">
        <f t="shared" si="241"/>
        <v>UND= Cant de elementos</v>
      </c>
      <c r="L1526" s="410" t="str">
        <f t="shared" si="249"/>
        <v>UND</v>
      </c>
      <c r="M1526" s="411"/>
      <c r="N1526" s="412"/>
      <c r="O1526" s="442"/>
      <c r="P1526" s="442"/>
      <c r="Q1526" s="413"/>
      <c r="R1526" s="411"/>
      <c r="S1526" s="413">
        <f t="shared" si="244"/>
        <v>0</v>
      </c>
      <c r="T1526" s="414">
        <f>+HLOOKUP(B1526,[238]Hoja1!$2:$78,46,FALSE)</f>
        <v>0</v>
      </c>
      <c r="Y1526" s="439">
        <f t="shared" si="247"/>
        <v>0</v>
      </c>
      <c r="Z1526" s="439">
        <f t="shared" si="248"/>
        <v>0</v>
      </c>
    </row>
    <row r="1527" spans="2:26" ht="25.5">
      <c r="B1527" s="383">
        <v>26</v>
      </c>
      <c r="D1527" s="406"/>
      <c r="E1527" s="407"/>
      <c r="F1527" s="407"/>
      <c r="G1527" s="407"/>
      <c r="H1527" s="407"/>
      <c r="I1527" s="407"/>
      <c r="J1527" s="408" t="s">
        <v>437</v>
      </c>
      <c r="K1527" s="409" t="str">
        <f t="shared" si="241"/>
        <v>UND= Cant de elementos</v>
      </c>
      <c r="L1527" s="410" t="str">
        <f>+L1516</f>
        <v>UND</v>
      </c>
      <c r="M1527" s="411"/>
      <c r="N1527" s="412"/>
      <c r="O1527" s="442"/>
      <c r="P1527" s="442"/>
      <c r="Q1527" s="413"/>
      <c r="R1527" s="411"/>
      <c r="S1527" s="413">
        <f t="shared" si="244"/>
        <v>0</v>
      </c>
      <c r="T1527" s="414">
        <f>+HLOOKUP(B1527,[238]Hoja1!$2:$78,46,FALSE)</f>
        <v>0</v>
      </c>
      <c r="Y1527" s="439">
        <f t="shared" si="247"/>
        <v>0</v>
      </c>
      <c r="Z1527" s="439">
        <f t="shared" si="248"/>
        <v>0</v>
      </c>
    </row>
    <row r="1528" spans="2:26" ht="25.5">
      <c r="B1528" s="383">
        <v>27</v>
      </c>
      <c r="D1528" s="406"/>
      <c r="E1528" s="407"/>
      <c r="F1528" s="407"/>
      <c r="G1528" s="407"/>
      <c r="H1528" s="407"/>
      <c r="I1528" s="407"/>
      <c r="J1528" s="408" t="s">
        <v>438</v>
      </c>
      <c r="K1528" s="409" t="str">
        <f t="shared" si="241"/>
        <v>UND= Cant de elementos</v>
      </c>
      <c r="L1528" s="410" t="str">
        <f t="shared" ref="L1528:L1536" si="250">+L1527</f>
        <v>UND</v>
      </c>
      <c r="M1528" s="411"/>
      <c r="N1528" s="412"/>
      <c r="O1528" s="442"/>
      <c r="P1528" s="442"/>
      <c r="Q1528" s="413"/>
      <c r="R1528" s="411"/>
      <c r="S1528" s="413">
        <f t="shared" si="244"/>
        <v>1</v>
      </c>
      <c r="T1528" s="414">
        <f>+HLOOKUP(B1528,[238]Hoja1!$2:$78,46,FALSE)</f>
        <v>1</v>
      </c>
      <c r="Y1528" s="439">
        <f t="shared" si="247"/>
        <v>0</v>
      </c>
      <c r="Z1528" s="439">
        <f t="shared" si="248"/>
        <v>0</v>
      </c>
    </row>
    <row r="1529" spans="2:26" ht="25.5">
      <c r="B1529" s="383">
        <v>28</v>
      </c>
      <c r="D1529" s="406"/>
      <c r="E1529" s="440"/>
      <c r="F1529" s="407"/>
      <c r="G1529" s="407"/>
      <c r="H1529" s="407"/>
      <c r="I1529" s="437"/>
      <c r="J1529" s="408" t="s">
        <v>439</v>
      </c>
      <c r="K1529" s="409" t="str">
        <f t="shared" si="241"/>
        <v>UND= Cant de elementos</v>
      </c>
      <c r="L1529" s="410" t="str">
        <f t="shared" si="250"/>
        <v>UND</v>
      </c>
      <c r="M1529" s="411"/>
      <c r="N1529" s="412"/>
      <c r="O1529" s="442"/>
      <c r="P1529" s="442"/>
      <c r="Q1529" s="413"/>
      <c r="R1529" s="411"/>
      <c r="S1529" s="413">
        <f t="shared" si="244"/>
        <v>0</v>
      </c>
      <c r="T1529" s="414">
        <f>+HLOOKUP(B1529,[238]Hoja1!$2:$78,46,FALSE)</f>
        <v>0</v>
      </c>
      <c r="Y1529" s="439">
        <f t="shared" si="247"/>
        <v>0</v>
      </c>
      <c r="Z1529" s="439">
        <f t="shared" si="248"/>
        <v>0</v>
      </c>
    </row>
    <row r="1530" spans="2:26" ht="25.5">
      <c r="B1530" s="383">
        <v>29</v>
      </c>
      <c r="D1530" s="406"/>
      <c r="E1530" s="407"/>
      <c r="F1530" s="407"/>
      <c r="G1530" s="407"/>
      <c r="H1530" s="407"/>
      <c r="I1530" s="407"/>
      <c r="J1530" s="408" t="s">
        <v>440</v>
      </c>
      <c r="K1530" s="409" t="str">
        <f t="shared" si="241"/>
        <v>UND= Cant de elementos</v>
      </c>
      <c r="L1530" s="410" t="str">
        <f t="shared" si="250"/>
        <v>UND</v>
      </c>
      <c r="M1530" s="411"/>
      <c r="N1530" s="412"/>
      <c r="O1530" s="443"/>
      <c r="P1530" s="442"/>
      <c r="Q1530" s="413"/>
      <c r="R1530" s="411"/>
      <c r="S1530" s="413">
        <f t="shared" si="244"/>
        <v>0</v>
      </c>
      <c r="T1530" s="414">
        <f>+HLOOKUP(B1530,[238]Hoja1!$2:$78,46,FALSE)</f>
        <v>0</v>
      </c>
      <c r="Y1530" s="439">
        <f t="shared" si="247"/>
        <v>0</v>
      </c>
      <c r="Z1530" s="439">
        <f t="shared" si="248"/>
        <v>0</v>
      </c>
    </row>
    <row r="1531" spans="2:26" ht="25.5">
      <c r="B1531" s="383">
        <v>30</v>
      </c>
      <c r="D1531" s="406"/>
      <c r="E1531" s="407"/>
      <c r="F1531" s="407"/>
      <c r="G1531" s="407"/>
      <c r="H1531" s="407"/>
      <c r="I1531" s="407"/>
      <c r="J1531" s="408" t="s">
        <v>441</v>
      </c>
      <c r="K1531" s="409" t="str">
        <f t="shared" si="241"/>
        <v>UND= Cant de elementos</v>
      </c>
      <c r="L1531" s="410" t="str">
        <f t="shared" si="250"/>
        <v>UND</v>
      </c>
      <c r="M1531" s="411"/>
      <c r="N1531" s="412"/>
      <c r="O1531" s="442"/>
      <c r="P1531" s="442"/>
      <c r="Q1531" s="413"/>
      <c r="R1531" s="411"/>
      <c r="S1531" s="413">
        <f t="shared" si="244"/>
        <v>0</v>
      </c>
      <c r="T1531" s="414">
        <f>+HLOOKUP(B1531,[238]Hoja1!$2:$78,46,FALSE)</f>
        <v>0</v>
      </c>
      <c r="Y1531" s="439">
        <f t="shared" si="247"/>
        <v>0</v>
      </c>
      <c r="Z1531" s="439">
        <f t="shared" si="248"/>
        <v>0</v>
      </c>
    </row>
    <row r="1532" spans="2:26" ht="25.5">
      <c r="B1532" s="383">
        <v>31</v>
      </c>
      <c r="D1532" s="406"/>
      <c r="E1532" s="407"/>
      <c r="F1532" s="407"/>
      <c r="G1532" s="407"/>
      <c r="H1532" s="407"/>
      <c r="I1532" s="407"/>
      <c r="J1532" s="408" t="s">
        <v>442</v>
      </c>
      <c r="K1532" s="409" t="str">
        <f t="shared" si="241"/>
        <v>UND= Cant de elementos</v>
      </c>
      <c r="L1532" s="410" t="str">
        <f t="shared" si="250"/>
        <v>UND</v>
      </c>
      <c r="M1532" s="411"/>
      <c r="N1532" s="412"/>
      <c r="O1532" s="442"/>
      <c r="P1532" s="442"/>
      <c r="Q1532" s="413"/>
      <c r="R1532" s="411"/>
      <c r="S1532" s="413">
        <f t="shared" si="244"/>
        <v>0</v>
      </c>
      <c r="T1532" s="414">
        <f>+HLOOKUP(B1532,[238]Hoja1!$2:$78,46,FALSE)</f>
        <v>0</v>
      </c>
      <c r="Y1532" s="439">
        <f t="shared" si="247"/>
        <v>0</v>
      </c>
      <c r="Z1532" s="439">
        <f t="shared" si="248"/>
        <v>0</v>
      </c>
    </row>
    <row r="1533" spans="2:26" ht="25.5">
      <c r="B1533" s="383">
        <v>32</v>
      </c>
      <c r="D1533" s="406"/>
      <c r="E1533" s="407"/>
      <c r="F1533" s="407"/>
      <c r="G1533" s="407"/>
      <c r="H1533" s="407"/>
      <c r="I1533" s="407"/>
      <c r="J1533" s="408" t="s">
        <v>443</v>
      </c>
      <c r="K1533" s="409" t="str">
        <f t="shared" si="241"/>
        <v>UND= Cant de elementos</v>
      </c>
      <c r="L1533" s="410" t="str">
        <f t="shared" si="250"/>
        <v>UND</v>
      </c>
      <c r="M1533" s="411"/>
      <c r="N1533" s="412"/>
      <c r="O1533" s="442"/>
      <c r="P1533" s="442"/>
      <c r="Q1533" s="413"/>
      <c r="R1533" s="411"/>
      <c r="S1533" s="413">
        <f t="shared" si="244"/>
        <v>0</v>
      </c>
      <c r="T1533" s="414">
        <f>+HLOOKUP(B1533,[238]Hoja1!$2:$78,46,FALSE)</f>
        <v>0</v>
      </c>
      <c r="Y1533" s="439">
        <f t="shared" si="247"/>
        <v>0</v>
      </c>
      <c r="Z1533" s="439">
        <f t="shared" si="248"/>
        <v>0</v>
      </c>
    </row>
    <row r="1534" spans="2:26" ht="25.5">
      <c r="B1534" s="383">
        <v>33</v>
      </c>
      <c r="D1534" s="406"/>
      <c r="E1534" s="407"/>
      <c r="F1534" s="407"/>
      <c r="G1534" s="407"/>
      <c r="H1534" s="407"/>
      <c r="I1534" s="407"/>
      <c r="J1534" s="408" t="s">
        <v>444</v>
      </c>
      <c r="K1534" s="409" t="str">
        <f t="shared" si="241"/>
        <v>UND= Cant de elementos</v>
      </c>
      <c r="L1534" s="410" t="str">
        <f t="shared" si="250"/>
        <v>UND</v>
      </c>
      <c r="M1534" s="411"/>
      <c r="N1534" s="412"/>
      <c r="O1534" s="442"/>
      <c r="P1534" s="442"/>
      <c r="Q1534" s="413"/>
      <c r="R1534" s="411"/>
      <c r="S1534" s="413">
        <f t="shared" si="244"/>
        <v>0</v>
      </c>
      <c r="T1534" s="414">
        <f>+HLOOKUP(B1534,[238]Hoja1!$2:$78,46,FALSE)</f>
        <v>0</v>
      </c>
      <c r="Y1534" s="439">
        <f t="shared" si="247"/>
        <v>0</v>
      </c>
      <c r="Z1534" s="439">
        <f t="shared" si="248"/>
        <v>0</v>
      </c>
    </row>
    <row r="1535" spans="2:26" ht="25.5">
      <c r="B1535" s="383">
        <v>34</v>
      </c>
      <c r="D1535" s="406"/>
      <c r="E1535" s="407"/>
      <c r="F1535" s="407"/>
      <c r="G1535" s="407"/>
      <c r="H1535" s="407"/>
      <c r="I1535" s="407"/>
      <c r="J1535" s="408" t="s">
        <v>445</v>
      </c>
      <c r="K1535" s="409" t="str">
        <f t="shared" si="241"/>
        <v>UND= Cant de elementos</v>
      </c>
      <c r="L1535" s="410" t="str">
        <f t="shared" si="250"/>
        <v>UND</v>
      </c>
      <c r="M1535" s="411"/>
      <c r="N1535" s="412"/>
      <c r="O1535" s="441"/>
      <c r="P1535" s="442"/>
      <c r="Q1535" s="413"/>
      <c r="R1535" s="411"/>
      <c r="S1535" s="413">
        <f t="shared" si="244"/>
        <v>0</v>
      </c>
      <c r="T1535" s="414">
        <f>+HLOOKUP(B1535,[238]Hoja1!$2:$78,46,FALSE)</f>
        <v>0</v>
      </c>
      <c r="Y1535" s="439">
        <f t="shared" si="247"/>
        <v>0</v>
      </c>
      <c r="Z1535" s="439">
        <f t="shared" si="248"/>
        <v>0</v>
      </c>
    </row>
    <row r="1536" spans="2:26" ht="25.5">
      <c r="B1536" s="383">
        <v>35</v>
      </c>
      <c r="D1536" s="406"/>
      <c r="E1536" s="440"/>
      <c r="F1536" s="407"/>
      <c r="G1536" s="407"/>
      <c r="H1536" s="407"/>
      <c r="I1536" s="437"/>
      <c r="J1536" s="408" t="s">
        <v>446</v>
      </c>
      <c r="K1536" s="409" t="str">
        <f t="shared" si="241"/>
        <v>UND= Cant de elementos</v>
      </c>
      <c r="L1536" s="410" t="str">
        <f t="shared" si="250"/>
        <v>UND</v>
      </c>
      <c r="M1536" s="411"/>
      <c r="N1536" s="412"/>
      <c r="O1536" s="442"/>
      <c r="P1536" s="442"/>
      <c r="Q1536" s="413"/>
      <c r="R1536" s="411"/>
      <c r="S1536" s="413">
        <f t="shared" si="244"/>
        <v>0</v>
      </c>
      <c r="T1536" s="414">
        <f>+HLOOKUP(B1536,[238]Hoja1!$2:$78,46,FALSE)</f>
        <v>0</v>
      </c>
      <c r="Y1536" s="439">
        <f t="shared" si="247"/>
        <v>0</v>
      </c>
      <c r="Z1536" s="439">
        <f t="shared" si="248"/>
        <v>0</v>
      </c>
    </row>
    <row r="1537" spans="2:26" ht="25.5">
      <c r="B1537" s="383">
        <v>36</v>
      </c>
      <c r="D1537" s="406"/>
      <c r="E1537" s="407"/>
      <c r="F1537" s="407"/>
      <c r="G1537" s="407"/>
      <c r="H1537" s="407"/>
      <c r="I1537" s="407"/>
      <c r="J1537" s="408" t="s">
        <v>447</v>
      </c>
      <c r="K1537" s="409" t="str">
        <f t="shared" si="241"/>
        <v>UND= Cant de elementos</v>
      </c>
      <c r="L1537" s="410" t="str">
        <f>+L1526</f>
        <v>UND</v>
      </c>
      <c r="M1537" s="411"/>
      <c r="N1537" s="412"/>
      <c r="O1537" s="442"/>
      <c r="P1537" s="442"/>
      <c r="Q1537" s="413"/>
      <c r="R1537" s="411"/>
      <c r="S1537" s="413">
        <f t="shared" si="244"/>
        <v>0</v>
      </c>
      <c r="T1537" s="414">
        <f>+HLOOKUP(B1537,[238]Hoja1!$2:$78,46,FALSE)</f>
        <v>0</v>
      </c>
      <c r="Y1537" s="439">
        <f t="shared" si="247"/>
        <v>0</v>
      </c>
      <c r="Z1537" s="439">
        <f t="shared" si="248"/>
        <v>0</v>
      </c>
    </row>
    <row r="1538" spans="2:26" ht="25.5">
      <c r="B1538" s="383">
        <v>37</v>
      </c>
      <c r="D1538" s="406"/>
      <c r="E1538" s="407"/>
      <c r="F1538" s="407"/>
      <c r="G1538" s="407"/>
      <c r="H1538" s="407"/>
      <c r="I1538" s="407"/>
      <c r="J1538" s="408" t="s">
        <v>448</v>
      </c>
      <c r="K1538" s="409" t="str">
        <f t="shared" si="241"/>
        <v>UND= Cant de elementos</v>
      </c>
      <c r="L1538" s="410" t="str">
        <f t="shared" ref="L1538:L1544" si="251">+L1537</f>
        <v>UND</v>
      </c>
      <c r="M1538" s="411"/>
      <c r="N1538" s="412"/>
      <c r="O1538" s="441"/>
      <c r="P1538" s="442"/>
      <c r="Q1538" s="413"/>
      <c r="R1538" s="411"/>
      <c r="S1538" s="413">
        <f t="shared" si="244"/>
        <v>0</v>
      </c>
      <c r="T1538" s="414">
        <f>+HLOOKUP(B1538,[238]Hoja1!$2:$78,46,FALSE)</f>
        <v>0</v>
      </c>
      <c r="Y1538" s="439">
        <f t="shared" si="247"/>
        <v>0</v>
      </c>
      <c r="Z1538" s="439">
        <f t="shared" si="248"/>
        <v>0</v>
      </c>
    </row>
    <row r="1539" spans="2:26" ht="25.5">
      <c r="B1539" s="383">
        <v>38</v>
      </c>
      <c r="D1539" s="406"/>
      <c r="E1539" s="440"/>
      <c r="F1539" s="407"/>
      <c r="G1539" s="407"/>
      <c r="H1539" s="407"/>
      <c r="I1539" s="437"/>
      <c r="J1539" s="408" t="s">
        <v>449</v>
      </c>
      <c r="K1539" s="409" t="str">
        <f t="shared" si="241"/>
        <v>UND= Cant de elementos</v>
      </c>
      <c r="L1539" s="410" t="str">
        <f t="shared" si="251"/>
        <v>UND</v>
      </c>
      <c r="M1539" s="411"/>
      <c r="N1539" s="412"/>
      <c r="O1539" s="442"/>
      <c r="P1539" s="442"/>
      <c r="Q1539" s="413"/>
      <c r="R1539" s="411"/>
      <c r="S1539" s="413">
        <f t="shared" si="244"/>
        <v>0</v>
      </c>
      <c r="T1539" s="414">
        <f>+HLOOKUP(B1539,[238]Hoja1!$2:$78,46,FALSE)</f>
        <v>0</v>
      </c>
      <c r="Y1539" s="439">
        <f t="shared" si="247"/>
        <v>0</v>
      </c>
      <c r="Z1539" s="439">
        <f t="shared" si="248"/>
        <v>0</v>
      </c>
    </row>
    <row r="1540" spans="2:26" ht="25.5">
      <c r="B1540" s="383">
        <v>39</v>
      </c>
      <c r="D1540" s="406"/>
      <c r="E1540" s="407"/>
      <c r="F1540" s="407"/>
      <c r="G1540" s="407"/>
      <c r="H1540" s="407"/>
      <c r="I1540" s="407"/>
      <c r="J1540" s="408" t="s">
        <v>450</v>
      </c>
      <c r="K1540" s="409" t="str">
        <f t="shared" si="241"/>
        <v>UND= Cant de elementos</v>
      </c>
      <c r="L1540" s="410" t="str">
        <f t="shared" si="251"/>
        <v>UND</v>
      </c>
      <c r="M1540" s="411"/>
      <c r="N1540" s="412"/>
      <c r="O1540" s="441"/>
      <c r="P1540" s="442"/>
      <c r="Q1540" s="413"/>
      <c r="R1540" s="411"/>
      <c r="S1540" s="413">
        <f t="shared" si="244"/>
        <v>0</v>
      </c>
      <c r="T1540" s="414">
        <f>+HLOOKUP(B1540,[238]Hoja1!$2:$78,46,FALSE)</f>
        <v>0</v>
      </c>
      <c r="Y1540" s="439">
        <f t="shared" si="247"/>
        <v>0</v>
      </c>
      <c r="Z1540" s="439">
        <f t="shared" si="248"/>
        <v>0</v>
      </c>
    </row>
    <row r="1541" spans="2:26" ht="25.5">
      <c r="B1541" s="383">
        <v>40</v>
      </c>
      <c r="D1541" s="406"/>
      <c r="E1541" s="407"/>
      <c r="F1541" s="407"/>
      <c r="G1541" s="407"/>
      <c r="H1541" s="407"/>
      <c r="I1541" s="407"/>
      <c r="J1541" s="408" t="s">
        <v>451</v>
      </c>
      <c r="K1541" s="409" t="str">
        <f t="shared" si="241"/>
        <v>UND= Cant de elementos</v>
      </c>
      <c r="L1541" s="410" t="str">
        <f t="shared" si="251"/>
        <v>UND</v>
      </c>
      <c r="M1541" s="411"/>
      <c r="N1541" s="412"/>
      <c r="O1541" s="442"/>
      <c r="P1541" s="442"/>
      <c r="Q1541" s="413"/>
      <c r="R1541" s="411"/>
      <c r="S1541" s="413">
        <f t="shared" si="244"/>
        <v>0</v>
      </c>
      <c r="T1541" s="414">
        <f>+HLOOKUP(B1541,[238]Hoja1!$2:$78,46,FALSE)</f>
        <v>0</v>
      </c>
      <c r="Y1541" s="439">
        <f t="shared" si="247"/>
        <v>0</v>
      </c>
      <c r="Z1541" s="439">
        <f t="shared" si="248"/>
        <v>0</v>
      </c>
    </row>
    <row r="1542" spans="2:26" ht="25.5">
      <c r="B1542" s="383">
        <v>41</v>
      </c>
      <c r="D1542" s="406"/>
      <c r="E1542" s="407"/>
      <c r="F1542" s="407"/>
      <c r="G1542" s="407"/>
      <c r="H1542" s="407"/>
      <c r="I1542" s="407"/>
      <c r="J1542" s="408" t="s">
        <v>452</v>
      </c>
      <c r="K1542" s="409" t="str">
        <f t="shared" si="241"/>
        <v>UND= Cant de elementos</v>
      </c>
      <c r="L1542" s="410" t="str">
        <f t="shared" si="251"/>
        <v>UND</v>
      </c>
      <c r="M1542" s="411"/>
      <c r="N1542" s="412"/>
      <c r="O1542" s="442"/>
      <c r="P1542" s="442"/>
      <c r="Q1542" s="413"/>
      <c r="R1542" s="411"/>
      <c r="S1542" s="413">
        <f t="shared" si="244"/>
        <v>1</v>
      </c>
      <c r="T1542" s="414">
        <f>+HLOOKUP(B1542,[238]Hoja1!$2:$78,46,FALSE)</f>
        <v>1</v>
      </c>
      <c r="Y1542" s="439">
        <f t="shared" si="247"/>
        <v>0</v>
      </c>
      <c r="Z1542" s="439">
        <f t="shared" si="248"/>
        <v>0</v>
      </c>
    </row>
    <row r="1543" spans="2:26" ht="25.5">
      <c r="B1543" s="383">
        <v>42</v>
      </c>
      <c r="D1543" s="406"/>
      <c r="E1543" s="407"/>
      <c r="F1543" s="407"/>
      <c r="G1543" s="407"/>
      <c r="H1543" s="407"/>
      <c r="I1543" s="407"/>
      <c r="J1543" s="408" t="s">
        <v>453</v>
      </c>
      <c r="K1543" s="409" t="str">
        <f t="shared" si="241"/>
        <v>UND= Cant de elementos</v>
      </c>
      <c r="L1543" s="410" t="str">
        <f t="shared" si="251"/>
        <v>UND</v>
      </c>
      <c r="M1543" s="411"/>
      <c r="N1543" s="412"/>
      <c r="O1543" s="442"/>
      <c r="P1543" s="442"/>
      <c r="Q1543" s="413"/>
      <c r="R1543" s="411"/>
      <c r="S1543" s="413">
        <f t="shared" si="244"/>
        <v>0</v>
      </c>
      <c r="T1543" s="414">
        <f>+HLOOKUP(B1543,[238]Hoja1!$2:$78,46,FALSE)</f>
        <v>0</v>
      </c>
      <c r="Y1543" s="439">
        <f t="shared" si="247"/>
        <v>0</v>
      </c>
      <c r="Z1543" s="439">
        <f t="shared" si="248"/>
        <v>0</v>
      </c>
    </row>
    <row r="1544" spans="2:26" ht="26.25" thickBot="1">
      <c r="B1544" s="383">
        <v>43</v>
      </c>
      <c r="D1544" s="406"/>
      <c r="E1544" s="407"/>
      <c r="F1544" s="407"/>
      <c r="G1544" s="407"/>
      <c r="H1544" s="407"/>
      <c r="I1544" s="407"/>
      <c r="J1544" s="408" t="s">
        <v>454</v>
      </c>
      <c r="K1544" s="409" t="str">
        <f t="shared" si="241"/>
        <v>UND= Cant de elementos</v>
      </c>
      <c r="L1544" s="410" t="str">
        <f t="shared" si="251"/>
        <v>UND</v>
      </c>
      <c r="M1544" s="411"/>
      <c r="N1544" s="412"/>
      <c r="O1544" s="442"/>
      <c r="P1544" s="442"/>
      <c r="Q1544" s="413"/>
      <c r="R1544" s="411"/>
      <c r="S1544" s="413">
        <f t="shared" si="244"/>
        <v>0</v>
      </c>
      <c r="T1544" s="414">
        <f>+HLOOKUP(B1544,[238]Hoja1!$2:$78,46,FALSE)</f>
        <v>0</v>
      </c>
      <c r="Y1544" s="439">
        <f t="shared" si="247"/>
        <v>0</v>
      </c>
      <c r="Z1544" s="439">
        <f t="shared" si="248"/>
        <v>0</v>
      </c>
    </row>
    <row r="1545" spans="2:26">
      <c r="D1545" s="384"/>
      <c r="E1545" s="419"/>
      <c r="F1545" s="420"/>
      <c r="G1545" s="421"/>
      <c r="H1545" s="421"/>
      <c r="I1545" s="421"/>
      <c r="J1545" s="421"/>
      <c r="K1545" s="422"/>
      <c r="L1545" s="421"/>
      <c r="M1545" s="421"/>
      <c r="N1545" s="421"/>
      <c r="O1545" s="421"/>
      <c r="P1545" s="421"/>
      <c r="Q1545" s="421"/>
      <c r="R1545" s="421"/>
      <c r="S1545" s="422"/>
      <c r="T1545" s="423"/>
    </row>
    <row r="1546" spans="2:26">
      <c r="D1546" s="396"/>
      <c r="E1546" s="397"/>
      <c r="F1546" s="424"/>
      <c r="G1546" s="425"/>
      <c r="H1546" s="425"/>
      <c r="I1546" s="425"/>
      <c r="J1546" s="425"/>
      <c r="K1546" s="398"/>
      <c r="L1546" s="425"/>
      <c r="M1546" s="425"/>
      <c r="N1546" s="397"/>
      <c r="O1546" s="397"/>
      <c r="P1546" s="562" t="s">
        <v>455</v>
      </c>
      <c r="Q1546" s="563"/>
      <c r="R1546" s="564"/>
      <c r="S1546" s="426"/>
      <c r="T1546" s="427">
        <f>ROUND(SUM(T1502:T1545),2)</f>
        <v>10</v>
      </c>
    </row>
    <row r="1547" spans="2:26">
      <c r="D1547" s="396"/>
      <c r="E1547" s="397"/>
      <c r="F1547" s="424"/>
      <c r="G1547" s="425"/>
      <c r="H1547" s="425"/>
      <c r="I1547" s="425"/>
      <c r="J1547" s="425"/>
      <c r="K1547" s="398"/>
      <c r="L1547" s="425"/>
      <c r="M1547" s="425"/>
      <c r="N1547" s="428"/>
      <c r="O1547" s="428"/>
      <c r="P1547" s="429"/>
      <c r="Q1547" s="425"/>
      <c r="R1547" s="425"/>
      <c r="S1547" s="430"/>
      <c r="T1547" s="431"/>
    </row>
    <row r="1548" spans="2:26">
      <c r="D1548" s="565" t="e">
        <v>#REF!</v>
      </c>
      <c r="E1548" s="566"/>
      <c r="F1548" s="566"/>
      <c r="G1548" s="566"/>
      <c r="H1548" s="566"/>
      <c r="I1548" s="566"/>
      <c r="J1548" s="566"/>
      <c r="K1548" s="566"/>
      <c r="L1548" s="566"/>
      <c r="M1548" s="566"/>
      <c r="N1548" s="566"/>
      <c r="O1548" s="567"/>
      <c r="P1548" s="568" t="s">
        <v>422</v>
      </c>
      <c r="Q1548" s="568"/>
      <c r="R1548" s="568"/>
      <c r="S1548" s="426"/>
      <c r="T1548" s="427">
        <f>T1546</f>
        <v>10</v>
      </c>
    </row>
    <row r="1549" spans="2:26">
      <c r="D1549" s="396"/>
      <c r="E1549" s="397"/>
      <c r="F1549" s="424"/>
      <c r="G1549" s="425"/>
      <c r="H1549" s="425"/>
      <c r="I1549" s="425"/>
      <c r="J1549" s="425"/>
      <c r="K1549" s="398"/>
      <c r="L1549" s="425"/>
      <c r="M1549" s="425"/>
      <c r="N1549" s="428"/>
      <c r="O1549" s="428"/>
      <c r="P1549" s="429"/>
      <c r="Q1549" s="425"/>
      <c r="R1549" s="398"/>
      <c r="S1549" s="398"/>
      <c r="T1549" s="432"/>
    </row>
    <row r="1550" spans="2:26">
      <c r="D1550" s="396"/>
      <c r="E1550" s="397"/>
      <c r="F1550" s="424"/>
      <c r="G1550" s="425"/>
      <c r="H1550" s="425"/>
      <c r="I1550" s="425"/>
      <c r="J1550" s="425"/>
      <c r="K1550" s="398"/>
      <c r="L1550" s="425"/>
      <c r="M1550" s="425"/>
      <c r="N1550" s="428"/>
      <c r="O1550" s="428"/>
      <c r="P1550" s="429"/>
      <c r="Q1550" s="425"/>
      <c r="R1550" s="398"/>
      <c r="S1550" s="398"/>
      <c r="T1550" s="432"/>
    </row>
    <row r="1551" spans="2:26">
      <c r="D1551" s="569" t="s">
        <v>423</v>
      </c>
      <c r="E1551" s="570"/>
      <c r="F1551" s="570"/>
      <c r="G1551" s="570"/>
      <c r="H1551" s="570"/>
      <c r="I1551" s="570"/>
      <c r="J1551" s="570"/>
      <c r="K1551" s="571"/>
      <c r="L1551" s="433" t="s">
        <v>424</v>
      </c>
      <c r="M1551" s="434"/>
      <c r="N1551" s="434"/>
      <c r="O1551" s="434"/>
      <c r="P1551" s="434"/>
      <c r="Q1551" s="434"/>
      <c r="R1551" s="434"/>
      <c r="S1551" s="434"/>
      <c r="T1551" s="435"/>
    </row>
    <row r="1552" spans="2:26">
      <c r="D1552" s="542"/>
      <c r="E1552" s="543"/>
      <c r="F1552" s="543"/>
      <c r="G1552" s="543"/>
      <c r="H1552" s="436"/>
      <c r="I1552" s="436"/>
      <c r="J1552" s="436"/>
      <c r="K1552" s="447"/>
      <c r="L1552" s="436"/>
      <c r="M1552" s="407"/>
      <c r="N1552" s="407"/>
      <c r="O1552" s="407"/>
      <c r="P1552" s="407"/>
      <c r="Q1552" s="407"/>
      <c r="R1552" s="407"/>
      <c r="S1552" s="407"/>
      <c r="T1552" s="437"/>
    </row>
    <row r="1553" spans="4:20">
      <c r="D1553" s="542"/>
      <c r="E1553" s="543"/>
      <c r="F1553" s="543"/>
      <c r="G1553" s="543"/>
      <c r="H1553" s="436"/>
      <c r="I1553" s="436"/>
      <c r="J1553" s="436"/>
      <c r="K1553" s="447"/>
      <c r="L1553" s="436"/>
      <c r="M1553" s="407"/>
      <c r="N1553" s="407"/>
      <c r="O1553" s="407"/>
      <c r="P1553" s="407"/>
      <c r="Q1553" s="407"/>
      <c r="R1553" s="407"/>
      <c r="S1553" s="407"/>
      <c r="T1553" s="437"/>
    </row>
    <row r="1554" spans="4:20">
      <c r="D1554" s="542" t="s">
        <v>425</v>
      </c>
      <c r="E1554" s="543"/>
      <c r="F1554" s="543" t="s">
        <v>425</v>
      </c>
      <c r="G1554" s="543"/>
      <c r="H1554" s="543" t="s">
        <v>425</v>
      </c>
      <c r="I1554" s="543"/>
      <c r="J1554" s="543" t="s">
        <v>425</v>
      </c>
      <c r="K1554" s="544"/>
      <c r="L1554" s="545" t="s">
        <v>426</v>
      </c>
      <c r="M1554" s="546"/>
      <c r="N1554" s="546"/>
      <c r="O1554" s="546"/>
      <c r="P1554" s="546"/>
      <c r="Q1554" s="546"/>
      <c r="R1554" s="546"/>
      <c r="S1554" s="546"/>
      <c r="T1554" s="547"/>
    </row>
    <row r="1555" spans="4:20">
      <c r="D1555" s="548" t="str">
        <f>+[42]DATOS!D$8</f>
        <v>HELMER EDUARDO BECERRA SANTANDER</v>
      </c>
      <c r="E1555" s="549"/>
      <c r="F1555" s="549" t="s">
        <v>427</v>
      </c>
      <c r="G1555" s="549"/>
      <c r="H1555" s="549" t="s">
        <v>427</v>
      </c>
      <c r="I1555" s="549"/>
      <c r="J1555" s="549" t="s">
        <v>427</v>
      </c>
      <c r="K1555" s="550"/>
      <c r="L1555" s="551" t="str">
        <f>+[42]DATOS!D$11</f>
        <v>JESUS IVAN QUIÑONES RUEDA</v>
      </c>
      <c r="M1555" s="549"/>
      <c r="N1555" s="549"/>
      <c r="O1555" s="549"/>
      <c r="P1555" s="549"/>
      <c r="Q1555" s="549"/>
      <c r="R1555" s="549"/>
      <c r="S1555" s="549"/>
      <c r="T1555" s="552"/>
    </row>
    <row r="1556" spans="4:20">
      <c r="D1556" s="553" t="str">
        <f>+$D$72</f>
        <v>APOYO SEC. DE PLANEACION Y OBRAS PÚBLICAS</v>
      </c>
      <c r="E1556" s="554"/>
      <c r="F1556" s="554" t="s">
        <v>428</v>
      </c>
      <c r="G1556" s="554"/>
      <c r="H1556" s="554" t="s">
        <v>428</v>
      </c>
      <c r="I1556" s="554"/>
      <c r="J1556" s="554" t="s">
        <v>428</v>
      </c>
      <c r="K1556" s="555"/>
      <c r="L1556" s="556" t="str">
        <f>+$L$72</f>
        <v>SECRETARIO DE PLANEACION Y OBRAS PÚBLICAS</v>
      </c>
      <c r="M1556" s="554"/>
      <c r="N1556" s="554"/>
      <c r="O1556" s="554"/>
      <c r="P1556" s="554"/>
      <c r="Q1556" s="554"/>
      <c r="R1556" s="554"/>
      <c r="S1556" s="554"/>
      <c r="T1556" s="557"/>
    </row>
    <row r="1557" spans="4:20">
      <c r="D1557" s="406"/>
      <c r="E1557" s="407"/>
      <c r="F1557" s="407"/>
      <c r="G1557" s="407"/>
      <c r="H1557" s="407"/>
      <c r="I1557" s="407"/>
      <c r="J1557" s="407"/>
      <c r="K1557" s="407"/>
      <c r="L1557" s="407"/>
      <c r="M1557" s="407"/>
      <c r="N1557" s="407"/>
      <c r="O1557" s="407"/>
      <c r="P1557" s="407"/>
      <c r="Q1557" s="407"/>
      <c r="R1557" s="407"/>
      <c r="S1557" s="407"/>
      <c r="T1557" s="437"/>
    </row>
    <row r="1558" spans="4:20" ht="111" customHeight="1" thickBot="1">
      <c r="D1558" s="417"/>
      <c r="E1558" s="418"/>
      <c r="F1558" s="418"/>
      <c r="G1558" s="418"/>
      <c r="H1558" s="418"/>
      <c r="I1558" s="418"/>
      <c r="J1558" s="418"/>
      <c r="K1558" s="418"/>
      <c r="L1558" s="418"/>
      <c r="M1558" s="418"/>
      <c r="N1558" s="418"/>
      <c r="O1558" s="418"/>
      <c r="P1558" s="418"/>
      <c r="Q1558" s="418"/>
      <c r="R1558" s="418"/>
      <c r="S1558" s="418"/>
      <c r="T1558" s="438"/>
    </row>
    <row r="1559" spans="4:20" ht="22.5" customHeight="1"/>
  </sheetData>
  <mergeCells count="735">
    <mergeCell ref="D1329:G1329"/>
    <mergeCell ref="D1330:K1330"/>
    <mergeCell ref="L1330:T1330"/>
    <mergeCell ref="D1331:K1331"/>
    <mergeCell ref="L1331:T1331"/>
    <mergeCell ref="D1332:K1332"/>
    <mergeCell ref="L1332:T1332"/>
    <mergeCell ref="J1277:T1277"/>
    <mergeCell ref="P1322:R1322"/>
    <mergeCell ref="D1324:O1324"/>
    <mergeCell ref="P1324:R1324"/>
    <mergeCell ref="D1327:K1327"/>
    <mergeCell ref="D1328:G1328"/>
    <mergeCell ref="D1273:T1273"/>
    <mergeCell ref="E1275:F1275"/>
    <mergeCell ref="G1275:I1275"/>
    <mergeCell ref="J1275:J1276"/>
    <mergeCell ref="K1275:L1276"/>
    <mergeCell ref="M1275:R1275"/>
    <mergeCell ref="S1275:T1275"/>
    <mergeCell ref="E1276:F1276"/>
    <mergeCell ref="G1276:I1276"/>
    <mergeCell ref="D1270:E1270"/>
    <mergeCell ref="L1270:M1270"/>
    <mergeCell ref="N1270:T1270"/>
    <mergeCell ref="D1271:E1271"/>
    <mergeCell ref="F1271:G1271"/>
    <mergeCell ref="L1271:M1271"/>
    <mergeCell ref="N1271:T1271"/>
    <mergeCell ref="D1265:T1266"/>
    <mergeCell ref="D1267:T1267"/>
    <mergeCell ref="D1268:E1268"/>
    <mergeCell ref="F1268:T1268"/>
    <mergeCell ref="D1269:E1269"/>
    <mergeCell ref="F1269:T1269"/>
    <mergeCell ref="D1255:G1255"/>
    <mergeCell ref="D1256:K1256"/>
    <mergeCell ref="L1256:T1256"/>
    <mergeCell ref="D1257:K1257"/>
    <mergeCell ref="L1257:T1257"/>
    <mergeCell ref="D1258:K1258"/>
    <mergeCell ref="L1258:T1258"/>
    <mergeCell ref="J1203:T1203"/>
    <mergeCell ref="P1248:R1248"/>
    <mergeCell ref="D1250:O1250"/>
    <mergeCell ref="P1250:R1250"/>
    <mergeCell ref="D1253:K1253"/>
    <mergeCell ref="D1254:G1254"/>
    <mergeCell ref="D1199:T1199"/>
    <mergeCell ref="E1201:F1201"/>
    <mergeCell ref="G1201:I1201"/>
    <mergeCell ref="J1201:J1202"/>
    <mergeCell ref="K1201:L1202"/>
    <mergeCell ref="M1201:R1201"/>
    <mergeCell ref="S1201:T1201"/>
    <mergeCell ref="E1202:F1202"/>
    <mergeCell ref="G1202:I1202"/>
    <mergeCell ref="D1196:E1196"/>
    <mergeCell ref="L1196:M1196"/>
    <mergeCell ref="N1196:T1196"/>
    <mergeCell ref="D1197:E1197"/>
    <mergeCell ref="F1197:G1197"/>
    <mergeCell ref="L1197:M1197"/>
    <mergeCell ref="N1197:T1197"/>
    <mergeCell ref="D1191:T1192"/>
    <mergeCell ref="D1193:T1193"/>
    <mergeCell ref="D1194:E1194"/>
    <mergeCell ref="F1194:T1194"/>
    <mergeCell ref="D1195:E1195"/>
    <mergeCell ref="F1195:T1195"/>
    <mergeCell ref="D1181:G1181"/>
    <mergeCell ref="D1182:K1182"/>
    <mergeCell ref="L1182:T1182"/>
    <mergeCell ref="D1183:K1183"/>
    <mergeCell ref="L1183:T1183"/>
    <mergeCell ref="D1184:K1184"/>
    <mergeCell ref="L1184:T1184"/>
    <mergeCell ref="J1129:T1129"/>
    <mergeCell ref="P1174:R1174"/>
    <mergeCell ref="D1176:O1176"/>
    <mergeCell ref="P1176:R1176"/>
    <mergeCell ref="D1179:K1179"/>
    <mergeCell ref="D1180:G1180"/>
    <mergeCell ref="D1125:T1125"/>
    <mergeCell ref="E1127:F1127"/>
    <mergeCell ref="G1127:I1127"/>
    <mergeCell ref="J1127:J1128"/>
    <mergeCell ref="K1127:L1128"/>
    <mergeCell ref="M1127:R1127"/>
    <mergeCell ref="S1127:T1127"/>
    <mergeCell ref="E1128:F1128"/>
    <mergeCell ref="G1128:I1128"/>
    <mergeCell ref="D1122:E1122"/>
    <mergeCell ref="L1122:M1122"/>
    <mergeCell ref="N1122:T1122"/>
    <mergeCell ref="D1123:E1123"/>
    <mergeCell ref="F1123:G1123"/>
    <mergeCell ref="L1123:M1123"/>
    <mergeCell ref="N1123:T1123"/>
    <mergeCell ref="D1117:T1118"/>
    <mergeCell ref="D1119:T1119"/>
    <mergeCell ref="D1120:E1120"/>
    <mergeCell ref="F1120:T1120"/>
    <mergeCell ref="D1121:E1121"/>
    <mergeCell ref="F1121:T1121"/>
    <mergeCell ref="D1107:G1107"/>
    <mergeCell ref="D1108:K1108"/>
    <mergeCell ref="L1108:T1108"/>
    <mergeCell ref="D1109:K1109"/>
    <mergeCell ref="L1109:T1109"/>
    <mergeCell ref="D1110:K1110"/>
    <mergeCell ref="L1110:T1110"/>
    <mergeCell ref="J1055:T1055"/>
    <mergeCell ref="P1100:R1100"/>
    <mergeCell ref="D1102:O1102"/>
    <mergeCell ref="P1102:R1102"/>
    <mergeCell ref="D1105:K1105"/>
    <mergeCell ref="D1106:G1106"/>
    <mergeCell ref="D1051:T1051"/>
    <mergeCell ref="E1053:F1053"/>
    <mergeCell ref="G1053:I1053"/>
    <mergeCell ref="J1053:J1054"/>
    <mergeCell ref="K1053:L1054"/>
    <mergeCell ref="M1053:R1053"/>
    <mergeCell ref="S1053:T1053"/>
    <mergeCell ref="E1054:F1054"/>
    <mergeCell ref="G1054:I1054"/>
    <mergeCell ref="D1048:E1048"/>
    <mergeCell ref="L1048:M1048"/>
    <mergeCell ref="N1048:T1048"/>
    <mergeCell ref="D1049:E1049"/>
    <mergeCell ref="F1049:G1049"/>
    <mergeCell ref="L1049:M1049"/>
    <mergeCell ref="N1049:T1049"/>
    <mergeCell ref="D1043:T1044"/>
    <mergeCell ref="D1045:T1045"/>
    <mergeCell ref="D1046:E1046"/>
    <mergeCell ref="F1046:T1046"/>
    <mergeCell ref="D1047:E1047"/>
    <mergeCell ref="F1047:T1047"/>
    <mergeCell ref="D1033:G1033"/>
    <mergeCell ref="D1034:K1034"/>
    <mergeCell ref="L1034:T1034"/>
    <mergeCell ref="D1035:K1035"/>
    <mergeCell ref="L1035:T1035"/>
    <mergeCell ref="D1036:K1036"/>
    <mergeCell ref="L1036:T1036"/>
    <mergeCell ref="J981:T981"/>
    <mergeCell ref="P1026:R1026"/>
    <mergeCell ref="D1028:O1028"/>
    <mergeCell ref="P1028:R1028"/>
    <mergeCell ref="D1031:K1031"/>
    <mergeCell ref="D1032:G1032"/>
    <mergeCell ref="D977:T977"/>
    <mergeCell ref="E979:F979"/>
    <mergeCell ref="G979:I979"/>
    <mergeCell ref="J979:J980"/>
    <mergeCell ref="K979:L980"/>
    <mergeCell ref="M979:R979"/>
    <mergeCell ref="S979:T979"/>
    <mergeCell ref="E980:F980"/>
    <mergeCell ref="G980:I980"/>
    <mergeCell ref="D974:E974"/>
    <mergeCell ref="L974:M974"/>
    <mergeCell ref="N974:T974"/>
    <mergeCell ref="D975:E975"/>
    <mergeCell ref="F975:G975"/>
    <mergeCell ref="L975:M975"/>
    <mergeCell ref="N975:T975"/>
    <mergeCell ref="D969:T970"/>
    <mergeCell ref="D971:T971"/>
    <mergeCell ref="D972:E972"/>
    <mergeCell ref="F972:T972"/>
    <mergeCell ref="D973:E973"/>
    <mergeCell ref="F973:T973"/>
    <mergeCell ref="D959:G959"/>
    <mergeCell ref="D960:K960"/>
    <mergeCell ref="L960:T960"/>
    <mergeCell ref="D961:K961"/>
    <mergeCell ref="L961:T961"/>
    <mergeCell ref="D962:K962"/>
    <mergeCell ref="L962:T962"/>
    <mergeCell ref="J907:T907"/>
    <mergeCell ref="P952:R952"/>
    <mergeCell ref="D954:O954"/>
    <mergeCell ref="P954:R954"/>
    <mergeCell ref="D957:K957"/>
    <mergeCell ref="D958:G958"/>
    <mergeCell ref="D903:T903"/>
    <mergeCell ref="E905:F905"/>
    <mergeCell ref="G905:I905"/>
    <mergeCell ref="J905:J906"/>
    <mergeCell ref="K905:L906"/>
    <mergeCell ref="M905:R905"/>
    <mergeCell ref="S905:T905"/>
    <mergeCell ref="E906:F906"/>
    <mergeCell ref="G906:I906"/>
    <mergeCell ref="D900:E900"/>
    <mergeCell ref="L900:M900"/>
    <mergeCell ref="N900:T900"/>
    <mergeCell ref="D901:E901"/>
    <mergeCell ref="F901:G901"/>
    <mergeCell ref="L901:M901"/>
    <mergeCell ref="N901:T901"/>
    <mergeCell ref="D895:T896"/>
    <mergeCell ref="D897:T897"/>
    <mergeCell ref="D898:E898"/>
    <mergeCell ref="F898:T898"/>
    <mergeCell ref="D899:E899"/>
    <mergeCell ref="F899:T899"/>
    <mergeCell ref="D885:G885"/>
    <mergeCell ref="D886:K886"/>
    <mergeCell ref="L886:T886"/>
    <mergeCell ref="D887:K887"/>
    <mergeCell ref="L887:T887"/>
    <mergeCell ref="D888:K888"/>
    <mergeCell ref="L888:T888"/>
    <mergeCell ref="J833:T833"/>
    <mergeCell ref="P878:R878"/>
    <mergeCell ref="D880:O880"/>
    <mergeCell ref="P880:R880"/>
    <mergeCell ref="D883:K883"/>
    <mergeCell ref="D884:G884"/>
    <mergeCell ref="D829:T829"/>
    <mergeCell ref="E831:F831"/>
    <mergeCell ref="G831:I831"/>
    <mergeCell ref="J831:J832"/>
    <mergeCell ref="K831:L832"/>
    <mergeCell ref="M831:R831"/>
    <mergeCell ref="S831:T831"/>
    <mergeCell ref="E832:F832"/>
    <mergeCell ref="G832:I832"/>
    <mergeCell ref="D826:E826"/>
    <mergeCell ref="L826:M826"/>
    <mergeCell ref="N826:T826"/>
    <mergeCell ref="D827:E827"/>
    <mergeCell ref="F827:G827"/>
    <mergeCell ref="L827:M827"/>
    <mergeCell ref="N827:T827"/>
    <mergeCell ref="D821:T822"/>
    <mergeCell ref="D823:T823"/>
    <mergeCell ref="D824:E824"/>
    <mergeCell ref="F824:T824"/>
    <mergeCell ref="D825:E825"/>
    <mergeCell ref="F825:T825"/>
    <mergeCell ref="D811:G811"/>
    <mergeCell ref="D812:K812"/>
    <mergeCell ref="L812:T812"/>
    <mergeCell ref="D813:K813"/>
    <mergeCell ref="L813:T813"/>
    <mergeCell ref="D814:K814"/>
    <mergeCell ref="L814:T814"/>
    <mergeCell ref="J759:T759"/>
    <mergeCell ref="P804:R804"/>
    <mergeCell ref="D806:O806"/>
    <mergeCell ref="P806:R806"/>
    <mergeCell ref="D809:K809"/>
    <mergeCell ref="D810:G810"/>
    <mergeCell ref="D755:T755"/>
    <mergeCell ref="E757:F757"/>
    <mergeCell ref="G757:I757"/>
    <mergeCell ref="J757:J758"/>
    <mergeCell ref="K757:L758"/>
    <mergeCell ref="M757:R757"/>
    <mergeCell ref="S757:T757"/>
    <mergeCell ref="E758:F758"/>
    <mergeCell ref="G758:I758"/>
    <mergeCell ref="D752:E752"/>
    <mergeCell ref="L752:M752"/>
    <mergeCell ref="N752:T752"/>
    <mergeCell ref="D753:E753"/>
    <mergeCell ref="F753:G753"/>
    <mergeCell ref="L753:M753"/>
    <mergeCell ref="N753:T753"/>
    <mergeCell ref="D747:T748"/>
    <mergeCell ref="D749:T749"/>
    <mergeCell ref="D750:E750"/>
    <mergeCell ref="F750:T750"/>
    <mergeCell ref="D751:E751"/>
    <mergeCell ref="F751:T751"/>
    <mergeCell ref="D737:G737"/>
    <mergeCell ref="D738:K738"/>
    <mergeCell ref="L738:T738"/>
    <mergeCell ref="D739:K739"/>
    <mergeCell ref="L739:T739"/>
    <mergeCell ref="D740:K740"/>
    <mergeCell ref="L740:T740"/>
    <mergeCell ref="J685:T685"/>
    <mergeCell ref="P730:R730"/>
    <mergeCell ref="D732:O732"/>
    <mergeCell ref="P732:R732"/>
    <mergeCell ref="D735:K735"/>
    <mergeCell ref="D736:G736"/>
    <mergeCell ref="D681:T681"/>
    <mergeCell ref="E683:F683"/>
    <mergeCell ref="G683:I683"/>
    <mergeCell ref="J683:J684"/>
    <mergeCell ref="K683:L684"/>
    <mergeCell ref="M683:R683"/>
    <mergeCell ref="S683:T683"/>
    <mergeCell ref="E684:F684"/>
    <mergeCell ref="G684:I684"/>
    <mergeCell ref="D678:E678"/>
    <mergeCell ref="L678:M678"/>
    <mergeCell ref="N678:T678"/>
    <mergeCell ref="D679:E679"/>
    <mergeCell ref="F679:G679"/>
    <mergeCell ref="L679:M679"/>
    <mergeCell ref="N679:T679"/>
    <mergeCell ref="D673:T674"/>
    <mergeCell ref="D675:T675"/>
    <mergeCell ref="D676:E676"/>
    <mergeCell ref="F676:T676"/>
    <mergeCell ref="D677:E677"/>
    <mergeCell ref="F677:T677"/>
    <mergeCell ref="D663:G663"/>
    <mergeCell ref="D664:K664"/>
    <mergeCell ref="L664:T664"/>
    <mergeCell ref="D665:K665"/>
    <mergeCell ref="L665:T665"/>
    <mergeCell ref="D666:K666"/>
    <mergeCell ref="L666:T666"/>
    <mergeCell ref="J611:T611"/>
    <mergeCell ref="P656:R656"/>
    <mergeCell ref="D658:O658"/>
    <mergeCell ref="P658:R658"/>
    <mergeCell ref="D661:K661"/>
    <mergeCell ref="D662:G662"/>
    <mergeCell ref="D607:T607"/>
    <mergeCell ref="E609:F609"/>
    <mergeCell ref="G609:I609"/>
    <mergeCell ref="J609:J610"/>
    <mergeCell ref="K609:L610"/>
    <mergeCell ref="M609:R609"/>
    <mergeCell ref="S609:T609"/>
    <mergeCell ref="E610:F610"/>
    <mergeCell ref="G610:I610"/>
    <mergeCell ref="D604:E604"/>
    <mergeCell ref="L604:M604"/>
    <mergeCell ref="N604:T604"/>
    <mergeCell ref="D605:E605"/>
    <mergeCell ref="F605:G605"/>
    <mergeCell ref="L605:M605"/>
    <mergeCell ref="N605:T605"/>
    <mergeCell ref="D599:T600"/>
    <mergeCell ref="D601:T601"/>
    <mergeCell ref="D602:E602"/>
    <mergeCell ref="F602:T602"/>
    <mergeCell ref="D603:E603"/>
    <mergeCell ref="F603:T603"/>
    <mergeCell ref="D589:G589"/>
    <mergeCell ref="D590:K590"/>
    <mergeCell ref="L590:T590"/>
    <mergeCell ref="D591:K591"/>
    <mergeCell ref="L591:T591"/>
    <mergeCell ref="D592:K592"/>
    <mergeCell ref="L592:T592"/>
    <mergeCell ref="J537:T537"/>
    <mergeCell ref="P582:R582"/>
    <mergeCell ref="D584:O584"/>
    <mergeCell ref="P584:R584"/>
    <mergeCell ref="D587:K587"/>
    <mergeCell ref="D588:G588"/>
    <mergeCell ref="D533:T533"/>
    <mergeCell ref="E535:F535"/>
    <mergeCell ref="G535:I535"/>
    <mergeCell ref="J535:J536"/>
    <mergeCell ref="K535:L536"/>
    <mergeCell ref="M535:R535"/>
    <mergeCell ref="S535:T535"/>
    <mergeCell ref="E536:F536"/>
    <mergeCell ref="G536:I536"/>
    <mergeCell ref="D530:E530"/>
    <mergeCell ref="L530:M530"/>
    <mergeCell ref="N530:T530"/>
    <mergeCell ref="D531:E531"/>
    <mergeCell ref="F531:G531"/>
    <mergeCell ref="L531:M531"/>
    <mergeCell ref="N531:T531"/>
    <mergeCell ref="D525:T526"/>
    <mergeCell ref="D527:T527"/>
    <mergeCell ref="D528:E528"/>
    <mergeCell ref="F528:T528"/>
    <mergeCell ref="D529:E529"/>
    <mergeCell ref="F529:T529"/>
    <mergeCell ref="D515:G515"/>
    <mergeCell ref="D516:K516"/>
    <mergeCell ref="L516:T516"/>
    <mergeCell ref="D517:K517"/>
    <mergeCell ref="L517:T517"/>
    <mergeCell ref="D518:K518"/>
    <mergeCell ref="L518:T518"/>
    <mergeCell ref="J463:T463"/>
    <mergeCell ref="P508:R508"/>
    <mergeCell ref="D510:O510"/>
    <mergeCell ref="P510:R510"/>
    <mergeCell ref="D513:K513"/>
    <mergeCell ref="D514:G514"/>
    <mergeCell ref="D459:T459"/>
    <mergeCell ref="E461:F461"/>
    <mergeCell ref="G461:I461"/>
    <mergeCell ref="J461:J462"/>
    <mergeCell ref="K461:L462"/>
    <mergeCell ref="M461:R461"/>
    <mergeCell ref="S461:T461"/>
    <mergeCell ref="E462:F462"/>
    <mergeCell ref="G462:I462"/>
    <mergeCell ref="D456:E456"/>
    <mergeCell ref="L456:M456"/>
    <mergeCell ref="N456:T456"/>
    <mergeCell ref="D457:E457"/>
    <mergeCell ref="F457:G457"/>
    <mergeCell ref="L457:M457"/>
    <mergeCell ref="N457:T457"/>
    <mergeCell ref="D451:T452"/>
    <mergeCell ref="D453:T453"/>
    <mergeCell ref="D454:E454"/>
    <mergeCell ref="F454:T454"/>
    <mergeCell ref="D455:E455"/>
    <mergeCell ref="F455:T455"/>
    <mergeCell ref="D441:G441"/>
    <mergeCell ref="D442:K442"/>
    <mergeCell ref="L442:T442"/>
    <mergeCell ref="D443:K443"/>
    <mergeCell ref="L443:T443"/>
    <mergeCell ref="D444:K444"/>
    <mergeCell ref="L444:T444"/>
    <mergeCell ref="J389:T389"/>
    <mergeCell ref="P434:R434"/>
    <mergeCell ref="D436:O436"/>
    <mergeCell ref="P436:R436"/>
    <mergeCell ref="D439:K439"/>
    <mergeCell ref="D440:G440"/>
    <mergeCell ref="D385:T385"/>
    <mergeCell ref="E387:F387"/>
    <mergeCell ref="G387:I387"/>
    <mergeCell ref="J387:J388"/>
    <mergeCell ref="K387:L388"/>
    <mergeCell ref="M387:R387"/>
    <mergeCell ref="S387:T387"/>
    <mergeCell ref="E388:F388"/>
    <mergeCell ref="G388:I388"/>
    <mergeCell ref="D382:E382"/>
    <mergeCell ref="L382:M382"/>
    <mergeCell ref="N382:T382"/>
    <mergeCell ref="D383:E383"/>
    <mergeCell ref="F383:G383"/>
    <mergeCell ref="L383:M383"/>
    <mergeCell ref="N383:T383"/>
    <mergeCell ref="D377:T378"/>
    <mergeCell ref="D379:T379"/>
    <mergeCell ref="D380:E380"/>
    <mergeCell ref="F380:T380"/>
    <mergeCell ref="D381:E381"/>
    <mergeCell ref="F381:T381"/>
    <mergeCell ref="D367:G367"/>
    <mergeCell ref="D368:K368"/>
    <mergeCell ref="L368:T368"/>
    <mergeCell ref="D369:K369"/>
    <mergeCell ref="L369:T369"/>
    <mergeCell ref="D370:K370"/>
    <mergeCell ref="L370:T370"/>
    <mergeCell ref="J315:T315"/>
    <mergeCell ref="P360:R360"/>
    <mergeCell ref="D362:O362"/>
    <mergeCell ref="P362:R362"/>
    <mergeCell ref="D365:K365"/>
    <mergeCell ref="D366:G366"/>
    <mergeCell ref="D311:T311"/>
    <mergeCell ref="E313:F313"/>
    <mergeCell ref="G313:I313"/>
    <mergeCell ref="J313:J314"/>
    <mergeCell ref="K313:L314"/>
    <mergeCell ref="M313:R313"/>
    <mergeCell ref="S313:T313"/>
    <mergeCell ref="E314:F314"/>
    <mergeCell ref="G314:I314"/>
    <mergeCell ref="D308:E308"/>
    <mergeCell ref="L308:M308"/>
    <mergeCell ref="N308:T308"/>
    <mergeCell ref="D309:E309"/>
    <mergeCell ref="F309:G309"/>
    <mergeCell ref="L309:M309"/>
    <mergeCell ref="N309:T309"/>
    <mergeCell ref="D303:T304"/>
    <mergeCell ref="D305:T305"/>
    <mergeCell ref="D306:E306"/>
    <mergeCell ref="F306:T306"/>
    <mergeCell ref="D307:E307"/>
    <mergeCell ref="F307:T307"/>
    <mergeCell ref="D292:G292"/>
    <mergeCell ref="D293:K293"/>
    <mergeCell ref="L293:T293"/>
    <mergeCell ref="D294:K294"/>
    <mergeCell ref="L294:T294"/>
    <mergeCell ref="D295:K295"/>
    <mergeCell ref="L295:T295"/>
    <mergeCell ref="J240:T240"/>
    <mergeCell ref="P285:R285"/>
    <mergeCell ref="D287:O287"/>
    <mergeCell ref="P287:R287"/>
    <mergeCell ref="D290:K290"/>
    <mergeCell ref="D291:G291"/>
    <mergeCell ref="D236:T236"/>
    <mergeCell ref="E238:F238"/>
    <mergeCell ref="G238:I238"/>
    <mergeCell ref="J238:J239"/>
    <mergeCell ref="K238:L239"/>
    <mergeCell ref="M238:R238"/>
    <mergeCell ref="S238:T238"/>
    <mergeCell ref="E239:F239"/>
    <mergeCell ref="G239:I239"/>
    <mergeCell ref="D233:E233"/>
    <mergeCell ref="L233:M233"/>
    <mergeCell ref="N233:T233"/>
    <mergeCell ref="D234:E234"/>
    <mergeCell ref="F234:G234"/>
    <mergeCell ref="L234:M234"/>
    <mergeCell ref="N234:T234"/>
    <mergeCell ref="D228:T229"/>
    <mergeCell ref="D230:T230"/>
    <mergeCell ref="D231:E231"/>
    <mergeCell ref="F231:T231"/>
    <mergeCell ref="D232:E232"/>
    <mergeCell ref="F232:T232"/>
    <mergeCell ref="D218:G218"/>
    <mergeCell ref="D219:K219"/>
    <mergeCell ref="L219:T219"/>
    <mergeCell ref="D220:K220"/>
    <mergeCell ref="L220:T220"/>
    <mergeCell ref="D221:K221"/>
    <mergeCell ref="L221:T221"/>
    <mergeCell ref="J166:T166"/>
    <mergeCell ref="P211:R211"/>
    <mergeCell ref="D213:O213"/>
    <mergeCell ref="P213:R213"/>
    <mergeCell ref="D216:K216"/>
    <mergeCell ref="D217:G217"/>
    <mergeCell ref="D162:T162"/>
    <mergeCell ref="E164:F164"/>
    <mergeCell ref="G164:I164"/>
    <mergeCell ref="J164:J165"/>
    <mergeCell ref="K164:L165"/>
    <mergeCell ref="M164:R164"/>
    <mergeCell ref="S164:T164"/>
    <mergeCell ref="E165:F165"/>
    <mergeCell ref="G165:I165"/>
    <mergeCell ref="D159:E159"/>
    <mergeCell ref="L159:M159"/>
    <mergeCell ref="N159:T159"/>
    <mergeCell ref="D160:E160"/>
    <mergeCell ref="F160:G160"/>
    <mergeCell ref="L160:M160"/>
    <mergeCell ref="N160:T160"/>
    <mergeCell ref="D154:T155"/>
    <mergeCell ref="D156:T156"/>
    <mergeCell ref="D157:E157"/>
    <mergeCell ref="F157:T157"/>
    <mergeCell ref="D158:E158"/>
    <mergeCell ref="F158:T158"/>
    <mergeCell ref="D144:G144"/>
    <mergeCell ref="D145:K145"/>
    <mergeCell ref="L145:T145"/>
    <mergeCell ref="D146:K146"/>
    <mergeCell ref="L146:T146"/>
    <mergeCell ref="D147:K147"/>
    <mergeCell ref="L147:T147"/>
    <mergeCell ref="J92:T92"/>
    <mergeCell ref="P137:R137"/>
    <mergeCell ref="D139:O139"/>
    <mergeCell ref="P139:R139"/>
    <mergeCell ref="D142:K142"/>
    <mergeCell ref="D143:G143"/>
    <mergeCell ref="D88:T88"/>
    <mergeCell ref="E90:F90"/>
    <mergeCell ref="G90:I90"/>
    <mergeCell ref="J90:J91"/>
    <mergeCell ref="K90:L91"/>
    <mergeCell ref="M90:R90"/>
    <mergeCell ref="S90:T90"/>
    <mergeCell ref="E91:F91"/>
    <mergeCell ref="G91:I91"/>
    <mergeCell ref="D85:E85"/>
    <mergeCell ref="L85:M85"/>
    <mergeCell ref="N85:T85"/>
    <mergeCell ref="D86:E86"/>
    <mergeCell ref="F86:G86"/>
    <mergeCell ref="L86:M86"/>
    <mergeCell ref="N86:T86"/>
    <mergeCell ref="D80:T81"/>
    <mergeCell ref="D82:T82"/>
    <mergeCell ref="D83:E83"/>
    <mergeCell ref="F83:T83"/>
    <mergeCell ref="D84:E84"/>
    <mergeCell ref="F84:T84"/>
    <mergeCell ref="D69:G69"/>
    <mergeCell ref="D70:K70"/>
    <mergeCell ref="L70:T70"/>
    <mergeCell ref="D71:K71"/>
    <mergeCell ref="L71:T71"/>
    <mergeCell ref="D72:K72"/>
    <mergeCell ref="L72:T72"/>
    <mergeCell ref="J17:T17"/>
    <mergeCell ref="P62:R62"/>
    <mergeCell ref="D64:O64"/>
    <mergeCell ref="P64:R64"/>
    <mergeCell ref="D67:K67"/>
    <mergeCell ref="D68:G68"/>
    <mergeCell ref="D13:T13"/>
    <mergeCell ref="E15:F15"/>
    <mergeCell ref="G15:I15"/>
    <mergeCell ref="J15:J16"/>
    <mergeCell ref="K15:L16"/>
    <mergeCell ref="M15:R15"/>
    <mergeCell ref="S15:T15"/>
    <mergeCell ref="E16:F16"/>
    <mergeCell ref="G16:I16"/>
    <mergeCell ref="D10:E10"/>
    <mergeCell ref="L10:M10"/>
    <mergeCell ref="N10:T10"/>
    <mergeCell ref="D11:E11"/>
    <mergeCell ref="F11:G11"/>
    <mergeCell ref="L11:M11"/>
    <mergeCell ref="N11:T11"/>
    <mergeCell ref="D5:T6"/>
    <mergeCell ref="D7:T7"/>
    <mergeCell ref="D8:E8"/>
    <mergeCell ref="F8:T8"/>
    <mergeCell ref="D9:E9"/>
    <mergeCell ref="F9:T9"/>
    <mergeCell ref="D1340:T1341"/>
    <mergeCell ref="D1342:T1342"/>
    <mergeCell ref="D1343:E1343"/>
    <mergeCell ref="F1343:T1343"/>
    <mergeCell ref="D1344:E1344"/>
    <mergeCell ref="F1344:T1344"/>
    <mergeCell ref="D1345:E1345"/>
    <mergeCell ref="L1345:M1345"/>
    <mergeCell ref="N1345:T1345"/>
    <mergeCell ref="D1346:E1346"/>
    <mergeCell ref="F1346:G1346"/>
    <mergeCell ref="L1346:M1346"/>
    <mergeCell ref="N1346:T1346"/>
    <mergeCell ref="D1348:T1348"/>
    <mergeCell ref="E1350:F1350"/>
    <mergeCell ref="G1350:I1350"/>
    <mergeCell ref="J1350:J1351"/>
    <mergeCell ref="K1350:L1351"/>
    <mergeCell ref="M1350:R1350"/>
    <mergeCell ref="S1350:T1350"/>
    <mergeCell ref="E1351:F1351"/>
    <mergeCell ref="G1351:I1351"/>
    <mergeCell ref="J1352:T1352"/>
    <mergeCell ref="P1397:R1397"/>
    <mergeCell ref="D1399:O1399"/>
    <mergeCell ref="P1399:R1399"/>
    <mergeCell ref="D1402:K1402"/>
    <mergeCell ref="D1403:G1403"/>
    <mergeCell ref="D1404:G1404"/>
    <mergeCell ref="D1405:K1405"/>
    <mergeCell ref="L1405:T1405"/>
    <mergeCell ref="D1406:K1406"/>
    <mergeCell ref="L1406:T1406"/>
    <mergeCell ref="D1407:K1407"/>
    <mergeCell ref="L1407:T1407"/>
    <mergeCell ref="D1414:T1415"/>
    <mergeCell ref="D1416:T1416"/>
    <mergeCell ref="D1417:E1417"/>
    <mergeCell ref="F1417:T1417"/>
    <mergeCell ref="D1418:E1418"/>
    <mergeCell ref="F1418:T1418"/>
    <mergeCell ref="D1419:E1419"/>
    <mergeCell ref="L1419:M1419"/>
    <mergeCell ref="N1419:T1419"/>
    <mergeCell ref="D1420:E1420"/>
    <mergeCell ref="F1420:G1420"/>
    <mergeCell ref="L1420:M1420"/>
    <mergeCell ref="N1420:T1420"/>
    <mergeCell ref="D1422:T1422"/>
    <mergeCell ref="E1424:F1424"/>
    <mergeCell ref="G1424:I1424"/>
    <mergeCell ref="J1424:J1425"/>
    <mergeCell ref="K1424:L1425"/>
    <mergeCell ref="M1424:R1424"/>
    <mergeCell ref="S1424:T1424"/>
    <mergeCell ref="E1425:F1425"/>
    <mergeCell ref="G1425:I1425"/>
    <mergeCell ref="J1426:T1426"/>
    <mergeCell ref="P1471:R1471"/>
    <mergeCell ref="D1473:O1473"/>
    <mergeCell ref="P1473:R1473"/>
    <mergeCell ref="D1476:K1476"/>
    <mergeCell ref="D1477:G1477"/>
    <mergeCell ref="D1478:G1478"/>
    <mergeCell ref="D1479:K1479"/>
    <mergeCell ref="L1479:T1479"/>
    <mergeCell ref="D1480:K1480"/>
    <mergeCell ref="L1480:T1480"/>
    <mergeCell ref="D1481:K1481"/>
    <mergeCell ref="L1481:T1481"/>
    <mergeCell ref="D1489:T1490"/>
    <mergeCell ref="D1491:T1491"/>
    <mergeCell ref="D1492:E1492"/>
    <mergeCell ref="F1492:T1492"/>
    <mergeCell ref="D1493:E1493"/>
    <mergeCell ref="F1493:T1493"/>
    <mergeCell ref="D1494:E1494"/>
    <mergeCell ref="L1494:M1494"/>
    <mergeCell ref="N1494:T1494"/>
    <mergeCell ref="D1495:E1495"/>
    <mergeCell ref="F1495:G1495"/>
    <mergeCell ref="L1495:M1495"/>
    <mergeCell ref="N1495:T1495"/>
    <mergeCell ref="D1497:T1497"/>
    <mergeCell ref="E1499:F1499"/>
    <mergeCell ref="G1499:I1499"/>
    <mergeCell ref="J1499:J1500"/>
    <mergeCell ref="K1499:L1500"/>
    <mergeCell ref="M1499:R1499"/>
    <mergeCell ref="S1499:T1499"/>
    <mergeCell ref="E1500:F1500"/>
    <mergeCell ref="G1500:I1500"/>
    <mergeCell ref="D1555:K1555"/>
    <mergeCell ref="L1555:T1555"/>
    <mergeCell ref="D1556:K1556"/>
    <mergeCell ref="L1556:T1556"/>
    <mergeCell ref="J1501:T1501"/>
    <mergeCell ref="P1546:R1546"/>
    <mergeCell ref="D1548:O1548"/>
    <mergeCell ref="P1548:R1548"/>
    <mergeCell ref="D1551:K1551"/>
    <mergeCell ref="D1552:G1552"/>
    <mergeCell ref="D1553:G1553"/>
    <mergeCell ref="D1554:K1554"/>
    <mergeCell ref="L1554:T1554"/>
  </mergeCells>
  <conditionalFormatting sqref="V241:V283">
    <cfRule type="colorScale" priority="5">
      <colorScale>
        <cfvo type="min"/>
        <cfvo type="percentile" val="50"/>
        <cfvo type="max"/>
        <color rgb="FF63BE7B"/>
        <color rgb="FFFFEB84"/>
        <color rgb="FFF8696B"/>
      </colorScale>
    </cfRule>
  </conditionalFormatting>
  <conditionalFormatting sqref="V315:V358">
    <cfRule type="colorScale" priority="6">
      <colorScale>
        <cfvo type="min"/>
        <cfvo type="percentile" val="50"/>
        <cfvo type="max"/>
        <color rgb="FF63BE7B"/>
        <color rgb="FFFFEB84"/>
        <color rgb="FFF8696B"/>
      </colorScale>
    </cfRule>
  </conditionalFormatting>
  <conditionalFormatting sqref="V982:V1024">
    <cfRule type="colorScale" priority="4">
      <colorScale>
        <cfvo type="min"/>
        <cfvo type="percentile" val="50"/>
        <cfvo type="max"/>
        <color rgb="FFF8696B"/>
        <color rgb="FFFFEB84"/>
        <color rgb="FF63BE7B"/>
      </colorScale>
    </cfRule>
  </conditionalFormatting>
  <printOptions horizontalCentered="1"/>
  <pageMargins left="0.70866141732283472" right="0.70866141732283472" top="0.74803149606299213" bottom="0.74803149606299213" header="0.31496062992125984" footer="0.31496062992125984"/>
  <pageSetup scale="37" fitToHeight="0" orientation="portrait" r:id="rId1"/>
  <rowBreaks count="20" manualBreakCount="20">
    <brk id="75" min="2" max="20" man="1"/>
    <brk id="150" min="2" max="20" man="1"/>
    <brk id="224" min="2" max="20" man="1"/>
    <brk id="299" min="2" max="20" man="1"/>
    <brk id="373" min="2" max="20" man="1"/>
    <brk id="447" min="2" max="20" man="1"/>
    <brk id="521" min="2" max="20" man="1"/>
    <brk id="595" min="2" max="20" man="1"/>
    <brk id="669" min="2" max="20" man="1"/>
    <brk id="743" min="2" max="20" man="1"/>
    <brk id="817" min="2" max="20" man="1"/>
    <brk id="891" min="2" max="20" man="1"/>
    <brk id="965" min="2" max="20" man="1"/>
    <brk id="1039" min="2" max="20" man="1"/>
    <brk id="1113" min="2" max="20" man="1"/>
    <brk id="1187" min="2" max="20" man="1"/>
    <brk id="1261" min="2" max="20" man="1"/>
    <brk id="1335" min="2" max="20" man="1"/>
    <brk id="1410" min="2" max="20" man="1"/>
    <brk id="1484" min="2" max="20"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BA3EDC-827D-45C7-B369-632157C298D3}">
  <sheetPr>
    <pageSetUpPr fitToPage="1"/>
  </sheetPr>
  <dimension ref="A2:AX1112"/>
  <sheetViews>
    <sheetView view="pageBreakPreview" topLeftCell="A1054" zoomScale="60" zoomScaleNormal="60" workbookViewId="0">
      <selection activeCell="Y1097" sqref="Y1097"/>
    </sheetView>
  </sheetViews>
  <sheetFormatPr baseColWidth="10" defaultColWidth="11.42578125" defaultRowHeight="12.75"/>
  <cols>
    <col min="1" max="1" width="11.42578125" style="383"/>
    <col min="2" max="2" width="19.140625" style="383" customWidth="1"/>
    <col min="3" max="3" width="4" style="383" customWidth="1"/>
    <col min="4" max="5" width="11.42578125" style="383"/>
    <col min="6" max="6" width="18.28515625" style="383" customWidth="1"/>
    <col min="7" max="9" width="11.42578125" style="383"/>
    <col min="10" max="10" width="18.85546875" style="383" customWidth="1"/>
    <col min="11" max="11" width="22.7109375" style="444" customWidth="1"/>
    <col min="12" max="19" width="11.42578125" style="383"/>
    <col min="20" max="20" width="16.7109375" style="383" customWidth="1"/>
    <col min="21" max="21" width="5.7109375" style="383" customWidth="1"/>
    <col min="22" max="30" width="11.42578125" style="383"/>
    <col min="31" max="31" width="14.5703125" style="383" bestFit="1" customWidth="1"/>
    <col min="32" max="44" width="11.42578125" style="383"/>
    <col min="45" max="45" width="11.85546875" style="383" bestFit="1" customWidth="1"/>
    <col min="46" max="16384" width="11.42578125" style="383"/>
  </cols>
  <sheetData>
    <row r="2" spans="1:23" ht="13.5" thickBot="1"/>
    <row r="3" spans="1:23">
      <c r="D3" s="384"/>
      <c r="E3" s="385"/>
      <c r="F3" s="385"/>
      <c r="G3" s="385"/>
      <c r="H3" s="385"/>
      <c r="I3" s="385"/>
      <c r="J3" s="385"/>
      <c r="K3" s="445"/>
      <c r="L3" s="385"/>
      <c r="M3" s="385"/>
      <c r="N3" s="385"/>
      <c r="O3" s="385"/>
      <c r="P3" s="385"/>
      <c r="Q3" s="385"/>
      <c r="R3" s="385"/>
      <c r="S3" s="385"/>
      <c r="T3" s="386"/>
    </row>
    <row r="4" spans="1:23" ht="117" customHeight="1" thickBot="1">
      <c r="D4" s="387"/>
      <c r="E4" s="388"/>
      <c r="F4" s="388"/>
      <c r="G4" s="388"/>
      <c r="H4" s="388"/>
      <c r="I4" s="388"/>
      <c r="J4" s="388"/>
      <c r="K4" s="446"/>
      <c r="L4" s="388"/>
      <c r="M4" s="388"/>
      <c r="N4" s="388"/>
      <c r="O4" s="388"/>
      <c r="P4" s="388"/>
      <c r="Q4" s="388"/>
      <c r="R4" s="388"/>
      <c r="S4" s="388"/>
      <c r="T4" s="389"/>
    </row>
    <row r="5" spans="1:23">
      <c r="D5" s="592" t="str">
        <f>+[42]DATOS!C$7</f>
        <v>MEJORAMIENTO DE VIVIENDA CON ENFOQUE DIFERENCIAL PARA POBLACIÓN VULNERABLE EN EL MUNICIPIO DE CUBARÁ, BOYACÁ (2026).</v>
      </c>
      <c r="E5" s="593"/>
      <c r="F5" s="593"/>
      <c r="G5" s="593"/>
      <c r="H5" s="593"/>
      <c r="I5" s="593"/>
      <c r="J5" s="593"/>
      <c r="K5" s="593"/>
      <c r="L5" s="593"/>
      <c r="M5" s="593"/>
      <c r="N5" s="593"/>
      <c r="O5" s="593"/>
      <c r="P5" s="593"/>
      <c r="Q5" s="593"/>
      <c r="R5" s="593"/>
      <c r="S5" s="593"/>
      <c r="T5" s="594"/>
    </row>
    <row r="6" spans="1:23">
      <c r="D6" s="595"/>
      <c r="E6" s="596"/>
      <c r="F6" s="596"/>
      <c r="G6" s="596"/>
      <c r="H6" s="596"/>
      <c r="I6" s="596"/>
      <c r="J6" s="596"/>
      <c r="K6" s="596"/>
      <c r="L6" s="596"/>
      <c r="M6" s="596"/>
      <c r="N6" s="596"/>
      <c r="O6" s="596"/>
      <c r="P6" s="596"/>
      <c r="Q6" s="596"/>
      <c r="R6" s="596"/>
      <c r="S6" s="596"/>
      <c r="T6" s="597"/>
    </row>
    <row r="7" spans="1:23">
      <c r="D7" s="598" t="s">
        <v>371</v>
      </c>
      <c r="E7" s="599"/>
      <c r="F7" s="599"/>
      <c r="G7" s="599"/>
      <c r="H7" s="599"/>
      <c r="I7" s="599"/>
      <c r="J7" s="599"/>
      <c r="K7" s="599"/>
      <c r="L7" s="599"/>
      <c r="M7" s="599"/>
      <c r="N7" s="599"/>
      <c r="O7" s="599"/>
      <c r="P7" s="599"/>
      <c r="Q7" s="599"/>
      <c r="R7" s="599"/>
      <c r="S7" s="599"/>
      <c r="T7" s="600"/>
    </row>
    <row r="8" spans="1:23">
      <c r="D8" s="586" t="s">
        <v>372</v>
      </c>
      <c r="E8" s="587"/>
      <c r="F8" s="601" t="s">
        <v>373</v>
      </c>
      <c r="G8" s="601"/>
      <c r="H8" s="601"/>
      <c r="I8" s="601"/>
      <c r="J8" s="601"/>
      <c r="K8" s="601"/>
      <c r="L8" s="601"/>
      <c r="M8" s="601"/>
      <c r="N8" s="601"/>
      <c r="O8" s="601"/>
      <c r="P8" s="601"/>
      <c r="Q8" s="601"/>
      <c r="R8" s="601"/>
      <c r="S8" s="601"/>
      <c r="T8" s="602"/>
    </row>
    <row r="9" spans="1:23">
      <c r="D9" s="586" t="s">
        <v>374</v>
      </c>
      <c r="E9" s="587"/>
      <c r="F9" s="603" t="s">
        <v>375</v>
      </c>
      <c r="G9" s="604"/>
      <c r="H9" s="604"/>
      <c r="I9" s="604"/>
      <c r="J9" s="604"/>
      <c r="K9" s="604"/>
      <c r="L9" s="604"/>
      <c r="M9" s="604"/>
      <c r="N9" s="604"/>
      <c r="O9" s="604"/>
      <c r="P9" s="604"/>
      <c r="Q9" s="604"/>
      <c r="R9" s="604"/>
      <c r="S9" s="604"/>
      <c r="T9" s="605"/>
    </row>
    <row r="10" spans="1:23">
      <c r="D10" s="586" t="s">
        <v>376</v>
      </c>
      <c r="E10" s="587"/>
      <c r="F10" s="390">
        <f>+[42]DATOS!F$5</f>
        <v>46143</v>
      </c>
      <c r="G10" s="391"/>
      <c r="H10" s="391"/>
      <c r="I10" s="391"/>
      <c r="J10" s="391"/>
      <c r="K10" s="391"/>
      <c r="L10" s="568" t="s">
        <v>377</v>
      </c>
      <c r="M10" s="568"/>
      <c r="N10" s="588" t="s">
        <v>378</v>
      </c>
      <c r="O10" s="588"/>
      <c r="P10" s="588"/>
      <c r="Q10" s="588"/>
      <c r="R10" s="588"/>
      <c r="S10" s="588"/>
      <c r="T10" s="589"/>
    </row>
    <row r="11" spans="1:23" ht="21" customHeight="1">
      <c r="D11" s="586" t="s">
        <v>379</v>
      </c>
      <c r="E11" s="587"/>
      <c r="F11" s="590" t="s">
        <v>380</v>
      </c>
      <c r="G11" s="591"/>
      <c r="H11" s="392">
        <f>+[42]DATOS!E$5</f>
        <v>2026</v>
      </c>
      <c r="I11" s="393" t="s">
        <v>381</v>
      </c>
      <c r="J11" s="394">
        <f>+[42]DATOS!E$5</f>
        <v>2026</v>
      </c>
      <c r="K11" s="395"/>
      <c r="L11" s="568" t="s">
        <v>382</v>
      </c>
      <c r="M11" s="568"/>
      <c r="N11" s="588" t="s">
        <v>383</v>
      </c>
      <c r="O11" s="588"/>
      <c r="P11" s="588"/>
      <c r="Q11" s="588"/>
      <c r="R11" s="588"/>
      <c r="S11" s="588"/>
      <c r="T11" s="589"/>
    </row>
    <row r="12" spans="1:23">
      <c r="D12" s="396"/>
      <c r="E12" s="397"/>
      <c r="F12" s="397"/>
      <c r="G12" s="398"/>
      <c r="H12" s="398"/>
      <c r="I12" s="398"/>
      <c r="J12" s="398"/>
      <c r="K12" s="398"/>
      <c r="L12" s="398"/>
      <c r="M12" s="398"/>
      <c r="N12" s="398"/>
      <c r="O12" s="398"/>
      <c r="P12" s="398"/>
      <c r="Q12" s="398"/>
      <c r="R12" s="398"/>
      <c r="S12" s="398"/>
      <c r="T12" s="399"/>
    </row>
    <row r="13" spans="1:23">
      <c r="D13" s="572" t="s">
        <v>384</v>
      </c>
      <c r="E13" s="573"/>
      <c r="F13" s="573"/>
      <c r="G13" s="573"/>
      <c r="H13" s="573"/>
      <c r="I13" s="573"/>
      <c r="J13" s="573"/>
      <c r="K13" s="573"/>
      <c r="L13" s="573"/>
      <c r="M13" s="573"/>
      <c r="N13" s="573"/>
      <c r="O13" s="573"/>
      <c r="P13" s="573"/>
      <c r="Q13" s="573"/>
      <c r="R13" s="573"/>
      <c r="S13" s="573"/>
      <c r="T13" s="574"/>
    </row>
    <row r="14" spans="1:23" ht="2.4500000000000002" customHeight="1">
      <c r="D14" s="396"/>
      <c r="E14" s="397"/>
      <c r="F14" s="397"/>
      <c r="G14" s="398"/>
      <c r="H14" s="398"/>
      <c r="I14" s="398"/>
      <c r="J14" s="398"/>
      <c r="K14" s="398"/>
      <c r="L14" s="398"/>
      <c r="M14" s="398"/>
      <c r="N14" s="398"/>
      <c r="O14" s="398"/>
      <c r="P14" s="398"/>
      <c r="Q14" s="398"/>
      <c r="R14" s="398"/>
      <c r="S14" s="398"/>
      <c r="T14" s="399"/>
    </row>
    <row r="15" spans="1:23">
      <c r="D15" s="400" t="s">
        <v>385</v>
      </c>
      <c r="E15" s="575" t="s">
        <v>386</v>
      </c>
      <c r="F15" s="575"/>
      <c r="G15" s="576" t="s">
        <v>387</v>
      </c>
      <c r="H15" s="577"/>
      <c r="I15" s="577"/>
      <c r="J15" s="576" t="s">
        <v>388</v>
      </c>
      <c r="K15" s="576" t="s">
        <v>389</v>
      </c>
      <c r="L15" s="579"/>
      <c r="M15" s="581" t="s">
        <v>390</v>
      </c>
      <c r="N15" s="581"/>
      <c r="O15" s="581"/>
      <c r="P15" s="581"/>
      <c r="Q15" s="581"/>
      <c r="R15" s="581"/>
      <c r="S15" s="581" t="s">
        <v>391</v>
      </c>
      <c r="T15" s="582"/>
    </row>
    <row r="16" spans="1:23" ht="38.25">
      <c r="A16" s="455" t="s">
        <v>482</v>
      </c>
      <c r="B16" s="538" t="s">
        <v>481</v>
      </c>
      <c r="D16" s="403">
        <f>+'PRESUPUESTO OFICIAL '!C12</f>
        <v>1.01</v>
      </c>
      <c r="E16" s="583" t="str">
        <f>+VLOOKUP(D16,'PRESUPUESTO OFICIAL '!$C$11:$H$103,2)</f>
        <v>LOCALIZACIÓN Y REPLANTEO DE OBRA ARQUITECTÓNICA (NO INCLUYE COMISIÓN TOPOGRÁFICA)</v>
      </c>
      <c r="F16" s="584"/>
      <c r="G16" s="585" t="str">
        <f>+VLOOKUP(D16,'PRESUPUESTO OFICIAL '!$C$11:$H$103,3)</f>
        <v>M2</v>
      </c>
      <c r="H16" s="585"/>
      <c r="I16" s="585"/>
      <c r="J16" s="578"/>
      <c r="K16" s="578"/>
      <c r="L16" s="580"/>
      <c r="M16" s="401" t="s">
        <v>392</v>
      </c>
      <c r="N16" s="401" t="s">
        <v>393</v>
      </c>
      <c r="O16" s="401" t="s">
        <v>394</v>
      </c>
      <c r="P16" s="401" t="s">
        <v>395</v>
      </c>
      <c r="Q16" s="401" t="s">
        <v>396</v>
      </c>
      <c r="R16" s="401" t="s">
        <v>397</v>
      </c>
      <c r="S16" s="401" t="s">
        <v>398</v>
      </c>
      <c r="T16" s="402" t="s">
        <v>399</v>
      </c>
      <c r="V16" s="404">
        <f>+D16</f>
        <v>1.01</v>
      </c>
      <c r="W16" s="405">
        <f>+T64</f>
        <v>1318.48</v>
      </c>
    </row>
    <row r="17" spans="1:50" ht="8.4499999999999993" customHeight="1">
      <c r="D17" s="406"/>
      <c r="E17" s="407"/>
      <c r="F17" s="407"/>
      <c r="G17" s="407"/>
      <c r="H17" s="407"/>
      <c r="I17" s="407"/>
      <c r="J17" s="558"/>
      <c r="K17" s="559"/>
      <c r="L17" s="560"/>
      <c r="M17" s="560"/>
      <c r="N17" s="560"/>
      <c r="O17" s="560"/>
      <c r="P17" s="560"/>
      <c r="Q17" s="560"/>
      <c r="R17" s="560"/>
      <c r="S17" s="560"/>
      <c r="T17" s="561"/>
      <c r="AP17"/>
      <c r="AQ17" s="532"/>
      <c r="AR17" s="532"/>
      <c r="AS17" t="s">
        <v>481</v>
      </c>
      <c r="AT17"/>
      <c r="AU17"/>
      <c r="AV17"/>
      <c r="AW17"/>
      <c r="AX17"/>
    </row>
    <row r="18" spans="1:50" ht="15">
      <c r="A18" s="453">
        <v>1.01</v>
      </c>
      <c r="B18" s="383">
        <v>1</v>
      </c>
      <c r="D18" s="406"/>
      <c r="E18" s="407"/>
      <c r="F18" s="407"/>
      <c r="G18" s="407"/>
      <c r="H18" s="407"/>
      <c r="I18" s="407"/>
      <c r="J18" s="408" t="s">
        <v>400</v>
      </c>
      <c r="K18" s="409" t="str">
        <f t="shared" ref="K18:K60" si="0">+VLOOKUP(L18,$AH$22:$AJ$58,2,)</f>
        <v>A=(Ancho x Largo)* Cant</v>
      </c>
      <c r="L18" s="410" t="str">
        <f>+G16</f>
        <v>M2</v>
      </c>
      <c r="M18" s="411">
        <f>+HLOOKUP(B18,[238]Hoja1!$2:$78,5,FALSE)</f>
        <v>43.2</v>
      </c>
      <c r="N18" s="412"/>
      <c r="O18" s="442">
        <v>6.8</v>
      </c>
      <c r="P18" s="442">
        <f>+M18/6.8</f>
        <v>6.3529411764705888</v>
      </c>
      <c r="Q18" s="413"/>
      <c r="R18" s="413"/>
      <c r="S18" s="488">
        <f>IF(M18=0,"0",1)</f>
        <v>1</v>
      </c>
      <c r="T18" s="414">
        <f>+S18*M18</f>
        <v>43.2</v>
      </c>
      <c r="U18" s="383">
        <v>1</v>
      </c>
      <c r="Y18" s="439">
        <f t="shared" ref="Y18:Y33" si="1">+O18*P18</f>
        <v>43.2</v>
      </c>
      <c r="AP18"/>
      <c r="AQ18" s="532"/>
      <c r="AR18" s="532"/>
      <c r="AS18" s="537">
        <v>1</v>
      </c>
      <c r="AT18">
        <v>2</v>
      </c>
      <c r="AU18">
        <v>3</v>
      </c>
      <c r="AV18">
        <v>4</v>
      </c>
      <c r="AW18">
        <v>5</v>
      </c>
      <c r="AX18"/>
    </row>
    <row r="19" spans="1:50" ht="15">
      <c r="A19" s="453">
        <f>+A18</f>
        <v>1.01</v>
      </c>
      <c r="B19" s="383">
        <v>2</v>
      </c>
      <c r="D19" s="406"/>
      <c r="E19" s="407"/>
      <c r="F19" s="407"/>
      <c r="G19" s="407"/>
      <c r="H19" s="407"/>
      <c r="I19" s="407"/>
      <c r="J19" s="408" t="s">
        <v>401</v>
      </c>
      <c r="K19" s="409" t="str">
        <f t="shared" si="0"/>
        <v>A=(Ancho x Largo)* Cant</v>
      </c>
      <c r="L19" s="410" t="str">
        <f>+L18</f>
        <v>M2</v>
      </c>
      <c r="M19" s="411">
        <f>+HLOOKUP(B19,[238]Hoja1!$2:$78,5,FALSE)</f>
        <v>6.12</v>
      </c>
      <c r="N19" s="412"/>
      <c r="O19" s="442">
        <f>+M19/2.65</f>
        <v>2.3094339622641509</v>
      </c>
      <c r="P19" s="442">
        <v>2.65</v>
      </c>
      <c r="Q19" s="413"/>
      <c r="R19" s="413"/>
      <c r="S19" s="488">
        <f t="shared" ref="S19:S60" si="2">IF(M19=0,"0",1)</f>
        <v>1</v>
      </c>
      <c r="T19" s="414">
        <f t="shared" ref="T19:T60" si="3">+S19*M19</f>
        <v>6.12</v>
      </c>
      <c r="Y19" s="439">
        <f t="shared" si="1"/>
        <v>6.1199999999999992</v>
      </c>
      <c r="Z19" s="439">
        <f t="shared" ref="Z19:Z33" si="4">+Y19 -M19</f>
        <v>0</v>
      </c>
      <c r="AP19" t="s">
        <v>482</v>
      </c>
      <c r="AQ19" s="532">
        <v>1.01</v>
      </c>
      <c r="AR19" s="532"/>
      <c r="AS19" s="532" t="b">
        <f>+$A:$A=AQ19</f>
        <v>1</v>
      </c>
      <c r="AT19" s="532" t="str">
        <f>IFERROR(INDEX('MC 1'!$T:$T,MATCH(1,('MC 1'!$A:$A=$C19)*('MC 1'!$B:$B=$F$5),0)),"")</f>
        <v/>
      </c>
      <c r="AU19"/>
      <c r="AV19"/>
      <c r="AW19"/>
      <c r="AX19"/>
    </row>
    <row r="20" spans="1:50" ht="15">
      <c r="A20" s="453">
        <f t="shared" ref="A20:A60" si="5">+A19</f>
        <v>1.01</v>
      </c>
      <c r="B20" s="383">
        <v>3</v>
      </c>
      <c r="D20" s="406"/>
      <c r="E20" s="407"/>
      <c r="F20" s="407"/>
      <c r="G20" s="407"/>
      <c r="H20" s="407"/>
      <c r="I20" s="407"/>
      <c r="J20" s="408" t="s">
        <v>402</v>
      </c>
      <c r="K20" s="409" t="str">
        <f t="shared" si="0"/>
        <v>A=(Ancho x Largo)* Cant</v>
      </c>
      <c r="L20" s="410" t="str">
        <f>+L19</f>
        <v>M2</v>
      </c>
      <c r="M20" s="411">
        <f>+HLOOKUP(B20,[238]Hoja1!$2:$78,5,FALSE)</f>
        <v>6.12</v>
      </c>
      <c r="N20" s="412"/>
      <c r="O20" s="442">
        <f>+M20/2.65</f>
        <v>2.3094339622641509</v>
      </c>
      <c r="P20" s="442">
        <v>2.65</v>
      </c>
      <c r="Q20" s="413"/>
      <c r="R20" s="413"/>
      <c r="S20" s="488">
        <f t="shared" si="2"/>
        <v>1</v>
      </c>
      <c r="T20" s="414">
        <f t="shared" si="3"/>
        <v>6.12</v>
      </c>
      <c r="Y20" s="439">
        <f t="shared" si="1"/>
        <v>6.1199999999999992</v>
      </c>
      <c r="Z20" s="439">
        <f t="shared" si="4"/>
        <v>0</v>
      </c>
      <c r="AP20"/>
      <c r="AQ20" s="532">
        <v>1.02</v>
      </c>
      <c r="AR20" s="532"/>
      <c r="AS20" s="532" t="b">
        <f t="shared" ref="AS20:AS24" si="6">+$A:$A=AQ20</f>
        <v>0</v>
      </c>
      <c r="AT20" s="532" t="str">
        <f>IFERROR(INDEX('MC 1'!$T:$T,MATCH(1,('MC 1'!$A:$A=$C20)*('MC 1'!$B:$B=$E$5),0)),"")</f>
        <v/>
      </c>
      <c r="AU20"/>
      <c r="AV20"/>
      <c r="AW20"/>
      <c r="AX20"/>
    </row>
    <row r="21" spans="1:50" ht="15">
      <c r="A21" s="453">
        <f t="shared" si="5"/>
        <v>1.01</v>
      </c>
      <c r="B21" s="383">
        <v>4</v>
      </c>
      <c r="D21" s="406"/>
      <c r="E21" s="407"/>
      <c r="F21" s="407"/>
      <c r="G21" s="407"/>
      <c r="H21" s="407"/>
      <c r="I21" s="407"/>
      <c r="J21" s="408" t="s">
        <v>403</v>
      </c>
      <c r="K21" s="409" t="str">
        <f t="shared" si="0"/>
        <v>A=(Ancho x Largo)* Cant</v>
      </c>
      <c r="L21" s="410" t="str">
        <f>+L20</f>
        <v>M2</v>
      </c>
      <c r="M21" s="411">
        <f>+HLOOKUP(B21,[238]Hoja1!$2:$78,5,FALSE)</f>
        <v>6.12</v>
      </c>
      <c r="N21" s="412"/>
      <c r="O21" s="442">
        <f>+M21/2.65</f>
        <v>2.3094339622641509</v>
      </c>
      <c r="P21" s="442">
        <v>2.65</v>
      </c>
      <c r="Q21" s="413"/>
      <c r="R21" s="413"/>
      <c r="S21" s="488">
        <f t="shared" si="2"/>
        <v>1</v>
      </c>
      <c r="T21" s="414">
        <f t="shared" si="3"/>
        <v>6.12</v>
      </c>
      <c r="Y21" s="439">
        <f t="shared" si="1"/>
        <v>6.1199999999999992</v>
      </c>
      <c r="Z21" s="439">
        <f t="shared" si="4"/>
        <v>0</v>
      </c>
      <c r="AK21" s="415" t="s">
        <v>162</v>
      </c>
      <c r="AL21" s="415" t="s">
        <v>404</v>
      </c>
      <c r="AM21" s="415"/>
      <c r="AP21"/>
      <c r="AQ21" s="532">
        <v>1.03</v>
      </c>
      <c r="AR21" s="532"/>
      <c r="AS21" s="532" t="b">
        <f t="shared" si="6"/>
        <v>0</v>
      </c>
      <c r="AT21" s="532" t="str">
        <f>IFERROR(INDEX('MC 1'!$T:$T,MATCH(1,('MC 1'!$A:$A=$C21)*('MC 1'!$B:$B=$E$5),0)),"")</f>
        <v/>
      </c>
      <c r="AU21"/>
      <c r="AV21"/>
      <c r="AW21"/>
      <c r="AX21"/>
    </row>
    <row r="22" spans="1:50" ht="15">
      <c r="A22" s="453">
        <f t="shared" si="5"/>
        <v>1.01</v>
      </c>
      <c r="B22" s="383">
        <v>5</v>
      </c>
      <c r="D22" s="406"/>
      <c r="E22" s="407"/>
      <c r="F22" s="407"/>
      <c r="G22" s="407"/>
      <c r="H22" s="407"/>
      <c r="I22" s="407"/>
      <c r="J22" s="408" t="s">
        <v>405</v>
      </c>
      <c r="K22" s="409" t="str">
        <f t="shared" si="0"/>
        <v>A=(Ancho x Largo)* Cant</v>
      </c>
      <c r="L22" s="410" t="str">
        <f>+L21</f>
        <v>M2</v>
      </c>
      <c r="M22" s="411">
        <f>+HLOOKUP(B22,[238]Hoja1!$2:$78,5,FALSE)</f>
        <v>6.12</v>
      </c>
      <c r="N22" s="412"/>
      <c r="O22" s="442">
        <f>+M22/2.65</f>
        <v>2.3094339622641509</v>
      </c>
      <c r="P22" s="442">
        <v>2.65</v>
      </c>
      <c r="Q22" s="413"/>
      <c r="R22" s="413"/>
      <c r="S22" s="488">
        <f t="shared" si="2"/>
        <v>1</v>
      </c>
      <c r="T22" s="414">
        <f t="shared" si="3"/>
        <v>6.12</v>
      </c>
      <c r="Y22" s="439">
        <f t="shared" si="1"/>
        <v>6.1199999999999992</v>
      </c>
      <c r="Z22" s="439">
        <f t="shared" si="4"/>
        <v>0</v>
      </c>
      <c r="AH22" s="416" t="s">
        <v>162</v>
      </c>
      <c r="AI22" s="416" t="s">
        <v>404</v>
      </c>
      <c r="AK22" s="415" t="s">
        <v>49</v>
      </c>
      <c r="AL22" s="415" t="s">
        <v>406</v>
      </c>
      <c r="AM22" s="415"/>
      <c r="AP22"/>
      <c r="AQ22" s="532">
        <v>1.04</v>
      </c>
      <c r="AR22" s="532"/>
      <c r="AS22" s="532" t="b">
        <f t="shared" si="6"/>
        <v>0</v>
      </c>
      <c r="AT22" s="532" t="str">
        <f>IFERROR(INDEX('MC 1'!$T:$T,MATCH(1,('MC 1'!$A:$A=$C22)*('MC 1'!$B:$B=$E$5),0)),"")</f>
        <v/>
      </c>
      <c r="AU22"/>
      <c r="AV22"/>
      <c r="AW22"/>
      <c r="AX22"/>
    </row>
    <row r="23" spans="1:50" ht="15">
      <c r="A23" s="453">
        <f t="shared" si="5"/>
        <v>1.01</v>
      </c>
      <c r="B23" s="383">
        <v>6</v>
      </c>
      <c r="D23" s="406"/>
      <c r="E23" s="407"/>
      <c r="F23" s="407"/>
      <c r="G23" s="407"/>
      <c r="H23" s="407"/>
      <c r="I23" s="407"/>
      <c r="J23" s="408" t="s">
        <v>407</v>
      </c>
      <c r="K23" s="409" t="str">
        <f t="shared" si="0"/>
        <v>A=(Ancho x Largo)* Cant</v>
      </c>
      <c r="L23" s="410" t="str">
        <f>+L22</f>
        <v>M2</v>
      </c>
      <c r="M23" s="411">
        <f>+HLOOKUP(B23,[238]Hoja1!$2:$78,5,FALSE)</f>
        <v>7.08</v>
      </c>
      <c r="N23" s="412"/>
      <c r="O23" s="442">
        <v>2.4</v>
      </c>
      <c r="P23" s="442">
        <v>2.95</v>
      </c>
      <c r="Q23" s="413"/>
      <c r="R23" s="413"/>
      <c r="S23" s="488">
        <f t="shared" si="2"/>
        <v>1</v>
      </c>
      <c r="T23" s="414">
        <f t="shared" si="3"/>
        <v>7.08</v>
      </c>
      <c r="Y23" s="439">
        <f t="shared" si="1"/>
        <v>7.08</v>
      </c>
      <c r="Z23" s="439">
        <f t="shared" si="4"/>
        <v>0</v>
      </c>
      <c r="AB23"/>
      <c r="AC23" s="532"/>
      <c r="AD23" s="532"/>
      <c r="AE23" s="532" t="s">
        <v>481</v>
      </c>
      <c r="AH23" s="416" t="s">
        <v>49</v>
      </c>
      <c r="AI23" s="416" t="s">
        <v>406</v>
      </c>
      <c r="AK23" s="415" t="s">
        <v>173</v>
      </c>
      <c r="AL23" s="415" t="s">
        <v>408</v>
      </c>
      <c r="AM23" s="415"/>
      <c r="AP23"/>
      <c r="AQ23" s="532">
        <v>1.05</v>
      </c>
      <c r="AR23" s="532"/>
      <c r="AS23" s="532" t="b">
        <f t="shared" si="6"/>
        <v>0</v>
      </c>
      <c r="AT23" s="532" t="str">
        <f>IFERROR(INDEX('MC 1'!$T:$T,MATCH(1,('MC 1'!$A:$A=$C23)*('MC 1'!$B:$B=$E$5),0)),"")</f>
        <v/>
      </c>
      <c r="AU23"/>
      <c r="AV23"/>
      <c r="AW23"/>
      <c r="AX23"/>
    </row>
    <row r="24" spans="1:50" ht="15">
      <c r="A24" s="453">
        <f t="shared" si="5"/>
        <v>1.01</v>
      </c>
      <c r="B24" s="383">
        <v>7</v>
      </c>
      <c r="D24" s="406"/>
      <c r="E24" s="407"/>
      <c r="F24" s="407"/>
      <c r="G24" s="407"/>
      <c r="H24" s="407"/>
      <c r="I24" s="407"/>
      <c r="J24" s="408" t="s">
        <v>409</v>
      </c>
      <c r="K24" s="409" t="str">
        <f t="shared" si="0"/>
        <v>A=(Ancho x Largo)* Cant</v>
      </c>
      <c r="L24" s="410" t="str">
        <f>+L18</f>
        <v>M2</v>
      </c>
      <c r="M24" s="411">
        <f>+HLOOKUP(B24,[238]Hoja1!$2:$78,5,FALSE)</f>
        <v>50.76</v>
      </c>
      <c r="N24" s="412"/>
      <c r="O24" s="442">
        <f>+M24/5.4</f>
        <v>9.3999999999999986</v>
      </c>
      <c r="P24" s="442">
        <v>5.4</v>
      </c>
      <c r="Q24" s="413"/>
      <c r="R24" s="413"/>
      <c r="S24" s="488">
        <f t="shared" si="2"/>
        <v>1</v>
      </c>
      <c r="T24" s="414">
        <f t="shared" si="3"/>
        <v>50.76</v>
      </c>
      <c r="Y24" s="439">
        <f t="shared" si="1"/>
        <v>50.76</v>
      </c>
      <c r="Z24" s="439">
        <f t="shared" si="4"/>
        <v>0</v>
      </c>
      <c r="AB24"/>
      <c r="AC24" s="532"/>
      <c r="AD24" s="532"/>
      <c r="AE24" s="536">
        <v>2</v>
      </c>
      <c r="AH24" s="383" t="s">
        <v>173</v>
      </c>
      <c r="AI24" s="383" t="s">
        <v>408</v>
      </c>
      <c r="AK24" s="415" t="s">
        <v>156</v>
      </c>
      <c r="AL24" s="415" t="s">
        <v>410</v>
      </c>
      <c r="AM24" s="415"/>
      <c r="AP24"/>
      <c r="AQ24" s="532">
        <v>1.06</v>
      </c>
      <c r="AR24" s="532"/>
      <c r="AS24" s="532" t="b">
        <f t="shared" si="6"/>
        <v>0</v>
      </c>
      <c r="AT24" s="532" t="str">
        <f>IFERROR(INDEX('MC 1'!$T:$T,MATCH(1,('MC 1'!$A:$A=$C24)*('MC 1'!$B:$B=$E$5),0)),"")</f>
        <v/>
      </c>
      <c r="AU24"/>
      <c r="AV24"/>
      <c r="AW24"/>
      <c r="AX24"/>
    </row>
    <row r="25" spans="1:50" ht="15">
      <c r="A25" s="453">
        <f t="shared" si="5"/>
        <v>1.01</v>
      </c>
      <c r="B25" s="383">
        <v>8</v>
      </c>
      <c r="D25" s="406"/>
      <c r="E25" s="407"/>
      <c r="F25" s="407"/>
      <c r="G25" s="407"/>
      <c r="H25" s="407"/>
      <c r="I25" s="407"/>
      <c r="J25" s="408" t="s">
        <v>411</v>
      </c>
      <c r="K25" s="409" t="str">
        <f t="shared" si="0"/>
        <v>A=(Ancho x Largo)* Cant</v>
      </c>
      <c r="L25" s="410" t="str">
        <f>+L24</f>
        <v>M2</v>
      </c>
      <c r="M25" s="411">
        <f>+HLOOKUP(B25,[238]Hoja1!$2:$78,5,FALSE)</f>
        <v>9.3000000000000007</v>
      </c>
      <c r="N25" s="412"/>
      <c r="O25" s="442">
        <f>+M25/3.15</f>
        <v>2.9523809523809526</v>
      </c>
      <c r="P25" s="442">
        <v>3.15</v>
      </c>
      <c r="Q25" s="413"/>
      <c r="R25" s="413"/>
      <c r="S25" s="488">
        <f t="shared" si="2"/>
        <v>1</v>
      </c>
      <c r="T25" s="414">
        <f t="shared" si="3"/>
        <v>9.3000000000000007</v>
      </c>
      <c r="Y25" s="439">
        <f t="shared" si="1"/>
        <v>9.3000000000000007</v>
      </c>
      <c r="Z25" s="439">
        <f t="shared" si="4"/>
        <v>0</v>
      </c>
      <c r="AB25" t="s">
        <v>482</v>
      </c>
      <c r="AC25" s="532">
        <v>1.02</v>
      </c>
      <c r="AD25" s="532"/>
      <c r="AE25" s="532" t="str">
        <f>IFERROR(INDEX('MC 1'!$T:$T,MATCH(1,('MC 1'!$A:$A=$AC25)*('MC 1'!$B:$B=$AE$24),0)),"")</f>
        <v/>
      </c>
      <c r="AH25" s="383" t="s">
        <v>156</v>
      </c>
      <c r="AI25" s="383" t="s">
        <v>410</v>
      </c>
      <c r="AP25"/>
      <c r="AQ25" s="532">
        <v>1.07</v>
      </c>
      <c r="AR25" s="532"/>
      <c r="AS25" t="str">
        <f>IFERROR(INDEX('MC 1'!$T:$T,MATCH(1,('MC 1'!$A:$A=$C25)*('MC 1'!$B:$B=$E$5),0)),"")</f>
        <v/>
      </c>
      <c r="AT25" s="532" t="str">
        <f>IFERROR(INDEX('MC 1'!$T:$T,MATCH(1,('MC 1'!$A:$A=$C25)*('MC 1'!$B:$B=$E$5),0)),"")</f>
        <v/>
      </c>
      <c r="AU25"/>
      <c r="AV25"/>
      <c r="AW25"/>
      <c r="AX25"/>
    </row>
    <row r="26" spans="1:50" ht="15">
      <c r="A26" s="453">
        <f t="shared" si="5"/>
        <v>1.01</v>
      </c>
      <c r="B26" s="383">
        <v>9</v>
      </c>
      <c r="D26" s="406"/>
      <c r="E26" s="407"/>
      <c r="F26" s="407"/>
      <c r="G26" s="407"/>
      <c r="H26" s="407"/>
      <c r="I26" s="407"/>
      <c r="J26" s="408" t="s">
        <v>412</v>
      </c>
      <c r="K26" s="409" t="str">
        <f t="shared" si="0"/>
        <v>A=(Ancho x Largo)* Cant</v>
      </c>
      <c r="L26" s="410" t="str">
        <f>+L25</f>
        <v>M2</v>
      </c>
      <c r="M26" s="411">
        <f>+HLOOKUP(B26,[238]Hoja1!$2:$78,5,FALSE)</f>
        <v>6.12</v>
      </c>
      <c r="N26" s="412"/>
      <c r="O26" s="442">
        <f>+M26/2.65</f>
        <v>2.3094339622641509</v>
      </c>
      <c r="P26" s="442">
        <v>2.65</v>
      </c>
      <c r="Q26" s="412"/>
      <c r="R26" s="412"/>
      <c r="S26" s="488">
        <f t="shared" si="2"/>
        <v>1</v>
      </c>
      <c r="T26" s="414">
        <f t="shared" si="3"/>
        <v>6.12</v>
      </c>
      <c r="Y26" s="439">
        <f t="shared" si="1"/>
        <v>6.1199999999999992</v>
      </c>
      <c r="Z26" s="439">
        <f t="shared" si="4"/>
        <v>0</v>
      </c>
      <c r="AP26"/>
      <c r="AQ26" s="532">
        <v>1.08</v>
      </c>
      <c r="AR26" s="532"/>
      <c r="AS26" s="532" t="str">
        <f>IFERROR(INDEX('MC 1'!$T:$T,MATCH(1,('MC 1'!$A:$A=$C26)*('MC 1'!$B:$B=$E$5),0)),"")</f>
        <v/>
      </c>
      <c r="AT26" s="532" t="str">
        <f>IFERROR(INDEX('MC 1'!$T:$T,MATCH(1,('MC 1'!$A:$A=$C26)*('MC 1'!$B:$B=$E$5),0)),"")</f>
        <v/>
      </c>
      <c r="AU26"/>
      <c r="AV26"/>
      <c r="AW26"/>
      <c r="AX26"/>
    </row>
    <row r="27" spans="1:50" ht="15">
      <c r="A27" s="453">
        <f t="shared" si="5"/>
        <v>1.01</v>
      </c>
      <c r="B27" s="383">
        <v>10</v>
      </c>
      <c r="D27" s="406"/>
      <c r="E27" s="407"/>
      <c r="F27" s="407"/>
      <c r="G27" s="407"/>
      <c r="H27" s="407"/>
      <c r="I27" s="407"/>
      <c r="J27" s="408" t="s">
        <v>413</v>
      </c>
      <c r="K27" s="409" t="str">
        <f t="shared" si="0"/>
        <v>A=(Ancho x Largo)* Cant</v>
      </c>
      <c r="L27" s="410" t="str">
        <f>+L26</f>
        <v>M2</v>
      </c>
      <c r="M27" s="411">
        <f>+HLOOKUP(B27,[238]Hoja1!$2:$78,5,FALSE)</f>
        <v>44.02</v>
      </c>
      <c r="N27" s="412"/>
      <c r="O27" s="441">
        <f>+M27/7.1</f>
        <v>6.2000000000000011</v>
      </c>
      <c r="P27" s="441">
        <v>7.1</v>
      </c>
      <c r="Q27" s="412"/>
      <c r="R27" s="412"/>
      <c r="S27" s="488">
        <f t="shared" si="2"/>
        <v>1</v>
      </c>
      <c r="T27" s="414">
        <f t="shared" si="3"/>
        <v>44.02</v>
      </c>
      <c r="Y27" s="439">
        <f t="shared" si="1"/>
        <v>44.02</v>
      </c>
      <c r="Z27" s="439">
        <f t="shared" si="4"/>
        <v>0</v>
      </c>
      <c r="AP27"/>
      <c r="AQ27" s="532">
        <v>1.0900000000000001</v>
      </c>
      <c r="AR27" s="532"/>
      <c r="AS27" s="532" t="str">
        <f>IFERROR(INDEX('MC 1'!$T:$T,MATCH(1,('MC 1'!$A:$A=$C27)*('MC 1'!$B:$B=$E$5),0)),"")</f>
        <v/>
      </c>
      <c r="AT27" s="532" t="str">
        <f>IFERROR(INDEX('MC 1'!$T:$T,MATCH(1,('MC 1'!$A:$A=$C27)*('MC 1'!$B:$B=$E$5),0)),"")</f>
        <v/>
      </c>
      <c r="AU27"/>
      <c r="AV27"/>
      <c r="AW27"/>
      <c r="AX27"/>
    </row>
    <row r="28" spans="1:50" ht="15">
      <c r="A28" s="453">
        <f t="shared" si="5"/>
        <v>1.01</v>
      </c>
      <c r="B28" s="383">
        <v>11</v>
      </c>
      <c r="D28" s="406"/>
      <c r="E28" s="407"/>
      <c r="F28" s="407"/>
      <c r="G28" s="407"/>
      <c r="H28" s="407"/>
      <c r="I28" s="407"/>
      <c r="J28" s="408" t="s">
        <v>414</v>
      </c>
      <c r="K28" s="409" t="str">
        <f t="shared" si="0"/>
        <v>A=(Ancho x Largo)* Cant</v>
      </c>
      <c r="L28" s="410" t="str">
        <f>+L27</f>
        <v>M2</v>
      </c>
      <c r="M28" s="411">
        <f>+HLOOKUP(B28,[238]Hoja1!$2:$78,5,FALSE)</f>
        <v>0</v>
      </c>
      <c r="N28" s="412"/>
      <c r="O28" s="443"/>
      <c r="P28" s="443"/>
      <c r="Q28" s="412"/>
      <c r="R28" s="412"/>
      <c r="S28" s="488"/>
      <c r="T28" s="414">
        <f t="shared" si="3"/>
        <v>0</v>
      </c>
      <c r="Y28" s="439">
        <f t="shared" si="1"/>
        <v>0</v>
      </c>
      <c r="Z28" s="439">
        <f t="shared" si="4"/>
        <v>0</v>
      </c>
      <c r="AP28"/>
      <c r="AQ28" s="532">
        <v>1.1000000000000001</v>
      </c>
      <c r="AR28" s="532"/>
      <c r="AS28" s="532" t="str">
        <f>IFERROR(INDEX('MC 1'!$T:$T,MATCH(1,('MC 1'!$A:$A=$C28)*('MC 1'!$B:$B=$E$5),0)),"")</f>
        <v/>
      </c>
      <c r="AT28" s="532" t="str">
        <f>IFERROR(INDEX('MC 1'!$T:$T,MATCH(1,('MC 1'!$A:$A=$C28)*('MC 1'!$B:$B=$E$5),0)),"")</f>
        <v/>
      </c>
      <c r="AU28"/>
      <c r="AV28"/>
      <c r="AW28"/>
      <c r="AX28"/>
    </row>
    <row r="29" spans="1:50" ht="15">
      <c r="A29" s="453">
        <f t="shared" si="5"/>
        <v>1.01</v>
      </c>
      <c r="B29" s="383">
        <v>12</v>
      </c>
      <c r="D29" s="406"/>
      <c r="E29" s="407"/>
      <c r="F29" s="407"/>
      <c r="G29" s="407"/>
      <c r="H29" s="407"/>
      <c r="I29" s="407"/>
      <c r="J29" s="408" t="s">
        <v>415</v>
      </c>
      <c r="K29" s="409" t="str">
        <f t="shared" si="0"/>
        <v>A=(Ancho x Largo)* Cant</v>
      </c>
      <c r="L29" s="410" t="str">
        <f>+L23</f>
        <v>M2</v>
      </c>
      <c r="M29" s="411">
        <f>+HLOOKUP(B29,[238]Hoja1!$2:$78,5,FALSE)</f>
        <v>63.51</v>
      </c>
      <c r="N29" s="412"/>
      <c r="O29" s="442">
        <f>+M29/8.7</f>
        <v>7.3000000000000007</v>
      </c>
      <c r="P29" s="442">
        <v>8.6999999999999993</v>
      </c>
      <c r="Q29" s="413"/>
      <c r="R29" s="413"/>
      <c r="S29" s="488">
        <f t="shared" si="2"/>
        <v>1</v>
      </c>
      <c r="T29" s="414">
        <f t="shared" si="3"/>
        <v>63.51</v>
      </c>
      <c r="Y29" s="439">
        <f t="shared" si="1"/>
        <v>63.51</v>
      </c>
      <c r="Z29" s="439">
        <f t="shared" si="4"/>
        <v>0</v>
      </c>
      <c r="AH29" s="383" t="s">
        <v>173</v>
      </c>
      <c r="AI29" s="383" t="s">
        <v>408</v>
      </c>
      <c r="AK29" s="415" t="s">
        <v>156</v>
      </c>
      <c r="AL29" s="415" t="s">
        <v>410</v>
      </c>
      <c r="AM29" s="415"/>
      <c r="AP29"/>
      <c r="AQ29" s="532">
        <v>1.1100000000000001</v>
      </c>
      <c r="AR29" s="532"/>
      <c r="AS29" s="532" t="str">
        <f>IFERROR(INDEX('MC 1'!$T:$T,MATCH(1,('MC 1'!$A:$A=$C29)*('MC 1'!$B:$B=$E$5),0)),"")</f>
        <v/>
      </c>
      <c r="AT29" s="532" t="str">
        <f>IFERROR(INDEX('MC 1'!$T:$T,MATCH(1,('MC 1'!$A:$A=$C29)*('MC 1'!$B:$B=$E$5),0)),"")</f>
        <v/>
      </c>
      <c r="AU29"/>
      <c r="AV29"/>
      <c r="AW29"/>
      <c r="AX29"/>
    </row>
    <row r="30" spans="1:50" ht="15">
      <c r="A30" s="453">
        <f t="shared" si="5"/>
        <v>1.01</v>
      </c>
      <c r="B30" s="383">
        <v>13</v>
      </c>
      <c r="D30" s="406"/>
      <c r="E30" s="407"/>
      <c r="F30" s="407"/>
      <c r="G30" s="407"/>
      <c r="H30" s="407"/>
      <c r="I30" s="407"/>
      <c r="J30" s="408" t="s">
        <v>416</v>
      </c>
      <c r="K30" s="409" t="str">
        <f t="shared" si="0"/>
        <v>A=(Ancho x Largo)* Cant</v>
      </c>
      <c r="L30" s="410" t="str">
        <f>+L25</f>
        <v>M2</v>
      </c>
      <c r="M30" s="411">
        <f>+HLOOKUP(B30,[238]Hoja1!$2:$78,5,FALSE)</f>
        <v>36.08</v>
      </c>
      <c r="N30" s="412"/>
      <c r="O30" s="442">
        <f>+M30/8.8</f>
        <v>4.0999999999999996</v>
      </c>
      <c r="P30" s="442">
        <v>8.8000000000000007</v>
      </c>
      <c r="Q30" s="413"/>
      <c r="R30" s="413"/>
      <c r="S30" s="488">
        <f t="shared" si="2"/>
        <v>1</v>
      </c>
      <c r="T30" s="414">
        <f t="shared" si="3"/>
        <v>36.08</v>
      </c>
      <c r="Y30" s="439">
        <f t="shared" si="1"/>
        <v>36.08</v>
      </c>
      <c r="Z30" s="439">
        <f t="shared" si="4"/>
        <v>0</v>
      </c>
      <c r="AH30" s="383" t="s">
        <v>156</v>
      </c>
      <c r="AI30" s="383" t="s">
        <v>410</v>
      </c>
      <c r="AP30"/>
      <c r="AQ30" s="532">
        <v>1.1200000000000001</v>
      </c>
      <c r="AR30" s="532"/>
      <c r="AS30" s="532" t="str">
        <f>IFERROR(INDEX('MC 1'!$T:$T,MATCH(1,('MC 1'!$A:$A=$C30)*('MC 1'!$B:$B=$E$5),0)),"")</f>
        <v/>
      </c>
      <c r="AT30" s="532" t="str">
        <f>IFERROR(INDEX('MC 1'!$T:$T,MATCH(1,('MC 1'!$A:$A=$C30)*('MC 1'!$B:$B=$E$5),0)),"")</f>
        <v/>
      </c>
      <c r="AU30"/>
      <c r="AV30"/>
      <c r="AW30"/>
      <c r="AX30"/>
    </row>
    <row r="31" spans="1:50" ht="15">
      <c r="A31" s="453">
        <f t="shared" si="5"/>
        <v>1.01</v>
      </c>
      <c r="B31" s="383">
        <v>14</v>
      </c>
      <c r="D31" s="406"/>
      <c r="E31" s="407"/>
      <c r="F31" s="407"/>
      <c r="G31" s="407"/>
      <c r="H31" s="407"/>
      <c r="I31" s="407"/>
      <c r="J31" s="408" t="s">
        <v>417</v>
      </c>
      <c r="K31" s="409" t="str">
        <f t="shared" si="0"/>
        <v>A=(Ancho x Largo)* Cant</v>
      </c>
      <c r="L31" s="410" t="str">
        <f>+L30</f>
        <v>M2</v>
      </c>
      <c r="M31" s="411">
        <f>+HLOOKUP(B31,[238]Hoja1!$2:$78,5,FALSE)</f>
        <v>6.12</v>
      </c>
      <c r="N31" s="412"/>
      <c r="O31" s="442">
        <f>+M31/2.65</f>
        <v>2.3094339622641509</v>
      </c>
      <c r="P31" s="442">
        <v>2.65</v>
      </c>
      <c r="Q31" s="412"/>
      <c r="R31" s="412"/>
      <c r="S31" s="488">
        <f t="shared" si="2"/>
        <v>1</v>
      </c>
      <c r="T31" s="414">
        <f t="shared" si="3"/>
        <v>6.12</v>
      </c>
      <c r="Y31" s="439">
        <f t="shared" si="1"/>
        <v>6.1199999999999992</v>
      </c>
      <c r="Z31" s="439">
        <f t="shared" si="4"/>
        <v>0</v>
      </c>
      <c r="AP31"/>
      <c r="AQ31" s="532">
        <v>1.1299999999999999</v>
      </c>
      <c r="AR31" s="532"/>
      <c r="AS31" s="532" t="str">
        <f>IFERROR(INDEX('MC 1'!$T:$T,MATCH(1,('MC 1'!$A:$A=$C31)*('MC 1'!$B:$B=$E$5),0)),"")</f>
        <v/>
      </c>
      <c r="AT31" s="532" t="str">
        <f>IFERROR(INDEX('MC 1'!$T:$T,MATCH(1,('MC 1'!$A:$A=$C31)*('MC 1'!$B:$B=$E$5),0)),"")</f>
        <v/>
      </c>
      <c r="AU31"/>
      <c r="AV31"/>
      <c r="AW31"/>
      <c r="AX31"/>
    </row>
    <row r="32" spans="1:50" ht="15">
      <c r="A32" s="453">
        <f t="shared" si="5"/>
        <v>1.01</v>
      </c>
      <c r="B32" s="383">
        <v>15</v>
      </c>
      <c r="D32" s="406"/>
      <c r="E32" s="407"/>
      <c r="F32" s="407"/>
      <c r="G32" s="407"/>
      <c r="H32" s="407"/>
      <c r="I32" s="407"/>
      <c r="J32" s="408" t="s">
        <v>418</v>
      </c>
      <c r="K32" s="409" t="str">
        <f t="shared" si="0"/>
        <v>A=(Ancho x Largo)* Cant</v>
      </c>
      <c r="L32" s="410" t="str">
        <f>+L31</f>
        <v>M2</v>
      </c>
      <c r="M32" s="411">
        <f>+HLOOKUP(B32,[238]Hoja1!$2:$78,5,FALSE)</f>
        <v>43.27</v>
      </c>
      <c r="N32" s="412"/>
      <c r="O32" s="442">
        <f>+M32/8.5</f>
        <v>5.0905882352941179</v>
      </c>
      <c r="P32" s="442">
        <v>8.5</v>
      </c>
      <c r="Q32" s="412"/>
      <c r="R32" s="412"/>
      <c r="S32" s="488">
        <f t="shared" si="2"/>
        <v>1</v>
      </c>
      <c r="T32" s="414">
        <f t="shared" si="3"/>
        <v>43.27</v>
      </c>
      <c r="Y32" s="439">
        <f t="shared" si="1"/>
        <v>43.27</v>
      </c>
      <c r="Z32" s="439">
        <f t="shared" si="4"/>
        <v>0</v>
      </c>
      <c r="AP32"/>
      <c r="AQ32" s="532">
        <v>1.1399999999999999</v>
      </c>
      <c r="AR32" s="532"/>
      <c r="AS32" s="532" t="str">
        <f>IFERROR(INDEX('MC 1'!$T:$T,MATCH(1,('MC 1'!$A:$A=$C32)*('MC 1'!$B:$B=$E$5),0)),"")</f>
        <v/>
      </c>
      <c r="AT32" s="532" t="str">
        <f>IFERROR(INDEX('MC 1'!$T:$T,MATCH(1,('MC 1'!$A:$A=$C32)*('MC 1'!$B:$B=$E$5),0)),"")</f>
        <v/>
      </c>
      <c r="AU32"/>
      <c r="AV32"/>
      <c r="AW32"/>
      <c r="AX32"/>
    </row>
    <row r="33" spans="1:50" ht="15">
      <c r="A33" s="453">
        <f t="shared" si="5"/>
        <v>1.01</v>
      </c>
      <c r="B33" s="383">
        <v>16</v>
      </c>
      <c r="D33" s="406"/>
      <c r="E33" s="407"/>
      <c r="F33" s="407"/>
      <c r="G33" s="407"/>
      <c r="H33" s="407"/>
      <c r="I33" s="407"/>
      <c r="J33" s="408" t="s">
        <v>419</v>
      </c>
      <c r="K33" s="409" t="str">
        <f t="shared" si="0"/>
        <v>A=(Ancho x Largo)* Cant</v>
      </c>
      <c r="L33" s="410" t="str">
        <f>+L32</f>
        <v>M2</v>
      </c>
      <c r="M33" s="411">
        <f>+HLOOKUP(B33,[238]Hoja1!$2:$78,5,FALSE)</f>
        <v>15.6</v>
      </c>
      <c r="N33" s="412"/>
      <c r="O33" s="442">
        <f>+M33/5.1</f>
        <v>3.0588235294117649</v>
      </c>
      <c r="P33" s="442">
        <v>5.0999999999999996</v>
      </c>
      <c r="Q33" s="412"/>
      <c r="R33" s="412"/>
      <c r="S33" s="488">
        <f t="shared" si="2"/>
        <v>1</v>
      </c>
      <c r="T33" s="414">
        <f t="shared" si="3"/>
        <v>15.6</v>
      </c>
      <c r="Y33" s="439">
        <f t="shared" si="1"/>
        <v>15.6</v>
      </c>
      <c r="Z33" s="439">
        <f t="shared" si="4"/>
        <v>0</v>
      </c>
      <c r="AP33"/>
      <c r="AQ33" s="532">
        <v>1.1499999999999999</v>
      </c>
      <c r="AR33" s="532"/>
      <c r="AS33" s="532" t="str">
        <f>IFERROR(INDEX('MC 1'!$T:$T,MATCH(1,('MC 1'!$A:$A=$C33)*('MC 1'!$B:$B=$E$5),0)),"")</f>
        <v/>
      </c>
      <c r="AT33" s="532" t="str">
        <f>IFERROR(INDEX('MC 1'!$T:$T,MATCH(1,('MC 1'!$A:$A=$C33)*('MC 1'!$B:$B=$E$5),0)),"")</f>
        <v/>
      </c>
      <c r="AU33"/>
      <c r="AV33"/>
      <c r="AW33"/>
      <c r="AX33"/>
    </row>
    <row r="34" spans="1:50" ht="15">
      <c r="A34" s="453">
        <f t="shared" si="5"/>
        <v>1.01</v>
      </c>
      <c r="B34" s="383">
        <v>17</v>
      </c>
      <c r="D34" s="406"/>
      <c r="E34" s="407"/>
      <c r="F34" s="407"/>
      <c r="G34" s="407"/>
      <c r="H34" s="407"/>
      <c r="I34" s="407"/>
      <c r="J34" s="408" t="s">
        <v>420</v>
      </c>
      <c r="K34" s="409" t="str">
        <f t="shared" si="0"/>
        <v>A=(Ancho x Largo)* Cant</v>
      </c>
      <c r="L34" s="410" t="str">
        <f>+L33</f>
        <v>M2</v>
      </c>
      <c r="M34" s="411">
        <f>+HLOOKUP(B34,[238]Hoja1!$2:$78,5,FALSE)</f>
        <v>72.09</v>
      </c>
      <c r="N34" s="412"/>
      <c r="O34" s="442">
        <v>8.1</v>
      </c>
      <c r="P34" s="442">
        <v>8.9</v>
      </c>
      <c r="Q34" s="412"/>
      <c r="R34" s="412"/>
      <c r="S34" s="488">
        <f t="shared" si="2"/>
        <v>1</v>
      </c>
      <c r="T34" s="414">
        <f t="shared" si="3"/>
        <v>72.09</v>
      </c>
      <c r="Y34" s="439">
        <f t="shared" ref="Y34:Y39" si="7">+O34*P34</f>
        <v>72.09</v>
      </c>
      <c r="Z34" s="439">
        <f t="shared" ref="Z34:Z39" si="8">+Y34 -M34</f>
        <v>0</v>
      </c>
      <c r="AP34"/>
      <c r="AQ34" s="532">
        <v>2.0099999999999998</v>
      </c>
      <c r="AR34" s="532"/>
      <c r="AS34" s="532" t="str">
        <f>IFERROR(INDEX('MC 1'!$T:$T,MATCH(1,('MC 1'!$A:$A=$C34)*('MC 1'!$B:$B=$E$5),0)),"")</f>
        <v/>
      </c>
      <c r="AT34" s="532" t="str">
        <f>IFERROR(INDEX('MC 1'!$T:$T,MATCH(1,('MC 1'!$A:$A=$C34)*('MC 1'!$B:$B=$E$5),0)),"")</f>
        <v/>
      </c>
      <c r="AU34"/>
      <c r="AV34"/>
      <c r="AW34"/>
      <c r="AX34"/>
    </row>
    <row r="35" spans="1:50" ht="15">
      <c r="A35" s="453">
        <f t="shared" si="5"/>
        <v>1.01</v>
      </c>
      <c r="B35" s="383">
        <v>18</v>
      </c>
      <c r="D35" s="406"/>
      <c r="E35" s="407"/>
      <c r="F35" s="407"/>
      <c r="G35" s="407"/>
      <c r="H35" s="407"/>
      <c r="I35" s="407"/>
      <c r="J35" s="408" t="s">
        <v>429</v>
      </c>
      <c r="K35" s="409" t="str">
        <f t="shared" si="0"/>
        <v>A=(Ancho x Largo)* Cant</v>
      </c>
      <c r="L35" s="410" t="str">
        <f>+L34</f>
        <v>M2</v>
      </c>
      <c r="M35" s="411">
        <f>+HLOOKUP(B35,[238]Hoja1!$2:$78,5,FALSE)</f>
        <v>7.08</v>
      </c>
      <c r="N35" s="412"/>
      <c r="O35" s="442">
        <v>2.4</v>
      </c>
      <c r="P35" s="442">
        <v>2.95</v>
      </c>
      <c r="Q35" s="412"/>
      <c r="R35" s="412"/>
      <c r="S35" s="488">
        <f t="shared" si="2"/>
        <v>1</v>
      </c>
      <c r="T35" s="414">
        <f t="shared" si="3"/>
        <v>7.08</v>
      </c>
      <c r="Y35" s="439">
        <f t="shared" si="7"/>
        <v>7.08</v>
      </c>
      <c r="Z35" s="439">
        <f t="shared" si="8"/>
        <v>0</v>
      </c>
      <c r="AP35"/>
      <c r="AQ35" s="532">
        <v>2.02</v>
      </c>
      <c r="AR35" s="532"/>
      <c r="AS35" s="532" t="str">
        <f>IFERROR(INDEX('MC 1'!$T:$T,MATCH(1,('MC 1'!$A:$A=$C35)*('MC 1'!$B:$B=$E$5),0)),"")</f>
        <v/>
      </c>
      <c r="AT35" s="532" t="str">
        <f>IFERROR(INDEX('MC 1'!$T:$T,MATCH(1,('MC 1'!$A:$A=$C35)*('MC 1'!$B:$B=$E$5),0)),"")</f>
        <v/>
      </c>
      <c r="AU35"/>
      <c r="AV35"/>
      <c r="AW35"/>
      <c r="AX35"/>
    </row>
    <row r="36" spans="1:50" ht="15">
      <c r="A36" s="453">
        <f t="shared" si="5"/>
        <v>1.01</v>
      </c>
      <c r="B36" s="383">
        <v>19</v>
      </c>
      <c r="D36" s="406"/>
      <c r="E36" s="407"/>
      <c r="F36" s="407"/>
      <c r="G36" s="407"/>
      <c r="H36" s="407"/>
      <c r="I36" s="407"/>
      <c r="J36" s="408" t="s">
        <v>430</v>
      </c>
      <c r="K36" s="409" t="str">
        <f t="shared" si="0"/>
        <v>A=(Ancho x Largo)* Cant</v>
      </c>
      <c r="L36" s="410" t="str">
        <f t="shared" ref="L36:L60" si="9">+L35</f>
        <v>M2</v>
      </c>
      <c r="M36" s="411">
        <f>+HLOOKUP(B36,[238]Hoja1!$2:$78,5,FALSE)</f>
        <v>6.12</v>
      </c>
      <c r="N36" s="412"/>
      <c r="O36" s="442">
        <f>+M36/2.65</f>
        <v>2.3094339622641509</v>
      </c>
      <c r="P36" s="442">
        <v>2.65</v>
      </c>
      <c r="Q36" s="412"/>
      <c r="R36" s="412"/>
      <c r="S36" s="488">
        <f t="shared" si="2"/>
        <v>1</v>
      </c>
      <c r="T36" s="414">
        <f t="shared" si="3"/>
        <v>6.12</v>
      </c>
      <c r="Y36" s="439">
        <f t="shared" si="7"/>
        <v>6.1199999999999992</v>
      </c>
      <c r="Z36" s="439">
        <f t="shared" si="8"/>
        <v>0</v>
      </c>
      <c r="AP36"/>
      <c r="AQ36" s="532">
        <v>2.0299999999999998</v>
      </c>
      <c r="AR36" s="532"/>
      <c r="AS36" s="532" t="str">
        <f>IFERROR(INDEX('MC 1'!$T:$T,MATCH(1,('MC 1'!$A:$A=$C36)*('MC 1'!$B:$B=$E$5),0)),"")</f>
        <v/>
      </c>
      <c r="AT36" s="532" t="str">
        <f>IFERROR(INDEX('MC 1'!$T:$T,MATCH(1,('MC 1'!$A:$A=$C36)*('MC 1'!$B:$B=$E$5),0)),"")</f>
        <v/>
      </c>
      <c r="AU36"/>
      <c r="AV36"/>
      <c r="AW36"/>
      <c r="AX36"/>
    </row>
    <row r="37" spans="1:50" ht="15">
      <c r="A37" s="453">
        <f t="shared" si="5"/>
        <v>1.01</v>
      </c>
      <c r="B37" s="383">
        <v>20</v>
      </c>
      <c r="D37" s="406"/>
      <c r="E37" s="407"/>
      <c r="F37" s="407"/>
      <c r="G37" s="407"/>
      <c r="H37" s="407"/>
      <c r="I37" s="407"/>
      <c r="J37" s="408" t="s">
        <v>431</v>
      </c>
      <c r="K37" s="409" t="str">
        <f t="shared" si="0"/>
        <v>A=(Ancho x Largo)* Cant</v>
      </c>
      <c r="L37" s="410" t="str">
        <f t="shared" si="9"/>
        <v>M2</v>
      </c>
      <c r="M37" s="411">
        <f>+HLOOKUP(B37,[238]Hoja1!$2:$78,5,FALSE)</f>
        <v>9.3000000000000007</v>
      </c>
      <c r="N37" s="412"/>
      <c r="O37" s="442">
        <f>+M37/3.15</f>
        <v>2.9523809523809526</v>
      </c>
      <c r="P37" s="442">
        <v>3.15</v>
      </c>
      <c r="Q37" s="412"/>
      <c r="R37" s="412"/>
      <c r="S37" s="488">
        <f t="shared" si="2"/>
        <v>1</v>
      </c>
      <c r="T37" s="414">
        <f t="shared" si="3"/>
        <v>9.3000000000000007</v>
      </c>
      <c r="Y37" s="439">
        <f t="shared" si="7"/>
        <v>9.3000000000000007</v>
      </c>
      <c r="Z37" s="439">
        <f t="shared" si="8"/>
        <v>0</v>
      </c>
      <c r="AP37"/>
      <c r="AQ37" s="532">
        <v>2.04</v>
      </c>
      <c r="AR37" s="532"/>
      <c r="AS37" s="532"/>
      <c r="AT37"/>
      <c r="AU37"/>
      <c r="AV37"/>
      <c r="AW37"/>
      <c r="AX37"/>
    </row>
    <row r="38" spans="1:50" ht="15">
      <c r="A38" s="453">
        <f t="shared" si="5"/>
        <v>1.01</v>
      </c>
      <c r="B38" s="383">
        <v>21</v>
      </c>
      <c r="D38" s="406"/>
      <c r="E38" s="407"/>
      <c r="F38" s="407"/>
      <c r="G38" s="407"/>
      <c r="H38" s="407"/>
      <c r="I38" s="407"/>
      <c r="J38" s="408" t="s">
        <v>432</v>
      </c>
      <c r="K38" s="409" t="str">
        <f t="shared" si="0"/>
        <v>A=(Ancho x Largo)* Cant</v>
      </c>
      <c r="L38" s="410" t="str">
        <f t="shared" si="9"/>
        <v>M2</v>
      </c>
      <c r="M38" s="411">
        <f>+HLOOKUP(B38,[238]Hoja1!$2:$78,5,FALSE)</f>
        <v>69.010000000000005</v>
      </c>
      <c r="N38" s="412"/>
      <c r="O38" s="442">
        <v>10.3</v>
      </c>
      <c r="P38" s="442">
        <v>6.7</v>
      </c>
      <c r="Q38" s="412"/>
      <c r="R38" s="412"/>
      <c r="S38" s="488">
        <f t="shared" si="2"/>
        <v>1</v>
      </c>
      <c r="T38" s="414">
        <f t="shared" si="3"/>
        <v>69.010000000000005</v>
      </c>
      <c r="Y38" s="439">
        <f t="shared" si="7"/>
        <v>69.010000000000005</v>
      </c>
      <c r="Z38" s="439">
        <f t="shared" si="8"/>
        <v>0</v>
      </c>
      <c r="AP38"/>
      <c r="AQ38" s="532">
        <v>2.0499999999999998</v>
      </c>
      <c r="AR38" s="532"/>
      <c r="AS38" s="532"/>
      <c r="AT38"/>
      <c r="AU38"/>
      <c r="AV38"/>
      <c r="AW38"/>
      <c r="AX38"/>
    </row>
    <row r="39" spans="1:50" ht="15">
      <c r="A39" s="453">
        <f t="shared" si="5"/>
        <v>1.01</v>
      </c>
      <c r="B39" s="383">
        <v>22</v>
      </c>
      <c r="D39" s="406"/>
      <c r="E39" s="407"/>
      <c r="F39" s="407"/>
      <c r="G39" s="407"/>
      <c r="H39" s="407"/>
      <c r="I39" s="407"/>
      <c r="J39" s="408" t="s">
        <v>433</v>
      </c>
      <c r="K39" s="409" t="str">
        <f t="shared" si="0"/>
        <v>A=(Ancho x Largo)* Cant</v>
      </c>
      <c r="L39" s="410" t="str">
        <f t="shared" si="9"/>
        <v>M2</v>
      </c>
      <c r="M39" s="411">
        <f>+HLOOKUP(B39,[238]Hoja1!$2:$78,5,FALSE)</f>
        <v>6.12</v>
      </c>
      <c r="N39" s="412"/>
      <c r="O39" s="442">
        <f>+M39/2.65</f>
        <v>2.3094339622641509</v>
      </c>
      <c r="P39" s="442">
        <v>2.65</v>
      </c>
      <c r="Q39" s="412"/>
      <c r="R39" s="412"/>
      <c r="S39" s="488">
        <f t="shared" si="2"/>
        <v>1</v>
      </c>
      <c r="T39" s="414">
        <f t="shared" si="3"/>
        <v>6.12</v>
      </c>
      <c r="Y39" s="439">
        <f t="shared" si="7"/>
        <v>6.1199999999999992</v>
      </c>
      <c r="Z39" s="439">
        <f t="shared" si="8"/>
        <v>0</v>
      </c>
      <c r="AP39"/>
      <c r="AQ39" s="532">
        <v>3.01</v>
      </c>
      <c r="AR39" s="532"/>
      <c r="AS39" s="532"/>
      <c r="AT39"/>
      <c r="AU39"/>
      <c r="AV39"/>
      <c r="AW39"/>
      <c r="AX39"/>
    </row>
    <row r="40" spans="1:50" ht="15">
      <c r="A40" s="453">
        <f t="shared" si="5"/>
        <v>1.01</v>
      </c>
      <c r="B40" s="383">
        <v>23</v>
      </c>
      <c r="D40" s="406"/>
      <c r="E40" s="407"/>
      <c r="F40" s="407"/>
      <c r="G40" s="407"/>
      <c r="H40" s="407"/>
      <c r="I40" s="407"/>
      <c r="J40" s="408" t="s">
        <v>434</v>
      </c>
      <c r="K40" s="409" t="str">
        <f t="shared" si="0"/>
        <v>A=(Ancho x Largo)* Cant</v>
      </c>
      <c r="L40" s="410" t="str">
        <f t="shared" si="9"/>
        <v>M2</v>
      </c>
      <c r="M40" s="411">
        <f>+HLOOKUP(B40,[238]Hoja1!$2:$78,5,FALSE)</f>
        <v>127.19999999999999</v>
      </c>
      <c r="N40" s="412"/>
      <c r="O40" s="441">
        <f>+M40/12</f>
        <v>10.6</v>
      </c>
      <c r="P40" s="441">
        <v>12</v>
      </c>
      <c r="Q40" s="412"/>
      <c r="R40" s="412"/>
      <c r="S40" s="488">
        <f t="shared" si="2"/>
        <v>1</v>
      </c>
      <c r="T40" s="414">
        <f t="shared" si="3"/>
        <v>127.19999999999999</v>
      </c>
      <c r="Y40" s="439">
        <f>+O40*P40</f>
        <v>127.19999999999999</v>
      </c>
      <c r="Z40" s="439">
        <f>+Y40 -M40</f>
        <v>0</v>
      </c>
      <c r="AP40"/>
      <c r="AQ40" s="532">
        <v>3.02</v>
      </c>
      <c r="AR40" s="532"/>
      <c r="AS40" s="532"/>
      <c r="AT40"/>
      <c r="AU40"/>
      <c r="AV40"/>
      <c r="AW40"/>
      <c r="AX40"/>
    </row>
    <row r="41" spans="1:50" ht="15">
      <c r="A41" s="453">
        <f t="shared" si="5"/>
        <v>1.01</v>
      </c>
      <c r="B41" s="383">
        <v>24</v>
      </c>
      <c r="D41" s="406"/>
      <c r="E41" s="407"/>
      <c r="F41" s="407"/>
      <c r="G41" s="407"/>
      <c r="H41" s="407"/>
      <c r="I41" s="407"/>
      <c r="J41" s="408" t="s">
        <v>435</v>
      </c>
      <c r="K41" s="409" t="str">
        <f t="shared" si="0"/>
        <v>A=(Ancho x Largo)* Cant</v>
      </c>
      <c r="L41" s="410" t="str">
        <f t="shared" si="9"/>
        <v>M2</v>
      </c>
      <c r="M41" s="411">
        <f>+HLOOKUP(B41,[238]Hoja1!$2:$78,5,FALSE)</f>
        <v>6.18</v>
      </c>
      <c r="N41" s="412"/>
      <c r="O41" s="442">
        <f>+M41/2.5</f>
        <v>2.472</v>
      </c>
      <c r="P41" s="442">
        <v>2.5</v>
      </c>
      <c r="Q41" s="413"/>
      <c r="R41" s="413"/>
      <c r="S41" s="488">
        <f t="shared" si="2"/>
        <v>1</v>
      </c>
      <c r="T41" s="414">
        <f t="shared" si="3"/>
        <v>6.18</v>
      </c>
      <c r="Y41" s="439">
        <f>+O41*P41</f>
        <v>6.18</v>
      </c>
      <c r="Z41" s="439">
        <f>+Y41 -M41</f>
        <v>0</v>
      </c>
      <c r="AH41" s="383" t="s">
        <v>156</v>
      </c>
      <c r="AI41" s="383" t="s">
        <v>410</v>
      </c>
      <c r="AP41"/>
      <c r="AQ41" s="532">
        <v>3.03</v>
      </c>
      <c r="AR41" s="532"/>
      <c r="AS41" s="532"/>
      <c r="AT41"/>
      <c r="AU41"/>
      <c r="AV41"/>
      <c r="AW41"/>
      <c r="AX41"/>
    </row>
    <row r="42" spans="1:50" ht="15">
      <c r="A42" s="453">
        <f t="shared" si="5"/>
        <v>1.01</v>
      </c>
      <c r="B42" s="383">
        <v>25</v>
      </c>
      <c r="D42" s="406"/>
      <c r="E42" s="407"/>
      <c r="F42" s="407"/>
      <c r="G42" s="407"/>
      <c r="H42" s="407"/>
      <c r="I42" s="407"/>
      <c r="J42" s="408" t="s">
        <v>436</v>
      </c>
      <c r="K42" s="409" t="str">
        <f t="shared" si="0"/>
        <v>A=(Ancho x Largo)* Cant</v>
      </c>
      <c r="L42" s="410" t="str">
        <f t="shared" si="9"/>
        <v>M2</v>
      </c>
      <c r="M42" s="411">
        <f>+HLOOKUP(B42,[238]Hoja1!$2:$78,5,FALSE)</f>
        <v>7.4249999999999998</v>
      </c>
      <c r="N42" s="412"/>
      <c r="O42" s="442">
        <f>+M42/3.3</f>
        <v>2.25</v>
      </c>
      <c r="P42" s="442">
        <v>3.3</v>
      </c>
      <c r="Q42" s="412"/>
      <c r="R42" s="412"/>
      <c r="S42" s="488">
        <f t="shared" si="2"/>
        <v>1</v>
      </c>
      <c r="T42" s="414">
        <f t="shared" si="3"/>
        <v>7.4249999999999998</v>
      </c>
      <c r="Y42" s="439">
        <f>+O42*P42</f>
        <v>7.4249999999999998</v>
      </c>
      <c r="Z42" s="439">
        <f>+Y42 -M42</f>
        <v>0</v>
      </c>
      <c r="AP42"/>
      <c r="AQ42" s="532">
        <v>3.04</v>
      </c>
      <c r="AR42" s="532"/>
      <c r="AS42" s="532"/>
      <c r="AT42"/>
      <c r="AU42"/>
      <c r="AV42"/>
      <c r="AW42"/>
      <c r="AX42"/>
    </row>
    <row r="43" spans="1:50" ht="15">
      <c r="A43" s="453">
        <f t="shared" si="5"/>
        <v>1.01</v>
      </c>
      <c r="B43" s="383">
        <v>26</v>
      </c>
      <c r="D43" s="406"/>
      <c r="E43" s="407"/>
      <c r="F43" s="407"/>
      <c r="G43" s="407"/>
      <c r="H43" s="407"/>
      <c r="I43" s="407"/>
      <c r="J43" s="408" t="s">
        <v>437</v>
      </c>
      <c r="K43" s="409" t="str">
        <f t="shared" si="0"/>
        <v>A=(Ancho x Largo)* Cant</v>
      </c>
      <c r="L43" s="410" t="str">
        <f>+L32</f>
        <v>M2</v>
      </c>
      <c r="M43" s="411">
        <f>+HLOOKUP(B43,[238]Hoja1!$2:$78,5,FALSE)</f>
        <v>124.6</v>
      </c>
      <c r="N43" s="412"/>
      <c r="O43" s="442">
        <f>+M43/7</f>
        <v>17.8</v>
      </c>
      <c r="P43" s="442">
        <v>7</v>
      </c>
      <c r="Q43" s="412"/>
      <c r="R43" s="412"/>
      <c r="S43" s="488">
        <f t="shared" si="2"/>
        <v>1</v>
      </c>
      <c r="T43" s="414">
        <f t="shared" si="3"/>
        <v>124.6</v>
      </c>
      <c r="Y43" s="439">
        <f t="shared" ref="Y43:Y52" si="10">+O43*P43</f>
        <v>124.60000000000001</v>
      </c>
      <c r="Z43" s="439">
        <f t="shared" ref="Z43:Z52" si="11">+Y43 -M43</f>
        <v>0</v>
      </c>
      <c r="AP43"/>
      <c r="AQ43" s="532">
        <v>3.05</v>
      </c>
      <c r="AR43" s="532"/>
      <c r="AS43" s="532"/>
      <c r="AT43"/>
      <c r="AU43"/>
      <c r="AV43"/>
      <c r="AW43"/>
      <c r="AX43"/>
    </row>
    <row r="44" spans="1:50" ht="15">
      <c r="A44" s="453">
        <f t="shared" si="5"/>
        <v>1.01</v>
      </c>
      <c r="B44" s="383">
        <v>27</v>
      </c>
      <c r="D44" s="406"/>
      <c r="E44" s="407"/>
      <c r="F44" s="407"/>
      <c r="G44" s="407"/>
      <c r="H44" s="407"/>
      <c r="I44" s="407"/>
      <c r="J44" s="408" t="s">
        <v>438</v>
      </c>
      <c r="K44" s="409" t="str">
        <f t="shared" si="0"/>
        <v>A=(Ancho x Largo)* Cant</v>
      </c>
      <c r="L44" s="410" t="str">
        <f t="shared" ref="L44:L52" si="12">+L43</f>
        <v>M2</v>
      </c>
      <c r="M44" s="411">
        <f>+HLOOKUP(B44,[238]Hoja1!$2:$78,5,FALSE)</f>
        <v>6.12</v>
      </c>
      <c r="N44" s="412"/>
      <c r="O44" s="442">
        <f>+M44/2.65</f>
        <v>2.3094339622641509</v>
      </c>
      <c r="P44" s="442">
        <v>2.65</v>
      </c>
      <c r="Q44" s="412"/>
      <c r="R44" s="412"/>
      <c r="S44" s="488">
        <f t="shared" si="2"/>
        <v>1</v>
      </c>
      <c r="T44" s="414">
        <f t="shared" si="3"/>
        <v>6.12</v>
      </c>
      <c r="Y44" s="439">
        <f t="shared" si="10"/>
        <v>6.1199999999999992</v>
      </c>
      <c r="Z44" s="439">
        <f t="shared" si="11"/>
        <v>0</v>
      </c>
      <c r="AP44"/>
      <c r="AQ44" s="532">
        <v>3.06</v>
      </c>
      <c r="AR44" s="532"/>
      <c r="AS44" s="532"/>
      <c r="AT44"/>
      <c r="AU44"/>
      <c r="AV44"/>
      <c r="AW44"/>
      <c r="AX44"/>
    </row>
    <row r="45" spans="1:50" ht="21.75" customHeight="1">
      <c r="A45" s="453">
        <f t="shared" si="5"/>
        <v>1.01</v>
      </c>
      <c r="B45" s="383">
        <v>28</v>
      </c>
      <c r="D45" s="406"/>
      <c r="E45" s="440"/>
      <c r="F45" s="407"/>
      <c r="G45" s="407"/>
      <c r="H45" s="407"/>
      <c r="I45" s="437"/>
      <c r="J45" s="408" t="s">
        <v>439</v>
      </c>
      <c r="K45" s="409" t="str">
        <f t="shared" si="0"/>
        <v>A=(Ancho x Largo)* Cant</v>
      </c>
      <c r="L45" s="410" t="str">
        <f t="shared" si="12"/>
        <v>M2</v>
      </c>
      <c r="M45" s="411">
        <f>+HLOOKUP(B45,[238]Hoja1!$2:$78,5,FALSE)</f>
        <v>43.6</v>
      </c>
      <c r="N45" s="412"/>
      <c r="O45" s="442">
        <f>+M45/5.35</f>
        <v>8.1495327102803738</v>
      </c>
      <c r="P45" s="442">
        <v>5.35</v>
      </c>
      <c r="Q45" s="413"/>
      <c r="R45" s="413"/>
      <c r="S45" s="488">
        <f t="shared" si="2"/>
        <v>1</v>
      </c>
      <c r="T45" s="414">
        <f t="shared" si="3"/>
        <v>43.6</v>
      </c>
      <c r="Y45" s="439">
        <f t="shared" si="10"/>
        <v>43.599999999999994</v>
      </c>
      <c r="Z45" s="439">
        <f t="shared" si="11"/>
        <v>0</v>
      </c>
      <c r="AP45"/>
      <c r="AQ45" s="532">
        <v>3.07</v>
      </c>
      <c r="AR45" s="532"/>
      <c r="AS45" s="532"/>
      <c r="AT45"/>
      <c r="AU45"/>
      <c r="AV45"/>
      <c r="AW45"/>
      <c r="AX45"/>
    </row>
    <row r="46" spans="1:50">
      <c r="A46" s="453">
        <f t="shared" si="5"/>
        <v>1.01</v>
      </c>
      <c r="B46" s="383">
        <v>29</v>
      </c>
      <c r="D46" s="406"/>
      <c r="E46" s="407"/>
      <c r="F46" s="407"/>
      <c r="G46" s="407"/>
      <c r="H46" s="407"/>
      <c r="I46" s="407"/>
      <c r="J46" s="408" t="s">
        <v>440</v>
      </c>
      <c r="K46" s="409" t="str">
        <f t="shared" si="0"/>
        <v>A=(Ancho x Largo)* Cant</v>
      </c>
      <c r="L46" s="410" t="str">
        <f t="shared" si="12"/>
        <v>M2</v>
      </c>
      <c r="M46" s="411">
        <f>+HLOOKUP(B46,[238]Hoja1!$2:$78,5,FALSE)</f>
        <v>0</v>
      </c>
      <c r="N46" s="412"/>
      <c r="O46" s="443"/>
      <c r="P46" s="443"/>
      <c r="Q46" s="412"/>
      <c r="R46" s="412"/>
      <c r="S46" s="488"/>
      <c r="T46" s="414">
        <f t="shared" si="3"/>
        <v>0</v>
      </c>
      <c r="Y46" s="439">
        <f t="shared" si="10"/>
        <v>0</v>
      </c>
      <c r="Z46" s="439">
        <f t="shared" si="11"/>
        <v>0</v>
      </c>
    </row>
    <row r="47" spans="1:50">
      <c r="A47" s="453">
        <f t="shared" si="5"/>
        <v>1.01</v>
      </c>
      <c r="B47" s="383">
        <v>30</v>
      </c>
      <c r="D47" s="406"/>
      <c r="E47" s="407"/>
      <c r="F47" s="407"/>
      <c r="G47" s="407"/>
      <c r="H47" s="407"/>
      <c r="I47" s="407"/>
      <c r="J47" s="408" t="s">
        <v>441</v>
      </c>
      <c r="K47" s="409" t="str">
        <f t="shared" si="0"/>
        <v>A=(Ancho x Largo)* Cant</v>
      </c>
      <c r="L47" s="410" t="str">
        <f t="shared" si="12"/>
        <v>M2</v>
      </c>
      <c r="M47" s="411">
        <f>+HLOOKUP(B47,[238]Hoja1!$2:$78,5,FALSE)</f>
        <v>9.3000000000000007</v>
      </c>
      <c r="N47" s="412"/>
      <c r="O47" s="442">
        <f>+M47/3.15</f>
        <v>2.9523809523809526</v>
      </c>
      <c r="P47" s="442">
        <v>3.15</v>
      </c>
      <c r="Q47" s="412"/>
      <c r="R47" s="412"/>
      <c r="S47" s="488">
        <f t="shared" si="2"/>
        <v>1</v>
      </c>
      <c r="T47" s="414">
        <f t="shared" si="3"/>
        <v>9.3000000000000007</v>
      </c>
      <c r="Y47" s="439">
        <f t="shared" si="10"/>
        <v>9.3000000000000007</v>
      </c>
      <c r="Z47" s="439">
        <f t="shared" si="11"/>
        <v>0</v>
      </c>
    </row>
    <row r="48" spans="1:50">
      <c r="A48" s="453">
        <f t="shared" si="5"/>
        <v>1.01</v>
      </c>
      <c r="B48" s="383">
        <v>31</v>
      </c>
      <c r="D48" s="406"/>
      <c r="E48" s="407"/>
      <c r="F48" s="407"/>
      <c r="G48" s="407"/>
      <c r="H48" s="407"/>
      <c r="I48" s="407"/>
      <c r="J48" s="408" t="s">
        <v>442</v>
      </c>
      <c r="K48" s="409" t="str">
        <f t="shared" si="0"/>
        <v>A=(Ancho x Largo)* Cant</v>
      </c>
      <c r="L48" s="410" t="str">
        <f t="shared" si="12"/>
        <v>M2</v>
      </c>
      <c r="M48" s="411">
        <f>+HLOOKUP(B48,[238]Hoja1!$2:$78,5,FALSE)</f>
        <v>56</v>
      </c>
      <c r="N48" s="412"/>
      <c r="O48" s="442">
        <v>7</v>
      </c>
      <c r="P48" s="442">
        <v>8</v>
      </c>
      <c r="Q48" s="413"/>
      <c r="R48" s="413"/>
      <c r="S48" s="488">
        <f t="shared" si="2"/>
        <v>1</v>
      </c>
      <c r="T48" s="414">
        <f t="shared" si="3"/>
        <v>56</v>
      </c>
      <c r="Y48" s="439">
        <f t="shared" si="10"/>
        <v>56</v>
      </c>
      <c r="Z48" s="439">
        <f t="shared" si="11"/>
        <v>0</v>
      </c>
      <c r="AH48" s="383" t="s">
        <v>156</v>
      </c>
      <c r="AI48" s="383" t="s">
        <v>410</v>
      </c>
    </row>
    <row r="49" spans="1:35">
      <c r="A49" s="453">
        <f t="shared" si="5"/>
        <v>1.01</v>
      </c>
      <c r="B49" s="383">
        <v>32</v>
      </c>
      <c r="D49" s="406"/>
      <c r="E49" s="407"/>
      <c r="F49" s="407"/>
      <c r="G49" s="407"/>
      <c r="H49" s="407"/>
      <c r="I49" s="407"/>
      <c r="J49" s="408" t="s">
        <v>443</v>
      </c>
      <c r="K49" s="409" t="str">
        <f t="shared" si="0"/>
        <v>A=(Ancho x Largo)* Cant</v>
      </c>
      <c r="L49" s="410" t="str">
        <f t="shared" si="12"/>
        <v>M2</v>
      </c>
      <c r="M49" s="411">
        <f>+HLOOKUP(B49,[238]Hoja1!$2:$78,5,FALSE)</f>
        <v>7.08</v>
      </c>
      <c r="N49" s="412"/>
      <c r="O49" s="442">
        <v>2.4</v>
      </c>
      <c r="P49" s="442">
        <v>2.95</v>
      </c>
      <c r="Q49" s="412"/>
      <c r="R49" s="412"/>
      <c r="S49" s="488">
        <f t="shared" si="2"/>
        <v>1</v>
      </c>
      <c r="T49" s="414">
        <f t="shared" si="3"/>
        <v>7.08</v>
      </c>
      <c r="Y49" s="439">
        <f t="shared" si="10"/>
        <v>7.08</v>
      </c>
      <c r="Z49" s="439">
        <f t="shared" si="11"/>
        <v>0</v>
      </c>
    </row>
    <row r="50" spans="1:35">
      <c r="A50" s="453">
        <f t="shared" si="5"/>
        <v>1.01</v>
      </c>
      <c r="B50" s="383">
        <v>33</v>
      </c>
      <c r="D50" s="406"/>
      <c r="E50" s="407"/>
      <c r="F50" s="407"/>
      <c r="G50" s="407"/>
      <c r="H50" s="407"/>
      <c r="I50" s="407"/>
      <c r="J50" s="408" t="s">
        <v>444</v>
      </c>
      <c r="K50" s="409" t="str">
        <f t="shared" si="0"/>
        <v>A=(Ancho x Largo)* Cant</v>
      </c>
      <c r="L50" s="410" t="str">
        <f t="shared" si="12"/>
        <v>M2</v>
      </c>
      <c r="M50" s="411">
        <f>+HLOOKUP(B50,[238]Hoja1!$2:$78,5,FALSE)</f>
        <v>51.1</v>
      </c>
      <c r="N50" s="412"/>
      <c r="O50" s="442">
        <v>7.3</v>
      </c>
      <c r="P50" s="442">
        <v>7</v>
      </c>
      <c r="Q50" s="412"/>
      <c r="R50" s="412"/>
      <c r="S50" s="488">
        <f t="shared" si="2"/>
        <v>1</v>
      </c>
      <c r="T50" s="414">
        <f t="shared" si="3"/>
        <v>51.1</v>
      </c>
      <c r="Y50" s="439">
        <f t="shared" si="10"/>
        <v>51.1</v>
      </c>
      <c r="Z50" s="439">
        <f t="shared" si="11"/>
        <v>0</v>
      </c>
    </row>
    <row r="51" spans="1:35">
      <c r="A51" s="453">
        <f t="shared" si="5"/>
        <v>1.01</v>
      </c>
      <c r="B51" s="383">
        <v>34</v>
      </c>
      <c r="D51" s="406"/>
      <c r="E51" s="407"/>
      <c r="F51" s="407"/>
      <c r="G51" s="407"/>
      <c r="H51" s="407"/>
      <c r="I51" s="407"/>
      <c r="J51" s="408" t="s">
        <v>445</v>
      </c>
      <c r="K51" s="409" t="str">
        <f t="shared" si="0"/>
        <v>A=(Ancho x Largo)* Cant</v>
      </c>
      <c r="L51" s="410" t="str">
        <f t="shared" si="12"/>
        <v>M2</v>
      </c>
      <c r="M51" s="411">
        <f>+HLOOKUP(B51,[238]Hoja1!$2:$78,5,FALSE)</f>
        <v>33.722999999999999</v>
      </c>
      <c r="N51" s="412"/>
      <c r="O51" s="443"/>
      <c r="P51" s="443"/>
      <c r="Q51" s="412"/>
      <c r="R51" s="412"/>
      <c r="S51" s="488">
        <f t="shared" si="2"/>
        <v>1</v>
      </c>
      <c r="T51" s="414">
        <f t="shared" si="3"/>
        <v>33.722999999999999</v>
      </c>
      <c r="Y51" s="439">
        <f t="shared" si="10"/>
        <v>0</v>
      </c>
      <c r="Z51" s="439">
        <f t="shared" si="11"/>
        <v>-33.722999999999999</v>
      </c>
    </row>
    <row r="52" spans="1:35" ht="21.75" customHeight="1">
      <c r="A52" s="453">
        <f t="shared" si="5"/>
        <v>1.01</v>
      </c>
      <c r="B52" s="383">
        <v>35</v>
      </c>
      <c r="D52" s="406"/>
      <c r="E52" s="440"/>
      <c r="F52" s="407"/>
      <c r="G52" s="407"/>
      <c r="H52" s="407"/>
      <c r="I52" s="437"/>
      <c r="J52" s="408" t="s">
        <v>446</v>
      </c>
      <c r="K52" s="409" t="str">
        <f t="shared" si="0"/>
        <v>A=(Ancho x Largo)* Cant</v>
      </c>
      <c r="L52" s="410" t="str">
        <f t="shared" si="12"/>
        <v>M2</v>
      </c>
      <c r="M52" s="411">
        <f>+HLOOKUP(B52,[238]Hoja1!$2:$78,5,FALSE)</f>
        <v>84</v>
      </c>
      <c r="N52" s="412"/>
      <c r="O52" s="442">
        <v>7</v>
      </c>
      <c r="P52" s="442">
        <v>12</v>
      </c>
      <c r="Q52" s="413"/>
      <c r="R52" s="413"/>
      <c r="S52" s="488">
        <f t="shared" si="2"/>
        <v>1</v>
      </c>
      <c r="T52" s="414">
        <f t="shared" si="3"/>
        <v>84</v>
      </c>
      <c r="Y52" s="439">
        <f t="shared" si="10"/>
        <v>84</v>
      </c>
      <c r="Z52" s="439">
        <f t="shared" si="11"/>
        <v>0</v>
      </c>
    </row>
    <row r="53" spans="1:35">
      <c r="A53" s="453">
        <f t="shared" si="5"/>
        <v>1.01</v>
      </c>
      <c r="B53" s="383">
        <v>36</v>
      </c>
      <c r="D53" s="406"/>
      <c r="E53" s="407"/>
      <c r="F53" s="407"/>
      <c r="G53" s="407"/>
      <c r="H53" s="407"/>
      <c r="I53" s="407"/>
      <c r="J53" s="408" t="s">
        <v>447</v>
      </c>
      <c r="K53" s="409" t="str">
        <f t="shared" si="0"/>
        <v>A=(Ancho x Largo)* Cant</v>
      </c>
      <c r="L53" s="410" t="str">
        <f>+L42</f>
        <v>M2</v>
      </c>
      <c r="M53" s="411">
        <f>+HLOOKUP(B53,[238]Hoja1!$2:$78,5,FALSE)</f>
        <v>7.08</v>
      </c>
      <c r="N53" s="412"/>
      <c r="O53" s="442">
        <v>2.4</v>
      </c>
      <c r="P53" s="442">
        <v>2.95</v>
      </c>
      <c r="Q53" s="412"/>
      <c r="R53" s="412"/>
      <c r="S53" s="488">
        <f t="shared" si="2"/>
        <v>1</v>
      </c>
      <c r="T53" s="414">
        <f t="shared" si="3"/>
        <v>7.08</v>
      </c>
      <c r="Y53" s="439">
        <f t="shared" ref="Y53:Y60" si="13">+O53*P53</f>
        <v>7.08</v>
      </c>
      <c r="Z53" s="439">
        <f t="shared" ref="Z53:Z60" si="14">+Y53 -M53</f>
        <v>0</v>
      </c>
    </row>
    <row r="54" spans="1:35">
      <c r="A54" s="453">
        <f t="shared" si="5"/>
        <v>1.01</v>
      </c>
      <c r="B54" s="383">
        <v>37</v>
      </c>
      <c r="D54" s="406"/>
      <c r="E54" s="407"/>
      <c r="F54" s="407"/>
      <c r="G54" s="407"/>
      <c r="H54" s="407"/>
      <c r="I54" s="407"/>
      <c r="J54" s="408" t="s">
        <v>448</v>
      </c>
      <c r="K54" s="409" t="str">
        <f t="shared" si="0"/>
        <v>A=(Ancho x Largo)* Cant</v>
      </c>
      <c r="L54" s="410" t="str">
        <f t="shared" si="9"/>
        <v>M2</v>
      </c>
      <c r="M54" s="411">
        <f>+HLOOKUP(B54,[238]Hoja1!$2:$78,5,FALSE)</f>
        <v>7.25</v>
      </c>
      <c r="N54" s="412"/>
      <c r="O54" s="441">
        <f>+M54/3.15</f>
        <v>2.3015873015873018</v>
      </c>
      <c r="P54" s="441">
        <v>3.15</v>
      </c>
      <c r="Q54" s="412"/>
      <c r="R54" s="412"/>
      <c r="S54" s="488">
        <f t="shared" si="2"/>
        <v>1</v>
      </c>
      <c r="T54" s="414">
        <f t="shared" si="3"/>
        <v>7.25</v>
      </c>
      <c r="Y54" s="439">
        <f t="shared" si="13"/>
        <v>7.2500000000000009</v>
      </c>
      <c r="Z54" s="439">
        <f t="shared" si="14"/>
        <v>0</v>
      </c>
    </row>
    <row r="55" spans="1:35" ht="21.75" customHeight="1">
      <c r="A55" s="453">
        <f t="shared" si="5"/>
        <v>1.01</v>
      </c>
      <c r="B55" s="383">
        <v>38</v>
      </c>
      <c r="D55" s="406"/>
      <c r="E55" s="440"/>
      <c r="F55" s="407"/>
      <c r="G55" s="407"/>
      <c r="H55" s="407"/>
      <c r="I55" s="437"/>
      <c r="J55" s="408" t="s">
        <v>449</v>
      </c>
      <c r="K55" s="409" t="str">
        <f t="shared" si="0"/>
        <v>A=(Ancho x Largo)* Cant</v>
      </c>
      <c r="L55" s="410" t="str">
        <f t="shared" si="9"/>
        <v>M2</v>
      </c>
      <c r="M55" s="411">
        <f>+HLOOKUP(B55,[238]Hoja1!$2:$78,5,FALSE)</f>
        <v>0</v>
      </c>
      <c r="N55" s="412"/>
      <c r="O55" s="442"/>
      <c r="P55" s="442"/>
      <c r="Q55" s="413"/>
      <c r="R55" s="413"/>
      <c r="S55" s="488"/>
      <c r="T55" s="414">
        <f>+S55*M55</f>
        <v>0</v>
      </c>
      <c r="Y55" s="439">
        <f t="shared" si="13"/>
        <v>0</v>
      </c>
      <c r="Z55" s="439">
        <f t="shared" si="14"/>
        <v>0</v>
      </c>
    </row>
    <row r="56" spans="1:35">
      <c r="A56" s="453">
        <f t="shared" si="5"/>
        <v>1.01</v>
      </c>
      <c r="B56" s="383">
        <v>39</v>
      </c>
      <c r="D56" s="406"/>
      <c r="E56" s="407"/>
      <c r="F56" s="407"/>
      <c r="G56" s="407"/>
      <c r="H56" s="407"/>
      <c r="I56" s="407"/>
      <c r="J56" s="408" t="s">
        <v>450</v>
      </c>
      <c r="K56" s="409" t="str">
        <f t="shared" si="0"/>
        <v>A=(Ancho x Largo)* Cant</v>
      </c>
      <c r="L56" s="410" t="str">
        <f t="shared" si="9"/>
        <v>M2</v>
      </c>
      <c r="M56" s="411">
        <f>+HLOOKUP(B56,[238]Hoja1!$2:$78,5,FALSE)</f>
        <v>135.41999999999999</v>
      </c>
      <c r="N56" s="412"/>
      <c r="O56" s="441">
        <f>+M56/12.3</f>
        <v>11.009756097560974</v>
      </c>
      <c r="P56" s="441">
        <v>12.3</v>
      </c>
      <c r="Q56" s="412"/>
      <c r="R56" s="412"/>
      <c r="S56" s="488">
        <f t="shared" si="2"/>
        <v>1</v>
      </c>
      <c r="T56" s="414">
        <f t="shared" si="3"/>
        <v>135.41999999999999</v>
      </c>
      <c r="Y56" s="439">
        <f t="shared" si="13"/>
        <v>135.41999999999999</v>
      </c>
      <c r="Z56" s="439">
        <f t="shared" si="14"/>
        <v>0</v>
      </c>
    </row>
    <row r="57" spans="1:35">
      <c r="A57" s="453">
        <f t="shared" si="5"/>
        <v>1.01</v>
      </c>
      <c r="B57" s="383">
        <v>40</v>
      </c>
      <c r="D57" s="406"/>
      <c r="E57" s="407"/>
      <c r="F57" s="407"/>
      <c r="G57" s="407"/>
      <c r="H57" s="407"/>
      <c r="I57" s="407"/>
      <c r="J57" s="408" t="s">
        <v>451</v>
      </c>
      <c r="K57" s="409" t="str">
        <f t="shared" si="0"/>
        <v>A=(Ancho x Largo)* Cant</v>
      </c>
      <c r="L57" s="410" t="str">
        <f t="shared" si="9"/>
        <v>M2</v>
      </c>
      <c r="M57" s="411">
        <f>+HLOOKUP(B57,[238]Hoja1!$2:$78,5,FALSE)</f>
        <v>7.08</v>
      </c>
      <c r="N57" s="412"/>
      <c r="O57" s="442">
        <v>2.4</v>
      </c>
      <c r="P57" s="442">
        <v>2.95</v>
      </c>
      <c r="Q57" s="412"/>
      <c r="R57" s="412"/>
      <c r="S57" s="488">
        <f t="shared" si="2"/>
        <v>1</v>
      </c>
      <c r="T57" s="414">
        <f t="shared" si="3"/>
        <v>7.08</v>
      </c>
      <c r="Y57" s="439">
        <f t="shared" si="13"/>
        <v>7.08</v>
      </c>
      <c r="Z57" s="439">
        <f t="shared" si="14"/>
        <v>0</v>
      </c>
    </row>
    <row r="58" spans="1:35">
      <c r="A58" s="453">
        <f t="shared" si="5"/>
        <v>1.01</v>
      </c>
      <c r="B58" s="383">
        <v>41</v>
      </c>
      <c r="D58" s="406"/>
      <c r="E58" s="407"/>
      <c r="F58" s="407"/>
      <c r="G58" s="407"/>
      <c r="H58" s="407"/>
      <c r="I58" s="407"/>
      <c r="J58" s="408" t="s">
        <v>452</v>
      </c>
      <c r="K58" s="409" t="str">
        <f t="shared" si="0"/>
        <v>A=(Ancho x Largo)* Cant</v>
      </c>
      <c r="L58" s="410" t="str">
        <f t="shared" si="9"/>
        <v>M2</v>
      </c>
      <c r="M58" s="411">
        <f>+HLOOKUP(B58,[238]Hoja1!$2:$78,5,FALSE)</f>
        <v>3.56</v>
      </c>
      <c r="N58" s="412"/>
      <c r="O58" s="442">
        <f>+M58/2.3</f>
        <v>1.5478260869565219</v>
      </c>
      <c r="P58" s="442">
        <v>2.2999999999999998</v>
      </c>
      <c r="Q58" s="413"/>
      <c r="R58" s="413"/>
      <c r="S58" s="488">
        <f t="shared" si="2"/>
        <v>1</v>
      </c>
      <c r="T58" s="414">
        <f t="shared" si="3"/>
        <v>3.56</v>
      </c>
      <c r="Y58" s="439">
        <f t="shared" si="13"/>
        <v>3.56</v>
      </c>
      <c r="Z58" s="439">
        <f t="shared" si="14"/>
        <v>0</v>
      </c>
      <c r="AH58" s="383" t="s">
        <v>156</v>
      </c>
      <c r="AI58" s="383" t="s">
        <v>410</v>
      </c>
    </row>
    <row r="59" spans="1:35">
      <c r="A59" s="453">
        <f t="shared" si="5"/>
        <v>1.01</v>
      </c>
      <c r="B59" s="383">
        <v>42</v>
      </c>
      <c r="D59" s="406"/>
      <c r="E59" s="407"/>
      <c r="F59" s="407"/>
      <c r="G59" s="407"/>
      <c r="H59" s="407"/>
      <c r="I59" s="407"/>
      <c r="J59" s="408" t="s">
        <v>453</v>
      </c>
      <c r="K59" s="409" t="str">
        <f t="shared" si="0"/>
        <v>A=(Ancho x Largo)* Cant</v>
      </c>
      <c r="L59" s="410" t="str">
        <f t="shared" si="9"/>
        <v>M2</v>
      </c>
      <c r="M59" s="411">
        <f>+HLOOKUP(B59,[238]Hoja1!$2:$78,5,FALSE)</f>
        <v>0</v>
      </c>
      <c r="N59" s="412"/>
      <c r="O59" s="442"/>
      <c r="P59" s="442"/>
      <c r="Q59" s="412"/>
      <c r="R59" s="412"/>
      <c r="S59" s="488"/>
      <c r="T59" s="414">
        <f t="shared" si="3"/>
        <v>0</v>
      </c>
      <c r="Y59" s="439">
        <f t="shared" si="13"/>
        <v>0</v>
      </c>
      <c r="Z59" s="439">
        <f t="shared" si="14"/>
        <v>0</v>
      </c>
    </row>
    <row r="60" spans="1:35" ht="13.5" thickBot="1">
      <c r="A60" s="453">
        <f t="shared" si="5"/>
        <v>1.01</v>
      </c>
      <c r="B60" s="383">
        <v>43</v>
      </c>
      <c r="D60" s="406"/>
      <c r="E60" s="407"/>
      <c r="F60" s="407"/>
      <c r="G60" s="407"/>
      <c r="H60" s="407"/>
      <c r="I60" s="407"/>
      <c r="J60" s="408" t="s">
        <v>454</v>
      </c>
      <c r="K60" s="409" t="str">
        <f t="shared" si="0"/>
        <v>A=(Ancho x Largo)* Cant</v>
      </c>
      <c r="L60" s="410" t="str">
        <f t="shared" si="9"/>
        <v>M2</v>
      </c>
      <c r="M60" s="411">
        <f>+HLOOKUP(B60,[238]Hoja1!$2:$78,5,FALSE)</f>
        <v>82.5</v>
      </c>
      <c r="N60" s="412"/>
      <c r="O60" s="442">
        <f>+M60/7.5</f>
        <v>11</v>
      </c>
      <c r="P60" s="442">
        <v>7.5</v>
      </c>
      <c r="Q60" s="412"/>
      <c r="R60" s="412"/>
      <c r="S60" s="488">
        <f t="shared" si="2"/>
        <v>1</v>
      </c>
      <c r="T60" s="414">
        <f t="shared" si="3"/>
        <v>82.5</v>
      </c>
      <c r="Y60" s="439">
        <f t="shared" si="13"/>
        <v>82.5</v>
      </c>
      <c r="Z60" s="439">
        <f t="shared" si="14"/>
        <v>0</v>
      </c>
    </row>
    <row r="61" spans="1:35">
      <c r="D61" s="384"/>
      <c r="E61" s="419"/>
      <c r="F61" s="420"/>
      <c r="G61" s="421"/>
      <c r="H61" s="421"/>
      <c r="I61" s="421"/>
      <c r="J61" s="421"/>
      <c r="K61" s="422"/>
      <c r="L61" s="421"/>
      <c r="M61" s="421"/>
      <c r="N61" s="421"/>
      <c r="O61" s="421"/>
      <c r="P61" s="421"/>
      <c r="Q61" s="421"/>
      <c r="R61" s="421"/>
      <c r="S61" s="422"/>
      <c r="T61" s="423"/>
    </row>
    <row r="62" spans="1:35">
      <c r="D62" s="396"/>
      <c r="E62" s="397"/>
      <c r="F62" s="424"/>
      <c r="G62" s="425"/>
      <c r="H62" s="425"/>
      <c r="I62" s="425"/>
      <c r="J62" s="425"/>
      <c r="K62" s="398"/>
      <c r="L62" s="425"/>
      <c r="M62" s="425"/>
      <c r="N62" s="397"/>
      <c r="O62" s="397"/>
      <c r="P62" s="562" t="s">
        <v>421</v>
      </c>
      <c r="Q62" s="563"/>
      <c r="R62" s="564"/>
      <c r="S62" s="426"/>
      <c r="T62" s="427">
        <f>ROUND(SUM(T18:T61),2)</f>
        <v>1318.48</v>
      </c>
    </row>
    <row r="63" spans="1:35">
      <c r="D63" s="396"/>
      <c r="E63" s="397"/>
      <c r="F63" s="424"/>
      <c r="G63" s="425"/>
      <c r="H63" s="425"/>
      <c r="I63" s="425"/>
      <c r="J63" s="425"/>
      <c r="K63" s="398"/>
      <c r="L63" s="425"/>
      <c r="M63" s="425"/>
      <c r="N63" s="428"/>
      <c r="O63" s="428"/>
      <c r="P63" s="429"/>
      <c r="Q63" s="425"/>
      <c r="R63" s="425"/>
      <c r="S63" s="430"/>
      <c r="T63" s="431"/>
    </row>
    <row r="64" spans="1:35">
      <c r="D64" s="565" t="e">
        <v>#REF!</v>
      </c>
      <c r="E64" s="566"/>
      <c r="F64" s="566"/>
      <c r="G64" s="566"/>
      <c r="H64" s="566"/>
      <c r="I64" s="566"/>
      <c r="J64" s="566"/>
      <c r="K64" s="566"/>
      <c r="L64" s="566"/>
      <c r="M64" s="566"/>
      <c r="N64" s="566"/>
      <c r="O64" s="567"/>
      <c r="P64" s="568" t="s">
        <v>422</v>
      </c>
      <c r="Q64" s="568"/>
      <c r="R64" s="568"/>
      <c r="S64" s="426"/>
      <c r="T64" s="427">
        <f>T62</f>
        <v>1318.48</v>
      </c>
    </row>
    <row r="65" spans="4:36">
      <c r="D65" s="396"/>
      <c r="E65" s="397"/>
      <c r="F65" s="424"/>
      <c r="G65" s="425"/>
      <c r="H65" s="425"/>
      <c r="I65" s="425"/>
      <c r="J65" s="425"/>
      <c r="K65" s="398"/>
      <c r="L65" s="425"/>
      <c r="M65" s="425"/>
      <c r="N65" s="428"/>
      <c r="O65" s="428"/>
      <c r="P65" s="429"/>
      <c r="Q65" s="425"/>
      <c r="R65" s="398"/>
      <c r="S65" s="398"/>
      <c r="T65" s="432"/>
    </row>
    <row r="66" spans="4:36">
      <c r="D66" s="396"/>
      <c r="E66" s="397"/>
      <c r="F66" s="424"/>
      <c r="G66" s="425"/>
      <c r="H66" s="425"/>
      <c r="I66" s="425"/>
      <c r="J66" s="425"/>
      <c r="K66" s="398"/>
      <c r="L66" s="425"/>
      <c r="M66" s="425"/>
      <c r="N66" s="428"/>
      <c r="O66" s="428"/>
      <c r="P66" s="429"/>
      <c r="Q66" s="425"/>
      <c r="R66" s="398"/>
      <c r="S66" s="398"/>
      <c r="T66" s="432"/>
    </row>
    <row r="67" spans="4:36">
      <c r="D67" s="569" t="s">
        <v>423</v>
      </c>
      <c r="E67" s="570"/>
      <c r="F67" s="570"/>
      <c r="G67" s="570"/>
      <c r="H67" s="570"/>
      <c r="I67" s="570"/>
      <c r="J67" s="570"/>
      <c r="K67" s="571"/>
      <c r="L67" s="433" t="s">
        <v>424</v>
      </c>
      <c r="M67" s="434"/>
      <c r="N67" s="434"/>
      <c r="O67" s="434"/>
      <c r="P67" s="434"/>
      <c r="Q67" s="434"/>
      <c r="R67" s="434"/>
      <c r="S67" s="434"/>
      <c r="T67" s="435"/>
    </row>
    <row r="68" spans="4:36">
      <c r="D68" s="542"/>
      <c r="E68" s="543"/>
      <c r="F68" s="543"/>
      <c r="G68" s="543"/>
      <c r="H68" s="436"/>
      <c r="I68" s="436"/>
      <c r="J68" s="436"/>
      <c r="K68" s="447"/>
      <c r="L68" s="436"/>
      <c r="M68" s="407"/>
      <c r="N68" s="407"/>
      <c r="O68" s="407"/>
      <c r="P68" s="407"/>
      <c r="Q68" s="407"/>
      <c r="R68" s="407"/>
      <c r="S68" s="407"/>
      <c r="T68" s="437"/>
    </row>
    <row r="69" spans="4:36" ht="7.15" customHeight="1">
      <c r="D69" s="542"/>
      <c r="E69" s="543"/>
      <c r="F69" s="543"/>
      <c r="G69" s="543"/>
      <c r="H69" s="436"/>
      <c r="I69" s="436"/>
      <c r="J69" s="436"/>
      <c r="K69" s="447"/>
      <c r="L69" s="436"/>
      <c r="M69" s="407"/>
      <c r="N69" s="407"/>
      <c r="O69" s="407"/>
      <c r="P69" s="407"/>
      <c r="Q69" s="407"/>
      <c r="R69" s="407"/>
      <c r="S69" s="407"/>
      <c r="T69" s="437"/>
    </row>
    <row r="70" spans="4:36">
      <c r="D70" s="542" t="s">
        <v>425</v>
      </c>
      <c r="E70" s="543"/>
      <c r="F70" s="543" t="s">
        <v>425</v>
      </c>
      <c r="G70" s="543"/>
      <c r="H70" s="543" t="s">
        <v>425</v>
      </c>
      <c r="I70" s="543"/>
      <c r="J70" s="543" t="s">
        <v>425</v>
      </c>
      <c r="K70" s="544"/>
      <c r="L70" s="545" t="s">
        <v>426</v>
      </c>
      <c r="M70" s="546"/>
      <c r="N70" s="546"/>
      <c r="O70" s="546"/>
      <c r="P70" s="546"/>
      <c r="Q70" s="546"/>
      <c r="R70" s="546"/>
      <c r="S70" s="546"/>
      <c r="T70" s="547"/>
    </row>
    <row r="71" spans="4:36" ht="15">
      <c r="D71" s="548" t="str">
        <f>+[42]DATOS!D$8</f>
        <v>HELMER EDUARDO BECERRA SANTANDER</v>
      </c>
      <c r="E71" s="549"/>
      <c r="F71" s="549" t="s">
        <v>427</v>
      </c>
      <c r="G71" s="549"/>
      <c r="H71" s="549" t="s">
        <v>427</v>
      </c>
      <c r="I71" s="549"/>
      <c r="J71" s="549" t="s">
        <v>427</v>
      </c>
      <c r="K71" s="550"/>
      <c r="L71" s="551" t="str">
        <f>+[42]DATOS!D$11</f>
        <v>JESUS IVAN QUIÑONES RUEDA</v>
      </c>
      <c r="M71" s="549"/>
      <c r="N71" s="549"/>
      <c r="O71" s="549"/>
      <c r="P71" s="549"/>
      <c r="Q71" s="549"/>
      <c r="R71" s="549"/>
      <c r="S71" s="549"/>
      <c r="T71" s="552"/>
      <c r="AH71" s="532"/>
      <c r="AI71" s="532"/>
      <c r="AJ71" s="532" t="s">
        <v>480</v>
      </c>
    </row>
    <row r="72" spans="4:36" ht="15">
      <c r="D72" s="553" t="str">
        <f>+[42]DATOS!D9</f>
        <v>APOYO SEC. DE PLANEACION Y OBRAS PÚBLICAS</v>
      </c>
      <c r="E72" s="554"/>
      <c r="F72" s="554" t="s">
        <v>428</v>
      </c>
      <c r="G72" s="554"/>
      <c r="H72" s="554" t="s">
        <v>428</v>
      </c>
      <c r="I72" s="554"/>
      <c r="J72" s="554" t="s">
        <v>428</v>
      </c>
      <c r="K72" s="555"/>
      <c r="L72" s="556" t="str">
        <f>+[42]DATOS!D12</f>
        <v>SECRETARIO DE PLANEACION Y OBRAS PÚBLICAS</v>
      </c>
      <c r="M72" s="554"/>
      <c r="N72" s="554"/>
      <c r="O72" s="554"/>
      <c r="P72" s="554"/>
      <c r="Q72" s="554"/>
      <c r="R72" s="554"/>
      <c r="S72" s="554"/>
      <c r="T72" s="557"/>
      <c r="AH72" s="532"/>
      <c r="AI72" s="532"/>
      <c r="AJ72" s="536">
        <v>1</v>
      </c>
    </row>
    <row r="73" spans="4:36" ht="15">
      <c r="D73" s="406"/>
      <c r="E73" s="407"/>
      <c r="F73" s="407"/>
      <c r="G73" s="407"/>
      <c r="H73" s="407"/>
      <c r="I73" s="407"/>
      <c r="J73" s="407"/>
      <c r="K73" s="407"/>
      <c r="L73" s="407"/>
      <c r="M73" s="407"/>
      <c r="N73" s="407"/>
      <c r="O73" s="407"/>
      <c r="P73" s="407"/>
      <c r="Q73" s="407"/>
      <c r="R73" s="407"/>
      <c r="S73" s="407"/>
      <c r="T73" s="437"/>
      <c r="AH73" s="532">
        <v>1.01</v>
      </c>
      <c r="AI73" s="532"/>
      <c r="AJ73" s="532" t="str">
        <f>IFERROR(SUMPRODUCT(('MC 1'!$B$1:$B$1000=$F$5)*('MC 1'!$D$1:$D$1000=$D73)*('MC 1'!$T$1:$T$1000)),"")</f>
        <v/>
      </c>
    </row>
    <row r="74" spans="4:36" ht="111.6" customHeight="1" thickBot="1">
      <c r="D74" s="417"/>
      <c r="E74" s="418"/>
      <c r="F74" s="418"/>
      <c r="G74" s="418"/>
      <c r="H74" s="418"/>
      <c r="I74" s="418"/>
      <c r="J74" s="418"/>
      <c r="K74" s="418"/>
      <c r="L74" s="418"/>
      <c r="M74" s="418"/>
      <c r="N74" s="418"/>
      <c r="O74" s="418"/>
      <c r="P74" s="418"/>
      <c r="Q74" s="418"/>
      <c r="R74" s="418"/>
      <c r="S74" s="418"/>
      <c r="T74" s="438"/>
    </row>
    <row r="76" spans="4:36" ht="13.5" thickBot="1"/>
    <row r="77" spans="4:36">
      <c r="D77" s="384"/>
      <c r="E77" s="385"/>
      <c r="F77" s="385"/>
      <c r="G77" s="385"/>
      <c r="H77" s="385"/>
      <c r="I77" s="385"/>
      <c r="J77" s="385"/>
      <c r="K77" s="445"/>
      <c r="L77" s="385"/>
      <c r="M77" s="385"/>
      <c r="N77" s="385"/>
      <c r="O77" s="385"/>
      <c r="P77" s="385"/>
      <c r="Q77" s="385"/>
      <c r="R77" s="385"/>
      <c r="S77" s="385"/>
      <c r="T77" s="386"/>
    </row>
    <row r="78" spans="4:36" ht="121.5" customHeight="1" thickBot="1">
      <c r="D78" s="387"/>
      <c r="E78" s="388"/>
      <c r="F78" s="388"/>
      <c r="G78" s="388"/>
      <c r="H78" s="388"/>
      <c r="I78" s="388"/>
      <c r="J78" s="388"/>
      <c r="K78" s="446"/>
      <c r="L78" s="388"/>
      <c r="M78" s="388"/>
      <c r="N78" s="388"/>
      <c r="O78" s="388"/>
      <c r="P78" s="388"/>
      <c r="Q78" s="388"/>
      <c r="R78" s="388"/>
      <c r="S78" s="388"/>
      <c r="T78" s="389"/>
    </row>
    <row r="79" spans="4:36">
      <c r="D79" s="592" t="str">
        <f>+[42]DATOS!C$7</f>
        <v>MEJORAMIENTO DE VIVIENDA CON ENFOQUE DIFERENCIAL PARA POBLACIÓN VULNERABLE EN EL MUNICIPIO DE CUBARÁ, BOYACÁ (2026).</v>
      </c>
      <c r="E79" s="593"/>
      <c r="F79" s="593"/>
      <c r="G79" s="593"/>
      <c r="H79" s="593"/>
      <c r="I79" s="593"/>
      <c r="J79" s="593"/>
      <c r="K79" s="593"/>
      <c r="L79" s="593"/>
      <c r="M79" s="593"/>
      <c r="N79" s="593"/>
      <c r="O79" s="593"/>
      <c r="P79" s="593"/>
      <c r="Q79" s="593"/>
      <c r="R79" s="593"/>
      <c r="S79" s="593"/>
      <c r="T79" s="594"/>
    </row>
    <row r="80" spans="4:36">
      <c r="D80" s="595"/>
      <c r="E80" s="596"/>
      <c r="F80" s="596"/>
      <c r="G80" s="596"/>
      <c r="H80" s="596"/>
      <c r="I80" s="596"/>
      <c r="J80" s="596"/>
      <c r="K80" s="596"/>
      <c r="L80" s="596"/>
      <c r="M80" s="596"/>
      <c r="N80" s="596"/>
      <c r="O80" s="596"/>
      <c r="P80" s="596"/>
      <c r="Q80" s="596"/>
      <c r="R80" s="596"/>
      <c r="S80" s="596"/>
      <c r="T80" s="597"/>
    </row>
    <row r="81" spans="1:26">
      <c r="D81" s="598" t="s">
        <v>371</v>
      </c>
      <c r="E81" s="599"/>
      <c r="F81" s="599"/>
      <c r="G81" s="599"/>
      <c r="H81" s="599"/>
      <c r="I81" s="599"/>
      <c r="J81" s="599"/>
      <c r="K81" s="599"/>
      <c r="L81" s="599"/>
      <c r="M81" s="599"/>
      <c r="N81" s="599"/>
      <c r="O81" s="599"/>
      <c r="P81" s="599"/>
      <c r="Q81" s="599"/>
      <c r="R81" s="599"/>
      <c r="S81" s="599"/>
      <c r="T81" s="600"/>
    </row>
    <row r="82" spans="1:26">
      <c r="D82" s="586" t="s">
        <v>372</v>
      </c>
      <c r="E82" s="587"/>
      <c r="F82" s="601" t="s">
        <v>373</v>
      </c>
      <c r="G82" s="601"/>
      <c r="H82" s="601"/>
      <c r="I82" s="601"/>
      <c r="J82" s="601"/>
      <c r="K82" s="601"/>
      <c r="L82" s="601"/>
      <c r="M82" s="601"/>
      <c r="N82" s="601"/>
      <c r="O82" s="601"/>
      <c r="P82" s="601"/>
      <c r="Q82" s="601"/>
      <c r="R82" s="601"/>
      <c r="S82" s="601"/>
      <c r="T82" s="602"/>
    </row>
    <row r="83" spans="1:26">
      <c r="D83" s="586" t="s">
        <v>374</v>
      </c>
      <c r="E83" s="587"/>
      <c r="F83" s="603" t="s">
        <v>375</v>
      </c>
      <c r="G83" s="604"/>
      <c r="H83" s="604"/>
      <c r="I83" s="604"/>
      <c r="J83" s="604"/>
      <c r="K83" s="604"/>
      <c r="L83" s="604"/>
      <c r="M83" s="604"/>
      <c r="N83" s="604"/>
      <c r="O83" s="604"/>
      <c r="P83" s="604"/>
      <c r="Q83" s="604"/>
      <c r="R83" s="604"/>
      <c r="S83" s="604"/>
      <c r="T83" s="605"/>
    </row>
    <row r="84" spans="1:26">
      <c r="D84" s="586" t="s">
        <v>376</v>
      </c>
      <c r="E84" s="587"/>
      <c r="F84" s="390">
        <f>+[42]DATOS!F$5</f>
        <v>46143</v>
      </c>
      <c r="G84" s="391"/>
      <c r="H84" s="391"/>
      <c r="I84" s="391"/>
      <c r="J84" s="391"/>
      <c r="K84" s="391"/>
      <c r="L84" s="568" t="s">
        <v>377</v>
      </c>
      <c r="M84" s="568"/>
      <c r="N84" s="588" t="s">
        <v>378</v>
      </c>
      <c r="O84" s="588"/>
      <c r="P84" s="588"/>
      <c r="Q84" s="588"/>
      <c r="R84" s="588"/>
      <c r="S84" s="588"/>
      <c r="T84" s="589"/>
    </row>
    <row r="85" spans="1:26" ht="25.5">
      <c r="D85" s="586" t="s">
        <v>379</v>
      </c>
      <c r="E85" s="587"/>
      <c r="F85" s="590" t="s">
        <v>380</v>
      </c>
      <c r="G85" s="591"/>
      <c r="H85" s="392">
        <f>+[42]DATOS!E$5</f>
        <v>2026</v>
      </c>
      <c r="I85" s="393" t="s">
        <v>381</v>
      </c>
      <c r="J85" s="394">
        <f>+[42]DATOS!E$5</f>
        <v>2026</v>
      </c>
      <c r="K85" s="395"/>
      <c r="L85" s="568" t="s">
        <v>382</v>
      </c>
      <c r="M85" s="568"/>
      <c r="N85" s="588" t="s">
        <v>383</v>
      </c>
      <c r="O85" s="588"/>
      <c r="P85" s="588"/>
      <c r="Q85" s="588"/>
      <c r="R85" s="588"/>
      <c r="S85" s="588"/>
      <c r="T85" s="589"/>
    </row>
    <row r="86" spans="1:26">
      <c r="D86" s="396"/>
      <c r="E86" s="397"/>
      <c r="F86" s="397"/>
      <c r="G86" s="398"/>
      <c r="H86" s="398"/>
      <c r="I86" s="398"/>
      <c r="J86" s="398"/>
      <c r="K86" s="398"/>
      <c r="L86" s="398"/>
      <c r="M86" s="398"/>
      <c r="N86" s="398"/>
      <c r="O86" s="398"/>
      <c r="P86" s="398"/>
      <c r="Q86" s="398"/>
      <c r="R86" s="398"/>
      <c r="S86" s="398"/>
      <c r="T86" s="399"/>
    </row>
    <row r="87" spans="1:26">
      <c r="D87" s="572" t="s">
        <v>384</v>
      </c>
      <c r="E87" s="573"/>
      <c r="F87" s="573"/>
      <c r="G87" s="573"/>
      <c r="H87" s="573"/>
      <c r="I87" s="573"/>
      <c r="J87" s="573"/>
      <c r="K87" s="573"/>
      <c r="L87" s="573"/>
      <c r="M87" s="573"/>
      <c r="N87" s="573"/>
      <c r="O87" s="573"/>
      <c r="P87" s="573"/>
      <c r="Q87" s="573"/>
      <c r="R87" s="573"/>
      <c r="S87" s="573"/>
      <c r="T87" s="574"/>
    </row>
    <row r="88" spans="1:26" ht="4.9000000000000004" customHeight="1">
      <c r="D88" s="396"/>
      <c r="E88" s="397"/>
      <c r="F88" s="397"/>
      <c r="G88" s="398"/>
      <c r="H88" s="398"/>
      <c r="I88" s="398"/>
      <c r="J88" s="398"/>
      <c r="K88" s="398"/>
      <c r="L88" s="398"/>
      <c r="M88" s="398"/>
      <c r="N88" s="398"/>
      <c r="O88" s="398"/>
      <c r="P88" s="398"/>
      <c r="Q88" s="398"/>
      <c r="R88" s="398"/>
      <c r="S88" s="398"/>
      <c r="T88" s="399"/>
    </row>
    <row r="89" spans="1:26">
      <c r="D89" s="400" t="s">
        <v>385</v>
      </c>
      <c r="E89" s="575" t="s">
        <v>386</v>
      </c>
      <c r="F89" s="575"/>
      <c r="G89" s="576" t="s">
        <v>387</v>
      </c>
      <c r="H89" s="577"/>
      <c r="I89" s="577"/>
      <c r="J89" s="576" t="s">
        <v>388</v>
      </c>
      <c r="K89" s="576" t="s">
        <v>389</v>
      </c>
      <c r="L89" s="579"/>
      <c r="M89" s="581" t="s">
        <v>390</v>
      </c>
      <c r="N89" s="581"/>
      <c r="O89" s="581"/>
      <c r="P89" s="581"/>
      <c r="Q89" s="581"/>
      <c r="R89" s="581"/>
      <c r="S89" s="581" t="s">
        <v>391</v>
      </c>
      <c r="T89" s="582"/>
    </row>
    <row r="90" spans="1:26" ht="38.25">
      <c r="D90" s="403">
        <f>+'PRESUPUESTO OFICIAL '!C13</f>
        <v>1.02</v>
      </c>
      <c r="E90" s="583" t="str">
        <f>+VLOOKUP(D90,'PRESUPUESTO OFICIAL '!$C$11:$H$103,2)</f>
        <v>DESMONTE DE CUBIERTA DE ZINC + ENTRAMADO. (INCLUYE RETIRO Y ACARREO LIBRE HASTA 5 KM.)</v>
      </c>
      <c r="F90" s="584"/>
      <c r="G90" s="585" t="str">
        <f>+VLOOKUP(D90,'PRESUPUESTO OFICIAL '!$C$11:$H$103,3)</f>
        <v>M2</v>
      </c>
      <c r="H90" s="585"/>
      <c r="I90" s="585"/>
      <c r="J90" s="578"/>
      <c r="K90" s="578"/>
      <c r="L90" s="580"/>
      <c r="M90" s="401" t="s">
        <v>392</v>
      </c>
      <c r="N90" s="401" t="s">
        <v>393</v>
      </c>
      <c r="O90" s="401" t="s">
        <v>394</v>
      </c>
      <c r="P90" s="401" t="s">
        <v>395</v>
      </c>
      <c r="Q90" s="401" t="s">
        <v>396</v>
      </c>
      <c r="R90" s="401" t="s">
        <v>397</v>
      </c>
      <c r="S90" s="401" t="s">
        <v>398</v>
      </c>
      <c r="T90" s="402" t="s">
        <v>399</v>
      </c>
      <c r="V90" s="404">
        <f>+D90</f>
        <v>1.02</v>
      </c>
      <c r="W90" s="405">
        <f>+T138</f>
        <v>572.49</v>
      </c>
    </row>
    <row r="91" spans="1:26">
      <c r="D91" s="406"/>
      <c r="E91" s="407"/>
      <c r="F91" s="407"/>
      <c r="G91" s="407"/>
      <c r="H91" s="407"/>
      <c r="I91" s="407"/>
      <c r="J91" s="558"/>
      <c r="K91" s="559"/>
      <c r="L91" s="560"/>
      <c r="M91" s="560"/>
      <c r="N91" s="560"/>
      <c r="O91" s="560"/>
      <c r="P91" s="560"/>
      <c r="Q91" s="560"/>
      <c r="R91" s="560"/>
      <c r="S91" s="560"/>
      <c r="T91" s="561"/>
    </row>
    <row r="92" spans="1:26">
      <c r="A92" s="453">
        <f>+D90</f>
        <v>1.02</v>
      </c>
      <c r="B92" s="383">
        <v>1</v>
      </c>
      <c r="D92" s="406"/>
      <c r="E92" s="407"/>
      <c r="F92" s="407"/>
      <c r="G92" s="407"/>
      <c r="H92" s="407"/>
      <c r="I92" s="407"/>
      <c r="J92" s="408" t="s">
        <v>400</v>
      </c>
      <c r="K92" s="409" t="str">
        <f t="shared" ref="K92:K134" si="15">+VLOOKUP(L92,$AH$22:$AJ$58,2,)</f>
        <v>A=(Ancho x Largo)* Cant</v>
      </c>
      <c r="L92" s="410" t="str">
        <f>+G90</f>
        <v>M2</v>
      </c>
      <c r="M92" s="411">
        <f>+HLOOKUP(B92,[238]Hoja1!$2:$78,6,FALSE)</f>
        <v>50.4</v>
      </c>
      <c r="N92" s="412"/>
      <c r="O92" s="442">
        <f>+M92/7</f>
        <v>7.2</v>
      </c>
      <c r="P92" s="442">
        <v>7</v>
      </c>
      <c r="Q92" s="413"/>
      <c r="R92" s="413"/>
      <c r="S92" s="413">
        <v>1</v>
      </c>
      <c r="T92" s="414">
        <f>+S92*M92</f>
        <v>50.4</v>
      </c>
      <c r="Y92" s="439">
        <f>+O92*P92</f>
        <v>50.4</v>
      </c>
      <c r="Z92" s="439">
        <f>+Y92-M92</f>
        <v>0</v>
      </c>
    </row>
    <row r="93" spans="1:26">
      <c r="A93" s="453">
        <f>+A92</f>
        <v>1.02</v>
      </c>
      <c r="B93" s="383">
        <v>2</v>
      </c>
      <c r="D93" s="406"/>
      <c r="E93" s="407"/>
      <c r="F93" s="407"/>
      <c r="G93" s="407"/>
      <c r="H93" s="407"/>
      <c r="I93" s="407"/>
      <c r="J93" s="408" t="s">
        <v>401</v>
      </c>
      <c r="K93" s="409" t="str">
        <f t="shared" si="15"/>
        <v>A=(Ancho x Largo)* Cant</v>
      </c>
      <c r="L93" s="410" t="str">
        <f>+L92</f>
        <v>M2</v>
      </c>
      <c r="M93" s="411">
        <f>+HLOOKUP(B93,[238]Hoja1!$2:$78,6,FALSE)</f>
        <v>0</v>
      </c>
      <c r="N93" s="412"/>
      <c r="O93" s="442"/>
      <c r="P93" s="442"/>
      <c r="Q93" s="413"/>
      <c r="R93" s="413"/>
      <c r="S93" s="413">
        <v>1</v>
      </c>
      <c r="T93" s="414">
        <f t="shared" ref="T93:T134" si="16">+S93*M93</f>
        <v>0</v>
      </c>
      <c r="Y93" s="439">
        <f>+O93*P93</f>
        <v>0</v>
      </c>
      <c r="Z93" s="439">
        <f t="shared" ref="Z93:Z134" si="17">+Y93-M93</f>
        <v>0</v>
      </c>
    </row>
    <row r="94" spans="1:26">
      <c r="A94" s="453">
        <f t="shared" ref="A94:A134" si="18">+A93</f>
        <v>1.02</v>
      </c>
      <c r="B94" s="383">
        <v>3</v>
      </c>
      <c r="D94" s="406"/>
      <c r="E94" s="407"/>
      <c r="F94" s="407"/>
      <c r="G94" s="407"/>
      <c r="H94" s="407"/>
      <c r="I94" s="407"/>
      <c r="J94" s="408" t="s">
        <v>402</v>
      </c>
      <c r="K94" s="409" t="str">
        <f t="shared" si="15"/>
        <v>A=(Ancho x Largo)* Cant</v>
      </c>
      <c r="L94" s="410" t="str">
        <f>+L93</f>
        <v>M2</v>
      </c>
      <c r="M94" s="411">
        <f>+HLOOKUP(B94,[238]Hoja1!$2:$78,6,FALSE)</f>
        <v>0</v>
      </c>
      <c r="N94" s="412"/>
      <c r="O94" s="442"/>
      <c r="P94" s="442"/>
      <c r="Q94" s="413"/>
      <c r="R94" s="413"/>
      <c r="S94" s="413">
        <v>1</v>
      </c>
      <c r="T94" s="414">
        <f t="shared" si="16"/>
        <v>0</v>
      </c>
      <c r="Y94" s="439">
        <f t="shared" ref="Y94:Y134" si="19">+O94*P94</f>
        <v>0</v>
      </c>
      <c r="Z94" s="439">
        <f t="shared" si="17"/>
        <v>0</v>
      </c>
    </row>
    <row r="95" spans="1:26">
      <c r="A95" s="453">
        <f t="shared" si="18"/>
        <v>1.02</v>
      </c>
      <c r="B95" s="383">
        <v>4</v>
      </c>
      <c r="D95" s="406"/>
      <c r="E95" s="407"/>
      <c r="F95" s="407"/>
      <c r="G95" s="407"/>
      <c r="H95" s="407"/>
      <c r="I95" s="407"/>
      <c r="J95" s="408" t="s">
        <v>403</v>
      </c>
      <c r="K95" s="409" t="str">
        <f t="shared" si="15"/>
        <v>A=(Ancho x Largo)* Cant</v>
      </c>
      <c r="L95" s="410" t="str">
        <f>+L94</f>
        <v>M2</v>
      </c>
      <c r="M95" s="411">
        <f>+HLOOKUP(B95,[238]Hoja1!$2:$78,6,FALSE)</f>
        <v>0</v>
      </c>
      <c r="N95" s="412"/>
      <c r="O95" s="442"/>
      <c r="P95" s="442"/>
      <c r="Q95" s="413"/>
      <c r="R95" s="413"/>
      <c r="S95" s="413">
        <v>1</v>
      </c>
      <c r="T95" s="414">
        <f t="shared" si="16"/>
        <v>0</v>
      </c>
      <c r="Y95" s="439">
        <f t="shared" si="19"/>
        <v>0</v>
      </c>
      <c r="Z95" s="439">
        <f t="shared" si="17"/>
        <v>0</v>
      </c>
    </row>
    <row r="96" spans="1:26">
      <c r="A96" s="453">
        <f t="shared" si="18"/>
        <v>1.02</v>
      </c>
      <c r="B96" s="383">
        <v>5</v>
      </c>
      <c r="D96" s="406"/>
      <c r="E96" s="407"/>
      <c r="F96" s="407"/>
      <c r="G96" s="407"/>
      <c r="H96" s="407"/>
      <c r="I96" s="407"/>
      <c r="J96" s="408" t="s">
        <v>405</v>
      </c>
      <c r="K96" s="409" t="str">
        <f t="shared" si="15"/>
        <v>A=(Ancho x Largo)* Cant</v>
      </c>
      <c r="L96" s="410" t="str">
        <f>+L95</f>
        <v>M2</v>
      </c>
      <c r="M96" s="411">
        <f>+HLOOKUP(B96,[238]Hoja1!$2:$78,6,FALSE)</f>
        <v>0</v>
      </c>
      <c r="N96" s="412"/>
      <c r="O96" s="442"/>
      <c r="P96" s="442"/>
      <c r="Q96" s="413"/>
      <c r="R96" s="413"/>
      <c r="S96" s="413">
        <v>1</v>
      </c>
      <c r="T96" s="414">
        <f t="shared" si="16"/>
        <v>0</v>
      </c>
      <c r="Y96" s="439">
        <f t="shared" si="19"/>
        <v>0</v>
      </c>
      <c r="Z96" s="439">
        <f t="shared" si="17"/>
        <v>0</v>
      </c>
    </row>
    <row r="97" spans="1:26">
      <c r="A97" s="453">
        <f t="shared" si="18"/>
        <v>1.02</v>
      </c>
      <c r="B97" s="383">
        <v>6</v>
      </c>
      <c r="D97" s="406"/>
      <c r="E97" s="407"/>
      <c r="F97" s="407"/>
      <c r="G97" s="407"/>
      <c r="H97" s="407"/>
      <c r="I97" s="407"/>
      <c r="J97" s="408" t="s">
        <v>407</v>
      </c>
      <c r="K97" s="409" t="str">
        <f t="shared" si="15"/>
        <v>A=(Ancho x Largo)* Cant</v>
      </c>
      <c r="L97" s="410" t="str">
        <f>+L96</f>
        <v>M2</v>
      </c>
      <c r="M97" s="411">
        <f>+HLOOKUP(B97,[238]Hoja1!$2:$78,6,FALSE)</f>
        <v>11.32</v>
      </c>
      <c r="N97" s="412"/>
      <c r="O97" s="442">
        <f>+M97/3.7</f>
        <v>3.0594594594594593</v>
      </c>
      <c r="P97" s="442">
        <v>3.7</v>
      </c>
      <c r="Q97" s="413"/>
      <c r="R97" s="413"/>
      <c r="S97" s="413">
        <v>1</v>
      </c>
      <c r="T97" s="414">
        <f t="shared" si="16"/>
        <v>11.32</v>
      </c>
      <c r="Y97" s="439">
        <f t="shared" si="19"/>
        <v>11.32</v>
      </c>
      <c r="Z97" s="439">
        <f t="shared" si="17"/>
        <v>0</v>
      </c>
    </row>
    <row r="98" spans="1:26">
      <c r="A98" s="453">
        <f t="shared" si="18"/>
        <v>1.02</v>
      </c>
      <c r="B98" s="383">
        <v>7</v>
      </c>
      <c r="D98" s="406"/>
      <c r="E98" s="407"/>
      <c r="F98" s="407"/>
      <c r="G98" s="407"/>
      <c r="H98" s="407"/>
      <c r="I98" s="407"/>
      <c r="J98" s="408" t="s">
        <v>409</v>
      </c>
      <c r="K98" s="409" t="str">
        <f t="shared" si="15"/>
        <v>A=(Ancho x Largo)* Cant</v>
      </c>
      <c r="L98" s="410" t="str">
        <f>+L92</f>
        <v>M2</v>
      </c>
      <c r="M98" s="411">
        <f>+HLOOKUP(B98,[238]Hoja1!$2:$78,6,FALSE)</f>
        <v>73.08</v>
      </c>
      <c r="N98" s="412"/>
      <c r="O98" s="442">
        <f>+M98/7</f>
        <v>10.44</v>
      </c>
      <c r="P98" s="442">
        <v>7</v>
      </c>
      <c r="Q98" s="413"/>
      <c r="R98" s="413"/>
      <c r="S98" s="413">
        <v>1</v>
      </c>
      <c r="T98" s="414">
        <f t="shared" si="16"/>
        <v>73.08</v>
      </c>
      <c r="Y98" s="439">
        <f t="shared" si="19"/>
        <v>73.08</v>
      </c>
      <c r="Z98" s="439">
        <f t="shared" si="17"/>
        <v>0</v>
      </c>
    </row>
    <row r="99" spans="1:26">
      <c r="A99" s="453">
        <f t="shared" si="18"/>
        <v>1.02</v>
      </c>
      <c r="B99" s="383">
        <v>8</v>
      </c>
      <c r="D99" s="406"/>
      <c r="E99" s="407"/>
      <c r="F99" s="407"/>
      <c r="G99" s="407"/>
      <c r="H99" s="407"/>
      <c r="I99" s="407"/>
      <c r="J99" s="408" t="s">
        <v>411</v>
      </c>
      <c r="K99" s="409" t="str">
        <f t="shared" si="15"/>
        <v>A=(Ancho x Largo)* Cant</v>
      </c>
      <c r="L99" s="410" t="str">
        <f>+L98</f>
        <v>M2</v>
      </c>
      <c r="M99" s="411">
        <f>+HLOOKUP(B99,[238]Hoja1!$2:$78,6,FALSE)</f>
        <v>20.48</v>
      </c>
      <c r="N99" s="412"/>
      <c r="O99" s="442">
        <f>+M99/4.5</f>
        <v>4.5511111111111111</v>
      </c>
      <c r="P99" s="442">
        <v>4.5</v>
      </c>
      <c r="Q99" s="413"/>
      <c r="R99" s="413"/>
      <c r="S99" s="413">
        <v>1</v>
      </c>
      <c r="T99" s="414">
        <f t="shared" si="16"/>
        <v>20.48</v>
      </c>
      <c r="Y99" s="439">
        <f t="shared" si="19"/>
        <v>20.48</v>
      </c>
      <c r="Z99" s="439">
        <f t="shared" si="17"/>
        <v>0</v>
      </c>
    </row>
    <row r="100" spans="1:26">
      <c r="A100" s="453">
        <f t="shared" si="18"/>
        <v>1.02</v>
      </c>
      <c r="B100" s="383">
        <v>9</v>
      </c>
      <c r="D100" s="406"/>
      <c r="E100" s="407"/>
      <c r="F100" s="407"/>
      <c r="G100" s="407"/>
      <c r="H100" s="407"/>
      <c r="I100" s="407"/>
      <c r="J100" s="408" t="s">
        <v>412</v>
      </c>
      <c r="K100" s="409" t="str">
        <f t="shared" si="15"/>
        <v>A=(Ancho x Largo)* Cant</v>
      </c>
      <c r="L100" s="410" t="str">
        <f>+L99</f>
        <v>M2</v>
      </c>
      <c r="M100" s="411">
        <f>+HLOOKUP(B100,[238]Hoja1!$2:$78,6,FALSE)</f>
        <v>0</v>
      </c>
      <c r="N100" s="412"/>
      <c r="O100" s="442"/>
      <c r="P100" s="442"/>
      <c r="Q100" s="412"/>
      <c r="R100" s="412"/>
      <c r="S100" s="413">
        <v>1</v>
      </c>
      <c r="T100" s="414">
        <f t="shared" si="16"/>
        <v>0</v>
      </c>
      <c r="Y100" s="439">
        <f t="shared" si="19"/>
        <v>0</v>
      </c>
      <c r="Z100" s="439">
        <f t="shared" si="17"/>
        <v>0</v>
      </c>
    </row>
    <row r="101" spans="1:26">
      <c r="A101" s="453">
        <f t="shared" si="18"/>
        <v>1.02</v>
      </c>
      <c r="B101" s="383">
        <v>10</v>
      </c>
      <c r="D101" s="406"/>
      <c r="E101" s="407"/>
      <c r="F101" s="407"/>
      <c r="G101" s="407"/>
      <c r="H101" s="407"/>
      <c r="I101" s="407"/>
      <c r="J101" s="408" t="s">
        <v>413</v>
      </c>
      <c r="K101" s="409" t="str">
        <f t="shared" si="15"/>
        <v>A=(Ancho x Largo)* Cant</v>
      </c>
      <c r="L101" s="410" t="str">
        <f>+L100</f>
        <v>M2</v>
      </c>
      <c r="M101" s="411">
        <f>+HLOOKUP(B101,[238]Hoja1!$2:$78,6,FALSE)</f>
        <v>44.02</v>
      </c>
      <c r="N101" s="412"/>
      <c r="O101" s="441">
        <f>+M101/7.1</f>
        <v>6.2000000000000011</v>
      </c>
      <c r="P101" s="441">
        <v>7.1</v>
      </c>
      <c r="Q101" s="412"/>
      <c r="R101" s="412"/>
      <c r="S101" s="413">
        <v>1</v>
      </c>
      <c r="T101" s="414">
        <f t="shared" si="16"/>
        <v>44.02</v>
      </c>
      <c r="Y101" s="439">
        <f t="shared" si="19"/>
        <v>44.02</v>
      </c>
      <c r="Z101" s="439">
        <f t="shared" si="17"/>
        <v>0</v>
      </c>
    </row>
    <row r="102" spans="1:26">
      <c r="A102" s="453">
        <f t="shared" si="18"/>
        <v>1.02</v>
      </c>
      <c r="B102" s="383">
        <v>11</v>
      </c>
      <c r="D102" s="406"/>
      <c r="E102" s="407"/>
      <c r="F102" s="407"/>
      <c r="G102" s="407"/>
      <c r="H102" s="407"/>
      <c r="I102" s="407"/>
      <c r="J102" s="408" t="s">
        <v>414</v>
      </c>
      <c r="K102" s="409" t="str">
        <f t="shared" si="15"/>
        <v>A=(Ancho x Largo)* Cant</v>
      </c>
      <c r="L102" s="410" t="str">
        <f>+L101</f>
        <v>M2</v>
      </c>
      <c r="M102" s="411">
        <f>+HLOOKUP(B102,[238]Hoja1!$2:$78,6,FALSE)</f>
        <v>0</v>
      </c>
      <c r="N102" s="412"/>
      <c r="O102" s="443"/>
      <c r="P102" s="443"/>
      <c r="Q102" s="412"/>
      <c r="R102" s="412"/>
      <c r="S102" s="413">
        <v>1</v>
      </c>
      <c r="T102" s="414">
        <f t="shared" si="16"/>
        <v>0</v>
      </c>
      <c r="Y102" s="439">
        <f t="shared" si="19"/>
        <v>0</v>
      </c>
      <c r="Z102" s="439">
        <f t="shared" si="17"/>
        <v>0</v>
      </c>
    </row>
    <row r="103" spans="1:26">
      <c r="A103" s="453">
        <f t="shared" si="18"/>
        <v>1.02</v>
      </c>
      <c r="B103" s="383">
        <v>12</v>
      </c>
      <c r="D103" s="406"/>
      <c r="E103" s="407"/>
      <c r="F103" s="407"/>
      <c r="G103" s="407"/>
      <c r="H103" s="407"/>
      <c r="I103" s="407"/>
      <c r="J103" s="408" t="s">
        <v>415</v>
      </c>
      <c r="K103" s="409" t="str">
        <f t="shared" si="15"/>
        <v>A=(Ancho x Largo)* Cant</v>
      </c>
      <c r="L103" s="410" t="str">
        <f>+L97</f>
        <v>M2</v>
      </c>
      <c r="M103" s="411">
        <f>+HLOOKUP(B103,[238]Hoja1!$2:$78,6,FALSE)</f>
        <v>63.51</v>
      </c>
      <c r="N103" s="412"/>
      <c r="O103" s="442">
        <f>+M103/8.7</f>
        <v>7.3000000000000007</v>
      </c>
      <c r="P103" s="442">
        <v>8.6999999999999993</v>
      </c>
      <c r="Q103" s="413"/>
      <c r="R103" s="413"/>
      <c r="S103" s="413">
        <v>1</v>
      </c>
      <c r="T103" s="414">
        <f t="shared" si="16"/>
        <v>63.51</v>
      </c>
      <c r="Y103" s="439">
        <f t="shared" si="19"/>
        <v>63.51</v>
      </c>
      <c r="Z103" s="439">
        <f t="shared" si="17"/>
        <v>0</v>
      </c>
    </row>
    <row r="104" spans="1:26">
      <c r="A104" s="453">
        <f t="shared" si="18"/>
        <v>1.02</v>
      </c>
      <c r="B104" s="383">
        <v>13</v>
      </c>
      <c r="D104" s="406"/>
      <c r="E104" s="407"/>
      <c r="F104" s="407"/>
      <c r="G104" s="407"/>
      <c r="H104" s="407"/>
      <c r="I104" s="407"/>
      <c r="J104" s="408" t="s">
        <v>416</v>
      </c>
      <c r="K104" s="409" t="str">
        <f t="shared" si="15"/>
        <v>A=(Ancho x Largo)* Cant</v>
      </c>
      <c r="L104" s="410" t="str">
        <f>+L99</f>
        <v>M2</v>
      </c>
      <c r="M104" s="411">
        <f>+HLOOKUP(B104,[238]Hoja1!$2:$78,6,FALSE)</f>
        <v>36.08</v>
      </c>
      <c r="N104" s="412"/>
      <c r="O104" s="442">
        <f>+M104/8.8</f>
        <v>4.0999999999999996</v>
      </c>
      <c r="P104" s="442">
        <v>8.8000000000000007</v>
      </c>
      <c r="Q104" s="413"/>
      <c r="R104" s="413"/>
      <c r="S104" s="413">
        <v>1</v>
      </c>
      <c r="T104" s="414">
        <f t="shared" si="16"/>
        <v>36.08</v>
      </c>
      <c r="Y104" s="439">
        <f t="shared" si="19"/>
        <v>36.08</v>
      </c>
      <c r="Z104" s="439">
        <f t="shared" si="17"/>
        <v>0</v>
      </c>
    </row>
    <row r="105" spans="1:26">
      <c r="A105" s="453">
        <f t="shared" si="18"/>
        <v>1.02</v>
      </c>
      <c r="B105" s="383">
        <v>14</v>
      </c>
      <c r="D105" s="406"/>
      <c r="E105" s="407"/>
      <c r="F105" s="407"/>
      <c r="G105" s="407"/>
      <c r="H105" s="407"/>
      <c r="I105" s="407"/>
      <c r="J105" s="408" t="s">
        <v>417</v>
      </c>
      <c r="K105" s="409" t="str">
        <f t="shared" si="15"/>
        <v>A=(Ancho x Largo)* Cant</v>
      </c>
      <c r="L105" s="410" t="str">
        <f t="shared" ref="L105:L116" si="20">+L104</f>
        <v>M2</v>
      </c>
      <c r="M105" s="411">
        <f>+HLOOKUP(B105,[238]Hoja1!$2:$78,6,FALSE)</f>
        <v>0</v>
      </c>
      <c r="N105" s="412"/>
      <c r="O105" s="442"/>
      <c r="P105" s="442"/>
      <c r="Q105" s="412"/>
      <c r="R105" s="412"/>
      <c r="S105" s="413">
        <v>1</v>
      </c>
      <c r="T105" s="414">
        <f t="shared" si="16"/>
        <v>0</v>
      </c>
      <c r="Y105" s="439">
        <f t="shared" si="19"/>
        <v>0</v>
      </c>
      <c r="Z105" s="439">
        <f t="shared" si="17"/>
        <v>0</v>
      </c>
    </row>
    <row r="106" spans="1:26">
      <c r="A106" s="453">
        <f t="shared" si="18"/>
        <v>1.02</v>
      </c>
      <c r="B106" s="383">
        <v>15</v>
      </c>
      <c r="D106" s="406"/>
      <c r="E106" s="407"/>
      <c r="F106" s="407"/>
      <c r="G106" s="407"/>
      <c r="H106" s="407"/>
      <c r="I106" s="407"/>
      <c r="J106" s="408" t="s">
        <v>418</v>
      </c>
      <c r="K106" s="409" t="str">
        <f t="shared" si="15"/>
        <v>A=(Ancho x Largo)* Cant</v>
      </c>
      <c r="L106" s="410" t="str">
        <f t="shared" si="20"/>
        <v>M2</v>
      </c>
      <c r="M106" s="411">
        <f>+HLOOKUP(B106,[238]Hoja1!$2:$78,6,FALSE)</f>
        <v>0</v>
      </c>
      <c r="N106" s="412"/>
      <c r="O106" s="442"/>
      <c r="P106" s="442"/>
      <c r="Q106" s="412"/>
      <c r="R106" s="412"/>
      <c r="S106" s="413">
        <v>1</v>
      </c>
      <c r="T106" s="414">
        <f t="shared" si="16"/>
        <v>0</v>
      </c>
      <c r="Y106" s="439">
        <f t="shared" si="19"/>
        <v>0</v>
      </c>
      <c r="Z106" s="439">
        <f t="shared" si="17"/>
        <v>0</v>
      </c>
    </row>
    <row r="107" spans="1:26">
      <c r="A107" s="453">
        <f t="shared" si="18"/>
        <v>1.02</v>
      </c>
      <c r="B107" s="383">
        <v>16</v>
      </c>
      <c r="D107" s="406"/>
      <c r="E107" s="407"/>
      <c r="F107" s="407"/>
      <c r="G107" s="407"/>
      <c r="H107" s="407"/>
      <c r="I107" s="407"/>
      <c r="J107" s="408" t="s">
        <v>419</v>
      </c>
      <c r="K107" s="409" t="str">
        <f t="shared" si="15"/>
        <v>A=(Ancho x Largo)* Cant</v>
      </c>
      <c r="L107" s="410" t="str">
        <f t="shared" si="20"/>
        <v>M2</v>
      </c>
      <c r="M107" s="411">
        <f>+HLOOKUP(B107,[238]Hoja1!$2:$78,6,FALSE)</f>
        <v>0</v>
      </c>
      <c r="N107" s="412"/>
      <c r="O107" s="442"/>
      <c r="P107" s="442"/>
      <c r="Q107" s="412"/>
      <c r="R107" s="412"/>
      <c r="S107" s="413">
        <v>1</v>
      </c>
      <c r="T107" s="414">
        <f t="shared" si="16"/>
        <v>0</v>
      </c>
      <c r="Y107" s="439">
        <f t="shared" si="19"/>
        <v>0</v>
      </c>
      <c r="Z107" s="439">
        <f t="shared" si="17"/>
        <v>0</v>
      </c>
    </row>
    <row r="108" spans="1:26">
      <c r="A108" s="453">
        <f t="shared" si="18"/>
        <v>1.02</v>
      </c>
      <c r="B108" s="383">
        <v>17</v>
      </c>
      <c r="D108" s="406"/>
      <c r="E108" s="407"/>
      <c r="F108" s="407"/>
      <c r="G108" s="407"/>
      <c r="H108" s="407"/>
      <c r="I108" s="407"/>
      <c r="J108" s="408" t="s">
        <v>420</v>
      </c>
      <c r="K108" s="409" t="str">
        <f t="shared" si="15"/>
        <v>A=(Ancho x Largo)* Cant</v>
      </c>
      <c r="L108" s="410" t="str">
        <f t="shared" si="20"/>
        <v>M2</v>
      </c>
      <c r="M108" s="411">
        <f>+HLOOKUP(B108,[238]Hoja1!$2:$78,6,FALSE)</f>
        <v>0</v>
      </c>
      <c r="N108" s="412"/>
      <c r="O108" s="442"/>
      <c r="P108" s="442"/>
      <c r="Q108" s="412"/>
      <c r="R108" s="412"/>
      <c r="S108" s="413">
        <v>1</v>
      </c>
      <c r="T108" s="414">
        <f t="shared" si="16"/>
        <v>0</v>
      </c>
      <c r="Y108" s="439">
        <f t="shared" si="19"/>
        <v>0</v>
      </c>
      <c r="Z108" s="439">
        <f t="shared" si="17"/>
        <v>0</v>
      </c>
    </row>
    <row r="109" spans="1:26">
      <c r="A109" s="453">
        <f t="shared" si="18"/>
        <v>1.02</v>
      </c>
      <c r="B109" s="383">
        <v>18</v>
      </c>
      <c r="D109" s="406"/>
      <c r="E109" s="407"/>
      <c r="F109" s="407"/>
      <c r="G109" s="407"/>
      <c r="H109" s="407"/>
      <c r="I109" s="407"/>
      <c r="J109" s="408" t="s">
        <v>429</v>
      </c>
      <c r="K109" s="409" t="str">
        <f t="shared" si="15"/>
        <v>A=(Ancho x Largo)* Cant</v>
      </c>
      <c r="L109" s="410" t="str">
        <f t="shared" si="20"/>
        <v>M2</v>
      </c>
      <c r="M109" s="411">
        <f>+HLOOKUP(B109,[238]Hoja1!$2:$78,6,FALSE)</f>
        <v>11.32</v>
      </c>
      <c r="N109" s="412"/>
      <c r="O109" s="442">
        <f>+M109/3.7</f>
        <v>3.0594594594594593</v>
      </c>
      <c r="P109" s="442">
        <v>3.7</v>
      </c>
      <c r="Q109" s="412"/>
      <c r="R109" s="412"/>
      <c r="S109" s="413">
        <v>1</v>
      </c>
      <c r="T109" s="414">
        <f t="shared" si="16"/>
        <v>11.32</v>
      </c>
      <c r="Y109" s="439">
        <f t="shared" si="19"/>
        <v>11.32</v>
      </c>
      <c r="Z109" s="439">
        <f t="shared" si="17"/>
        <v>0</v>
      </c>
    </row>
    <row r="110" spans="1:26">
      <c r="A110" s="453">
        <f t="shared" si="18"/>
        <v>1.02</v>
      </c>
      <c r="B110" s="383">
        <v>19</v>
      </c>
      <c r="D110" s="406"/>
      <c r="E110" s="407"/>
      <c r="F110" s="407"/>
      <c r="G110" s="407"/>
      <c r="H110" s="407"/>
      <c r="I110" s="407"/>
      <c r="J110" s="408" t="s">
        <v>430</v>
      </c>
      <c r="K110" s="409" t="str">
        <f t="shared" si="15"/>
        <v>A=(Ancho x Largo)* Cant</v>
      </c>
      <c r="L110" s="410" t="str">
        <f t="shared" si="20"/>
        <v>M2</v>
      </c>
      <c r="M110" s="411">
        <f>+HLOOKUP(B110,[238]Hoja1!$2:$78,6,FALSE)</f>
        <v>0</v>
      </c>
      <c r="N110" s="412"/>
      <c r="O110" s="442"/>
      <c r="P110" s="442"/>
      <c r="Q110" s="412"/>
      <c r="R110" s="412"/>
      <c r="S110" s="413">
        <v>1</v>
      </c>
      <c r="T110" s="414">
        <f t="shared" si="16"/>
        <v>0</v>
      </c>
      <c r="Y110" s="439">
        <f t="shared" si="19"/>
        <v>0</v>
      </c>
      <c r="Z110" s="439">
        <f t="shared" si="17"/>
        <v>0</v>
      </c>
    </row>
    <row r="111" spans="1:26">
      <c r="A111" s="453">
        <f t="shared" si="18"/>
        <v>1.02</v>
      </c>
      <c r="B111" s="383">
        <v>20</v>
      </c>
      <c r="D111" s="406"/>
      <c r="E111" s="407"/>
      <c r="F111" s="407"/>
      <c r="G111" s="407"/>
      <c r="H111" s="407"/>
      <c r="I111" s="407"/>
      <c r="J111" s="408" t="s">
        <v>431</v>
      </c>
      <c r="K111" s="409" t="str">
        <f t="shared" si="15"/>
        <v>A=(Ancho x Largo)* Cant</v>
      </c>
      <c r="L111" s="410" t="str">
        <f t="shared" si="20"/>
        <v>M2</v>
      </c>
      <c r="M111" s="411">
        <f>+HLOOKUP(B111,[238]Hoja1!$2:$78,6,FALSE)</f>
        <v>0</v>
      </c>
      <c r="N111" s="412"/>
      <c r="O111" s="442"/>
      <c r="P111" s="442"/>
      <c r="Q111" s="412"/>
      <c r="R111" s="412"/>
      <c r="S111" s="413">
        <v>1</v>
      </c>
      <c r="T111" s="414">
        <f t="shared" si="16"/>
        <v>0</v>
      </c>
      <c r="Y111" s="439">
        <f t="shared" si="19"/>
        <v>0</v>
      </c>
      <c r="Z111" s="439">
        <f t="shared" si="17"/>
        <v>0</v>
      </c>
    </row>
    <row r="112" spans="1:26">
      <c r="A112" s="453">
        <f t="shared" si="18"/>
        <v>1.02</v>
      </c>
      <c r="B112" s="383">
        <v>21</v>
      </c>
      <c r="D112" s="406"/>
      <c r="E112" s="407"/>
      <c r="F112" s="407"/>
      <c r="G112" s="407"/>
      <c r="H112" s="407"/>
      <c r="I112" s="407"/>
      <c r="J112" s="408" t="s">
        <v>432</v>
      </c>
      <c r="K112" s="409" t="str">
        <f t="shared" si="15"/>
        <v>A=(Ancho x Largo)* Cant</v>
      </c>
      <c r="L112" s="410" t="str">
        <f t="shared" si="20"/>
        <v>M2</v>
      </c>
      <c r="M112" s="411">
        <f>+HLOOKUP(B112,[238]Hoja1!$2:$78,6,FALSE)</f>
        <v>0</v>
      </c>
      <c r="N112" s="412"/>
      <c r="O112" s="442"/>
      <c r="P112" s="442"/>
      <c r="Q112" s="412"/>
      <c r="R112" s="412"/>
      <c r="S112" s="413">
        <v>1</v>
      </c>
      <c r="T112" s="414">
        <f t="shared" si="16"/>
        <v>0</v>
      </c>
      <c r="Y112" s="439">
        <f t="shared" si="19"/>
        <v>0</v>
      </c>
      <c r="Z112" s="439">
        <f t="shared" si="17"/>
        <v>0</v>
      </c>
    </row>
    <row r="113" spans="1:26">
      <c r="A113" s="453">
        <f t="shared" si="18"/>
        <v>1.02</v>
      </c>
      <c r="B113" s="383">
        <v>22</v>
      </c>
      <c r="D113" s="406"/>
      <c r="E113" s="407"/>
      <c r="F113" s="407"/>
      <c r="G113" s="407"/>
      <c r="H113" s="407"/>
      <c r="I113" s="407"/>
      <c r="J113" s="408" t="s">
        <v>433</v>
      </c>
      <c r="K113" s="409" t="str">
        <f t="shared" si="15"/>
        <v>A=(Ancho x Largo)* Cant</v>
      </c>
      <c r="L113" s="410" t="str">
        <f t="shared" si="20"/>
        <v>M2</v>
      </c>
      <c r="M113" s="411">
        <f>+HLOOKUP(B113,[238]Hoja1!$2:$78,6,FALSE)</f>
        <v>0</v>
      </c>
      <c r="N113" s="412"/>
      <c r="O113" s="442"/>
      <c r="P113" s="442"/>
      <c r="Q113" s="412"/>
      <c r="R113" s="412"/>
      <c r="S113" s="413">
        <v>1</v>
      </c>
      <c r="T113" s="414">
        <f t="shared" si="16"/>
        <v>0</v>
      </c>
      <c r="Y113" s="439">
        <f t="shared" si="19"/>
        <v>0</v>
      </c>
      <c r="Z113" s="439">
        <f t="shared" si="17"/>
        <v>0</v>
      </c>
    </row>
    <row r="114" spans="1:26">
      <c r="A114" s="453">
        <f t="shared" si="18"/>
        <v>1.02</v>
      </c>
      <c r="B114" s="383">
        <v>23</v>
      </c>
      <c r="D114" s="406"/>
      <c r="E114" s="407"/>
      <c r="F114" s="407"/>
      <c r="G114" s="407"/>
      <c r="H114" s="407"/>
      <c r="I114" s="407"/>
      <c r="J114" s="408" t="s">
        <v>434</v>
      </c>
      <c r="K114" s="409" t="str">
        <f t="shared" si="15"/>
        <v>A=(Ancho x Largo)* Cant</v>
      </c>
      <c r="L114" s="410" t="str">
        <f t="shared" si="20"/>
        <v>M2</v>
      </c>
      <c r="M114" s="411">
        <f>+HLOOKUP(B114,[238]Hoja1!$2:$78,6,FALSE)</f>
        <v>0</v>
      </c>
      <c r="N114" s="412"/>
      <c r="O114" s="441"/>
      <c r="P114" s="441"/>
      <c r="Q114" s="412"/>
      <c r="R114" s="412"/>
      <c r="S114" s="413">
        <v>1</v>
      </c>
      <c r="T114" s="414">
        <f t="shared" si="16"/>
        <v>0</v>
      </c>
      <c r="Y114" s="439">
        <f t="shared" si="19"/>
        <v>0</v>
      </c>
      <c r="Z114" s="439">
        <f t="shared" si="17"/>
        <v>0</v>
      </c>
    </row>
    <row r="115" spans="1:26">
      <c r="A115" s="453">
        <f t="shared" si="18"/>
        <v>1.02</v>
      </c>
      <c r="B115" s="383">
        <v>24</v>
      </c>
      <c r="D115" s="406"/>
      <c r="E115" s="407"/>
      <c r="F115" s="407"/>
      <c r="G115" s="407"/>
      <c r="H115" s="407"/>
      <c r="I115" s="407"/>
      <c r="J115" s="408" t="s">
        <v>435</v>
      </c>
      <c r="K115" s="409" t="str">
        <f t="shared" si="15"/>
        <v>A=(Ancho x Largo)* Cant</v>
      </c>
      <c r="L115" s="410" t="str">
        <f t="shared" si="20"/>
        <v>M2</v>
      </c>
      <c r="M115" s="411">
        <f>+HLOOKUP(B115,[238]Hoja1!$2:$78,6,FALSE)</f>
        <v>0</v>
      </c>
      <c r="N115" s="412"/>
      <c r="O115" s="442"/>
      <c r="P115" s="442"/>
      <c r="Q115" s="413"/>
      <c r="R115" s="413"/>
      <c r="S115" s="413">
        <v>1</v>
      </c>
      <c r="T115" s="414">
        <f t="shared" si="16"/>
        <v>0</v>
      </c>
      <c r="Y115" s="439">
        <f t="shared" si="19"/>
        <v>0</v>
      </c>
      <c r="Z115" s="439">
        <f t="shared" si="17"/>
        <v>0</v>
      </c>
    </row>
    <row r="116" spans="1:26">
      <c r="A116" s="453">
        <f t="shared" si="18"/>
        <v>1.02</v>
      </c>
      <c r="B116" s="383">
        <v>25</v>
      </c>
      <c r="D116" s="406"/>
      <c r="E116" s="407"/>
      <c r="F116" s="407"/>
      <c r="G116" s="407"/>
      <c r="H116" s="407"/>
      <c r="I116" s="407"/>
      <c r="J116" s="408" t="s">
        <v>436</v>
      </c>
      <c r="K116" s="409" t="str">
        <f t="shared" si="15"/>
        <v>A=(Ancho x Largo)* Cant</v>
      </c>
      <c r="L116" s="410" t="str">
        <f t="shared" si="20"/>
        <v>M2</v>
      </c>
      <c r="M116" s="411">
        <f>+HLOOKUP(B116,[238]Hoja1!$2:$78,6,FALSE)</f>
        <v>0</v>
      </c>
      <c r="N116" s="412"/>
      <c r="O116" s="442"/>
      <c r="P116" s="442"/>
      <c r="Q116" s="412"/>
      <c r="R116" s="412"/>
      <c r="S116" s="413">
        <v>1</v>
      </c>
      <c r="T116" s="414">
        <f t="shared" si="16"/>
        <v>0</v>
      </c>
      <c r="Y116" s="439">
        <f t="shared" si="19"/>
        <v>0</v>
      </c>
      <c r="Z116" s="439">
        <f t="shared" si="17"/>
        <v>0</v>
      </c>
    </row>
    <row r="117" spans="1:26">
      <c r="A117" s="453">
        <f t="shared" si="18"/>
        <v>1.02</v>
      </c>
      <c r="B117" s="383">
        <v>26</v>
      </c>
      <c r="D117" s="406"/>
      <c r="E117" s="407"/>
      <c r="F117" s="407"/>
      <c r="G117" s="407"/>
      <c r="H117" s="407"/>
      <c r="I117" s="407"/>
      <c r="J117" s="408" t="s">
        <v>437</v>
      </c>
      <c r="K117" s="409" t="str">
        <f t="shared" si="15"/>
        <v>A=(Ancho x Largo)* Cant</v>
      </c>
      <c r="L117" s="410" t="str">
        <f>+L106</f>
        <v>M2</v>
      </c>
      <c r="M117" s="411">
        <f>+HLOOKUP(B117,[238]Hoja1!$2:$78,6,FALSE)</f>
        <v>124.6</v>
      </c>
      <c r="N117" s="412"/>
      <c r="O117" s="442">
        <f>+M117/7</f>
        <v>17.8</v>
      </c>
      <c r="P117" s="442">
        <v>7</v>
      </c>
      <c r="Q117" s="412"/>
      <c r="R117" s="412"/>
      <c r="S117" s="413">
        <v>1</v>
      </c>
      <c r="T117" s="414">
        <f t="shared" si="16"/>
        <v>124.6</v>
      </c>
      <c r="Y117" s="439">
        <f t="shared" si="19"/>
        <v>124.60000000000001</v>
      </c>
      <c r="Z117" s="439">
        <f t="shared" si="17"/>
        <v>0</v>
      </c>
    </row>
    <row r="118" spans="1:26">
      <c r="A118" s="453">
        <f t="shared" si="18"/>
        <v>1.02</v>
      </c>
      <c r="B118" s="383">
        <v>27</v>
      </c>
      <c r="D118" s="406"/>
      <c r="E118" s="407"/>
      <c r="F118" s="407"/>
      <c r="G118" s="407"/>
      <c r="H118" s="407"/>
      <c r="I118" s="407"/>
      <c r="J118" s="408" t="s">
        <v>438</v>
      </c>
      <c r="K118" s="409" t="str">
        <f t="shared" si="15"/>
        <v>A=(Ancho x Largo)* Cant</v>
      </c>
      <c r="L118" s="410" t="str">
        <f t="shared" ref="L118:L126" si="21">+L117</f>
        <v>M2</v>
      </c>
      <c r="M118" s="411">
        <f>+HLOOKUP(B118,[238]Hoja1!$2:$78,6,FALSE)</f>
        <v>0</v>
      </c>
      <c r="N118" s="412"/>
      <c r="O118" s="442"/>
      <c r="P118" s="442"/>
      <c r="Q118" s="412"/>
      <c r="R118" s="412"/>
      <c r="S118" s="413">
        <v>1</v>
      </c>
      <c r="T118" s="414">
        <f t="shared" si="16"/>
        <v>0</v>
      </c>
      <c r="Y118" s="439">
        <f t="shared" si="19"/>
        <v>0</v>
      </c>
      <c r="Z118" s="439">
        <f t="shared" si="17"/>
        <v>0</v>
      </c>
    </row>
    <row r="119" spans="1:26">
      <c r="A119" s="453">
        <f t="shared" si="18"/>
        <v>1.02</v>
      </c>
      <c r="B119" s="383">
        <v>28</v>
      </c>
      <c r="D119" s="406"/>
      <c r="E119" s="440"/>
      <c r="F119" s="407"/>
      <c r="G119" s="407"/>
      <c r="H119" s="407"/>
      <c r="I119" s="437"/>
      <c r="J119" s="408" t="s">
        <v>439</v>
      </c>
      <c r="K119" s="409" t="str">
        <f t="shared" si="15"/>
        <v>A=(Ancho x Largo)* Cant</v>
      </c>
      <c r="L119" s="410" t="str">
        <f t="shared" si="21"/>
        <v>M2</v>
      </c>
      <c r="M119" s="411">
        <f>+HLOOKUP(B119,[238]Hoja1!$2:$78,6,FALSE)</f>
        <v>43.6</v>
      </c>
      <c r="N119" s="412"/>
      <c r="O119" s="442">
        <f>+M119/7.4</f>
        <v>5.8918918918918921</v>
      </c>
      <c r="P119" s="442">
        <v>7.4</v>
      </c>
      <c r="Q119" s="413"/>
      <c r="R119" s="413"/>
      <c r="S119" s="413">
        <v>1</v>
      </c>
      <c r="T119" s="414">
        <f t="shared" si="16"/>
        <v>43.6</v>
      </c>
      <c r="Y119" s="439">
        <f t="shared" si="19"/>
        <v>43.6</v>
      </c>
      <c r="Z119" s="439">
        <f t="shared" si="17"/>
        <v>0</v>
      </c>
    </row>
    <row r="120" spans="1:26">
      <c r="A120" s="453">
        <f t="shared" si="18"/>
        <v>1.02</v>
      </c>
      <c r="B120" s="383">
        <v>29</v>
      </c>
      <c r="D120" s="406"/>
      <c r="E120" s="407"/>
      <c r="F120" s="407"/>
      <c r="G120" s="407"/>
      <c r="H120" s="407"/>
      <c r="I120" s="407"/>
      <c r="J120" s="408" t="s">
        <v>440</v>
      </c>
      <c r="K120" s="409" t="str">
        <f t="shared" si="15"/>
        <v>A=(Ancho x Largo)* Cant</v>
      </c>
      <c r="L120" s="410" t="str">
        <f t="shared" si="21"/>
        <v>M2</v>
      </c>
      <c r="M120" s="411">
        <f>+HLOOKUP(B120,[238]Hoja1!$2:$78,6,FALSE)</f>
        <v>0</v>
      </c>
      <c r="N120" s="412"/>
      <c r="O120" s="443"/>
      <c r="P120" s="443"/>
      <c r="Q120" s="412"/>
      <c r="R120" s="412"/>
      <c r="S120" s="413">
        <v>1</v>
      </c>
      <c r="T120" s="414">
        <f t="shared" si="16"/>
        <v>0</v>
      </c>
      <c r="Y120" s="439">
        <f t="shared" si="19"/>
        <v>0</v>
      </c>
      <c r="Z120" s="439">
        <f t="shared" si="17"/>
        <v>0</v>
      </c>
    </row>
    <row r="121" spans="1:26">
      <c r="A121" s="453">
        <f t="shared" si="18"/>
        <v>1.02</v>
      </c>
      <c r="B121" s="383">
        <v>30</v>
      </c>
      <c r="D121" s="406"/>
      <c r="E121" s="407"/>
      <c r="F121" s="407"/>
      <c r="G121" s="407"/>
      <c r="H121" s="407"/>
      <c r="I121" s="407"/>
      <c r="J121" s="408" t="s">
        <v>441</v>
      </c>
      <c r="K121" s="409" t="str">
        <f t="shared" si="15"/>
        <v>A=(Ancho x Largo)* Cant</v>
      </c>
      <c r="L121" s="410" t="str">
        <f t="shared" si="21"/>
        <v>M2</v>
      </c>
      <c r="M121" s="411">
        <f>+HLOOKUP(B121,[238]Hoja1!$2:$78,6,FALSE)</f>
        <v>0</v>
      </c>
      <c r="N121" s="412"/>
      <c r="O121" s="442"/>
      <c r="P121" s="442"/>
      <c r="Q121" s="412"/>
      <c r="R121" s="412"/>
      <c r="S121" s="413">
        <v>1</v>
      </c>
      <c r="T121" s="414">
        <f t="shared" si="16"/>
        <v>0</v>
      </c>
      <c r="Y121" s="439">
        <f t="shared" si="19"/>
        <v>0</v>
      </c>
      <c r="Z121" s="439">
        <f t="shared" si="17"/>
        <v>0</v>
      </c>
    </row>
    <row r="122" spans="1:26">
      <c r="A122" s="453">
        <f t="shared" si="18"/>
        <v>1.02</v>
      </c>
      <c r="B122" s="383">
        <v>31</v>
      </c>
      <c r="D122" s="406"/>
      <c r="E122" s="407"/>
      <c r="F122" s="407"/>
      <c r="G122" s="407"/>
      <c r="H122" s="407"/>
      <c r="I122" s="407"/>
      <c r="J122" s="408" t="s">
        <v>442</v>
      </c>
      <c r="K122" s="409" t="str">
        <f t="shared" si="15"/>
        <v>A=(Ancho x Largo)* Cant</v>
      </c>
      <c r="L122" s="410" t="str">
        <f t="shared" si="21"/>
        <v>M2</v>
      </c>
      <c r="M122" s="411">
        <f>+HLOOKUP(B122,[238]Hoja1!$2:$78,6,FALSE)</f>
        <v>56</v>
      </c>
      <c r="N122" s="412"/>
      <c r="O122" s="442">
        <f>+M122/7</f>
        <v>8</v>
      </c>
      <c r="P122" s="442">
        <v>7</v>
      </c>
      <c r="Q122" s="413"/>
      <c r="R122" s="413"/>
      <c r="S122" s="413">
        <v>1</v>
      </c>
      <c r="T122" s="414">
        <f t="shared" si="16"/>
        <v>56</v>
      </c>
      <c r="Y122" s="439">
        <f t="shared" si="19"/>
        <v>56</v>
      </c>
      <c r="Z122" s="439">
        <f t="shared" si="17"/>
        <v>0</v>
      </c>
    </row>
    <row r="123" spans="1:26">
      <c r="A123" s="453">
        <f t="shared" si="18"/>
        <v>1.02</v>
      </c>
      <c r="B123" s="383">
        <v>32</v>
      </c>
      <c r="D123" s="406"/>
      <c r="E123" s="407"/>
      <c r="F123" s="407"/>
      <c r="G123" s="407"/>
      <c r="H123" s="407"/>
      <c r="I123" s="407"/>
      <c r="J123" s="408" t="s">
        <v>443</v>
      </c>
      <c r="K123" s="409" t="str">
        <f t="shared" si="15"/>
        <v>A=(Ancho x Largo)* Cant</v>
      </c>
      <c r="L123" s="410" t="str">
        <f t="shared" si="21"/>
        <v>M2</v>
      </c>
      <c r="M123" s="411">
        <f>+HLOOKUP(B123,[238]Hoja1!$2:$78,6,FALSE)</f>
        <v>11.32</v>
      </c>
      <c r="N123" s="412"/>
      <c r="O123" s="442">
        <f>+M123/3.7</f>
        <v>3.0594594594594593</v>
      </c>
      <c r="P123" s="442">
        <v>3.7</v>
      </c>
      <c r="Q123" s="412"/>
      <c r="R123" s="412"/>
      <c r="S123" s="413">
        <v>1</v>
      </c>
      <c r="T123" s="414">
        <f t="shared" si="16"/>
        <v>11.32</v>
      </c>
      <c r="Y123" s="439">
        <f t="shared" si="19"/>
        <v>11.32</v>
      </c>
      <c r="Z123" s="439">
        <f t="shared" si="17"/>
        <v>0</v>
      </c>
    </row>
    <row r="124" spans="1:26">
      <c r="A124" s="453">
        <f t="shared" si="18"/>
        <v>1.02</v>
      </c>
      <c r="B124" s="383">
        <v>33</v>
      </c>
      <c r="D124" s="406"/>
      <c r="E124" s="407"/>
      <c r="F124" s="407"/>
      <c r="G124" s="407"/>
      <c r="H124" s="407"/>
      <c r="I124" s="407"/>
      <c r="J124" s="408" t="s">
        <v>444</v>
      </c>
      <c r="K124" s="409" t="str">
        <f t="shared" si="15"/>
        <v>A=(Ancho x Largo)* Cant</v>
      </c>
      <c r="L124" s="410" t="str">
        <f t="shared" si="21"/>
        <v>M2</v>
      </c>
      <c r="M124" s="411">
        <f>+HLOOKUP(B124,[238]Hoja1!$2:$78,6,FALSE)</f>
        <v>0</v>
      </c>
      <c r="N124" s="412"/>
      <c r="O124" s="442"/>
      <c r="P124" s="442"/>
      <c r="Q124" s="412"/>
      <c r="R124" s="412"/>
      <c r="S124" s="413">
        <v>1</v>
      </c>
      <c r="T124" s="414">
        <f t="shared" si="16"/>
        <v>0</v>
      </c>
      <c r="Y124" s="439">
        <f t="shared" si="19"/>
        <v>0</v>
      </c>
      <c r="Z124" s="439">
        <f t="shared" si="17"/>
        <v>0</v>
      </c>
    </row>
    <row r="125" spans="1:26">
      <c r="A125" s="453">
        <f t="shared" si="18"/>
        <v>1.02</v>
      </c>
      <c r="B125" s="383">
        <v>34</v>
      </c>
      <c r="D125" s="406"/>
      <c r="E125" s="407"/>
      <c r="F125" s="407"/>
      <c r="G125" s="407"/>
      <c r="H125" s="407"/>
      <c r="I125" s="407"/>
      <c r="J125" s="408" t="s">
        <v>445</v>
      </c>
      <c r="K125" s="409" t="str">
        <f t="shared" si="15"/>
        <v>A=(Ancho x Largo)* Cant</v>
      </c>
      <c r="L125" s="410" t="str">
        <f t="shared" si="21"/>
        <v>M2</v>
      </c>
      <c r="M125" s="411">
        <f>+HLOOKUP(B125,[238]Hoja1!$2:$78,6,FALSE)</f>
        <v>0</v>
      </c>
      <c r="N125" s="412"/>
      <c r="O125" s="443"/>
      <c r="P125" s="443"/>
      <c r="Q125" s="412"/>
      <c r="R125" s="412"/>
      <c r="S125" s="413">
        <v>1</v>
      </c>
      <c r="T125" s="414">
        <f t="shared" si="16"/>
        <v>0</v>
      </c>
      <c r="Y125" s="439">
        <f t="shared" si="19"/>
        <v>0</v>
      </c>
      <c r="Z125" s="439">
        <f t="shared" si="17"/>
        <v>0</v>
      </c>
    </row>
    <row r="126" spans="1:26">
      <c r="A126" s="453">
        <f t="shared" si="18"/>
        <v>1.02</v>
      </c>
      <c r="B126" s="383">
        <v>35</v>
      </c>
      <c r="D126" s="406"/>
      <c r="E126" s="440"/>
      <c r="F126" s="407"/>
      <c r="G126" s="407"/>
      <c r="H126" s="407"/>
      <c r="I126" s="437"/>
      <c r="J126" s="408" t="s">
        <v>446</v>
      </c>
      <c r="K126" s="409" t="str">
        <f t="shared" si="15"/>
        <v>A=(Ancho x Largo)* Cant</v>
      </c>
      <c r="L126" s="410" t="str">
        <f t="shared" si="21"/>
        <v>M2</v>
      </c>
      <c r="M126" s="411">
        <f>+HLOOKUP(B126,[238]Hoja1!$2:$78,6,FALSE)</f>
        <v>0</v>
      </c>
      <c r="N126" s="412"/>
      <c r="O126" s="442"/>
      <c r="P126" s="442"/>
      <c r="Q126" s="413"/>
      <c r="R126" s="413"/>
      <c r="S126" s="413">
        <v>1</v>
      </c>
      <c r="T126" s="414">
        <f t="shared" si="16"/>
        <v>0</v>
      </c>
      <c r="Y126" s="439">
        <f t="shared" si="19"/>
        <v>0</v>
      </c>
      <c r="Z126" s="439">
        <f t="shared" si="17"/>
        <v>0</v>
      </c>
    </row>
    <row r="127" spans="1:26">
      <c r="A127" s="453">
        <f t="shared" si="18"/>
        <v>1.02</v>
      </c>
      <c r="B127" s="383">
        <v>36</v>
      </c>
      <c r="D127" s="406"/>
      <c r="E127" s="407"/>
      <c r="F127" s="407"/>
      <c r="G127" s="407"/>
      <c r="H127" s="407"/>
      <c r="I127" s="407"/>
      <c r="J127" s="408" t="s">
        <v>447</v>
      </c>
      <c r="K127" s="409" t="str">
        <f t="shared" si="15"/>
        <v>A=(Ancho x Largo)* Cant</v>
      </c>
      <c r="L127" s="410" t="str">
        <f>+L116</f>
        <v>M2</v>
      </c>
      <c r="M127" s="411">
        <f>+HLOOKUP(B127,[238]Hoja1!$2:$78,6,FALSE)</f>
        <v>0</v>
      </c>
      <c r="N127" s="412"/>
      <c r="O127" s="442"/>
      <c r="P127" s="442"/>
      <c r="Q127" s="412"/>
      <c r="R127" s="412"/>
      <c r="S127" s="413">
        <v>1</v>
      </c>
      <c r="T127" s="414">
        <f t="shared" si="16"/>
        <v>0</v>
      </c>
      <c r="Y127" s="439">
        <f t="shared" si="19"/>
        <v>0</v>
      </c>
      <c r="Z127" s="439">
        <f t="shared" si="17"/>
        <v>0</v>
      </c>
    </row>
    <row r="128" spans="1:26">
      <c r="A128" s="453">
        <f t="shared" si="18"/>
        <v>1.02</v>
      </c>
      <c r="B128" s="383">
        <v>37</v>
      </c>
      <c r="D128" s="406"/>
      <c r="E128" s="407"/>
      <c r="F128" s="407"/>
      <c r="G128" s="407"/>
      <c r="H128" s="407"/>
      <c r="I128" s="407"/>
      <c r="J128" s="408" t="s">
        <v>448</v>
      </c>
      <c r="K128" s="409" t="str">
        <f t="shared" si="15"/>
        <v>A=(Ancho x Largo)* Cant</v>
      </c>
      <c r="L128" s="410" t="str">
        <f t="shared" ref="L128:L134" si="22">+L127</f>
        <v>M2</v>
      </c>
      <c r="M128" s="411">
        <f>+HLOOKUP(B128,[238]Hoja1!$2:$78,6,FALSE)</f>
        <v>15.44</v>
      </c>
      <c r="N128" s="412"/>
      <c r="O128" s="441">
        <f>+M128/3.45</f>
        <v>4.4753623188405793</v>
      </c>
      <c r="P128" s="441">
        <v>3.45</v>
      </c>
      <c r="Q128" s="412"/>
      <c r="R128" s="412"/>
      <c r="S128" s="413">
        <v>1</v>
      </c>
      <c r="T128" s="414">
        <f t="shared" si="16"/>
        <v>15.44</v>
      </c>
      <c r="Y128" s="439">
        <f t="shared" si="19"/>
        <v>15.44</v>
      </c>
      <c r="Z128" s="439">
        <f t="shared" si="17"/>
        <v>0</v>
      </c>
    </row>
    <row r="129" spans="1:26">
      <c r="A129" s="453">
        <f t="shared" si="18"/>
        <v>1.02</v>
      </c>
      <c r="B129" s="383">
        <v>38</v>
      </c>
      <c r="D129" s="406"/>
      <c r="E129" s="440"/>
      <c r="F129" s="407"/>
      <c r="G129" s="407"/>
      <c r="H129" s="407"/>
      <c r="I129" s="437"/>
      <c r="J129" s="408" t="s">
        <v>449</v>
      </c>
      <c r="K129" s="409" t="str">
        <f t="shared" si="15"/>
        <v>A=(Ancho x Largo)* Cant</v>
      </c>
      <c r="L129" s="410" t="str">
        <f t="shared" si="22"/>
        <v>M2</v>
      </c>
      <c r="M129" s="411">
        <f>+HLOOKUP(B129,[238]Hoja1!$2:$78,6,FALSE)</f>
        <v>0</v>
      </c>
      <c r="N129" s="412"/>
      <c r="O129" s="442"/>
      <c r="P129" s="442"/>
      <c r="Q129" s="413"/>
      <c r="R129" s="413"/>
      <c r="S129" s="413">
        <v>1</v>
      </c>
      <c r="T129" s="414">
        <f t="shared" si="16"/>
        <v>0</v>
      </c>
      <c r="Y129" s="439">
        <f t="shared" si="19"/>
        <v>0</v>
      </c>
      <c r="Z129" s="439">
        <f t="shared" si="17"/>
        <v>0</v>
      </c>
    </row>
    <row r="130" spans="1:26">
      <c r="A130" s="453">
        <f t="shared" si="18"/>
        <v>1.02</v>
      </c>
      <c r="B130" s="383">
        <v>39</v>
      </c>
      <c r="D130" s="406"/>
      <c r="E130" s="407"/>
      <c r="F130" s="407"/>
      <c r="G130" s="407"/>
      <c r="H130" s="407"/>
      <c r="I130" s="407"/>
      <c r="J130" s="408" t="s">
        <v>450</v>
      </c>
      <c r="K130" s="409" t="str">
        <f t="shared" si="15"/>
        <v>A=(Ancho x Largo)* Cant</v>
      </c>
      <c r="L130" s="410" t="str">
        <f t="shared" si="22"/>
        <v>M2</v>
      </c>
      <c r="M130" s="411">
        <f>+HLOOKUP(B130,[238]Hoja1!$2:$78,6,FALSE)</f>
        <v>0</v>
      </c>
      <c r="N130" s="412"/>
      <c r="O130" s="441"/>
      <c r="P130" s="441"/>
      <c r="Q130" s="412"/>
      <c r="R130" s="412"/>
      <c r="S130" s="413">
        <v>1</v>
      </c>
      <c r="T130" s="414">
        <f t="shared" si="16"/>
        <v>0</v>
      </c>
      <c r="Y130" s="439">
        <f t="shared" si="19"/>
        <v>0</v>
      </c>
      <c r="Z130" s="439">
        <f t="shared" si="17"/>
        <v>0</v>
      </c>
    </row>
    <row r="131" spans="1:26">
      <c r="A131" s="453">
        <f t="shared" si="18"/>
        <v>1.02</v>
      </c>
      <c r="B131" s="383">
        <v>40</v>
      </c>
      <c r="D131" s="406"/>
      <c r="E131" s="407"/>
      <c r="F131" s="407"/>
      <c r="G131" s="407"/>
      <c r="H131" s="407"/>
      <c r="I131" s="407"/>
      <c r="J131" s="408" t="s">
        <v>451</v>
      </c>
      <c r="K131" s="409" t="str">
        <f t="shared" si="15"/>
        <v>A=(Ancho x Largo)* Cant</v>
      </c>
      <c r="L131" s="410" t="str">
        <f t="shared" si="22"/>
        <v>M2</v>
      </c>
      <c r="M131" s="411">
        <f>+HLOOKUP(B131,[238]Hoja1!$2:$78,6,FALSE)</f>
        <v>11.32</v>
      </c>
      <c r="N131" s="412"/>
      <c r="O131" s="442">
        <f>+M131/3</f>
        <v>3.7733333333333334</v>
      </c>
      <c r="P131" s="442">
        <v>3</v>
      </c>
      <c r="Q131" s="412"/>
      <c r="R131" s="412"/>
      <c r="S131" s="413">
        <v>1</v>
      </c>
      <c r="T131" s="414">
        <f t="shared" si="16"/>
        <v>11.32</v>
      </c>
      <c r="Y131" s="439">
        <f t="shared" si="19"/>
        <v>11.32</v>
      </c>
      <c r="Z131" s="439">
        <f t="shared" si="17"/>
        <v>0</v>
      </c>
    </row>
    <row r="132" spans="1:26">
      <c r="A132" s="453">
        <f t="shared" si="18"/>
        <v>1.02</v>
      </c>
      <c r="B132" s="383">
        <v>41</v>
      </c>
      <c r="D132" s="406"/>
      <c r="E132" s="407"/>
      <c r="F132" s="407"/>
      <c r="G132" s="407"/>
      <c r="H132" s="407"/>
      <c r="I132" s="407"/>
      <c r="J132" s="408" t="s">
        <v>452</v>
      </c>
      <c r="K132" s="409" t="str">
        <f t="shared" si="15"/>
        <v>A=(Ancho x Largo)* Cant</v>
      </c>
      <c r="L132" s="410" t="str">
        <f t="shared" si="22"/>
        <v>M2</v>
      </c>
      <c r="M132" s="411">
        <f>+HLOOKUP(B132,[238]Hoja1!$2:$78,6,FALSE)</f>
        <v>0</v>
      </c>
      <c r="N132" s="412"/>
      <c r="O132" s="442"/>
      <c r="P132" s="442"/>
      <c r="Q132" s="413"/>
      <c r="R132" s="413"/>
      <c r="S132" s="413">
        <v>1</v>
      </c>
      <c r="T132" s="414">
        <f t="shared" si="16"/>
        <v>0</v>
      </c>
      <c r="Y132" s="439">
        <f t="shared" si="19"/>
        <v>0</v>
      </c>
      <c r="Z132" s="439">
        <f t="shared" si="17"/>
        <v>0</v>
      </c>
    </row>
    <row r="133" spans="1:26">
      <c r="A133" s="453">
        <f t="shared" si="18"/>
        <v>1.02</v>
      </c>
      <c r="B133" s="383">
        <v>42</v>
      </c>
      <c r="D133" s="406"/>
      <c r="E133" s="407"/>
      <c r="F133" s="407"/>
      <c r="G133" s="407"/>
      <c r="H133" s="407"/>
      <c r="I133" s="407"/>
      <c r="J133" s="408" t="s">
        <v>453</v>
      </c>
      <c r="K133" s="409" t="str">
        <f t="shared" si="15"/>
        <v>A=(Ancho x Largo)* Cant</v>
      </c>
      <c r="L133" s="410" t="str">
        <f t="shared" si="22"/>
        <v>M2</v>
      </c>
      <c r="M133" s="411">
        <f>+HLOOKUP(B133,[238]Hoja1!$2:$78,6,FALSE)</f>
        <v>0</v>
      </c>
      <c r="N133" s="412"/>
      <c r="O133" s="442"/>
      <c r="P133" s="442"/>
      <c r="Q133" s="412"/>
      <c r="R133" s="412"/>
      <c r="S133" s="413">
        <v>1</v>
      </c>
      <c r="T133" s="414">
        <f t="shared" si="16"/>
        <v>0</v>
      </c>
      <c r="Y133" s="439">
        <f t="shared" si="19"/>
        <v>0</v>
      </c>
      <c r="Z133" s="439">
        <f t="shared" si="17"/>
        <v>0</v>
      </c>
    </row>
    <row r="134" spans="1:26" ht="13.5" thickBot="1">
      <c r="A134" s="453">
        <f t="shared" si="18"/>
        <v>1.02</v>
      </c>
      <c r="B134" s="383">
        <v>43</v>
      </c>
      <c r="D134" s="406"/>
      <c r="E134" s="407"/>
      <c r="F134" s="407"/>
      <c r="G134" s="407"/>
      <c r="H134" s="407"/>
      <c r="I134" s="407"/>
      <c r="J134" s="408" t="s">
        <v>454</v>
      </c>
      <c r="K134" s="409" t="str">
        <f t="shared" si="15"/>
        <v>A=(Ancho x Largo)* Cant</v>
      </c>
      <c r="L134" s="410" t="str">
        <f t="shared" si="22"/>
        <v>M2</v>
      </c>
      <c r="M134" s="411">
        <f>+HLOOKUP(B134,[238]Hoja1!$2:$78,6,FALSE)</f>
        <v>0</v>
      </c>
      <c r="N134" s="412"/>
      <c r="O134" s="442"/>
      <c r="P134" s="442"/>
      <c r="Q134" s="412"/>
      <c r="R134" s="412"/>
      <c r="S134" s="413">
        <v>1</v>
      </c>
      <c r="T134" s="414">
        <f t="shared" si="16"/>
        <v>0</v>
      </c>
      <c r="Y134" s="439">
        <f t="shared" si="19"/>
        <v>0</v>
      </c>
      <c r="Z134" s="439">
        <f t="shared" si="17"/>
        <v>0</v>
      </c>
    </row>
    <row r="135" spans="1:26">
      <c r="D135" s="384"/>
      <c r="E135" s="419"/>
      <c r="F135" s="420"/>
      <c r="G135" s="421"/>
      <c r="H135" s="421"/>
      <c r="I135" s="421"/>
      <c r="J135" s="421"/>
      <c r="K135" s="422"/>
      <c r="L135" s="421"/>
      <c r="M135" s="421"/>
      <c r="N135" s="421"/>
      <c r="O135" s="421"/>
      <c r="P135" s="421"/>
      <c r="Q135" s="421"/>
      <c r="R135" s="421"/>
      <c r="S135" s="422"/>
      <c r="T135" s="423"/>
    </row>
    <row r="136" spans="1:26">
      <c r="D136" s="396"/>
      <c r="E136" s="397"/>
      <c r="F136" s="424"/>
      <c r="G136" s="425"/>
      <c r="H136" s="425"/>
      <c r="I136" s="425"/>
      <c r="J136" s="425"/>
      <c r="K136" s="398"/>
      <c r="L136" s="425"/>
      <c r="M136" s="425"/>
      <c r="N136" s="397"/>
      <c r="O136" s="397"/>
      <c r="P136" s="562" t="s">
        <v>455</v>
      </c>
      <c r="Q136" s="563"/>
      <c r="R136" s="564"/>
      <c r="S136" s="426"/>
      <c r="T136" s="427">
        <f>ROUND(SUM(T92:T135),2)</f>
        <v>572.49</v>
      </c>
    </row>
    <row r="137" spans="1:26">
      <c r="D137" s="396"/>
      <c r="E137" s="397"/>
      <c r="F137" s="424"/>
      <c r="G137" s="425"/>
      <c r="H137" s="425"/>
      <c r="I137" s="425"/>
      <c r="J137" s="425"/>
      <c r="K137" s="398"/>
      <c r="L137" s="425"/>
      <c r="M137" s="425"/>
      <c r="N137" s="428"/>
      <c r="O137" s="428"/>
      <c r="P137" s="429"/>
      <c r="Q137" s="425"/>
      <c r="R137" s="425"/>
      <c r="S137" s="430"/>
      <c r="T137" s="431"/>
    </row>
    <row r="138" spans="1:26">
      <c r="D138" s="565" t="e">
        <v>#REF!</v>
      </c>
      <c r="E138" s="566"/>
      <c r="F138" s="566"/>
      <c r="G138" s="566"/>
      <c r="H138" s="566"/>
      <c r="I138" s="566"/>
      <c r="J138" s="566"/>
      <c r="K138" s="566"/>
      <c r="L138" s="566"/>
      <c r="M138" s="566"/>
      <c r="N138" s="566"/>
      <c r="O138" s="567"/>
      <c r="P138" s="568" t="s">
        <v>422</v>
      </c>
      <c r="Q138" s="568"/>
      <c r="R138" s="568"/>
      <c r="S138" s="426"/>
      <c r="T138" s="427">
        <f>T136</f>
        <v>572.49</v>
      </c>
    </row>
    <row r="139" spans="1:26">
      <c r="D139" s="396"/>
      <c r="E139" s="397"/>
      <c r="F139" s="424"/>
      <c r="G139" s="425"/>
      <c r="H139" s="425"/>
      <c r="I139" s="425"/>
      <c r="J139" s="425"/>
      <c r="K139" s="398"/>
      <c r="L139" s="425"/>
      <c r="M139" s="425"/>
      <c r="N139" s="428"/>
      <c r="O139" s="428"/>
      <c r="P139" s="429"/>
      <c r="Q139" s="425"/>
      <c r="R139" s="398"/>
      <c r="S139" s="398"/>
      <c r="T139" s="432"/>
    </row>
    <row r="140" spans="1:26" ht="6" customHeight="1">
      <c r="D140" s="396"/>
      <c r="E140" s="397"/>
      <c r="F140" s="424"/>
      <c r="G140" s="425"/>
      <c r="H140" s="425"/>
      <c r="I140" s="425"/>
      <c r="J140" s="425"/>
      <c r="K140" s="398"/>
      <c r="L140" s="425"/>
      <c r="M140" s="425"/>
      <c r="N140" s="428"/>
      <c r="O140" s="428"/>
      <c r="P140" s="429"/>
      <c r="Q140" s="425"/>
      <c r="R140" s="398"/>
      <c r="S140" s="398"/>
      <c r="T140" s="432"/>
    </row>
    <row r="141" spans="1:26">
      <c r="D141" s="569" t="s">
        <v>423</v>
      </c>
      <c r="E141" s="570"/>
      <c r="F141" s="570"/>
      <c r="G141" s="570"/>
      <c r="H141" s="570"/>
      <c r="I141" s="570"/>
      <c r="J141" s="570"/>
      <c r="K141" s="571"/>
      <c r="L141" s="433" t="s">
        <v>424</v>
      </c>
      <c r="M141" s="434"/>
      <c r="N141" s="434"/>
      <c r="O141" s="434"/>
      <c r="P141" s="434"/>
      <c r="Q141" s="434"/>
      <c r="R141" s="434"/>
      <c r="S141" s="434"/>
      <c r="T141" s="435"/>
    </row>
    <row r="142" spans="1:26">
      <c r="D142" s="542"/>
      <c r="E142" s="543"/>
      <c r="F142" s="543"/>
      <c r="G142" s="543"/>
      <c r="H142" s="436"/>
      <c r="I142" s="436"/>
      <c r="J142" s="436"/>
      <c r="K142" s="447"/>
      <c r="L142" s="436"/>
      <c r="M142" s="407"/>
      <c r="N142" s="407"/>
      <c r="O142" s="407"/>
      <c r="P142" s="407"/>
      <c r="Q142" s="407"/>
      <c r="R142" s="407"/>
      <c r="S142" s="407"/>
      <c r="T142" s="437"/>
    </row>
    <row r="143" spans="1:26">
      <c r="D143" s="542"/>
      <c r="E143" s="543"/>
      <c r="F143" s="543"/>
      <c r="G143" s="543"/>
      <c r="H143" s="436"/>
      <c r="I143" s="436"/>
      <c r="J143" s="436"/>
      <c r="K143" s="447"/>
      <c r="L143" s="436"/>
      <c r="M143" s="407"/>
      <c r="N143" s="407"/>
      <c r="O143" s="407"/>
      <c r="P143" s="407"/>
      <c r="Q143" s="407"/>
      <c r="R143" s="407"/>
      <c r="S143" s="407"/>
      <c r="T143" s="437"/>
    </row>
    <row r="144" spans="1:26">
      <c r="D144" s="542" t="s">
        <v>425</v>
      </c>
      <c r="E144" s="543"/>
      <c r="F144" s="543" t="s">
        <v>425</v>
      </c>
      <c r="G144" s="543"/>
      <c r="H144" s="543" t="s">
        <v>425</v>
      </c>
      <c r="I144" s="543"/>
      <c r="J144" s="543" t="s">
        <v>425</v>
      </c>
      <c r="K144" s="544"/>
      <c r="L144" s="545" t="s">
        <v>426</v>
      </c>
      <c r="M144" s="546"/>
      <c r="N144" s="546"/>
      <c r="O144" s="546"/>
      <c r="P144" s="546"/>
      <c r="Q144" s="546"/>
      <c r="R144" s="546"/>
      <c r="S144" s="546"/>
      <c r="T144" s="547"/>
    </row>
    <row r="145" spans="4:20">
      <c r="D145" s="548" t="str">
        <f>+[42]DATOS!D$8</f>
        <v>HELMER EDUARDO BECERRA SANTANDER</v>
      </c>
      <c r="E145" s="549"/>
      <c r="F145" s="549" t="s">
        <v>427</v>
      </c>
      <c r="G145" s="549"/>
      <c r="H145" s="549" t="s">
        <v>427</v>
      </c>
      <c r="I145" s="549"/>
      <c r="J145" s="549" t="s">
        <v>427</v>
      </c>
      <c r="K145" s="550"/>
      <c r="L145" s="551" t="str">
        <f>+[42]DATOS!D$11</f>
        <v>JESUS IVAN QUIÑONES RUEDA</v>
      </c>
      <c r="M145" s="549"/>
      <c r="N145" s="549"/>
      <c r="O145" s="549"/>
      <c r="P145" s="549"/>
      <c r="Q145" s="549"/>
      <c r="R145" s="549"/>
      <c r="S145" s="549"/>
      <c r="T145" s="552"/>
    </row>
    <row r="146" spans="4:20">
      <c r="D146" s="553" t="str">
        <f>+$D$72</f>
        <v>APOYO SEC. DE PLANEACION Y OBRAS PÚBLICAS</v>
      </c>
      <c r="E146" s="554"/>
      <c r="F146" s="554" t="s">
        <v>428</v>
      </c>
      <c r="G146" s="554"/>
      <c r="H146" s="554" t="s">
        <v>428</v>
      </c>
      <c r="I146" s="554"/>
      <c r="J146" s="554" t="s">
        <v>428</v>
      </c>
      <c r="K146" s="555"/>
      <c r="L146" s="556" t="str">
        <f>+$L$72</f>
        <v>SECRETARIO DE PLANEACION Y OBRAS PÚBLICAS</v>
      </c>
      <c r="M146" s="554"/>
      <c r="N146" s="554"/>
      <c r="O146" s="554"/>
      <c r="P146" s="554"/>
      <c r="Q146" s="554"/>
      <c r="R146" s="554"/>
      <c r="S146" s="554"/>
      <c r="T146" s="557"/>
    </row>
    <row r="147" spans="4:20">
      <c r="D147" s="406"/>
      <c r="E147" s="407"/>
      <c r="F147" s="407"/>
      <c r="G147" s="407"/>
      <c r="H147" s="407"/>
      <c r="I147" s="407"/>
      <c r="J147" s="407"/>
      <c r="K147" s="407"/>
      <c r="L147" s="407"/>
      <c r="M147" s="407"/>
      <c r="N147" s="407"/>
      <c r="O147" s="407"/>
      <c r="P147" s="407"/>
      <c r="Q147" s="407"/>
      <c r="R147" s="407"/>
      <c r="S147" s="407"/>
      <c r="T147" s="437"/>
    </row>
    <row r="148" spans="4:20" ht="111" customHeight="1" thickBot="1">
      <c r="D148" s="417"/>
      <c r="E148" s="418"/>
      <c r="F148" s="418"/>
      <c r="G148" s="418"/>
      <c r="H148" s="418"/>
      <c r="I148" s="418"/>
      <c r="J148" s="418"/>
      <c r="K148" s="418"/>
      <c r="L148" s="418"/>
      <c r="M148" s="418"/>
      <c r="N148" s="418"/>
      <c r="O148" s="418"/>
      <c r="P148" s="418"/>
      <c r="Q148" s="418"/>
      <c r="R148" s="418"/>
      <c r="S148" s="418"/>
      <c r="T148" s="438"/>
    </row>
    <row r="149" spans="4:20" ht="22.5" customHeight="1"/>
    <row r="150" spans="4:20" ht="13.5" thickBot="1"/>
    <row r="151" spans="4:20">
      <c r="D151" s="384"/>
      <c r="E151" s="385"/>
      <c r="F151" s="385"/>
      <c r="G151" s="385"/>
      <c r="H151" s="385"/>
      <c r="I151" s="385"/>
      <c r="J151" s="385"/>
      <c r="K151" s="445"/>
      <c r="L151" s="385"/>
      <c r="M151" s="385"/>
      <c r="N151" s="385"/>
      <c r="O151" s="385"/>
      <c r="P151" s="385"/>
      <c r="Q151" s="385"/>
      <c r="R151" s="385"/>
      <c r="S151" s="385"/>
      <c r="T151" s="386"/>
    </row>
    <row r="152" spans="4:20" ht="121.5" customHeight="1" thickBot="1">
      <c r="D152" s="387"/>
      <c r="E152" s="388"/>
      <c r="F152" s="388"/>
      <c r="G152" s="388"/>
      <c r="H152" s="388"/>
      <c r="I152" s="388"/>
      <c r="J152" s="388"/>
      <c r="K152" s="446"/>
      <c r="L152" s="388"/>
      <c r="M152" s="388"/>
      <c r="N152" s="388"/>
      <c r="O152" s="388"/>
      <c r="P152" s="388"/>
      <c r="Q152" s="388"/>
      <c r="R152" s="388"/>
      <c r="S152" s="388"/>
      <c r="T152" s="389"/>
    </row>
    <row r="153" spans="4:20">
      <c r="D153" s="592" t="str">
        <f>+[42]DATOS!C$7</f>
        <v>MEJORAMIENTO DE VIVIENDA CON ENFOQUE DIFERENCIAL PARA POBLACIÓN VULNERABLE EN EL MUNICIPIO DE CUBARÁ, BOYACÁ (2026).</v>
      </c>
      <c r="E153" s="593"/>
      <c r="F153" s="593"/>
      <c r="G153" s="593"/>
      <c r="H153" s="593"/>
      <c r="I153" s="593"/>
      <c r="J153" s="593"/>
      <c r="K153" s="593"/>
      <c r="L153" s="593"/>
      <c r="M153" s="593"/>
      <c r="N153" s="593"/>
      <c r="O153" s="593"/>
      <c r="P153" s="593"/>
      <c r="Q153" s="593"/>
      <c r="R153" s="593"/>
      <c r="S153" s="593"/>
      <c r="T153" s="594"/>
    </row>
    <row r="154" spans="4:20">
      <c r="D154" s="595"/>
      <c r="E154" s="596"/>
      <c r="F154" s="596"/>
      <c r="G154" s="596"/>
      <c r="H154" s="596"/>
      <c r="I154" s="596"/>
      <c r="J154" s="596"/>
      <c r="K154" s="596"/>
      <c r="L154" s="596"/>
      <c r="M154" s="596"/>
      <c r="N154" s="596"/>
      <c r="O154" s="596"/>
      <c r="P154" s="596"/>
      <c r="Q154" s="596"/>
      <c r="R154" s="596"/>
      <c r="S154" s="596"/>
      <c r="T154" s="597"/>
    </row>
    <row r="155" spans="4:20">
      <c r="D155" s="598" t="s">
        <v>371</v>
      </c>
      <c r="E155" s="599"/>
      <c r="F155" s="599"/>
      <c r="G155" s="599"/>
      <c r="H155" s="599"/>
      <c r="I155" s="599"/>
      <c r="J155" s="599"/>
      <c r="K155" s="599"/>
      <c r="L155" s="599"/>
      <c r="M155" s="599"/>
      <c r="N155" s="599"/>
      <c r="O155" s="599"/>
      <c r="P155" s="599"/>
      <c r="Q155" s="599"/>
      <c r="R155" s="599"/>
      <c r="S155" s="599"/>
      <c r="T155" s="600"/>
    </row>
    <row r="156" spans="4:20">
      <c r="D156" s="586" t="s">
        <v>372</v>
      </c>
      <c r="E156" s="587"/>
      <c r="F156" s="601" t="s">
        <v>373</v>
      </c>
      <c r="G156" s="601"/>
      <c r="H156" s="601"/>
      <c r="I156" s="601"/>
      <c r="J156" s="601"/>
      <c r="K156" s="601"/>
      <c r="L156" s="601"/>
      <c r="M156" s="601"/>
      <c r="N156" s="601"/>
      <c r="O156" s="601"/>
      <c r="P156" s="601"/>
      <c r="Q156" s="601"/>
      <c r="R156" s="601"/>
      <c r="S156" s="601"/>
      <c r="T156" s="602"/>
    </row>
    <row r="157" spans="4:20">
      <c r="D157" s="586" t="s">
        <v>374</v>
      </c>
      <c r="E157" s="587"/>
      <c r="F157" s="603" t="s">
        <v>375</v>
      </c>
      <c r="G157" s="604"/>
      <c r="H157" s="604"/>
      <c r="I157" s="604"/>
      <c r="J157" s="604"/>
      <c r="K157" s="604"/>
      <c r="L157" s="604"/>
      <c r="M157" s="604"/>
      <c r="N157" s="604"/>
      <c r="O157" s="604"/>
      <c r="P157" s="604"/>
      <c r="Q157" s="604"/>
      <c r="R157" s="604"/>
      <c r="S157" s="604"/>
      <c r="T157" s="605"/>
    </row>
    <row r="158" spans="4:20">
      <c r="D158" s="586" t="s">
        <v>376</v>
      </c>
      <c r="E158" s="587"/>
      <c r="F158" s="390">
        <f>+[42]DATOS!F$5</f>
        <v>46143</v>
      </c>
      <c r="G158" s="391"/>
      <c r="H158" s="391"/>
      <c r="I158" s="391"/>
      <c r="J158" s="391"/>
      <c r="K158" s="391"/>
      <c r="L158" s="568" t="s">
        <v>377</v>
      </c>
      <c r="M158" s="568"/>
      <c r="N158" s="588" t="s">
        <v>378</v>
      </c>
      <c r="O158" s="588"/>
      <c r="P158" s="588"/>
      <c r="Q158" s="588"/>
      <c r="R158" s="588"/>
      <c r="S158" s="588"/>
      <c r="T158" s="589"/>
    </row>
    <row r="159" spans="4:20" ht="25.5">
      <c r="D159" s="586" t="s">
        <v>379</v>
      </c>
      <c r="E159" s="587"/>
      <c r="F159" s="590" t="s">
        <v>380</v>
      </c>
      <c r="G159" s="591"/>
      <c r="H159" s="392">
        <f>+[42]DATOS!E$5</f>
        <v>2026</v>
      </c>
      <c r="I159" s="393" t="s">
        <v>381</v>
      </c>
      <c r="J159" s="394">
        <f>+[42]DATOS!E$5</f>
        <v>2026</v>
      </c>
      <c r="K159" s="395"/>
      <c r="L159" s="568" t="s">
        <v>382</v>
      </c>
      <c r="M159" s="568"/>
      <c r="N159" s="588" t="s">
        <v>383</v>
      </c>
      <c r="O159" s="588"/>
      <c r="P159" s="588"/>
      <c r="Q159" s="588"/>
      <c r="R159" s="588"/>
      <c r="S159" s="588"/>
      <c r="T159" s="589"/>
    </row>
    <row r="160" spans="4:20">
      <c r="D160" s="396"/>
      <c r="E160" s="397"/>
      <c r="F160" s="397"/>
      <c r="G160" s="398"/>
      <c r="H160" s="398"/>
      <c r="I160" s="398"/>
      <c r="J160" s="398"/>
      <c r="K160" s="398"/>
      <c r="L160" s="398"/>
      <c r="M160" s="398"/>
      <c r="N160" s="398"/>
      <c r="O160" s="398"/>
      <c r="P160" s="398"/>
      <c r="Q160" s="398"/>
      <c r="R160" s="398"/>
      <c r="S160" s="398"/>
      <c r="T160" s="399"/>
    </row>
    <row r="161" spans="1:26">
      <c r="D161" s="572" t="s">
        <v>384</v>
      </c>
      <c r="E161" s="573"/>
      <c r="F161" s="573"/>
      <c r="G161" s="573"/>
      <c r="H161" s="573"/>
      <c r="I161" s="573"/>
      <c r="J161" s="573"/>
      <c r="K161" s="573"/>
      <c r="L161" s="573"/>
      <c r="M161" s="573"/>
      <c r="N161" s="573"/>
      <c r="O161" s="573"/>
      <c r="P161" s="573"/>
      <c r="Q161" s="573"/>
      <c r="R161" s="573"/>
      <c r="S161" s="573"/>
      <c r="T161" s="574"/>
    </row>
    <row r="162" spans="1:26">
      <c r="D162" s="396"/>
      <c r="E162" s="397"/>
      <c r="F162" s="397"/>
      <c r="G162" s="398"/>
      <c r="H162" s="398"/>
      <c r="I162" s="398"/>
      <c r="J162" s="398"/>
      <c r="K162" s="398"/>
      <c r="L162" s="398"/>
      <c r="M162" s="398"/>
      <c r="N162" s="398"/>
      <c r="O162" s="398"/>
      <c r="P162" s="398"/>
      <c r="Q162" s="398"/>
      <c r="R162" s="398"/>
      <c r="S162" s="398"/>
      <c r="T162" s="399"/>
    </row>
    <row r="163" spans="1:26">
      <c r="D163" s="400" t="s">
        <v>385</v>
      </c>
      <c r="E163" s="575" t="s">
        <v>386</v>
      </c>
      <c r="F163" s="575"/>
      <c r="G163" s="576" t="s">
        <v>387</v>
      </c>
      <c r="H163" s="577"/>
      <c r="I163" s="577"/>
      <c r="J163" s="576" t="s">
        <v>388</v>
      </c>
      <c r="K163" s="576" t="s">
        <v>389</v>
      </c>
      <c r="L163" s="579"/>
      <c r="M163" s="581" t="s">
        <v>390</v>
      </c>
      <c r="N163" s="581"/>
      <c r="O163" s="581"/>
      <c r="P163" s="581"/>
      <c r="Q163" s="581"/>
      <c r="R163" s="581"/>
      <c r="S163" s="581" t="s">
        <v>391</v>
      </c>
      <c r="T163" s="582"/>
    </row>
    <row r="164" spans="1:26" ht="38.25">
      <c r="D164" s="403">
        <f>+'PRESUPUESTO OFICIAL '!C14</f>
        <v>1.03</v>
      </c>
      <c r="E164" s="583" t="str">
        <f>+VLOOKUP(D164,'PRESUPUESTO OFICIAL '!$C$11:$H$103,2)</f>
        <v>DESMONTE DE DIVISIÓN - PISO A TECHO. (INCLUYE RETIRO Y ACARREO LIBRE HASTA 5 KM.)</v>
      </c>
      <c r="F164" s="584"/>
      <c r="G164" s="585" t="str">
        <f>+VLOOKUP(D164,'PRESUPUESTO OFICIAL '!$C$11:$H$103,3)</f>
        <v>M2</v>
      </c>
      <c r="H164" s="585"/>
      <c r="I164" s="585"/>
      <c r="J164" s="578"/>
      <c r="K164" s="578"/>
      <c r="L164" s="580"/>
      <c r="M164" s="401" t="s">
        <v>392</v>
      </c>
      <c r="N164" s="401" t="s">
        <v>393</v>
      </c>
      <c r="O164" s="401" t="s">
        <v>394</v>
      </c>
      <c r="P164" s="401" t="s">
        <v>395</v>
      </c>
      <c r="Q164" s="401" t="s">
        <v>396</v>
      </c>
      <c r="R164" s="401" t="s">
        <v>397</v>
      </c>
      <c r="S164" s="401" t="s">
        <v>398</v>
      </c>
      <c r="T164" s="402" t="s">
        <v>399</v>
      </c>
      <c r="V164" s="404">
        <f>+D164</f>
        <v>1.03</v>
      </c>
      <c r="W164" s="405">
        <f>+T212</f>
        <v>13.75</v>
      </c>
    </row>
    <row r="165" spans="1:26">
      <c r="D165" s="406"/>
      <c r="E165" s="407"/>
      <c r="F165" s="407"/>
      <c r="G165" s="407"/>
      <c r="H165" s="407"/>
      <c r="I165" s="407"/>
      <c r="J165" s="558"/>
      <c r="K165" s="559"/>
      <c r="L165" s="560"/>
      <c r="M165" s="560"/>
      <c r="N165" s="560"/>
      <c r="O165" s="560"/>
      <c r="P165" s="560"/>
      <c r="Q165" s="560"/>
      <c r="R165" s="560"/>
      <c r="S165" s="560"/>
      <c r="T165" s="561"/>
    </row>
    <row r="166" spans="1:26">
      <c r="A166" s="453">
        <f>+D164</f>
        <v>1.03</v>
      </c>
      <c r="B166" s="383">
        <v>1</v>
      </c>
      <c r="D166" s="406"/>
      <c r="E166" s="407"/>
      <c r="F166" s="407"/>
      <c r="G166" s="407"/>
      <c r="H166" s="407"/>
      <c r="I166" s="407"/>
      <c r="J166" s="408" t="s">
        <v>400</v>
      </c>
      <c r="K166" s="409" t="str">
        <f t="shared" ref="K166:K208" si="23">+VLOOKUP(L166,$AH$22:$AJ$58,2,)</f>
        <v>A=(Ancho x Largo)* Cant</v>
      </c>
      <c r="L166" s="410" t="str">
        <f>+G164</f>
        <v>M2</v>
      </c>
      <c r="M166" s="411">
        <f>+HLOOKUP(B166,[238]Hoja1!$2:$78,7,FALSE)</f>
        <v>0</v>
      </c>
      <c r="N166" s="412"/>
      <c r="O166" s="442"/>
      <c r="P166" s="442"/>
      <c r="Q166" s="413"/>
      <c r="R166" s="413"/>
      <c r="S166" s="413"/>
      <c r="T166" s="414">
        <f>+S166*M166</f>
        <v>0</v>
      </c>
      <c r="Y166" s="439">
        <f>+O166*P166</f>
        <v>0</v>
      </c>
      <c r="Z166" s="439">
        <f>+Y166-M166</f>
        <v>0</v>
      </c>
    </row>
    <row r="167" spans="1:26">
      <c r="A167" s="453">
        <f>+A166</f>
        <v>1.03</v>
      </c>
      <c r="B167" s="383">
        <v>2</v>
      </c>
      <c r="D167" s="406"/>
      <c r="E167" s="407"/>
      <c r="F167" s="407"/>
      <c r="G167" s="407"/>
      <c r="H167" s="407"/>
      <c r="I167" s="407"/>
      <c r="J167" s="408" t="s">
        <v>401</v>
      </c>
      <c r="K167" s="409" t="str">
        <f t="shared" si="23"/>
        <v>A=(Ancho x Largo)* Cant</v>
      </c>
      <c r="L167" s="410" t="str">
        <f>+L166</f>
        <v>M2</v>
      </c>
      <c r="M167" s="411">
        <f>+HLOOKUP(B167,[238]Hoja1!$2:$78,7,FALSE)</f>
        <v>0</v>
      </c>
      <c r="N167" s="412"/>
      <c r="O167" s="442"/>
      <c r="P167" s="442"/>
      <c r="Q167" s="413"/>
      <c r="R167" s="413"/>
      <c r="S167" s="413"/>
      <c r="T167" s="414">
        <f t="shared" ref="T167:T208" si="24">+S167*M167</f>
        <v>0</v>
      </c>
      <c r="Y167" s="439">
        <f>+O167*P167</f>
        <v>0</v>
      </c>
      <c r="Z167" s="439">
        <f t="shared" ref="Z167:Z208" si="25">+Y167-M167</f>
        <v>0</v>
      </c>
    </row>
    <row r="168" spans="1:26">
      <c r="A168" s="453">
        <f t="shared" ref="A168:A208" si="26">+A167</f>
        <v>1.03</v>
      </c>
      <c r="B168" s="383">
        <v>3</v>
      </c>
      <c r="D168" s="406"/>
      <c r="E168" s="407"/>
      <c r="F168" s="407"/>
      <c r="G168" s="407"/>
      <c r="H168" s="407"/>
      <c r="I168" s="407"/>
      <c r="J168" s="408" t="s">
        <v>402</v>
      </c>
      <c r="K168" s="409" t="str">
        <f t="shared" si="23"/>
        <v>A=(Ancho x Largo)* Cant</v>
      </c>
      <c r="L168" s="410" t="str">
        <f>+L167</f>
        <v>M2</v>
      </c>
      <c r="M168" s="411">
        <f>+HLOOKUP(B168,[238]Hoja1!$2:$78,7,FALSE)</f>
        <v>0</v>
      </c>
      <c r="N168" s="412"/>
      <c r="O168" s="442"/>
      <c r="P168" s="442"/>
      <c r="Q168" s="413"/>
      <c r="R168" s="413"/>
      <c r="S168" s="413"/>
      <c r="T168" s="414">
        <f t="shared" si="24"/>
        <v>0</v>
      </c>
      <c r="Y168" s="439">
        <f t="shared" ref="Y168:Y208" si="27">+O168*P168</f>
        <v>0</v>
      </c>
      <c r="Z168" s="439">
        <f t="shared" si="25"/>
        <v>0</v>
      </c>
    </row>
    <row r="169" spans="1:26">
      <c r="A169" s="453">
        <f t="shared" si="26"/>
        <v>1.03</v>
      </c>
      <c r="B169" s="383">
        <v>4</v>
      </c>
      <c r="D169" s="406"/>
      <c r="E169" s="407"/>
      <c r="F169" s="407"/>
      <c r="G169" s="407"/>
      <c r="H169" s="407"/>
      <c r="I169" s="407"/>
      <c r="J169" s="408" t="s">
        <v>403</v>
      </c>
      <c r="K169" s="409" t="str">
        <f t="shared" si="23"/>
        <v>A=(Ancho x Largo)* Cant</v>
      </c>
      <c r="L169" s="410" t="str">
        <f>+L168</f>
        <v>M2</v>
      </c>
      <c r="M169" s="411">
        <f>+HLOOKUP(B169,[238]Hoja1!$2:$78,7,FALSE)</f>
        <v>0</v>
      </c>
      <c r="N169" s="412"/>
      <c r="O169" s="442"/>
      <c r="P169" s="442"/>
      <c r="Q169" s="413"/>
      <c r="R169" s="413"/>
      <c r="S169" s="413"/>
      <c r="T169" s="414">
        <f t="shared" si="24"/>
        <v>0</v>
      </c>
      <c r="Y169" s="439">
        <f t="shared" si="27"/>
        <v>0</v>
      </c>
      <c r="Z169" s="439">
        <f t="shared" si="25"/>
        <v>0</v>
      </c>
    </row>
    <row r="170" spans="1:26">
      <c r="A170" s="453">
        <f t="shared" si="26"/>
        <v>1.03</v>
      </c>
      <c r="B170" s="383">
        <v>5</v>
      </c>
      <c r="D170" s="406"/>
      <c r="E170" s="407"/>
      <c r="F170" s="407"/>
      <c r="G170" s="407"/>
      <c r="H170" s="407"/>
      <c r="I170" s="407"/>
      <c r="J170" s="408" t="s">
        <v>405</v>
      </c>
      <c r="K170" s="409" t="str">
        <f t="shared" si="23"/>
        <v>A=(Ancho x Largo)* Cant</v>
      </c>
      <c r="L170" s="410" t="str">
        <f>+L169</f>
        <v>M2</v>
      </c>
      <c r="M170" s="411">
        <f>+HLOOKUP(B170,[238]Hoja1!$2:$78,7,FALSE)</f>
        <v>0</v>
      </c>
      <c r="N170" s="412"/>
      <c r="O170" s="442"/>
      <c r="P170" s="442"/>
      <c r="Q170" s="413"/>
      <c r="R170" s="413"/>
      <c r="S170" s="413"/>
      <c r="T170" s="414">
        <f t="shared" si="24"/>
        <v>0</v>
      </c>
      <c r="Y170" s="439">
        <f t="shared" si="27"/>
        <v>0</v>
      </c>
      <c r="Z170" s="439">
        <f t="shared" si="25"/>
        <v>0</v>
      </c>
    </row>
    <row r="171" spans="1:26">
      <c r="A171" s="453">
        <f t="shared" si="26"/>
        <v>1.03</v>
      </c>
      <c r="B171" s="383">
        <v>6</v>
      </c>
      <c r="D171" s="406"/>
      <c r="E171" s="407"/>
      <c r="F171" s="407"/>
      <c r="G171" s="407"/>
      <c r="H171" s="407"/>
      <c r="I171" s="407"/>
      <c r="J171" s="408" t="s">
        <v>407</v>
      </c>
      <c r="K171" s="409" t="str">
        <f t="shared" si="23"/>
        <v>A=(Ancho x Largo)* Cant</v>
      </c>
      <c r="L171" s="410" t="str">
        <f>+L170</f>
        <v>M2</v>
      </c>
      <c r="M171" s="411">
        <f>+HLOOKUP(B171,[238]Hoja1!$2:$78,7,FALSE)</f>
        <v>0</v>
      </c>
      <c r="N171" s="412"/>
      <c r="O171" s="442"/>
      <c r="P171" s="442"/>
      <c r="Q171" s="413"/>
      <c r="R171" s="413"/>
      <c r="S171" s="413"/>
      <c r="T171" s="414">
        <f t="shared" si="24"/>
        <v>0</v>
      </c>
      <c r="Y171" s="439">
        <f t="shared" si="27"/>
        <v>0</v>
      </c>
      <c r="Z171" s="439">
        <f t="shared" si="25"/>
        <v>0</v>
      </c>
    </row>
    <row r="172" spans="1:26">
      <c r="A172" s="453">
        <f t="shared" si="26"/>
        <v>1.03</v>
      </c>
      <c r="B172" s="383">
        <v>7</v>
      </c>
      <c r="D172" s="406"/>
      <c r="E172" s="407"/>
      <c r="F172" s="407"/>
      <c r="G172" s="407"/>
      <c r="H172" s="407"/>
      <c r="I172" s="407"/>
      <c r="J172" s="408" t="s">
        <v>409</v>
      </c>
      <c r="K172" s="409" t="str">
        <f t="shared" si="23"/>
        <v>A=(Ancho x Largo)* Cant</v>
      </c>
      <c r="L172" s="410" t="str">
        <f>+L166</f>
        <v>M2</v>
      </c>
      <c r="M172" s="411">
        <f>+HLOOKUP(B172,[238]Hoja1!$2:$78,7,FALSE)</f>
        <v>0</v>
      </c>
      <c r="N172" s="412"/>
      <c r="O172" s="442"/>
      <c r="P172" s="442"/>
      <c r="Q172" s="413"/>
      <c r="R172" s="413"/>
      <c r="S172" s="413"/>
      <c r="T172" s="414">
        <f t="shared" si="24"/>
        <v>0</v>
      </c>
      <c r="Y172" s="439">
        <f t="shared" si="27"/>
        <v>0</v>
      </c>
      <c r="Z172" s="439">
        <f t="shared" si="25"/>
        <v>0</v>
      </c>
    </row>
    <row r="173" spans="1:26">
      <c r="A173" s="453">
        <f t="shared" si="26"/>
        <v>1.03</v>
      </c>
      <c r="B173" s="383">
        <v>8</v>
      </c>
      <c r="D173" s="406"/>
      <c r="E173" s="407"/>
      <c r="F173" s="407"/>
      <c r="G173" s="407"/>
      <c r="H173" s="407"/>
      <c r="I173" s="407"/>
      <c r="J173" s="408" t="s">
        <v>411</v>
      </c>
      <c r="K173" s="409" t="str">
        <f t="shared" si="23"/>
        <v>A=(Ancho x Largo)* Cant</v>
      </c>
      <c r="L173" s="410" t="str">
        <f>+L172</f>
        <v>M2</v>
      </c>
      <c r="M173" s="411">
        <f>+HLOOKUP(B173,[238]Hoja1!$2:$78,7,FALSE)</f>
        <v>0</v>
      </c>
      <c r="N173" s="412"/>
      <c r="O173" s="442"/>
      <c r="P173" s="442"/>
      <c r="Q173" s="413"/>
      <c r="R173" s="413"/>
      <c r="S173" s="413"/>
      <c r="T173" s="414">
        <f t="shared" si="24"/>
        <v>0</v>
      </c>
      <c r="Y173" s="439">
        <f t="shared" si="27"/>
        <v>0</v>
      </c>
      <c r="Z173" s="439">
        <f t="shared" si="25"/>
        <v>0</v>
      </c>
    </row>
    <row r="174" spans="1:26">
      <c r="A174" s="453">
        <f t="shared" si="26"/>
        <v>1.03</v>
      </c>
      <c r="B174" s="383">
        <v>9</v>
      </c>
      <c r="D174" s="406"/>
      <c r="E174" s="407"/>
      <c r="F174" s="407"/>
      <c r="G174" s="407"/>
      <c r="H174" s="407"/>
      <c r="I174" s="407"/>
      <c r="J174" s="408" t="s">
        <v>412</v>
      </c>
      <c r="K174" s="409" t="str">
        <f t="shared" si="23"/>
        <v>A=(Ancho x Largo)* Cant</v>
      </c>
      <c r="L174" s="410" t="str">
        <f>+L173</f>
        <v>M2</v>
      </c>
      <c r="M174" s="411">
        <f>+HLOOKUP(B174,[238]Hoja1!$2:$78,7,FALSE)</f>
        <v>0</v>
      </c>
      <c r="N174" s="412"/>
      <c r="O174" s="442"/>
      <c r="P174" s="442"/>
      <c r="Q174" s="412"/>
      <c r="R174" s="412"/>
      <c r="S174" s="413"/>
      <c r="T174" s="414">
        <f t="shared" si="24"/>
        <v>0</v>
      </c>
      <c r="Y174" s="439">
        <f t="shared" si="27"/>
        <v>0</v>
      </c>
      <c r="Z174" s="439">
        <f t="shared" si="25"/>
        <v>0</v>
      </c>
    </row>
    <row r="175" spans="1:26">
      <c r="A175" s="453">
        <f t="shared" si="26"/>
        <v>1.03</v>
      </c>
      <c r="B175" s="383">
        <v>10</v>
      </c>
      <c r="D175" s="406"/>
      <c r="E175" s="407"/>
      <c r="F175" s="407"/>
      <c r="G175" s="407"/>
      <c r="H175" s="407"/>
      <c r="I175" s="407"/>
      <c r="J175" s="408" t="s">
        <v>413</v>
      </c>
      <c r="K175" s="409" t="str">
        <f t="shared" si="23"/>
        <v>A=(Ancho x Largo)* Cant</v>
      </c>
      <c r="L175" s="410" t="str">
        <f>+L174</f>
        <v>M2</v>
      </c>
      <c r="M175" s="411">
        <f>+HLOOKUP(B175,[238]Hoja1!$2:$78,7,FALSE)</f>
        <v>0</v>
      </c>
      <c r="N175" s="412"/>
      <c r="O175" s="441"/>
      <c r="P175" s="441"/>
      <c r="Q175" s="412"/>
      <c r="R175" s="412"/>
      <c r="S175" s="413"/>
      <c r="T175" s="414">
        <f t="shared" si="24"/>
        <v>0</v>
      </c>
      <c r="Y175" s="439">
        <f t="shared" si="27"/>
        <v>0</v>
      </c>
      <c r="Z175" s="439">
        <f t="shared" si="25"/>
        <v>0</v>
      </c>
    </row>
    <row r="176" spans="1:26">
      <c r="A176" s="453">
        <f t="shared" si="26"/>
        <v>1.03</v>
      </c>
      <c r="B176" s="383">
        <v>11</v>
      </c>
      <c r="D176" s="406"/>
      <c r="E176" s="407"/>
      <c r="F176" s="407"/>
      <c r="G176" s="407"/>
      <c r="H176" s="407"/>
      <c r="I176" s="407"/>
      <c r="J176" s="408" t="s">
        <v>414</v>
      </c>
      <c r="K176" s="409" t="str">
        <f t="shared" si="23"/>
        <v>A=(Ancho x Largo)* Cant</v>
      </c>
      <c r="L176" s="410" t="str">
        <f>+L175</f>
        <v>M2</v>
      </c>
      <c r="M176" s="411">
        <f>+HLOOKUP(B176,[238]Hoja1!$2:$78,7,FALSE)</f>
        <v>0</v>
      </c>
      <c r="N176" s="412"/>
      <c r="O176" s="443"/>
      <c r="P176" s="443"/>
      <c r="Q176" s="412"/>
      <c r="R176" s="412"/>
      <c r="S176" s="413"/>
      <c r="T176" s="414">
        <f t="shared" si="24"/>
        <v>0</v>
      </c>
      <c r="Y176" s="439">
        <f t="shared" si="27"/>
        <v>0</v>
      </c>
      <c r="Z176" s="439">
        <f t="shared" si="25"/>
        <v>0</v>
      </c>
    </row>
    <row r="177" spans="1:26">
      <c r="A177" s="453">
        <f t="shared" si="26"/>
        <v>1.03</v>
      </c>
      <c r="B177" s="383">
        <v>12</v>
      </c>
      <c r="D177" s="406"/>
      <c r="E177" s="407"/>
      <c r="F177" s="407"/>
      <c r="G177" s="407"/>
      <c r="H177" s="407"/>
      <c r="I177" s="407"/>
      <c r="J177" s="408" t="s">
        <v>415</v>
      </c>
      <c r="K177" s="409" t="str">
        <f t="shared" si="23"/>
        <v>A=(Ancho x Largo)* Cant</v>
      </c>
      <c r="L177" s="410" t="str">
        <f>+L171</f>
        <v>M2</v>
      </c>
      <c r="M177" s="411">
        <f>+HLOOKUP(B177,[238]Hoja1!$2:$78,7,FALSE)</f>
        <v>0</v>
      </c>
      <c r="N177" s="412"/>
      <c r="O177" s="442"/>
      <c r="P177" s="442"/>
      <c r="Q177" s="413"/>
      <c r="R177" s="413"/>
      <c r="S177" s="413"/>
      <c r="T177" s="414">
        <f t="shared" si="24"/>
        <v>0</v>
      </c>
      <c r="Y177" s="439">
        <f t="shared" si="27"/>
        <v>0</v>
      </c>
      <c r="Z177" s="439">
        <f t="shared" si="25"/>
        <v>0</v>
      </c>
    </row>
    <row r="178" spans="1:26">
      <c r="A178" s="453">
        <f t="shared" si="26"/>
        <v>1.03</v>
      </c>
      <c r="B178" s="383">
        <v>13</v>
      </c>
      <c r="D178" s="406"/>
      <c r="E178" s="407"/>
      <c r="F178" s="407"/>
      <c r="G178" s="407"/>
      <c r="H178" s="407"/>
      <c r="I178" s="407"/>
      <c r="J178" s="408" t="s">
        <v>416</v>
      </c>
      <c r="K178" s="409" t="str">
        <f t="shared" si="23"/>
        <v>A=(Ancho x Largo)* Cant</v>
      </c>
      <c r="L178" s="410" t="str">
        <f>+L173</f>
        <v>M2</v>
      </c>
      <c r="M178" s="411">
        <f>+HLOOKUP(B178,[238]Hoja1!$2:$78,7,FALSE)</f>
        <v>0</v>
      </c>
      <c r="N178" s="412"/>
      <c r="O178" s="442"/>
      <c r="P178" s="442"/>
      <c r="Q178" s="413"/>
      <c r="R178" s="413"/>
      <c r="S178" s="413"/>
      <c r="T178" s="414">
        <f t="shared" si="24"/>
        <v>0</v>
      </c>
      <c r="Y178" s="439">
        <f t="shared" si="27"/>
        <v>0</v>
      </c>
      <c r="Z178" s="439">
        <f t="shared" si="25"/>
        <v>0</v>
      </c>
    </row>
    <row r="179" spans="1:26">
      <c r="A179" s="453">
        <f t="shared" si="26"/>
        <v>1.03</v>
      </c>
      <c r="B179" s="383">
        <v>14</v>
      </c>
      <c r="D179" s="406"/>
      <c r="E179" s="407"/>
      <c r="F179" s="407"/>
      <c r="G179" s="407"/>
      <c r="H179" s="407"/>
      <c r="I179" s="407"/>
      <c r="J179" s="408" t="s">
        <v>417</v>
      </c>
      <c r="K179" s="409" t="str">
        <f t="shared" si="23"/>
        <v>A=(Ancho x Largo)* Cant</v>
      </c>
      <c r="L179" s="410" t="str">
        <f t="shared" ref="L179:L190" si="28">+L178</f>
        <v>M2</v>
      </c>
      <c r="M179" s="411">
        <f>+HLOOKUP(B179,[238]Hoja1!$2:$78,7,FALSE)</f>
        <v>0</v>
      </c>
      <c r="N179" s="412"/>
      <c r="O179" s="442"/>
      <c r="P179" s="442"/>
      <c r="Q179" s="412"/>
      <c r="R179" s="412"/>
      <c r="S179" s="413"/>
      <c r="T179" s="414">
        <f t="shared" si="24"/>
        <v>0</v>
      </c>
      <c r="Y179" s="439">
        <f t="shared" si="27"/>
        <v>0</v>
      </c>
      <c r="Z179" s="439">
        <f t="shared" si="25"/>
        <v>0</v>
      </c>
    </row>
    <row r="180" spans="1:26">
      <c r="A180" s="453">
        <f t="shared" si="26"/>
        <v>1.03</v>
      </c>
      <c r="B180" s="383">
        <v>15</v>
      </c>
      <c r="D180" s="406"/>
      <c r="E180" s="407"/>
      <c r="F180" s="407"/>
      <c r="G180" s="407"/>
      <c r="H180" s="407"/>
      <c r="I180" s="407"/>
      <c r="J180" s="408" t="s">
        <v>418</v>
      </c>
      <c r="K180" s="409" t="str">
        <f t="shared" si="23"/>
        <v>A=(Ancho x Largo)* Cant</v>
      </c>
      <c r="L180" s="410" t="str">
        <f t="shared" si="28"/>
        <v>M2</v>
      </c>
      <c r="M180" s="411">
        <f>+HLOOKUP(B180,[238]Hoja1!$2:$78,7,FALSE)</f>
        <v>0</v>
      </c>
      <c r="N180" s="412"/>
      <c r="O180" s="442"/>
      <c r="P180" s="442"/>
      <c r="Q180" s="412"/>
      <c r="R180" s="412"/>
      <c r="S180" s="413"/>
      <c r="T180" s="414">
        <f t="shared" si="24"/>
        <v>0</v>
      </c>
      <c r="Y180" s="439">
        <f t="shared" si="27"/>
        <v>0</v>
      </c>
      <c r="Z180" s="439">
        <f t="shared" si="25"/>
        <v>0</v>
      </c>
    </row>
    <row r="181" spans="1:26">
      <c r="A181" s="453">
        <f t="shared" si="26"/>
        <v>1.03</v>
      </c>
      <c r="B181" s="383">
        <v>16</v>
      </c>
      <c r="D181" s="406"/>
      <c r="E181" s="407"/>
      <c r="F181" s="407"/>
      <c r="G181" s="407"/>
      <c r="H181" s="407"/>
      <c r="I181" s="407"/>
      <c r="J181" s="408" t="s">
        <v>419</v>
      </c>
      <c r="K181" s="409" t="str">
        <f t="shared" si="23"/>
        <v>A=(Ancho x Largo)* Cant</v>
      </c>
      <c r="L181" s="410" t="str">
        <f t="shared" si="28"/>
        <v>M2</v>
      </c>
      <c r="M181" s="411">
        <f>+HLOOKUP(B181,[238]Hoja1!$2:$78,7,FALSE)</f>
        <v>0</v>
      </c>
      <c r="N181" s="412"/>
      <c r="O181" s="442"/>
      <c r="P181" s="442"/>
      <c r="Q181" s="412"/>
      <c r="R181" s="412"/>
      <c r="S181" s="413"/>
      <c r="T181" s="414">
        <f t="shared" si="24"/>
        <v>0</v>
      </c>
      <c r="Y181" s="439">
        <f t="shared" si="27"/>
        <v>0</v>
      </c>
      <c r="Z181" s="439">
        <f t="shared" si="25"/>
        <v>0</v>
      </c>
    </row>
    <row r="182" spans="1:26">
      <c r="A182" s="453">
        <f t="shared" si="26"/>
        <v>1.03</v>
      </c>
      <c r="B182" s="383">
        <v>17</v>
      </c>
      <c r="D182" s="406"/>
      <c r="E182" s="407"/>
      <c r="F182" s="407"/>
      <c r="G182" s="407"/>
      <c r="H182" s="407"/>
      <c r="I182" s="407"/>
      <c r="J182" s="408" t="s">
        <v>420</v>
      </c>
      <c r="K182" s="409" t="str">
        <f t="shared" si="23"/>
        <v>A=(Ancho x Largo)* Cant</v>
      </c>
      <c r="L182" s="410" t="str">
        <f t="shared" si="28"/>
        <v>M2</v>
      </c>
      <c r="M182" s="411">
        <f>+HLOOKUP(B182,[238]Hoja1!$2:$78,7,FALSE)</f>
        <v>0</v>
      </c>
      <c r="N182" s="412"/>
      <c r="O182" s="442"/>
      <c r="P182" s="442"/>
      <c r="Q182" s="412"/>
      <c r="R182" s="412"/>
      <c r="S182" s="413"/>
      <c r="T182" s="414">
        <f t="shared" si="24"/>
        <v>0</v>
      </c>
      <c r="Y182" s="439">
        <f t="shared" si="27"/>
        <v>0</v>
      </c>
      <c r="Z182" s="439">
        <f t="shared" si="25"/>
        <v>0</v>
      </c>
    </row>
    <row r="183" spans="1:26">
      <c r="A183" s="453">
        <f t="shared" si="26"/>
        <v>1.03</v>
      </c>
      <c r="B183" s="383">
        <v>18</v>
      </c>
      <c r="D183" s="406"/>
      <c r="E183" s="407"/>
      <c r="F183" s="407"/>
      <c r="G183" s="407"/>
      <c r="H183" s="407"/>
      <c r="I183" s="407"/>
      <c r="J183" s="408" t="s">
        <v>429</v>
      </c>
      <c r="K183" s="409" t="str">
        <f t="shared" si="23"/>
        <v>A=(Ancho x Largo)* Cant</v>
      </c>
      <c r="L183" s="410" t="str">
        <f t="shared" si="28"/>
        <v>M2</v>
      </c>
      <c r="M183" s="411">
        <f>+HLOOKUP(B183,[238]Hoja1!$2:$78,7,FALSE)</f>
        <v>0</v>
      </c>
      <c r="N183" s="412"/>
      <c r="O183" s="442"/>
      <c r="P183" s="442"/>
      <c r="Q183" s="412"/>
      <c r="R183" s="412"/>
      <c r="S183" s="413"/>
      <c r="T183" s="414">
        <f t="shared" si="24"/>
        <v>0</v>
      </c>
      <c r="Y183" s="439">
        <f t="shared" si="27"/>
        <v>0</v>
      </c>
      <c r="Z183" s="439">
        <f t="shared" si="25"/>
        <v>0</v>
      </c>
    </row>
    <row r="184" spans="1:26">
      <c r="A184" s="453">
        <f t="shared" si="26"/>
        <v>1.03</v>
      </c>
      <c r="B184" s="383">
        <v>19</v>
      </c>
      <c r="D184" s="406"/>
      <c r="E184" s="407"/>
      <c r="F184" s="407"/>
      <c r="G184" s="407"/>
      <c r="H184" s="407"/>
      <c r="I184" s="407"/>
      <c r="J184" s="408" t="s">
        <v>430</v>
      </c>
      <c r="K184" s="409" t="str">
        <f t="shared" si="23"/>
        <v>A=(Ancho x Largo)* Cant</v>
      </c>
      <c r="L184" s="410" t="str">
        <f t="shared" si="28"/>
        <v>M2</v>
      </c>
      <c r="M184" s="411">
        <f>+HLOOKUP(B184,[238]Hoja1!$2:$78,7,FALSE)</f>
        <v>0</v>
      </c>
      <c r="N184" s="412"/>
      <c r="O184" s="442"/>
      <c r="P184" s="442"/>
      <c r="Q184" s="412"/>
      <c r="R184" s="412"/>
      <c r="S184" s="413"/>
      <c r="T184" s="414">
        <f t="shared" si="24"/>
        <v>0</v>
      </c>
      <c r="Y184" s="439">
        <f t="shared" si="27"/>
        <v>0</v>
      </c>
      <c r="Z184" s="439">
        <f t="shared" si="25"/>
        <v>0</v>
      </c>
    </row>
    <row r="185" spans="1:26">
      <c r="A185" s="453">
        <f t="shared" si="26"/>
        <v>1.03</v>
      </c>
      <c r="B185" s="383">
        <v>20</v>
      </c>
      <c r="D185" s="406"/>
      <c r="E185" s="407"/>
      <c r="F185" s="407"/>
      <c r="G185" s="407"/>
      <c r="H185" s="407"/>
      <c r="I185" s="407"/>
      <c r="J185" s="408" t="s">
        <v>431</v>
      </c>
      <c r="K185" s="409" t="str">
        <f t="shared" si="23"/>
        <v>A=(Ancho x Largo)* Cant</v>
      </c>
      <c r="L185" s="410" t="str">
        <f t="shared" si="28"/>
        <v>M2</v>
      </c>
      <c r="M185" s="411">
        <f>+HLOOKUP(B185,[238]Hoja1!$2:$78,7,FALSE)</f>
        <v>0</v>
      </c>
      <c r="N185" s="412"/>
      <c r="O185" s="442"/>
      <c r="P185" s="442"/>
      <c r="Q185" s="412"/>
      <c r="R185" s="412"/>
      <c r="S185" s="413"/>
      <c r="T185" s="414">
        <f t="shared" si="24"/>
        <v>0</v>
      </c>
      <c r="Y185" s="439">
        <f t="shared" si="27"/>
        <v>0</v>
      </c>
      <c r="Z185" s="439">
        <f t="shared" si="25"/>
        <v>0</v>
      </c>
    </row>
    <row r="186" spans="1:26">
      <c r="A186" s="453">
        <f t="shared" si="26"/>
        <v>1.03</v>
      </c>
      <c r="B186" s="383">
        <v>21</v>
      </c>
      <c r="D186" s="406"/>
      <c r="E186" s="407"/>
      <c r="F186" s="407"/>
      <c r="G186" s="407"/>
      <c r="H186" s="407"/>
      <c r="I186" s="407"/>
      <c r="J186" s="408" t="s">
        <v>432</v>
      </c>
      <c r="K186" s="409" t="str">
        <f t="shared" si="23"/>
        <v>A=(Ancho x Largo)* Cant</v>
      </c>
      <c r="L186" s="410" t="str">
        <f t="shared" si="28"/>
        <v>M2</v>
      </c>
      <c r="M186" s="411">
        <f>+HLOOKUP(B186,[238]Hoja1!$2:$78,7,FALSE)</f>
        <v>0</v>
      </c>
      <c r="N186" s="412"/>
      <c r="O186" s="442"/>
      <c r="P186" s="442"/>
      <c r="Q186" s="412"/>
      <c r="R186" s="412"/>
      <c r="S186" s="413"/>
      <c r="T186" s="414">
        <f t="shared" si="24"/>
        <v>0</v>
      </c>
      <c r="Y186" s="439">
        <f t="shared" si="27"/>
        <v>0</v>
      </c>
      <c r="Z186" s="439">
        <f t="shared" si="25"/>
        <v>0</v>
      </c>
    </row>
    <row r="187" spans="1:26">
      <c r="A187" s="453">
        <f t="shared" si="26"/>
        <v>1.03</v>
      </c>
      <c r="B187" s="383">
        <v>22</v>
      </c>
      <c r="D187" s="406"/>
      <c r="E187" s="407"/>
      <c r="F187" s="407"/>
      <c r="G187" s="407"/>
      <c r="H187" s="407"/>
      <c r="I187" s="407"/>
      <c r="J187" s="408" t="s">
        <v>433</v>
      </c>
      <c r="K187" s="409" t="str">
        <f t="shared" si="23"/>
        <v>A=(Ancho x Largo)* Cant</v>
      </c>
      <c r="L187" s="410" t="str">
        <f t="shared" si="28"/>
        <v>M2</v>
      </c>
      <c r="M187" s="411">
        <f>+HLOOKUP(B187,[238]Hoja1!$2:$78,7,FALSE)</f>
        <v>0</v>
      </c>
      <c r="N187" s="412"/>
      <c r="O187" s="442"/>
      <c r="P187" s="442"/>
      <c r="Q187" s="412"/>
      <c r="R187" s="412"/>
      <c r="S187" s="413"/>
      <c r="T187" s="414">
        <f t="shared" si="24"/>
        <v>0</v>
      </c>
      <c r="Y187" s="439">
        <f t="shared" si="27"/>
        <v>0</v>
      </c>
      <c r="Z187" s="439">
        <f t="shared" si="25"/>
        <v>0</v>
      </c>
    </row>
    <row r="188" spans="1:26">
      <c r="A188" s="453">
        <f t="shared" si="26"/>
        <v>1.03</v>
      </c>
      <c r="B188" s="383">
        <v>23</v>
      </c>
      <c r="D188" s="406"/>
      <c r="E188" s="407"/>
      <c r="F188" s="407"/>
      <c r="G188" s="407"/>
      <c r="H188" s="407"/>
      <c r="I188" s="407"/>
      <c r="J188" s="408" t="s">
        <v>434</v>
      </c>
      <c r="K188" s="409" t="str">
        <f t="shared" si="23"/>
        <v>A=(Ancho x Largo)* Cant</v>
      </c>
      <c r="L188" s="410" t="str">
        <f t="shared" si="28"/>
        <v>M2</v>
      </c>
      <c r="M188" s="411">
        <f>+HLOOKUP(B188,[238]Hoja1!$2:$78,7,FALSE)</f>
        <v>0</v>
      </c>
      <c r="N188" s="412"/>
      <c r="O188" s="441"/>
      <c r="P188" s="441"/>
      <c r="Q188" s="412"/>
      <c r="R188" s="412"/>
      <c r="S188" s="413"/>
      <c r="T188" s="414">
        <f t="shared" si="24"/>
        <v>0</v>
      </c>
      <c r="Y188" s="439">
        <f t="shared" si="27"/>
        <v>0</v>
      </c>
      <c r="Z188" s="439">
        <f t="shared" si="25"/>
        <v>0</v>
      </c>
    </row>
    <row r="189" spans="1:26">
      <c r="A189" s="453">
        <f t="shared" si="26"/>
        <v>1.03</v>
      </c>
      <c r="B189" s="383">
        <v>24</v>
      </c>
      <c r="D189" s="406"/>
      <c r="E189" s="407"/>
      <c r="F189" s="407"/>
      <c r="G189" s="407"/>
      <c r="H189" s="407"/>
      <c r="I189" s="407"/>
      <c r="J189" s="408" t="s">
        <v>435</v>
      </c>
      <c r="K189" s="409" t="str">
        <f t="shared" si="23"/>
        <v>A=(Ancho x Largo)* Cant</v>
      </c>
      <c r="L189" s="410" t="str">
        <f t="shared" si="28"/>
        <v>M2</v>
      </c>
      <c r="M189" s="411">
        <f>+HLOOKUP(B189,[238]Hoja1!$2:$78,7,FALSE)</f>
        <v>0</v>
      </c>
      <c r="N189" s="412"/>
      <c r="O189" s="442"/>
      <c r="P189" s="442"/>
      <c r="Q189" s="413"/>
      <c r="R189" s="413"/>
      <c r="S189" s="413"/>
      <c r="T189" s="414">
        <f t="shared" si="24"/>
        <v>0</v>
      </c>
      <c r="Y189" s="439">
        <f t="shared" si="27"/>
        <v>0</v>
      </c>
      <c r="Z189" s="439">
        <f t="shared" si="25"/>
        <v>0</v>
      </c>
    </row>
    <row r="190" spans="1:26">
      <c r="A190" s="453">
        <f t="shared" si="26"/>
        <v>1.03</v>
      </c>
      <c r="B190" s="383">
        <v>25</v>
      </c>
      <c r="D190" s="406"/>
      <c r="E190" s="407"/>
      <c r="F190" s="407"/>
      <c r="G190" s="407"/>
      <c r="H190" s="407"/>
      <c r="I190" s="407"/>
      <c r="J190" s="408" t="s">
        <v>436</v>
      </c>
      <c r="K190" s="409" t="str">
        <f t="shared" si="23"/>
        <v>A=(Ancho x Largo)* Cant</v>
      </c>
      <c r="L190" s="410" t="str">
        <f t="shared" si="28"/>
        <v>M2</v>
      </c>
      <c r="M190" s="411">
        <f>+HLOOKUP(B190,[238]Hoja1!$2:$78,7,FALSE)</f>
        <v>0</v>
      </c>
      <c r="N190" s="412"/>
      <c r="O190" s="442"/>
      <c r="P190" s="442"/>
      <c r="Q190" s="412"/>
      <c r="R190" s="412"/>
      <c r="S190" s="413"/>
      <c r="T190" s="414">
        <f t="shared" si="24"/>
        <v>0</v>
      </c>
      <c r="Y190" s="439">
        <f t="shared" si="27"/>
        <v>0</v>
      </c>
      <c r="Z190" s="439">
        <f t="shared" si="25"/>
        <v>0</v>
      </c>
    </row>
    <row r="191" spans="1:26">
      <c r="A191" s="453">
        <f t="shared" si="26"/>
        <v>1.03</v>
      </c>
      <c r="B191" s="383">
        <v>26</v>
      </c>
      <c r="D191" s="406"/>
      <c r="E191" s="407"/>
      <c r="F191" s="407"/>
      <c r="G191" s="407"/>
      <c r="H191" s="407"/>
      <c r="I191" s="407"/>
      <c r="J191" s="408" t="s">
        <v>437</v>
      </c>
      <c r="K191" s="409" t="str">
        <f t="shared" si="23"/>
        <v>A=(Ancho x Largo)* Cant</v>
      </c>
      <c r="L191" s="410" t="str">
        <f>+L180</f>
        <v>M2</v>
      </c>
      <c r="M191" s="411">
        <f>+HLOOKUP(B191,[238]Hoja1!$2:$78,7,FALSE)</f>
        <v>0</v>
      </c>
      <c r="N191" s="412"/>
      <c r="O191" s="442"/>
      <c r="P191" s="442"/>
      <c r="Q191" s="412"/>
      <c r="R191" s="412"/>
      <c r="S191" s="413"/>
      <c r="T191" s="414">
        <f t="shared" si="24"/>
        <v>0</v>
      </c>
      <c r="Y191" s="439">
        <f t="shared" si="27"/>
        <v>0</v>
      </c>
      <c r="Z191" s="439">
        <f t="shared" si="25"/>
        <v>0</v>
      </c>
    </row>
    <row r="192" spans="1:26">
      <c r="A192" s="453">
        <f t="shared" si="26"/>
        <v>1.03</v>
      </c>
      <c r="B192" s="383">
        <v>27</v>
      </c>
      <c r="D192" s="406"/>
      <c r="E192" s="407"/>
      <c r="F192" s="407"/>
      <c r="G192" s="407"/>
      <c r="H192" s="407"/>
      <c r="I192" s="407"/>
      <c r="J192" s="408" t="s">
        <v>438</v>
      </c>
      <c r="K192" s="409" t="str">
        <f t="shared" si="23"/>
        <v>A=(Ancho x Largo)* Cant</v>
      </c>
      <c r="L192" s="410" t="str">
        <f t="shared" ref="L192:L200" si="29">+L191</f>
        <v>M2</v>
      </c>
      <c r="M192" s="411">
        <f>+HLOOKUP(B192,[238]Hoja1!$2:$78,7,FALSE)</f>
        <v>0</v>
      </c>
      <c r="N192" s="412"/>
      <c r="O192" s="442"/>
      <c r="P192" s="442"/>
      <c r="Q192" s="412"/>
      <c r="R192" s="412"/>
      <c r="S192" s="413"/>
      <c r="T192" s="414">
        <f t="shared" si="24"/>
        <v>0</v>
      </c>
      <c r="Y192" s="439">
        <f t="shared" si="27"/>
        <v>0</v>
      </c>
      <c r="Z192" s="439">
        <f t="shared" si="25"/>
        <v>0</v>
      </c>
    </row>
    <row r="193" spans="1:26">
      <c r="A193" s="453">
        <f t="shared" si="26"/>
        <v>1.03</v>
      </c>
      <c r="B193" s="383">
        <v>28</v>
      </c>
      <c r="D193" s="406"/>
      <c r="E193" s="440"/>
      <c r="F193" s="407"/>
      <c r="G193" s="407"/>
      <c r="H193" s="407"/>
      <c r="I193" s="437"/>
      <c r="J193" s="408" t="s">
        <v>439</v>
      </c>
      <c r="K193" s="409" t="str">
        <f t="shared" si="23"/>
        <v>A=(Ancho x Largo)* Cant</v>
      </c>
      <c r="L193" s="410" t="str">
        <f t="shared" si="29"/>
        <v>M2</v>
      </c>
      <c r="M193" s="411">
        <f>+HLOOKUP(B193,[238]Hoja1!$2:$78,7,FALSE)</f>
        <v>0</v>
      </c>
      <c r="N193" s="412"/>
      <c r="O193" s="442"/>
      <c r="P193" s="442"/>
      <c r="Q193" s="413"/>
      <c r="R193" s="413"/>
      <c r="S193" s="413"/>
      <c r="T193" s="414">
        <f t="shared" si="24"/>
        <v>0</v>
      </c>
      <c r="Y193" s="439">
        <f t="shared" si="27"/>
        <v>0</v>
      </c>
      <c r="Z193" s="439">
        <f t="shared" si="25"/>
        <v>0</v>
      </c>
    </row>
    <row r="194" spans="1:26">
      <c r="A194" s="453">
        <f t="shared" si="26"/>
        <v>1.03</v>
      </c>
      <c r="B194" s="383">
        <v>29</v>
      </c>
      <c r="D194" s="406"/>
      <c r="E194" s="407"/>
      <c r="F194" s="407"/>
      <c r="G194" s="407"/>
      <c r="H194" s="407"/>
      <c r="I194" s="407"/>
      <c r="J194" s="408" t="s">
        <v>440</v>
      </c>
      <c r="K194" s="409" t="str">
        <f t="shared" si="23"/>
        <v>A=(Ancho x Largo)* Cant</v>
      </c>
      <c r="L194" s="410" t="str">
        <f t="shared" si="29"/>
        <v>M2</v>
      </c>
      <c r="M194" s="411">
        <f>+HLOOKUP(B194,[238]Hoja1!$2:$78,7,FALSE)</f>
        <v>0</v>
      </c>
      <c r="N194" s="412"/>
      <c r="O194" s="443"/>
      <c r="P194" s="443"/>
      <c r="Q194" s="412"/>
      <c r="R194" s="412"/>
      <c r="S194" s="413"/>
      <c r="T194" s="414">
        <f t="shared" si="24"/>
        <v>0</v>
      </c>
      <c r="Y194" s="439">
        <f t="shared" si="27"/>
        <v>0</v>
      </c>
      <c r="Z194" s="439">
        <f t="shared" si="25"/>
        <v>0</v>
      </c>
    </row>
    <row r="195" spans="1:26">
      <c r="A195" s="453">
        <f t="shared" si="26"/>
        <v>1.03</v>
      </c>
      <c r="B195" s="383">
        <v>30</v>
      </c>
      <c r="D195" s="406"/>
      <c r="E195" s="407"/>
      <c r="F195" s="407"/>
      <c r="G195" s="407"/>
      <c r="H195" s="407"/>
      <c r="I195" s="407"/>
      <c r="J195" s="408" t="s">
        <v>441</v>
      </c>
      <c r="K195" s="409" t="str">
        <f t="shared" si="23"/>
        <v>A=(Ancho x Largo)* Cant</v>
      </c>
      <c r="L195" s="410" t="str">
        <f t="shared" si="29"/>
        <v>M2</v>
      </c>
      <c r="M195" s="411">
        <f>+HLOOKUP(B195,[238]Hoja1!$2:$78,7,FALSE)</f>
        <v>0</v>
      </c>
      <c r="N195" s="412"/>
      <c r="O195" s="442"/>
      <c r="P195" s="442"/>
      <c r="Q195" s="412"/>
      <c r="R195" s="412"/>
      <c r="S195" s="413"/>
      <c r="T195" s="414">
        <f t="shared" si="24"/>
        <v>0</v>
      </c>
      <c r="Y195" s="439">
        <f t="shared" si="27"/>
        <v>0</v>
      </c>
      <c r="Z195" s="439">
        <f t="shared" si="25"/>
        <v>0</v>
      </c>
    </row>
    <row r="196" spans="1:26">
      <c r="A196" s="453">
        <f t="shared" si="26"/>
        <v>1.03</v>
      </c>
      <c r="B196" s="383">
        <v>31</v>
      </c>
      <c r="D196" s="406"/>
      <c r="E196" s="407"/>
      <c r="F196" s="407"/>
      <c r="G196" s="407"/>
      <c r="H196" s="407"/>
      <c r="I196" s="407"/>
      <c r="J196" s="408" t="s">
        <v>442</v>
      </c>
      <c r="K196" s="409" t="str">
        <f t="shared" si="23"/>
        <v>A=(Ancho x Largo)* Cant</v>
      </c>
      <c r="L196" s="410" t="str">
        <f t="shared" si="29"/>
        <v>M2</v>
      </c>
      <c r="M196" s="411">
        <f>+HLOOKUP(B196,[238]Hoja1!$2:$78,7,FALSE)</f>
        <v>0</v>
      </c>
      <c r="N196" s="412"/>
      <c r="O196" s="442"/>
      <c r="P196" s="442"/>
      <c r="Q196" s="413"/>
      <c r="R196" s="413"/>
      <c r="S196" s="413"/>
      <c r="T196" s="414">
        <f t="shared" si="24"/>
        <v>0</v>
      </c>
      <c r="Y196" s="439">
        <f t="shared" si="27"/>
        <v>0</v>
      </c>
      <c r="Z196" s="439">
        <f t="shared" si="25"/>
        <v>0</v>
      </c>
    </row>
    <row r="197" spans="1:26">
      <c r="A197" s="453">
        <f t="shared" si="26"/>
        <v>1.03</v>
      </c>
      <c r="B197" s="383">
        <v>32</v>
      </c>
      <c r="D197" s="406"/>
      <c r="E197" s="407"/>
      <c r="F197" s="407"/>
      <c r="G197" s="407"/>
      <c r="H197" s="407"/>
      <c r="I197" s="407"/>
      <c r="J197" s="408" t="s">
        <v>443</v>
      </c>
      <c r="K197" s="409" t="str">
        <f t="shared" si="23"/>
        <v>A=(Ancho x Largo)* Cant</v>
      </c>
      <c r="L197" s="410" t="str">
        <f t="shared" si="29"/>
        <v>M2</v>
      </c>
      <c r="M197" s="411">
        <f>+HLOOKUP(B197,[238]Hoja1!$2:$78,7,FALSE)</f>
        <v>0</v>
      </c>
      <c r="N197" s="412"/>
      <c r="O197" s="442"/>
      <c r="P197" s="442"/>
      <c r="Q197" s="412"/>
      <c r="R197" s="412"/>
      <c r="S197" s="413"/>
      <c r="T197" s="414">
        <f t="shared" si="24"/>
        <v>0</v>
      </c>
      <c r="Y197" s="439">
        <f t="shared" si="27"/>
        <v>0</v>
      </c>
      <c r="Z197" s="439">
        <f t="shared" si="25"/>
        <v>0</v>
      </c>
    </row>
    <row r="198" spans="1:26">
      <c r="A198" s="453">
        <f t="shared" si="26"/>
        <v>1.03</v>
      </c>
      <c r="B198" s="383">
        <v>33</v>
      </c>
      <c r="D198" s="406"/>
      <c r="E198" s="407"/>
      <c r="F198" s="407"/>
      <c r="G198" s="407"/>
      <c r="H198" s="407"/>
      <c r="I198" s="407"/>
      <c r="J198" s="408" t="s">
        <v>444</v>
      </c>
      <c r="K198" s="409" t="str">
        <f t="shared" si="23"/>
        <v>A=(Ancho x Largo)* Cant</v>
      </c>
      <c r="L198" s="410" t="str">
        <f t="shared" si="29"/>
        <v>M2</v>
      </c>
      <c r="M198" s="411">
        <f>+HLOOKUP(B198,[238]Hoja1!$2:$78,7,FALSE)</f>
        <v>0</v>
      </c>
      <c r="N198" s="412"/>
      <c r="O198" s="442"/>
      <c r="P198" s="442"/>
      <c r="Q198" s="412"/>
      <c r="R198" s="412"/>
      <c r="S198" s="413"/>
      <c r="T198" s="414">
        <f t="shared" si="24"/>
        <v>0</v>
      </c>
      <c r="Y198" s="439">
        <f t="shared" si="27"/>
        <v>0</v>
      </c>
      <c r="Z198" s="439">
        <f t="shared" si="25"/>
        <v>0</v>
      </c>
    </row>
    <row r="199" spans="1:26">
      <c r="A199" s="453">
        <f t="shared" si="26"/>
        <v>1.03</v>
      </c>
      <c r="B199" s="383">
        <v>34</v>
      </c>
      <c r="D199" s="406"/>
      <c r="E199" s="407"/>
      <c r="F199" s="407"/>
      <c r="G199" s="407"/>
      <c r="H199" s="407"/>
      <c r="I199" s="407"/>
      <c r="J199" s="408" t="s">
        <v>445</v>
      </c>
      <c r="K199" s="409" t="str">
        <f t="shared" si="23"/>
        <v>A=(Ancho x Largo)* Cant</v>
      </c>
      <c r="L199" s="410" t="str">
        <f t="shared" si="29"/>
        <v>M2</v>
      </c>
      <c r="M199" s="411">
        <f>+HLOOKUP(B199,[238]Hoja1!$2:$78,7,FALSE)</f>
        <v>0</v>
      </c>
      <c r="N199" s="412"/>
      <c r="O199" s="443"/>
      <c r="P199" s="443"/>
      <c r="Q199" s="412"/>
      <c r="R199" s="412"/>
      <c r="S199" s="413"/>
      <c r="T199" s="414">
        <f t="shared" si="24"/>
        <v>0</v>
      </c>
      <c r="Y199" s="439">
        <f t="shared" si="27"/>
        <v>0</v>
      </c>
      <c r="Z199" s="439">
        <f t="shared" si="25"/>
        <v>0</v>
      </c>
    </row>
    <row r="200" spans="1:26">
      <c r="A200" s="453">
        <f t="shared" si="26"/>
        <v>1.03</v>
      </c>
      <c r="B200" s="383">
        <v>35</v>
      </c>
      <c r="D200" s="406"/>
      <c r="E200" s="440"/>
      <c r="F200" s="407"/>
      <c r="G200" s="407"/>
      <c r="H200" s="407"/>
      <c r="I200" s="437"/>
      <c r="J200" s="408" t="s">
        <v>446</v>
      </c>
      <c r="K200" s="409" t="str">
        <f t="shared" si="23"/>
        <v>A=(Ancho x Largo)* Cant</v>
      </c>
      <c r="L200" s="410" t="str">
        <f t="shared" si="29"/>
        <v>M2</v>
      </c>
      <c r="M200" s="411">
        <f>+HLOOKUP(B200,[238]Hoja1!$2:$78,7,FALSE)</f>
        <v>0</v>
      </c>
      <c r="N200" s="412"/>
      <c r="O200" s="442"/>
      <c r="P200" s="442"/>
      <c r="Q200" s="413"/>
      <c r="R200" s="413"/>
      <c r="S200" s="413"/>
      <c r="T200" s="414">
        <f t="shared" si="24"/>
        <v>0</v>
      </c>
      <c r="Y200" s="439">
        <f t="shared" si="27"/>
        <v>0</v>
      </c>
      <c r="Z200" s="439">
        <f t="shared" si="25"/>
        <v>0</v>
      </c>
    </row>
    <row r="201" spans="1:26">
      <c r="A201" s="453">
        <f t="shared" si="26"/>
        <v>1.03</v>
      </c>
      <c r="B201" s="383">
        <v>36</v>
      </c>
      <c r="D201" s="406"/>
      <c r="E201" s="407"/>
      <c r="F201" s="407"/>
      <c r="G201" s="407"/>
      <c r="H201" s="407"/>
      <c r="I201" s="407"/>
      <c r="J201" s="408" t="s">
        <v>447</v>
      </c>
      <c r="K201" s="409" t="str">
        <f t="shared" si="23"/>
        <v>A=(Ancho x Largo)* Cant</v>
      </c>
      <c r="L201" s="410" t="str">
        <f>+L190</f>
        <v>M2</v>
      </c>
      <c r="M201" s="411">
        <f>+HLOOKUP(B201,[238]Hoja1!$2:$78,7,FALSE)</f>
        <v>0</v>
      </c>
      <c r="N201" s="412"/>
      <c r="O201" s="442"/>
      <c r="P201" s="442"/>
      <c r="Q201" s="412"/>
      <c r="R201" s="412"/>
      <c r="S201" s="413"/>
      <c r="T201" s="414">
        <f t="shared" si="24"/>
        <v>0</v>
      </c>
      <c r="Y201" s="439">
        <f t="shared" si="27"/>
        <v>0</v>
      </c>
      <c r="Z201" s="439">
        <f t="shared" si="25"/>
        <v>0</v>
      </c>
    </row>
    <row r="202" spans="1:26">
      <c r="A202" s="453">
        <f t="shared" si="26"/>
        <v>1.03</v>
      </c>
      <c r="B202" s="383">
        <v>37</v>
      </c>
      <c r="D202" s="406"/>
      <c r="E202" s="407"/>
      <c r="F202" s="407"/>
      <c r="G202" s="407"/>
      <c r="H202" s="407"/>
      <c r="I202" s="407"/>
      <c r="J202" s="408" t="s">
        <v>448</v>
      </c>
      <c r="K202" s="409" t="str">
        <f t="shared" si="23"/>
        <v>A=(Ancho x Largo)* Cant</v>
      </c>
      <c r="L202" s="410" t="str">
        <f t="shared" ref="L202:L208" si="30">+L201</f>
        <v>M2</v>
      </c>
      <c r="M202" s="411">
        <f>+HLOOKUP(B202,[238]Hoja1!$2:$78,7,FALSE)</f>
        <v>13.7475</v>
      </c>
      <c r="N202" s="412"/>
      <c r="O202" s="441">
        <f>+M202/5.85</f>
        <v>2.35</v>
      </c>
      <c r="P202" s="441">
        <v>5.85</v>
      </c>
      <c r="Q202" s="412"/>
      <c r="R202" s="412"/>
      <c r="S202" s="413">
        <v>1</v>
      </c>
      <c r="T202" s="414">
        <f t="shared" si="24"/>
        <v>13.7475</v>
      </c>
      <c r="Y202" s="439">
        <f t="shared" si="27"/>
        <v>13.7475</v>
      </c>
      <c r="Z202" s="439">
        <f t="shared" si="25"/>
        <v>0</v>
      </c>
    </row>
    <row r="203" spans="1:26">
      <c r="A203" s="453">
        <f t="shared" si="26"/>
        <v>1.03</v>
      </c>
      <c r="B203" s="383">
        <v>38</v>
      </c>
      <c r="D203" s="406"/>
      <c r="E203" s="440"/>
      <c r="F203" s="407"/>
      <c r="G203" s="407"/>
      <c r="H203" s="407"/>
      <c r="I203" s="437"/>
      <c r="J203" s="408" t="s">
        <v>449</v>
      </c>
      <c r="K203" s="409" t="str">
        <f t="shared" si="23"/>
        <v>A=(Ancho x Largo)* Cant</v>
      </c>
      <c r="L203" s="410" t="str">
        <f t="shared" si="30"/>
        <v>M2</v>
      </c>
      <c r="M203" s="411">
        <f>+HLOOKUP(B203,[238]Hoja1!$2:$78,7,FALSE)</f>
        <v>0</v>
      </c>
      <c r="N203" s="412"/>
      <c r="O203" s="442"/>
      <c r="P203" s="442"/>
      <c r="Q203" s="413"/>
      <c r="R203" s="413"/>
      <c r="S203" s="413"/>
      <c r="T203" s="414">
        <f t="shared" si="24"/>
        <v>0</v>
      </c>
      <c r="Y203" s="439">
        <f t="shared" si="27"/>
        <v>0</v>
      </c>
      <c r="Z203" s="439">
        <f t="shared" si="25"/>
        <v>0</v>
      </c>
    </row>
    <row r="204" spans="1:26">
      <c r="A204" s="453">
        <f t="shared" si="26"/>
        <v>1.03</v>
      </c>
      <c r="B204" s="383">
        <v>39</v>
      </c>
      <c r="D204" s="406"/>
      <c r="E204" s="407"/>
      <c r="F204" s="407"/>
      <c r="G204" s="407"/>
      <c r="H204" s="407"/>
      <c r="I204" s="407"/>
      <c r="J204" s="408" t="s">
        <v>450</v>
      </c>
      <c r="K204" s="409" t="str">
        <f t="shared" si="23"/>
        <v>A=(Ancho x Largo)* Cant</v>
      </c>
      <c r="L204" s="410" t="str">
        <f t="shared" si="30"/>
        <v>M2</v>
      </c>
      <c r="M204" s="411">
        <f>+HLOOKUP(B204,[238]Hoja1!$2:$78,7,FALSE)</f>
        <v>0</v>
      </c>
      <c r="N204" s="412"/>
      <c r="O204" s="441"/>
      <c r="P204" s="441"/>
      <c r="Q204" s="412"/>
      <c r="R204" s="412"/>
      <c r="S204" s="413"/>
      <c r="T204" s="414">
        <f t="shared" si="24"/>
        <v>0</v>
      </c>
      <c r="Y204" s="439">
        <f t="shared" si="27"/>
        <v>0</v>
      </c>
      <c r="Z204" s="439">
        <f t="shared" si="25"/>
        <v>0</v>
      </c>
    </row>
    <row r="205" spans="1:26">
      <c r="A205" s="453">
        <f t="shared" si="26"/>
        <v>1.03</v>
      </c>
      <c r="B205" s="383">
        <v>40</v>
      </c>
      <c r="D205" s="406"/>
      <c r="E205" s="407"/>
      <c r="F205" s="407"/>
      <c r="G205" s="407"/>
      <c r="H205" s="407"/>
      <c r="I205" s="407"/>
      <c r="J205" s="408" t="s">
        <v>451</v>
      </c>
      <c r="K205" s="409" t="str">
        <f t="shared" si="23"/>
        <v>A=(Ancho x Largo)* Cant</v>
      </c>
      <c r="L205" s="410" t="str">
        <f t="shared" si="30"/>
        <v>M2</v>
      </c>
      <c r="M205" s="411">
        <f>+HLOOKUP(B205,[238]Hoja1!$2:$78,7,FALSE)</f>
        <v>0</v>
      </c>
      <c r="N205" s="412"/>
      <c r="O205" s="442"/>
      <c r="P205" s="442"/>
      <c r="Q205" s="412"/>
      <c r="R205" s="412"/>
      <c r="S205" s="413"/>
      <c r="T205" s="414">
        <f t="shared" si="24"/>
        <v>0</v>
      </c>
      <c r="Y205" s="439">
        <f t="shared" si="27"/>
        <v>0</v>
      </c>
      <c r="Z205" s="439">
        <f t="shared" si="25"/>
        <v>0</v>
      </c>
    </row>
    <row r="206" spans="1:26">
      <c r="A206" s="453">
        <f t="shared" si="26"/>
        <v>1.03</v>
      </c>
      <c r="B206" s="383">
        <v>41</v>
      </c>
      <c r="D206" s="406"/>
      <c r="E206" s="407"/>
      <c r="F206" s="407"/>
      <c r="G206" s="407"/>
      <c r="H206" s="407"/>
      <c r="I206" s="407"/>
      <c r="J206" s="408" t="s">
        <v>452</v>
      </c>
      <c r="K206" s="409" t="str">
        <f t="shared" si="23"/>
        <v>A=(Ancho x Largo)* Cant</v>
      </c>
      <c r="L206" s="410" t="str">
        <f t="shared" si="30"/>
        <v>M2</v>
      </c>
      <c r="M206" s="411">
        <f>+HLOOKUP(B206,[238]Hoja1!$2:$78,7,FALSE)</f>
        <v>0</v>
      </c>
      <c r="N206" s="412"/>
      <c r="O206" s="442"/>
      <c r="P206" s="442"/>
      <c r="Q206" s="413"/>
      <c r="R206" s="413"/>
      <c r="S206" s="413"/>
      <c r="T206" s="414">
        <f t="shared" si="24"/>
        <v>0</v>
      </c>
      <c r="Y206" s="439">
        <f t="shared" si="27"/>
        <v>0</v>
      </c>
      <c r="Z206" s="439">
        <f t="shared" si="25"/>
        <v>0</v>
      </c>
    </row>
    <row r="207" spans="1:26">
      <c r="A207" s="453">
        <f t="shared" si="26"/>
        <v>1.03</v>
      </c>
      <c r="B207" s="383">
        <v>42</v>
      </c>
      <c r="D207" s="406"/>
      <c r="E207" s="407"/>
      <c r="F207" s="407"/>
      <c r="G207" s="407"/>
      <c r="H207" s="407"/>
      <c r="I207" s="407"/>
      <c r="J207" s="408" t="s">
        <v>453</v>
      </c>
      <c r="K207" s="409" t="str">
        <f t="shared" si="23"/>
        <v>A=(Ancho x Largo)* Cant</v>
      </c>
      <c r="L207" s="410" t="str">
        <f t="shared" si="30"/>
        <v>M2</v>
      </c>
      <c r="M207" s="411">
        <f>+HLOOKUP(B207,[238]Hoja1!$2:$78,7,FALSE)</f>
        <v>0</v>
      </c>
      <c r="N207" s="412"/>
      <c r="O207" s="442"/>
      <c r="P207" s="442"/>
      <c r="Q207" s="412"/>
      <c r="R207" s="412"/>
      <c r="S207" s="413"/>
      <c r="T207" s="414">
        <f t="shared" si="24"/>
        <v>0</v>
      </c>
      <c r="Y207" s="439">
        <f t="shared" si="27"/>
        <v>0</v>
      </c>
      <c r="Z207" s="439">
        <f t="shared" si="25"/>
        <v>0</v>
      </c>
    </row>
    <row r="208" spans="1:26" ht="13.5" thickBot="1">
      <c r="A208" s="453">
        <f t="shared" si="26"/>
        <v>1.03</v>
      </c>
      <c r="B208" s="383">
        <v>43</v>
      </c>
      <c r="D208" s="406"/>
      <c r="E208" s="407"/>
      <c r="F208" s="407"/>
      <c r="G208" s="407"/>
      <c r="H208" s="407"/>
      <c r="I208" s="407"/>
      <c r="J208" s="408" t="s">
        <v>454</v>
      </c>
      <c r="K208" s="409" t="str">
        <f t="shared" si="23"/>
        <v>A=(Ancho x Largo)* Cant</v>
      </c>
      <c r="L208" s="410" t="str">
        <f t="shared" si="30"/>
        <v>M2</v>
      </c>
      <c r="M208" s="411">
        <f>+HLOOKUP(B208,[238]Hoja1!$2:$78,7,FALSE)</f>
        <v>0</v>
      </c>
      <c r="N208" s="412"/>
      <c r="O208" s="442"/>
      <c r="P208" s="442"/>
      <c r="Q208" s="412"/>
      <c r="R208" s="412"/>
      <c r="S208" s="413"/>
      <c r="T208" s="414">
        <f t="shared" si="24"/>
        <v>0</v>
      </c>
      <c r="Y208" s="439">
        <f t="shared" si="27"/>
        <v>0</v>
      </c>
      <c r="Z208" s="439">
        <f t="shared" si="25"/>
        <v>0</v>
      </c>
    </row>
    <row r="209" spans="4:20">
      <c r="D209" s="384"/>
      <c r="E209" s="419"/>
      <c r="F209" s="420"/>
      <c r="G209" s="421"/>
      <c r="H209" s="421"/>
      <c r="I209" s="421"/>
      <c r="J209" s="421"/>
      <c r="K209" s="422"/>
      <c r="L209" s="421"/>
      <c r="M209" s="421"/>
      <c r="N209" s="421"/>
      <c r="O209" s="421"/>
      <c r="P209" s="421"/>
      <c r="Q209" s="421"/>
      <c r="R209" s="421"/>
      <c r="S209" s="422"/>
      <c r="T209" s="423"/>
    </row>
    <row r="210" spans="4:20">
      <c r="D210" s="396"/>
      <c r="E210" s="397"/>
      <c r="F210" s="424"/>
      <c r="G210" s="425"/>
      <c r="H210" s="425"/>
      <c r="I210" s="425"/>
      <c r="J210" s="425"/>
      <c r="K210" s="398"/>
      <c r="L210" s="425"/>
      <c r="M210" s="425"/>
      <c r="N210" s="397"/>
      <c r="O210" s="397"/>
      <c r="P210" s="562" t="s">
        <v>455</v>
      </c>
      <c r="Q210" s="563"/>
      <c r="R210" s="564"/>
      <c r="S210" s="426"/>
      <c r="T210" s="427">
        <f>ROUND(SUM(T166:T209),2)</f>
        <v>13.75</v>
      </c>
    </row>
    <row r="211" spans="4:20">
      <c r="D211" s="396"/>
      <c r="E211" s="397"/>
      <c r="F211" s="424"/>
      <c r="G211" s="425"/>
      <c r="H211" s="425"/>
      <c r="I211" s="425"/>
      <c r="J211" s="425"/>
      <c r="K211" s="398"/>
      <c r="L211" s="425"/>
      <c r="M211" s="425"/>
      <c r="N211" s="428"/>
      <c r="O211" s="428"/>
      <c r="P211" s="429"/>
      <c r="Q211" s="425"/>
      <c r="R211" s="425"/>
      <c r="S211" s="430"/>
      <c r="T211" s="431"/>
    </row>
    <row r="212" spans="4:20">
      <c r="D212" s="565" t="e">
        <v>#REF!</v>
      </c>
      <c r="E212" s="566"/>
      <c r="F212" s="566"/>
      <c r="G212" s="566"/>
      <c r="H212" s="566"/>
      <c r="I212" s="566"/>
      <c r="J212" s="566"/>
      <c r="K212" s="566"/>
      <c r="L212" s="566"/>
      <c r="M212" s="566"/>
      <c r="N212" s="566"/>
      <c r="O212" s="567"/>
      <c r="P212" s="568" t="s">
        <v>422</v>
      </c>
      <c r="Q212" s="568"/>
      <c r="R212" s="568"/>
      <c r="S212" s="426"/>
      <c r="T212" s="427">
        <f>T210</f>
        <v>13.75</v>
      </c>
    </row>
    <row r="213" spans="4:20">
      <c r="D213" s="396"/>
      <c r="E213" s="397"/>
      <c r="F213" s="424"/>
      <c r="G213" s="425"/>
      <c r="H213" s="425"/>
      <c r="I213" s="425"/>
      <c r="J213" s="425"/>
      <c r="K213" s="398"/>
      <c r="L213" s="425"/>
      <c r="M213" s="425"/>
      <c r="N213" s="428"/>
      <c r="O213" s="428"/>
      <c r="P213" s="429"/>
      <c r="Q213" s="425"/>
      <c r="R213" s="398"/>
      <c r="S213" s="398"/>
      <c r="T213" s="432"/>
    </row>
    <row r="214" spans="4:20">
      <c r="D214" s="396"/>
      <c r="E214" s="397"/>
      <c r="F214" s="424"/>
      <c r="G214" s="425"/>
      <c r="H214" s="425"/>
      <c r="I214" s="425"/>
      <c r="J214" s="425"/>
      <c r="K214" s="398"/>
      <c r="L214" s="425"/>
      <c r="M214" s="425"/>
      <c r="N214" s="428"/>
      <c r="O214" s="428"/>
      <c r="P214" s="429"/>
      <c r="Q214" s="425"/>
      <c r="R214" s="398"/>
      <c r="S214" s="398"/>
      <c r="T214" s="432"/>
    </row>
    <row r="215" spans="4:20">
      <c r="D215" s="569" t="s">
        <v>423</v>
      </c>
      <c r="E215" s="570"/>
      <c r="F215" s="570"/>
      <c r="G215" s="570"/>
      <c r="H215" s="570"/>
      <c r="I215" s="570"/>
      <c r="J215" s="570"/>
      <c r="K215" s="571"/>
      <c r="L215" s="433" t="s">
        <v>424</v>
      </c>
      <c r="M215" s="434"/>
      <c r="N215" s="434"/>
      <c r="O215" s="434"/>
      <c r="P215" s="434"/>
      <c r="Q215" s="434"/>
      <c r="R215" s="434"/>
      <c r="S215" s="434"/>
      <c r="T215" s="435"/>
    </row>
    <row r="216" spans="4:20">
      <c r="D216" s="542"/>
      <c r="E216" s="543"/>
      <c r="F216" s="543"/>
      <c r="G216" s="543"/>
      <c r="H216" s="436"/>
      <c r="I216" s="436"/>
      <c r="J216" s="436"/>
      <c r="K216" s="447"/>
      <c r="L216" s="436"/>
      <c r="M216" s="407"/>
      <c r="N216" s="407"/>
      <c r="O216" s="407"/>
      <c r="P216" s="407"/>
      <c r="Q216" s="407"/>
      <c r="R216" s="407"/>
      <c r="S216" s="407"/>
      <c r="T216" s="437"/>
    </row>
    <row r="217" spans="4:20">
      <c r="D217" s="542"/>
      <c r="E217" s="543"/>
      <c r="F217" s="543"/>
      <c r="G217" s="543"/>
      <c r="H217" s="436"/>
      <c r="I217" s="436"/>
      <c r="J217" s="436"/>
      <c r="K217" s="447"/>
      <c r="L217" s="436"/>
      <c r="M217" s="407"/>
      <c r="N217" s="407"/>
      <c r="O217" s="407"/>
      <c r="P217" s="407"/>
      <c r="Q217" s="407"/>
      <c r="R217" s="407"/>
      <c r="S217" s="407"/>
      <c r="T217" s="437"/>
    </row>
    <row r="218" spans="4:20">
      <c r="D218" s="542" t="s">
        <v>425</v>
      </c>
      <c r="E218" s="543"/>
      <c r="F218" s="543" t="s">
        <v>425</v>
      </c>
      <c r="G218" s="543"/>
      <c r="H218" s="543" t="s">
        <v>425</v>
      </c>
      <c r="I218" s="543"/>
      <c r="J218" s="543" t="s">
        <v>425</v>
      </c>
      <c r="K218" s="544"/>
      <c r="L218" s="545" t="s">
        <v>426</v>
      </c>
      <c r="M218" s="546"/>
      <c r="N218" s="546"/>
      <c r="O218" s="546"/>
      <c r="P218" s="546"/>
      <c r="Q218" s="546"/>
      <c r="R218" s="546"/>
      <c r="S218" s="546"/>
      <c r="T218" s="547"/>
    </row>
    <row r="219" spans="4:20">
      <c r="D219" s="548" t="str">
        <f>+[42]DATOS!D$8</f>
        <v>HELMER EDUARDO BECERRA SANTANDER</v>
      </c>
      <c r="E219" s="549"/>
      <c r="F219" s="549" t="s">
        <v>427</v>
      </c>
      <c r="G219" s="549"/>
      <c r="H219" s="549" t="s">
        <v>427</v>
      </c>
      <c r="I219" s="549"/>
      <c r="J219" s="549" t="s">
        <v>427</v>
      </c>
      <c r="K219" s="550"/>
      <c r="L219" s="551" t="str">
        <f>+[42]DATOS!D$11</f>
        <v>JESUS IVAN QUIÑONES RUEDA</v>
      </c>
      <c r="M219" s="549"/>
      <c r="N219" s="549"/>
      <c r="O219" s="549"/>
      <c r="P219" s="549"/>
      <c r="Q219" s="549"/>
      <c r="R219" s="549"/>
      <c r="S219" s="549"/>
      <c r="T219" s="552"/>
    </row>
    <row r="220" spans="4:20">
      <c r="D220" s="553" t="str">
        <f>+$D$72</f>
        <v>APOYO SEC. DE PLANEACION Y OBRAS PÚBLICAS</v>
      </c>
      <c r="E220" s="554"/>
      <c r="F220" s="554" t="s">
        <v>428</v>
      </c>
      <c r="G220" s="554"/>
      <c r="H220" s="554" t="s">
        <v>428</v>
      </c>
      <c r="I220" s="554"/>
      <c r="J220" s="554" t="s">
        <v>428</v>
      </c>
      <c r="K220" s="555"/>
      <c r="L220" s="556" t="str">
        <f>+$L$72</f>
        <v>SECRETARIO DE PLANEACION Y OBRAS PÚBLICAS</v>
      </c>
      <c r="M220" s="554"/>
      <c r="N220" s="554"/>
      <c r="O220" s="554"/>
      <c r="P220" s="554"/>
      <c r="Q220" s="554"/>
      <c r="R220" s="554"/>
      <c r="S220" s="554"/>
      <c r="T220" s="557"/>
    </row>
    <row r="221" spans="4:20">
      <c r="D221" s="406"/>
      <c r="E221" s="407"/>
      <c r="F221" s="407"/>
      <c r="G221" s="407"/>
      <c r="H221" s="407"/>
      <c r="I221" s="407"/>
      <c r="J221" s="407"/>
      <c r="K221" s="407"/>
      <c r="L221" s="407"/>
      <c r="M221" s="407"/>
      <c r="N221" s="407"/>
      <c r="O221" s="407"/>
      <c r="P221" s="407"/>
      <c r="Q221" s="407"/>
      <c r="R221" s="407"/>
      <c r="S221" s="407"/>
      <c r="T221" s="437"/>
    </row>
    <row r="222" spans="4:20" ht="111" customHeight="1" thickBot="1">
      <c r="D222" s="417"/>
      <c r="E222" s="418"/>
      <c r="F222" s="418"/>
      <c r="G222" s="418"/>
      <c r="H222" s="418"/>
      <c r="I222" s="418"/>
      <c r="J222" s="418"/>
      <c r="K222" s="418"/>
      <c r="L222" s="418"/>
      <c r="M222" s="418"/>
      <c r="N222" s="418"/>
      <c r="O222" s="418"/>
      <c r="P222" s="418"/>
      <c r="Q222" s="418"/>
      <c r="R222" s="418"/>
      <c r="S222" s="418"/>
      <c r="T222" s="438"/>
    </row>
    <row r="223" spans="4:20" ht="22.5" customHeight="1"/>
    <row r="224" spans="4:20" ht="13.5" thickBot="1"/>
    <row r="225" spans="1:25">
      <c r="D225" s="384"/>
      <c r="E225" s="385"/>
      <c r="F225" s="385"/>
      <c r="G225" s="385"/>
      <c r="H225" s="385"/>
      <c r="I225" s="385"/>
      <c r="J225" s="385"/>
      <c r="K225" s="445"/>
      <c r="L225" s="385"/>
      <c r="M225" s="385"/>
      <c r="N225" s="385"/>
      <c r="O225" s="385"/>
      <c r="P225" s="385"/>
      <c r="Q225" s="385"/>
      <c r="R225" s="385"/>
      <c r="S225" s="385"/>
      <c r="T225" s="386"/>
    </row>
    <row r="226" spans="1:25" ht="117" customHeight="1" thickBot="1">
      <c r="D226" s="387"/>
      <c r="E226" s="388"/>
      <c r="F226" s="388"/>
      <c r="G226" s="388"/>
      <c r="H226" s="388"/>
      <c r="I226" s="388"/>
      <c r="J226" s="388"/>
      <c r="K226" s="446"/>
      <c r="L226" s="388"/>
      <c r="M226" s="388"/>
      <c r="N226" s="388"/>
      <c r="O226" s="388"/>
      <c r="P226" s="388"/>
      <c r="Q226" s="388"/>
      <c r="R226" s="388"/>
      <c r="S226" s="388"/>
      <c r="T226" s="389"/>
    </row>
    <row r="227" spans="1:25">
      <c r="D227" s="592" t="str">
        <f>+[42]DATOS!C$7</f>
        <v>MEJORAMIENTO DE VIVIENDA CON ENFOQUE DIFERENCIAL PARA POBLACIÓN VULNERABLE EN EL MUNICIPIO DE CUBARÁ, BOYACÁ (2026).</v>
      </c>
      <c r="E227" s="593"/>
      <c r="F227" s="593"/>
      <c r="G227" s="593"/>
      <c r="H227" s="593"/>
      <c r="I227" s="593"/>
      <c r="J227" s="593"/>
      <c r="K227" s="593"/>
      <c r="L227" s="593"/>
      <c r="M227" s="593"/>
      <c r="N227" s="593"/>
      <c r="O227" s="593"/>
      <c r="P227" s="593"/>
      <c r="Q227" s="593"/>
      <c r="R227" s="593"/>
      <c r="S227" s="593"/>
      <c r="T227" s="594"/>
    </row>
    <row r="228" spans="1:25">
      <c r="D228" s="595"/>
      <c r="E228" s="596"/>
      <c r="F228" s="596"/>
      <c r="G228" s="596"/>
      <c r="H228" s="596"/>
      <c r="I228" s="596"/>
      <c r="J228" s="596"/>
      <c r="K228" s="596"/>
      <c r="L228" s="596"/>
      <c r="M228" s="596"/>
      <c r="N228" s="596"/>
      <c r="O228" s="596"/>
      <c r="P228" s="596"/>
      <c r="Q228" s="596"/>
      <c r="R228" s="596"/>
      <c r="S228" s="596"/>
      <c r="T228" s="597"/>
    </row>
    <row r="229" spans="1:25">
      <c r="D229" s="598" t="s">
        <v>371</v>
      </c>
      <c r="E229" s="599"/>
      <c r="F229" s="599"/>
      <c r="G229" s="599"/>
      <c r="H229" s="599"/>
      <c r="I229" s="599"/>
      <c r="J229" s="599"/>
      <c r="K229" s="599"/>
      <c r="L229" s="599"/>
      <c r="M229" s="599"/>
      <c r="N229" s="599"/>
      <c r="O229" s="599"/>
      <c r="P229" s="599"/>
      <c r="Q229" s="599"/>
      <c r="R229" s="599"/>
      <c r="S229" s="599"/>
      <c r="T229" s="600"/>
    </row>
    <row r="230" spans="1:25">
      <c r="D230" s="586" t="s">
        <v>372</v>
      </c>
      <c r="E230" s="587"/>
      <c r="F230" s="601" t="s">
        <v>373</v>
      </c>
      <c r="G230" s="601"/>
      <c r="H230" s="601"/>
      <c r="I230" s="601"/>
      <c r="J230" s="601"/>
      <c r="K230" s="601"/>
      <c r="L230" s="601"/>
      <c r="M230" s="601"/>
      <c r="N230" s="601"/>
      <c r="O230" s="601"/>
      <c r="P230" s="601"/>
      <c r="Q230" s="601"/>
      <c r="R230" s="601"/>
      <c r="S230" s="601"/>
      <c r="T230" s="602"/>
    </row>
    <row r="231" spans="1:25">
      <c r="D231" s="586" t="s">
        <v>374</v>
      </c>
      <c r="E231" s="587"/>
      <c r="F231" s="603" t="s">
        <v>375</v>
      </c>
      <c r="G231" s="604"/>
      <c r="H231" s="604"/>
      <c r="I231" s="604"/>
      <c r="J231" s="604"/>
      <c r="K231" s="604"/>
      <c r="L231" s="604"/>
      <c r="M231" s="604"/>
      <c r="N231" s="604"/>
      <c r="O231" s="604"/>
      <c r="P231" s="604"/>
      <c r="Q231" s="604"/>
      <c r="R231" s="604"/>
      <c r="S231" s="604"/>
      <c r="T231" s="605"/>
    </row>
    <row r="232" spans="1:25">
      <c r="D232" s="586" t="s">
        <v>376</v>
      </c>
      <c r="E232" s="587"/>
      <c r="F232" s="390">
        <f>+[42]DATOS!F$5</f>
        <v>46143</v>
      </c>
      <c r="G232" s="391"/>
      <c r="H232" s="391"/>
      <c r="I232" s="391"/>
      <c r="J232" s="391"/>
      <c r="K232" s="391"/>
      <c r="L232" s="568" t="s">
        <v>377</v>
      </c>
      <c r="M232" s="568"/>
      <c r="N232" s="588" t="s">
        <v>378</v>
      </c>
      <c r="O232" s="588"/>
      <c r="P232" s="588"/>
      <c r="Q232" s="588"/>
      <c r="R232" s="588"/>
      <c r="S232" s="588"/>
      <c r="T232" s="589"/>
    </row>
    <row r="233" spans="1:25" ht="25.5">
      <c r="D233" s="586" t="s">
        <v>379</v>
      </c>
      <c r="E233" s="587"/>
      <c r="F233" s="590" t="s">
        <v>380</v>
      </c>
      <c r="G233" s="591"/>
      <c r="H233" s="392">
        <f>+[42]DATOS!E$5</f>
        <v>2026</v>
      </c>
      <c r="I233" s="393" t="s">
        <v>381</v>
      </c>
      <c r="J233" s="394">
        <f>+[42]DATOS!E$5</f>
        <v>2026</v>
      </c>
      <c r="K233" s="395"/>
      <c r="L233" s="568" t="s">
        <v>382</v>
      </c>
      <c r="M233" s="568"/>
      <c r="N233" s="588" t="s">
        <v>383</v>
      </c>
      <c r="O233" s="588"/>
      <c r="P233" s="588"/>
      <c r="Q233" s="588"/>
      <c r="R233" s="588"/>
      <c r="S233" s="588"/>
      <c r="T233" s="589"/>
    </row>
    <row r="234" spans="1:25">
      <c r="D234" s="396"/>
      <c r="E234" s="397"/>
      <c r="F234" s="397"/>
      <c r="G234" s="398"/>
      <c r="H234" s="398"/>
      <c r="I234" s="398"/>
      <c r="J234" s="398"/>
      <c r="K234" s="398"/>
      <c r="L234" s="398"/>
      <c r="M234" s="398"/>
      <c r="N234" s="398"/>
      <c r="O234" s="398"/>
      <c r="P234" s="398"/>
      <c r="Q234" s="398"/>
      <c r="R234" s="398"/>
      <c r="S234" s="398"/>
      <c r="T234" s="399"/>
    </row>
    <row r="235" spans="1:25">
      <c r="D235" s="572" t="s">
        <v>384</v>
      </c>
      <c r="E235" s="573"/>
      <c r="F235" s="573"/>
      <c r="G235" s="573"/>
      <c r="H235" s="573"/>
      <c r="I235" s="573"/>
      <c r="J235" s="573"/>
      <c r="K235" s="573"/>
      <c r="L235" s="573"/>
      <c r="M235" s="573"/>
      <c r="N235" s="573"/>
      <c r="O235" s="573"/>
      <c r="P235" s="573"/>
      <c r="Q235" s="573"/>
      <c r="R235" s="573"/>
      <c r="S235" s="573"/>
      <c r="T235" s="574"/>
    </row>
    <row r="236" spans="1:25">
      <c r="D236" s="396"/>
      <c r="E236" s="397"/>
      <c r="F236" s="397"/>
      <c r="G236" s="398"/>
      <c r="H236" s="398"/>
      <c r="I236" s="398"/>
      <c r="J236" s="398"/>
      <c r="K236" s="398"/>
      <c r="L236" s="398"/>
      <c r="M236" s="398"/>
      <c r="N236" s="398"/>
      <c r="O236" s="398"/>
      <c r="P236" s="398"/>
      <c r="Q236" s="398"/>
      <c r="R236" s="398"/>
      <c r="S236" s="398"/>
      <c r="T236" s="399"/>
    </row>
    <row r="237" spans="1:25">
      <c r="D237" s="400" t="s">
        <v>385</v>
      </c>
      <c r="E237" s="575" t="s">
        <v>386</v>
      </c>
      <c r="F237" s="575"/>
      <c r="G237" s="576" t="s">
        <v>387</v>
      </c>
      <c r="H237" s="577"/>
      <c r="I237" s="577"/>
      <c r="J237" s="576" t="s">
        <v>388</v>
      </c>
      <c r="K237" s="576" t="s">
        <v>389</v>
      </c>
      <c r="L237" s="579"/>
      <c r="M237" s="581" t="s">
        <v>390</v>
      </c>
      <c r="N237" s="581"/>
      <c r="O237" s="581"/>
      <c r="P237" s="581"/>
      <c r="Q237" s="581"/>
      <c r="R237" s="581"/>
      <c r="S237" s="581" t="s">
        <v>391</v>
      </c>
      <c r="T237" s="582"/>
    </row>
    <row r="238" spans="1:25" ht="38.25">
      <c r="D238" s="403">
        <f>+'PRESUPUESTO OFICIAL '!C15</f>
        <v>1.04</v>
      </c>
      <c r="E238" s="583" t="str">
        <f>+VLOOKUP(D238,'PRESUPUESTO OFICIAL '!$C$11:$H$103,2)</f>
        <v>DEMOLICIÓN DE MUROS EN MAMPOSTERÍA DE LADRILLO E = 0.15 M. (INCLUYE RETIRO Y ACARREO LIBRE HASTA 5 KM.)</v>
      </c>
      <c r="F238" s="584"/>
      <c r="G238" s="585" t="str">
        <f>+VLOOKUP(D238,'PRESUPUESTO OFICIAL '!$C$11:$H$103,3)</f>
        <v>M2</v>
      </c>
      <c r="H238" s="585"/>
      <c r="I238" s="585"/>
      <c r="J238" s="578"/>
      <c r="K238" s="578"/>
      <c r="L238" s="580"/>
      <c r="M238" s="401" t="s">
        <v>392</v>
      </c>
      <c r="N238" s="401" t="s">
        <v>393</v>
      </c>
      <c r="O238" s="401" t="s">
        <v>394</v>
      </c>
      <c r="P238" s="401" t="s">
        <v>395</v>
      </c>
      <c r="Q238" s="401" t="s">
        <v>396</v>
      </c>
      <c r="R238" s="401" t="s">
        <v>397</v>
      </c>
      <c r="S238" s="401" t="s">
        <v>398</v>
      </c>
      <c r="T238" s="402" t="s">
        <v>399</v>
      </c>
      <c r="V238" s="404">
        <f>+D238</f>
        <v>1.04</v>
      </c>
      <c r="W238" s="405">
        <f>+T286</f>
        <v>46.6</v>
      </c>
    </row>
    <row r="239" spans="1:25">
      <c r="D239" s="406"/>
      <c r="E239" s="407"/>
      <c r="F239" s="407"/>
      <c r="G239" s="407"/>
      <c r="H239" s="407"/>
      <c r="I239" s="407"/>
      <c r="J239" s="558"/>
      <c r="K239" s="559"/>
      <c r="L239" s="560"/>
      <c r="M239" s="560"/>
      <c r="N239" s="560"/>
      <c r="O239" s="560"/>
      <c r="P239" s="560"/>
      <c r="Q239" s="560"/>
      <c r="R239" s="560"/>
      <c r="S239" s="560"/>
      <c r="T239" s="561"/>
    </row>
    <row r="240" spans="1:25">
      <c r="A240" s="453">
        <f>+D238</f>
        <v>1.04</v>
      </c>
      <c r="B240" s="383">
        <v>1</v>
      </c>
      <c r="D240" s="406"/>
      <c r="E240" s="407"/>
      <c r="F240" s="407"/>
      <c r="G240" s="407"/>
      <c r="H240" s="407"/>
      <c r="I240" s="407"/>
      <c r="J240" s="408" t="s">
        <v>400</v>
      </c>
      <c r="K240" s="409" t="str">
        <f t="shared" ref="K240:K282" si="31">+VLOOKUP(L240,$AH$22:$AJ$58,2,)</f>
        <v>A=(Ancho x Largo)* Cant</v>
      </c>
      <c r="L240" s="410" t="str">
        <f>+G238</f>
        <v>M2</v>
      </c>
      <c r="M240" s="411">
        <f>+HLOOKUP(B240,[238]Hoja1!$2:$78,8,FALSE)</f>
        <v>0</v>
      </c>
      <c r="N240" s="412"/>
      <c r="O240" s="442"/>
      <c r="P240" s="442"/>
      <c r="Q240" s="413"/>
      <c r="R240" s="413"/>
      <c r="S240" s="413"/>
      <c r="T240" s="414">
        <f>+S240*M240</f>
        <v>0</v>
      </c>
      <c r="Y240" s="439">
        <f t="shared" ref="Y240:Y261" si="32">+O240*P240</f>
        <v>0</v>
      </c>
    </row>
    <row r="241" spans="1:39">
      <c r="A241" s="453">
        <f>+A240</f>
        <v>1.04</v>
      </c>
      <c r="B241" s="383">
        <v>2</v>
      </c>
      <c r="D241" s="406"/>
      <c r="E241" s="407"/>
      <c r="F241" s="407"/>
      <c r="G241" s="407"/>
      <c r="H241" s="407"/>
      <c r="I241" s="407"/>
      <c r="J241" s="408" t="s">
        <v>401</v>
      </c>
      <c r="K241" s="409" t="str">
        <f t="shared" si="31"/>
        <v>A=(Ancho x Largo)* Cant</v>
      </c>
      <c r="L241" s="410" t="str">
        <f>+L240</f>
        <v>M2</v>
      </c>
      <c r="M241" s="411">
        <f>+HLOOKUP(B241,[238]Hoja1!$2:$78,8,FALSE)</f>
        <v>0</v>
      </c>
      <c r="N241" s="412"/>
      <c r="O241" s="442"/>
      <c r="P241" s="442"/>
      <c r="Q241" s="413"/>
      <c r="R241" s="413"/>
      <c r="S241" s="413"/>
      <c r="T241" s="414">
        <f t="shared" ref="T241:T282" si="33">+S241*M241</f>
        <v>0</v>
      </c>
      <c r="Y241" s="439">
        <f t="shared" si="32"/>
        <v>0</v>
      </c>
      <c r="Z241" s="439">
        <f t="shared" ref="Z241:Z261" si="34">+Y241 -M241</f>
        <v>0</v>
      </c>
    </row>
    <row r="242" spans="1:39">
      <c r="A242" s="453">
        <f t="shared" ref="A242:A282" si="35">+A241</f>
        <v>1.04</v>
      </c>
      <c r="B242" s="383">
        <v>3</v>
      </c>
      <c r="D242" s="406"/>
      <c r="E242" s="407"/>
      <c r="F242" s="407"/>
      <c r="G242" s="407"/>
      <c r="H242" s="407"/>
      <c r="I242" s="407"/>
      <c r="J242" s="408" t="s">
        <v>402</v>
      </c>
      <c r="K242" s="409" t="str">
        <f t="shared" si="31"/>
        <v>A=(Ancho x Largo)* Cant</v>
      </c>
      <c r="L242" s="410" t="str">
        <f>+L241</f>
        <v>M2</v>
      </c>
      <c r="M242" s="411">
        <f>+HLOOKUP(B242,[238]Hoja1!$2:$78,8,FALSE)</f>
        <v>0</v>
      </c>
      <c r="N242" s="412"/>
      <c r="O242" s="442"/>
      <c r="P242" s="442"/>
      <c r="Q242" s="413"/>
      <c r="R242" s="413"/>
      <c r="S242" s="413"/>
      <c r="T242" s="414">
        <f t="shared" si="33"/>
        <v>0</v>
      </c>
      <c r="Y242" s="439">
        <f t="shared" si="32"/>
        <v>0</v>
      </c>
      <c r="Z242" s="439">
        <f t="shared" si="34"/>
        <v>0</v>
      </c>
    </row>
    <row r="243" spans="1:39">
      <c r="A243" s="453">
        <f t="shared" si="35"/>
        <v>1.04</v>
      </c>
      <c r="B243" s="383">
        <v>4</v>
      </c>
      <c r="D243" s="406"/>
      <c r="E243" s="407"/>
      <c r="F243" s="407"/>
      <c r="G243" s="407"/>
      <c r="H243" s="407"/>
      <c r="I243" s="407"/>
      <c r="J243" s="408" t="s">
        <v>403</v>
      </c>
      <c r="K243" s="409" t="str">
        <f t="shared" si="31"/>
        <v>A=(Ancho x Largo)* Cant</v>
      </c>
      <c r="L243" s="410" t="str">
        <f>+L242</f>
        <v>M2</v>
      </c>
      <c r="M243" s="411">
        <f>+HLOOKUP(B243,[238]Hoja1!$2:$78,8,FALSE)</f>
        <v>0</v>
      </c>
      <c r="N243" s="412"/>
      <c r="O243" s="442"/>
      <c r="P243" s="442"/>
      <c r="Q243" s="413"/>
      <c r="R243" s="413"/>
      <c r="S243" s="413"/>
      <c r="T243" s="414">
        <f t="shared" si="33"/>
        <v>0</v>
      </c>
      <c r="Y243" s="439">
        <f t="shared" si="32"/>
        <v>0</v>
      </c>
      <c r="Z243" s="439">
        <f t="shared" si="34"/>
        <v>0</v>
      </c>
      <c r="AK243" s="415" t="s">
        <v>162</v>
      </c>
      <c r="AL243" s="415" t="s">
        <v>404</v>
      </c>
      <c r="AM243" s="415"/>
    </row>
    <row r="244" spans="1:39">
      <c r="A244" s="453">
        <f t="shared" si="35"/>
        <v>1.04</v>
      </c>
      <c r="B244" s="383">
        <v>5</v>
      </c>
      <c r="D244" s="406"/>
      <c r="E244" s="407"/>
      <c r="F244" s="407"/>
      <c r="G244" s="407"/>
      <c r="H244" s="407"/>
      <c r="I244" s="407"/>
      <c r="J244" s="408" t="s">
        <v>405</v>
      </c>
      <c r="K244" s="409" t="str">
        <f t="shared" si="31"/>
        <v>A=(Ancho x Largo)* Cant</v>
      </c>
      <c r="L244" s="410" t="str">
        <f>+L243</f>
        <v>M2</v>
      </c>
      <c r="M244" s="411">
        <f>+HLOOKUP(B244,[238]Hoja1!$2:$78,8,FALSE)</f>
        <v>0</v>
      </c>
      <c r="N244" s="412"/>
      <c r="O244" s="442"/>
      <c r="P244" s="442"/>
      <c r="Q244" s="413"/>
      <c r="R244" s="413"/>
      <c r="S244" s="413"/>
      <c r="T244" s="414">
        <f t="shared" si="33"/>
        <v>0</v>
      </c>
      <c r="Y244" s="439">
        <f t="shared" si="32"/>
        <v>0</v>
      </c>
      <c r="Z244" s="439">
        <f t="shared" si="34"/>
        <v>0</v>
      </c>
      <c r="AH244" s="416" t="s">
        <v>162</v>
      </c>
      <c r="AI244" s="416" t="s">
        <v>404</v>
      </c>
      <c r="AK244" s="415" t="s">
        <v>49</v>
      </c>
      <c r="AL244" s="415" t="s">
        <v>406</v>
      </c>
      <c r="AM244" s="415"/>
    </row>
    <row r="245" spans="1:39">
      <c r="A245" s="453">
        <f t="shared" si="35"/>
        <v>1.04</v>
      </c>
      <c r="B245" s="383">
        <v>6</v>
      </c>
      <c r="D245" s="406"/>
      <c r="E245" s="407"/>
      <c r="F245" s="407"/>
      <c r="G245" s="407"/>
      <c r="H245" s="407"/>
      <c r="I245" s="407"/>
      <c r="J245" s="408" t="s">
        <v>407</v>
      </c>
      <c r="K245" s="409" t="str">
        <f t="shared" si="31"/>
        <v>A=(Ancho x Largo)* Cant</v>
      </c>
      <c r="L245" s="410" t="str">
        <f>+L244</f>
        <v>M2</v>
      </c>
      <c r="M245" s="411">
        <f>+HLOOKUP(B245,[238]Hoja1!$2:$78,8,FALSE)</f>
        <v>0</v>
      </c>
      <c r="N245" s="412"/>
      <c r="O245" s="442"/>
      <c r="P245" s="442"/>
      <c r="Q245" s="413"/>
      <c r="R245" s="413"/>
      <c r="S245" s="413"/>
      <c r="T245" s="414">
        <f t="shared" si="33"/>
        <v>0</v>
      </c>
      <c r="Y245" s="439">
        <f t="shared" si="32"/>
        <v>0</v>
      </c>
      <c r="Z245" s="439">
        <f t="shared" si="34"/>
        <v>0</v>
      </c>
      <c r="AH245" s="416" t="s">
        <v>49</v>
      </c>
      <c r="AI245" s="416" t="s">
        <v>406</v>
      </c>
      <c r="AK245" s="415" t="s">
        <v>173</v>
      </c>
      <c r="AL245" s="415" t="s">
        <v>408</v>
      </c>
      <c r="AM245" s="415"/>
    </row>
    <row r="246" spans="1:39">
      <c r="A246" s="453">
        <f t="shared" si="35"/>
        <v>1.04</v>
      </c>
      <c r="B246" s="383">
        <v>7</v>
      </c>
      <c r="D246" s="406"/>
      <c r="E246" s="407"/>
      <c r="F246" s="407"/>
      <c r="G246" s="407"/>
      <c r="H246" s="407"/>
      <c r="I246" s="407"/>
      <c r="J246" s="408" t="s">
        <v>409</v>
      </c>
      <c r="K246" s="409" t="str">
        <f t="shared" si="31"/>
        <v>A=(Ancho x Largo)* Cant</v>
      </c>
      <c r="L246" s="410" t="str">
        <f>+L240</f>
        <v>M2</v>
      </c>
      <c r="M246" s="411">
        <f>+HLOOKUP(B246,[238]Hoja1!$2:$78,8,FALSE)</f>
        <v>0</v>
      </c>
      <c r="N246" s="412"/>
      <c r="O246" s="442"/>
      <c r="P246" s="442"/>
      <c r="Q246" s="413"/>
      <c r="R246" s="413"/>
      <c r="S246" s="413"/>
      <c r="T246" s="414">
        <f t="shared" si="33"/>
        <v>0</v>
      </c>
      <c r="Y246" s="439">
        <f t="shared" si="32"/>
        <v>0</v>
      </c>
      <c r="Z246" s="439">
        <f t="shared" si="34"/>
        <v>0</v>
      </c>
      <c r="AH246" s="383" t="s">
        <v>173</v>
      </c>
      <c r="AI246" s="383" t="s">
        <v>408</v>
      </c>
      <c r="AK246" s="415" t="s">
        <v>156</v>
      </c>
      <c r="AL246" s="415" t="s">
        <v>410</v>
      </c>
      <c r="AM246" s="415"/>
    </row>
    <row r="247" spans="1:39">
      <c r="A247" s="453">
        <f t="shared" si="35"/>
        <v>1.04</v>
      </c>
      <c r="B247" s="383">
        <v>8</v>
      </c>
      <c r="D247" s="406"/>
      <c r="E247" s="407"/>
      <c r="F247" s="407"/>
      <c r="G247" s="407"/>
      <c r="H247" s="407"/>
      <c r="I247" s="407"/>
      <c r="J247" s="408" t="s">
        <v>411</v>
      </c>
      <c r="K247" s="409" t="str">
        <f t="shared" si="31"/>
        <v>A=(Ancho x Largo)* Cant</v>
      </c>
      <c r="L247" s="410" t="str">
        <f>+L246</f>
        <v>M2</v>
      </c>
      <c r="M247" s="411">
        <f>+HLOOKUP(B247,[238]Hoja1!$2:$78,8,FALSE)</f>
        <v>0</v>
      </c>
      <c r="N247" s="412"/>
      <c r="O247" s="442"/>
      <c r="P247" s="442"/>
      <c r="Q247" s="413"/>
      <c r="R247" s="413"/>
      <c r="S247" s="413"/>
      <c r="T247" s="414">
        <f t="shared" si="33"/>
        <v>0</v>
      </c>
      <c r="Y247" s="439">
        <f t="shared" si="32"/>
        <v>0</v>
      </c>
      <c r="Z247" s="439">
        <f t="shared" si="34"/>
        <v>0</v>
      </c>
      <c r="AH247" s="383" t="s">
        <v>156</v>
      </c>
      <c r="AI247" s="383" t="s">
        <v>410</v>
      </c>
    </row>
    <row r="248" spans="1:39">
      <c r="A248" s="453">
        <f t="shared" si="35"/>
        <v>1.04</v>
      </c>
      <c r="B248" s="383">
        <v>9</v>
      </c>
      <c r="D248" s="406"/>
      <c r="E248" s="407"/>
      <c r="F248" s="407"/>
      <c r="G248" s="407"/>
      <c r="H248" s="407"/>
      <c r="I248" s="407"/>
      <c r="J248" s="408" t="s">
        <v>412</v>
      </c>
      <c r="K248" s="409" t="str">
        <f t="shared" si="31"/>
        <v>A=(Ancho x Largo)* Cant</v>
      </c>
      <c r="L248" s="410" t="str">
        <f>+L247</f>
        <v>M2</v>
      </c>
      <c r="M248" s="411">
        <f>+HLOOKUP(B248,[238]Hoja1!$2:$78,8,FALSE)</f>
        <v>0</v>
      </c>
      <c r="N248" s="412"/>
      <c r="O248" s="442"/>
      <c r="P248" s="442"/>
      <c r="Q248" s="412"/>
      <c r="R248" s="412"/>
      <c r="S248" s="413"/>
      <c r="T248" s="414">
        <f t="shared" si="33"/>
        <v>0</v>
      </c>
      <c r="Y248" s="439">
        <f t="shared" si="32"/>
        <v>0</v>
      </c>
      <c r="Z248" s="439">
        <f t="shared" si="34"/>
        <v>0</v>
      </c>
    </row>
    <row r="249" spans="1:39">
      <c r="A249" s="453">
        <f t="shared" si="35"/>
        <v>1.04</v>
      </c>
      <c r="B249" s="383">
        <v>10</v>
      </c>
      <c r="D249" s="406"/>
      <c r="E249" s="407"/>
      <c r="F249" s="407"/>
      <c r="G249" s="407"/>
      <c r="H249" s="407"/>
      <c r="I249" s="407"/>
      <c r="J249" s="408" t="s">
        <v>413</v>
      </c>
      <c r="K249" s="409" t="str">
        <f t="shared" si="31"/>
        <v>A=(Ancho x Largo)* Cant</v>
      </c>
      <c r="L249" s="410" t="str">
        <f>+L248</f>
        <v>M2</v>
      </c>
      <c r="M249" s="411">
        <f>+HLOOKUP(B249,[238]Hoja1!$2:$78,8,FALSE)</f>
        <v>0</v>
      </c>
      <c r="N249" s="412"/>
      <c r="O249" s="441"/>
      <c r="P249" s="441"/>
      <c r="Q249" s="412"/>
      <c r="R249" s="412"/>
      <c r="S249" s="413"/>
      <c r="T249" s="414">
        <f t="shared" si="33"/>
        <v>0</v>
      </c>
      <c r="Y249" s="439">
        <f t="shared" si="32"/>
        <v>0</v>
      </c>
      <c r="Z249" s="439">
        <f t="shared" si="34"/>
        <v>0</v>
      </c>
    </row>
    <row r="250" spans="1:39">
      <c r="A250" s="453">
        <f t="shared" si="35"/>
        <v>1.04</v>
      </c>
      <c r="B250" s="383">
        <v>11</v>
      </c>
      <c r="D250" s="406"/>
      <c r="E250" s="407"/>
      <c r="F250" s="407"/>
      <c r="G250" s="407"/>
      <c r="H250" s="407"/>
      <c r="I250" s="407"/>
      <c r="J250" s="408" t="s">
        <v>414</v>
      </c>
      <c r="K250" s="409" t="str">
        <f t="shared" si="31"/>
        <v>A=(Ancho x Largo)* Cant</v>
      </c>
      <c r="L250" s="410" t="str">
        <f>+L249</f>
        <v>M2</v>
      </c>
      <c r="M250" s="411">
        <f>+HLOOKUP(B250,[238]Hoja1!$2:$78,8,FALSE)</f>
        <v>0</v>
      </c>
      <c r="N250" s="412"/>
      <c r="O250" s="443"/>
      <c r="P250" s="443"/>
      <c r="Q250" s="412"/>
      <c r="R250" s="412"/>
      <c r="S250" s="413"/>
      <c r="T250" s="414">
        <f t="shared" si="33"/>
        <v>0</v>
      </c>
      <c r="Y250" s="439">
        <f t="shared" si="32"/>
        <v>0</v>
      </c>
      <c r="Z250" s="439">
        <f t="shared" si="34"/>
        <v>0</v>
      </c>
    </row>
    <row r="251" spans="1:39">
      <c r="A251" s="453">
        <f t="shared" si="35"/>
        <v>1.04</v>
      </c>
      <c r="B251" s="383">
        <v>12</v>
      </c>
      <c r="D251" s="406"/>
      <c r="E251" s="407"/>
      <c r="F251" s="407"/>
      <c r="G251" s="407"/>
      <c r="H251" s="407"/>
      <c r="I251" s="407"/>
      <c r="J251" s="408" t="s">
        <v>415</v>
      </c>
      <c r="K251" s="409" t="str">
        <f t="shared" si="31"/>
        <v>A=(Ancho x Largo)* Cant</v>
      </c>
      <c r="L251" s="410" t="str">
        <f>+L245</f>
        <v>M2</v>
      </c>
      <c r="M251" s="411">
        <f>+HLOOKUP(B251,[238]Hoja1!$2:$78,8,FALSE)</f>
        <v>0</v>
      </c>
      <c r="N251" s="412"/>
      <c r="O251" s="442"/>
      <c r="P251" s="442"/>
      <c r="Q251" s="413"/>
      <c r="R251" s="413"/>
      <c r="S251" s="413"/>
      <c r="T251" s="414">
        <f t="shared" si="33"/>
        <v>0</v>
      </c>
      <c r="Y251" s="439">
        <f t="shared" si="32"/>
        <v>0</v>
      </c>
      <c r="Z251" s="439">
        <f t="shared" si="34"/>
        <v>0</v>
      </c>
      <c r="AH251" s="383" t="s">
        <v>173</v>
      </c>
      <c r="AI251" s="383" t="s">
        <v>408</v>
      </c>
      <c r="AK251" s="415" t="s">
        <v>156</v>
      </c>
      <c r="AL251" s="415" t="s">
        <v>410</v>
      </c>
      <c r="AM251" s="415"/>
    </row>
    <row r="252" spans="1:39">
      <c r="A252" s="453">
        <f t="shared" si="35"/>
        <v>1.04</v>
      </c>
      <c r="B252" s="383">
        <v>13</v>
      </c>
      <c r="D252" s="406"/>
      <c r="E252" s="407"/>
      <c r="F252" s="407"/>
      <c r="G252" s="407"/>
      <c r="H252" s="407"/>
      <c r="I252" s="407"/>
      <c r="J252" s="408" t="s">
        <v>416</v>
      </c>
      <c r="K252" s="409" t="str">
        <f t="shared" si="31"/>
        <v>A=(Ancho x Largo)* Cant</v>
      </c>
      <c r="L252" s="410" t="str">
        <f>+L247</f>
        <v>M2</v>
      </c>
      <c r="M252" s="411">
        <f>+HLOOKUP(B252,[238]Hoja1!$2:$78,8,FALSE)</f>
        <v>0</v>
      </c>
      <c r="N252" s="412"/>
      <c r="O252" s="442"/>
      <c r="P252" s="442"/>
      <c r="Q252" s="413"/>
      <c r="R252" s="413"/>
      <c r="S252" s="413"/>
      <c r="T252" s="414">
        <f t="shared" si="33"/>
        <v>0</v>
      </c>
      <c r="Y252" s="439">
        <f t="shared" si="32"/>
        <v>0</v>
      </c>
      <c r="Z252" s="439">
        <f t="shared" si="34"/>
        <v>0</v>
      </c>
      <c r="AH252" s="383" t="s">
        <v>156</v>
      </c>
      <c r="AI252" s="383" t="s">
        <v>410</v>
      </c>
    </row>
    <row r="253" spans="1:39">
      <c r="A253" s="453">
        <f t="shared" si="35"/>
        <v>1.04</v>
      </c>
      <c r="B253" s="383">
        <v>14</v>
      </c>
      <c r="D253" s="406"/>
      <c r="E253" s="407"/>
      <c r="F253" s="407"/>
      <c r="G253" s="407"/>
      <c r="H253" s="407"/>
      <c r="I253" s="407"/>
      <c r="J253" s="408" t="s">
        <v>417</v>
      </c>
      <c r="K253" s="409" t="str">
        <f t="shared" si="31"/>
        <v>A=(Ancho x Largo)* Cant</v>
      </c>
      <c r="L253" s="410" t="str">
        <f>+L252</f>
        <v>M2</v>
      </c>
      <c r="M253" s="411">
        <f>+HLOOKUP(B253,[238]Hoja1!$2:$78,8,FALSE)</f>
        <v>0</v>
      </c>
      <c r="N253" s="412"/>
      <c r="O253" s="442"/>
      <c r="P253" s="442"/>
      <c r="Q253" s="412"/>
      <c r="R253" s="412"/>
      <c r="S253" s="413"/>
      <c r="T253" s="414">
        <f t="shared" si="33"/>
        <v>0</v>
      </c>
      <c r="Y253" s="439">
        <f t="shared" si="32"/>
        <v>0</v>
      </c>
      <c r="Z253" s="439">
        <f t="shared" si="34"/>
        <v>0</v>
      </c>
    </row>
    <row r="254" spans="1:39">
      <c r="A254" s="453">
        <f t="shared" si="35"/>
        <v>1.04</v>
      </c>
      <c r="B254" s="383">
        <v>15</v>
      </c>
      <c r="D254" s="406"/>
      <c r="E254" s="407"/>
      <c r="F254" s="407"/>
      <c r="G254" s="407"/>
      <c r="H254" s="407"/>
      <c r="I254" s="407"/>
      <c r="J254" s="408" t="s">
        <v>418</v>
      </c>
      <c r="K254" s="409" t="str">
        <f t="shared" si="31"/>
        <v>A=(Ancho x Largo)* Cant</v>
      </c>
      <c r="L254" s="410" t="str">
        <f>+L253</f>
        <v>M2</v>
      </c>
      <c r="M254" s="411">
        <f>+HLOOKUP(B254,[238]Hoja1!$2:$78,8,FALSE)</f>
        <v>0</v>
      </c>
      <c r="N254" s="412"/>
      <c r="O254" s="442"/>
      <c r="P254" s="442"/>
      <c r="Q254" s="412"/>
      <c r="R254" s="412"/>
      <c r="S254" s="413"/>
      <c r="T254" s="414">
        <f t="shared" si="33"/>
        <v>0</v>
      </c>
      <c r="Y254" s="439">
        <f t="shared" si="32"/>
        <v>0</v>
      </c>
      <c r="Z254" s="439">
        <f t="shared" si="34"/>
        <v>0</v>
      </c>
    </row>
    <row r="255" spans="1:39">
      <c r="A255" s="453">
        <f t="shared" si="35"/>
        <v>1.04</v>
      </c>
      <c r="B255" s="383">
        <v>16</v>
      </c>
      <c r="D255" s="406"/>
      <c r="E255" s="407"/>
      <c r="F255" s="407"/>
      <c r="G255" s="407"/>
      <c r="H255" s="407"/>
      <c r="I255" s="407"/>
      <c r="J255" s="408" t="s">
        <v>419</v>
      </c>
      <c r="K255" s="409" t="str">
        <f t="shared" si="31"/>
        <v>A=(Ancho x Largo)* Cant</v>
      </c>
      <c r="L255" s="410" t="str">
        <f>+L254</f>
        <v>M2</v>
      </c>
      <c r="M255" s="411">
        <f>+HLOOKUP(B255,[238]Hoja1!$2:$78,8,FALSE)</f>
        <v>46.601999999999997</v>
      </c>
      <c r="N255" s="412"/>
      <c r="O255" s="442">
        <v>2.7</v>
      </c>
      <c r="P255" s="442">
        <f>+M255/2.7</f>
        <v>17.259999999999998</v>
      </c>
      <c r="Q255" s="412"/>
      <c r="R255" s="412"/>
      <c r="S255" s="413">
        <v>1</v>
      </c>
      <c r="T255" s="414">
        <f t="shared" si="33"/>
        <v>46.601999999999997</v>
      </c>
      <c r="Y255" s="439">
        <f t="shared" si="32"/>
        <v>46.601999999999997</v>
      </c>
      <c r="Z255" s="439">
        <f t="shared" si="34"/>
        <v>0</v>
      </c>
    </row>
    <row r="256" spans="1:39">
      <c r="A256" s="453">
        <f t="shared" si="35"/>
        <v>1.04</v>
      </c>
      <c r="B256" s="383">
        <v>17</v>
      </c>
      <c r="D256" s="406"/>
      <c r="E256" s="407"/>
      <c r="F256" s="407"/>
      <c r="G256" s="407"/>
      <c r="H256" s="407"/>
      <c r="I256" s="407"/>
      <c r="J256" s="408" t="s">
        <v>420</v>
      </c>
      <c r="K256" s="409" t="str">
        <f t="shared" si="31"/>
        <v>A=(Ancho x Largo)* Cant</v>
      </c>
      <c r="L256" s="410" t="str">
        <f>+L255</f>
        <v>M2</v>
      </c>
      <c r="M256" s="411">
        <f>+HLOOKUP(B256,[238]Hoja1!$2:$78,8,FALSE)</f>
        <v>0</v>
      </c>
      <c r="N256" s="412"/>
      <c r="O256" s="442"/>
      <c r="P256" s="442"/>
      <c r="Q256" s="412"/>
      <c r="R256" s="412"/>
      <c r="S256" s="413"/>
      <c r="T256" s="414">
        <f t="shared" si="33"/>
        <v>0</v>
      </c>
      <c r="Y256" s="439">
        <f t="shared" si="32"/>
        <v>0</v>
      </c>
      <c r="Z256" s="439">
        <f t="shared" si="34"/>
        <v>0</v>
      </c>
    </row>
    <row r="257" spans="1:35">
      <c r="A257" s="453">
        <f t="shared" si="35"/>
        <v>1.04</v>
      </c>
      <c r="B257" s="383">
        <v>18</v>
      </c>
      <c r="D257" s="406"/>
      <c r="E257" s="407"/>
      <c r="F257" s="407"/>
      <c r="G257" s="407"/>
      <c r="H257" s="407"/>
      <c r="I257" s="407"/>
      <c r="J257" s="408" t="s">
        <v>429</v>
      </c>
      <c r="K257" s="409" t="str">
        <f t="shared" si="31"/>
        <v>A=(Ancho x Largo)* Cant</v>
      </c>
      <c r="L257" s="410" t="str">
        <f>+L256</f>
        <v>M2</v>
      </c>
      <c r="M257" s="411">
        <f>+HLOOKUP(B257,[238]Hoja1!$2:$78,8,FALSE)</f>
        <v>0</v>
      </c>
      <c r="N257" s="412"/>
      <c r="O257" s="442"/>
      <c r="P257" s="442"/>
      <c r="Q257" s="412"/>
      <c r="R257" s="412"/>
      <c r="S257" s="413"/>
      <c r="T257" s="414">
        <f t="shared" si="33"/>
        <v>0</v>
      </c>
      <c r="Y257" s="439">
        <f t="shared" si="32"/>
        <v>0</v>
      </c>
      <c r="Z257" s="439">
        <f t="shared" si="34"/>
        <v>0</v>
      </c>
    </row>
    <row r="258" spans="1:35">
      <c r="A258" s="453">
        <f t="shared" si="35"/>
        <v>1.04</v>
      </c>
      <c r="B258" s="383">
        <v>19</v>
      </c>
      <c r="D258" s="406"/>
      <c r="E258" s="407"/>
      <c r="F258" s="407"/>
      <c r="G258" s="407"/>
      <c r="H258" s="407"/>
      <c r="I258" s="407"/>
      <c r="J258" s="408" t="s">
        <v>430</v>
      </c>
      <c r="K258" s="409" t="str">
        <f t="shared" si="31"/>
        <v>A=(Ancho x Largo)* Cant</v>
      </c>
      <c r="L258" s="410" t="str">
        <f t="shared" ref="L258:L282" si="36">+L257</f>
        <v>M2</v>
      </c>
      <c r="M258" s="411">
        <f>+HLOOKUP(B258,[238]Hoja1!$2:$78,8,FALSE)</f>
        <v>0</v>
      </c>
      <c r="N258" s="412"/>
      <c r="O258" s="442"/>
      <c r="P258" s="442"/>
      <c r="Q258" s="412"/>
      <c r="R258" s="412"/>
      <c r="S258" s="413"/>
      <c r="T258" s="414">
        <f t="shared" si="33"/>
        <v>0</v>
      </c>
      <c r="Y258" s="439">
        <f t="shared" si="32"/>
        <v>0</v>
      </c>
      <c r="Z258" s="439">
        <f t="shared" si="34"/>
        <v>0</v>
      </c>
    </row>
    <row r="259" spans="1:35">
      <c r="A259" s="453">
        <f t="shared" si="35"/>
        <v>1.04</v>
      </c>
      <c r="B259" s="383">
        <v>20</v>
      </c>
      <c r="D259" s="406"/>
      <c r="E259" s="407"/>
      <c r="F259" s="407"/>
      <c r="G259" s="407"/>
      <c r="H259" s="407"/>
      <c r="I259" s="407"/>
      <c r="J259" s="408" t="s">
        <v>431</v>
      </c>
      <c r="K259" s="409" t="str">
        <f t="shared" si="31"/>
        <v>A=(Ancho x Largo)* Cant</v>
      </c>
      <c r="L259" s="410" t="str">
        <f t="shared" si="36"/>
        <v>M2</v>
      </c>
      <c r="M259" s="411">
        <f>+HLOOKUP(B259,[238]Hoja1!$2:$78,8,FALSE)</f>
        <v>0</v>
      </c>
      <c r="N259" s="412"/>
      <c r="O259" s="442"/>
      <c r="P259" s="442"/>
      <c r="Q259" s="412"/>
      <c r="R259" s="412"/>
      <c r="S259" s="413"/>
      <c r="T259" s="414">
        <f t="shared" si="33"/>
        <v>0</v>
      </c>
      <c r="Y259" s="439">
        <f t="shared" si="32"/>
        <v>0</v>
      </c>
      <c r="Z259" s="439">
        <f t="shared" si="34"/>
        <v>0</v>
      </c>
    </row>
    <row r="260" spans="1:35">
      <c r="A260" s="453">
        <f t="shared" si="35"/>
        <v>1.04</v>
      </c>
      <c r="B260" s="383">
        <v>21</v>
      </c>
      <c r="D260" s="406"/>
      <c r="E260" s="407"/>
      <c r="F260" s="407"/>
      <c r="G260" s="407"/>
      <c r="H260" s="407"/>
      <c r="I260" s="407"/>
      <c r="J260" s="408" t="s">
        <v>432</v>
      </c>
      <c r="K260" s="409" t="str">
        <f t="shared" si="31"/>
        <v>A=(Ancho x Largo)* Cant</v>
      </c>
      <c r="L260" s="410" t="str">
        <f t="shared" si="36"/>
        <v>M2</v>
      </c>
      <c r="M260" s="411">
        <f>+HLOOKUP(B260,[238]Hoja1!$2:$78,8,FALSE)</f>
        <v>0</v>
      </c>
      <c r="N260" s="412"/>
      <c r="O260" s="442"/>
      <c r="P260" s="442"/>
      <c r="Q260" s="412"/>
      <c r="R260" s="412"/>
      <c r="S260" s="413"/>
      <c r="T260" s="414">
        <f t="shared" si="33"/>
        <v>0</v>
      </c>
      <c r="Y260" s="439">
        <f t="shared" si="32"/>
        <v>0</v>
      </c>
      <c r="Z260" s="439">
        <f t="shared" si="34"/>
        <v>0</v>
      </c>
    </row>
    <row r="261" spans="1:35">
      <c r="A261" s="453">
        <f t="shared" si="35"/>
        <v>1.04</v>
      </c>
      <c r="B261" s="383">
        <v>22</v>
      </c>
      <c r="D261" s="406"/>
      <c r="E261" s="407"/>
      <c r="F261" s="407"/>
      <c r="G261" s="407"/>
      <c r="H261" s="407"/>
      <c r="I261" s="407"/>
      <c r="J261" s="408" t="s">
        <v>433</v>
      </c>
      <c r="K261" s="409" t="str">
        <f t="shared" si="31"/>
        <v>A=(Ancho x Largo)* Cant</v>
      </c>
      <c r="L261" s="410" t="str">
        <f t="shared" si="36"/>
        <v>M2</v>
      </c>
      <c r="M261" s="411">
        <f>+HLOOKUP(B261,[238]Hoja1!$2:$78,8,FALSE)</f>
        <v>0</v>
      </c>
      <c r="N261" s="412"/>
      <c r="O261" s="442"/>
      <c r="P261" s="442"/>
      <c r="Q261" s="412"/>
      <c r="R261" s="412"/>
      <c r="S261" s="413"/>
      <c r="T261" s="414">
        <f t="shared" si="33"/>
        <v>0</v>
      </c>
      <c r="Y261" s="439">
        <f t="shared" si="32"/>
        <v>0</v>
      </c>
      <c r="Z261" s="439">
        <f t="shared" si="34"/>
        <v>0</v>
      </c>
    </row>
    <row r="262" spans="1:35">
      <c r="A262" s="453">
        <f t="shared" si="35"/>
        <v>1.04</v>
      </c>
      <c r="B262" s="383">
        <v>23</v>
      </c>
      <c r="D262" s="406"/>
      <c r="E262" s="407"/>
      <c r="F262" s="407"/>
      <c r="G262" s="407"/>
      <c r="H262" s="407"/>
      <c r="I262" s="407"/>
      <c r="J262" s="408" t="s">
        <v>434</v>
      </c>
      <c r="K262" s="409" t="str">
        <f t="shared" si="31"/>
        <v>A=(Ancho x Largo)* Cant</v>
      </c>
      <c r="L262" s="410" t="str">
        <f t="shared" si="36"/>
        <v>M2</v>
      </c>
      <c r="M262" s="411">
        <f>+HLOOKUP(B262,[238]Hoja1!$2:$78,8,FALSE)</f>
        <v>0</v>
      </c>
      <c r="N262" s="412"/>
      <c r="O262" s="441"/>
      <c r="P262" s="441"/>
      <c r="Q262" s="412"/>
      <c r="R262" s="412"/>
      <c r="S262" s="413"/>
      <c r="T262" s="414">
        <f t="shared" si="33"/>
        <v>0</v>
      </c>
      <c r="Y262" s="439">
        <f>+O262*P262</f>
        <v>0</v>
      </c>
      <c r="Z262" s="439">
        <f>+Y262 -M262</f>
        <v>0</v>
      </c>
    </row>
    <row r="263" spans="1:35">
      <c r="A263" s="453">
        <f t="shared" si="35"/>
        <v>1.04</v>
      </c>
      <c r="B263" s="383">
        <v>24</v>
      </c>
      <c r="D263" s="406"/>
      <c r="E263" s="407"/>
      <c r="F263" s="407"/>
      <c r="G263" s="407"/>
      <c r="H263" s="407"/>
      <c r="I263" s="407"/>
      <c r="J263" s="408" t="s">
        <v>435</v>
      </c>
      <c r="K263" s="409" t="str">
        <f t="shared" si="31"/>
        <v>A=(Ancho x Largo)* Cant</v>
      </c>
      <c r="L263" s="410" t="str">
        <f t="shared" si="36"/>
        <v>M2</v>
      </c>
      <c r="M263" s="411">
        <f>+HLOOKUP(B263,[238]Hoja1!$2:$78,8,FALSE)</f>
        <v>0</v>
      </c>
      <c r="N263" s="412"/>
      <c r="O263" s="442"/>
      <c r="P263" s="442"/>
      <c r="Q263" s="413"/>
      <c r="R263" s="413"/>
      <c r="S263" s="413"/>
      <c r="T263" s="414">
        <f t="shared" si="33"/>
        <v>0</v>
      </c>
      <c r="Y263" s="439">
        <f>+O263*P263</f>
        <v>0</v>
      </c>
      <c r="Z263" s="439">
        <f>+Y263 -M263</f>
        <v>0</v>
      </c>
      <c r="AH263" s="383" t="s">
        <v>156</v>
      </c>
      <c r="AI263" s="383" t="s">
        <v>410</v>
      </c>
    </row>
    <row r="264" spans="1:35">
      <c r="A264" s="453">
        <f t="shared" si="35"/>
        <v>1.04</v>
      </c>
      <c r="B264" s="383">
        <v>25</v>
      </c>
      <c r="D264" s="406"/>
      <c r="E264" s="407"/>
      <c r="F264" s="407"/>
      <c r="G264" s="407"/>
      <c r="H264" s="407"/>
      <c r="I264" s="407"/>
      <c r="J264" s="408" t="s">
        <v>436</v>
      </c>
      <c r="K264" s="409" t="str">
        <f t="shared" si="31"/>
        <v>A=(Ancho x Largo)* Cant</v>
      </c>
      <c r="L264" s="410" t="str">
        <f t="shared" si="36"/>
        <v>M2</v>
      </c>
      <c r="M264" s="411">
        <f>+HLOOKUP(B264,[238]Hoja1!$2:$78,8,FALSE)</f>
        <v>0</v>
      </c>
      <c r="N264" s="412"/>
      <c r="O264" s="442"/>
      <c r="P264" s="442"/>
      <c r="Q264" s="412"/>
      <c r="R264" s="412"/>
      <c r="S264" s="413"/>
      <c r="T264" s="414">
        <f t="shared" si="33"/>
        <v>0</v>
      </c>
      <c r="Y264" s="439">
        <f>+O264*P264</f>
        <v>0</v>
      </c>
      <c r="Z264" s="439">
        <f>+Y264 -M264</f>
        <v>0</v>
      </c>
    </row>
    <row r="265" spans="1:35">
      <c r="A265" s="453">
        <f t="shared" si="35"/>
        <v>1.04</v>
      </c>
      <c r="B265" s="383">
        <v>26</v>
      </c>
      <c r="D265" s="406"/>
      <c r="E265" s="407"/>
      <c r="F265" s="407"/>
      <c r="G265" s="407"/>
      <c r="H265" s="407"/>
      <c r="I265" s="407"/>
      <c r="J265" s="408" t="s">
        <v>437</v>
      </c>
      <c r="K265" s="409" t="str">
        <f t="shared" si="31"/>
        <v>A=(Ancho x Largo)* Cant</v>
      </c>
      <c r="L265" s="410" t="str">
        <f>+L254</f>
        <v>M2</v>
      </c>
      <c r="M265" s="411">
        <f>+HLOOKUP(B265,[238]Hoja1!$2:$78,8,FALSE)</f>
        <v>0</v>
      </c>
      <c r="N265" s="412"/>
      <c r="O265" s="442"/>
      <c r="P265" s="442"/>
      <c r="Q265" s="412"/>
      <c r="R265" s="412"/>
      <c r="S265" s="413"/>
      <c r="T265" s="414">
        <f t="shared" si="33"/>
        <v>0</v>
      </c>
      <c r="Y265" s="439">
        <f t="shared" ref="Y265:Y282" si="37">+O265*P265</f>
        <v>0</v>
      </c>
      <c r="Z265" s="439">
        <f t="shared" ref="Z265:Z282" si="38">+Y265 -M265</f>
        <v>0</v>
      </c>
    </row>
    <row r="266" spans="1:35">
      <c r="A266" s="453">
        <f t="shared" si="35"/>
        <v>1.04</v>
      </c>
      <c r="B266" s="383">
        <v>27</v>
      </c>
      <c r="D266" s="406"/>
      <c r="E266" s="407"/>
      <c r="F266" s="407"/>
      <c r="G266" s="407"/>
      <c r="H266" s="407"/>
      <c r="I266" s="407"/>
      <c r="J266" s="408" t="s">
        <v>438</v>
      </c>
      <c r="K266" s="409" t="str">
        <f t="shared" si="31"/>
        <v>A=(Ancho x Largo)* Cant</v>
      </c>
      <c r="L266" s="410" t="str">
        <f t="shared" ref="L266:L274" si="39">+L265</f>
        <v>M2</v>
      </c>
      <c r="M266" s="411">
        <f>+HLOOKUP(B266,[238]Hoja1!$2:$78,8,FALSE)</f>
        <v>0</v>
      </c>
      <c r="N266" s="412"/>
      <c r="O266" s="442"/>
      <c r="P266" s="442"/>
      <c r="Q266" s="412"/>
      <c r="R266" s="412"/>
      <c r="S266" s="413"/>
      <c r="T266" s="414">
        <f t="shared" si="33"/>
        <v>0</v>
      </c>
      <c r="Y266" s="439">
        <f t="shared" si="37"/>
        <v>0</v>
      </c>
      <c r="Z266" s="439">
        <f t="shared" si="38"/>
        <v>0</v>
      </c>
    </row>
    <row r="267" spans="1:35" ht="21.75" customHeight="1">
      <c r="A267" s="453">
        <f t="shared" si="35"/>
        <v>1.04</v>
      </c>
      <c r="B267" s="383">
        <v>28</v>
      </c>
      <c r="D267" s="406"/>
      <c r="E267" s="440"/>
      <c r="F267" s="407"/>
      <c r="G267" s="407"/>
      <c r="H267" s="407"/>
      <c r="I267" s="437"/>
      <c r="J267" s="408" t="s">
        <v>439</v>
      </c>
      <c r="K267" s="409" t="str">
        <f t="shared" si="31"/>
        <v>A=(Ancho x Largo)* Cant</v>
      </c>
      <c r="L267" s="410" t="str">
        <f t="shared" si="39"/>
        <v>M2</v>
      </c>
      <c r="M267" s="411">
        <f>+HLOOKUP(B267,[238]Hoja1!$2:$78,8,FALSE)</f>
        <v>0</v>
      </c>
      <c r="N267" s="412"/>
      <c r="O267" s="442"/>
      <c r="P267" s="442"/>
      <c r="Q267" s="413"/>
      <c r="R267" s="413"/>
      <c r="S267" s="413"/>
      <c r="T267" s="414">
        <f t="shared" si="33"/>
        <v>0</v>
      </c>
      <c r="Y267" s="439">
        <f t="shared" si="37"/>
        <v>0</v>
      </c>
      <c r="Z267" s="439">
        <f t="shared" si="38"/>
        <v>0</v>
      </c>
    </row>
    <row r="268" spans="1:35">
      <c r="A268" s="453">
        <f t="shared" si="35"/>
        <v>1.04</v>
      </c>
      <c r="B268" s="383">
        <v>29</v>
      </c>
      <c r="D268" s="406"/>
      <c r="E268" s="407"/>
      <c r="F268" s="407"/>
      <c r="G268" s="407"/>
      <c r="H268" s="407"/>
      <c r="I268" s="407"/>
      <c r="J268" s="408" t="s">
        <v>440</v>
      </c>
      <c r="K268" s="409" t="str">
        <f t="shared" si="31"/>
        <v>A=(Ancho x Largo)* Cant</v>
      </c>
      <c r="L268" s="410" t="str">
        <f t="shared" si="39"/>
        <v>M2</v>
      </c>
      <c r="M268" s="411">
        <f>+HLOOKUP(B268,[238]Hoja1!$2:$78,8,FALSE)</f>
        <v>0</v>
      </c>
      <c r="N268" s="412"/>
      <c r="O268" s="443"/>
      <c r="P268" s="443"/>
      <c r="Q268" s="412"/>
      <c r="R268" s="412"/>
      <c r="S268" s="413"/>
      <c r="T268" s="414">
        <f t="shared" si="33"/>
        <v>0</v>
      </c>
      <c r="Y268" s="439">
        <f t="shared" si="37"/>
        <v>0</v>
      </c>
      <c r="Z268" s="439">
        <f t="shared" si="38"/>
        <v>0</v>
      </c>
    </row>
    <row r="269" spans="1:35">
      <c r="A269" s="453">
        <f t="shared" si="35"/>
        <v>1.04</v>
      </c>
      <c r="B269" s="383">
        <v>30</v>
      </c>
      <c r="D269" s="406"/>
      <c r="E269" s="407"/>
      <c r="F269" s="407"/>
      <c r="G269" s="407"/>
      <c r="H269" s="407"/>
      <c r="I269" s="407"/>
      <c r="J269" s="408" t="s">
        <v>441</v>
      </c>
      <c r="K269" s="409" t="str">
        <f t="shared" si="31"/>
        <v>A=(Ancho x Largo)* Cant</v>
      </c>
      <c r="L269" s="410" t="str">
        <f t="shared" si="39"/>
        <v>M2</v>
      </c>
      <c r="M269" s="411">
        <f>+HLOOKUP(B269,[238]Hoja1!$2:$78,8,FALSE)</f>
        <v>0</v>
      </c>
      <c r="N269" s="412"/>
      <c r="O269" s="442"/>
      <c r="P269" s="442"/>
      <c r="Q269" s="412"/>
      <c r="R269" s="412"/>
      <c r="S269" s="413"/>
      <c r="T269" s="414">
        <f t="shared" si="33"/>
        <v>0</v>
      </c>
      <c r="Y269" s="439">
        <f t="shared" si="37"/>
        <v>0</v>
      </c>
      <c r="Z269" s="439">
        <f t="shared" si="38"/>
        <v>0</v>
      </c>
    </row>
    <row r="270" spans="1:35">
      <c r="A270" s="453">
        <f t="shared" si="35"/>
        <v>1.04</v>
      </c>
      <c r="B270" s="383">
        <v>31</v>
      </c>
      <c r="D270" s="406"/>
      <c r="E270" s="407"/>
      <c r="F270" s="407"/>
      <c r="G270" s="407"/>
      <c r="H270" s="407"/>
      <c r="I270" s="407"/>
      <c r="J270" s="408" t="s">
        <v>442</v>
      </c>
      <c r="K270" s="409" t="str">
        <f t="shared" si="31"/>
        <v>A=(Ancho x Largo)* Cant</v>
      </c>
      <c r="L270" s="410" t="str">
        <f t="shared" si="39"/>
        <v>M2</v>
      </c>
      <c r="M270" s="411">
        <f>+HLOOKUP(B270,[238]Hoja1!$2:$78,8,FALSE)</f>
        <v>0</v>
      </c>
      <c r="N270" s="412"/>
      <c r="O270" s="442"/>
      <c r="P270" s="442"/>
      <c r="Q270" s="413"/>
      <c r="R270" s="413"/>
      <c r="S270" s="413"/>
      <c r="T270" s="414">
        <f t="shared" si="33"/>
        <v>0</v>
      </c>
      <c r="Y270" s="439">
        <f t="shared" si="37"/>
        <v>0</v>
      </c>
      <c r="Z270" s="439">
        <f t="shared" si="38"/>
        <v>0</v>
      </c>
      <c r="AH270" s="383" t="s">
        <v>156</v>
      </c>
      <c r="AI270" s="383" t="s">
        <v>410</v>
      </c>
    </row>
    <row r="271" spans="1:35">
      <c r="A271" s="453">
        <f t="shared" si="35"/>
        <v>1.04</v>
      </c>
      <c r="B271" s="383">
        <v>32</v>
      </c>
      <c r="D271" s="406"/>
      <c r="E271" s="407"/>
      <c r="F271" s="407"/>
      <c r="G271" s="407"/>
      <c r="H271" s="407"/>
      <c r="I271" s="407"/>
      <c r="J271" s="408" t="s">
        <v>443</v>
      </c>
      <c r="K271" s="409" t="str">
        <f t="shared" si="31"/>
        <v>A=(Ancho x Largo)* Cant</v>
      </c>
      <c r="L271" s="410" t="str">
        <f t="shared" si="39"/>
        <v>M2</v>
      </c>
      <c r="M271" s="411">
        <f>+HLOOKUP(B271,[238]Hoja1!$2:$78,8,FALSE)</f>
        <v>0</v>
      </c>
      <c r="N271" s="412"/>
      <c r="O271" s="442"/>
      <c r="P271" s="442"/>
      <c r="Q271" s="412"/>
      <c r="R271" s="412"/>
      <c r="S271" s="413"/>
      <c r="T271" s="414">
        <f t="shared" si="33"/>
        <v>0</v>
      </c>
      <c r="Y271" s="439">
        <f t="shared" si="37"/>
        <v>0</v>
      </c>
      <c r="Z271" s="439">
        <f t="shared" si="38"/>
        <v>0</v>
      </c>
    </row>
    <row r="272" spans="1:35">
      <c r="A272" s="453">
        <f t="shared" si="35"/>
        <v>1.04</v>
      </c>
      <c r="B272" s="383">
        <v>33</v>
      </c>
      <c r="D272" s="406"/>
      <c r="E272" s="407"/>
      <c r="F272" s="407"/>
      <c r="G272" s="407"/>
      <c r="H272" s="407"/>
      <c r="I272" s="407"/>
      <c r="J272" s="408" t="s">
        <v>444</v>
      </c>
      <c r="K272" s="409" t="str">
        <f t="shared" si="31"/>
        <v>A=(Ancho x Largo)* Cant</v>
      </c>
      <c r="L272" s="410" t="str">
        <f t="shared" si="39"/>
        <v>M2</v>
      </c>
      <c r="M272" s="411">
        <f>+HLOOKUP(B272,[238]Hoja1!$2:$78,8,FALSE)</f>
        <v>0</v>
      </c>
      <c r="N272" s="412"/>
      <c r="O272" s="442"/>
      <c r="P272" s="442"/>
      <c r="Q272" s="412"/>
      <c r="R272" s="412"/>
      <c r="S272" s="413"/>
      <c r="T272" s="414">
        <f t="shared" si="33"/>
        <v>0</v>
      </c>
      <c r="Y272" s="439">
        <f t="shared" si="37"/>
        <v>0</v>
      </c>
      <c r="Z272" s="439">
        <f t="shared" si="38"/>
        <v>0</v>
      </c>
    </row>
    <row r="273" spans="1:35">
      <c r="A273" s="453">
        <f t="shared" si="35"/>
        <v>1.04</v>
      </c>
      <c r="B273" s="383">
        <v>34</v>
      </c>
      <c r="D273" s="406"/>
      <c r="E273" s="407"/>
      <c r="F273" s="407"/>
      <c r="G273" s="407"/>
      <c r="H273" s="407"/>
      <c r="I273" s="407"/>
      <c r="J273" s="408" t="s">
        <v>445</v>
      </c>
      <c r="K273" s="409" t="str">
        <f t="shared" si="31"/>
        <v>A=(Ancho x Largo)* Cant</v>
      </c>
      <c r="L273" s="410" t="str">
        <f t="shared" si="39"/>
        <v>M2</v>
      </c>
      <c r="M273" s="411">
        <f>+HLOOKUP(B273,[238]Hoja1!$2:$78,8,FALSE)</f>
        <v>0</v>
      </c>
      <c r="N273" s="412"/>
      <c r="O273" s="443"/>
      <c r="P273" s="443"/>
      <c r="Q273" s="412"/>
      <c r="R273" s="412"/>
      <c r="S273" s="413"/>
      <c r="T273" s="414">
        <f t="shared" si="33"/>
        <v>0</v>
      </c>
      <c r="Y273" s="439">
        <f t="shared" si="37"/>
        <v>0</v>
      </c>
      <c r="Z273" s="439">
        <f t="shared" si="38"/>
        <v>0</v>
      </c>
    </row>
    <row r="274" spans="1:35" ht="21.75" customHeight="1">
      <c r="A274" s="453">
        <f t="shared" si="35"/>
        <v>1.04</v>
      </c>
      <c r="B274" s="383">
        <v>35</v>
      </c>
      <c r="D274" s="406"/>
      <c r="E274" s="440"/>
      <c r="F274" s="407"/>
      <c r="G274" s="407"/>
      <c r="H274" s="407"/>
      <c r="I274" s="437"/>
      <c r="J274" s="408" t="s">
        <v>446</v>
      </c>
      <c r="K274" s="409" t="str">
        <f t="shared" si="31"/>
        <v>A=(Ancho x Largo)* Cant</v>
      </c>
      <c r="L274" s="410" t="str">
        <f t="shared" si="39"/>
        <v>M2</v>
      </c>
      <c r="M274" s="411">
        <f>+HLOOKUP(B274,[238]Hoja1!$2:$78,8,FALSE)</f>
        <v>0</v>
      </c>
      <c r="N274" s="412"/>
      <c r="O274" s="442"/>
      <c r="P274" s="442"/>
      <c r="Q274" s="413"/>
      <c r="R274" s="413"/>
      <c r="S274" s="413"/>
      <c r="T274" s="414">
        <f t="shared" si="33"/>
        <v>0</v>
      </c>
      <c r="Y274" s="439">
        <f t="shared" si="37"/>
        <v>0</v>
      </c>
      <c r="Z274" s="439">
        <f t="shared" si="38"/>
        <v>0</v>
      </c>
    </row>
    <row r="275" spans="1:35">
      <c r="A275" s="453">
        <f t="shared" si="35"/>
        <v>1.04</v>
      </c>
      <c r="B275" s="383">
        <v>36</v>
      </c>
      <c r="D275" s="406"/>
      <c r="E275" s="407"/>
      <c r="F275" s="407"/>
      <c r="G275" s="407"/>
      <c r="H275" s="407"/>
      <c r="I275" s="407"/>
      <c r="J275" s="408" t="s">
        <v>447</v>
      </c>
      <c r="K275" s="409" t="str">
        <f t="shared" si="31"/>
        <v>A=(Ancho x Largo)* Cant</v>
      </c>
      <c r="L275" s="410" t="str">
        <f>+L264</f>
        <v>M2</v>
      </c>
      <c r="M275" s="411">
        <f>+HLOOKUP(B275,[238]Hoja1!$2:$78,8,FALSE)</f>
        <v>0</v>
      </c>
      <c r="N275" s="412"/>
      <c r="O275" s="442"/>
      <c r="P275" s="442"/>
      <c r="Q275" s="412"/>
      <c r="R275" s="412"/>
      <c r="S275" s="413"/>
      <c r="T275" s="414">
        <f t="shared" si="33"/>
        <v>0</v>
      </c>
      <c r="Y275" s="439">
        <f t="shared" si="37"/>
        <v>0</v>
      </c>
      <c r="Z275" s="439">
        <f t="shared" si="38"/>
        <v>0</v>
      </c>
    </row>
    <row r="276" spans="1:35">
      <c r="A276" s="453">
        <f t="shared" si="35"/>
        <v>1.04</v>
      </c>
      <c r="B276" s="383">
        <v>37</v>
      </c>
      <c r="D276" s="406"/>
      <c r="E276" s="407"/>
      <c r="F276" s="407"/>
      <c r="G276" s="407"/>
      <c r="H276" s="407"/>
      <c r="I276" s="407"/>
      <c r="J276" s="408" t="s">
        <v>448</v>
      </c>
      <c r="K276" s="409" t="str">
        <f t="shared" si="31"/>
        <v>A=(Ancho x Largo)* Cant</v>
      </c>
      <c r="L276" s="410" t="str">
        <f t="shared" si="36"/>
        <v>M2</v>
      </c>
      <c r="M276" s="411">
        <f>+HLOOKUP(B276,[238]Hoja1!$2:$78,8,FALSE)</f>
        <v>0</v>
      </c>
      <c r="N276" s="412"/>
      <c r="O276" s="441"/>
      <c r="P276" s="441"/>
      <c r="Q276" s="412"/>
      <c r="R276" s="412"/>
      <c r="S276" s="413"/>
      <c r="T276" s="414">
        <f t="shared" si="33"/>
        <v>0</v>
      </c>
      <c r="Y276" s="439">
        <f t="shared" si="37"/>
        <v>0</v>
      </c>
      <c r="Z276" s="439">
        <f t="shared" si="38"/>
        <v>0</v>
      </c>
    </row>
    <row r="277" spans="1:35" ht="21.75" customHeight="1">
      <c r="A277" s="453">
        <f t="shared" si="35"/>
        <v>1.04</v>
      </c>
      <c r="B277" s="383">
        <v>38</v>
      </c>
      <c r="D277" s="406"/>
      <c r="E277" s="440"/>
      <c r="F277" s="407"/>
      <c r="G277" s="407"/>
      <c r="H277" s="407"/>
      <c r="I277" s="437"/>
      <c r="J277" s="408" t="s">
        <v>449</v>
      </c>
      <c r="K277" s="409" t="str">
        <f t="shared" si="31"/>
        <v>A=(Ancho x Largo)* Cant</v>
      </c>
      <c r="L277" s="410" t="str">
        <f t="shared" si="36"/>
        <v>M2</v>
      </c>
      <c r="M277" s="411">
        <f>+HLOOKUP(B277,[238]Hoja1!$2:$78,8,FALSE)</f>
        <v>0</v>
      </c>
      <c r="N277" s="412"/>
      <c r="O277" s="442"/>
      <c r="P277" s="442"/>
      <c r="Q277" s="413"/>
      <c r="R277" s="413"/>
      <c r="S277" s="413"/>
      <c r="T277" s="414">
        <f t="shared" si="33"/>
        <v>0</v>
      </c>
      <c r="Y277" s="439">
        <f t="shared" si="37"/>
        <v>0</v>
      </c>
      <c r="Z277" s="439">
        <f t="shared" si="38"/>
        <v>0</v>
      </c>
    </row>
    <row r="278" spans="1:35">
      <c r="A278" s="453">
        <f t="shared" si="35"/>
        <v>1.04</v>
      </c>
      <c r="B278" s="383">
        <v>39</v>
      </c>
      <c r="D278" s="406"/>
      <c r="E278" s="407"/>
      <c r="F278" s="407"/>
      <c r="G278" s="407"/>
      <c r="H278" s="407"/>
      <c r="I278" s="407"/>
      <c r="J278" s="408" t="s">
        <v>450</v>
      </c>
      <c r="K278" s="409" t="str">
        <f t="shared" si="31"/>
        <v>A=(Ancho x Largo)* Cant</v>
      </c>
      <c r="L278" s="410" t="str">
        <f t="shared" si="36"/>
        <v>M2</v>
      </c>
      <c r="M278" s="411">
        <f>+HLOOKUP(B278,[238]Hoja1!$2:$78,8,FALSE)</f>
        <v>0</v>
      </c>
      <c r="N278" s="412"/>
      <c r="O278" s="441"/>
      <c r="P278" s="441"/>
      <c r="Q278" s="412"/>
      <c r="R278" s="412"/>
      <c r="S278" s="413"/>
      <c r="T278" s="414">
        <f t="shared" si="33"/>
        <v>0</v>
      </c>
      <c r="Y278" s="439">
        <f t="shared" si="37"/>
        <v>0</v>
      </c>
      <c r="Z278" s="439">
        <f t="shared" si="38"/>
        <v>0</v>
      </c>
    </row>
    <row r="279" spans="1:35">
      <c r="A279" s="453">
        <f t="shared" si="35"/>
        <v>1.04</v>
      </c>
      <c r="B279" s="383">
        <v>40</v>
      </c>
      <c r="D279" s="406"/>
      <c r="E279" s="407"/>
      <c r="F279" s="407"/>
      <c r="G279" s="407"/>
      <c r="H279" s="407"/>
      <c r="I279" s="407"/>
      <c r="J279" s="408" t="s">
        <v>451</v>
      </c>
      <c r="K279" s="409" t="str">
        <f t="shared" si="31"/>
        <v>A=(Ancho x Largo)* Cant</v>
      </c>
      <c r="L279" s="410" t="str">
        <f t="shared" si="36"/>
        <v>M2</v>
      </c>
      <c r="M279" s="411">
        <f>+HLOOKUP(B279,[238]Hoja1!$2:$78,8,FALSE)</f>
        <v>0</v>
      </c>
      <c r="N279" s="412"/>
      <c r="O279" s="442"/>
      <c r="P279" s="442"/>
      <c r="Q279" s="412"/>
      <c r="R279" s="412"/>
      <c r="S279" s="413"/>
      <c r="T279" s="414">
        <f t="shared" si="33"/>
        <v>0</v>
      </c>
      <c r="Y279" s="439">
        <f t="shared" si="37"/>
        <v>0</v>
      </c>
      <c r="Z279" s="439">
        <f t="shared" si="38"/>
        <v>0</v>
      </c>
    </row>
    <row r="280" spans="1:35">
      <c r="A280" s="453">
        <f t="shared" si="35"/>
        <v>1.04</v>
      </c>
      <c r="B280" s="383">
        <v>41</v>
      </c>
      <c r="D280" s="406"/>
      <c r="E280" s="407"/>
      <c r="F280" s="407"/>
      <c r="G280" s="407"/>
      <c r="H280" s="407"/>
      <c r="I280" s="407"/>
      <c r="J280" s="408" t="s">
        <v>452</v>
      </c>
      <c r="K280" s="409" t="str">
        <f t="shared" si="31"/>
        <v>A=(Ancho x Largo)* Cant</v>
      </c>
      <c r="L280" s="410" t="str">
        <f t="shared" si="36"/>
        <v>M2</v>
      </c>
      <c r="M280" s="411">
        <f>+HLOOKUP(B280,[238]Hoja1!$2:$78,8,FALSE)</f>
        <v>0</v>
      </c>
      <c r="N280" s="412"/>
      <c r="O280" s="442"/>
      <c r="P280" s="442"/>
      <c r="Q280" s="413"/>
      <c r="R280" s="413"/>
      <c r="S280" s="413"/>
      <c r="T280" s="414">
        <f t="shared" si="33"/>
        <v>0</v>
      </c>
      <c r="Y280" s="439">
        <f t="shared" si="37"/>
        <v>0</v>
      </c>
      <c r="Z280" s="439">
        <f t="shared" si="38"/>
        <v>0</v>
      </c>
      <c r="AH280" s="383" t="s">
        <v>156</v>
      </c>
      <c r="AI280" s="383" t="s">
        <v>410</v>
      </c>
    </row>
    <row r="281" spans="1:35">
      <c r="A281" s="453">
        <f t="shared" si="35"/>
        <v>1.04</v>
      </c>
      <c r="B281" s="383">
        <v>42</v>
      </c>
      <c r="D281" s="406"/>
      <c r="E281" s="407"/>
      <c r="F281" s="407"/>
      <c r="G281" s="407"/>
      <c r="H281" s="407"/>
      <c r="I281" s="407"/>
      <c r="J281" s="408" t="s">
        <v>453</v>
      </c>
      <c r="K281" s="409" t="str">
        <f t="shared" si="31"/>
        <v>A=(Ancho x Largo)* Cant</v>
      </c>
      <c r="L281" s="410" t="str">
        <f t="shared" si="36"/>
        <v>M2</v>
      </c>
      <c r="M281" s="411">
        <f>+HLOOKUP(B281,[238]Hoja1!$2:$78,8,FALSE)</f>
        <v>0</v>
      </c>
      <c r="N281" s="412"/>
      <c r="O281" s="442"/>
      <c r="P281" s="442"/>
      <c r="Q281" s="412"/>
      <c r="R281" s="412"/>
      <c r="S281" s="413"/>
      <c r="T281" s="414">
        <f t="shared" si="33"/>
        <v>0</v>
      </c>
      <c r="Y281" s="439">
        <f t="shared" si="37"/>
        <v>0</v>
      </c>
      <c r="Z281" s="439">
        <f t="shared" si="38"/>
        <v>0</v>
      </c>
    </row>
    <row r="282" spans="1:35" ht="13.5" thickBot="1">
      <c r="A282" s="453">
        <f t="shared" si="35"/>
        <v>1.04</v>
      </c>
      <c r="B282" s="383">
        <v>43</v>
      </c>
      <c r="D282" s="406"/>
      <c r="E282" s="407"/>
      <c r="F282" s="407"/>
      <c r="G282" s="407"/>
      <c r="H282" s="407"/>
      <c r="I282" s="407"/>
      <c r="J282" s="408" t="s">
        <v>454</v>
      </c>
      <c r="K282" s="409" t="str">
        <f t="shared" si="31"/>
        <v>A=(Ancho x Largo)* Cant</v>
      </c>
      <c r="L282" s="410" t="str">
        <f t="shared" si="36"/>
        <v>M2</v>
      </c>
      <c r="M282" s="411">
        <f>+HLOOKUP(B282,[238]Hoja1!$2:$78,8,FALSE)</f>
        <v>0</v>
      </c>
      <c r="N282" s="412"/>
      <c r="O282" s="442"/>
      <c r="P282" s="442"/>
      <c r="Q282" s="412"/>
      <c r="R282" s="412"/>
      <c r="S282" s="413"/>
      <c r="T282" s="414">
        <f t="shared" si="33"/>
        <v>0</v>
      </c>
      <c r="Y282" s="439">
        <f t="shared" si="37"/>
        <v>0</v>
      </c>
      <c r="Z282" s="439">
        <f t="shared" si="38"/>
        <v>0</v>
      </c>
    </row>
    <row r="283" spans="1:35">
      <c r="D283" s="384"/>
      <c r="E283" s="419"/>
      <c r="F283" s="420"/>
      <c r="G283" s="421"/>
      <c r="H283" s="421"/>
      <c r="I283" s="421"/>
      <c r="J283" s="421"/>
      <c r="K283" s="422"/>
      <c r="L283" s="421"/>
      <c r="M283" s="421"/>
      <c r="N283" s="421"/>
      <c r="O283" s="421"/>
      <c r="P283" s="421"/>
      <c r="Q283" s="421"/>
      <c r="R283" s="421"/>
      <c r="S283" s="422"/>
      <c r="T283" s="423"/>
    </row>
    <row r="284" spans="1:35">
      <c r="D284" s="396"/>
      <c r="E284" s="397"/>
      <c r="F284" s="424"/>
      <c r="G284" s="425"/>
      <c r="H284" s="425"/>
      <c r="I284" s="425"/>
      <c r="J284" s="425"/>
      <c r="K284" s="398"/>
      <c r="L284" s="425"/>
      <c r="M284" s="425"/>
      <c r="N284" s="397"/>
      <c r="O284" s="397"/>
      <c r="P284" s="562" t="s">
        <v>421</v>
      </c>
      <c r="Q284" s="563"/>
      <c r="R284" s="564"/>
      <c r="S284" s="426"/>
      <c r="T284" s="427">
        <f>ROUND(SUM(T240:T283),2)</f>
        <v>46.6</v>
      </c>
    </row>
    <row r="285" spans="1:35">
      <c r="D285" s="396"/>
      <c r="E285" s="397"/>
      <c r="F285" s="424"/>
      <c r="G285" s="425"/>
      <c r="H285" s="425"/>
      <c r="I285" s="425"/>
      <c r="J285" s="425"/>
      <c r="K285" s="398"/>
      <c r="L285" s="425"/>
      <c r="M285" s="425"/>
      <c r="N285" s="428"/>
      <c r="O285" s="428"/>
      <c r="P285" s="429"/>
      <c r="Q285" s="425"/>
      <c r="R285" s="425"/>
      <c r="S285" s="430"/>
      <c r="T285" s="431"/>
    </row>
    <row r="286" spans="1:35">
      <c r="D286" s="565" t="e">
        <v>#REF!</v>
      </c>
      <c r="E286" s="566"/>
      <c r="F286" s="566"/>
      <c r="G286" s="566"/>
      <c r="H286" s="566"/>
      <c r="I286" s="566"/>
      <c r="J286" s="566"/>
      <c r="K286" s="566"/>
      <c r="L286" s="566"/>
      <c r="M286" s="566"/>
      <c r="N286" s="566"/>
      <c r="O286" s="567"/>
      <c r="P286" s="568" t="s">
        <v>422</v>
      </c>
      <c r="Q286" s="568"/>
      <c r="R286" s="568"/>
      <c r="S286" s="426"/>
      <c r="T286" s="427">
        <f>T284</f>
        <v>46.6</v>
      </c>
    </row>
    <row r="287" spans="1:35">
      <c r="D287" s="396"/>
      <c r="E287" s="397"/>
      <c r="F287" s="424"/>
      <c r="G287" s="425"/>
      <c r="H287" s="425"/>
      <c r="I287" s="425"/>
      <c r="J287" s="425"/>
      <c r="K287" s="398"/>
      <c r="L287" s="425"/>
      <c r="M287" s="425"/>
      <c r="N287" s="428"/>
      <c r="O287" s="428"/>
      <c r="P287" s="429"/>
      <c r="Q287" s="425"/>
      <c r="R287" s="398"/>
      <c r="S287" s="398"/>
      <c r="T287" s="432"/>
    </row>
    <row r="288" spans="1:35">
      <c r="D288" s="396"/>
      <c r="E288" s="397"/>
      <c r="F288" s="424"/>
      <c r="G288" s="425"/>
      <c r="H288" s="425"/>
      <c r="I288" s="425"/>
      <c r="J288" s="425"/>
      <c r="K288" s="398"/>
      <c r="L288" s="425"/>
      <c r="M288" s="425"/>
      <c r="N288" s="428"/>
      <c r="O288" s="428"/>
      <c r="P288" s="429"/>
      <c r="Q288" s="425"/>
      <c r="R288" s="398"/>
      <c r="S288" s="398"/>
      <c r="T288" s="432"/>
    </row>
    <row r="289" spans="4:20">
      <c r="D289" s="569" t="s">
        <v>423</v>
      </c>
      <c r="E289" s="570"/>
      <c r="F289" s="570"/>
      <c r="G289" s="570"/>
      <c r="H289" s="570"/>
      <c r="I289" s="570"/>
      <c r="J289" s="570"/>
      <c r="K289" s="571"/>
      <c r="L289" s="433" t="s">
        <v>424</v>
      </c>
      <c r="M289" s="434"/>
      <c r="N289" s="434"/>
      <c r="O289" s="434"/>
      <c r="P289" s="434"/>
      <c r="Q289" s="434"/>
      <c r="R289" s="434"/>
      <c r="S289" s="434"/>
      <c r="T289" s="435"/>
    </row>
    <row r="290" spans="4:20">
      <c r="D290" s="542"/>
      <c r="E290" s="543"/>
      <c r="F290" s="543"/>
      <c r="G290" s="543"/>
      <c r="H290" s="436"/>
      <c r="I290" s="436"/>
      <c r="J290" s="436"/>
      <c r="K290" s="447"/>
      <c r="L290" s="436"/>
      <c r="M290" s="407"/>
      <c r="N290" s="407"/>
      <c r="O290" s="407"/>
      <c r="P290" s="407"/>
      <c r="Q290" s="407"/>
      <c r="R290" s="407"/>
      <c r="S290" s="407"/>
      <c r="T290" s="437"/>
    </row>
    <row r="291" spans="4:20">
      <c r="D291" s="542"/>
      <c r="E291" s="543"/>
      <c r="F291" s="543"/>
      <c r="G291" s="543"/>
      <c r="H291" s="436"/>
      <c r="I291" s="436"/>
      <c r="J291" s="436"/>
      <c r="K291" s="447"/>
      <c r="L291" s="436"/>
      <c r="M291" s="407"/>
      <c r="N291" s="407"/>
      <c r="O291" s="407"/>
      <c r="P291" s="407"/>
      <c r="Q291" s="407"/>
      <c r="R291" s="407"/>
      <c r="S291" s="407"/>
      <c r="T291" s="437"/>
    </row>
    <row r="292" spans="4:20">
      <c r="D292" s="542" t="s">
        <v>425</v>
      </c>
      <c r="E292" s="543"/>
      <c r="F292" s="543" t="s">
        <v>425</v>
      </c>
      <c r="G292" s="543"/>
      <c r="H292" s="543" t="s">
        <v>425</v>
      </c>
      <c r="I292" s="543"/>
      <c r="J292" s="543" t="s">
        <v>425</v>
      </c>
      <c r="K292" s="544"/>
      <c r="L292" s="545" t="s">
        <v>426</v>
      </c>
      <c r="M292" s="546"/>
      <c r="N292" s="546"/>
      <c r="O292" s="546"/>
      <c r="P292" s="546"/>
      <c r="Q292" s="546"/>
      <c r="R292" s="546"/>
      <c r="S292" s="546"/>
      <c r="T292" s="547"/>
    </row>
    <row r="293" spans="4:20">
      <c r="D293" s="548" t="str">
        <f>+[42]DATOS!D$8</f>
        <v>HELMER EDUARDO BECERRA SANTANDER</v>
      </c>
      <c r="E293" s="549"/>
      <c r="F293" s="549" t="s">
        <v>427</v>
      </c>
      <c r="G293" s="549"/>
      <c r="H293" s="549" t="s">
        <v>427</v>
      </c>
      <c r="I293" s="549"/>
      <c r="J293" s="549" t="s">
        <v>427</v>
      </c>
      <c r="K293" s="550"/>
      <c r="L293" s="551" t="str">
        <f>+[42]DATOS!D$11</f>
        <v>JESUS IVAN QUIÑONES RUEDA</v>
      </c>
      <c r="M293" s="549"/>
      <c r="N293" s="549"/>
      <c r="O293" s="549"/>
      <c r="P293" s="549"/>
      <c r="Q293" s="549"/>
      <c r="R293" s="549"/>
      <c r="S293" s="549"/>
      <c r="T293" s="552"/>
    </row>
    <row r="294" spans="4:20">
      <c r="D294" s="553" t="s">
        <v>456</v>
      </c>
      <c r="E294" s="554"/>
      <c r="F294" s="554" t="s">
        <v>428</v>
      </c>
      <c r="G294" s="554"/>
      <c r="H294" s="554" t="s">
        <v>428</v>
      </c>
      <c r="I294" s="554"/>
      <c r="J294" s="554" t="s">
        <v>428</v>
      </c>
      <c r="K294" s="555"/>
      <c r="L294" s="556" t="s">
        <v>457</v>
      </c>
      <c r="M294" s="554"/>
      <c r="N294" s="554"/>
      <c r="O294" s="554"/>
      <c r="P294" s="554"/>
      <c r="Q294" s="554"/>
      <c r="R294" s="554"/>
      <c r="S294" s="554"/>
      <c r="T294" s="557"/>
    </row>
    <row r="295" spans="4:20">
      <c r="D295" s="406"/>
      <c r="E295" s="407"/>
      <c r="F295" s="407"/>
      <c r="G295" s="407"/>
      <c r="H295" s="407"/>
      <c r="I295" s="407"/>
      <c r="J295" s="407"/>
      <c r="K295" s="407"/>
      <c r="L295" s="407"/>
      <c r="M295" s="407"/>
      <c r="N295" s="407"/>
      <c r="O295" s="407"/>
      <c r="P295" s="407"/>
      <c r="Q295" s="407"/>
      <c r="R295" s="407"/>
      <c r="S295" s="407"/>
      <c r="T295" s="437"/>
    </row>
    <row r="296" spans="4:20" ht="111.6" customHeight="1" thickBot="1">
      <c r="D296" s="417"/>
      <c r="E296" s="418"/>
      <c r="F296" s="418"/>
      <c r="G296" s="418"/>
      <c r="H296" s="418"/>
      <c r="I296" s="418"/>
      <c r="J296" s="418"/>
      <c r="K296" s="418"/>
      <c r="L296" s="418"/>
      <c r="M296" s="418"/>
      <c r="N296" s="418"/>
      <c r="O296" s="418"/>
      <c r="P296" s="418"/>
      <c r="Q296" s="418"/>
      <c r="R296" s="418"/>
      <c r="S296" s="418"/>
      <c r="T296" s="438"/>
    </row>
    <row r="299" spans="4:20" ht="13.5" thickBot="1"/>
    <row r="300" spans="4:20">
      <c r="D300" s="384"/>
      <c r="E300" s="385"/>
      <c r="F300" s="385"/>
      <c r="G300" s="385"/>
      <c r="H300" s="385"/>
      <c r="I300" s="385"/>
      <c r="J300" s="385"/>
      <c r="K300" s="445"/>
      <c r="L300" s="385"/>
      <c r="M300" s="385"/>
      <c r="N300" s="385"/>
      <c r="O300" s="385"/>
      <c r="P300" s="385"/>
      <c r="Q300" s="385"/>
      <c r="R300" s="385"/>
      <c r="S300" s="385"/>
      <c r="T300" s="386"/>
    </row>
    <row r="301" spans="4:20" ht="121.5" customHeight="1" thickBot="1">
      <c r="D301" s="387"/>
      <c r="E301" s="388"/>
      <c r="F301" s="388"/>
      <c r="G301" s="388"/>
      <c r="H301" s="388"/>
      <c r="I301" s="388"/>
      <c r="J301" s="388"/>
      <c r="K301" s="446"/>
      <c r="L301" s="388"/>
      <c r="M301" s="388"/>
      <c r="N301" s="388"/>
      <c r="O301" s="388"/>
      <c r="P301" s="388"/>
      <c r="Q301" s="388"/>
      <c r="R301" s="388"/>
      <c r="S301" s="388"/>
      <c r="T301" s="389"/>
    </row>
    <row r="302" spans="4:20">
      <c r="D302" s="592" t="str">
        <f>+[42]DATOS!C$7</f>
        <v>MEJORAMIENTO DE VIVIENDA CON ENFOQUE DIFERENCIAL PARA POBLACIÓN VULNERABLE EN EL MUNICIPIO DE CUBARÁ, BOYACÁ (2026).</v>
      </c>
      <c r="E302" s="593"/>
      <c r="F302" s="593"/>
      <c r="G302" s="593"/>
      <c r="H302" s="593"/>
      <c r="I302" s="593"/>
      <c r="J302" s="593"/>
      <c r="K302" s="593"/>
      <c r="L302" s="593"/>
      <c r="M302" s="593"/>
      <c r="N302" s="593"/>
      <c r="O302" s="593"/>
      <c r="P302" s="593"/>
      <c r="Q302" s="593"/>
      <c r="R302" s="593"/>
      <c r="S302" s="593"/>
      <c r="T302" s="594"/>
    </row>
    <row r="303" spans="4:20">
      <c r="D303" s="595"/>
      <c r="E303" s="596"/>
      <c r="F303" s="596"/>
      <c r="G303" s="596"/>
      <c r="H303" s="596"/>
      <c r="I303" s="596"/>
      <c r="J303" s="596"/>
      <c r="K303" s="596"/>
      <c r="L303" s="596"/>
      <c r="M303" s="596"/>
      <c r="N303" s="596"/>
      <c r="O303" s="596"/>
      <c r="P303" s="596"/>
      <c r="Q303" s="596"/>
      <c r="R303" s="596"/>
      <c r="S303" s="596"/>
      <c r="T303" s="597"/>
    </row>
    <row r="304" spans="4:20">
      <c r="D304" s="598" t="s">
        <v>371</v>
      </c>
      <c r="E304" s="599"/>
      <c r="F304" s="599"/>
      <c r="G304" s="599"/>
      <c r="H304" s="599"/>
      <c r="I304" s="599"/>
      <c r="J304" s="599"/>
      <c r="K304" s="599"/>
      <c r="L304" s="599"/>
      <c r="M304" s="599"/>
      <c r="N304" s="599"/>
      <c r="O304" s="599"/>
      <c r="P304" s="599"/>
      <c r="Q304" s="599"/>
      <c r="R304" s="599"/>
      <c r="S304" s="599"/>
      <c r="T304" s="600"/>
    </row>
    <row r="305" spans="1:26">
      <c r="D305" s="586" t="s">
        <v>372</v>
      </c>
      <c r="E305" s="587"/>
      <c r="F305" s="601" t="s">
        <v>373</v>
      </c>
      <c r="G305" s="601"/>
      <c r="H305" s="601"/>
      <c r="I305" s="601"/>
      <c r="J305" s="601"/>
      <c r="K305" s="601"/>
      <c r="L305" s="601"/>
      <c r="M305" s="601"/>
      <c r="N305" s="601"/>
      <c r="O305" s="601"/>
      <c r="P305" s="601"/>
      <c r="Q305" s="601"/>
      <c r="R305" s="601"/>
      <c r="S305" s="601"/>
      <c r="T305" s="602"/>
    </row>
    <row r="306" spans="1:26">
      <c r="D306" s="586" t="s">
        <v>374</v>
      </c>
      <c r="E306" s="587"/>
      <c r="F306" s="603" t="s">
        <v>375</v>
      </c>
      <c r="G306" s="604"/>
      <c r="H306" s="604"/>
      <c r="I306" s="604"/>
      <c r="J306" s="604"/>
      <c r="K306" s="604"/>
      <c r="L306" s="604"/>
      <c r="M306" s="604"/>
      <c r="N306" s="604"/>
      <c r="O306" s="604"/>
      <c r="P306" s="604"/>
      <c r="Q306" s="604"/>
      <c r="R306" s="604"/>
      <c r="S306" s="604"/>
      <c r="T306" s="605"/>
    </row>
    <row r="307" spans="1:26">
      <c r="D307" s="586" t="s">
        <v>376</v>
      </c>
      <c r="E307" s="587"/>
      <c r="F307" s="390">
        <f>+[42]DATOS!F$5</f>
        <v>46143</v>
      </c>
      <c r="G307" s="391"/>
      <c r="H307" s="391"/>
      <c r="I307" s="391"/>
      <c r="J307" s="391"/>
      <c r="K307" s="391"/>
      <c r="L307" s="568" t="s">
        <v>377</v>
      </c>
      <c r="M307" s="568"/>
      <c r="N307" s="588" t="s">
        <v>378</v>
      </c>
      <c r="O307" s="588"/>
      <c r="P307" s="588"/>
      <c r="Q307" s="588"/>
      <c r="R307" s="588"/>
      <c r="S307" s="588"/>
      <c r="T307" s="589"/>
    </row>
    <row r="308" spans="1:26" ht="25.5">
      <c r="D308" s="586" t="s">
        <v>379</v>
      </c>
      <c r="E308" s="587"/>
      <c r="F308" s="590" t="s">
        <v>380</v>
      </c>
      <c r="G308" s="591"/>
      <c r="H308" s="392">
        <f>+[42]DATOS!E$5</f>
        <v>2026</v>
      </c>
      <c r="I308" s="393" t="s">
        <v>381</v>
      </c>
      <c r="J308" s="394">
        <f>+[42]DATOS!E$5</f>
        <v>2026</v>
      </c>
      <c r="K308" s="395"/>
      <c r="L308" s="568" t="s">
        <v>382</v>
      </c>
      <c r="M308" s="568"/>
      <c r="N308" s="588" t="s">
        <v>383</v>
      </c>
      <c r="O308" s="588"/>
      <c r="P308" s="588"/>
      <c r="Q308" s="588"/>
      <c r="R308" s="588"/>
      <c r="S308" s="588"/>
      <c r="T308" s="589"/>
    </row>
    <row r="309" spans="1:26">
      <c r="D309" s="396"/>
      <c r="E309" s="397"/>
      <c r="F309" s="397"/>
      <c r="G309" s="398"/>
      <c r="H309" s="398"/>
      <c r="I309" s="398"/>
      <c r="J309" s="398"/>
      <c r="K309" s="398"/>
      <c r="L309" s="398"/>
      <c r="M309" s="398"/>
      <c r="N309" s="398"/>
      <c r="O309" s="398"/>
      <c r="P309" s="398"/>
      <c r="Q309" s="398"/>
      <c r="R309" s="398"/>
      <c r="S309" s="398"/>
      <c r="T309" s="399"/>
    </row>
    <row r="310" spans="1:26">
      <c r="D310" s="572" t="s">
        <v>384</v>
      </c>
      <c r="E310" s="573"/>
      <c r="F310" s="573"/>
      <c r="G310" s="573"/>
      <c r="H310" s="573"/>
      <c r="I310" s="573"/>
      <c r="J310" s="573"/>
      <c r="K310" s="573"/>
      <c r="L310" s="573"/>
      <c r="M310" s="573"/>
      <c r="N310" s="573"/>
      <c r="O310" s="573"/>
      <c r="P310" s="573"/>
      <c r="Q310" s="573"/>
      <c r="R310" s="573"/>
      <c r="S310" s="573"/>
      <c r="T310" s="574"/>
    </row>
    <row r="311" spans="1:26">
      <c r="D311" s="396"/>
      <c r="E311" s="397"/>
      <c r="F311" s="397"/>
      <c r="G311" s="398"/>
      <c r="H311" s="398"/>
      <c r="I311" s="398"/>
      <c r="J311" s="398"/>
      <c r="K311" s="398"/>
      <c r="L311" s="398"/>
      <c r="M311" s="398"/>
      <c r="N311" s="398"/>
      <c r="O311" s="398"/>
      <c r="P311" s="398"/>
      <c r="Q311" s="398"/>
      <c r="R311" s="398"/>
      <c r="S311" s="398"/>
      <c r="T311" s="399"/>
    </row>
    <row r="312" spans="1:26">
      <c r="D312" s="400" t="s">
        <v>385</v>
      </c>
      <c r="E312" s="575" t="s">
        <v>386</v>
      </c>
      <c r="F312" s="575"/>
      <c r="G312" s="576" t="s">
        <v>387</v>
      </c>
      <c r="H312" s="577"/>
      <c r="I312" s="577"/>
      <c r="J312" s="576" t="s">
        <v>388</v>
      </c>
      <c r="K312" s="576" t="s">
        <v>389</v>
      </c>
      <c r="L312" s="579"/>
      <c r="M312" s="581" t="s">
        <v>390</v>
      </c>
      <c r="N312" s="581"/>
      <c r="O312" s="581"/>
      <c r="P312" s="581"/>
      <c r="Q312" s="581"/>
      <c r="R312" s="581"/>
      <c r="S312" s="581" t="s">
        <v>391</v>
      </c>
      <c r="T312" s="582"/>
    </row>
    <row r="313" spans="1:26" ht="38.25">
      <c r="D313" s="403">
        <f>+'PRESUPUESTO OFICIAL '!C16</f>
        <v>1.05</v>
      </c>
      <c r="E313" s="583" t="str">
        <f>+VLOOKUP(D313,'PRESUPUESTO OFICIAL '!$C$11:$H$103,2)</f>
        <v>DEMOLICIÓN DE PLACA DE PISO EN CONCRETO DE E = 10 CM. (INCLUYE RETIRO Y ACARREO LIBRE HASTA 5 KM.)</v>
      </c>
      <c r="F313" s="584"/>
      <c r="G313" s="585" t="str">
        <f>+VLOOKUP(D313,'PRESUPUESTO OFICIAL '!$C$11:$H$103,3)</f>
        <v>M2</v>
      </c>
      <c r="H313" s="585"/>
      <c r="I313" s="585"/>
      <c r="J313" s="578"/>
      <c r="K313" s="578"/>
      <c r="L313" s="580"/>
      <c r="M313" s="401" t="s">
        <v>392</v>
      </c>
      <c r="N313" s="401" t="s">
        <v>393</v>
      </c>
      <c r="O313" s="401" t="s">
        <v>394</v>
      </c>
      <c r="P313" s="401" t="s">
        <v>395</v>
      </c>
      <c r="Q313" s="401" t="s">
        <v>396</v>
      </c>
      <c r="R313" s="401" t="s">
        <v>397</v>
      </c>
      <c r="S313" s="401" t="s">
        <v>398</v>
      </c>
      <c r="T313" s="402" t="s">
        <v>399</v>
      </c>
      <c r="V313" s="404">
        <f>+D313</f>
        <v>1.05</v>
      </c>
      <c r="W313" s="405">
        <f>+T361</f>
        <v>48.54</v>
      </c>
    </row>
    <row r="314" spans="1:26">
      <c r="D314" s="406"/>
      <c r="E314" s="407"/>
      <c r="F314" s="407"/>
      <c r="G314" s="407"/>
      <c r="H314" s="407"/>
      <c r="I314" s="407"/>
      <c r="J314" s="558"/>
      <c r="K314" s="559"/>
      <c r="L314" s="560"/>
      <c r="M314" s="560"/>
      <c r="N314" s="560"/>
      <c r="O314" s="560"/>
      <c r="P314" s="560"/>
      <c r="Q314" s="560"/>
      <c r="R314" s="560"/>
      <c r="S314" s="560"/>
      <c r="T314" s="561"/>
    </row>
    <row r="315" spans="1:26">
      <c r="A315" s="453">
        <f>+D313</f>
        <v>1.05</v>
      </c>
      <c r="B315" s="383">
        <v>1</v>
      </c>
      <c r="D315" s="406"/>
      <c r="E315" s="407"/>
      <c r="F315" s="407"/>
      <c r="G315" s="407"/>
      <c r="H315" s="407"/>
      <c r="I315" s="407"/>
      <c r="J315" s="408" t="s">
        <v>400</v>
      </c>
      <c r="K315" s="409" t="str">
        <f t="shared" ref="K315:K357" si="40">+VLOOKUP(L315,$AH$22:$AJ$58,2,)</f>
        <v>A=(Ancho x Largo)* Cant</v>
      </c>
      <c r="L315" s="410" t="str">
        <f>+G313</f>
        <v>M2</v>
      </c>
      <c r="M315" s="411">
        <f>+HLOOKUP(B315,[238]Hoja1!$2:$78,9,FALSE)</f>
        <v>0</v>
      </c>
      <c r="N315" s="412"/>
      <c r="O315" s="442"/>
      <c r="P315" s="442"/>
      <c r="Q315" s="413"/>
      <c r="R315" s="413"/>
      <c r="S315" s="413"/>
      <c r="T315" s="414">
        <f>+S315*M315</f>
        <v>0</v>
      </c>
      <c r="Y315" s="439">
        <f>+O315*P315</f>
        <v>0</v>
      </c>
      <c r="Z315" s="439">
        <f>+Y315-M315</f>
        <v>0</v>
      </c>
    </row>
    <row r="316" spans="1:26">
      <c r="A316" s="453">
        <f>+A315</f>
        <v>1.05</v>
      </c>
      <c r="B316" s="383">
        <v>2</v>
      </c>
      <c r="D316" s="406"/>
      <c r="E316" s="407"/>
      <c r="F316" s="407"/>
      <c r="G316" s="407"/>
      <c r="H316" s="407"/>
      <c r="I316" s="407"/>
      <c r="J316" s="408" t="s">
        <v>401</v>
      </c>
      <c r="K316" s="409" t="str">
        <f t="shared" si="40"/>
        <v>A=(Ancho x Largo)* Cant</v>
      </c>
      <c r="L316" s="410" t="str">
        <f>+L315</f>
        <v>M2</v>
      </c>
      <c r="M316" s="411">
        <f>+HLOOKUP(B316,[238]Hoja1!$2:$78,9,FALSE)</f>
        <v>0</v>
      </c>
      <c r="N316" s="412"/>
      <c r="O316" s="442"/>
      <c r="P316" s="442"/>
      <c r="Q316" s="413"/>
      <c r="R316" s="413"/>
      <c r="S316" s="413"/>
      <c r="T316" s="414">
        <f t="shared" ref="T316:T357" si="41">+S316*M316</f>
        <v>0</v>
      </c>
      <c r="Y316" s="439">
        <f>+O316*P316</f>
        <v>0</v>
      </c>
      <c r="Z316" s="439">
        <f t="shared" ref="Z316:Z357" si="42">+Y316-M316</f>
        <v>0</v>
      </c>
    </row>
    <row r="317" spans="1:26">
      <c r="A317" s="453">
        <f t="shared" ref="A317:A357" si="43">+A316</f>
        <v>1.05</v>
      </c>
      <c r="B317" s="383">
        <v>3</v>
      </c>
      <c r="D317" s="406"/>
      <c r="E317" s="407"/>
      <c r="F317" s="407"/>
      <c r="G317" s="407"/>
      <c r="H317" s="407"/>
      <c r="I317" s="407"/>
      <c r="J317" s="408" t="s">
        <v>402</v>
      </c>
      <c r="K317" s="409" t="str">
        <f t="shared" si="40"/>
        <v>A=(Ancho x Largo)* Cant</v>
      </c>
      <c r="L317" s="410" t="str">
        <f>+L316</f>
        <v>M2</v>
      </c>
      <c r="M317" s="411">
        <f>+HLOOKUP(B317,[238]Hoja1!$2:$78,9,FALSE)</f>
        <v>0</v>
      </c>
      <c r="N317" s="412"/>
      <c r="O317" s="442"/>
      <c r="P317" s="442"/>
      <c r="Q317" s="413"/>
      <c r="R317" s="413"/>
      <c r="S317" s="413"/>
      <c r="T317" s="414">
        <f t="shared" si="41"/>
        <v>0</v>
      </c>
      <c r="Y317" s="439">
        <f t="shared" ref="Y317:Y357" si="44">+O317*P317</f>
        <v>0</v>
      </c>
      <c r="Z317" s="439">
        <f t="shared" si="42"/>
        <v>0</v>
      </c>
    </row>
    <row r="318" spans="1:26">
      <c r="A318" s="453">
        <f t="shared" si="43"/>
        <v>1.05</v>
      </c>
      <c r="B318" s="383">
        <v>4</v>
      </c>
      <c r="D318" s="406"/>
      <c r="E318" s="407"/>
      <c r="F318" s="407"/>
      <c r="G318" s="407"/>
      <c r="H318" s="407"/>
      <c r="I318" s="407"/>
      <c r="J318" s="408" t="s">
        <v>403</v>
      </c>
      <c r="K318" s="409" t="str">
        <f t="shared" si="40"/>
        <v>A=(Ancho x Largo)* Cant</v>
      </c>
      <c r="L318" s="410" t="str">
        <f>+L317</f>
        <v>M2</v>
      </c>
      <c r="M318" s="411">
        <f>+HLOOKUP(B318,[238]Hoja1!$2:$78,9,FALSE)</f>
        <v>0</v>
      </c>
      <c r="N318" s="412"/>
      <c r="O318" s="442"/>
      <c r="P318" s="442"/>
      <c r="Q318" s="413"/>
      <c r="R318" s="413"/>
      <c r="S318" s="413"/>
      <c r="T318" s="414">
        <f t="shared" si="41"/>
        <v>0</v>
      </c>
      <c r="Y318" s="439">
        <f t="shared" si="44"/>
        <v>0</v>
      </c>
      <c r="Z318" s="439">
        <f t="shared" si="42"/>
        <v>0</v>
      </c>
    </row>
    <row r="319" spans="1:26">
      <c r="A319" s="453">
        <f t="shared" si="43"/>
        <v>1.05</v>
      </c>
      <c r="B319" s="383">
        <v>5</v>
      </c>
      <c r="D319" s="406"/>
      <c r="E319" s="407"/>
      <c r="F319" s="407"/>
      <c r="G319" s="407"/>
      <c r="H319" s="407"/>
      <c r="I319" s="407"/>
      <c r="J319" s="408" t="s">
        <v>405</v>
      </c>
      <c r="K319" s="409" t="str">
        <f t="shared" si="40"/>
        <v>A=(Ancho x Largo)* Cant</v>
      </c>
      <c r="L319" s="410" t="str">
        <f>+L318</f>
        <v>M2</v>
      </c>
      <c r="M319" s="411">
        <f>+HLOOKUP(B319,[238]Hoja1!$2:$78,9,FALSE)</f>
        <v>0</v>
      </c>
      <c r="N319" s="412"/>
      <c r="O319" s="442"/>
      <c r="P319" s="442"/>
      <c r="Q319" s="413"/>
      <c r="R319" s="413"/>
      <c r="S319" s="413"/>
      <c r="T319" s="414">
        <f t="shared" si="41"/>
        <v>0</v>
      </c>
      <c r="Y319" s="439">
        <f t="shared" si="44"/>
        <v>0</v>
      </c>
      <c r="Z319" s="439">
        <f t="shared" si="42"/>
        <v>0</v>
      </c>
    </row>
    <row r="320" spans="1:26">
      <c r="A320" s="453">
        <f t="shared" si="43"/>
        <v>1.05</v>
      </c>
      <c r="B320" s="383">
        <v>6</v>
      </c>
      <c r="D320" s="406"/>
      <c r="E320" s="407"/>
      <c r="F320" s="407"/>
      <c r="G320" s="407"/>
      <c r="H320" s="407"/>
      <c r="I320" s="407"/>
      <c r="J320" s="408" t="s">
        <v>407</v>
      </c>
      <c r="K320" s="409" t="str">
        <f t="shared" si="40"/>
        <v>A=(Ancho x Largo)* Cant</v>
      </c>
      <c r="L320" s="410" t="str">
        <f>+L319</f>
        <v>M2</v>
      </c>
      <c r="M320" s="411">
        <f>+HLOOKUP(B320,[238]Hoja1!$2:$78,9,FALSE)</f>
        <v>0</v>
      </c>
      <c r="N320" s="412"/>
      <c r="O320" s="442"/>
      <c r="P320" s="442"/>
      <c r="Q320" s="413"/>
      <c r="R320" s="413"/>
      <c r="S320" s="413"/>
      <c r="T320" s="414">
        <f t="shared" si="41"/>
        <v>0</v>
      </c>
      <c r="Y320" s="439">
        <f t="shared" si="44"/>
        <v>0</v>
      </c>
      <c r="Z320" s="439">
        <f t="shared" si="42"/>
        <v>0</v>
      </c>
    </row>
    <row r="321" spans="1:26">
      <c r="A321" s="453">
        <f t="shared" si="43"/>
        <v>1.05</v>
      </c>
      <c r="B321" s="383">
        <v>7</v>
      </c>
      <c r="D321" s="406"/>
      <c r="E321" s="407"/>
      <c r="F321" s="407"/>
      <c r="G321" s="407"/>
      <c r="H321" s="407"/>
      <c r="I321" s="407"/>
      <c r="J321" s="408" t="s">
        <v>409</v>
      </c>
      <c r="K321" s="409" t="str">
        <f t="shared" si="40"/>
        <v>A=(Ancho x Largo)* Cant</v>
      </c>
      <c r="L321" s="410" t="str">
        <f>+L315</f>
        <v>M2</v>
      </c>
      <c r="M321" s="411">
        <f>+HLOOKUP(B321,[238]Hoja1!$2:$78,9,FALSE)</f>
        <v>1.26</v>
      </c>
      <c r="N321" s="412"/>
      <c r="O321" s="442">
        <f>+M321/0.5</f>
        <v>2.52</v>
      </c>
      <c r="P321" s="442">
        <v>0.5</v>
      </c>
      <c r="Q321" s="413"/>
      <c r="R321" s="413"/>
      <c r="S321" s="413">
        <v>1</v>
      </c>
      <c r="T321" s="414">
        <f t="shared" si="41"/>
        <v>1.26</v>
      </c>
      <c r="Y321" s="439">
        <f t="shared" si="44"/>
        <v>1.26</v>
      </c>
      <c r="Z321" s="439">
        <f t="shared" si="42"/>
        <v>0</v>
      </c>
    </row>
    <row r="322" spans="1:26">
      <c r="A322" s="453">
        <f t="shared" si="43"/>
        <v>1.05</v>
      </c>
      <c r="B322" s="383">
        <v>8</v>
      </c>
      <c r="D322" s="406"/>
      <c r="E322" s="407"/>
      <c r="F322" s="407"/>
      <c r="G322" s="407"/>
      <c r="H322" s="407"/>
      <c r="I322" s="407"/>
      <c r="J322" s="408" t="s">
        <v>411</v>
      </c>
      <c r="K322" s="409" t="str">
        <f t="shared" si="40"/>
        <v>A=(Ancho x Largo)* Cant</v>
      </c>
      <c r="L322" s="410" t="str">
        <f>+L321</f>
        <v>M2</v>
      </c>
      <c r="M322" s="411">
        <f>+HLOOKUP(B322,[238]Hoja1!$2:$78,9,FALSE)</f>
        <v>9.3000000000000007</v>
      </c>
      <c r="N322" s="412"/>
      <c r="O322" s="442">
        <f>+M322/3.15</f>
        <v>2.9523809523809526</v>
      </c>
      <c r="P322" s="442">
        <v>3.15</v>
      </c>
      <c r="Q322" s="413"/>
      <c r="R322" s="413"/>
      <c r="S322" s="413">
        <v>1</v>
      </c>
      <c r="T322" s="414">
        <f t="shared" si="41"/>
        <v>9.3000000000000007</v>
      </c>
      <c r="Y322" s="439">
        <f t="shared" si="44"/>
        <v>9.3000000000000007</v>
      </c>
      <c r="Z322" s="439">
        <f t="shared" si="42"/>
        <v>0</v>
      </c>
    </row>
    <row r="323" spans="1:26">
      <c r="A323" s="453">
        <f t="shared" si="43"/>
        <v>1.05</v>
      </c>
      <c r="B323" s="383">
        <v>9</v>
      </c>
      <c r="D323" s="406"/>
      <c r="E323" s="407"/>
      <c r="F323" s="407"/>
      <c r="G323" s="407"/>
      <c r="H323" s="407"/>
      <c r="I323" s="407"/>
      <c r="J323" s="408" t="s">
        <v>412</v>
      </c>
      <c r="K323" s="409" t="str">
        <f t="shared" si="40"/>
        <v>A=(Ancho x Largo)* Cant</v>
      </c>
      <c r="L323" s="410" t="str">
        <f>+L322</f>
        <v>M2</v>
      </c>
      <c r="M323" s="411">
        <f>+HLOOKUP(B323,[238]Hoja1!$2:$78,9,FALSE)</f>
        <v>0</v>
      </c>
      <c r="N323" s="412"/>
      <c r="O323" s="442"/>
      <c r="P323" s="442"/>
      <c r="Q323" s="412"/>
      <c r="R323" s="412"/>
      <c r="S323" s="413"/>
      <c r="T323" s="414">
        <f t="shared" si="41"/>
        <v>0</v>
      </c>
      <c r="Y323" s="439">
        <f t="shared" si="44"/>
        <v>0</v>
      </c>
      <c r="Z323" s="439">
        <f t="shared" si="42"/>
        <v>0</v>
      </c>
    </row>
    <row r="324" spans="1:26">
      <c r="A324" s="453">
        <f t="shared" si="43"/>
        <v>1.05</v>
      </c>
      <c r="B324" s="383">
        <v>10</v>
      </c>
      <c r="D324" s="406"/>
      <c r="E324" s="407"/>
      <c r="F324" s="407"/>
      <c r="G324" s="407"/>
      <c r="H324" s="407"/>
      <c r="I324" s="407"/>
      <c r="J324" s="408" t="s">
        <v>413</v>
      </c>
      <c r="K324" s="409" t="str">
        <f t="shared" si="40"/>
        <v>A=(Ancho x Largo)* Cant</v>
      </c>
      <c r="L324" s="410" t="str">
        <f>+L323</f>
        <v>M2</v>
      </c>
      <c r="M324" s="411">
        <f>+HLOOKUP(B324,[238]Hoja1!$2:$78,9,FALSE)</f>
        <v>0</v>
      </c>
      <c r="N324" s="412"/>
      <c r="O324" s="441"/>
      <c r="P324" s="441"/>
      <c r="Q324" s="412"/>
      <c r="R324" s="412"/>
      <c r="S324" s="413"/>
      <c r="T324" s="414">
        <f t="shared" si="41"/>
        <v>0</v>
      </c>
      <c r="Y324" s="439">
        <f t="shared" si="44"/>
        <v>0</v>
      </c>
      <c r="Z324" s="439">
        <f t="shared" si="42"/>
        <v>0</v>
      </c>
    </row>
    <row r="325" spans="1:26">
      <c r="A325" s="453">
        <f t="shared" si="43"/>
        <v>1.05</v>
      </c>
      <c r="B325" s="383">
        <v>11</v>
      </c>
      <c r="D325" s="406"/>
      <c r="E325" s="407"/>
      <c r="F325" s="407"/>
      <c r="G325" s="407"/>
      <c r="H325" s="407"/>
      <c r="I325" s="407"/>
      <c r="J325" s="408" t="s">
        <v>414</v>
      </c>
      <c r="K325" s="409" t="str">
        <f t="shared" si="40"/>
        <v>A=(Ancho x Largo)* Cant</v>
      </c>
      <c r="L325" s="410" t="str">
        <f>+L324</f>
        <v>M2</v>
      </c>
      <c r="M325" s="411">
        <f>+HLOOKUP(B325,[238]Hoja1!$2:$78,9,FALSE)</f>
        <v>0</v>
      </c>
      <c r="N325" s="412"/>
      <c r="O325" s="443"/>
      <c r="P325" s="443"/>
      <c r="Q325" s="412"/>
      <c r="R325" s="412"/>
      <c r="S325" s="413"/>
      <c r="T325" s="414">
        <f t="shared" si="41"/>
        <v>0</v>
      </c>
      <c r="Y325" s="439">
        <f t="shared" si="44"/>
        <v>0</v>
      </c>
      <c r="Z325" s="439">
        <f t="shared" si="42"/>
        <v>0</v>
      </c>
    </row>
    <row r="326" spans="1:26">
      <c r="A326" s="453">
        <f t="shared" si="43"/>
        <v>1.05</v>
      </c>
      <c r="B326" s="383">
        <v>12</v>
      </c>
      <c r="D326" s="406"/>
      <c r="E326" s="407"/>
      <c r="F326" s="407"/>
      <c r="G326" s="407"/>
      <c r="H326" s="407"/>
      <c r="I326" s="407"/>
      <c r="J326" s="408" t="s">
        <v>415</v>
      </c>
      <c r="K326" s="409" t="str">
        <f t="shared" si="40"/>
        <v>A=(Ancho x Largo)* Cant</v>
      </c>
      <c r="L326" s="410" t="str">
        <f>+L320</f>
        <v>M2</v>
      </c>
      <c r="M326" s="411">
        <f>+HLOOKUP(B326,[238]Hoja1!$2:$78,9,FALSE)</f>
        <v>0</v>
      </c>
      <c r="N326" s="412"/>
      <c r="O326" s="442"/>
      <c r="P326" s="442"/>
      <c r="Q326" s="413"/>
      <c r="R326" s="413"/>
      <c r="S326" s="413"/>
      <c r="T326" s="414">
        <f t="shared" si="41"/>
        <v>0</v>
      </c>
      <c r="Y326" s="439">
        <f t="shared" si="44"/>
        <v>0</v>
      </c>
      <c r="Z326" s="439">
        <f t="shared" si="42"/>
        <v>0</v>
      </c>
    </row>
    <row r="327" spans="1:26">
      <c r="A327" s="453">
        <f t="shared" si="43"/>
        <v>1.05</v>
      </c>
      <c r="B327" s="383">
        <v>13</v>
      </c>
      <c r="D327" s="406"/>
      <c r="E327" s="407"/>
      <c r="F327" s="407"/>
      <c r="G327" s="407"/>
      <c r="H327" s="407"/>
      <c r="I327" s="407"/>
      <c r="J327" s="408" t="s">
        <v>416</v>
      </c>
      <c r="K327" s="409" t="str">
        <f t="shared" si="40"/>
        <v>A=(Ancho x Largo)* Cant</v>
      </c>
      <c r="L327" s="410" t="str">
        <f>+L322</f>
        <v>M2</v>
      </c>
      <c r="M327" s="411">
        <f>+HLOOKUP(B327,[238]Hoja1!$2:$78,9,FALSE)</f>
        <v>0</v>
      </c>
      <c r="N327" s="412"/>
      <c r="O327" s="442"/>
      <c r="P327" s="442"/>
      <c r="Q327" s="413"/>
      <c r="R327" s="413"/>
      <c r="S327" s="413"/>
      <c r="T327" s="414">
        <f t="shared" si="41"/>
        <v>0</v>
      </c>
      <c r="Y327" s="439">
        <f t="shared" si="44"/>
        <v>0</v>
      </c>
      <c r="Z327" s="439">
        <f t="shared" si="42"/>
        <v>0</v>
      </c>
    </row>
    <row r="328" spans="1:26">
      <c r="A328" s="453">
        <f t="shared" si="43"/>
        <v>1.05</v>
      </c>
      <c r="B328" s="383">
        <v>14</v>
      </c>
      <c r="D328" s="406"/>
      <c r="E328" s="407"/>
      <c r="F328" s="407"/>
      <c r="G328" s="407"/>
      <c r="H328" s="407"/>
      <c r="I328" s="407"/>
      <c r="J328" s="408" t="s">
        <v>417</v>
      </c>
      <c r="K328" s="409" t="str">
        <f t="shared" si="40"/>
        <v>A=(Ancho x Largo)* Cant</v>
      </c>
      <c r="L328" s="410" t="str">
        <f t="shared" ref="L328:L339" si="45">+L327</f>
        <v>M2</v>
      </c>
      <c r="M328" s="411">
        <f>+HLOOKUP(B328,[238]Hoja1!$2:$78,9,FALSE)</f>
        <v>0</v>
      </c>
      <c r="N328" s="412"/>
      <c r="O328" s="442"/>
      <c r="P328" s="442"/>
      <c r="Q328" s="412"/>
      <c r="R328" s="412"/>
      <c r="S328" s="413"/>
      <c r="T328" s="414">
        <f t="shared" si="41"/>
        <v>0</v>
      </c>
      <c r="Y328" s="439">
        <f t="shared" si="44"/>
        <v>0</v>
      </c>
      <c r="Z328" s="439">
        <f t="shared" si="42"/>
        <v>0</v>
      </c>
    </row>
    <row r="329" spans="1:26">
      <c r="A329" s="453">
        <f t="shared" si="43"/>
        <v>1.05</v>
      </c>
      <c r="B329" s="383">
        <v>15</v>
      </c>
      <c r="D329" s="406"/>
      <c r="E329" s="407"/>
      <c r="F329" s="407"/>
      <c r="G329" s="407"/>
      <c r="H329" s="407"/>
      <c r="I329" s="407"/>
      <c r="J329" s="408" t="s">
        <v>418</v>
      </c>
      <c r="K329" s="409" t="str">
        <f t="shared" si="40"/>
        <v>A=(Ancho x Largo)* Cant</v>
      </c>
      <c r="L329" s="410" t="str">
        <f t="shared" si="45"/>
        <v>M2</v>
      </c>
      <c r="M329" s="411">
        <f>+HLOOKUP(B329,[238]Hoja1!$2:$78,9,FALSE)</f>
        <v>1.08</v>
      </c>
      <c r="N329" s="412"/>
      <c r="O329" s="442">
        <v>0.3</v>
      </c>
      <c r="P329" s="442">
        <f>+M329/0.3</f>
        <v>3.6000000000000005</v>
      </c>
      <c r="Q329" s="412"/>
      <c r="R329" s="412"/>
      <c r="S329" s="413">
        <v>1</v>
      </c>
      <c r="T329" s="414">
        <f t="shared" si="41"/>
        <v>1.08</v>
      </c>
      <c r="Y329" s="439">
        <f t="shared" si="44"/>
        <v>1.08</v>
      </c>
      <c r="Z329" s="439">
        <f t="shared" si="42"/>
        <v>0</v>
      </c>
    </row>
    <row r="330" spans="1:26">
      <c r="A330" s="453">
        <f t="shared" si="43"/>
        <v>1.05</v>
      </c>
      <c r="B330" s="383">
        <v>16</v>
      </c>
      <c r="D330" s="406"/>
      <c r="E330" s="407"/>
      <c r="F330" s="407"/>
      <c r="G330" s="407"/>
      <c r="H330" s="407"/>
      <c r="I330" s="407"/>
      <c r="J330" s="408" t="s">
        <v>419</v>
      </c>
      <c r="K330" s="409" t="str">
        <f t="shared" si="40"/>
        <v>A=(Ancho x Largo)* Cant</v>
      </c>
      <c r="L330" s="410" t="str">
        <f t="shared" si="45"/>
        <v>M2</v>
      </c>
      <c r="M330" s="411">
        <f>+HLOOKUP(B330,[238]Hoja1!$2:$78,9,FALSE)</f>
        <v>14.014000000000001</v>
      </c>
      <c r="N330" s="412"/>
      <c r="O330" s="442">
        <f>+M330/4.9</f>
        <v>2.86</v>
      </c>
      <c r="P330" s="442">
        <v>4.9000000000000004</v>
      </c>
      <c r="Q330" s="412"/>
      <c r="R330" s="412"/>
      <c r="S330" s="413">
        <v>1</v>
      </c>
      <c r="T330" s="414">
        <f t="shared" si="41"/>
        <v>14.014000000000001</v>
      </c>
      <c r="Y330" s="439">
        <f t="shared" si="44"/>
        <v>14.014000000000001</v>
      </c>
      <c r="Z330" s="439">
        <f t="shared" si="42"/>
        <v>0</v>
      </c>
    </row>
    <row r="331" spans="1:26">
      <c r="A331" s="453">
        <f t="shared" si="43"/>
        <v>1.05</v>
      </c>
      <c r="B331" s="383">
        <v>17</v>
      </c>
      <c r="D331" s="406"/>
      <c r="E331" s="407"/>
      <c r="F331" s="407"/>
      <c r="G331" s="407"/>
      <c r="H331" s="407"/>
      <c r="I331" s="407"/>
      <c r="J331" s="408" t="s">
        <v>420</v>
      </c>
      <c r="K331" s="409" t="str">
        <f t="shared" si="40"/>
        <v>A=(Ancho x Largo)* Cant</v>
      </c>
      <c r="L331" s="410" t="str">
        <f t="shared" si="45"/>
        <v>M2</v>
      </c>
      <c r="M331" s="411">
        <f>+HLOOKUP(B331,[238]Hoja1!$2:$78,9,FALSE)</f>
        <v>0</v>
      </c>
      <c r="N331" s="412"/>
      <c r="O331" s="442"/>
      <c r="P331" s="442"/>
      <c r="Q331" s="412"/>
      <c r="R331" s="412"/>
      <c r="S331" s="413"/>
      <c r="T331" s="414">
        <f t="shared" si="41"/>
        <v>0</v>
      </c>
      <c r="Y331" s="439">
        <f t="shared" si="44"/>
        <v>0</v>
      </c>
      <c r="Z331" s="439">
        <f t="shared" si="42"/>
        <v>0</v>
      </c>
    </row>
    <row r="332" spans="1:26">
      <c r="A332" s="453">
        <f t="shared" si="43"/>
        <v>1.05</v>
      </c>
      <c r="B332" s="383">
        <v>18</v>
      </c>
      <c r="D332" s="406"/>
      <c r="E332" s="407"/>
      <c r="F332" s="407"/>
      <c r="G332" s="407"/>
      <c r="H332" s="407"/>
      <c r="I332" s="407"/>
      <c r="J332" s="408" t="s">
        <v>429</v>
      </c>
      <c r="K332" s="409" t="str">
        <f t="shared" si="40"/>
        <v>A=(Ancho x Largo)* Cant</v>
      </c>
      <c r="L332" s="410" t="str">
        <f t="shared" si="45"/>
        <v>M2</v>
      </c>
      <c r="M332" s="411">
        <f>+HLOOKUP(B332,[238]Hoja1!$2:$78,9,FALSE)</f>
        <v>0</v>
      </c>
      <c r="N332" s="412"/>
      <c r="O332" s="442"/>
      <c r="P332" s="442"/>
      <c r="Q332" s="412"/>
      <c r="R332" s="412"/>
      <c r="S332" s="413"/>
      <c r="T332" s="414">
        <f t="shared" si="41"/>
        <v>0</v>
      </c>
      <c r="Y332" s="439">
        <f t="shared" si="44"/>
        <v>0</v>
      </c>
      <c r="Z332" s="439">
        <f t="shared" si="42"/>
        <v>0</v>
      </c>
    </row>
    <row r="333" spans="1:26">
      <c r="A333" s="453">
        <f t="shared" si="43"/>
        <v>1.05</v>
      </c>
      <c r="B333" s="383">
        <v>19</v>
      </c>
      <c r="D333" s="406"/>
      <c r="E333" s="407"/>
      <c r="F333" s="407"/>
      <c r="G333" s="407"/>
      <c r="H333" s="407"/>
      <c r="I333" s="407"/>
      <c r="J333" s="408" t="s">
        <v>430</v>
      </c>
      <c r="K333" s="409" t="str">
        <f t="shared" si="40"/>
        <v>A=(Ancho x Largo)* Cant</v>
      </c>
      <c r="L333" s="410" t="str">
        <f t="shared" si="45"/>
        <v>M2</v>
      </c>
      <c r="M333" s="411">
        <f>+HLOOKUP(B333,[238]Hoja1!$2:$78,9,FALSE)</f>
        <v>0</v>
      </c>
      <c r="N333" s="412"/>
      <c r="O333" s="442"/>
      <c r="P333" s="442"/>
      <c r="Q333" s="412"/>
      <c r="R333" s="412"/>
      <c r="S333" s="413"/>
      <c r="T333" s="414">
        <f t="shared" si="41"/>
        <v>0</v>
      </c>
      <c r="Y333" s="439">
        <f t="shared" si="44"/>
        <v>0</v>
      </c>
      <c r="Z333" s="439">
        <f t="shared" si="42"/>
        <v>0</v>
      </c>
    </row>
    <row r="334" spans="1:26">
      <c r="A334" s="453">
        <f t="shared" si="43"/>
        <v>1.05</v>
      </c>
      <c r="B334" s="383">
        <v>20</v>
      </c>
      <c r="D334" s="406"/>
      <c r="E334" s="407"/>
      <c r="F334" s="407"/>
      <c r="G334" s="407"/>
      <c r="H334" s="407"/>
      <c r="I334" s="407"/>
      <c r="J334" s="408" t="s">
        <v>431</v>
      </c>
      <c r="K334" s="409" t="str">
        <f t="shared" si="40"/>
        <v>A=(Ancho x Largo)* Cant</v>
      </c>
      <c r="L334" s="410" t="str">
        <f t="shared" si="45"/>
        <v>M2</v>
      </c>
      <c r="M334" s="411">
        <f>+HLOOKUP(B334,[238]Hoja1!$2:$78,9,FALSE)</f>
        <v>0</v>
      </c>
      <c r="N334" s="412"/>
      <c r="O334" s="442"/>
      <c r="P334" s="442"/>
      <c r="Q334" s="412"/>
      <c r="R334" s="412"/>
      <c r="S334" s="413"/>
      <c r="T334" s="414">
        <f t="shared" si="41"/>
        <v>0</v>
      </c>
      <c r="Y334" s="439">
        <f t="shared" si="44"/>
        <v>0</v>
      </c>
      <c r="Z334" s="439">
        <f t="shared" si="42"/>
        <v>0</v>
      </c>
    </row>
    <row r="335" spans="1:26">
      <c r="A335" s="453">
        <f t="shared" si="43"/>
        <v>1.05</v>
      </c>
      <c r="B335" s="383">
        <v>21</v>
      </c>
      <c r="D335" s="406"/>
      <c r="E335" s="407"/>
      <c r="F335" s="407"/>
      <c r="G335" s="407"/>
      <c r="H335" s="407"/>
      <c r="I335" s="407"/>
      <c r="J335" s="408" t="s">
        <v>432</v>
      </c>
      <c r="K335" s="409" t="str">
        <f t="shared" si="40"/>
        <v>A=(Ancho x Largo)* Cant</v>
      </c>
      <c r="L335" s="410" t="str">
        <f t="shared" si="45"/>
        <v>M2</v>
      </c>
      <c r="M335" s="411">
        <f>+HLOOKUP(B335,[238]Hoja1!$2:$78,9,FALSE)</f>
        <v>0</v>
      </c>
      <c r="N335" s="412"/>
      <c r="O335" s="442"/>
      <c r="P335" s="442"/>
      <c r="Q335" s="412"/>
      <c r="R335" s="412"/>
      <c r="S335" s="413"/>
      <c r="T335" s="414">
        <f t="shared" si="41"/>
        <v>0</v>
      </c>
      <c r="Y335" s="439">
        <f t="shared" si="44"/>
        <v>0</v>
      </c>
      <c r="Z335" s="439">
        <f t="shared" si="42"/>
        <v>0</v>
      </c>
    </row>
    <row r="336" spans="1:26">
      <c r="A336" s="453">
        <f t="shared" si="43"/>
        <v>1.05</v>
      </c>
      <c r="B336" s="383">
        <v>22</v>
      </c>
      <c r="D336" s="406"/>
      <c r="E336" s="407"/>
      <c r="F336" s="407"/>
      <c r="G336" s="407"/>
      <c r="H336" s="407"/>
      <c r="I336" s="407"/>
      <c r="J336" s="408" t="s">
        <v>433</v>
      </c>
      <c r="K336" s="409" t="str">
        <f t="shared" si="40"/>
        <v>A=(Ancho x Largo)* Cant</v>
      </c>
      <c r="L336" s="410" t="str">
        <f t="shared" si="45"/>
        <v>M2</v>
      </c>
      <c r="M336" s="411">
        <f>+HLOOKUP(B336,[238]Hoja1!$2:$78,9,FALSE)</f>
        <v>0</v>
      </c>
      <c r="N336" s="412"/>
      <c r="O336" s="442"/>
      <c r="P336" s="442"/>
      <c r="Q336" s="412"/>
      <c r="R336" s="412"/>
      <c r="S336" s="413"/>
      <c r="T336" s="414">
        <f t="shared" si="41"/>
        <v>0</v>
      </c>
      <c r="Y336" s="439">
        <f t="shared" si="44"/>
        <v>0</v>
      </c>
      <c r="Z336" s="439">
        <f t="shared" si="42"/>
        <v>0</v>
      </c>
    </row>
    <row r="337" spans="1:26">
      <c r="A337" s="453">
        <f t="shared" si="43"/>
        <v>1.05</v>
      </c>
      <c r="B337" s="383">
        <v>23</v>
      </c>
      <c r="D337" s="406"/>
      <c r="E337" s="407"/>
      <c r="F337" s="407"/>
      <c r="G337" s="407"/>
      <c r="H337" s="407"/>
      <c r="I337" s="407"/>
      <c r="J337" s="408" t="s">
        <v>434</v>
      </c>
      <c r="K337" s="409" t="str">
        <f t="shared" si="40"/>
        <v>A=(Ancho x Largo)* Cant</v>
      </c>
      <c r="L337" s="410" t="str">
        <f t="shared" si="45"/>
        <v>M2</v>
      </c>
      <c r="M337" s="411">
        <f>+HLOOKUP(B337,[238]Hoja1!$2:$78,9,FALSE)</f>
        <v>0</v>
      </c>
      <c r="N337" s="412"/>
      <c r="O337" s="441"/>
      <c r="P337" s="441"/>
      <c r="Q337" s="412"/>
      <c r="R337" s="412"/>
      <c r="S337" s="413"/>
      <c r="T337" s="414">
        <f t="shared" si="41"/>
        <v>0</v>
      </c>
      <c r="Y337" s="439">
        <f t="shared" si="44"/>
        <v>0</v>
      </c>
      <c r="Z337" s="439">
        <f t="shared" si="42"/>
        <v>0</v>
      </c>
    </row>
    <row r="338" spans="1:26">
      <c r="A338" s="453">
        <f t="shared" si="43"/>
        <v>1.05</v>
      </c>
      <c r="B338" s="383">
        <v>24</v>
      </c>
      <c r="D338" s="406"/>
      <c r="E338" s="407"/>
      <c r="F338" s="407"/>
      <c r="G338" s="407"/>
      <c r="H338" s="407"/>
      <c r="I338" s="407"/>
      <c r="J338" s="408" t="s">
        <v>435</v>
      </c>
      <c r="K338" s="409" t="str">
        <f t="shared" si="40"/>
        <v>A=(Ancho x Largo)* Cant</v>
      </c>
      <c r="L338" s="410" t="str">
        <f t="shared" si="45"/>
        <v>M2</v>
      </c>
      <c r="M338" s="411">
        <f>+HLOOKUP(B338,[238]Hoja1!$2:$78,9,FALSE)</f>
        <v>7.08</v>
      </c>
      <c r="N338" s="412"/>
      <c r="O338" s="442">
        <f>+M338/2.5</f>
        <v>2.8319999999999999</v>
      </c>
      <c r="P338" s="442">
        <v>2.5</v>
      </c>
      <c r="Q338" s="413"/>
      <c r="R338" s="413"/>
      <c r="S338" s="413">
        <v>1</v>
      </c>
      <c r="T338" s="414">
        <f t="shared" si="41"/>
        <v>7.08</v>
      </c>
      <c r="Y338" s="439">
        <f t="shared" si="44"/>
        <v>7.08</v>
      </c>
      <c r="Z338" s="439">
        <f t="shared" si="42"/>
        <v>0</v>
      </c>
    </row>
    <row r="339" spans="1:26">
      <c r="A339" s="453">
        <f t="shared" si="43"/>
        <v>1.05</v>
      </c>
      <c r="B339" s="383">
        <v>25</v>
      </c>
      <c r="D339" s="406"/>
      <c r="E339" s="407"/>
      <c r="F339" s="407"/>
      <c r="G339" s="407"/>
      <c r="H339" s="407"/>
      <c r="I339" s="407"/>
      <c r="J339" s="408" t="s">
        <v>436</v>
      </c>
      <c r="K339" s="409" t="str">
        <f t="shared" si="40"/>
        <v>A=(Ancho x Largo)* Cant</v>
      </c>
      <c r="L339" s="410" t="str">
        <f t="shared" si="45"/>
        <v>M2</v>
      </c>
      <c r="M339" s="411">
        <f>+HLOOKUP(B339,[238]Hoja1!$2:$78,9,FALSE)</f>
        <v>7.4249999999999998</v>
      </c>
      <c r="N339" s="412"/>
      <c r="O339" s="442">
        <f>+M339/3.3</f>
        <v>2.25</v>
      </c>
      <c r="P339" s="442">
        <v>3.3</v>
      </c>
      <c r="Q339" s="412"/>
      <c r="R339" s="412"/>
      <c r="S339" s="413">
        <v>1</v>
      </c>
      <c r="T339" s="414">
        <f t="shared" si="41"/>
        <v>7.4249999999999998</v>
      </c>
      <c r="Y339" s="439">
        <f t="shared" si="44"/>
        <v>7.4249999999999998</v>
      </c>
      <c r="Z339" s="439">
        <f t="shared" si="42"/>
        <v>0</v>
      </c>
    </row>
    <row r="340" spans="1:26">
      <c r="A340" s="453">
        <f t="shared" si="43"/>
        <v>1.05</v>
      </c>
      <c r="B340" s="383">
        <v>26</v>
      </c>
      <c r="D340" s="406"/>
      <c r="E340" s="407"/>
      <c r="F340" s="407"/>
      <c r="G340" s="407"/>
      <c r="H340" s="407"/>
      <c r="I340" s="407"/>
      <c r="J340" s="408" t="s">
        <v>437</v>
      </c>
      <c r="K340" s="409" t="str">
        <f t="shared" si="40"/>
        <v>A=(Ancho x Largo)* Cant</v>
      </c>
      <c r="L340" s="410" t="str">
        <f>+L329</f>
        <v>M2</v>
      </c>
      <c r="M340" s="411">
        <f>+HLOOKUP(B340,[238]Hoja1!$2:$78,9,FALSE)</f>
        <v>0</v>
      </c>
      <c r="N340" s="412"/>
      <c r="O340" s="442"/>
      <c r="P340" s="442"/>
      <c r="Q340" s="412"/>
      <c r="R340" s="412"/>
      <c r="S340" s="413"/>
      <c r="T340" s="414">
        <f t="shared" si="41"/>
        <v>0</v>
      </c>
      <c r="Y340" s="439">
        <f t="shared" si="44"/>
        <v>0</v>
      </c>
      <c r="Z340" s="439">
        <f t="shared" si="42"/>
        <v>0</v>
      </c>
    </row>
    <row r="341" spans="1:26">
      <c r="A341" s="453">
        <f t="shared" si="43"/>
        <v>1.05</v>
      </c>
      <c r="B341" s="383">
        <v>27</v>
      </c>
      <c r="D341" s="406"/>
      <c r="E341" s="407"/>
      <c r="F341" s="407"/>
      <c r="G341" s="407"/>
      <c r="H341" s="407"/>
      <c r="I341" s="407"/>
      <c r="J341" s="408" t="s">
        <v>438</v>
      </c>
      <c r="K341" s="409" t="str">
        <f t="shared" si="40"/>
        <v>A=(Ancho x Largo)* Cant</v>
      </c>
      <c r="L341" s="410" t="str">
        <f t="shared" ref="L341:L349" si="46">+L340</f>
        <v>M2</v>
      </c>
      <c r="M341" s="411">
        <f>+HLOOKUP(B341,[238]Hoja1!$2:$78,9,FALSE)</f>
        <v>0</v>
      </c>
      <c r="N341" s="412"/>
      <c r="O341" s="442"/>
      <c r="P341" s="442"/>
      <c r="Q341" s="412"/>
      <c r="R341" s="412"/>
      <c r="S341" s="413"/>
      <c r="T341" s="414">
        <f t="shared" si="41"/>
        <v>0</v>
      </c>
      <c r="Y341" s="439">
        <f t="shared" si="44"/>
        <v>0</v>
      </c>
      <c r="Z341" s="439">
        <f t="shared" si="42"/>
        <v>0</v>
      </c>
    </row>
    <row r="342" spans="1:26">
      <c r="A342" s="453">
        <f t="shared" si="43"/>
        <v>1.05</v>
      </c>
      <c r="B342" s="383">
        <v>28</v>
      </c>
      <c r="D342" s="406"/>
      <c r="E342" s="440"/>
      <c r="F342" s="407"/>
      <c r="G342" s="407"/>
      <c r="H342" s="407"/>
      <c r="I342" s="437"/>
      <c r="J342" s="408" t="s">
        <v>439</v>
      </c>
      <c r="K342" s="409" t="str">
        <f t="shared" si="40"/>
        <v>A=(Ancho x Largo)* Cant</v>
      </c>
      <c r="L342" s="410" t="str">
        <f t="shared" si="46"/>
        <v>M2</v>
      </c>
      <c r="M342" s="411">
        <f>+HLOOKUP(B342,[238]Hoja1!$2:$78,9,FALSE)</f>
        <v>0</v>
      </c>
      <c r="N342" s="412"/>
      <c r="O342" s="442"/>
      <c r="P342" s="442"/>
      <c r="Q342" s="413"/>
      <c r="R342" s="413"/>
      <c r="S342" s="413"/>
      <c r="T342" s="414">
        <f t="shared" si="41"/>
        <v>0</v>
      </c>
      <c r="Y342" s="439">
        <f t="shared" si="44"/>
        <v>0</v>
      </c>
      <c r="Z342" s="439">
        <f t="shared" si="42"/>
        <v>0</v>
      </c>
    </row>
    <row r="343" spans="1:26">
      <c r="A343" s="453">
        <f t="shared" si="43"/>
        <v>1.05</v>
      </c>
      <c r="B343" s="383">
        <v>29</v>
      </c>
      <c r="D343" s="406"/>
      <c r="E343" s="407"/>
      <c r="F343" s="407"/>
      <c r="G343" s="407"/>
      <c r="H343" s="407"/>
      <c r="I343" s="407"/>
      <c r="J343" s="408" t="s">
        <v>440</v>
      </c>
      <c r="K343" s="409" t="str">
        <f t="shared" si="40"/>
        <v>A=(Ancho x Largo)* Cant</v>
      </c>
      <c r="L343" s="410" t="str">
        <f t="shared" si="46"/>
        <v>M2</v>
      </c>
      <c r="M343" s="411">
        <f>+HLOOKUP(B343,[238]Hoja1!$2:$78,9,FALSE)</f>
        <v>0</v>
      </c>
      <c r="N343" s="412"/>
      <c r="O343" s="443"/>
      <c r="P343" s="443"/>
      <c r="Q343" s="412"/>
      <c r="R343" s="412"/>
      <c r="S343" s="413"/>
      <c r="T343" s="414">
        <f t="shared" si="41"/>
        <v>0</v>
      </c>
      <c r="Y343" s="439">
        <f t="shared" si="44"/>
        <v>0</v>
      </c>
      <c r="Z343" s="439">
        <f t="shared" si="42"/>
        <v>0</v>
      </c>
    </row>
    <row r="344" spans="1:26">
      <c r="A344" s="453">
        <f t="shared" si="43"/>
        <v>1.05</v>
      </c>
      <c r="B344" s="383">
        <v>30</v>
      </c>
      <c r="D344" s="406"/>
      <c r="E344" s="407"/>
      <c r="F344" s="407"/>
      <c r="G344" s="407"/>
      <c r="H344" s="407"/>
      <c r="I344" s="407"/>
      <c r="J344" s="408" t="s">
        <v>441</v>
      </c>
      <c r="K344" s="409" t="str">
        <f t="shared" si="40"/>
        <v>A=(Ancho x Largo)* Cant</v>
      </c>
      <c r="L344" s="410" t="str">
        <f t="shared" si="46"/>
        <v>M2</v>
      </c>
      <c r="M344" s="411">
        <f>+HLOOKUP(B344,[238]Hoja1!$2:$78,9,FALSE)</f>
        <v>0</v>
      </c>
      <c r="N344" s="412"/>
      <c r="O344" s="442"/>
      <c r="P344" s="442"/>
      <c r="Q344" s="412"/>
      <c r="R344" s="412"/>
      <c r="S344" s="413"/>
      <c r="T344" s="414">
        <f t="shared" si="41"/>
        <v>0</v>
      </c>
      <c r="Y344" s="439">
        <f t="shared" si="44"/>
        <v>0</v>
      </c>
      <c r="Z344" s="439">
        <f t="shared" si="42"/>
        <v>0</v>
      </c>
    </row>
    <row r="345" spans="1:26">
      <c r="A345" s="453">
        <f t="shared" si="43"/>
        <v>1.05</v>
      </c>
      <c r="B345" s="383">
        <v>31</v>
      </c>
      <c r="D345" s="406"/>
      <c r="E345" s="407"/>
      <c r="F345" s="407"/>
      <c r="G345" s="407"/>
      <c r="H345" s="407"/>
      <c r="I345" s="407"/>
      <c r="J345" s="408" t="s">
        <v>442</v>
      </c>
      <c r="K345" s="409" t="str">
        <f t="shared" si="40"/>
        <v>A=(Ancho x Largo)* Cant</v>
      </c>
      <c r="L345" s="410" t="str">
        <f t="shared" si="46"/>
        <v>M2</v>
      </c>
      <c r="M345" s="411">
        <f>+HLOOKUP(B345,[238]Hoja1!$2:$78,9,FALSE)</f>
        <v>0</v>
      </c>
      <c r="N345" s="412"/>
      <c r="O345" s="442"/>
      <c r="P345" s="442"/>
      <c r="Q345" s="413"/>
      <c r="R345" s="413"/>
      <c r="S345" s="413"/>
      <c r="T345" s="414">
        <f t="shared" si="41"/>
        <v>0</v>
      </c>
      <c r="Y345" s="439">
        <f t="shared" si="44"/>
        <v>0</v>
      </c>
      <c r="Z345" s="439">
        <f t="shared" si="42"/>
        <v>0</v>
      </c>
    </row>
    <row r="346" spans="1:26">
      <c r="A346" s="453">
        <f t="shared" si="43"/>
        <v>1.05</v>
      </c>
      <c r="B346" s="383">
        <v>32</v>
      </c>
      <c r="D346" s="406"/>
      <c r="E346" s="407"/>
      <c r="F346" s="407"/>
      <c r="G346" s="407"/>
      <c r="H346" s="407"/>
      <c r="I346" s="407"/>
      <c r="J346" s="408" t="s">
        <v>443</v>
      </c>
      <c r="K346" s="409" t="str">
        <f t="shared" si="40"/>
        <v>A=(Ancho x Largo)* Cant</v>
      </c>
      <c r="L346" s="410" t="str">
        <f t="shared" si="46"/>
        <v>M2</v>
      </c>
      <c r="M346" s="411">
        <f>+HLOOKUP(B346,[238]Hoja1!$2:$78,9,FALSE)</f>
        <v>0</v>
      </c>
      <c r="N346" s="412"/>
      <c r="O346" s="442"/>
      <c r="P346" s="442"/>
      <c r="Q346" s="412"/>
      <c r="R346" s="412"/>
      <c r="S346" s="413"/>
      <c r="T346" s="414">
        <f t="shared" si="41"/>
        <v>0</v>
      </c>
      <c r="Y346" s="439">
        <f t="shared" si="44"/>
        <v>0</v>
      </c>
      <c r="Z346" s="439">
        <f t="shared" si="42"/>
        <v>0</v>
      </c>
    </row>
    <row r="347" spans="1:26">
      <c r="A347" s="453">
        <f t="shared" si="43"/>
        <v>1.05</v>
      </c>
      <c r="B347" s="383">
        <v>33</v>
      </c>
      <c r="D347" s="406"/>
      <c r="E347" s="407"/>
      <c r="F347" s="407"/>
      <c r="G347" s="407"/>
      <c r="H347" s="407"/>
      <c r="I347" s="407"/>
      <c r="J347" s="408" t="s">
        <v>444</v>
      </c>
      <c r="K347" s="409" t="str">
        <f t="shared" si="40"/>
        <v>A=(Ancho x Largo)* Cant</v>
      </c>
      <c r="L347" s="410" t="str">
        <f t="shared" si="46"/>
        <v>M2</v>
      </c>
      <c r="M347" s="411">
        <f>+HLOOKUP(B347,[238]Hoja1!$2:$78,9,FALSE)</f>
        <v>0</v>
      </c>
      <c r="N347" s="412"/>
      <c r="O347" s="442"/>
      <c r="P347" s="442"/>
      <c r="Q347" s="412"/>
      <c r="R347" s="412"/>
      <c r="S347" s="413"/>
      <c r="T347" s="414">
        <f t="shared" si="41"/>
        <v>0</v>
      </c>
      <c r="Y347" s="439">
        <f t="shared" si="44"/>
        <v>0</v>
      </c>
      <c r="Z347" s="439">
        <f t="shared" si="42"/>
        <v>0</v>
      </c>
    </row>
    <row r="348" spans="1:26">
      <c r="A348" s="453">
        <f t="shared" si="43"/>
        <v>1.05</v>
      </c>
      <c r="B348" s="383">
        <v>34</v>
      </c>
      <c r="D348" s="406"/>
      <c r="E348" s="407"/>
      <c r="F348" s="407"/>
      <c r="G348" s="407"/>
      <c r="H348" s="407"/>
      <c r="I348" s="407"/>
      <c r="J348" s="408" t="s">
        <v>445</v>
      </c>
      <c r="K348" s="409" t="str">
        <f t="shared" si="40"/>
        <v>A=(Ancho x Largo)* Cant</v>
      </c>
      <c r="L348" s="410" t="str">
        <f t="shared" si="46"/>
        <v>M2</v>
      </c>
      <c r="M348" s="411">
        <f>+HLOOKUP(B348,[238]Hoja1!$2:$78,9,FALSE)</f>
        <v>0</v>
      </c>
      <c r="N348" s="412"/>
      <c r="O348" s="443"/>
      <c r="P348" s="443"/>
      <c r="Q348" s="412"/>
      <c r="R348" s="412"/>
      <c r="S348" s="413"/>
      <c r="T348" s="414">
        <f t="shared" si="41"/>
        <v>0</v>
      </c>
      <c r="Y348" s="439">
        <f t="shared" si="44"/>
        <v>0</v>
      </c>
      <c r="Z348" s="439">
        <f t="shared" si="42"/>
        <v>0</v>
      </c>
    </row>
    <row r="349" spans="1:26">
      <c r="A349" s="453">
        <f t="shared" si="43"/>
        <v>1.05</v>
      </c>
      <c r="B349" s="383">
        <v>35</v>
      </c>
      <c r="D349" s="406"/>
      <c r="E349" s="440"/>
      <c r="F349" s="407"/>
      <c r="G349" s="407"/>
      <c r="H349" s="407"/>
      <c r="I349" s="437"/>
      <c r="J349" s="408" t="s">
        <v>446</v>
      </c>
      <c r="K349" s="409" t="str">
        <f t="shared" si="40"/>
        <v>A=(Ancho x Largo)* Cant</v>
      </c>
      <c r="L349" s="410" t="str">
        <f t="shared" si="46"/>
        <v>M2</v>
      </c>
      <c r="M349" s="411">
        <f>+HLOOKUP(B349,[238]Hoja1!$2:$78,9,FALSE)</f>
        <v>0</v>
      </c>
      <c r="N349" s="412"/>
      <c r="O349" s="442"/>
      <c r="P349" s="442"/>
      <c r="Q349" s="413"/>
      <c r="R349" s="413"/>
      <c r="S349" s="413"/>
      <c r="T349" s="414">
        <f t="shared" si="41"/>
        <v>0</v>
      </c>
      <c r="Y349" s="439">
        <f t="shared" si="44"/>
        <v>0</v>
      </c>
      <c r="Z349" s="439">
        <f t="shared" si="42"/>
        <v>0</v>
      </c>
    </row>
    <row r="350" spans="1:26">
      <c r="A350" s="453">
        <f t="shared" si="43"/>
        <v>1.05</v>
      </c>
      <c r="B350" s="383">
        <v>36</v>
      </c>
      <c r="D350" s="406"/>
      <c r="E350" s="407"/>
      <c r="F350" s="407"/>
      <c r="G350" s="407"/>
      <c r="H350" s="407"/>
      <c r="I350" s="407"/>
      <c r="J350" s="408" t="s">
        <v>447</v>
      </c>
      <c r="K350" s="409" t="str">
        <f t="shared" si="40"/>
        <v>A=(Ancho x Largo)* Cant</v>
      </c>
      <c r="L350" s="410" t="str">
        <f>+L339</f>
        <v>M2</v>
      </c>
      <c r="M350" s="411">
        <f>+HLOOKUP(B350,[238]Hoja1!$2:$78,9,FALSE)</f>
        <v>0</v>
      </c>
      <c r="N350" s="412"/>
      <c r="O350" s="442"/>
      <c r="P350" s="442"/>
      <c r="Q350" s="412"/>
      <c r="R350" s="412"/>
      <c r="S350" s="413"/>
      <c r="T350" s="414">
        <f t="shared" si="41"/>
        <v>0</v>
      </c>
      <c r="Y350" s="439">
        <f t="shared" si="44"/>
        <v>0</v>
      </c>
      <c r="Z350" s="439">
        <f t="shared" si="42"/>
        <v>0</v>
      </c>
    </row>
    <row r="351" spans="1:26">
      <c r="A351" s="453">
        <f t="shared" si="43"/>
        <v>1.05</v>
      </c>
      <c r="B351" s="383">
        <v>37</v>
      </c>
      <c r="D351" s="406"/>
      <c r="E351" s="407"/>
      <c r="F351" s="407"/>
      <c r="G351" s="407"/>
      <c r="H351" s="407"/>
      <c r="I351" s="407"/>
      <c r="J351" s="408" t="s">
        <v>448</v>
      </c>
      <c r="K351" s="409" t="str">
        <f t="shared" si="40"/>
        <v>A=(Ancho x Largo)* Cant</v>
      </c>
      <c r="L351" s="410" t="str">
        <f t="shared" ref="L351:L357" si="47">+L350</f>
        <v>M2</v>
      </c>
      <c r="M351" s="411">
        <f>+HLOOKUP(B351,[238]Hoja1!$2:$78,9,FALSE)</f>
        <v>8.3800000000000008</v>
      </c>
      <c r="N351" s="412"/>
      <c r="O351" s="441">
        <f>+M351/2.45</f>
        <v>3.4204081632653063</v>
      </c>
      <c r="P351" s="441">
        <v>2.4500000000000002</v>
      </c>
      <c r="Q351" s="412"/>
      <c r="R351" s="412"/>
      <c r="S351" s="413">
        <v>1</v>
      </c>
      <c r="T351" s="414">
        <f t="shared" si="41"/>
        <v>8.3800000000000008</v>
      </c>
      <c r="Y351" s="439">
        <f t="shared" si="44"/>
        <v>8.3800000000000008</v>
      </c>
      <c r="Z351" s="439">
        <f t="shared" si="42"/>
        <v>0</v>
      </c>
    </row>
    <row r="352" spans="1:26">
      <c r="A352" s="453">
        <f t="shared" si="43"/>
        <v>1.05</v>
      </c>
      <c r="B352" s="383">
        <v>38</v>
      </c>
      <c r="D352" s="406"/>
      <c r="E352" s="440"/>
      <c r="F352" s="407"/>
      <c r="G352" s="407"/>
      <c r="H352" s="407"/>
      <c r="I352" s="437"/>
      <c r="J352" s="408" t="s">
        <v>449</v>
      </c>
      <c r="K352" s="409" t="str">
        <f t="shared" si="40"/>
        <v>A=(Ancho x Largo)* Cant</v>
      </c>
      <c r="L352" s="410" t="str">
        <f t="shared" si="47"/>
        <v>M2</v>
      </c>
      <c r="M352" s="411">
        <f>+HLOOKUP(B352,[238]Hoja1!$2:$78,9,FALSE)</f>
        <v>0</v>
      </c>
      <c r="N352" s="412"/>
      <c r="O352" s="442"/>
      <c r="P352" s="442"/>
      <c r="Q352" s="413"/>
      <c r="R352" s="413"/>
      <c r="S352" s="413"/>
      <c r="T352" s="414">
        <f t="shared" si="41"/>
        <v>0</v>
      </c>
      <c r="Y352" s="439">
        <f t="shared" si="44"/>
        <v>0</v>
      </c>
      <c r="Z352" s="439">
        <f t="shared" si="42"/>
        <v>0</v>
      </c>
    </row>
    <row r="353" spans="1:26">
      <c r="A353" s="453">
        <f t="shared" si="43"/>
        <v>1.05</v>
      </c>
      <c r="B353" s="383">
        <v>39</v>
      </c>
      <c r="D353" s="406"/>
      <c r="E353" s="407"/>
      <c r="F353" s="407"/>
      <c r="G353" s="407"/>
      <c r="H353" s="407"/>
      <c r="I353" s="407"/>
      <c r="J353" s="408" t="s">
        <v>450</v>
      </c>
      <c r="K353" s="409" t="str">
        <f t="shared" si="40"/>
        <v>A=(Ancho x Largo)* Cant</v>
      </c>
      <c r="L353" s="410" t="str">
        <f t="shared" si="47"/>
        <v>M2</v>
      </c>
      <c r="M353" s="411">
        <f>+HLOOKUP(B353,[238]Hoja1!$2:$78,9,FALSE)</f>
        <v>0</v>
      </c>
      <c r="N353" s="412"/>
      <c r="O353" s="441"/>
      <c r="P353" s="441"/>
      <c r="Q353" s="412"/>
      <c r="R353" s="412"/>
      <c r="S353" s="413"/>
      <c r="T353" s="414">
        <f t="shared" si="41"/>
        <v>0</v>
      </c>
      <c r="Y353" s="439">
        <f t="shared" si="44"/>
        <v>0</v>
      </c>
      <c r="Z353" s="439">
        <f t="shared" si="42"/>
        <v>0</v>
      </c>
    </row>
    <row r="354" spans="1:26">
      <c r="A354" s="453">
        <f t="shared" si="43"/>
        <v>1.05</v>
      </c>
      <c r="B354" s="383">
        <v>40</v>
      </c>
      <c r="D354" s="406"/>
      <c r="E354" s="407"/>
      <c r="F354" s="407"/>
      <c r="G354" s="407"/>
      <c r="H354" s="407"/>
      <c r="I354" s="407"/>
      <c r="J354" s="408" t="s">
        <v>451</v>
      </c>
      <c r="K354" s="409" t="str">
        <f t="shared" si="40"/>
        <v>A=(Ancho x Largo)* Cant</v>
      </c>
      <c r="L354" s="410" t="str">
        <f t="shared" si="47"/>
        <v>M2</v>
      </c>
      <c r="M354" s="411">
        <f>+HLOOKUP(B354,[238]Hoja1!$2:$78,9,FALSE)</f>
        <v>0</v>
      </c>
      <c r="N354" s="412"/>
      <c r="O354" s="442"/>
      <c r="P354" s="442"/>
      <c r="Q354" s="412"/>
      <c r="R354" s="412"/>
      <c r="S354" s="413"/>
      <c r="T354" s="414">
        <f t="shared" si="41"/>
        <v>0</v>
      </c>
      <c r="Y354" s="439">
        <f t="shared" si="44"/>
        <v>0</v>
      </c>
      <c r="Z354" s="439">
        <f t="shared" si="42"/>
        <v>0</v>
      </c>
    </row>
    <row r="355" spans="1:26">
      <c r="A355" s="453">
        <f t="shared" si="43"/>
        <v>1.05</v>
      </c>
      <c r="B355" s="383">
        <v>41</v>
      </c>
      <c r="D355" s="406"/>
      <c r="E355" s="407"/>
      <c r="F355" s="407"/>
      <c r="G355" s="407"/>
      <c r="H355" s="407"/>
      <c r="I355" s="407"/>
      <c r="J355" s="408" t="s">
        <v>452</v>
      </c>
      <c r="K355" s="409" t="str">
        <f t="shared" si="40"/>
        <v>A=(Ancho x Largo)* Cant</v>
      </c>
      <c r="L355" s="410" t="str">
        <f t="shared" si="47"/>
        <v>M2</v>
      </c>
      <c r="M355" s="411">
        <f>+HLOOKUP(B355,[238]Hoja1!$2:$78,9,FALSE)</f>
        <v>0</v>
      </c>
      <c r="N355" s="412"/>
      <c r="O355" s="442"/>
      <c r="P355" s="442"/>
      <c r="Q355" s="413"/>
      <c r="R355" s="413"/>
      <c r="S355" s="413"/>
      <c r="T355" s="414">
        <f t="shared" si="41"/>
        <v>0</v>
      </c>
      <c r="Y355" s="439">
        <f t="shared" si="44"/>
        <v>0</v>
      </c>
      <c r="Z355" s="439">
        <f t="shared" si="42"/>
        <v>0</v>
      </c>
    </row>
    <row r="356" spans="1:26">
      <c r="A356" s="453">
        <f t="shared" si="43"/>
        <v>1.05</v>
      </c>
      <c r="B356" s="383">
        <v>42</v>
      </c>
      <c r="D356" s="406"/>
      <c r="E356" s="407"/>
      <c r="F356" s="407"/>
      <c r="G356" s="407"/>
      <c r="H356" s="407"/>
      <c r="I356" s="407"/>
      <c r="J356" s="408" t="s">
        <v>453</v>
      </c>
      <c r="K356" s="409" t="str">
        <f t="shared" si="40"/>
        <v>A=(Ancho x Largo)* Cant</v>
      </c>
      <c r="L356" s="410" t="str">
        <f t="shared" si="47"/>
        <v>M2</v>
      </c>
      <c r="M356" s="411">
        <f>+HLOOKUP(B356,[238]Hoja1!$2:$78,9,FALSE)</f>
        <v>0</v>
      </c>
      <c r="N356" s="412"/>
      <c r="O356" s="442"/>
      <c r="P356" s="442"/>
      <c r="Q356" s="412"/>
      <c r="R356" s="412"/>
      <c r="S356" s="413"/>
      <c r="T356" s="414">
        <f t="shared" si="41"/>
        <v>0</v>
      </c>
      <c r="Y356" s="439">
        <f t="shared" si="44"/>
        <v>0</v>
      </c>
      <c r="Z356" s="439">
        <f t="shared" si="42"/>
        <v>0</v>
      </c>
    </row>
    <row r="357" spans="1:26" ht="13.5" thickBot="1">
      <c r="A357" s="453">
        <f t="shared" si="43"/>
        <v>1.05</v>
      </c>
      <c r="B357" s="383">
        <v>43</v>
      </c>
      <c r="D357" s="406"/>
      <c r="E357" s="407"/>
      <c r="F357" s="407"/>
      <c r="G357" s="407"/>
      <c r="H357" s="407"/>
      <c r="I357" s="407"/>
      <c r="J357" s="408" t="s">
        <v>454</v>
      </c>
      <c r="K357" s="409" t="str">
        <f t="shared" si="40"/>
        <v>A=(Ancho x Largo)* Cant</v>
      </c>
      <c r="L357" s="410" t="str">
        <f t="shared" si="47"/>
        <v>M2</v>
      </c>
      <c r="M357" s="411">
        <f>+HLOOKUP(B357,[238]Hoja1!$2:$78,9,FALSE)</f>
        <v>0</v>
      </c>
      <c r="N357" s="412"/>
      <c r="O357" s="442"/>
      <c r="P357" s="442"/>
      <c r="Q357" s="412"/>
      <c r="R357" s="412"/>
      <c r="S357" s="413"/>
      <c r="T357" s="414">
        <f t="shared" si="41"/>
        <v>0</v>
      </c>
      <c r="Y357" s="439">
        <f t="shared" si="44"/>
        <v>0</v>
      </c>
      <c r="Z357" s="439">
        <f t="shared" si="42"/>
        <v>0</v>
      </c>
    </row>
    <row r="358" spans="1:26">
      <c r="D358" s="384"/>
      <c r="E358" s="419"/>
      <c r="F358" s="420"/>
      <c r="G358" s="421"/>
      <c r="H358" s="421"/>
      <c r="I358" s="421"/>
      <c r="J358" s="421"/>
      <c r="K358" s="422"/>
      <c r="L358" s="421"/>
      <c r="M358" s="421"/>
      <c r="N358" s="421"/>
      <c r="O358" s="421"/>
      <c r="P358" s="421"/>
      <c r="Q358" s="421"/>
      <c r="R358" s="421"/>
      <c r="S358" s="422"/>
      <c r="T358" s="423"/>
    </row>
    <row r="359" spans="1:26">
      <c r="D359" s="396"/>
      <c r="E359" s="397"/>
      <c r="F359" s="424"/>
      <c r="G359" s="425"/>
      <c r="H359" s="425"/>
      <c r="I359" s="425"/>
      <c r="J359" s="425"/>
      <c r="K359" s="398"/>
      <c r="L359" s="425"/>
      <c r="M359" s="425"/>
      <c r="N359" s="397"/>
      <c r="O359" s="397"/>
      <c r="P359" s="562" t="s">
        <v>455</v>
      </c>
      <c r="Q359" s="563"/>
      <c r="R359" s="564"/>
      <c r="S359" s="426"/>
      <c r="T359" s="427">
        <f>ROUND(SUM(T315:T358),2)</f>
        <v>48.54</v>
      </c>
    </row>
    <row r="360" spans="1:26">
      <c r="D360" s="396"/>
      <c r="E360" s="397"/>
      <c r="F360" s="424"/>
      <c r="G360" s="425"/>
      <c r="H360" s="425"/>
      <c r="I360" s="425"/>
      <c r="J360" s="425"/>
      <c r="K360" s="398"/>
      <c r="L360" s="425"/>
      <c r="M360" s="425"/>
      <c r="N360" s="428"/>
      <c r="O360" s="428"/>
      <c r="P360" s="429"/>
      <c r="Q360" s="425"/>
      <c r="R360" s="425"/>
      <c r="S360" s="430"/>
      <c r="T360" s="431"/>
    </row>
    <row r="361" spans="1:26">
      <c r="D361" s="565" t="e">
        <v>#REF!</v>
      </c>
      <c r="E361" s="566"/>
      <c r="F361" s="566"/>
      <c r="G361" s="566"/>
      <c r="H361" s="566"/>
      <c r="I361" s="566"/>
      <c r="J361" s="566"/>
      <c r="K361" s="566"/>
      <c r="L361" s="566"/>
      <c r="M361" s="566"/>
      <c r="N361" s="566"/>
      <c r="O361" s="567"/>
      <c r="P361" s="568" t="s">
        <v>422</v>
      </c>
      <c r="Q361" s="568"/>
      <c r="R361" s="568"/>
      <c r="S361" s="426"/>
      <c r="T361" s="427">
        <f>T359</f>
        <v>48.54</v>
      </c>
    </row>
    <row r="362" spans="1:26">
      <c r="D362" s="396"/>
      <c r="E362" s="397"/>
      <c r="F362" s="424"/>
      <c r="G362" s="425"/>
      <c r="H362" s="425"/>
      <c r="I362" s="425"/>
      <c r="J362" s="425"/>
      <c r="K362" s="398"/>
      <c r="L362" s="425"/>
      <c r="M362" s="425"/>
      <c r="N362" s="428"/>
      <c r="O362" s="428"/>
      <c r="P362" s="429"/>
      <c r="Q362" s="425"/>
      <c r="R362" s="398"/>
      <c r="S362" s="398"/>
      <c r="T362" s="432"/>
    </row>
    <row r="363" spans="1:26">
      <c r="D363" s="396"/>
      <c r="E363" s="397"/>
      <c r="F363" s="424"/>
      <c r="G363" s="425"/>
      <c r="H363" s="425"/>
      <c r="I363" s="425"/>
      <c r="J363" s="425"/>
      <c r="K363" s="398"/>
      <c r="L363" s="425"/>
      <c r="M363" s="425"/>
      <c r="N363" s="428"/>
      <c r="O363" s="428"/>
      <c r="P363" s="429"/>
      <c r="Q363" s="425"/>
      <c r="R363" s="398"/>
      <c r="S363" s="398"/>
      <c r="T363" s="432"/>
    </row>
    <row r="364" spans="1:26">
      <c r="D364" s="569" t="s">
        <v>423</v>
      </c>
      <c r="E364" s="570"/>
      <c r="F364" s="570"/>
      <c r="G364" s="570"/>
      <c r="H364" s="570"/>
      <c r="I364" s="570"/>
      <c r="J364" s="570"/>
      <c r="K364" s="571"/>
      <c r="L364" s="433" t="s">
        <v>424</v>
      </c>
      <c r="M364" s="434"/>
      <c r="N364" s="434"/>
      <c r="O364" s="434"/>
      <c r="P364" s="434"/>
      <c r="Q364" s="434"/>
      <c r="R364" s="434"/>
      <c r="S364" s="434"/>
      <c r="T364" s="435"/>
    </row>
    <row r="365" spans="1:26">
      <c r="D365" s="542"/>
      <c r="E365" s="543"/>
      <c r="F365" s="543"/>
      <c r="G365" s="543"/>
      <c r="H365" s="436"/>
      <c r="I365" s="436"/>
      <c r="J365" s="436"/>
      <c r="K365" s="447"/>
      <c r="L365" s="436"/>
      <c r="M365" s="407"/>
      <c r="N365" s="407"/>
      <c r="O365" s="407"/>
      <c r="P365" s="407"/>
      <c r="Q365" s="407"/>
      <c r="R365" s="407"/>
      <c r="S365" s="407"/>
      <c r="T365" s="437"/>
    </row>
    <row r="366" spans="1:26">
      <c r="D366" s="542"/>
      <c r="E366" s="543"/>
      <c r="F366" s="543"/>
      <c r="G366" s="543"/>
      <c r="H366" s="436"/>
      <c r="I366" s="436"/>
      <c r="J366" s="436"/>
      <c r="K366" s="447"/>
      <c r="L366" s="436"/>
      <c r="M366" s="407"/>
      <c r="N366" s="407"/>
      <c r="O366" s="407"/>
      <c r="P366" s="407"/>
      <c r="Q366" s="407"/>
      <c r="R366" s="407"/>
      <c r="S366" s="407"/>
      <c r="T366" s="437"/>
    </row>
    <row r="367" spans="1:26">
      <c r="D367" s="542" t="s">
        <v>425</v>
      </c>
      <c r="E367" s="543"/>
      <c r="F367" s="543" t="s">
        <v>425</v>
      </c>
      <c r="G367" s="543"/>
      <c r="H367" s="543" t="s">
        <v>425</v>
      </c>
      <c r="I367" s="543"/>
      <c r="J367" s="543" t="s">
        <v>425</v>
      </c>
      <c r="K367" s="544"/>
      <c r="L367" s="545" t="s">
        <v>426</v>
      </c>
      <c r="M367" s="546"/>
      <c r="N367" s="546"/>
      <c r="O367" s="546"/>
      <c r="P367" s="546"/>
      <c r="Q367" s="546"/>
      <c r="R367" s="546"/>
      <c r="S367" s="546"/>
      <c r="T367" s="547"/>
    </row>
    <row r="368" spans="1:26">
      <c r="D368" s="548" t="str">
        <f>+[42]DATOS!D$8</f>
        <v>HELMER EDUARDO BECERRA SANTANDER</v>
      </c>
      <c r="E368" s="549"/>
      <c r="F368" s="549" t="s">
        <v>427</v>
      </c>
      <c r="G368" s="549"/>
      <c r="H368" s="549" t="s">
        <v>427</v>
      </c>
      <c r="I368" s="549"/>
      <c r="J368" s="549" t="s">
        <v>427</v>
      </c>
      <c r="K368" s="550"/>
      <c r="L368" s="551" t="str">
        <f>+[42]DATOS!D$11</f>
        <v>JESUS IVAN QUIÑONES RUEDA</v>
      </c>
      <c r="M368" s="549"/>
      <c r="N368" s="549"/>
      <c r="O368" s="549"/>
      <c r="P368" s="549"/>
      <c r="Q368" s="549"/>
      <c r="R368" s="549"/>
      <c r="S368" s="549"/>
      <c r="T368" s="552"/>
    </row>
    <row r="369" spans="4:20">
      <c r="D369" s="553" t="str">
        <f>+$D$72</f>
        <v>APOYO SEC. DE PLANEACION Y OBRAS PÚBLICAS</v>
      </c>
      <c r="E369" s="554"/>
      <c r="F369" s="554" t="s">
        <v>428</v>
      </c>
      <c r="G369" s="554"/>
      <c r="H369" s="554" t="s">
        <v>428</v>
      </c>
      <c r="I369" s="554"/>
      <c r="J369" s="554" t="s">
        <v>428</v>
      </c>
      <c r="K369" s="555"/>
      <c r="L369" s="556" t="str">
        <f>+$L$72</f>
        <v>SECRETARIO DE PLANEACION Y OBRAS PÚBLICAS</v>
      </c>
      <c r="M369" s="554"/>
      <c r="N369" s="554"/>
      <c r="O369" s="554"/>
      <c r="P369" s="554"/>
      <c r="Q369" s="554"/>
      <c r="R369" s="554"/>
      <c r="S369" s="554"/>
      <c r="T369" s="557"/>
    </row>
    <row r="370" spans="4:20">
      <c r="D370" s="406"/>
      <c r="E370" s="407"/>
      <c r="F370" s="407"/>
      <c r="G370" s="407"/>
      <c r="H370" s="407"/>
      <c r="I370" s="407"/>
      <c r="J370" s="407"/>
      <c r="K370" s="407"/>
      <c r="L370" s="407"/>
      <c r="M370" s="407"/>
      <c r="N370" s="407"/>
      <c r="O370" s="407"/>
      <c r="P370" s="407"/>
      <c r="Q370" s="407"/>
      <c r="R370" s="407"/>
      <c r="S370" s="407"/>
      <c r="T370" s="437"/>
    </row>
    <row r="371" spans="4:20" ht="111" customHeight="1" thickBot="1">
      <c r="D371" s="417"/>
      <c r="E371" s="418"/>
      <c r="F371" s="418"/>
      <c r="G371" s="418"/>
      <c r="H371" s="418"/>
      <c r="I371" s="418"/>
      <c r="J371" s="418"/>
      <c r="K371" s="418"/>
      <c r="L371" s="418"/>
      <c r="M371" s="418"/>
      <c r="N371" s="418"/>
      <c r="O371" s="418"/>
      <c r="P371" s="418"/>
      <c r="Q371" s="418"/>
      <c r="R371" s="418"/>
      <c r="S371" s="418"/>
      <c r="T371" s="438"/>
    </row>
    <row r="372" spans="4:20" ht="22.5" customHeight="1"/>
    <row r="373" spans="4:20" ht="13.5" thickBot="1"/>
    <row r="374" spans="4:20">
      <c r="D374" s="384"/>
      <c r="E374" s="385"/>
      <c r="F374" s="385"/>
      <c r="G374" s="385"/>
      <c r="H374" s="385"/>
      <c r="I374" s="385"/>
      <c r="J374" s="385"/>
      <c r="K374" s="445"/>
      <c r="L374" s="385"/>
      <c r="M374" s="385"/>
      <c r="N374" s="385"/>
      <c r="O374" s="385"/>
      <c r="P374" s="385"/>
      <c r="Q374" s="385"/>
      <c r="R374" s="385"/>
      <c r="S374" s="385"/>
      <c r="T374" s="386"/>
    </row>
    <row r="375" spans="4:20" ht="121.5" customHeight="1" thickBot="1">
      <c r="D375" s="387"/>
      <c r="E375" s="388"/>
      <c r="F375" s="388"/>
      <c r="G375" s="388"/>
      <c r="H375" s="388"/>
      <c r="I375" s="388"/>
      <c r="J375" s="388"/>
      <c r="K375" s="446"/>
      <c r="L375" s="388"/>
      <c r="M375" s="388"/>
      <c r="N375" s="388"/>
      <c r="O375" s="388"/>
      <c r="P375" s="388"/>
      <c r="Q375" s="388"/>
      <c r="R375" s="388"/>
      <c r="S375" s="388"/>
      <c r="T375" s="389"/>
    </row>
    <row r="376" spans="4:20">
      <c r="D376" s="592" t="str">
        <f>+[42]DATOS!C$7</f>
        <v>MEJORAMIENTO DE VIVIENDA CON ENFOQUE DIFERENCIAL PARA POBLACIÓN VULNERABLE EN EL MUNICIPIO DE CUBARÁ, BOYACÁ (2026).</v>
      </c>
      <c r="E376" s="593"/>
      <c r="F376" s="593"/>
      <c r="G376" s="593"/>
      <c r="H376" s="593"/>
      <c r="I376" s="593"/>
      <c r="J376" s="593"/>
      <c r="K376" s="593"/>
      <c r="L376" s="593"/>
      <c r="M376" s="593"/>
      <c r="N376" s="593"/>
      <c r="O376" s="593"/>
      <c r="P376" s="593"/>
      <c r="Q376" s="593"/>
      <c r="R376" s="593"/>
      <c r="S376" s="593"/>
      <c r="T376" s="594"/>
    </row>
    <row r="377" spans="4:20">
      <c r="D377" s="595"/>
      <c r="E377" s="596"/>
      <c r="F377" s="596"/>
      <c r="G377" s="596"/>
      <c r="H377" s="596"/>
      <c r="I377" s="596"/>
      <c r="J377" s="596"/>
      <c r="K377" s="596"/>
      <c r="L377" s="596"/>
      <c r="M377" s="596"/>
      <c r="N377" s="596"/>
      <c r="O377" s="596"/>
      <c r="P377" s="596"/>
      <c r="Q377" s="596"/>
      <c r="R377" s="596"/>
      <c r="S377" s="596"/>
      <c r="T377" s="597"/>
    </row>
    <row r="378" spans="4:20">
      <c r="D378" s="598" t="s">
        <v>371</v>
      </c>
      <c r="E378" s="599"/>
      <c r="F378" s="599"/>
      <c r="G378" s="599"/>
      <c r="H378" s="599"/>
      <c r="I378" s="599"/>
      <c r="J378" s="599"/>
      <c r="K378" s="599"/>
      <c r="L378" s="599"/>
      <c r="M378" s="599"/>
      <c r="N378" s="599"/>
      <c r="O378" s="599"/>
      <c r="P378" s="599"/>
      <c r="Q378" s="599"/>
      <c r="R378" s="599"/>
      <c r="S378" s="599"/>
      <c r="T378" s="600"/>
    </row>
    <row r="379" spans="4:20">
      <c r="D379" s="586" t="s">
        <v>372</v>
      </c>
      <c r="E379" s="587"/>
      <c r="F379" s="601" t="s">
        <v>373</v>
      </c>
      <c r="G379" s="601"/>
      <c r="H379" s="601"/>
      <c r="I379" s="601"/>
      <c r="J379" s="601"/>
      <c r="K379" s="601"/>
      <c r="L379" s="601"/>
      <c r="M379" s="601"/>
      <c r="N379" s="601"/>
      <c r="O379" s="601"/>
      <c r="P379" s="601"/>
      <c r="Q379" s="601"/>
      <c r="R379" s="601"/>
      <c r="S379" s="601"/>
      <c r="T379" s="602"/>
    </row>
    <row r="380" spans="4:20">
      <c r="D380" s="586" t="s">
        <v>374</v>
      </c>
      <c r="E380" s="587"/>
      <c r="F380" s="603" t="s">
        <v>375</v>
      </c>
      <c r="G380" s="604"/>
      <c r="H380" s="604"/>
      <c r="I380" s="604"/>
      <c r="J380" s="604"/>
      <c r="K380" s="604"/>
      <c r="L380" s="604"/>
      <c r="M380" s="604"/>
      <c r="N380" s="604"/>
      <c r="O380" s="604"/>
      <c r="P380" s="604"/>
      <c r="Q380" s="604"/>
      <c r="R380" s="604"/>
      <c r="S380" s="604"/>
      <c r="T380" s="605"/>
    </row>
    <row r="381" spans="4:20">
      <c r="D381" s="586" t="s">
        <v>376</v>
      </c>
      <c r="E381" s="587"/>
      <c r="F381" s="390">
        <f>+[42]DATOS!F$5</f>
        <v>46143</v>
      </c>
      <c r="G381" s="391"/>
      <c r="H381" s="391"/>
      <c r="I381" s="391"/>
      <c r="J381" s="391"/>
      <c r="K381" s="391"/>
      <c r="L381" s="568" t="s">
        <v>377</v>
      </c>
      <c r="M381" s="568"/>
      <c r="N381" s="588" t="s">
        <v>378</v>
      </c>
      <c r="O381" s="588"/>
      <c r="P381" s="588"/>
      <c r="Q381" s="588"/>
      <c r="R381" s="588"/>
      <c r="S381" s="588"/>
      <c r="T381" s="589"/>
    </row>
    <row r="382" spans="4:20" ht="25.5">
      <c r="D382" s="586" t="s">
        <v>379</v>
      </c>
      <c r="E382" s="587"/>
      <c r="F382" s="590" t="s">
        <v>380</v>
      </c>
      <c r="G382" s="591"/>
      <c r="H382" s="392">
        <f>+[42]DATOS!E$5</f>
        <v>2026</v>
      </c>
      <c r="I382" s="393" t="s">
        <v>381</v>
      </c>
      <c r="J382" s="394">
        <f>+[42]DATOS!E$5</f>
        <v>2026</v>
      </c>
      <c r="K382" s="395"/>
      <c r="L382" s="568" t="s">
        <v>382</v>
      </c>
      <c r="M382" s="568"/>
      <c r="N382" s="588" t="s">
        <v>383</v>
      </c>
      <c r="O382" s="588"/>
      <c r="P382" s="588"/>
      <c r="Q382" s="588"/>
      <c r="R382" s="588"/>
      <c r="S382" s="588"/>
      <c r="T382" s="589"/>
    </row>
    <row r="383" spans="4:20">
      <c r="D383" s="396"/>
      <c r="E383" s="397"/>
      <c r="F383" s="397"/>
      <c r="G383" s="398"/>
      <c r="H383" s="398"/>
      <c r="I383" s="398"/>
      <c r="J383" s="398"/>
      <c r="K383" s="398"/>
      <c r="L383" s="398"/>
      <c r="M383" s="398"/>
      <c r="N383" s="398"/>
      <c r="O383" s="398"/>
      <c r="P383" s="398"/>
      <c r="Q383" s="398"/>
      <c r="R383" s="398"/>
      <c r="S383" s="398"/>
      <c r="T383" s="399"/>
    </row>
    <row r="384" spans="4:20">
      <c r="D384" s="572" t="s">
        <v>384</v>
      </c>
      <c r="E384" s="573"/>
      <c r="F384" s="573"/>
      <c r="G384" s="573"/>
      <c r="H384" s="573"/>
      <c r="I384" s="573"/>
      <c r="J384" s="573"/>
      <c r="K384" s="573"/>
      <c r="L384" s="573"/>
      <c r="M384" s="573"/>
      <c r="N384" s="573"/>
      <c r="O384" s="573"/>
      <c r="P384" s="573"/>
      <c r="Q384" s="573"/>
      <c r="R384" s="573"/>
      <c r="S384" s="573"/>
      <c r="T384" s="574"/>
    </row>
    <row r="385" spans="1:26">
      <c r="D385" s="396"/>
      <c r="E385" s="397"/>
      <c r="F385" s="397"/>
      <c r="G385" s="398"/>
      <c r="H385" s="398"/>
      <c r="I385" s="398"/>
      <c r="J385" s="398"/>
      <c r="K385" s="398"/>
      <c r="L385" s="398"/>
      <c r="M385" s="398"/>
      <c r="N385" s="398"/>
      <c r="O385" s="398"/>
      <c r="P385" s="398"/>
      <c r="Q385" s="398"/>
      <c r="R385" s="398"/>
      <c r="S385" s="398"/>
      <c r="T385" s="399"/>
    </row>
    <row r="386" spans="1:26">
      <c r="D386" s="400" t="s">
        <v>385</v>
      </c>
      <c r="E386" s="575" t="s">
        <v>386</v>
      </c>
      <c r="F386" s="575"/>
      <c r="G386" s="576" t="s">
        <v>387</v>
      </c>
      <c r="H386" s="577"/>
      <c r="I386" s="577"/>
      <c r="J386" s="576" t="s">
        <v>388</v>
      </c>
      <c r="K386" s="576" t="s">
        <v>389</v>
      </c>
      <c r="L386" s="579"/>
      <c r="M386" s="581" t="s">
        <v>390</v>
      </c>
      <c r="N386" s="581"/>
      <c r="O386" s="581"/>
      <c r="P386" s="581"/>
      <c r="Q386" s="581"/>
      <c r="R386" s="581"/>
      <c r="S386" s="581" t="s">
        <v>391</v>
      </c>
      <c r="T386" s="582"/>
    </row>
    <row r="387" spans="1:26" ht="38.25">
      <c r="D387" s="403">
        <f>+'PRESUPUESTO OFICIAL '!C17</f>
        <v>1.06</v>
      </c>
      <c r="E387" s="583" t="str">
        <f>+VLOOKUP(D387,'PRESUPUESTO OFICIAL '!$C$11:$H$103,2)</f>
        <v>DEMOLICIÓN DE PISO EN CERÁMICA + MORTERO. (INCLUYE RETIRO Y ACARREO LIBRE HASTA 5 KM.)</v>
      </c>
      <c r="F387" s="584"/>
      <c r="G387" s="585" t="str">
        <f>+VLOOKUP(D387,'PRESUPUESTO OFICIAL '!$C$11:$H$103,3)</f>
        <v>M2</v>
      </c>
      <c r="H387" s="585"/>
      <c r="I387" s="585"/>
      <c r="J387" s="578"/>
      <c r="K387" s="578"/>
      <c r="L387" s="580"/>
      <c r="M387" s="401" t="s">
        <v>392</v>
      </c>
      <c r="N387" s="401" t="s">
        <v>393</v>
      </c>
      <c r="O387" s="401" t="s">
        <v>394</v>
      </c>
      <c r="P387" s="401" t="s">
        <v>395</v>
      </c>
      <c r="Q387" s="401" t="s">
        <v>396</v>
      </c>
      <c r="R387" s="401" t="s">
        <v>397</v>
      </c>
      <c r="S387" s="401" t="s">
        <v>398</v>
      </c>
      <c r="T387" s="402" t="s">
        <v>399</v>
      </c>
      <c r="V387" s="404">
        <f>+D387</f>
        <v>1.06</v>
      </c>
      <c r="W387" s="405">
        <f>+T435</f>
        <v>12.66</v>
      </c>
    </row>
    <row r="388" spans="1:26">
      <c r="D388" s="406"/>
      <c r="E388" s="407"/>
      <c r="F388" s="407"/>
      <c r="G388" s="407"/>
      <c r="H388" s="407"/>
      <c r="I388" s="407"/>
      <c r="J388" s="558"/>
      <c r="K388" s="559"/>
      <c r="L388" s="560"/>
      <c r="M388" s="560"/>
      <c r="N388" s="560"/>
      <c r="O388" s="560"/>
      <c r="P388" s="560"/>
      <c r="Q388" s="560"/>
      <c r="R388" s="560"/>
      <c r="S388" s="560"/>
      <c r="T388" s="561"/>
    </row>
    <row r="389" spans="1:26">
      <c r="A389" s="453">
        <f>+D387</f>
        <v>1.06</v>
      </c>
      <c r="B389" s="383">
        <v>1</v>
      </c>
      <c r="D389" s="406"/>
      <c r="E389" s="407"/>
      <c r="F389" s="407"/>
      <c r="G389" s="407"/>
      <c r="H389" s="407"/>
      <c r="I389" s="407"/>
      <c r="J389" s="408" t="s">
        <v>400</v>
      </c>
      <c r="K389" s="409" t="str">
        <f t="shared" ref="K389:K431" si="48">+VLOOKUP(L389,$AH$22:$AJ$58,2,)</f>
        <v>A=(Ancho x Largo)* Cant</v>
      </c>
      <c r="L389" s="410" t="str">
        <f>+G387</f>
        <v>M2</v>
      </c>
      <c r="M389" s="411">
        <f>+HLOOKUP(B389,[238]Hoja1!$2:$78,10,FALSE)</f>
        <v>0</v>
      </c>
      <c r="N389" s="412"/>
      <c r="O389" s="442"/>
      <c r="P389" s="442"/>
      <c r="Q389" s="413"/>
      <c r="R389" s="413"/>
      <c r="S389" s="413"/>
      <c r="T389" s="414">
        <f>+S389*M389</f>
        <v>0</v>
      </c>
      <c r="Y389" s="439">
        <f>+O389*P389</f>
        <v>0</v>
      </c>
      <c r="Z389" s="439">
        <f>+Y389-M389</f>
        <v>0</v>
      </c>
    </row>
    <row r="390" spans="1:26">
      <c r="A390" s="453">
        <f>+A389</f>
        <v>1.06</v>
      </c>
      <c r="B390" s="383">
        <v>2</v>
      </c>
      <c r="D390" s="406"/>
      <c r="E390" s="407"/>
      <c r="F390" s="407"/>
      <c r="G390" s="407"/>
      <c r="H390" s="407"/>
      <c r="I390" s="407"/>
      <c r="J390" s="408" t="s">
        <v>401</v>
      </c>
      <c r="K390" s="409" t="str">
        <f t="shared" si="48"/>
        <v>A=(Ancho x Largo)* Cant</v>
      </c>
      <c r="L390" s="410" t="str">
        <f>+L389</f>
        <v>M2</v>
      </c>
      <c r="M390" s="411">
        <f>+HLOOKUP(B390,[238]Hoja1!$2:$78,10,FALSE)</f>
        <v>0</v>
      </c>
      <c r="N390" s="412"/>
      <c r="O390" s="442"/>
      <c r="P390" s="442"/>
      <c r="Q390" s="413"/>
      <c r="R390" s="413"/>
      <c r="S390" s="413"/>
      <c r="T390" s="414">
        <f t="shared" ref="T390:T431" si="49">+S390*M390</f>
        <v>0</v>
      </c>
      <c r="Y390" s="439">
        <f>+O390*P390</f>
        <v>0</v>
      </c>
      <c r="Z390" s="439">
        <f t="shared" ref="Z390:Z431" si="50">+Y390-M390</f>
        <v>0</v>
      </c>
    </row>
    <row r="391" spans="1:26">
      <c r="A391" s="453">
        <f t="shared" ref="A391:A431" si="51">+A390</f>
        <v>1.06</v>
      </c>
      <c r="B391" s="383">
        <v>3</v>
      </c>
      <c r="D391" s="406"/>
      <c r="E391" s="407"/>
      <c r="F391" s="407"/>
      <c r="G391" s="407"/>
      <c r="H391" s="407"/>
      <c r="I391" s="407"/>
      <c r="J391" s="408" t="s">
        <v>402</v>
      </c>
      <c r="K391" s="409" t="str">
        <f t="shared" si="48"/>
        <v>A=(Ancho x Largo)* Cant</v>
      </c>
      <c r="L391" s="410" t="str">
        <f>+L390</f>
        <v>M2</v>
      </c>
      <c r="M391" s="411">
        <f>+HLOOKUP(B391,[238]Hoja1!$2:$78,10,FALSE)</f>
        <v>0</v>
      </c>
      <c r="N391" s="412"/>
      <c r="O391" s="442"/>
      <c r="P391" s="442"/>
      <c r="Q391" s="413"/>
      <c r="R391" s="413"/>
      <c r="S391" s="413"/>
      <c r="T391" s="414">
        <f t="shared" si="49"/>
        <v>0</v>
      </c>
      <c r="Y391" s="439">
        <f t="shared" ref="Y391:Y431" si="52">+O391*P391</f>
        <v>0</v>
      </c>
      <c r="Z391" s="439">
        <f t="shared" si="50"/>
        <v>0</v>
      </c>
    </row>
    <row r="392" spans="1:26">
      <c r="A392" s="453">
        <f t="shared" si="51"/>
        <v>1.06</v>
      </c>
      <c r="B392" s="383">
        <v>4</v>
      </c>
      <c r="D392" s="406"/>
      <c r="E392" s="407"/>
      <c r="F392" s="407"/>
      <c r="G392" s="407"/>
      <c r="H392" s="407"/>
      <c r="I392" s="407"/>
      <c r="J392" s="408" t="s">
        <v>403</v>
      </c>
      <c r="K392" s="409" t="str">
        <f t="shared" si="48"/>
        <v>A=(Ancho x Largo)* Cant</v>
      </c>
      <c r="L392" s="410" t="str">
        <f>+L391</f>
        <v>M2</v>
      </c>
      <c r="M392" s="411">
        <f>+HLOOKUP(B392,[238]Hoja1!$2:$78,10,FALSE)</f>
        <v>0</v>
      </c>
      <c r="N392" s="412"/>
      <c r="O392" s="442"/>
      <c r="P392" s="442"/>
      <c r="Q392" s="413"/>
      <c r="R392" s="413"/>
      <c r="S392" s="413"/>
      <c r="T392" s="414">
        <f t="shared" si="49"/>
        <v>0</v>
      </c>
      <c r="Y392" s="439">
        <f t="shared" si="52"/>
        <v>0</v>
      </c>
      <c r="Z392" s="439">
        <f t="shared" si="50"/>
        <v>0</v>
      </c>
    </row>
    <row r="393" spans="1:26">
      <c r="A393" s="453">
        <f t="shared" si="51"/>
        <v>1.06</v>
      </c>
      <c r="B393" s="383">
        <v>5</v>
      </c>
      <c r="D393" s="406"/>
      <c r="E393" s="407"/>
      <c r="F393" s="407"/>
      <c r="G393" s="407"/>
      <c r="H393" s="407"/>
      <c r="I393" s="407"/>
      <c r="J393" s="408" t="s">
        <v>405</v>
      </c>
      <c r="K393" s="409" t="str">
        <f t="shared" si="48"/>
        <v>A=(Ancho x Largo)* Cant</v>
      </c>
      <c r="L393" s="410" t="str">
        <f>+L392</f>
        <v>M2</v>
      </c>
      <c r="M393" s="411">
        <f>+HLOOKUP(B393,[238]Hoja1!$2:$78,10,FALSE)</f>
        <v>0</v>
      </c>
      <c r="N393" s="412"/>
      <c r="O393" s="442"/>
      <c r="P393" s="442"/>
      <c r="Q393" s="413"/>
      <c r="R393" s="413"/>
      <c r="S393" s="413"/>
      <c r="T393" s="414">
        <f t="shared" si="49"/>
        <v>0</v>
      </c>
      <c r="Y393" s="439">
        <f t="shared" si="52"/>
        <v>0</v>
      </c>
      <c r="Z393" s="439">
        <f t="shared" si="50"/>
        <v>0</v>
      </c>
    </row>
    <row r="394" spans="1:26">
      <c r="A394" s="453">
        <f t="shared" si="51"/>
        <v>1.06</v>
      </c>
      <c r="B394" s="383">
        <v>6</v>
      </c>
      <c r="D394" s="406"/>
      <c r="E394" s="407"/>
      <c r="F394" s="407"/>
      <c r="G394" s="407"/>
      <c r="H394" s="407"/>
      <c r="I394" s="407"/>
      <c r="J394" s="408" t="s">
        <v>407</v>
      </c>
      <c r="K394" s="409" t="str">
        <f t="shared" si="48"/>
        <v>A=(Ancho x Largo)* Cant</v>
      </c>
      <c r="L394" s="410" t="str">
        <f>+L393</f>
        <v>M2</v>
      </c>
      <c r="M394" s="411">
        <f>+HLOOKUP(B394,[238]Hoja1!$2:$78,10,FALSE)</f>
        <v>0</v>
      </c>
      <c r="N394" s="412"/>
      <c r="O394" s="442"/>
      <c r="P394" s="442"/>
      <c r="Q394" s="413"/>
      <c r="R394" s="413"/>
      <c r="S394" s="413"/>
      <c r="T394" s="414">
        <f t="shared" si="49"/>
        <v>0</v>
      </c>
      <c r="Y394" s="439">
        <f t="shared" si="52"/>
        <v>0</v>
      </c>
      <c r="Z394" s="439">
        <f t="shared" si="50"/>
        <v>0</v>
      </c>
    </row>
    <row r="395" spans="1:26">
      <c r="A395" s="453">
        <f t="shared" si="51"/>
        <v>1.06</v>
      </c>
      <c r="B395" s="383">
        <v>7</v>
      </c>
      <c r="D395" s="406"/>
      <c r="E395" s="407"/>
      <c r="F395" s="407"/>
      <c r="G395" s="407"/>
      <c r="H395" s="407"/>
      <c r="I395" s="407"/>
      <c r="J395" s="408" t="s">
        <v>409</v>
      </c>
      <c r="K395" s="409" t="str">
        <f t="shared" si="48"/>
        <v>A=(Ancho x Largo)* Cant</v>
      </c>
      <c r="L395" s="410" t="str">
        <f>+L389</f>
        <v>M2</v>
      </c>
      <c r="M395" s="411">
        <f>+HLOOKUP(B395,[238]Hoja1!$2:$78,10,FALSE)</f>
        <v>0</v>
      </c>
      <c r="N395" s="412"/>
      <c r="O395" s="442"/>
      <c r="P395" s="442"/>
      <c r="Q395" s="413"/>
      <c r="R395" s="413"/>
      <c r="S395" s="413"/>
      <c r="T395" s="414">
        <f t="shared" si="49"/>
        <v>0</v>
      </c>
      <c r="Y395" s="439">
        <f t="shared" si="52"/>
        <v>0</v>
      </c>
      <c r="Z395" s="439">
        <f t="shared" si="50"/>
        <v>0</v>
      </c>
    </row>
    <row r="396" spans="1:26">
      <c r="A396" s="453">
        <f t="shared" si="51"/>
        <v>1.06</v>
      </c>
      <c r="B396" s="383">
        <v>8</v>
      </c>
      <c r="D396" s="406"/>
      <c r="E396" s="407"/>
      <c r="F396" s="407"/>
      <c r="G396" s="407"/>
      <c r="H396" s="407"/>
      <c r="I396" s="407"/>
      <c r="J396" s="408" t="s">
        <v>411</v>
      </c>
      <c r="K396" s="409" t="str">
        <f t="shared" si="48"/>
        <v>A=(Ancho x Largo)* Cant</v>
      </c>
      <c r="L396" s="410" t="str">
        <f>+L395</f>
        <v>M2</v>
      </c>
      <c r="M396" s="411">
        <f>+HLOOKUP(B396,[238]Hoja1!$2:$78,10,FALSE)</f>
        <v>0</v>
      </c>
      <c r="N396" s="412"/>
      <c r="O396" s="442"/>
      <c r="P396" s="442"/>
      <c r="Q396" s="413"/>
      <c r="R396" s="413"/>
      <c r="S396" s="413"/>
      <c r="T396" s="414">
        <f t="shared" si="49"/>
        <v>0</v>
      </c>
      <c r="Y396" s="439">
        <f t="shared" si="52"/>
        <v>0</v>
      </c>
      <c r="Z396" s="439">
        <f t="shared" si="50"/>
        <v>0</v>
      </c>
    </row>
    <row r="397" spans="1:26">
      <c r="A397" s="453">
        <f t="shared" si="51"/>
        <v>1.06</v>
      </c>
      <c r="B397" s="383">
        <v>9</v>
      </c>
      <c r="D397" s="406"/>
      <c r="E397" s="407"/>
      <c r="F397" s="407"/>
      <c r="G397" s="407"/>
      <c r="H397" s="407"/>
      <c r="I397" s="407"/>
      <c r="J397" s="408" t="s">
        <v>412</v>
      </c>
      <c r="K397" s="409" t="str">
        <f t="shared" si="48"/>
        <v>A=(Ancho x Largo)* Cant</v>
      </c>
      <c r="L397" s="410" t="str">
        <f>+L396</f>
        <v>M2</v>
      </c>
      <c r="M397" s="411">
        <f>+HLOOKUP(B397,[238]Hoja1!$2:$78,10,FALSE)</f>
        <v>0</v>
      </c>
      <c r="N397" s="412"/>
      <c r="O397" s="442"/>
      <c r="P397" s="442"/>
      <c r="Q397" s="412"/>
      <c r="R397" s="412"/>
      <c r="S397" s="413"/>
      <c r="T397" s="414">
        <f t="shared" si="49"/>
        <v>0</v>
      </c>
      <c r="Y397" s="439">
        <f t="shared" si="52"/>
        <v>0</v>
      </c>
      <c r="Z397" s="439">
        <f t="shared" si="50"/>
        <v>0</v>
      </c>
    </row>
    <row r="398" spans="1:26">
      <c r="A398" s="453">
        <f t="shared" si="51"/>
        <v>1.06</v>
      </c>
      <c r="B398" s="383">
        <v>10</v>
      </c>
      <c r="D398" s="406"/>
      <c r="E398" s="407"/>
      <c r="F398" s="407"/>
      <c r="G398" s="407"/>
      <c r="H398" s="407"/>
      <c r="I398" s="407"/>
      <c r="J398" s="408" t="s">
        <v>413</v>
      </c>
      <c r="K398" s="409" t="str">
        <f t="shared" si="48"/>
        <v>A=(Ancho x Largo)* Cant</v>
      </c>
      <c r="L398" s="410" t="str">
        <f>+L397</f>
        <v>M2</v>
      </c>
      <c r="M398" s="411">
        <f>+HLOOKUP(B398,[238]Hoja1!$2:$78,10,FALSE)</f>
        <v>0</v>
      </c>
      <c r="N398" s="412"/>
      <c r="O398" s="441"/>
      <c r="P398" s="441"/>
      <c r="Q398" s="412"/>
      <c r="R398" s="412"/>
      <c r="S398" s="413"/>
      <c r="T398" s="414">
        <f t="shared" si="49"/>
        <v>0</v>
      </c>
      <c r="Y398" s="439">
        <f t="shared" si="52"/>
        <v>0</v>
      </c>
      <c r="Z398" s="439">
        <f t="shared" si="50"/>
        <v>0</v>
      </c>
    </row>
    <row r="399" spans="1:26">
      <c r="A399" s="453">
        <f t="shared" si="51"/>
        <v>1.06</v>
      </c>
      <c r="B399" s="383">
        <v>11</v>
      </c>
      <c r="D399" s="406"/>
      <c r="E399" s="407"/>
      <c r="F399" s="407"/>
      <c r="G399" s="407"/>
      <c r="H399" s="407"/>
      <c r="I399" s="407"/>
      <c r="J399" s="408" t="s">
        <v>414</v>
      </c>
      <c r="K399" s="409" t="str">
        <f t="shared" si="48"/>
        <v>A=(Ancho x Largo)* Cant</v>
      </c>
      <c r="L399" s="410" t="str">
        <f>+L398</f>
        <v>M2</v>
      </c>
      <c r="M399" s="411">
        <f>+HLOOKUP(B399,[238]Hoja1!$2:$78,10,FALSE)</f>
        <v>0</v>
      </c>
      <c r="N399" s="412"/>
      <c r="O399" s="443"/>
      <c r="P399" s="443"/>
      <c r="Q399" s="412"/>
      <c r="R399" s="412"/>
      <c r="S399" s="413"/>
      <c r="T399" s="414">
        <f t="shared" si="49"/>
        <v>0</v>
      </c>
      <c r="Y399" s="439">
        <f t="shared" si="52"/>
        <v>0</v>
      </c>
      <c r="Z399" s="439">
        <f t="shared" si="50"/>
        <v>0</v>
      </c>
    </row>
    <row r="400" spans="1:26">
      <c r="A400" s="453">
        <f t="shared" si="51"/>
        <v>1.06</v>
      </c>
      <c r="B400" s="383">
        <v>12</v>
      </c>
      <c r="D400" s="406"/>
      <c r="E400" s="407"/>
      <c r="F400" s="407"/>
      <c r="G400" s="407"/>
      <c r="H400" s="407"/>
      <c r="I400" s="407"/>
      <c r="J400" s="408" t="s">
        <v>415</v>
      </c>
      <c r="K400" s="409" t="str">
        <f t="shared" si="48"/>
        <v>A=(Ancho x Largo)* Cant</v>
      </c>
      <c r="L400" s="410" t="str">
        <f>+L394</f>
        <v>M2</v>
      </c>
      <c r="M400" s="411">
        <f>+HLOOKUP(B400,[238]Hoja1!$2:$78,10,FALSE)</f>
        <v>0</v>
      </c>
      <c r="N400" s="412"/>
      <c r="O400" s="442"/>
      <c r="P400" s="442"/>
      <c r="Q400" s="413"/>
      <c r="R400" s="413"/>
      <c r="S400" s="413"/>
      <c r="T400" s="414">
        <f t="shared" si="49"/>
        <v>0</v>
      </c>
      <c r="Y400" s="439">
        <f t="shared" si="52"/>
        <v>0</v>
      </c>
      <c r="Z400" s="439">
        <f t="shared" si="50"/>
        <v>0</v>
      </c>
    </row>
    <row r="401" spans="1:26">
      <c r="A401" s="453">
        <f t="shared" si="51"/>
        <v>1.06</v>
      </c>
      <c r="B401" s="383">
        <v>13</v>
      </c>
      <c r="D401" s="406"/>
      <c r="E401" s="407"/>
      <c r="F401" s="407"/>
      <c r="G401" s="407"/>
      <c r="H401" s="407"/>
      <c r="I401" s="407"/>
      <c r="J401" s="408" t="s">
        <v>416</v>
      </c>
      <c r="K401" s="409" t="str">
        <f t="shared" si="48"/>
        <v>A=(Ancho x Largo)* Cant</v>
      </c>
      <c r="L401" s="410" t="str">
        <f>+L396</f>
        <v>M2</v>
      </c>
      <c r="M401" s="411">
        <f>+HLOOKUP(B401,[238]Hoja1!$2:$78,10,FALSE)</f>
        <v>0</v>
      </c>
      <c r="N401" s="412"/>
      <c r="O401" s="442"/>
      <c r="P401" s="442"/>
      <c r="Q401" s="413"/>
      <c r="R401" s="413"/>
      <c r="S401" s="413"/>
      <c r="T401" s="414">
        <f t="shared" si="49"/>
        <v>0</v>
      </c>
      <c r="Y401" s="439">
        <f t="shared" si="52"/>
        <v>0</v>
      </c>
      <c r="Z401" s="439">
        <f t="shared" si="50"/>
        <v>0</v>
      </c>
    </row>
    <row r="402" spans="1:26">
      <c r="A402" s="453">
        <f t="shared" si="51"/>
        <v>1.06</v>
      </c>
      <c r="B402" s="383">
        <v>14</v>
      </c>
      <c r="D402" s="406"/>
      <c r="E402" s="407"/>
      <c r="F402" s="407"/>
      <c r="G402" s="407"/>
      <c r="H402" s="407"/>
      <c r="I402" s="407"/>
      <c r="J402" s="408" t="s">
        <v>417</v>
      </c>
      <c r="K402" s="409" t="str">
        <f t="shared" si="48"/>
        <v>A=(Ancho x Largo)* Cant</v>
      </c>
      <c r="L402" s="410" t="str">
        <f t="shared" ref="L402:L413" si="53">+L401</f>
        <v>M2</v>
      </c>
      <c r="M402" s="411">
        <f>+HLOOKUP(B402,[238]Hoja1!$2:$78,10,FALSE)</f>
        <v>0</v>
      </c>
      <c r="N402" s="412"/>
      <c r="O402" s="442"/>
      <c r="P402" s="442"/>
      <c r="Q402" s="412"/>
      <c r="R402" s="412"/>
      <c r="S402" s="413"/>
      <c r="T402" s="414">
        <f t="shared" si="49"/>
        <v>0</v>
      </c>
      <c r="Y402" s="439">
        <f t="shared" si="52"/>
        <v>0</v>
      </c>
      <c r="Z402" s="439">
        <f t="shared" si="50"/>
        <v>0</v>
      </c>
    </row>
    <row r="403" spans="1:26">
      <c r="A403" s="453">
        <f t="shared" si="51"/>
        <v>1.06</v>
      </c>
      <c r="B403" s="383">
        <v>15</v>
      </c>
      <c r="D403" s="406"/>
      <c r="E403" s="407"/>
      <c r="F403" s="407"/>
      <c r="G403" s="407"/>
      <c r="H403" s="407"/>
      <c r="I403" s="407"/>
      <c r="J403" s="408" t="s">
        <v>418</v>
      </c>
      <c r="K403" s="409" t="str">
        <f t="shared" si="48"/>
        <v>A=(Ancho x Largo)* Cant</v>
      </c>
      <c r="L403" s="410" t="str">
        <f t="shared" si="53"/>
        <v>M2</v>
      </c>
      <c r="M403" s="411">
        <f>+HLOOKUP(B403,[238]Hoja1!$2:$78,10,FALSE)</f>
        <v>0</v>
      </c>
      <c r="N403" s="412"/>
      <c r="O403" s="442"/>
      <c r="P403" s="442"/>
      <c r="Q403" s="412"/>
      <c r="R403" s="412"/>
      <c r="S403" s="413"/>
      <c r="T403" s="414">
        <f t="shared" si="49"/>
        <v>0</v>
      </c>
      <c r="Y403" s="439">
        <f t="shared" si="52"/>
        <v>0</v>
      </c>
      <c r="Z403" s="439">
        <f t="shared" si="50"/>
        <v>0</v>
      </c>
    </row>
    <row r="404" spans="1:26">
      <c r="A404" s="453">
        <f t="shared" si="51"/>
        <v>1.06</v>
      </c>
      <c r="B404" s="383">
        <v>16</v>
      </c>
      <c r="D404" s="406"/>
      <c r="E404" s="407"/>
      <c r="F404" s="407"/>
      <c r="G404" s="407"/>
      <c r="H404" s="407"/>
      <c r="I404" s="407"/>
      <c r="J404" s="408" t="s">
        <v>419</v>
      </c>
      <c r="K404" s="409" t="str">
        <f t="shared" si="48"/>
        <v>A=(Ancho x Largo)* Cant</v>
      </c>
      <c r="L404" s="410" t="str">
        <f t="shared" si="53"/>
        <v>M2</v>
      </c>
      <c r="M404" s="411">
        <f>+HLOOKUP(B404,[238]Hoja1!$2:$78,10,FALSE)</f>
        <v>0</v>
      </c>
      <c r="N404" s="412"/>
      <c r="O404" s="442"/>
      <c r="P404" s="442"/>
      <c r="Q404" s="412"/>
      <c r="R404" s="412"/>
      <c r="S404" s="413"/>
      <c r="T404" s="414">
        <f t="shared" si="49"/>
        <v>0</v>
      </c>
      <c r="Y404" s="439">
        <f t="shared" si="52"/>
        <v>0</v>
      </c>
      <c r="Z404" s="439">
        <f t="shared" si="50"/>
        <v>0</v>
      </c>
    </row>
    <row r="405" spans="1:26">
      <c r="A405" s="453">
        <f t="shared" si="51"/>
        <v>1.06</v>
      </c>
      <c r="B405" s="383">
        <v>17</v>
      </c>
      <c r="D405" s="406"/>
      <c r="E405" s="407"/>
      <c r="F405" s="407"/>
      <c r="G405" s="407"/>
      <c r="H405" s="407"/>
      <c r="I405" s="407"/>
      <c r="J405" s="408" t="s">
        <v>420</v>
      </c>
      <c r="K405" s="409" t="str">
        <f t="shared" si="48"/>
        <v>A=(Ancho x Largo)* Cant</v>
      </c>
      <c r="L405" s="410" t="str">
        <f t="shared" si="53"/>
        <v>M2</v>
      </c>
      <c r="M405" s="411">
        <f>+HLOOKUP(B405,[238]Hoja1!$2:$78,10,FALSE)</f>
        <v>0</v>
      </c>
      <c r="N405" s="412"/>
      <c r="O405" s="442"/>
      <c r="P405" s="442"/>
      <c r="Q405" s="412"/>
      <c r="R405" s="412"/>
      <c r="S405" s="413"/>
      <c r="T405" s="414">
        <f t="shared" si="49"/>
        <v>0</v>
      </c>
      <c r="Y405" s="439">
        <f t="shared" si="52"/>
        <v>0</v>
      </c>
      <c r="Z405" s="439">
        <f t="shared" si="50"/>
        <v>0</v>
      </c>
    </row>
    <row r="406" spans="1:26">
      <c r="A406" s="453">
        <f t="shared" si="51"/>
        <v>1.06</v>
      </c>
      <c r="B406" s="383">
        <v>18</v>
      </c>
      <c r="D406" s="406"/>
      <c r="E406" s="407"/>
      <c r="F406" s="407"/>
      <c r="G406" s="407"/>
      <c r="H406" s="407"/>
      <c r="I406" s="407"/>
      <c r="J406" s="408" t="s">
        <v>429</v>
      </c>
      <c r="K406" s="409" t="str">
        <f t="shared" si="48"/>
        <v>A=(Ancho x Largo)* Cant</v>
      </c>
      <c r="L406" s="410" t="str">
        <f t="shared" si="53"/>
        <v>M2</v>
      </c>
      <c r="M406" s="411">
        <f>+HLOOKUP(B406,[238]Hoja1!$2:$78,10,FALSE)</f>
        <v>0</v>
      </c>
      <c r="N406" s="412"/>
      <c r="O406" s="442"/>
      <c r="P406" s="442"/>
      <c r="Q406" s="412"/>
      <c r="R406" s="412"/>
      <c r="S406" s="413"/>
      <c r="T406" s="414">
        <f t="shared" si="49"/>
        <v>0</v>
      </c>
      <c r="Y406" s="439">
        <f t="shared" si="52"/>
        <v>0</v>
      </c>
      <c r="Z406" s="439">
        <f t="shared" si="50"/>
        <v>0</v>
      </c>
    </row>
    <row r="407" spans="1:26">
      <c r="A407" s="453">
        <f t="shared" si="51"/>
        <v>1.06</v>
      </c>
      <c r="B407" s="383">
        <v>19</v>
      </c>
      <c r="D407" s="406"/>
      <c r="E407" s="407"/>
      <c r="F407" s="407"/>
      <c r="G407" s="407"/>
      <c r="H407" s="407"/>
      <c r="I407" s="407"/>
      <c r="J407" s="408" t="s">
        <v>430</v>
      </c>
      <c r="K407" s="409" t="str">
        <f t="shared" si="48"/>
        <v>A=(Ancho x Largo)* Cant</v>
      </c>
      <c r="L407" s="410" t="str">
        <f t="shared" si="53"/>
        <v>M2</v>
      </c>
      <c r="M407" s="411">
        <f>+HLOOKUP(B407,[238]Hoja1!$2:$78,10,FALSE)</f>
        <v>0</v>
      </c>
      <c r="N407" s="412"/>
      <c r="O407" s="442"/>
      <c r="P407" s="442"/>
      <c r="Q407" s="412"/>
      <c r="R407" s="412"/>
      <c r="S407" s="413"/>
      <c r="T407" s="414">
        <f t="shared" si="49"/>
        <v>0</v>
      </c>
      <c r="Y407" s="439">
        <f t="shared" si="52"/>
        <v>0</v>
      </c>
      <c r="Z407" s="439">
        <f t="shared" si="50"/>
        <v>0</v>
      </c>
    </row>
    <row r="408" spans="1:26">
      <c r="A408" s="453">
        <f t="shared" si="51"/>
        <v>1.06</v>
      </c>
      <c r="B408" s="383">
        <v>20</v>
      </c>
      <c r="D408" s="406"/>
      <c r="E408" s="407"/>
      <c r="F408" s="407"/>
      <c r="G408" s="407"/>
      <c r="H408" s="407"/>
      <c r="I408" s="407"/>
      <c r="J408" s="408" t="s">
        <v>431</v>
      </c>
      <c r="K408" s="409" t="str">
        <f t="shared" si="48"/>
        <v>A=(Ancho x Largo)* Cant</v>
      </c>
      <c r="L408" s="410" t="str">
        <f t="shared" si="53"/>
        <v>M2</v>
      </c>
      <c r="M408" s="411">
        <f>+HLOOKUP(B408,[238]Hoja1!$2:$78,10,FALSE)</f>
        <v>0</v>
      </c>
      <c r="N408" s="412"/>
      <c r="O408" s="442"/>
      <c r="P408" s="442"/>
      <c r="Q408" s="412"/>
      <c r="R408" s="412"/>
      <c r="S408" s="413"/>
      <c r="T408" s="414">
        <f t="shared" si="49"/>
        <v>0</v>
      </c>
      <c r="Y408" s="439">
        <f t="shared" si="52"/>
        <v>0</v>
      </c>
      <c r="Z408" s="439">
        <f t="shared" si="50"/>
        <v>0</v>
      </c>
    </row>
    <row r="409" spans="1:26">
      <c r="A409" s="453">
        <f t="shared" si="51"/>
        <v>1.06</v>
      </c>
      <c r="B409" s="383">
        <v>21</v>
      </c>
      <c r="D409" s="406"/>
      <c r="E409" s="407"/>
      <c r="F409" s="407"/>
      <c r="G409" s="407"/>
      <c r="H409" s="407"/>
      <c r="I409" s="407"/>
      <c r="J409" s="408" t="s">
        <v>432</v>
      </c>
      <c r="K409" s="409" t="str">
        <f t="shared" si="48"/>
        <v>A=(Ancho x Largo)* Cant</v>
      </c>
      <c r="L409" s="410" t="str">
        <f t="shared" si="53"/>
        <v>M2</v>
      </c>
      <c r="M409" s="411">
        <f>+HLOOKUP(B409,[238]Hoja1!$2:$78,10,FALSE)</f>
        <v>0</v>
      </c>
      <c r="N409" s="412"/>
      <c r="O409" s="442"/>
      <c r="P409" s="442"/>
      <c r="Q409" s="412"/>
      <c r="R409" s="412"/>
      <c r="S409" s="413"/>
      <c r="T409" s="414">
        <f t="shared" si="49"/>
        <v>0</v>
      </c>
      <c r="Y409" s="439">
        <f t="shared" si="52"/>
        <v>0</v>
      </c>
      <c r="Z409" s="439">
        <f t="shared" si="50"/>
        <v>0</v>
      </c>
    </row>
    <row r="410" spans="1:26">
      <c r="A410" s="453">
        <f t="shared" si="51"/>
        <v>1.06</v>
      </c>
      <c r="B410" s="383">
        <v>22</v>
      </c>
      <c r="D410" s="406"/>
      <c r="E410" s="407"/>
      <c r="F410" s="407"/>
      <c r="G410" s="407"/>
      <c r="H410" s="407"/>
      <c r="I410" s="407"/>
      <c r="J410" s="408" t="s">
        <v>433</v>
      </c>
      <c r="K410" s="409" t="str">
        <f t="shared" si="48"/>
        <v>A=(Ancho x Largo)* Cant</v>
      </c>
      <c r="L410" s="410" t="str">
        <f t="shared" si="53"/>
        <v>M2</v>
      </c>
      <c r="M410" s="411">
        <f>+HLOOKUP(B410,[238]Hoja1!$2:$78,10,FALSE)</f>
        <v>0</v>
      </c>
      <c r="N410" s="412"/>
      <c r="O410" s="442"/>
      <c r="P410" s="442"/>
      <c r="Q410" s="412"/>
      <c r="R410" s="412"/>
      <c r="S410" s="413"/>
      <c r="T410" s="414">
        <f t="shared" si="49"/>
        <v>0</v>
      </c>
      <c r="Y410" s="439">
        <f t="shared" si="52"/>
        <v>0</v>
      </c>
      <c r="Z410" s="439">
        <f t="shared" si="50"/>
        <v>0</v>
      </c>
    </row>
    <row r="411" spans="1:26">
      <c r="A411" s="453">
        <f t="shared" si="51"/>
        <v>1.06</v>
      </c>
      <c r="B411" s="383">
        <v>23</v>
      </c>
      <c r="D411" s="406"/>
      <c r="E411" s="407"/>
      <c r="F411" s="407"/>
      <c r="G411" s="407"/>
      <c r="H411" s="407"/>
      <c r="I411" s="407"/>
      <c r="J411" s="408" t="s">
        <v>434</v>
      </c>
      <c r="K411" s="409" t="str">
        <f t="shared" si="48"/>
        <v>A=(Ancho x Largo)* Cant</v>
      </c>
      <c r="L411" s="410" t="str">
        <f t="shared" si="53"/>
        <v>M2</v>
      </c>
      <c r="M411" s="411">
        <f>+HLOOKUP(B411,[238]Hoja1!$2:$78,10,FALSE)</f>
        <v>0</v>
      </c>
      <c r="N411" s="412"/>
      <c r="O411" s="441"/>
      <c r="P411" s="441"/>
      <c r="Q411" s="412"/>
      <c r="R411" s="412"/>
      <c r="S411" s="413"/>
      <c r="T411" s="414">
        <f t="shared" si="49"/>
        <v>0</v>
      </c>
      <c r="Y411" s="439">
        <f t="shared" si="52"/>
        <v>0</v>
      </c>
      <c r="Z411" s="439">
        <f t="shared" si="50"/>
        <v>0</v>
      </c>
    </row>
    <row r="412" spans="1:26">
      <c r="A412" s="453">
        <f t="shared" si="51"/>
        <v>1.06</v>
      </c>
      <c r="B412" s="383">
        <v>24</v>
      </c>
      <c r="D412" s="406"/>
      <c r="E412" s="407"/>
      <c r="F412" s="407"/>
      <c r="G412" s="407"/>
      <c r="H412" s="407"/>
      <c r="I412" s="407"/>
      <c r="J412" s="408" t="s">
        <v>435</v>
      </c>
      <c r="K412" s="409" t="str">
        <f t="shared" si="48"/>
        <v>A=(Ancho x Largo)* Cant</v>
      </c>
      <c r="L412" s="410" t="str">
        <f t="shared" si="53"/>
        <v>M2</v>
      </c>
      <c r="M412" s="411">
        <f>+HLOOKUP(B412,[238]Hoja1!$2:$78,10,FALSE)</f>
        <v>0</v>
      </c>
      <c r="N412" s="412"/>
      <c r="O412" s="442"/>
      <c r="P412" s="442"/>
      <c r="Q412" s="413"/>
      <c r="R412" s="413"/>
      <c r="S412" s="413"/>
      <c r="T412" s="414">
        <f t="shared" si="49"/>
        <v>0</v>
      </c>
      <c r="Y412" s="439">
        <f t="shared" si="52"/>
        <v>0</v>
      </c>
      <c r="Z412" s="439">
        <f t="shared" si="50"/>
        <v>0</v>
      </c>
    </row>
    <row r="413" spans="1:26">
      <c r="A413" s="453">
        <f t="shared" si="51"/>
        <v>1.06</v>
      </c>
      <c r="B413" s="383">
        <v>25</v>
      </c>
      <c r="D413" s="406"/>
      <c r="E413" s="407"/>
      <c r="F413" s="407"/>
      <c r="G413" s="407"/>
      <c r="H413" s="407"/>
      <c r="I413" s="407"/>
      <c r="J413" s="408" t="s">
        <v>436</v>
      </c>
      <c r="K413" s="409" t="str">
        <f t="shared" si="48"/>
        <v>A=(Ancho x Largo)* Cant</v>
      </c>
      <c r="L413" s="410" t="str">
        <f t="shared" si="53"/>
        <v>M2</v>
      </c>
      <c r="M413" s="411">
        <f>+HLOOKUP(B413,[238]Hoja1!$2:$78,10,FALSE)</f>
        <v>0</v>
      </c>
      <c r="N413" s="412"/>
      <c r="O413" s="442"/>
      <c r="P413" s="442"/>
      <c r="Q413" s="412"/>
      <c r="R413" s="412"/>
      <c r="S413" s="413"/>
      <c r="T413" s="414">
        <f t="shared" si="49"/>
        <v>0</v>
      </c>
      <c r="Y413" s="439">
        <f t="shared" si="52"/>
        <v>0</v>
      </c>
      <c r="Z413" s="439">
        <f t="shared" si="50"/>
        <v>0</v>
      </c>
    </row>
    <row r="414" spans="1:26">
      <c r="A414" s="453">
        <f t="shared" si="51"/>
        <v>1.06</v>
      </c>
      <c r="B414" s="383">
        <v>26</v>
      </c>
      <c r="D414" s="406"/>
      <c r="E414" s="407"/>
      <c r="F414" s="407"/>
      <c r="G414" s="407"/>
      <c r="H414" s="407"/>
      <c r="I414" s="407"/>
      <c r="J414" s="408" t="s">
        <v>437</v>
      </c>
      <c r="K414" s="409" t="str">
        <f t="shared" si="48"/>
        <v>A=(Ancho x Largo)* Cant</v>
      </c>
      <c r="L414" s="410" t="str">
        <f>+L403</f>
        <v>M2</v>
      </c>
      <c r="M414" s="411">
        <f>+HLOOKUP(B414,[238]Hoja1!$2:$78,10,FALSE)</f>
        <v>0</v>
      </c>
      <c r="N414" s="412"/>
      <c r="O414" s="442"/>
      <c r="P414" s="442"/>
      <c r="Q414" s="412"/>
      <c r="R414" s="412"/>
      <c r="S414" s="413"/>
      <c r="T414" s="414">
        <f t="shared" si="49"/>
        <v>0</v>
      </c>
      <c r="Y414" s="439">
        <f t="shared" si="52"/>
        <v>0</v>
      </c>
      <c r="Z414" s="439">
        <f t="shared" si="50"/>
        <v>0</v>
      </c>
    </row>
    <row r="415" spans="1:26">
      <c r="A415" s="453">
        <f t="shared" si="51"/>
        <v>1.06</v>
      </c>
      <c r="B415" s="383">
        <v>27</v>
      </c>
      <c r="D415" s="406"/>
      <c r="E415" s="407"/>
      <c r="F415" s="407"/>
      <c r="G415" s="407"/>
      <c r="H415" s="407"/>
      <c r="I415" s="407"/>
      <c r="J415" s="408" t="s">
        <v>438</v>
      </c>
      <c r="K415" s="409" t="str">
        <f t="shared" si="48"/>
        <v>A=(Ancho x Largo)* Cant</v>
      </c>
      <c r="L415" s="410" t="str">
        <f t="shared" ref="L415:L423" si="54">+L414</f>
        <v>M2</v>
      </c>
      <c r="M415" s="411">
        <f>+HLOOKUP(B415,[238]Hoja1!$2:$78,10,FALSE)</f>
        <v>0</v>
      </c>
      <c r="N415" s="412"/>
      <c r="O415" s="442"/>
      <c r="P415" s="442"/>
      <c r="Q415" s="412"/>
      <c r="R415" s="412"/>
      <c r="S415" s="413"/>
      <c r="T415" s="414">
        <f t="shared" si="49"/>
        <v>0</v>
      </c>
      <c r="Y415" s="439">
        <f t="shared" si="52"/>
        <v>0</v>
      </c>
      <c r="Z415" s="439">
        <f t="shared" si="50"/>
        <v>0</v>
      </c>
    </row>
    <row r="416" spans="1:26">
      <c r="A416" s="453">
        <f t="shared" si="51"/>
        <v>1.06</v>
      </c>
      <c r="B416" s="383">
        <v>28</v>
      </c>
      <c r="D416" s="406"/>
      <c r="E416" s="440"/>
      <c r="F416" s="407"/>
      <c r="G416" s="407"/>
      <c r="H416" s="407"/>
      <c r="I416" s="437"/>
      <c r="J416" s="408" t="s">
        <v>439</v>
      </c>
      <c r="K416" s="409" t="str">
        <f t="shared" si="48"/>
        <v>A=(Ancho x Largo)* Cant</v>
      </c>
      <c r="L416" s="410" t="str">
        <f t="shared" si="54"/>
        <v>M2</v>
      </c>
      <c r="M416" s="411">
        <f>+HLOOKUP(B416,[238]Hoja1!$2:$78,10,FALSE)</f>
        <v>0</v>
      </c>
      <c r="N416" s="412"/>
      <c r="O416" s="442"/>
      <c r="P416" s="442"/>
      <c r="Q416" s="413"/>
      <c r="R416" s="413"/>
      <c r="S416" s="413"/>
      <c r="T416" s="414">
        <f t="shared" si="49"/>
        <v>0</v>
      </c>
      <c r="Y416" s="439">
        <f t="shared" si="52"/>
        <v>0</v>
      </c>
      <c r="Z416" s="439">
        <f t="shared" si="50"/>
        <v>0</v>
      </c>
    </row>
    <row r="417" spans="1:26">
      <c r="A417" s="453">
        <f t="shared" si="51"/>
        <v>1.06</v>
      </c>
      <c r="B417" s="383">
        <v>29</v>
      </c>
      <c r="D417" s="406"/>
      <c r="E417" s="407"/>
      <c r="F417" s="407"/>
      <c r="G417" s="407"/>
      <c r="H417" s="407"/>
      <c r="I417" s="407"/>
      <c r="J417" s="408" t="s">
        <v>440</v>
      </c>
      <c r="K417" s="409" t="str">
        <f t="shared" si="48"/>
        <v>A=(Ancho x Largo)* Cant</v>
      </c>
      <c r="L417" s="410" t="str">
        <f t="shared" si="54"/>
        <v>M2</v>
      </c>
      <c r="M417" s="411">
        <f>+HLOOKUP(B417,[238]Hoja1!$2:$78,10,FALSE)</f>
        <v>0</v>
      </c>
      <c r="N417" s="412"/>
      <c r="O417" s="443"/>
      <c r="P417" s="443"/>
      <c r="Q417" s="412"/>
      <c r="R417" s="412"/>
      <c r="S417" s="413"/>
      <c r="T417" s="414">
        <f t="shared" si="49"/>
        <v>0</v>
      </c>
      <c r="Y417" s="439">
        <f t="shared" si="52"/>
        <v>0</v>
      </c>
      <c r="Z417" s="439">
        <f t="shared" si="50"/>
        <v>0</v>
      </c>
    </row>
    <row r="418" spans="1:26">
      <c r="A418" s="453">
        <f t="shared" si="51"/>
        <v>1.06</v>
      </c>
      <c r="B418" s="383">
        <v>30</v>
      </c>
      <c r="D418" s="406"/>
      <c r="E418" s="407"/>
      <c r="F418" s="407"/>
      <c r="G418" s="407"/>
      <c r="H418" s="407"/>
      <c r="I418" s="407"/>
      <c r="J418" s="408" t="s">
        <v>441</v>
      </c>
      <c r="K418" s="409" t="str">
        <f t="shared" si="48"/>
        <v>A=(Ancho x Largo)* Cant</v>
      </c>
      <c r="L418" s="410" t="str">
        <f t="shared" si="54"/>
        <v>M2</v>
      </c>
      <c r="M418" s="411">
        <f>+HLOOKUP(B418,[238]Hoja1!$2:$78,10,FALSE)</f>
        <v>0</v>
      </c>
      <c r="N418" s="412"/>
      <c r="O418" s="442"/>
      <c r="P418" s="442"/>
      <c r="Q418" s="412"/>
      <c r="R418" s="412"/>
      <c r="S418" s="413"/>
      <c r="T418" s="414">
        <f t="shared" si="49"/>
        <v>0</v>
      </c>
      <c r="Y418" s="439">
        <f t="shared" si="52"/>
        <v>0</v>
      </c>
      <c r="Z418" s="439">
        <f t="shared" si="50"/>
        <v>0</v>
      </c>
    </row>
    <row r="419" spans="1:26">
      <c r="A419" s="453">
        <f t="shared" si="51"/>
        <v>1.06</v>
      </c>
      <c r="B419" s="383">
        <v>31</v>
      </c>
      <c r="D419" s="406"/>
      <c r="E419" s="407"/>
      <c r="F419" s="407"/>
      <c r="G419" s="407"/>
      <c r="H419" s="407"/>
      <c r="I419" s="407"/>
      <c r="J419" s="408" t="s">
        <v>442</v>
      </c>
      <c r="K419" s="409" t="str">
        <f t="shared" si="48"/>
        <v>A=(Ancho x Largo)* Cant</v>
      </c>
      <c r="L419" s="410" t="str">
        <f t="shared" si="54"/>
        <v>M2</v>
      </c>
      <c r="M419" s="411">
        <f>+HLOOKUP(B419,[238]Hoja1!$2:$78,10,FALSE)</f>
        <v>0</v>
      </c>
      <c r="N419" s="412"/>
      <c r="O419" s="442"/>
      <c r="P419" s="442"/>
      <c r="Q419" s="413"/>
      <c r="R419" s="413"/>
      <c r="S419" s="413"/>
      <c r="T419" s="414">
        <f t="shared" si="49"/>
        <v>0</v>
      </c>
      <c r="Y419" s="439">
        <f t="shared" si="52"/>
        <v>0</v>
      </c>
      <c r="Z419" s="439">
        <f t="shared" si="50"/>
        <v>0</v>
      </c>
    </row>
    <row r="420" spans="1:26">
      <c r="A420" s="453">
        <f t="shared" si="51"/>
        <v>1.06</v>
      </c>
      <c r="B420" s="383">
        <v>32</v>
      </c>
      <c r="D420" s="406"/>
      <c r="E420" s="407"/>
      <c r="F420" s="407"/>
      <c r="G420" s="407"/>
      <c r="H420" s="407"/>
      <c r="I420" s="407"/>
      <c r="J420" s="408" t="s">
        <v>443</v>
      </c>
      <c r="K420" s="409" t="str">
        <f t="shared" si="48"/>
        <v>A=(Ancho x Largo)* Cant</v>
      </c>
      <c r="L420" s="410" t="str">
        <f t="shared" si="54"/>
        <v>M2</v>
      </c>
      <c r="M420" s="411">
        <f>+HLOOKUP(B420,[238]Hoja1!$2:$78,10,FALSE)</f>
        <v>0</v>
      </c>
      <c r="N420" s="412"/>
      <c r="O420" s="442"/>
      <c r="P420" s="442"/>
      <c r="Q420" s="412"/>
      <c r="R420" s="412"/>
      <c r="S420" s="413"/>
      <c r="T420" s="414">
        <f t="shared" si="49"/>
        <v>0</v>
      </c>
      <c r="Y420" s="439">
        <f t="shared" si="52"/>
        <v>0</v>
      </c>
      <c r="Z420" s="439">
        <f t="shared" si="50"/>
        <v>0</v>
      </c>
    </row>
    <row r="421" spans="1:26">
      <c r="A421" s="453">
        <f t="shared" si="51"/>
        <v>1.06</v>
      </c>
      <c r="B421" s="383">
        <v>33</v>
      </c>
      <c r="D421" s="406"/>
      <c r="E421" s="407"/>
      <c r="F421" s="407"/>
      <c r="G421" s="407"/>
      <c r="H421" s="407"/>
      <c r="I421" s="407"/>
      <c r="J421" s="408" t="s">
        <v>444</v>
      </c>
      <c r="K421" s="409" t="str">
        <f t="shared" si="48"/>
        <v>A=(Ancho x Largo)* Cant</v>
      </c>
      <c r="L421" s="410" t="str">
        <f t="shared" si="54"/>
        <v>M2</v>
      </c>
      <c r="M421" s="411">
        <f>+HLOOKUP(B421,[238]Hoja1!$2:$78,10,FALSE)</f>
        <v>0</v>
      </c>
      <c r="N421" s="412"/>
      <c r="O421" s="442"/>
      <c r="P421" s="442"/>
      <c r="Q421" s="412"/>
      <c r="R421" s="412"/>
      <c r="S421" s="413"/>
      <c r="T421" s="414">
        <f t="shared" si="49"/>
        <v>0</v>
      </c>
      <c r="Y421" s="439">
        <f t="shared" si="52"/>
        <v>0</v>
      </c>
      <c r="Z421" s="439">
        <f t="shared" si="50"/>
        <v>0</v>
      </c>
    </row>
    <row r="422" spans="1:26">
      <c r="A422" s="453">
        <f t="shared" si="51"/>
        <v>1.06</v>
      </c>
      <c r="B422" s="383">
        <v>34</v>
      </c>
      <c r="D422" s="406"/>
      <c r="E422" s="407"/>
      <c r="F422" s="407"/>
      <c r="G422" s="407"/>
      <c r="H422" s="407"/>
      <c r="I422" s="407"/>
      <c r="J422" s="408" t="s">
        <v>445</v>
      </c>
      <c r="K422" s="409" t="str">
        <f t="shared" si="48"/>
        <v>A=(Ancho x Largo)* Cant</v>
      </c>
      <c r="L422" s="410" t="str">
        <f t="shared" si="54"/>
        <v>M2</v>
      </c>
      <c r="M422" s="411">
        <f>+HLOOKUP(B422,[238]Hoja1!$2:$78,10,FALSE)</f>
        <v>12.66</v>
      </c>
      <c r="N422" s="412"/>
      <c r="O422" s="443">
        <v>2.5</v>
      </c>
      <c r="P422" s="443">
        <f>+M422/2.5</f>
        <v>5.0640000000000001</v>
      </c>
      <c r="Q422" s="412"/>
      <c r="R422" s="412"/>
      <c r="S422" s="413">
        <v>1</v>
      </c>
      <c r="T422" s="414">
        <f t="shared" si="49"/>
        <v>12.66</v>
      </c>
      <c r="Y422" s="439">
        <f t="shared" si="52"/>
        <v>12.66</v>
      </c>
      <c r="Z422" s="439">
        <f t="shared" si="50"/>
        <v>0</v>
      </c>
    </row>
    <row r="423" spans="1:26">
      <c r="A423" s="453">
        <f t="shared" si="51"/>
        <v>1.06</v>
      </c>
      <c r="B423" s="383">
        <v>35</v>
      </c>
      <c r="D423" s="406"/>
      <c r="E423" s="440"/>
      <c r="F423" s="407"/>
      <c r="G423" s="407"/>
      <c r="H423" s="407"/>
      <c r="I423" s="437"/>
      <c r="J423" s="408" t="s">
        <v>446</v>
      </c>
      <c r="K423" s="409" t="str">
        <f t="shared" si="48"/>
        <v>A=(Ancho x Largo)* Cant</v>
      </c>
      <c r="L423" s="410" t="str">
        <f t="shared" si="54"/>
        <v>M2</v>
      </c>
      <c r="M423" s="411">
        <f>+HLOOKUP(B423,[238]Hoja1!$2:$78,10,FALSE)</f>
        <v>0</v>
      </c>
      <c r="N423" s="412"/>
      <c r="O423" s="442"/>
      <c r="P423" s="442"/>
      <c r="Q423" s="413"/>
      <c r="R423" s="413"/>
      <c r="S423" s="413"/>
      <c r="T423" s="414">
        <f t="shared" si="49"/>
        <v>0</v>
      </c>
      <c r="Y423" s="439">
        <f t="shared" si="52"/>
        <v>0</v>
      </c>
      <c r="Z423" s="439">
        <f t="shared" si="50"/>
        <v>0</v>
      </c>
    </row>
    <row r="424" spans="1:26">
      <c r="A424" s="453">
        <f t="shared" si="51"/>
        <v>1.06</v>
      </c>
      <c r="B424" s="383">
        <v>36</v>
      </c>
      <c r="D424" s="406"/>
      <c r="E424" s="407"/>
      <c r="F424" s="407"/>
      <c r="G424" s="407"/>
      <c r="H424" s="407"/>
      <c r="I424" s="407"/>
      <c r="J424" s="408" t="s">
        <v>447</v>
      </c>
      <c r="K424" s="409" t="str">
        <f t="shared" si="48"/>
        <v>A=(Ancho x Largo)* Cant</v>
      </c>
      <c r="L424" s="410" t="str">
        <f>+L413</f>
        <v>M2</v>
      </c>
      <c r="M424" s="411">
        <f>+HLOOKUP(B424,[238]Hoja1!$2:$78,10,FALSE)</f>
        <v>0</v>
      </c>
      <c r="N424" s="412"/>
      <c r="O424" s="442"/>
      <c r="P424" s="442"/>
      <c r="Q424" s="412"/>
      <c r="R424" s="412"/>
      <c r="S424" s="413"/>
      <c r="T424" s="414">
        <f t="shared" si="49"/>
        <v>0</v>
      </c>
      <c r="Y424" s="439">
        <f t="shared" si="52"/>
        <v>0</v>
      </c>
      <c r="Z424" s="439">
        <f t="shared" si="50"/>
        <v>0</v>
      </c>
    </row>
    <row r="425" spans="1:26">
      <c r="A425" s="453">
        <f t="shared" si="51"/>
        <v>1.06</v>
      </c>
      <c r="B425" s="383">
        <v>37</v>
      </c>
      <c r="D425" s="406"/>
      <c r="E425" s="407"/>
      <c r="F425" s="407"/>
      <c r="G425" s="407"/>
      <c r="H425" s="407"/>
      <c r="I425" s="407"/>
      <c r="J425" s="408" t="s">
        <v>448</v>
      </c>
      <c r="K425" s="409" t="str">
        <f t="shared" si="48"/>
        <v>A=(Ancho x Largo)* Cant</v>
      </c>
      <c r="L425" s="410" t="str">
        <f t="shared" ref="L425:L431" si="55">+L424</f>
        <v>M2</v>
      </c>
      <c r="M425" s="411">
        <f>+HLOOKUP(B425,[238]Hoja1!$2:$78,10,FALSE)</f>
        <v>0</v>
      </c>
      <c r="N425" s="412"/>
      <c r="O425" s="441"/>
      <c r="P425" s="441"/>
      <c r="Q425" s="412"/>
      <c r="R425" s="412"/>
      <c r="S425" s="413"/>
      <c r="T425" s="414">
        <f t="shared" si="49"/>
        <v>0</v>
      </c>
      <c r="Y425" s="439">
        <f t="shared" si="52"/>
        <v>0</v>
      </c>
      <c r="Z425" s="439">
        <f t="shared" si="50"/>
        <v>0</v>
      </c>
    </row>
    <row r="426" spans="1:26">
      <c r="A426" s="453">
        <f t="shared" si="51"/>
        <v>1.06</v>
      </c>
      <c r="B426" s="383">
        <v>38</v>
      </c>
      <c r="D426" s="406"/>
      <c r="E426" s="440"/>
      <c r="F426" s="407"/>
      <c r="G426" s="407"/>
      <c r="H426" s="407"/>
      <c r="I426" s="437"/>
      <c r="J426" s="408" t="s">
        <v>449</v>
      </c>
      <c r="K426" s="409" t="str">
        <f t="shared" si="48"/>
        <v>A=(Ancho x Largo)* Cant</v>
      </c>
      <c r="L426" s="410" t="str">
        <f t="shared" si="55"/>
        <v>M2</v>
      </c>
      <c r="M426" s="411">
        <f>+HLOOKUP(B426,[238]Hoja1!$2:$78,10,FALSE)</f>
        <v>0</v>
      </c>
      <c r="N426" s="412"/>
      <c r="O426" s="442"/>
      <c r="P426" s="442"/>
      <c r="Q426" s="413"/>
      <c r="R426" s="413"/>
      <c r="S426" s="413"/>
      <c r="T426" s="414">
        <f t="shared" si="49"/>
        <v>0</v>
      </c>
      <c r="Y426" s="439">
        <f t="shared" si="52"/>
        <v>0</v>
      </c>
      <c r="Z426" s="439">
        <f t="shared" si="50"/>
        <v>0</v>
      </c>
    </row>
    <row r="427" spans="1:26">
      <c r="A427" s="453">
        <f t="shared" si="51"/>
        <v>1.06</v>
      </c>
      <c r="B427" s="383">
        <v>39</v>
      </c>
      <c r="D427" s="406"/>
      <c r="E427" s="407"/>
      <c r="F427" s="407"/>
      <c r="G427" s="407"/>
      <c r="H427" s="407"/>
      <c r="I427" s="407"/>
      <c r="J427" s="408" t="s">
        <v>450</v>
      </c>
      <c r="K427" s="409" t="str">
        <f t="shared" si="48"/>
        <v>A=(Ancho x Largo)* Cant</v>
      </c>
      <c r="L427" s="410" t="str">
        <f t="shared" si="55"/>
        <v>M2</v>
      </c>
      <c r="M427" s="411">
        <f>+HLOOKUP(B427,[238]Hoja1!$2:$78,10,FALSE)</f>
        <v>0</v>
      </c>
      <c r="N427" s="412"/>
      <c r="O427" s="441"/>
      <c r="P427" s="441"/>
      <c r="Q427" s="412"/>
      <c r="R427" s="412"/>
      <c r="S427" s="413"/>
      <c r="T427" s="414">
        <f t="shared" si="49"/>
        <v>0</v>
      </c>
      <c r="Y427" s="439">
        <f t="shared" si="52"/>
        <v>0</v>
      </c>
      <c r="Z427" s="439">
        <f t="shared" si="50"/>
        <v>0</v>
      </c>
    </row>
    <row r="428" spans="1:26">
      <c r="A428" s="453">
        <f t="shared" si="51"/>
        <v>1.06</v>
      </c>
      <c r="B428" s="383">
        <v>40</v>
      </c>
      <c r="D428" s="406"/>
      <c r="E428" s="407"/>
      <c r="F428" s="407"/>
      <c r="G428" s="407"/>
      <c r="H428" s="407"/>
      <c r="I428" s="407"/>
      <c r="J428" s="408" t="s">
        <v>451</v>
      </c>
      <c r="K428" s="409" t="str">
        <f t="shared" si="48"/>
        <v>A=(Ancho x Largo)* Cant</v>
      </c>
      <c r="L428" s="410" t="str">
        <f t="shared" si="55"/>
        <v>M2</v>
      </c>
      <c r="M428" s="411">
        <f>+HLOOKUP(B428,[238]Hoja1!$2:$78,10,FALSE)</f>
        <v>0</v>
      </c>
      <c r="N428" s="412"/>
      <c r="O428" s="442"/>
      <c r="P428" s="442"/>
      <c r="Q428" s="412"/>
      <c r="R428" s="412"/>
      <c r="S428" s="413"/>
      <c r="T428" s="414">
        <f t="shared" si="49"/>
        <v>0</v>
      </c>
      <c r="Y428" s="439">
        <f t="shared" si="52"/>
        <v>0</v>
      </c>
      <c r="Z428" s="439">
        <f t="shared" si="50"/>
        <v>0</v>
      </c>
    </row>
    <row r="429" spans="1:26">
      <c r="A429" s="453">
        <f t="shared" si="51"/>
        <v>1.06</v>
      </c>
      <c r="B429" s="383">
        <v>41</v>
      </c>
      <c r="D429" s="406"/>
      <c r="E429" s="407"/>
      <c r="F429" s="407"/>
      <c r="G429" s="407"/>
      <c r="H429" s="407"/>
      <c r="I429" s="407"/>
      <c r="J429" s="408" t="s">
        <v>452</v>
      </c>
      <c r="K429" s="409" t="str">
        <f t="shared" si="48"/>
        <v>A=(Ancho x Largo)* Cant</v>
      </c>
      <c r="L429" s="410" t="str">
        <f t="shared" si="55"/>
        <v>M2</v>
      </c>
      <c r="M429" s="411">
        <f>+HLOOKUP(B429,[238]Hoja1!$2:$78,10,FALSE)</f>
        <v>0</v>
      </c>
      <c r="N429" s="412"/>
      <c r="O429" s="442"/>
      <c r="P429" s="442"/>
      <c r="Q429" s="413"/>
      <c r="R429" s="413"/>
      <c r="S429" s="413"/>
      <c r="T429" s="414">
        <f t="shared" si="49"/>
        <v>0</v>
      </c>
      <c r="Y429" s="439">
        <f t="shared" si="52"/>
        <v>0</v>
      </c>
      <c r="Z429" s="439">
        <f t="shared" si="50"/>
        <v>0</v>
      </c>
    </row>
    <row r="430" spans="1:26">
      <c r="A430" s="453">
        <f t="shared" si="51"/>
        <v>1.06</v>
      </c>
      <c r="B430" s="383">
        <v>42</v>
      </c>
      <c r="D430" s="406"/>
      <c r="E430" s="407"/>
      <c r="F430" s="407"/>
      <c r="G430" s="407"/>
      <c r="H430" s="407"/>
      <c r="I430" s="407"/>
      <c r="J430" s="408" t="s">
        <v>453</v>
      </c>
      <c r="K430" s="409" t="str">
        <f t="shared" si="48"/>
        <v>A=(Ancho x Largo)* Cant</v>
      </c>
      <c r="L430" s="410" t="str">
        <f t="shared" si="55"/>
        <v>M2</v>
      </c>
      <c r="M430" s="411">
        <f>+HLOOKUP(B430,[238]Hoja1!$2:$78,10,FALSE)</f>
        <v>0</v>
      </c>
      <c r="N430" s="412"/>
      <c r="O430" s="442"/>
      <c r="P430" s="442"/>
      <c r="Q430" s="412"/>
      <c r="R430" s="412"/>
      <c r="S430" s="413"/>
      <c r="T430" s="414">
        <f t="shared" si="49"/>
        <v>0</v>
      </c>
      <c r="Y430" s="439">
        <f t="shared" si="52"/>
        <v>0</v>
      </c>
      <c r="Z430" s="439">
        <f t="shared" si="50"/>
        <v>0</v>
      </c>
    </row>
    <row r="431" spans="1:26" ht="13.5" thickBot="1">
      <c r="A431" s="453">
        <f t="shared" si="51"/>
        <v>1.06</v>
      </c>
      <c r="B431" s="383">
        <v>43</v>
      </c>
      <c r="D431" s="406"/>
      <c r="E431" s="407"/>
      <c r="F431" s="407"/>
      <c r="G431" s="407"/>
      <c r="H431" s="407"/>
      <c r="I431" s="407"/>
      <c r="J431" s="408" t="s">
        <v>454</v>
      </c>
      <c r="K431" s="409" t="str">
        <f t="shared" si="48"/>
        <v>A=(Ancho x Largo)* Cant</v>
      </c>
      <c r="L431" s="410" t="str">
        <f t="shared" si="55"/>
        <v>M2</v>
      </c>
      <c r="M431" s="411">
        <f>+HLOOKUP(B431,[238]Hoja1!$2:$78,10,FALSE)</f>
        <v>0</v>
      </c>
      <c r="N431" s="412"/>
      <c r="O431" s="442"/>
      <c r="P431" s="442"/>
      <c r="Q431" s="412"/>
      <c r="R431" s="412"/>
      <c r="S431" s="413"/>
      <c r="T431" s="414">
        <f t="shared" si="49"/>
        <v>0</v>
      </c>
      <c r="Y431" s="439">
        <f t="shared" si="52"/>
        <v>0</v>
      </c>
      <c r="Z431" s="439">
        <f t="shared" si="50"/>
        <v>0</v>
      </c>
    </row>
    <row r="432" spans="1:26">
      <c r="D432" s="384"/>
      <c r="E432" s="419"/>
      <c r="F432" s="420"/>
      <c r="G432" s="421"/>
      <c r="H432" s="421"/>
      <c r="I432" s="421"/>
      <c r="J432" s="421"/>
      <c r="K432" s="422"/>
      <c r="L432" s="421"/>
      <c r="M432" s="421"/>
      <c r="N432" s="421"/>
      <c r="O432" s="421"/>
      <c r="P432" s="421"/>
      <c r="Q432" s="421"/>
      <c r="R432" s="421"/>
      <c r="S432" s="422"/>
      <c r="T432" s="423"/>
    </row>
    <row r="433" spans="4:20">
      <c r="D433" s="396"/>
      <c r="E433" s="397"/>
      <c r="F433" s="424"/>
      <c r="G433" s="425"/>
      <c r="H433" s="425"/>
      <c r="I433" s="425"/>
      <c r="J433" s="425"/>
      <c r="K433" s="398"/>
      <c r="L433" s="425"/>
      <c r="M433" s="425"/>
      <c r="N433" s="397"/>
      <c r="O433" s="397"/>
      <c r="P433" s="562" t="s">
        <v>455</v>
      </c>
      <c r="Q433" s="563"/>
      <c r="R433" s="564"/>
      <c r="S433" s="426"/>
      <c r="T433" s="427">
        <f>ROUND(SUM(T389:T432),2)</f>
        <v>12.66</v>
      </c>
    </row>
    <row r="434" spans="4:20">
      <c r="D434" s="396"/>
      <c r="E434" s="397"/>
      <c r="F434" s="424"/>
      <c r="G434" s="425"/>
      <c r="H434" s="425"/>
      <c r="I434" s="425"/>
      <c r="J434" s="425"/>
      <c r="K434" s="398"/>
      <c r="L434" s="425"/>
      <c r="M434" s="425"/>
      <c r="N434" s="428"/>
      <c r="O434" s="428"/>
      <c r="P434" s="429"/>
      <c r="Q434" s="425"/>
      <c r="R434" s="425"/>
      <c r="S434" s="430"/>
      <c r="T434" s="431"/>
    </row>
    <row r="435" spans="4:20">
      <c r="D435" s="565" t="e">
        <v>#REF!</v>
      </c>
      <c r="E435" s="566"/>
      <c r="F435" s="566"/>
      <c r="G435" s="566"/>
      <c r="H435" s="566"/>
      <c r="I435" s="566"/>
      <c r="J435" s="566"/>
      <c r="K435" s="566"/>
      <c r="L435" s="566"/>
      <c r="M435" s="566"/>
      <c r="N435" s="566"/>
      <c r="O435" s="567"/>
      <c r="P435" s="568" t="s">
        <v>422</v>
      </c>
      <c r="Q435" s="568"/>
      <c r="R435" s="568"/>
      <c r="S435" s="426"/>
      <c r="T435" s="427">
        <f>T433</f>
        <v>12.66</v>
      </c>
    </row>
    <row r="436" spans="4:20">
      <c r="D436" s="396"/>
      <c r="E436" s="397"/>
      <c r="F436" s="424"/>
      <c r="G436" s="425"/>
      <c r="H436" s="425"/>
      <c r="I436" s="425"/>
      <c r="J436" s="425"/>
      <c r="K436" s="398"/>
      <c r="L436" s="425"/>
      <c r="M436" s="425"/>
      <c r="N436" s="428"/>
      <c r="O436" s="428"/>
      <c r="P436" s="429"/>
      <c r="Q436" s="425"/>
      <c r="R436" s="398"/>
      <c r="S436" s="398"/>
      <c r="T436" s="432"/>
    </row>
    <row r="437" spans="4:20">
      <c r="D437" s="396"/>
      <c r="E437" s="397"/>
      <c r="F437" s="424"/>
      <c r="G437" s="425"/>
      <c r="H437" s="425"/>
      <c r="I437" s="425"/>
      <c r="J437" s="425"/>
      <c r="K437" s="398"/>
      <c r="L437" s="425"/>
      <c r="M437" s="425"/>
      <c r="N437" s="428"/>
      <c r="O437" s="428"/>
      <c r="P437" s="429"/>
      <c r="Q437" s="425"/>
      <c r="R437" s="398"/>
      <c r="S437" s="398"/>
      <c r="T437" s="432"/>
    </row>
    <row r="438" spans="4:20">
      <c r="D438" s="569" t="s">
        <v>423</v>
      </c>
      <c r="E438" s="570"/>
      <c r="F438" s="570"/>
      <c r="G438" s="570"/>
      <c r="H438" s="570"/>
      <c r="I438" s="570"/>
      <c r="J438" s="570"/>
      <c r="K438" s="571"/>
      <c r="L438" s="433" t="s">
        <v>424</v>
      </c>
      <c r="M438" s="434"/>
      <c r="N438" s="434"/>
      <c r="O438" s="434"/>
      <c r="P438" s="434"/>
      <c r="Q438" s="434"/>
      <c r="R438" s="434"/>
      <c r="S438" s="434"/>
      <c r="T438" s="435"/>
    </row>
    <row r="439" spans="4:20">
      <c r="D439" s="542"/>
      <c r="E439" s="543"/>
      <c r="F439" s="543"/>
      <c r="G439" s="543"/>
      <c r="H439" s="436"/>
      <c r="I439" s="436"/>
      <c r="J439" s="436"/>
      <c r="K439" s="447"/>
      <c r="L439" s="436"/>
      <c r="M439" s="407"/>
      <c r="N439" s="407"/>
      <c r="O439" s="407"/>
      <c r="P439" s="407"/>
      <c r="Q439" s="407"/>
      <c r="R439" s="407"/>
      <c r="S439" s="407"/>
      <c r="T439" s="437"/>
    </row>
    <row r="440" spans="4:20">
      <c r="D440" s="542"/>
      <c r="E440" s="543"/>
      <c r="F440" s="543"/>
      <c r="G440" s="543"/>
      <c r="H440" s="436"/>
      <c r="I440" s="436"/>
      <c r="J440" s="436"/>
      <c r="K440" s="447"/>
      <c r="L440" s="436"/>
      <c r="M440" s="407"/>
      <c r="N440" s="407"/>
      <c r="O440" s="407"/>
      <c r="P440" s="407"/>
      <c r="Q440" s="407"/>
      <c r="R440" s="407"/>
      <c r="S440" s="407"/>
      <c r="T440" s="437"/>
    </row>
    <row r="441" spans="4:20">
      <c r="D441" s="542" t="s">
        <v>425</v>
      </c>
      <c r="E441" s="543"/>
      <c r="F441" s="543" t="s">
        <v>425</v>
      </c>
      <c r="G441" s="543"/>
      <c r="H441" s="543" t="s">
        <v>425</v>
      </c>
      <c r="I441" s="543"/>
      <c r="J441" s="543" t="s">
        <v>425</v>
      </c>
      <c r="K441" s="544"/>
      <c r="L441" s="545" t="s">
        <v>426</v>
      </c>
      <c r="M441" s="546"/>
      <c r="N441" s="546"/>
      <c r="O441" s="546"/>
      <c r="P441" s="546"/>
      <c r="Q441" s="546"/>
      <c r="R441" s="546"/>
      <c r="S441" s="546"/>
      <c r="T441" s="547"/>
    </row>
    <row r="442" spans="4:20">
      <c r="D442" s="548" t="str">
        <f>+[42]DATOS!D$8</f>
        <v>HELMER EDUARDO BECERRA SANTANDER</v>
      </c>
      <c r="E442" s="549"/>
      <c r="F442" s="549" t="s">
        <v>427</v>
      </c>
      <c r="G442" s="549"/>
      <c r="H442" s="549" t="s">
        <v>427</v>
      </c>
      <c r="I442" s="549"/>
      <c r="J442" s="549" t="s">
        <v>427</v>
      </c>
      <c r="K442" s="550"/>
      <c r="L442" s="551" t="str">
        <f>+[42]DATOS!D$11</f>
        <v>JESUS IVAN QUIÑONES RUEDA</v>
      </c>
      <c r="M442" s="549"/>
      <c r="N442" s="549"/>
      <c r="O442" s="549"/>
      <c r="P442" s="549"/>
      <c r="Q442" s="549"/>
      <c r="R442" s="549"/>
      <c r="S442" s="549"/>
      <c r="T442" s="552"/>
    </row>
    <row r="443" spans="4:20">
      <c r="D443" s="553" t="str">
        <f>+$D$72</f>
        <v>APOYO SEC. DE PLANEACION Y OBRAS PÚBLICAS</v>
      </c>
      <c r="E443" s="554"/>
      <c r="F443" s="554" t="s">
        <v>428</v>
      </c>
      <c r="G443" s="554"/>
      <c r="H443" s="554" t="s">
        <v>428</v>
      </c>
      <c r="I443" s="554"/>
      <c r="J443" s="554" t="s">
        <v>428</v>
      </c>
      <c r="K443" s="555"/>
      <c r="L443" s="556" t="str">
        <f>+$L$72</f>
        <v>SECRETARIO DE PLANEACION Y OBRAS PÚBLICAS</v>
      </c>
      <c r="M443" s="554"/>
      <c r="N443" s="554"/>
      <c r="O443" s="554"/>
      <c r="P443" s="554"/>
      <c r="Q443" s="554"/>
      <c r="R443" s="554"/>
      <c r="S443" s="554"/>
      <c r="T443" s="557"/>
    </row>
    <row r="444" spans="4:20">
      <c r="D444" s="406"/>
      <c r="E444" s="407"/>
      <c r="F444" s="407"/>
      <c r="G444" s="407"/>
      <c r="H444" s="407"/>
      <c r="I444" s="407"/>
      <c r="J444" s="407"/>
      <c r="K444" s="407"/>
      <c r="L444" s="407"/>
      <c r="M444" s="407"/>
      <c r="N444" s="407"/>
      <c r="O444" s="407"/>
      <c r="P444" s="407"/>
      <c r="Q444" s="407"/>
      <c r="R444" s="407"/>
      <c r="S444" s="407"/>
      <c r="T444" s="437"/>
    </row>
    <row r="445" spans="4:20" ht="111" customHeight="1" thickBot="1">
      <c r="D445" s="417"/>
      <c r="E445" s="418"/>
      <c r="F445" s="418"/>
      <c r="G445" s="418"/>
      <c r="H445" s="418"/>
      <c r="I445" s="418"/>
      <c r="J445" s="418"/>
      <c r="K445" s="418"/>
      <c r="L445" s="418"/>
      <c r="M445" s="418"/>
      <c r="N445" s="418"/>
      <c r="O445" s="418"/>
      <c r="P445" s="418"/>
      <c r="Q445" s="418"/>
      <c r="R445" s="418"/>
      <c r="S445" s="418"/>
      <c r="T445" s="438"/>
    </row>
    <row r="446" spans="4:20" ht="22.5" customHeight="1"/>
    <row r="447" spans="4:20" ht="13.5" thickBot="1"/>
    <row r="448" spans="4:20">
      <c r="D448" s="384"/>
      <c r="E448" s="385"/>
      <c r="F448" s="385"/>
      <c r="G448" s="385"/>
      <c r="H448" s="385"/>
      <c r="I448" s="385"/>
      <c r="J448" s="385"/>
      <c r="K448" s="445"/>
      <c r="L448" s="385"/>
      <c r="M448" s="385"/>
      <c r="N448" s="385"/>
      <c r="O448" s="385"/>
      <c r="P448" s="385"/>
      <c r="Q448" s="385"/>
      <c r="R448" s="385"/>
      <c r="S448" s="385"/>
      <c r="T448" s="386"/>
    </row>
    <row r="449" spans="1:26" ht="110.45" customHeight="1" thickBot="1">
      <c r="D449" s="387"/>
      <c r="E449" s="388"/>
      <c r="F449" s="388"/>
      <c r="G449" s="388"/>
      <c r="H449" s="388"/>
      <c r="I449" s="388"/>
      <c r="J449" s="388"/>
      <c r="K449" s="446"/>
      <c r="L449" s="388"/>
      <c r="M449" s="388"/>
      <c r="N449" s="388"/>
      <c r="O449" s="388"/>
      <c r="P449" s="388"/>
      <c r="Q449" s="388"/>
      <c r="R449" s="388"/>
      <c r="S449" s="388"/>
      <c r="T449" s="389"/>
    </row>
    <row r="450" spans="1:26">
      <c r="D450" s="592" t="str">
        <f>+[42]DATOS!C$7</f>
        <v>MEJORAMIENTO DE VIVIENDA CON ENFOQUE DIFERENCIAL PARA POBLACIÓN VULNERABLE EN EL MUNICIPIO DE CUBARÁ, BOYACÁ (2026).</v>
      </c>
      <c r="E450" s="593"/>
      <c r="F450" s="593"/>
      <c r="G450" s="593"/>
      <c r="H450" s="593"/>
      <c r="I450" s="593"/>
      <c r="J450" s="593"/>
      <c r="K450" s="593"/>
      <c r="L450" s="593"/>
      <c r="M450" s="593"/>
      <c r="N450" s="593"/>
      <c r="O450" s="593"/>
      <c r="P450" s="593"/>
      <c r="Q450" s="593"/>
      <c r="R450" s="593"/>
      <c r="S450" s="593"/>
      <c r="T450" s="594"/>
    </row>
    <row r="451" spans="1:26">
      <c r="D451" s="595"/>
      <c r="E451" s="596"/>
      <c r="F451" s="596"/>
      <c r="G451" s="596"/>
      <c r="H451" s="596"/>
      <c r="I451" s="596"/>
      <c r="J451" s="596"/>
      <c r="K451" s="596"/>
      <c r="L451" s="596"/>
      <c r="M451" s="596"/>
      <c r="N451" s="596"/>
      <c r="O451" s="596"/>
      <c r="P451" s="596"/>
      <c r="Q451" s="596"/>
      <c r="R451" s="596"/>
      <c r="S451" s="596"/>
      <c r="T451" s="597"/>
    </row>
    <row r="452" spans="1:26">
      <c r="D452" s="598" t="s">
        <v>371</v>
      </c>
      <c r="E452" s="599"/>
      <c r="F452" s="599"/>
      <c r="G452" s="599"/>
      <c r="H452" s="599"/>
      <c r="I452" s="599"/>
      <c r="J452" s="599"/>
      <c r="K452" s="599"/>
      <c r="L452" s="599"/>
      <c r="M452" s="599"/>
      <c r="N452" s="599"/>
      <c r="O452" s="599"/>
      <c r="P452" s="599"/>
      <c r="Q452" s="599"/>
      <c r="R452" s="599"/>
      <c r="S452" s="599"/>
      <c r="T452" s="600"/>
    </row>
    <row r="453" spans="1:26">
      <c r="D453" s="586" t="s">
        <v>372</v>
      </c>
      <c r="E453" s="587"/>
      <c r="F453" s="601" t="s">
        <v>373</v>
      </c>
      <c r="G453" s="601"/>
      <c r="H453" s="601"/>
      <c r="I453" s="601"/>
      <c r="J453" s="601"/>
      <c r="K453" s="601"/>
      <c r="L453" s="601"/>
      <c r="M453" s="601"/>
      <c r="N453" s="601"/>
      <c r="O453" s="601"/>
      <c r="P453" s="601"/>
      <c r="Q453" s="601"/>
      <c r="R453" s="601"/>
      <c r="S453" s="601"/>
      <c r="T453" s="602"/>
    </row>
    <row r="454" spans="1:26">
      <c r="D454" s="586" t="s">
        <v>374</v>
      </c>
      <c r="E454" s="587"/>
      <c r="F454" s="603" t="s">
        <v>375</v>
      </c>
      <c r="G454" s="604"/>
      <c r="H454" s="604"/>
      <c r="I454" s="604"/>
      <c r="J454" s="604"/>
      <c r="K454" s="604"/>
      <c r="L454" s="604"/>
      <c r="M454" s="604"/>
      <c r="N454" s="604"/>
      <c r="O454" s="604"/>
      <c r="P454" s="604"/>
      <c r="Q454" s="604"/>
      <c r="R454" s="604"/>
      <c r="S454" s="604"/>
      <c r="T454" s="605"/>
    </row>
    <row r="455" spans="1:26">
      <c r="D455" s="586" t="s">
        <v>376</v>
      </c>
      <c r="E455" s="587"/>
      <c r="F455" s="390">
        <f>+[42]DATOS!F$5</f>
        <v>46143</v>
      </c>
      <c r="G455" s="391"/>
      <c r="H455" s="391"/>
      <c r="I455" s="391"/>
      <c r="J455" s="391"/>
      <c r="K455" s="391"/>
      <c r="L455" s="568" t="s">
        <v>377</v>
      </c>
      <c r="M455" s="568"/>
      <c r="N455" s="588" t="s">
        <v>378</v>
      </c>
      <c r="O455" s="588"/>
      <c r="P455" s="588"/>
      <c r="Q455" s="588"/>
      <c r="R455" s="588"/>
      <c r="S455" s="588"/>
      <c r="T455" s="589"/>
    </row>
    <row r="456" spans="1:26" ht="19.149999999999999" customHeight="1">
      <c r="D456" s="586" t="s">
        <v>379</v>
      </c>
      <c r="E456" s="587"/>
      <c r="F456" s="590" t="s">
        <v>380</v>
      </c>
      <c r="G456" s="591"/>
      <c r="H456" s="392">
        <f>+[42]DATOS!E$5</f>
        <v>2026</v>
      </c>
      <c r="I456" s="393" t="s">
        <v>381</v>
      </c>
      <c r="J456" s="394">
        <f>+[42]DATOS!E$5</f>
        <v>2026</v>
      </c>
      <c r="K456" s="395"/>
      <c r="L456" s="568" t="s">
        <v>382</v>
      </c>
      <c r="M456" s="568"/>
      <c r="N456" s="588" t="s">
        <v>383</v>
      </c>
      <c r="O456" s="588"/>
      <c r="P456" s="588"/>
      <c r="Q456" s="588"/>
      <c r="R456" s="588"/>
      <c r="S456" s="588"/>
      <c r="T456" s="589"/>
    </row>
    <row r="457" spans="1:26" ht="12.6" customHeight="1">
      <c r="D457" s="396"/>
      <c r="E457" s="397"/>
      <c r="F457" s="397"/>
      <c r="G457" s="398"/>
      <c r="H457" s="398"/>
      <c r="I457" s="398"/>
      <c r="J457" s="398"/>
      <c r="K457" s="398"/>
      <c r="L457" s="398"/>
      <c r="M457" s="398"/>
      <c r="N457" s="398"/>
      <c r="O457" s="398"/>
      <c r="P457" s="398"/>
      <c r="Q457" s="398"/>
      <c r="R457" s="398"/>
      <c r="S457" s="398"/>
      <c r="T457" s="399"/>
    </row>
    <row r="458" spans="1:26">
      <c r="D458" s="572" t="s">
        <v>384</v>
      </c>
      <c r="E458" s="573"/>
      <c r="F458" s="573"/>
      <c r="G458" s="573"/>
      <c r="H458" s="573"/>
      <c r="I458" s="573"/>
      <c r="J458" s="573"/>
      <c r="K458" s="573"/>
      <c r="L458" s="573"/>
      <c r="M458" s="573"/>
      <c r="N458" s="573"/>
      <c r="O458" s="573"/>
      <c r="P458" s="573"/>
      <c r="Q458" s="573"/>
      <c r="R458" s="573"/>
      <c r="S458" s="573"/>
      <c r="T458" s="574"/>
    </row>
    <row r="459" spans="1:26" ht="4.1500000000000004" customHeight="1">
      <c r="D459" s="396"/>
      <c r="E459" s="397"/>
      <c r="F459" s="397"/>
      <c r="G459" s="398"/>
      <c r="H459" s="398"/>
      <c r="I459" s="398"/>
      <c r="J459" s="398"/>
      <c r="K459" s="398"/>
      <c r="L459" s="398"/>
      <c r="M459" s="398"/>
      <c r="N459" s="398"/>
      <c r="O459" s="398"/>
      <c r="P459" s="398"/>
      <c r="Q459" s="398"/>
      <c r="R459" s="398"/>
      <c r="S459" s="398"/>
      <c r="T459" s="399"/>
    </row>
    <row r="460" spans="1:26">
      <c r="D460" s="400" t="s">
        <v>385</v>
      </c>
      <c r="E460" s="575" t="s">
        <v>386</v>
      </c>
      <c r="F460" s="575"/>
      <c r="G460" s="576" t="s">
        <v>387</v>
      </c>
      <c r="H460" s="577"/>
      <c r="I460" s="577"/>
      <c r="J460" s="576" t="s">
        <v>388</v>
      </c>
      <c r="K460" s="576" t="s">
        <v>389</v>
      </c>
      <c r="L460" s="579"/>
      <c r="M460" s="581" t="s">
        <v>390</v>
      </c>
      <c r="N460" s="581"/>
      <c r="O460" s="581"/>
      <c r="P460" s="581"/>
      <c r="Q460" s="581"/>
      <c r="R460" s="581"/>
      <c r="S460" s="581" t="s">
        <v>391</v>
      </c>
      <c r="T460" s="582"/>
    </row>
    <row r="461" spans="1:26" ht="31.15" customHeight="1">
      <c r="D461" s="403">
        <f>+'PRESUPUESTO OFICIAL '!C18</f>
        <v>1.07</v>
      </c>
      <c r="E461" s="583" t="str">
        <f>+VLOOKUP(D461,'PRESUPUESTO OFICIAL '!$C$11:$H$103,2)</f>
        <v>DEMOLICIÓN DE ESTRUCTURAS DE CONCRETO CICLOPEO, (INCLUYE RETIRO Y ACARREO LIBRE
HASTA 5 KM.)</v>
      </c>
      <c r="F461" s="584"/>
      <c r="G461" s="585" t="str">
        <f>+VLOOKUP(D461,'PRESUPUESTO OFICIAL '!$C$11:$H$103,3)</f>
        <v>M3</v>
      </c>
      <c r="H461" s="585"/>
      <c r="I461" s="585"/>
      <c r="J461" s="578"/>
      <c r="K461" s="578"/>
      <c r="L461" s="580"/>
      <c r="M461" s="401" t="s">
        <v>392</v>
      </c>
      <c r="N461" s="401" t="s">
        <v>393</v>
      </c>
      <c r="O461" s="401" t="s">
        <v>394</v>
      </c>
      <c r="P461" s="401" t="s">
        <v>395</v>
      </c>
      <c r="Q461" s="401" t="s">
        <v>396</v>
      </c>
      <c r="R461" s="401" t="s">
        <v>397</v>
      </c>
      <c r="S461" s="401" t="s">
        <v>398</v>
      </c>
      <c r="T461" s="402" t="s">
        <v>399</v>
      </c>
      <c r="V461" s="404">
        <f>+D461</f>
        <v>1.07</v>
      </c>
      <c r="W461" s="405">
        <f>+T509</f>
        <v>1.67</v>
      </c>
    </row>
    <row r="462" spans="1:26">
      <c r="D462" s="406"/>
      <c r="E462" s="407"/>
      <c r="F462" s="407"/>
      <c r="G462" s="407"/>
      <c r="H462" s="407"/>
      <c r="I462" s="407"/>
      <c r="J462" s="558"/>
      <c r="K462" s="559"/>
      <c r="L462" s="560"/>
      <c r="M462" s="560"/>
      <c r="N462" s="560"/>
      <c r="O462" s="560"/>
      <c r="P462" s="560"/>
      <c r="Q462" s="560"/>
      <c r="R462" s="560"/>
      <c r="S462" s="560"/>
      <c r="T462" s="561"/>
    </row>
    <row r="463" spans="1:26" ht="25.5">
      <c r="A463" s="453">
        <f>+D461</f>
        <v>1.07</v>
      </c>
      <c r="B463" s="383">
        <v>1</v>
      </c>
      <c r="D463" s="406"/>
      <c r="E463" s="407"/>
      <c r="F463" s="407"/>
      <c r="G463" s="407"/>
      <c r="H463" s="407"/>
      <c r="I463" s="407"/>
      <c r="J463" s="408" t="s">
        <v>400</v>
      </c>
      <c r="K463" s="409" t="str">
        <f t="shared" ref="K463:K505" si="56">+VLOOKUP(L463,$AH$22:$AJ$58,2,)</f>
        <v>V=(Ancho x Largo x Alto)* Cant</v>
      </c>
      <c r="L463" s="410" t="str">
        <f>+G461</f>
        <v>M3</v>
      </c>
      <c r="M463" s="411"/>
      <c r="N463" s="412"/>
      <c r="O463" s="442"/>
      <c r="P463" s="442"/>
      <c r="Q463" s="413"/>
      <c r="R463" s="413"/>
      <c r="S463" s="413"/>
      <c r="T463" s="414">
        <f t="shared" ref="T463:T505" si="57">+S463*R463</f>
        <v>0</v>
      </c>
      <c r="Y463" s="439">
        <f>+O463*P463</f>
        <v>0</v>
      </c>
      <c r="Z463" s="439">
        <f>+Y463-M463</f>
        <v>0</v>
      </c>
    </row>
    <row r="464" spans="1:26" ht="25.5">
      <c r="A464" s="453">
        <f>+A463</f>
        <v>1.07</v>
      </c>
      <c r="B464" s="383">
        <v>2</v>
      </c>
      <c r="D464" s="406"/>
      <c r="E464" s="407"/>
      <c r="F464" s="407"/>
      <c r="G464" s="407"/>
      <c r="H464" s="407"/>
      <c r="I464" s="407"/>
      <c r="J464" s="408" t="s">
        <v>401</v>
      </c>
      <c r="K464" s="409" t="str">
        <f t="shared" si="56"/>
        <v>V=(Ancho x Largo x Alto)* Cant</v>
      </c>
      <c r="L464" s="410" t="str">
        <f>+L463</f>
        <v>M3</v>
      </c>
      <c r="M464" s="411"/>
      <c r="N464" s="412"/>
      <c r="O464" s="442"/>
      <c r="P464" s="442"/>
      <c r="Q464" s="413"/>
      <c r="R464" s="413"/>
      <c r="S464" s="413"/>
      <c r="T464" s="414">
        <f t="shared" si="57"/>
        <v>0</v>
      </c>
      <c r="Y464" s="439">
        <f>+O464*P464</f>
        <v>0</v>
      </c>
      <c r="Z464" s="439">
        <f t="shared" ref="Z464:Z505" si="58">+Y464-M464</f>
        <v>0</v>
      </c>
    </row>
    <row r="465" spans="1:26" ht="25.5">
      <c r="A465" s="453">
        <f t="shared" ref="A465:A505" si="59">+A464</f>
        <v>1.07</v>
      </c>
      <c r="B465" s="383">
        <v>3</v>
      </c>
      <c r="D465" s="406"/>
      <c r="E465" s="407"/>
      <c r="F465" s="407"/>
      <c r="G465" s="407"/>
      <c r="H465" s="407"/>
      <c r="I465" s="407"/>
      <c r="J465" s="408" t="s">
        <v>402</v>
      </c>
      <c r="K465" s="409" t="str">
        <f t="shared" si="56"/>
        <v>V=(Ancho x Largo x Alto)* Cant</v>
      </c>
      <c r="L465" s="410" t="str">
        <f>+L464</f>
        <v>M3</v>
      </c>
      <c r="M465" s="411"/>
      <c r="N465" s="412"/>
      <c r="O465" s="442"/>
      <c r="P465" s="442"/>
      <c r="Q465" s="413"/>
      <c r="R465" s="413"/>
      <c r="S465" s="413"/>
      <c r="T465" s="414">
        <f t="shared" si="57"/>
        <v>0</v>
      </c>
      <c r="Y465" s="439">
        <f t="shared" ref="Y465:Y505" si="60">+O465*P465</f>
        <v>0</v>
      </c>
      <c r="Z465" s="439">
        <f t="shared" si="58"/>
        <v>0</v>
      </c>
    </row>
    <row r="466" spans="1:26" ht="25.5">
      <c r="A466" s="453">
        <f t="shared" si="59"/>
        <v>1.07</v>
      </c>
      <c r="B466" s="383">
        <v>4</v>
      </c>
      <c r="D466" s="406"/>
      <c r="E466" s="407"/>
      <c r="F466" s="407"/>
      <c r="G466" s="407"/>
      <c r="H466" s="407"/>
      <c r="I466" s="407"/>
      <c r="J466" s="408" t="s">
        <v>403</v>
      </c>
      <c r="K466" s="409" t="str">
        <f t="shared" si="56"/>
        <v>V=(Ancho x Largo x Alto)* Cant</v>
      </c>
      <c r="L466" s="410" t="str">
        <f>+L465</f>
        <v>M3</v>
      </c>
      <c r="M466" s="411"/>
      <c r="N466" s="412"/>
      <c r="O466" s="442"/>
      <c r="P466" s="442"/>
      <c r="Q466" s="413"/>
      <c r="R466" s="413"/>
      <c r="S466" s="413"/>
      <c r="T466" s="414">
        <f t="shared" si="57"/>
        <v>0</v>
      </c>
      <c r="Y466" s="439">
        <f t="shared" si="60"/>
        <v>0</v>
      </c>
      <c r="Z466" s="439">
        <f t="shared" si="58"/>
        <v>0</v>
      </c>
    </row>
    <row r="467" spans="1:26" ht="25.5">
      <c r="A467" s="453">
        <f t="shared" si="59"/>
        <v>1.07</v>
      </c>
      <c r="B467" s="383">
        <v>5</v>
      </c>
      <c r="D467" s="406"/>
      <c r="E467" s="407"/>
      <c r="F467" s="407"/>
      <c r="G467" s="407"/>
      <c r="H467" s="407"/>
      <c r="I467" s="407"/>
      <c r="J467" s="408" t="s">
        <v>405</v>
      </c>
      <c r="K467" s="409" t="str">
        <f t="shared" si="56"/>
        <v>V=(Ancho x Largo x Alto)* Cant</v>
      </c>
      <c r="L467" s="410" t="str">
        <f>+L466</f>
        <v>M3</v>
      </c>
      <c r="M467" s="411"/>
      <c r="N467" s="412"/>
      <c r="O467" s="442"/>
      <c r="P467" s="442"/>
      <c r="Q467" s="413"/>
      <c r="R467" s="413"/>
      <c r="S467" s="413"/>
      <c r="T467" s="414">
        <f t="shared" si="57"/>
        <v>0</v>
      </c>
      <c r="Y467" s="439">
        <f t="shared" si="60"/>
        <v>0</v>
      </c>
      <c r="Z467" s="439">
        <f t="shared" si="58"/>
        <v>0</v>
      </c>
    </row>
    <row r="468" spans="1:26" ht="25.5">
      <c r="A468" s="453">
        <f t="shared" si="59"/>
        <v>1.07</v>
      </c>
      <c r="B468" s="383">
        <v>6</v>
      </c>
      <c r="D468" s="406"/>
      <c r="E468" s="407"/>
      <c r="F468" s="407"/>
      <c r="G468" s="407"/>
      <c r="H468" s="407"/>
      <c r="I468" s="407"/>
      <c r="J468" s="408" t="s">
        <v>407</v>
      </c>
      <c r="K468" s="409" t="str">
        <f t="shared" si="56"/>
        <v>V=(Ancho x Largo x Alto)* Cant</v>
      </c>
      <c r="L468" s="410" t="str">
        <f>+L467</f>
        <v>M3</v>
      </c>
      <c r="M468" s="411"/>
      <c r="N468" s="412"/>
      <c r="O468" s="442"/>
      <c r="P468" s="442"/>
      <c r="Q468" s="413"/>
      <c r="R468" s="413"/>
      <c r="S468" s="413"/>
      <c r="T468" s="414">
        <f t="shared" si="57"/>
        <v>0</v>
      </c>
      <c r="Y468" s="439">
        <f t="shared" si="60"/>
        <v>0</v>
      </c>
      <c r="Z468" s="439">
        <f t="shared" si="58"/>
        <v>0</v>
      </c>
    </row>
    <row r="469" spans="1:26" ht="25.5">
      <c r="A469" s="453">
        <f t="shared" si="59"/>
        <v>1.07</v>
      </c>
      <c r="B469" s="383">
        <v>7</v>
      </c>
      <c r="D469" s="406"/>
      <c r="E469" s="407"/>
      <c r="F469" s="407"/>
      <c r="G469" s="407"/>
      <c r="H469" s="407"/>
      <c r="I469" s="407"/>
      <c r="J469" s="408" t="s">
        <v>409</v>
      </c>
      <c r="K469" s="409" t="str">
        <f t="shared" si="56"/>
        <v>V=(Ancho x Largo x Alto)* Cant</v>
      </c>
      <c r="L469" s="410" t="str">
        <f>+L463</f>
        <v>M3</v>
      </c>
      <c r="M469" s="411"/>
      <c r="N469" s="412"/>
      <c r="O469" s="442">
        <v>0.22</v>
      </c>
      <c r="P469" s="442">
        <v>0.5</v>
      </c>
      <c r="Q469" s="413">
        <v>0.22</v>
      </c>
      <c r="R469" s="413">
        <f>+Q469*P469*O469</f>
        <v>2.4199999999999999E-2</v>
      </c>
      <c r="S469" s="413">
        <v>6</v>
      </c>
      <c r="T469" s="414">
        <f>+S469*R469</f>
        <v>0.1452</v>
      </c>
      <c r="Y469" s="439">
        <f>+O469*P469*Q469*S469</f>
        <v>0.1452</v>
      </c>
      <c r="Z469" s="439">
        <f t="shared" si="58"/>
        <v>0.1452</v>
      </c>
    </row>
    <row r="470" spans="1:26" ht="25.5">
      <c r="A470" s="453">
        <f t="shared" si="59"/>
        <v>1.07</v>
      </c>
      <c r="B470" s="383">
        <v>8</v>
      </c>
      <c r="D470" s="406"/>
      <c r="E470" s="407"/>
      <c r="F470" s="407"/>
      <c r="G470" s="407"/>
      <c r="H470" s="407"/>
      <c r="I470" s="407"/>
      <c r="J470" s="408" t="s">
        <v>411</v>
      </c>
      <c r="K470" s="409" t="str">
        <f t="shared" si="56"/>
        <v>V=(Ancho x Largo x Alto)* Cant</v>
      </c>
      <c r="L470" s="410" t="str">
        <f>+L469</f>
        <v>M3</v>
      </c>
      <c r="M470" s="411"/>
      <c r="N470" s="412"/>
      <c r="O470" s="442"/>
      <c r="P470" s="442"/>
      <c r="Q470" s="413"/>
      <c r="R470" s="413"/>
      <c r="S470" s="413"/>
      <c r="T470" s="414">
        <f t="shared" si="57"/>
        <v>0</v>
      </c>
      <c r="Y470" s="439">
        <f t="shared" si="60"/>
        <v>0</v>
      </c>
      <c r="Z470" s="439">
        <f t="shared" si="58"/>
        <v>0</v>
      </c>
    </row>
    <row r="471" spans="1:26" ht="25.5">
      <c r="A471" s="453">
        <f t="shared" si="59"/>
        <v>1.07</v>
      </c>
      <c r="B471" s="383">
        <v>9</v>
      </c>
      <c r="D471" s="406"/>
      <c r="E471" s="407"/>
      <c r="F471" s="407"/>
      <c r="G471" s="407"/>
      <c r="H471" s="407"/>
      <c r="I471" s="407"/>
      <c r="J471" s="408" t="s">
        <v>412</v>
      </c>
      <c r="K471" s="409" t="str">
        <f t="shared" si="56"/>
        <v>V=(Ancho x Largo x Alto)* Cant</v>
      </c>
      <c r="L471" s="410" t="str">
        <f>+L470</f>
        <v>M3</v>
      </c>
      <c r="M471" s="411"/>
      <c r="N471" s="412"/>
      <c r="O471" s="442"/>
      <c r="P471" s="442"/>
      <c r="Q471" s="412"/>
      <c r="R471" s="412"/>
      <c r="S471" s="413"/>
      <c r="T471" s="414">
        <f t="shared" si="57"/>
        <v>0</v>
      </c>
      <c r="Y471" s="439">
        <f t="shared" si="60"/>
        <v>0</v>
      </c>
      <c r="Z471" s="439">
        <f t="shared" si="58"/>
        <v>0</v>
      </c>
    </row>
    <row r="472" spans="1:26" ht="25.5">
      <c r="A472" s="453">
        <f t="shared" si="59"/>
        <v>1.07</v>
      </c>
      <c r="B472" s="383">
        <v>10</v>
      </c>
      <c r="D472" s="406"/>
      <c r="E472" s="407"/>
      <c r="F472" s="407"/>
      <c r="G472" s="407"/>
      <c r="H472" s="407"/>
      <c r="I472" s="407"/>
      <c r="J472" s="408" t="s">
        <v>413</v>
      </c>
      <c r="K472" s="409" t="str">
        <f t="shared" si="56"/>
        <v>V=(Ancho x Largo x Alto)* Cant</v>
      </c>
      <c r="L472" s="410" t="str">
        <f>+L471</f>
        <v>M3</v>
      </c>
      <c r="M472" s="411"/>
      <c r="N472" s="412"/>
      <c r="O472" s="441"/>
      <c r="P472" s="441"/>
      <c r="Q472" s="412"/>
      <c r="R472" s="412"/>
      <c r="S472" s="413"/>
      <c r="T472" s="414">
        <f t="shared" si="57"/>
        <v>0</v>
      </c>
      <c r="Y472" s="439">
        <f t="shared" si="60"/>
        <v>0</v>
      </c>
      <c r="Z472" s="439">
        <f t="shared" si="58"/>
        <v>0</v>
      </c>
    </row>
    <row r="473" spans="1:26" ht="25.5">
      <c r="A473" s="453">
        <f t="shared" si="59"/>
        <v>1.07</v>
      </c>
      <c r="B473" s="383">
        <v>11</v>
      </c>
      <c r="D473" s="406"/>
      <c r="E473" s="407"/>
      <c r="F473" s="407"/>
      <c r="G473" s="407"/>
      <c r="H473" s="407"/>
      <c r="I473" s="407"/>
      <c r="J473" s="408" t="s">
        <v>414</v>
      </c>
      <c r="K473" s="409" t="str">
        <f t="shared" si="56"/>
        <v>V=(Ancho x Largo x Alto)* Cant</v>
      </c>
      <c r="L473" s="410" t="str">
        <f>+L472</f>
        <v>M3</v>
      </c>
      <c r="M473" s="411"/>
      <c r="N473" s="412"/>
      <c r="O473" s="443"/>
      <c r="P473" s="443"/>
      <c r="Q473" s="412"/>
      <c r="R473" s="412"/>
      <c r="S473" s="413"/>
      <c r="T473" s="414">
        <f t="shared" si="57"/>
        <v>0</v>
      </c>
      <c r="Y473" s="439">
        <f t="shared" si="60"/>
        <v>0</v>
      </c>
      <c r="Z473" s="439">
        <f t="shared" si="58"/>
        <v>0</v>
      </c>
    </row>
    <row r="474" spans="1:26" ht="25.5">
      <c r="A474" s="453">
        <f t="shared" si="59"/>
        <v>1.07</v>
      </c>
      <c r="B474" s="383">
        <v>12</v>
      </c>
      <c r="D474" s="406"/>
      <c r="E474" s="407"/>
      <c r="F474" s="407"/>
      <c r="G474" s="407"/>
      <c r="H474" s="407"/>
      <c r="I474" s="407"/>
      <c r="J474" s="408" t="s">
        <v>415</v>
      </c>
      <c r="K474" s="409" t="str">
        <f t="shared" si="56"/>
        <v>V=(Ancho x Largo x Alto)* Cant</v>
      </c>
      <c r="L474" s="410" t="str">
        <f>+L468</f>
        <v>M3</v>
      </c>
      <c r="M474" s="411"/>
      <c r="N474" s="412"/>
      <c r="O474" s="442"/>
      <c r="P474" s="442"/>
      <c r="Q474" s="413"/>
      <c r="R474" s="413"/>
      <c r="S474" s="413"/>
      <c r="T474" s="414">
        <f t="shared" si="57"/>
        <v>0</v>
      </c>
      <c r="Y474" s="439">
        <f t="shared" si="60"/>
        <v>0</v>
      </c>
      <c r="Z474" s="439">
        <f t="shared" si="58"/>
        <v>0</v>
      </c>
    </row>
    <row r="475" spans="1:26" ht="25.5">
      <c r="A475" s="453">
        <f t="shared" si="59"/>
        <v>1.07</v>
      </c>
      <c r="B475" s="383">
        <v>13</v>
      </c>
      <c r="D475" s="406"/>
      <c r="E475" s="407"/>
      <c r="F475" s="407"/>
      <c r="G475" s="407"/>
      <c r="H475" s="407"/>
      <c r="I475" s="407"/>
      <c r="J475" s="408" t="s">
        <v>416</v>
      </c>
      <c r="K475" s="409" t="str">
        <f t="shared" si="56"/>
        <v>V=(Ancho x Largo x Alto)* Cant</v>
      </c>
      <c r="L475" s="410" t="str">
        <f>+L470</f>
        <v>M3</v>
      </c>
      <c r="M475" s="411"/>
      <c r="N475" s="412"/>
      <c r="O475" s="442"/>
      <c r="P475" s="442"/>
      <c r="Q475" s="413"/>
      <c r="R475" s="413"/>
      <c r="S475" s="413"/>
      <c r="T475" s="414">
        <f t="shared" si="57"/>
        <v>0</v>
      </c>
      <c r="Y475" s="439">
        <f t="shared" si="60"/>
        <v>0</v>
      </c>
      <c r="Z475" s="439">
        <f t="shared" si="58"/>
        <v>0</v>
      </c>
    </row>
    <row r="476" spans="1:26" ht="25.5">
      <c r="A476" s="453">
        <f t="shared" si="59"/>
        <v>1.07</v>
      </c>
      <c r="B476" s="383">
        <v>14</v>
      </c>
      <c r="D476" s="406"/>
      <c r="E476" s="407"/>
      <c r="F476" s="407"/>
      <c r="G476" s="407"/>
      <c r="H476" s="407"/>
      <c r="I476" s="407"/>
      <c r="J476" s="408" t="s">
        <v>417</v>
      </c>
      <c r="K476" s="409" t="str">
        <f t="shared" si="56"/>
        <v>V=(Ancho x Largo x Alto)* Cant</v>
      </c>
      <c r="L476" s="410" t="str">
        <f t="shared" ref="L476:L487" si="61">+L475</f>
        <v>M3</v>
      </c>
      <c r="M476" s="411"/>
      <c r="N476" s="412"/>
      <c r="O476" s="442"/>
      <c r="P476" s="442"/>
      <c r="Q476" s="412"/>
      <c r="R476" s="412"/>
      <c r="S476" s="413"/>
      <c r="T476" s="414">
        <f t="shared" si="57"/>
        <v>0</v>
      </c>
      <c r="Y476" s="439">
        <f t="shared" si="60"/>
        <v>0</v>
      </c>
      <c r="Z476" s="439">
        <f t="shared" si="58"/>
        <v>0</v>
      </c>
    </row>
    <row r="477" spans="1:26" ht="25.5">
      <c r="A477" s="453">
        <f t="shared" si="59"/>
        <v>1.07</v>
      </c>
      <c r="B477" s="383">
        <v>15</v>
      </c>
      <c r="D477" s="406"/>
      <c r="E477" s="407"/>
      <c r="F477" s="407"/>
      <c r="G477" s="407"/>
      <c r="H477" s="407"/>
      <c r="I477" s="407"/>
      <c r="J477" s="408" t="s">
        <v>418</v>
      </c>
      <c r="K477" s="409" t="str">
        <f t="shared" si="56"/>
        <v>V=(Ancho x Largo x Alto)* Cant</v>
      </c>
      <c r="L477" s="410" t="str">
        <f t="shared" si="61"/>
        <v>M3</v>
      </c>
      <c r="M477" s="411"/>
      <c r="N477" s="412"/>
      <c r="O477" s="442"/>
      <c r="P477" s="442"/>
      <c r="Q477" s="412"/>
      <c r="R477" s="412"/>
      <c r="S477" s="413"/>
      <c r="T477" s="414">
        <f t="shared" si="57"/>
        <v>0</v>
      </c>
      <c r="Y477" s="439">
        <f t="shared" si="60"/>
        <v>0</v>
      </c>
      <c r="Z477" s="439">
        <f t="shared" si="58"/>
        <v>0</v>
      </c>
    </row>
    <row r="478" spans="1:26" ht="25.5">
      <c r="A478" s="453">
        <f t="shared" si="59"/>
        <v>1.07</v>
      </c>
      <c r="B478" s="383">
        <v>16</v>
      </c>
      <c r="D478" s="406"/>
      <c r="E478" s="407"/>
      <c r="F478" s="407"/>
      <c r="G478" s="407"/>
      <c r="H478" s="407"/>
      <c r="I478" s="407"/>
      <c r="J478" s="408" t="s">
        <v>419</v>
      </c>
      <c r="K478" s="409" t="str">
        <f t="shared" si="56"/>
        <v>V=(Ancho x Largo x Alto)* Cant</v>
      </c>
      <c r="L478" s="410" t="str">
        <f t="shared" si="61"/>
        <v>M3</v>
      </c>
      <c r="M478" s="411"/>
      <c r="N478" s="412"/>
      <c r="O478" s="442"/>
      <c r="P478" s="442"/>
      <c r="Q478" s="412"/>
      <c r="R478" s="412"/>
      <c r="S478" s="413"/>
      <c r="T478" s="414">
        <f t="shared" si="57"/>
        <v>0</v>
      </c>
      <c r="Y478" s="439">
        <f t="shared" si="60"/>
        <v>0</v>
      </c>
      <c r="Z478" s="439">
        <f t="shared" si="58"/>
        <v>0</v>
      </c>
    </row>
    <row r="479" spans="1:26" ht="25.5">
      <c r="A479" s="453">
        <f t="shared" si="59"/>
        <v>1.07</v>
      </c>
      <c r="B479" s="383">
        <v>17</v>
      </c>
      <c r="D479" s="406"/>
      <c r="E479" s="407"/>
      <c r="F479" s="407"/>
      <c r="G479" s="407"/>
      <c r="H479" s="407"/>
      <c r="I479" s="407"/>
      <c r="J479" s="408" t="s">
        <v>420</v>
      </c>
      <c r="K479" s="409" t="str">
        <f t="shared" si="56"/>
        <v>V=(Ancho x Largo x Alto)* Cant</v>
      </c>
      <c r="L479" s="410" t="str">
        <f t="shared" si="61"/>
        <v>M3</v>
      </c>
      <c r="M479" s="411"/>
      <c r="N479" s="412"/>
      <c r="O479" s="442"/>
      <c r="P479" s="442"/>
      <c r="Q479" s="412"/>
      <c r="R479" s="412"/>
      <c r="S479" s="413"/>
      <c r="T479" s="414">
        <f t="shared" si="57"/>
        <v>0</v>
      </c>
      <c r="Y479" s="439">
        <f t="shared" si="60"/>
        <v>0</v>
      </c>
      <c r="Z479" s="439">
        <f t="shared" si="58"/>
        <v>0</v>
      </c>
    </row>
    <row r="480" spans="1:26" ht="25.5">
      <c r="A480" s="453">
        <f t="shared" si="59"/>
        <v>1.07</v>
      </c>
      <c r="B480" s="383">
        <v>18</v>
      </c>
      <c r="D480" s="406"/>
      <c r="E480" s="407"/>
      <c r="F480" s="407"/>
      <c r="G480" s="407"/>
      <c r="H480" s="407"/>
      <c r="I480" s="407"/>
      <c r="J480" s="408" t="s">
        <v>429</v>
      </c>
      <c r="K480" s="409" t="str">
        <f t="shared" si="56"/>
        <v>V=(Ancho x Largo x Alto)* Cant</v>
      </c>
      <c r="L480" s="410" t="str">
        <f t="shared" si="61"/>
        <v>M3</v>
      </c>
      <c r="M480" s="411"/>
      <c r="N480" s="412"/>
      <c r="O480" s="442"/>
      <c r="P480" s="442"/>
      <c r="Q480" s="412"/>
      <c r="R480" s="412"/>
      <c r="S480" s="413"/>
      <c r="T480" s="414">
        <f t="shared" si="57"/>
        <v>0</v>
      </c>
      <c r="Y480" s="439">
        <f t="shared" si="60"/>
        <v>0</v>
      </c>
      <c r="Z480" s="439">
        <f t="shared" si="58"/>
        <v>0</v>
      </c>
    </row>
    <row r="481" spans="1:26" ht="25.5">
      <c r="A481" s="453">
        <f t="shared" si="59"/>
        <v>1.07</v>
      </c>
      <c r="B481" s="383">
        <v>19</v>
      </c>
      <c r="D481" s="406"/>
      <c r="E481" s="407"/>
      <c r="F481" s="407"/>
      <c r="G481" s="407"/>
      <c r="H481" s="407"/>
      <c r="I481" s="407"/>
      <c r="J481" s="408" t="s">
        <v>430</v>
      </c>
      <c r="K481" s="409" t="str">
        <f t="shared" si="56"/>
        <v>V=(Ancho x Largo x Alto)* Cant</v>
      </c>
      <c r="L481" s="410" t="str">
        <f t="shared" si="61"/>
        <v>M3</v>
      </c>
      <c r="M481" s="411"/>
      <c r="N481" s="412"/>
      <c r="O481" s="442"/>
      <c r="P481" s="442"/>
      <c r="Q481" s="412"/>
      <c r="R481" s="412"/>
      <c r="S481" s="413"/>
      <c r="T481" s="414">
        <f t="shared" si="57"/>
        <v>0</v>
      </c>
      <c r="Y481" s="439">
        <f t="shared" si="60"/>
        <v>0</v>
      </c>
      <c r="Z481" s="439">
        <f t="shared" si="58"/>
        <v>0</v>
      </c>
    </row>
    <row r="482" spans="1:26" ht="25.5">
      <c r="A482" s="453">
        <f t="shared" si="59"/>
        <v>1.07</v>
      </c>
      <c r="B482" s="383">
        <v>20</v>
      </c>
      <c r="D482" s="406"/>
      <c r="E482" s="407"/>
      <c r="F482" s="407"/>
      <c r="G482" s="407"/>
      <c r="H482" s="407"/>
      <c r="I482" s="407"/>
      <c r="J482" s="408" t="s">
        <v>431</v>
      </c>
      <c r="K482" s="409" t="str">
        <f t="shared" si="56"/>
        <v>V=(Ancho x Largo x Alto)* Cant</v>
      </c>
      <c r="L482" s="410" t="str">
        <f t="shared" si="61"/>
        <v>M3</v>
      </c>
      <c r="M482" s="411"/>
      <c r="N482" s="412"/>
      <c r="O482" s="442"/>
      <c r="P482" s="442"/>
      <c r="Q482" s="412"/>
      <c r="R482" s="412"/>
      <c r="S482" s="413"/>
      <c r="T482" s="414">
        <f t="shared" si="57"/>
        <v>0</v>
      </c>
      <c r="Y482" s="439">
        <f t="shared" si="60"/>
        <v>0</v>
      </c>
      <c r="Z482" s="439">
        <f t="shared" si="58"/>
        <v>0</v>
      </c>
    </row>
    <row r="483" spans="1:26" ht="25.5">
      <c r="A483" s="453">
        <f t="shared" si="59"/>
        <v>1.07</v>
      </c>
      <c r="B483" s="383">
        <v>21</v>
      </c>
      <c r="D483" s="406"/>
      <c r="E483" s="407"/>
      <c r="F483" s="407"/>
      <c r="G483" s="407"/>
      <c r="H483" s="407"/>
      <c r="I483" s="407"/>
      <c r="J483" s="408" t="s">
        <v>432</v>
      </c>
      <c r="K483" s="409" t="str">
        <f t="shared" si="56"/>
        <v>V=(Ancho x Largo x Alto)* Cant</v>
      </c>
      <c r="L483" s="410" t="str">
        <f t="shared" si="61"/>
        <v>M3</v>
      </c>
      <c r="M483" s="411"/>
      <c r="N483" s="412"/>
      <c r="O483" s="442"/>
      <c r="P483" s="442"/>
      <c r="Q483" s="412"/>
      <c r="R483" s="412"/>
      <c r="S483" s="413"/>
      <c r="T483" s="414">
        <f t="shared" si="57"/>
        <v>0</v>
      </c>
      <c r="Y483" s="439">
        <f t="shared" si="60"/>
        <v>0</v>
      </c>
      <c r="Z483" s="439">
        <f t="shared" si="58"/>
        <v>0</v>
      </c>
    </row>
    <row r="484" spans="1:26" ht="25.5">
      <c r="A484" s="453">
        <f t="shared" si="59"/>
        <v>1.07</v>
      </c>
      <c r="B484" s="383">
        <v>22</v>
      </c>
      <c r="D484" s="406"/>
      <c r="E484" s="407"/>
      <c r="F484" s="407"/>
      <c r="G484" s="407"/>
      <c r="H484" s="407"/>
      <c r="I484" s="407"/>
      <c r="J484" s="408" t="s">
        <v>433</v>
      </c>
      <c r="K484" s="409" t="str">
        <f t="shared" si="56"/>
        <v>V=(Ancho x Largo x Alto)* Cant</v>
      </c>
      <c r="L484" s="410" t="str">
        <f t="shared" si="61"/>
        <v>M3</v>
      </c>
      <c r="M484" s="411"/>
      <c r="N484" s="412"/>
      <c r="O484" s="442"/>
      <c r="P484" s="442"/>
      <c r="Q484" s="412"/>
      <c r="R484" s="412"/>
      <c r="S484" s="413"/>
      <c r="T484" s="414">
        <f t="shared" si="57"/>
        <v>0</v>
      </c>
      <c r="Y484" s="439">
        <f t="shared" si="60"/>
        <v>0</v>
      </c>
      <c r="Z484" s="439">
        <f t="shared" si="58"/>
        <v>0</v>
      </c>
    </row>
    <row r="485" spans="1:26" ht="25.5">
      <c r="A485" s="453">
        <f t="shared" si="59"/>
        <v>1.07</v>
      </c>
      <c r="B485" s="383">
        <v>23</v>
      </c>
      <c r="D485" s="406"/>
      <c r="E485" s="407"/>
      <c r="F485" s="407"/>
      <c r="G485" s="407"/>
      <c r="H485" s="407"/>
      <c r="I485" s="407"/>
      <c r="J485" s="408" t="s">
        <v>434</v>
      </c>
      <c r="K485" s="409" t="str">
        <f t="shared" si="56"/>
        <v>V=(Ancho x Largo x Alto)* Cant</v>
      </c>
      <c r="L485" s="410" t="str">
        <f t="shared" si="61"/>
        <v>M3</v>
      </c>
      <c r="M485" s="411"/>
      <c r="N485" s="412"/>
      <c r="O485" s="441"/>
      <c r="P485" s="441"/>
      <c r="Q485" s="412"/>
      <c r="R485" s="412"/>
      <c r="S485" s="413"/>
      <c r="T485" s="414">
        <f t="shared" si="57"/>
        <v>0</v>
      </c>
      <c r="Y485" s="439">
        <f t="shared" si="60"/>
        <v>0</v>
      </c>
      <c r="Z485" s="439">
        <f t="shared" si="58"/>
        <v>0</v>
      </c>
    </row>
    <row r="486" spans="1:26" ht="25.5">
      <c r="A486" s="453">
        <f t="shared" si="59"/>
        <v>1.07</v>
      </c>
      <c r="B486" s="383">
        <v>24</v>
      </c>
      <c r="D486" s="406"/>
      <c r="E486" s="407"/>
      <c r="F486" s="407"/>
      <c r="G486" s="407"/>
      <c r="H486" s="407"/>
      <c r="I486" s="407"/>
      <c r="J486" s="408" t="s">
        <v>435</v>
      </c>
      <c r="K486" s="409" t="str">
        <f t="shared" si="56"/>
        <v>V=(Ancho x Largo x Alto)* Cant</v>
      </c>
      <c r="L486" s="410" t="str">
        <f t="shared" si="61"/>
        <v>M3</v>
      </c>
      <c r="M486" s="411"/>
      <c r="N486" s="412"/>
      <c r="O486" s="442"/>
      <c r="P486" s="442"/>
      <c r="Q486" s="413"/>
      <c r="R486" s="413"/>
      <c r="S486" s="413"/>
      <c r="T486" s="414">
        <f t="shared" si="57"/>
        <v>0</v>
      </c>
      <c r="Y486" s="439">
        <f t="shared" si="60"/>
        <v>0</v>
      </c>
      <c r="Z486" s="439">
        <f t="shared" si="58"/>
        <v>0</v>
      </c>
    </row>
    <row r="487" spans="1:26" ht="25.5">
      <c r="A487" s="453">
        <f t="shared" si="59"/>
        <v>1.07</v>
      </c>
      <c r="B487" s="383">
        <v>25</v>
      </c>
      <c r="D487" s="406"/>
      <c r="E487" s="407"/>
      <c r="F487" s="407"/>
      <c r="G487" s="407"/>
      <c r="H487" s="407"/>
      <c r="I487" s="407"/>
      <c r="J487" s="408" t="s">
        <v>436</v>
      </c>
      <c r="K487" s="409" t="str">
        <f t="shared" si="56"/>
        <v>V=(Ancho x Largo x Alto)* Cant</v>
      </c>
      <c r="L487" s="410" t="str">
        <f t="shared" si="61"/>
        <v>M3</v>
      </c>
      <c r="M487" s="411"/>
      <c r="N487" s="412"/>
      <c r="O487" s="442"/>
      <c r="P487" s="442"/>
      <c r="Q487" s="412"/>
      <c r="R487" s="412"/>
      <c r="S487" s="413"/>
      <c r="T487" s="414">
        <f t="shared" si="57"/>
        <v>0</v>
      </c>
      <c r="Y487" s="439">
        <f t="shared" si="60"/>
        <v>0</v>
      </c>
      <c r="Z487" s="439">
        <f t="shared" si="58"/>
        <v>0</v>
      </c>
    </row>
    <row r="488" spans="1:26" ht="25.5">
      <c r="A488" s="453">
        <f t="shared" si="59"/>
        <v>1.07</v>
      </c>
      <c r="B488" s="383">
        <v>26</v>
      </c>
      <c r="D488" s="406"/>
      <c r="E488" s="407"/>
      <c r="F488" s="407"/>
      <c r="G488" s="407"/>
      <c r="H488" s="407"/>
      <c r="I488" s="407"/>
      <c r="J488" s="408" t="s">
        <v>437</v>
      </c>
      <c r="K488" s="409" t="str">
        <f t="shared" si="56"/>
        <v>V=(Ancho x Largo x Alto)* Cant</v>
      </c>
      <c r="L488" s="410" t="str">
        <f>+L477</f>
        <v>M3</v>
      </c>
      <c r="M488" s="411"/>
      <c r="N488" s="412"/>
      <c r="O488" s="442"/>
      <c r="P488" s="442"/>
      <c r="Q488" s="412"/>
      <c r="R488" s="412"/>
      <c r="S488" s="413"/>
      <c r="T488" s="414">
        <f t="shared" si="57"/>
        <v>0</v>
      </c>
      <c r="Y488" s="439">
        <f t="shared" si="60"/>
        <v>0</v>
      </c>
      <c r="Z488" s="439">
        <f t="shared" si="58"/>
        <v>0</v>
      </c>
    </row>
    <row r="489" spans="1:26" ht="25.5">
      <c r="A489" s="453">
        <f t="shared" si="59"/>
        <v>1.07</v>
      </c>
      <c r="B489" s="383">
        <v>27</v>
      </c>
      <c r="D489" s="406"/>
      <c r="E489" s="407"/>
      <c r="F489" s="407"/>
      <c r="G489" s="407"/>
      <c r="H489" s="407"/>
      <c r="I489" s="407"/>
      <c r="J489" s="408" t="s">
        <v>438</v>
      </c>
      <c r="K489" s="409" t="str">
        <f t="shared" si="56"/>
        <v>V=(Ancho x Largo x Alto)* Cant</v>
      </c>
      <c r="L489" s="410" t="str">
        <f t="shared" ref="L489:L497" si="62">+L488</f>
        <v>M3</v>
      </c>
      <c r="M489" s="411"/>
      <c r="N489" s="412"/>
      <c r="O489" s="442"/>
      <c r="P489" s="442"/>
      <c r="Q489" s="412"/>
      <c r="R489" s="412"/>
      <c r="S489" s="413"/>
      <c r="T489" s="414">
        <f t="shared" si="57"/>
        <v>0</v>
      </c>
      <c r="Y489" s="439">
        <f t="shared" si="60"/>
        <v>0</v>
      </c>
      <c r="Z489" s="439">
        <f t="shared" si="58"/>
        <v>0</v>
      </c>
    </row>
    <row r="490" spans="1:26" ht="25.5">
      <c r="A490" s="453">
        <f t="shared" si="59"/>
        <v>1.07</v>
      </c>
      <c r="B490" s="383">
        <v>28</v>
      </c>
      <c r="D490" s="406"/>
      <c r="E490" s="440"/>
      <c r="F490" s="407"/>
      <c r="G490" s="407"/>
      <c r="H490" s="407"/>
      <c r="I490" s="437"/>
      <c r="J490" s="408" t="s">
        <v>439</v>
      </c>
      <c r="K490" s="409" t="str">
        <f t="shared" si="56"/>
        <v>V=(Ancho x Largo x Alto)* Cant</v>
      </c>
      <c r="L490" s="410" t="str">
        <f t="shared" si="62"/>
        <v>M3</v>
      </c>
      <c r="M490" s="411"/>
      <c r="N490" s="412"/>
      <c r="O490" s="442"/>
      <c r="P490" s="442"/>
      <c r="Q490" s="413"/>
      <c r="R490" s="413"/>
      <c r="S490" s="413"/>
      <c r="T490" s="414">
        <f t="shared" si="57"/>
        <v>0</v>
      </c>
      <c r="Y490" s="439">
        <f t="shared" si="60"/>
        <v>0</v>
      </c>
      <c r="Z490" s="439">
        <f t="shared" si="58"/>
        <v>0</v>
      </c>
    </row>
    <row r="491" spans="1:26" ht="25.5">
      <c r="A491" s="453">
        <f t="shared" si="59"/>
        <v>1.07</v>
      </c>
      <c r="B491" s="383">
        <v>29</v>
      </c>
      <c r="D491" s="406"/>
      <c r="E491" s="407"/>
      <c r="F491" s="407"/>
      <c r="G491" s="407"/>
      <c r="H491" s="407"/>
      <c r="I491" s="407"/>
      <c r="J491" s="408" t="s">
        <v>440</v>
      </c>
      <c r="K491" s="409" t="str">
        <f t="shared" si="56"/>
        <v>V=(Ancho x Largo x Alto)* Cant</v>
      </c>
      <c r="L491" s="410" t="str">
        <f t="shared" si="62"/>
        <v>M3</v>
      </c>
      <c r="M491" s="411"/>
      <c r="N491" s="412"/>
      <c r="O491" s="443"/>
      <c r="P491" s="443"/>
      <c r="Q491" s="412"/>
      <c r="R491" s="412"/>
      <c r="S491" s="413"/>
      <c r="T491" s="414">
        <f t="shared" si="57"/>
        <v>0</v>
      </c>
      <c r="Y491" s="439">
        <f t="shared" si="60"/>
        <v>0</v>
      </c>
      <c r="Z491" s="439">
        <f t="shared" si="58"/>
        <v>0</v>
      </c>
    </row>
    <row r="492" spans="1:26" ht="25.5">
      <c r="A492" s="453">
        <f t="shared" si="59"/>
        <v>1.07</v>
      </c>
      <c r="B492" s="383">
        <v>30</v>
      </c>
      <c r="D492" s="406"/>
      <c r="E492" s="407"/>
      <c r="F492" s="407"/>
      <c r="G492" s="407"/>
      <c r="H492" s="407"/>
      <c r="I492" s="407"/>
      <c r="J492" s="408" t="s">
        <v>441</v>
      </c>
      <c r="K492" s="409" t="str">
        <f t="shared" si="56"/>
        <v>V=(Ancho x Largo x Alto)* Cant</v>
      </c>
      <c r="L492" s="410" t="str">
        <f t="shared" si="62"/>
        <v>M3</v>
      </c>
      <c r="M492" s="411"/>
      <c r="N492" s="412"/>
      <c r="O492" s="442"/>
      <c r="P492" s="442"/>
      <c r="Q492" s="412"/>
      <c r="R492" s="412"/>
      <c r="S492" s="413"/>
      <c r="T492" s="414">
        <f t="shared" si="57"/>
        <v>0</v>
      </c>
      <c r="Y492" s="439">
        <f t="shared" si="60"/>
        <v>0</v>
      </c>
      <c r="Z492" s="439">
        <f t="shared" si="58"/>
        <v>0</v>
      </c>
    </row>
    <row r="493" spans="1:26" ht="25.5">
      <c r="A493" s="453">
        <f t="shared" si="59"/>
        <v>1.07</v>
      </c>
      <c r="B493" s="383">
        <v>31</v>
      </c>
      <c r="D493" s="406"/>
      <c r="E493" s="407"/>
      <c r="F493" s="407"/>
      <c r="G493" s="407"/>
      <c r="H493" s="407"/>
      <c r="I493" s="407"/>
      <c r="J493" s="408" t="s">
        <v>442</v>
      </c>
      <c r="K493" s="409" t="str">
        <f t="shared" si="56"/>
        <v>V=(Ancho x Largo x Alto)* Cant</v>
      </c>
      <c r="L493" s="410" t="str">
        <f t="shared" si="62"/>
        <v>M3</v>
      </c>
      <c r="M493" s="411"/>
      <c r="N493" s="412"/>
      <c r="O493" s="442"/>
      <c r="P493" s="442"/>
      <c r="Q493" s="413"/>
      <c r="R493" s="413"/>
      <c r="S493" s="413"/>
      <c r="T493" s="414">
        <f t="shared" si="57"/>
        <v>0</v>
      </c>
      <c r="Y493" s="439">
        <f t="shared" si="60"/>
        <v>0</v>
      </c>
      <c r="Z493" s="439">
        <f t="shared" si="58"/>
        <v>0</v>
      </c>
    </row>
    <row r="494" spans="1:26" ht="25.5">
      <c r="A494" s="453">
        <f t="shared" si="59"/>
        <v>1.07</v>
      </c>
      <c r="B494" s="383">
        <v>32</v>
      </c>
      <c r="D494" s="406"/>
      <c r="E494" s="407"/>
      <c r="F494" s="407"/>
      <c r="G494" s="407"/>
      <c r="H494" s="407"/>
      <c r="I494" s="407"/>
      <c r="J494" s="408" t="s">
        <v>443</v>
      </c>
      <c r="K494" s="409" t="str">
        <f t="shared" si="56"/>
        <v>V=(Ancho x Largo x Alto)* Cant</v>
      </c>
      <c r="L494" s="410" t="str">
        <f t="shared" si="62"/>
        <v>M3</v>
      </c>
      <c r="M494" s="411"/>
      <c r="N494" s="412"/>
      <c r="O494" s="442"/>
      <c r="P494" s="442"/>
      <c r="Q494" s="412"/>
      <c r="R494" s="412"/>
      <c r="S494" s="413"/>
      <c r="T494" s="414">
        <f t="shared" si="57"/>
        <v>0</v>
      </c>
      <c r="Y494" s="439">
        <f t="shared" si="60"/>
        <v>0</v>
      </c>
      <c r="Z494" s="439">
        <f t="shared" si="58"/>
        <v>0</v>
      </c>
    </row>
    <row r="495" spans="1:26" ht="25.5">
      <c r="A495" s="453">
        <f t="shared" si="59"/>
        <v>1.07</v>
      </c>
      <c r="B495" s="383">
        <v>33</v>
      </c>
      <c r="D495" s="406"/>
      <c r="E495" s="407"/>
      <c r="F495" s="407"/>
      <c r="G495" s="407"/>
      <c r="H495" s="407"/>
      <c r="I495" s="407"/>
      <c r="J495" s="408" t="s">
        <v>444</v>
      </c>
      <c r="K495" s="409" t="str">
        <f t="shared" si="56"/>
        <v>V=(Ancho x Largo x Alto)* Cant</v>
      </c>
      <c r="L495" s="410" t="str">
        <f t="shared" si="62"/>
        <v>M3</v>
      </c>
      <c r="M495" s="411"/>
      <c r="N495" s="412"/>
      <c r="O495" s="442"/>
      <c r="P495" s="442"/>
      <c r="Q495" s="412"/>
      <c r="R495" s="412"/>
      <c r="S495" s="413"/>
      <c r="T495" s="414">
        <f t="shared" si="57"/>
        <v>0</v>
      </c>
      <c r="Y495" s="439">
        <f t="shared" si="60"/>
        <v>0</v>
      </c>
      <c r="Z495" s="439">
        <f t="shared" si="58"/>
        <v>0</v>
      </c>
    </row>
    <row r="496" spans="1:26" ht="25.5">
      <c r="A496" s="453">
        <f t="shared" si="59"/>
        <v>1.07</v>
      </c>
      <c r="B496" s="383">
        <v>34</v>
      </c>
      <c r="D496" s="406"/>
      <c r="E496" s="407"/>
      <c r="F496" s="407"/>
      <c r="G496" s="407"/>
      <c r="H496" s="407"/>
      <c r="I496" s="407"/>
      <c r="J496" s="408" t="s">
        <v>445</v>
      </c>
      <c r="K496" s="409" t="str">
        <f t="shared" si="56"/>
        <v>V=(Ancho x Largo x Alto)* Cant</v>
      </c>
      <c r="L496" s="410" t="str">
        <f t="shared" si="62"/>
        <v>M3</v>
      </c>
      <c r="M496" s="411"/>
      <c r="N496" s="412"/>
      <c r="O496" s="443"/>
      <c r="P496" s="443"/>
      <c r="Q496" s="412"/>
      <c r="R496" s="412"/>
      <c r="S496" s="413"/>
      <c r="T496" s="414">
        <f t="shared" si="57"/>
        <v>0</v>
      </c>
      <c r="Y496" s="439">
        <f t="shared" si="60"/>
        <v>0</v>
      </c>
      <c r="Z496" s="439">
        <f t="shared" si="58"/>
        <v>0</v>
      </c>
    </row>
    <row r="497" spans="1:26" ht="25.5">
      <c r="A497" s="453">
        <f t="shared" si="59"/>
        <v>1.07</v>
      </c>
      <c r="B497" s="383">
        <v>35</v>
      </c>
      <c r="D497" s="406"/>
      <c r="E497" s="440"/>
      <c r="F497" s="407"/>
      <c r="G497" s="407"/>
      <c r="H497" s="407"/>
      <c r="I497" s="437"/>
      <c r="J497" s="408" t="s">
        <v>446</v>
      </c>
      <c r="K497" s="409" t="str">
        <f t="shared" si="56"/>
        <v>V=(Ancho x Largo x Alto)* Cant</v>
      </c>
      <c r="L497" s="410" t="str">
        <f t="shared" si="62"/>
        <v>M3</v>
      </c>
      <c r="M497" s="411"/>
      <c r="N497" s="412"/>
      <c r="O497" s="442"/>
      <c r="P497" s="442"/>
      <c r="Q497" s="413"/>
      <c r="R497" s="413"/>
      <c r="S497" s="413"/>
      <c r="T497" s="414">
        <f t="shared" si="57"/>
        <v>0</v>
      </c>
      <c r="Y497" s="439">
        <f t="shared" si="60"/>
        <v>0</v>
      </c>
      <c r="Z497" s="439">
        <f t="shared" si="58"/>
        <v>0</v>
      </c>
    </row>
    <row r="498" spans="1:26" ht="25.5">
      <c r="A498" s="453">
        <f t="shared" si="59"/>
        <v>1.07</v>
      </c>
      <c r="B498" s="383">
        <v>36</v>
      </c>
      <c r="D498" s="406"/>
      <c r="E498" s="407"/>
      <c r="F498" s="407"/>
      <c r="G498" s="407"/>
      <c r="H498" s="407"/>
      <c r="I498" s="407"/>
      <c r="J498" s="408" t="s">
        <v>447</v>
      </c>
      <c r="K498" s="409" t="str">
        <f t="shared" si="56"/>
        <v>V=(Ancho x Largo x Alto)* Cant</v>
      </c>
      <c r="L498" s="410" t="str">
        <f>+L487</f>
        <v>M3</v>
      </c>
      <c r="M498" s="411"/>
      <c r="N498" s="412"/>
      <c r="O498" s="442"/>
      <c r="P498" s="442"/>
      <c r="Q498" s="412"/>
      <c r="R498" s="412"/>
      <c r="S498" s="413"/>
      <c r="T498" s="414">
        <f t="shared" si="57"/>
        <v>0</v>
      </c>
      <c r="Y498" s="439">
        <f t="shared" si="60"/>
        <v>0</v>
      </c>
      <c r="Z498" s="439">
        <f t="shared" si="58"/>
        <v>0</v>
      </c>
    </row>
    <row r="499" spans="1:26" ht="25.5">
      <c r="A499" s="453">
        <f t="shared" si="59"/>
        <v>1.07</v>
      </c>
      <c r="B499" s="383">
        <v>37</v>
      </c>
      <c r="D499" s="406"/>
      <c r="E499" s="407"/>
      <c r="F499" s="407"/>
      <c r="G499" s="407"/>
      <c r="H499" s="407"/>
      <c r="I499" s="407"/>
      <c r="J499" s="408" t="s">
        <v>448</v>
      </c>
      <c r="K499" s="409" t="str">
        <f t="shared" si="56"/>
        <v>V=(Ancho x Largo x Alto)* Cant</v>
      </c>
      <c r="L499" s="410" t="str">
        <f t="shared" ref="L499:L505" si="63">+L498</f>
        <v>M3</v>
      </c>
      <c r="M499" s="411"/>
      <c r="N499" s="412"/>
      <c r="O499" s="441">
        <v>10.9</v>
      </c>
      <c r="P499" s="441">
        <v>0.2</v>
      </c>
      <c r="Q499" s="449">
        <v>0.7</v>
      </c>
      <c r="R499" s="413">
        <f>+Q499*P499*O499</f>
        <v>1.5259999999999998</v>
      </c>
      <c r="S499" s="413">
        <v>1</v>
      </c>
      <c r="T499" s="414">
        <f t="shared" si="57"/>
        <v>1.5259999999999998</v>
      </c>
      <c r="Y499" s="439">
        <f>+O499*P499*Q499*S499</f>
        <v>1.526</v>
      </c>
      <c r="Z499" s="439">
        <f t="shared" si="58"/>
        <v>1.526</v>
      </c>
    </row>
    <row r="500" spans="1:26" ht="25.5">
      <c r="A500" s="453">
        <f t="shared" si="59"/>
        <v>1.07</v>
      </c>
      <c r="B500" s="383">
        <v>38</v>
      </c>
      <c r="D500" s="406"/>
      <c r="E500" s="440"/>
      <c r="F500" s="407"/>
      <c r="G500" s="407"/>
      <c r="H500" s="407"/>
      <c r="I500" s="437"/>
      <c r="J500" s="408" t="s">
        <v>449</v>
      </c>
      <c r="K500" s="409" t="str">
        <f t="shared" si="56"/>
        <v>V=(Ancho x Largo x Alto)* Cant</v>
      </c>
      <c r="L500" s="410" t="str">
        <f t="shared" si="63"/>
        <v>M3</v>
      </c>
      <c r="M500" s="411"/>
      <c r="N500" s="412"/>
      <c r="O500" s="442"/>
      <c r="P500" s="442"/>
      <c r="Q500" s="413"/>
      <c r="R500" s="413"/>
      <c r="S500" s="413"/>
      <c r="T500" s="414">
        <f t="shared" si="57"/>
        <v>0</v>
      </c>
      <c r="Y500" s="439">
        <f t="shared" si="60"/>
        <v>0</v>
      </c>
      <c r="Z500" s="439">
        <f t="shared" si="58"/>
        <v>0</v>
      </c>
    </row>
    <row r="501" spans="1:26" ht="25.5">
      <c r="A501" s="453">
        <f t="shared" si="59"/>
        <v>1.07</v>
      </c>
      <c r="B501" s="383">
        <v>39</v>
      </c>
      <c r="D501" s="406"/>
      <c r="E501" s="407"/>
      <c r="F501" s="407"/>
      <c r="G501" s="407"/>
      <c r="H501" s="407"/>
      <c r="I501" s="407"/>
      <c r="J501" s="408" t="s">
        <v>450</v>
      </c>
      <c r="K501" s="409" t="str">
        <f t="shared" si="56"/>
        <v>V=(Ancho x Largo x Alto)* Cant</v>
      </c>
      <c r="L501" s="410" t="str">
        <f t="shared" si="63"/>
        <v>M3</v>
      </c>
      <c r="M501" s="411"/>
      <c r="N501" s="412"/>
      <c r="O501" s="441"/>
      <c r="P501" s="441"/>
      <c r="Q501" s="412"/>
      <c r="R501" s="412"/>
      <c r="S501" s="413"/>
      <c r="T501" s="414">
        <f t="shared" si="57"/>
        <v>0</v>
      </c>
      <c r="Y501" s="439">
        <f t="shared" si="60"/>
        <v>0</v>
      </c>
      <c r="Z501" s="439">
        <f t="shared" si="58"/>
        <v>0</v>
      </c>
    </row>
    <row r="502" spans="1:26" ht="25.5">
      <c r="A502" s="453">
        <f t="shared" si="59"/>
        <v>1.07</v>
      </c>
      <c r="B502" s="383">
        <v>40</v>
      </c>
      <c r="D502" s="406"/>
      <c r="E502" s="407"/>
      <c r="F502" s="407"/>
      <c r="G502" s="407"/>
      <c r="H502" s="407"/>
      <c r="I502" s="407"/>
      <c r="J502" s="408" t="s">
        <v>451</v>
      </c>
      <c r="K502" s="409" t="str">
        <f t="shared" si="56"/>
        <v>V=(Ancho x Largo x Alto)* Cant</v>
      </c>
      <c r="L502" s="410" t="str">
        <f t="shared" si="63"/>
        <v>M3</v>
      </c>
      <c r="M502" s="411"/>
      <c r="N502" s="412"/>
      <c r="O502" s="442"/>
      <c r="P502" s="442"/>
      <c r="Q502" s="412"/>
      <c r="R502" s="412"/>
      <c r="S502" s="413"/>
      <c r="T502" s="414">
        <f t="shared" si="57"/>
        <v>0</v>
      </c>
      <c r="Y502" s="439">
        <f t="shared" si="60"/>
        <v>0</v>
      </c>
      <c r="Z502" s="439">
        <f t="shared" si="58"/>
        <v>0</v>
      </c>
    </row>
    <row r="503" spans="1:26" ht="25.5">
      <c r="A503" s="453">
        <f t="shared" si="59"/>
        <v>1.07</v>
      </c>
      <c r="B503" s="383">
        <v>41</v>
      </c>
      <c r="D503" s="406"/>
      <c r="E503" s="407"/>
      <c r="F503" s="407"/>
      <c r="G503" s="407"/>
      <c r="H503" s="407"/>
      <c r="I503" s="407"/>
      <c r="J503" s="408" t="s">
        <v>452</v>
      </c>
      <c r="K503" s="409" t="str">
        <f t="shared" si="56"/>
        <v>V=(Ancho x Largo x Alto)* Cant</v>
      </c>
      <c r="L503" s="410" t="str">
        <f t="shared" si="63"/>
        <v>M3</v>
      </c>
      <c r="M503" s="411"/>
      <c r="N503" s="412"/>
      <c r="O503" s="442"/>
      <c r="P503" s="442"/>
      <c r="Q503" s="413"/>
      <c r="R503" s="413"/>
      <c r="S503" s="413"/>
      <c r="T503" s="414">
        <f t="shared" si="57"/>
        <v>0</v>
      </c>
      <c r="Y503" s="439">
        <f t="shared" si="60"/>
        <v>0</v>
      </c>
      <c r="Z503" s="439">
        <f t="shared" si="58"/>
        <v>0</v>
      </c>
    </row>
    <row r="504" spans="1:26" ht="25.5">
      <c r="A504" s="453">
        <f t="shared" si="59"/>
        <v>1.07</v>
      </c>
      <c r="B504" s="383">
        <v>42</v>
      </c>
      <c r="D504" s="406"/>
      <c r="E504" s="407"/>
      <c r="F504" s="407"/>
      <c r="G504" s="407"/>
      <c r="H504" s="407"/>
      <c r="I504" s="407"/>
      <c r="J504" s="408" t="s">
        <v>453</v>
      </c>
      <c r="K504" s="409" t="str">
        <f t="shared" si="56"/>
        <v>V=(Ancho x Largo x Alto)* Cant</v>
      </c>
      <c r="L504" s="410" t="str">
        <f t="shared" si="63"/>
        <v>M3</v>
      </c>
      <c r="M504" s="411"/>
      <c r="N504" s="412"/>
      <c r="O504" s="442"/>
      <c r="P504" s="442"/>
      <c r="Q504" s="412"/>
      <c r="R504" s="412"/>
      <c r="S504" s="413"/>
      <c r="T504" s="414">
        <f t="shared" si="57"/>
        <v>0</v>
      </c>
      <c r="Y504" s="439">
        <f t="shared" si="60"/>
        <v>0</v>
      </c>
      <c r="Z504" s="439">
        <f t="shared" si="58"/>
        <v>0</v>
      </c>
    </row>
    <row r="505" spans="1:26" ht="26.25" thickBot="1">
      <c r="A505" s="453">
        <f t="shared" si="59"/>
        <v>1.07</v>
      </c>
      <c r="B505" s="383">
        <v>43</v>
      </c>
      <c r="D505" s="406"/>
      <c r="E505" s="407"/>
      <c r="F505" s="407"/>
      <c r="G505" s="407"/>
      <c r="H505" s="407"/>
      <c r="I505" s="407"/>
      <c r="J505" s="408" t="s">
        <v>454</v>
      </c>
      <c r="K505" s="409" t="str">
        <f t="shared" si="56"/>
        <v>V=(Ancho x Largo x Alto)* Cant</v>
      </c>
      <c r="L505" s="410" t="str">
        <f t="shared" si="63"/>
        <v>M3</v>
      </c>
      <c r="M505" s="411"/>
      <c r="N505" s="412"/>
      <c r="O505" s="442"/>
      <c r="P505" s="442"/>
      <c r="Q505" s="412"/>
      <c r="R505" s="412"/>
      <c r="S505" s="413"/>
      <c r="T505" s="414">
        <f t="shared" si="57"/>
        <v>0</v>
      </c>
      <c r="Y505" s="439">
        <f t="shared" si="60"/>
        <v>0</v>
      </c>
      <c r="Z505" s="439">
        <f t="shared" si="58"/>
        <v>0</v>
      </c>
    </row>
    <row r="506" spans="1:26">
      <c r="D506" s="384"/>
      <c r="E506" s="419"/>
      <c r="F506" s="420"/>
      <c r="G506" s="421"/>
      <c r="H506" s="421"/>
      <c r="I506" s="421"/>
      <c r="J506" s="421"/>
      <c r="K506" s="422"/>
      <c r="L506" s="421"/>
      <c r="M506" s="421"/>
      <c r="N506" s="421"/>
      <c r="O506" s="421"/>
      <c r="P506" s="421"/>
      <c r="Q506" s="421"/>
      <c r="R506" s="421"/>
      <c r="S506" s="422"/>
      <c r="T506" s="423"/>
    </row>
    <row r="507" spans="1:26">
      <c r="D507" s="396"/>
      <c r="E507" s="397"/>
      <c r="F507" s="424"/>
      <c r="G507" s="425"/>
      <c r="H507" s="425"/>
      <c r="I507" s="425"/>
      <c r="J507" s="425"/>
      <c r="K507" s="398"/>
      <c r="L507" s="425"/>
      <c r="M507" s="425"/>
      <c r="N507" s="397"/>
      <c r="O507" s="397"/>
      <c r="P507" s="562" t="s">
        <v>455</v>
      </c>
      <c r="Q507" s="563"/>
      <c r="R507" s="564"/>
      <c r="S507" s="426"/>
      <c r="T507" s="427">
        <f>ROUND(SUM(T463:T506),2)</f>
        <v>1.67</v>
      </c>
    </row>
    <row r="508" spans="1:26">
      <c r="D508" s="396"/>
      <c r="E508" s="397"/>
      <c r="F508" s="424"/>
      <c r="G508" s="425"/>
      <c r="H508" s="425"/>
      <c r="I508" s="425"/>
      <c r="J508" s="425"/>
      <c r="K508" s="398"/>
      <c r="L508" s="425"/>
      <c r="M508" s="425"/>
      <c r="N508" s="428"/>
      <c r="O508" s="428"/>
      <c r="P508" s="429"/>
      <c r="Q508" s="425"/>
      <c r="R508" s="425"/>
      <c r="S508" s="430"/>
      <c r="T508" s="431"/>
    </row>
    <row r="509" spans="1:26">
      <c r="D509" s="565" t="e">
        <v>#REF!</v>
      </c>
      <c r="E509" s="566"/>
      <c r="F509" s="566"/>
      <c r="G509" s="566"/>
      <c r="H509" s="566"/>
      <c r="I509" s="566"/>
      <c r="J509" s="566"/>
      <c r="K509" s="566"/>
      <c r="L509" s="566"/>
      <c r="M509" s="566"/>
      <c r="N509" s="566"/>
      <c r="O509" s="567"/>
      <c r="P509" s="568" t="s">
        <v>422</v>
      </c>
      <c r="Q509" s="568"/>
      <c r="R509" s="568"/>
      <c r="S509" s="426"/>
      <c r="T509" s="427">
        <f>T507</f>
        <v>1.67</v>
      </c>
    </row>
    <row r="510" spans="1:26" ht="8.4499999999999993" customHeight="1">
      <c r="D510" s="396"/>
      <c r="E510" s="397"/>
      <c r="F510" s="424"/>
      <c r="G510" s="425"/>
      <c r="H510" s="425"/>
      <c r="I510" s="425"/>
      <c r="J510" s="425"/>
      <c r="K510" s="398"/>
      <c r="L510" s="425"/>
      <c r="M510" s="425"/>
      <c r="N510" s="428"/>
      <c r="O510" s="428"/>
      <c r="P510" s="429"/>
      <c r="Q510" s="425"/>
      <c r="R510" s="398"/>
      <c r="S510" s="398"/>
      <c r="T510" s="432"/>
    </row>
    <row r="511" spans="1:26" ht="7.15" customHeight="1">
      <c r="D511" s="396"/>
      <c r="E511" s="397"/>
      <c r="F511" s="424"/>
      <c r="G511" s="425"/>
      <c r="H511" s="425"/>
      <c r="I511" s="425"/>
      <c r="J511" s="425"/>
      <c r="K511" s="398"/>
      <c r="L511" s="425"/>
      <c r="M511" s="425"/>
      <c r="N511" s="428"/>
      <c r="O511" s="428"/>
      <c r="P511" s="429"/>
      <c r="Q511" s="425"/>
      <c r="R511" s="398"/>
      <c r="S511" s="398"/>
      <c r="T511" s="432"/>
    </row>
    <row r="512" spans="1:26">
      <c r="D512" s="569" t="s">
        <v>423</v>
      </c>
      <c r="E512" s="570"/>
      <c r="F512" s="570"/>
      <c r="G512" s="570"/>
      <c r="H512" s="570"/>
      <c r="I512" s="570"/>
      <c r="J512" s="570"/>
      <c r="K512" s="571"/>
      <c r="L512" s="433" t="s">
        <v>424</v>
      </c>
      <c r="M512" s="434"/>
      <c r="N512" s="434"/>
      <c r="O512" s="434"/>
      <c r="P512" s="434"/>
      <c r="Q512" s="434"/>
      <c r="R512" s="434"/>
      <c r="S512" s="434"/>
      <c r="T512" s="435"/>
    </row>
    <row r="513" spans="4:20">
      <c r="D513" s="542"/>
      <c r="E513" s="543"/>
      <c r="F513" s="543"/>
      <c r="G513" s="543"/>
      <c r="H513" s="436"/>
      <c r="I513" s="436"/>
      <c r="J513" s="436"/>
      <c r="K513" s="447"/>
      <c r="L513" s="436"/>
      <c r="M513" s="407"/>
      <c r="N513" s="407"/>
      <c r="O513" s="407"/>
      <c r="P513" s="407"/>
      <c r="Q513" s="407"/>
      <c r="R513" s="407"/>
      <c r="S513" s="407"/>
      <c r="T513" s="437"/>
    </row>
    <row r="514" spans="4:20">
      <c r="D514" s="542"/>
      <c r="E514" s="543"/>
      <c r="F514" s="543"/>
      <c r="G514" s="543"/>
      <c r="H514" s="436"/>
      <c r="I514" s="436"/>
      <c r="J514" s="436"/>
      <c r="K514" s="447"/>
      <c r="L514" s="436"/>
      <c r="M514" s="407"/>
      <c r="N514" s="407"/>
      <c r="O514" s="407"/>
      <c r="P514" s="407"/>
      <c r="Q514" s="407"/>
      <c r="R514" s="407"/>
      <c r="S514" s="407"/>
      <c r="T514" s="437"/>
    </row>
    <row r="515" spans="4:20" hidden="1">
      <c r="D515" s="542" t="s">
        <v>425</v>
      </c>
      <c r="E515" s="543"/>
      <c r="F515" s="543" t="s">
        <v>425</v>
      </c>
      <c r="G515" s="543"/>
      <c r="H515" s="543" t="s">
        <v>425</v>
      </c>
      <c r="I515" s="543"/>
      <c r="J515" s="543" t="s">
        <v>425</v>
      </c>
      <c r="K515" s="544"/>
      <c r="L515" s="545" t="s">
        <v>426</v>
      </c>
      <c r="M515" s="546"/>
      <c r="N515" s="546"/>
      <c r="O515" s="546"/>
      <c r="P515" s="546"/>
      <c r="Q515" s="546"/>
      <c r="R515" s="546"/>
      <c r="S515" s="546"/>
      <c r="T515" s="547"/>
    </row>
    <row r="516" spans="4:20">
      <c r="D516" s="548" t="str">
        <f>+[42]DATOS!D$8</f>
        <v>HELMER EDUARDO BECERRA SANTANDER</v>
      </c>
      <c r="E516" s="549"/>
      <c r="F516" s="549" t="s">
        <v>427</v>
      </c>
      <c r="G516" s="549"/>
      <c r="H516" s="549" t="s">
        <v>427</v>
      </c>
      <c r="I516" s="549"/>
      <c r="J516" s="549" t="s">
        <v>427</v>
      </c>
      <c r="K516" s="550"/>
      <c r="L516" s="551" t="str">
        <f>+[42]DATOS!D$11</f>
        <v>JESUS IVAN QUIÑONES RUEDA</v>
      </c>
      <c r="M516" s="549"/>
      <c r="N516" s="549"/>
      <c r="O516" s="549"/>
      <c r="P516" s="549"/>
      <c r="Q516" s="549"/>
      <c r="R516" s="549"/>
      <c r="S516" s="549"/>
      <c r="T516" s="552"/>
    </row>
    <row r="517" spans="4:20">
      <c r="D517" s="553" t="str">
        <f>+$D$72</f>
        <v>APOYO SEC. DE PLANEACION Y OBRAS PÚBLICAS</v>
      </c>
      <c r="E517" s="554"/>
      <c r="F517" s="554" t="s">
        <v>428</v>
      </c>
      <c r="G517" s="554"/>
      <c r="H517" s="554" t="s">
        <v>428</v>
      </c>
      <c r="I517" s="554"/>
      <c r="J517" s="554" t="s">
        <v>428</v>
      </c>
      <c r="K517" s="555"/>
      <c r="L517" s="556" t="str">
        <f>+$L$72</f>
        <v>SECRETARIO DE PLANEACION Y OBRAS PÚBLICAS</v>
      </c>
      <c r="M517" s="554"/>
      <c r="N517" s="554"/>
      <c r="O517" s="554"/>
      <c r="P517" s="554"/>
      <c r="Q517" s="554"/>
      <c r="R517" s="554"/>
      <c r="S517" s="554"/>
      <c r="T517" s="557"/>
    </row>
    <row r="518" spans="4:20">
      <c r="D518" s="406"/>
      <c r="E518" s="407"/>
      <c r="F518" s="407"/>
      <c r="G518" s="407"/>
      <c r="H518" s="407"/>
      <c r="I518" s="407"/>
      <c r="J518" s="407"/>
      <c r="K518" s="407"/>
      <c r="L518" s="407"/>
      <c r="M518" s="407"/>
      <c r="N518" s="407"/>
      <c r="O518" s="407"/>
      <c r="P518" s="407"/>
      <c r="Q518" s="407"/>
      <c r="R518" s="407"/>
      <c r="S518" s="407"/>
      <c r="T518" s="437"/>
    </row>
    <row r="519" spans="4:20" ht="111" customHeight="1" thickBot="1">
      <c r="D519" s="417"/>
      <c r="E519" s="418"/>
      <c r="F519" s="418"/>
      <c r="G519" s="418"/>
      <c r="H519" s="418"/>
      <c r="I519" s="418"/>
      <c r="J519" s="418"/>
      <c r="K519" s="418"/>
      <c r="L519" s="418"/>
      <c r="M519" s="418"/>
      <c r="N519" s="418"/>
      <c r="O519" s="418"/>
      <c r="P519" s="418"/>
      <c r="Q519" s="418"/>
      <c r="R519" s="418"/>
      <c r="S519" s="418"/>
      <c r="T519" s="438"/>
    </row>
    <row r="520" spans="4:20" ht="22.5" customHeight="1"/>
    <row r="521" spans="4:20" ht="13.5" thickBot="1"/>
    <row r="522" spans="4:20">
      <c r="D522" s="384"/>
      <c r="E522" s="385"/>
      <c r="F522" s="385"/>
      <c r="G522" s="385"/>
      <c r="H522" s="385"/>
      <c r="I522" s="385"/>
      <c r="J522" s="385"/>
      <c r="K522" s="445"/>
      <c r="L522" s="385"/>
      <c r="M522" s="385"/>
      <c r="N522" s="385"/>
      <c r="O522" s="385"/>
      <c r="P522" s="385"/>
      <c r="Q522" s="385"/>
      <c r="R522" s="385"/>
      <c r="S522" s="385"/>
      <c r="T522" s="386"/>
    </row>
    <row r="523" spans="4:20" ht="121.5" customHeight="1" thickBot="1">
      <c r="D523" s="387"/>
      <c r="E523" s="388"/>
      <c r="F523" s="388"/>
      <c r="G523" s="388"/>
      <c r="H523" s="388"/>
      <c r="I523" s="388"/>
      <c r="J523" s="388"/>
      <c r="K523" s="446"/>
      <c r="L523" s="388"/>
      <c r="M523" s="388"/>
      <c r="N523" s="388"/>
      <c r="O523" s="388"/>
      <c r="P523" s="388"/>
      <c r="Q523" s="388"/>
      <c r="R523" s="388"/>
      <c r="S523" s="388"/>
      <c r="T523" s="389"/>
    </row>
    <row r="524" spans="4:20">
      <c r="D524" s="592" t="str">
        <f>+[42]DATOS!C$7</f>
        <v>MEJORAMIENTO DE VIVIENDA CON ENFOQUE DIFERENCIAL PARA POBLACIÓN VULNERABLE EN EL MUNICIPIO DE CUBARÁ, BOYACÁ (2026).</v>
      </c>
      <c r="E524" s="593"/>
      <c r="F524" s="593"/>
      <c r="G524" s="593"/>
      <c r="H524" s="593"/>
      <c r="I524" s="593"/>
      <c r="J524" s="593"/>
      <c r="K524" s="593"/>
      <c r="L524" s="593"/>
      <c r="M524" s="593"/>
      <c r="N524" s="593"/>
      <c r="O524" s="593"/>
      <c r="P524" s="593"/>
      <c r="Q524" s="593"/>
      <c r="R524" s="593"/>
      <c r="S524" s="593"/>
      <c r="T524" s="594"/>
    </row>
    <row r="525" spans="4:20" ht="10.15" customHeight="1">
      <c r="D525" s="595"/>
      <c r="E525" s="596"/>
      <c r="F525" s="596"/>
      <c r="G525" s="596"/>
      <c r="H525" s="596"/>
      <c r="I525" s="596"/>
      <c r="J525" s="596"/>
      <c r="K525" s="596"/>
      <c r="L525" s="596"/>
      <c r="M525" s="596"/>
      <c r="N525" s="596"/>
      <c r="O525" s="596"/>
      <c r="P525" s="596"/>
      <c r="Q525" s="596"/>
      <c r="R525" s="596"/>
      <c r="S525" s="596"/>
      <c r="T525" s="597"/>
    </row>
    <row r="526" spans="4:20">
      <c r="D526" s="598" t="s">
        <v>371</v>
      </c>
      <c r="E526" s="599"/>
      <c r="F526" s="599"/>
      <c r="G526" s="599"/>
      <c r="H526" s="599"/>
      <c r="I526" s="599"/>
      <c r="J526" s="599"/>
      <c r="K526" s="599"/>
      <c r="L526" s="599"/>
      <c r="M526" s="599"/>
      <c r="N526" s="599"/>
      <c r="O526" s="599"/>
      <c r="P526" s="599"/>
      <c r="Q526" s="599"/>
      <c r="R526" s="599"/>
      <c r="S526" s="599"/>
      <c r="T526" s="600"/>
    </row>
    <row r="527" spans="4:20">
      <c r="D527" s="586" t="s">
        <v>372</v>
      </c>
      <c r="E527" s="587"/>
      <c r="F527" s="601" t="s">
        <v>373</v>
      </c>
      <c r="G527" s="601"/>
      <c r="H527" s="601"/>
      <c r="I527" s="601"/>
      <c r="J527" s="601"/>
      <c r="K527" s="601"/>
      <c r="L527" s="601"/>
      <c r="M527" s="601"/>
      <c r="N527" s="601"/>
      <c r="O527" s="601"/>
      <c r="P527" s="601"/>
      <c r="Q527" s="601"/>
      <c r="R527" s="601"/>
      <c r="S527" s="601"/>
      <c r="T527" s="602"/>
    </row>
    <row r="528" spans="4:20">
      <c r="D528" s="586" t="s">
        <v>374</v>
      </c>
      <c r="E528" s="587"/>
      <c r="F528" s="603" t="s">
        <v>375</v>
      </c>
      <c r="G528" s="604"/>
      <c r="H528" s="604"/>
      <c r="I528" s="604"/>
      <c r="J528" s="604"/>
      <c r="K528" s="604"/>
      <c r="L528" s="604"/>
      <c r="M528" s="604"/>
      <c r="N528" s="604"/>
      <c r="O528" s="604"/>
      <c r="P528" s="604"/>
      <c r="Q528" s="604"/>
      <c r="R528" s="604"/>
      <c r="S528" s="604"/>
      <c r="T528" s="605"/>
    </row>
    <row r="529" spans="1:26">
      <c r="D529" s="586" t="s">
        <v>376</v>
      </c>
      <c r="E529" s="587"/>
      <c r="F529" s="390">
        <f>+[42]DATOS!F$5</f>
        <v>46143</v>
      </c>
      <c r="G529" s="391"/>
      <c r="H529" s="391"/>
      <c r="I529" s="391"/>
      <c r="J529" s="391"/>
      <c r="K529" s="391"/>
      <c r="L529" s="568" t="s">
        <v>377</v>
      </c>
      <c r="M529" s="568"/>
      <c r="N529" s="588" t="s">
        <v>378</v>
      </c>
      <c r="O529" s="588"/>
      <c r="P529" s="588"/>
      <c r="Q529" s="588"/>
      <c r="R529" s="588"/>
      <c r="S529" s="588"/>
      <c r="T529" s="589"/>
    </row>
    <row r="530" spans="1:26" ht="18.600000000000001" customHeight="1">
      <c r="D530" s="586" t="s">
        <v>379</v>
      </c>
      <c r="E530" s="587"/>
      <c r="F530" s="590" t="s">
        <v>380</v>
      </c>
      <c r="G530" s="591"/>
      <c r="H530" s="392">
        <f>+[42]DATOS!E$5</f>
        <v>2026</v>
      </c>
      <c r="I530" s="393" t="s">
        <v>381</v>
      </c>
      <c r="J530" s="394">
        <f>+[42]DATOS!E$5</f>
        <v>2026</v>
      </c>
      <c r="K530" s="395"/>
      <c r="L530" s="568" t="s">
        <v>382</v>
      </c>
      <c r="M530" s="568"/>
      <c r="N530" s="588" t="s">
        <v>383</v>
      </c>
      <c r="O530" s="588"/>
      <c r="P530" s="588"/>
      <c r="Q530" s="588"/>
      <c r="R530" s="588"/>
      <c r="S530" s="588"/>
      <c r="T530" s="589"/>
    </row>
    <row r="531" spans="1:26">
      <c r="D531" s="396"/>
      <c r="E531" s="397"/>
      <c r="F531" s="397"/>
      <c r="G531" s="398"/>
      <c r="H531" s="398"/>
      <c r="I531" s="398"/>
      <c r="J531" s="398"/>
      <c r="K531" s="398"/>
      <c r="L531" s="398"/>
      <c r="M531" s="398"/>
      <c r="N531" s="398"/>
      <c r="O531" s="398"/>
      <c r="P531" s="398"/>
      <c r="Q531" s="398"/>
      <c r="R531" s="398"/>
      <c r="S531" s="398"/>
      <c r="T531" s="399"/>
    </row>
    <row r="532" spans="1:26">
      <c r="D532" s="572" t="s">
        <v>384</v>
      </c>
      <c r="E532" s="573"/>
      <c r="F532" s="573"/>
      <c r="G532" s="573"/>
      <c r="H532" s="573"/>
      <c r="I532" s="573"/>
      <c r="J532" s="573"/>
      <c r="K532" s="573"/>
      <c r="L532" s="573"/>
      <c r="M532" s="573"/>
      <c r="N532" s="573"/>
      <c r="O532" s="573"/>
      <c r="P532" s="573"/>
      <c r="Q532" s="573"/>
      <c r="R532" s="573"/>
      <c r="S532" s="573"/>
      <c r="T532" s="574"/>
    </row>
    <row r="533" spans="1:26" ht="5.45" customHeight="1">
      <c r="D533" s="396"/>
      <c r="E533" s="397"/>
      <c r="F533" s="397"/>
      <c r="G533" s="398"/>
      <c r="H533" s="398"/>
      <c r="I533" s="398"/>
      <c r="J533" s="398"/>
      <c r="K533" s="398"/>
      <c r="L533" s="398"/>
      <c r="M533" s="398"/>
      <c r="N533" s="398"/>
      <c r="O533" s="398"/>
      <c r="P533" s="398"/>
      <c r="Q533" s="398"/>
      <c r="R533" s="398"/>
      <c r="S533" s="398"/>
      <c r="T533" s="399"/>
    </row>
    <row r="534" spans="1:26">
      <c r="D534" s="400" t="s">
        <v>385</v>
      </c>
      <c r="E534" s="575" t="s">
        <v>386</v>
      </c>
      <c r="F534" s="575"/>
      <c r="G534" s="576" t="s">
        <v>387</v>
      </c>
      <c r="H534" s="577"/>
      <c r="I534" s="577"/>
      <c r="J534" s="576" t="s">
        <v>388</v>
      </c>
      <c r="K534" s="576" t="s">
        <v>389</v>
      </c>
      <c r="L534" s="579"/>
      <c r="M534" s="581" t="s">
        <v>390</v>
      </c>
      <c r="N534" s="581"/>
      <c r="O534" s="581"/>
      <c r="P534" s="581"/>
      <c r="Q534" s="581"/>
      <c r="R534" s="581"/>
      <c r="S534" s="581" t="s">
        <v>391</v>
      </c>
      <c r="T534" s="582"/>
    </row>
    <row r="535" spans="1:26" ht="25.15" customHeight="1">
      <c r="D535" s="403">
        <f>+'PRESUPUESTO OFICIAL '!C19</f>
        <v>1.08</v>
      </c>
      <c r="E535" s="583" t="str">
        <f>+VLOOKUP(D535,'PRESUPUESTO OFICIAL '!$C$11:$H$103,2)</f>
        <v xml:space="preserve">DEMOLICIÓN OBRAS EN CONCRETO REFORZADO, INCLUYE CARGUE Y RETIRO DE SOBRANTES CON ACARREO LIBRE HASTA 5 KM.). </v>
      </c>
      <c r="F535" s="584"/>
      <c r="G535" s="585" t="str">
        <f>+VLOOKUP(D535,'PRESUPUESTO OFICIAL '!$C$11:$H$103,3)</f>
        <v>M3</v>
      </c>
      <c r="H535" s="585"/>
      <c r="I535" s="585"/>
      <c r="J535" s="578"/>
      <c r="K535" s="578"/>
      <c r="L535" s="580"/>
      <c r="M535" s="401" t="s">
        <v>392</v>
      </c>
      <c r="N535" s="401" t="s">
        <v>393</v>
      </c>
      <c r="O535" s="401" t="s">
        <v>394</v>
      </c>
      <c r="P535" s="401" t="s">
        <v>395</v>
      </c>
      <c r="Q535" s="401" t="s">
        <v>396</v>
      </c>
      <c r="R535" s="401" t="s">
        <v>397</v>
      </c>
      <c r="S535" s="401" t="s">
        <v>398</v>
      </c>
      <c r="T535" s="402" t="s">
        <v>399</v>
      </c>
      <c r="V535" s="404">
        <f>+D535</f>
        <v>1.08</v>
      </c>
      <c r="W535" s="405">
        <f>+T583</f>
        <v>1.75</v>
      </c>
    </row>
    <row r="536" spans="1:26">
      <c r="D536" s="406"/>
      <c r="E536" s="407"/>
      <c r="F536" s="407"/>
      <c r="G536" s="407"/>
      <c r="H536" s="407"/>
      <c r="I536" s="407"/>
      <c r="J536" s="558"/>
      <c r="K536" s="559"/>
      <c r="L536" s="560"/>
      <c r="M536" s="560"/>
      <c r="N536" s="560"/>
      <c r="O536" s="560"/>
      <c r="P536" s="560"/>
      <c r="Q536" s="560"/>
      <c r="R536" s="560"/>
      <c r="S536" s="560"/>
      <c r="T536" s="561"/>
    </row>
    <row r="537" spans="1:26" ht="25.5">
      <c r="A537" s="453">
        <f>+D535</f>
        <v>1.08</v>
      </c>
      <c r="B537" s="383">
        <v>1</v>
      </c>
      <c r="D537" s="406"/>
      <c r="E537" s="407"/>
      <c r="F537" s="407"/>
      <c r="G537" s="407"/>
      <c r="H537" s="407"/>
      <c r="I537" s="407"/>
      <c r="J537" s="408" t="s">
        <v>400</v>
      </c>
      <c r="K537" s="409" t="str">
        <f t="shared" ref="K537:K579" si="64">+VLOOKUP(L537,$AH$22:$AJ$58,2,)</f>
        <v>V=(Ancho x Largo x Alto)* Cant</v>
      </c>
      <c r="L537" s="410" t="str">
        <f>+G535</f>
        <v>M3</v>
      </c>
      <c r="M537" s="411"/>
      <c r="N537" s="412"/>
      <c r="O537" s="442"/>
      <c r="P537" s="442"/>
      <c r="Q537" s="413"/>
      <c r="R537" s="411">
        <f>+HLOOKUP(B537,[238]Hoja1!$2:$78,12,FALSE)</f>
        <v>0</v>
      </c>
      <c r="S537" s="413"/>
      <c r="T537" s="414">
        <f t="shared" ref="T537:T542" si="65">+S537*R537</f>
        <v>0</v>
      </c>
      <c r="Y537" s="439">
        <f>+O537*P537</f>
        <v>0</v>
      </c>
      <c r="Z537" s="439">
        <f t="shared" ref="Z537:Z550" si="66">+Y537-R537</f>
        <v>0</v>
      </c>
    </row>
    <row r="538" spans="1:26" ht="25.5">
      <c r="A538" s="453">
        <f>+A537</f>
        <v>1.08</v>
      </c>
      <c r="B538" s="383">
        <v>2</v>
      </c>
      <c r="D538" s="406"/>
      <c r="E538" s="407"/>
      <c r="F538" s="407"/>
      <c r="G538" s="407"/>
      <c r="H538" s="407"/>
      <c r="I538" s="407"/>
      <c r="J538" s="408" t="s">
        <v>401</v>
      </c>
      <c r="K538" s="409" t="str">
        <f t="shared" si="64"/>
        <v>V=(Ancho x Largo x Alto)* Cant</v>
      </c>
      <c r="L538" s="410" t="str">
        <f>+L537</f>
        <v>M3</v>
      </c>
      <c r="M538" s="411"/>
      <c r="N538" s="412"/>
      <c r="O538" s="442"/>
      <c r="P538" s="442"/>
      <c r="Q538" s="413"/>
      <c r="R538" s="411">
        <f>+HLOOKUP(B538,[238]Hoja1!$2:$78,12,FALSE)</f>
        <v>0</v>
      </c>
      <c r="S538" s="413"/>
      <c r="T538" s="414">
        <f t="shared" si="65"/>
        <v>0</v>
      </c>
      <c r="Y538" s="439">
        <f>+O538*P538</f>
        <v>0</v>
      </c>
      <c r="Z538" s="439">
        <f t="shared" si="66"/>
        <v>0</v>
      </c>
    </row>
    <row r="539" spans="1:26" ht="25.5">
      <c r="A539" s="453">
        <f t="shared" ref="A539:A579" si="67">+A538</f>
        <v>1.08</v>
      </c>
      <c r="B539" s="383">
        <v>3</v>
      </c>
      <c r="D539" s="406"/>
      <c r="E539" s="407"/>
      <c r="F539" s="407"/>
      <c r="G539" s="407"/>
      <c r="H539" s="407"/>
      <c r="I539" s="407"/>
      <c r="J539" s="408" t="s">
        <v>402</v>
      </c>
      <c r="K539" s="409" t="str">
        <f t="shared" si="64"/>
        <v>V=(Ancho x Largo x Alto)* Cant</v>
      </c>
      <c r="L539" s="410" t="str">
        <f>+L538</f>
        <v>M3</v>
      </c>
      <c r="M539" s="411"/>
      <c r="N539" s="412"/>
      <c r="O539" s="442"/>
      <c r="P539" s="442"/>
      <c r="Q539" s="413"/>
      <c r="R539" s="411">
        <f>+HLOOKUP(B539,[238]Hoja1!$2:$78,12,FALSE)</f>
        <v>0</v>
      </c>
      <c r="S539" s="413"/>
      <c r="T539" s="414">
        <f t="shared" si="65"/>
        <v>0</v>
      </c>
      <c r="Y539" s="439">
        <f t="shared" ref="Y539:Y542" si="68">+O539*P539</f>
        <v>0</v>
      </c>
      <c r="Z539" s="439">
        <f t="shared" si="66"/>
        <v>0</v>
      </c>
    </row>
    <row r="540" spans="1:26" ht="25.5">
      <c r="A540" s="453">
        <f t="shared" si="67"/>
        <v>1.08</v>
      </c>
      <c r="B540" s="383">
        <v>4</v>
      </c>
      <c r="D540" s="406"/>
      <c r="E540" s="407"/>
      <c r="F540" s="407"/>
      <c r="G540" s="407"/>
      <c r="H540" s="407"/>
      <c r="I540" s="407"/>
      <c r="J540" s="408" t="s">
        <v>403</v>
      </c>
      <c r="K540" s="409" t="str">
        <f t="shared" si="64"/>
        <v>V=(Ancho x Largo x Alto)* Cant</v>
      </c>
      <c r="L540" s="410" t="str">
        <f>+L539</f>
        <v>M3</v>
      </c>
      <c r="M540" s="411"/>
      <c r="N540" s="412"/>
      <c r="O540" s="442"/>
      <c r="P540" s="442"/>
      <c r="Q540" s="413"/>
      <c r="R540" s="411">
        <f>+HLOOKUP(B540,[238]Hoja1!$2:$78,12,FALSE)</f>
        <v>0</v>
      </c>
      <c r="S540" s="413"/>
      <c r="T540" s="414">
        <f t="shared" si="65"/>
        <v>0</v>
      </c>
      <c r="Y540" s="439">
        <f t="shared" si="68"/>
        <v>0</v>
      </c>
      <c r="Z540" s="439">
        <f t="shared" si="66"/>
        <v>0</v>
      </c>
    </row>
    <row r="541" spans="1:26" ht="25.5">
      <c r="A541" s="453">
        <f t="shared" si="67"/>
        <v>1.08</v>
      </c>
      <c r="B541" s="383">
        <v>5</v>
      </c>
      <c r="D541" s="406"/>
      <c r="E541" s="407"/>
      <c r="F541" s="407"/>
      <c r="G541" s="407"/>
      <c r="H541" s="407"/>
      <c r="I541" s="407"/>
      <c r="J541" s="408" t="s">
        <v>405</v>
      </c>
      <c r="K541" s="409" t="str">
        <f t="shared" si="64"/>
        <v>V=(Ancho x Largo x Alto)* Cant</v>
      </c>
      <c r="L541" s="410" t="str">
        <f>+L540</f>
        <v>M3</v>
      </c>
      <c r="M541" s="411"/>
      <c r="N541" s="412"/>
      <c r="O541" s="442"/>
      <c r="P541" s="442"/>
      <c r="Q541" s="413"/>
      <c r="R541" s="411">
        <f>+HLOOKUP(B541,[238]Hoja1!$2:$78,12,FALSE)</f>
        <v>0</v>
      </c>
      <c r="S541" s="413"/>
      <c r="T541" s="414">
        <f t="shared" si="65"/>
        <v>0</v>
      </c>
      <c r="Y541" s="439">
        <f t="shared" si="68"/>
        <v>0</v>
      </c>
      <c r="Z541" s="439">
        <f t="shared" si="66"/>
        <v>0</v>
      </c>
    </row>
    <row r="542" spans="1:26" ht="25.5">
      <c r="A542" s="453">
        <f t="shared" si="67"/>
        <v>1.08</v>
      </c>
      <c r="B542" s="383">
        <v>6</v>
      </c>
      <c r="D542" s="406"/>
      <c r="E542" s="407"/>
      <c r="F542" s="407"/>
      <c r="G542" s="407"/>
      <c r="H542" s="407"/>
      <c r="I542" s="407"/>
      <c r="J542" s="408" t="s">
        <v>407</v>
      </c>
      <c r="K542" s="409" t="str">
        <f t="shared" si="64"/>
        <v>V=(Ancho x Largo x Alto)* Cant</v>
      </c>
      <c r="L542" s="410" t="str">
        <f>+L541</f>
        <v>M3</v>
      </c>
      <c r="M542" s="411"/>
      <c r="N542" s="412"/>
      <c r="O542" s="442"/>
      <c r="P542" s="442"/>
      <c r="Q542" s="413"/>
      <c r="R542" s="411">
        <f>+HLOOKUP(B542,[238]Hoja1!$2:$78,12,FALSE)</f>
        <v>0</v>
      </c>
      <c r="S542" s="413"/>
      <c r="T542" s="414">
        <f t="shared" si="65"/>
        <v>0</v>
      </c>
      <c r="Y542" s="439">
        <f t="shared" si="68"/>
        <v>0</v>
      </c>
      <c r="Z542" s="439">
        <f t="shared" si="66"/>
        <v>0</v>
      </c>
    </row>
    <row r="543" spans="1:26" ht="25.5">
      <c r="A543" s="453">
        <f t="shared" si="67"/>
        <v>1.08</v>
      </c>
      <c r="B543" s="383">
        <v>7</v>
      </c>
      <c r="D543" s="406"/>
      <c r="E543" s="407"/>
      <c r="F543" s="407"/>
      <c r="G543" s="407"/>
      <c r="H543" s="407"/>
      <c r="I543" s="407"/>
      <c r="J543" s="408" t="s">
        <v>409</v>
      </c>
      <c r="K543" s="409" t="str">
        <f t="shared" si="64"/>
        <v>V=(Ancho x Largo x Alto)* Cant</v>
      </c>
      <c r="L543" s="410" t="str">
        <f>+L537</f>
        <v>M3</v>
      </c>
      <c r="M543" s="411"/>
      <c r="N543" s="412"/>
      <c r="O543" s="442"/>
      <c r="P543" s="442"/>
      <c r="Q543" s="413"/>
      <c r="R543" s="411">
        <f>+HLOOKUP(B543,[238]Hoja1!$2:$78,12,FALSE)</f>
        <v>0</v>
      </c>
      <c r="S543" s="413"/>
      <c r="T543" s="414">
        <f>+S543*R543</f>
        <v>0</v>
      </c>
      <c r="Y543" s="439">
        <f>+O543*P543*Q543*S543</f>
        <v>0</v>
      </c>
      <c r="Z543" s="439">
        <f t="shared" si="66"/>
        <v>0</v>
      </c>
    </row>
    <row r="544" spans="1:26" ht="25.5">
      <c r="A544" s="453">
        <f t="shared" si="67"/>
        <v>1.08</v>
      </c>
      <c r="B544" s="383">
        <v>8</v>
      </c>
      <c r="D544" s="406"/>
      <c r="E544" s="407"/>
      <c r="F544" s="407"/>
      <c r="G544" s="407"/>
      <c r="H544" s="407"/>
      <c r="I544" s="407"/>
      <c r="J544" s="408" t="s">
        <v>411</v>
      </c>
      <c r="K544" s="409" t="str">
        <f t="shared" si="64"/>
        <v>V=(Ancho x Largo x Alto)* Cant</v>
      </c>
      <c r="L544" s="410" t="str">
        <f>+L543</f>
        <v>M3</v>
      </c>
      <c r="M544" s="411"/>
      <c r="N544" s="412"/>
      <c r="O544" s="442"/>
      <c r="P544" s="442"/>
      <c r="Q544" s="413"/>
      <c r="R544" s="411">
        <f>+HLOOKUP(B544,[238]Hoja1!$2:$78,12,FALSE)</f>
        <v>0</v>
      </c>
      <c r="S544" s="413"/>
      <c r="T544" s="414">
        <f t="shared" ref="T544:T579" si="69">+S544*R544</f>
        <v>0</v>
      </c>
      <c r="Y544" s="439">
        <f t="shared" ref="Y544:Y550" si="70">+O544*P544</f>
        <v>0</v>
      </c>
      <c r="Z544" s="439">
        <f t="shared" si="66"/>
        <v>0</v>
      </c>
    </row>
    <row r="545" spans="1:26" ht="25.5">
      <c r="A545" s="453">
        <f t="shared" si="67"/>
        <v>1.08</v>
      </c>
      <c r="B545" s="383">
        <v>9</v>
      </c>
      <c r="D545" s="406"/>
      <c r="E545" s="407"/>
      <c r="F545" s="407"/>
      <c r="G545" s="407"/>
      <c r="H545" s="407"/>
      <c r="I545" s="407"/>
      <c r="J545" s="408" t="s">
        <v>412</v>
      </c>
      <c r="K545" s="409" t="str">
        <f t="shared" si="64"/>
        <v>V=(Ancho x Largo x Alto)* Cant</v>
      </c>
      <c r="L545" s="410" t="str">
        <f>+L544</f>
        <v>M3</v>
      </c>
      <c r="M545" s="411"/>
      <c r="N545" s="412"/>
      <c r="O545" s="442"/>
      <c r="P545" s="442"/>
      <c r="Q545" s="412"/>
      <c r="R545" s="411">
        <f>+HLOOKUP(B545,[238]Hoja1!$2:$78,12,FALSE)</f>
        <v>0</v>
      </c>
      <c r="S545" s="413"/>
      <c r="T545" s="414">
        <f t="shared" si="69"/>
        <v>0</v>
      </c>
      <c r="Y545" s="439">
        <f t="shared" si="70"/>
        <v>0</v>
      </c>
      <c r="Z545" s="439">
        <f t="shared" si="66"/>
        <v>0</v>
      </c>
    </row>
    <row r="546" spans="1:26" ht="25.5">
      <c r="A546" s="453">
        <f t="shared" si="67"/>
        <v>1.08</v>
      </c>
      <c r="B546" s="383">
        <v>10</v>
      </c>
      <c r="D546" s="406"/>
      <c r="E546" s="407"/>
      <c r="F546" s="407"/>
      <c r="G546" s="407"/>
      <c r="H546" s="407"/>
      <c r="I546" s="407"/>
      <c r="J546" s="408" t="s">
        <v>413</v>
      </c>
      <c r="K546" s="409" t="str">
        <f t="shared" si="64"/>
        <v>V=(Ancho x Largo x Alto)* Cant</v>
      </c>
      <c r="L546" s="410" t="str">
        <f>+L545</f>
        <v>M3</v>
      </c>
      <c r="M546" s="411"/>
      <c r="N546" s="412"/>
      <c r="O546" s="441"/>
      <c r="P546" s="441"/>
      <c r="Q546" s="412"/>
      <c r="R546" s="411">
        <f>+HLOOKUP(B546,[238]Hoja1!$2:$78,12,FALSE)</f>
        <v>0</v>
      </c>
      <c r="S546" s="413"/>
      <c r="T546" s="414">
        <f t="shared" si="69"/>
        <v>0</v>
      </c>
      <c r="Y546" s="439">
        <f t="shared" si="70"/>
        <v>0</v>
      </c>
      <c r="Z546" s="439">
        <f t="shared" si="66"/>
        <v>0</v>
      </c>
    </row>
    <row r="547" spans="1:26" ht="25.5">
      <c r="A547" s="453">
        <f t="shared" si="67"/>
        <v>1.08</v>
      </c>
      <c r="B547" s="383">
        <v>11</v>
      </c>
      <c r="D547" s="406"/>
      <c r="E547" s="407"/>
      <c r="F547" s="407"/>
      <c r="G547" s="407"/>
      <c r="H547" s="407"/>
      <c r="I547" s="407"/>
      <c r="J547" s="408" t="s">
        <v>414</v>
      </c>
      <c r="K547" s="409" t="str">
        <f t="shared" si="64"/>
        <v>V=(Ancho x Largo x Alto)* Cant</v>
      </c>
      <c r="L547" s="410" t="str">
        <f>+L546</f>
        <v>M3</v>
      </c>
      <c r="M547" s="411"/>
      <c r="N547" s="412"/>
      <c r="O547" s="443"/>
      <c r="P547" s="443"/>
      <c r="Q547" s="412"/>
      <c r="R547" s="411">
        <f>+HLOOKUP(B547,[238]Hoja1!$2:$78,12,FALSE)</f>
        <v>0</v>
      </c>
      <c r="S547" s="413"/>
      <c r="T547" s="414">
        <f t="shared" si="69"/>
        <v>0</v>
      </c>
      <c r="Y547" s="439">
        <f t="shared" si="70"/>
        <v>0</v>
      </c>
      <c r="Z547" s="439">
        <f t="shared" si="66"/>
        <v>0</v>
      </c>
    </row>
    <row r="548" spans="1:26" ht="25.5">
      <c r="A548" s="453">
        <f t="shared" si="67"/>
        <v>1.08</v>
      </c>
      <c r="B548" s="383">
        <v>12</v>
      </c>
      <c r="D548" s="406"/>
      <c r="E548" s="407"/>
      <c r="F548" s="407"/>
      <c r="G548" s="407"/>
      <c r="H548" s="407"/>
      <c r="I548" s="407"/>
      <c r="J548" s="408" t="s">
        <v>415</v>
      </c>
      <c r="K548" s="409" t="str">
        <f t="shared" si="64"/>
        <v>V=(Ancho x Largo x Alto)* Cant</v>
      </c>
      <c r="L548" s="410" t="str">
        <f>+L542</f>
        <v>M3</v>
      </c>
      <c r="M548" s="411"/>
      <c r="N548" s="412"/>
      <c r="O548" s="442"/>
      <c r="P548" s="442"/>
      <c r="Q548" s="413"/>
      <c r="R548" s="411">
        <f>+HLOOKUP(B548,[238]Hoja1!$2:$78,12,FALSE)</f>
        <v>0</v>
      </c>
      <c r="S548" s="413"/>
      <c r="T548" s="414">
        <f t="shared" si="69"/>
        <v>0</v>
      </c>
      <c r="Y548" s="439">
        <f t="shared" si="70"/>
        <v>0</v>
      </c>
      <c r="Z548" s="439">
        <f t="shared" si="66"/>
        <v>0</v>
      </c>
    </row>
    <row r="549" spans="1:26" ht="25.5">
      <c r="A549" s="453">
        <f t="shared" si="67"/>
        <v>1.08</v>
      </c>
      <c r="B549" s="383">
        <v>13</v>
      </c>
      <c r="D549" s="406"/>
      <c r="E549" s="407"/>
      <c r="F549" s="407"/>
      <c r="G549" s="407"/>
      <c r="H549" s="407"/>
      <c r="I549" s="407"/>
      <c r="J549" s="408" t="s">
        <v>416</v>
      </c>
      <c r="K549" s="409" t="str">
        <f t="shared" si="64"/>
        <v>V=(Ancho x Largo x Alto)* Cant</v>
      </c>
      <c r="L549" s="410" t="str">
        <f>+L544</f>
        <v>M3</v>
      </c>
      <c r="M549" s="411"/>
      <c r="N549" s="412"/>
      <c r="O549" s="442"/>
      <c r="P549" s="442"/>
      <c r="Q549" s="413"/>
      <c r="R549" s="411">
        <f>+HLOOKUP(B549,[238]Hoja1!$2:$78,12,FALSE)</f>
        <v>0</v>
      </c>
      <c r="S549" s="413"/>
      <c r="T549" s="414">
        <f t="shared" si="69"/>
        <v>0</v>
      </c>
      <c r="Y549" s="439">
        <f t="shared" si="70"/>
        <v>0</v>
      </c>
      <c r="Z549" s="439">
        <f t="shared" si="66"/>
        <v>0</v>
      </c>
    </row>
    <row r="550" spans="1:26" ht="25.5">
      <c r="A550" s="453">
        <f t="shared" si="67"/>
        <v>1.08</v>
      </c>
      <c r="B550" s="383">
        <v>14</v>
      </c>
      <c r="D550" s="406"/>
      <c r="E550" s="407"/>
      <c r="F550" s="407"/>
      <c r="G550" s="407"/>
      <c r="H550" s="407"/>
      <c r="I550" s="407"/>
      <c r="J550" s="408" t="s">
        <v>417</v>
      </c>
      <c r="K550" s="409" t="str">
        <f t="shared" si="64"/>
        <v>V=(Ancho x Largo x Alto)* Cant</v>
      </c>
      <c r="L550" s="410" t="str">
        <f t="shared" ref="L550:L561" si="71">+L549</f>
        <v>M3</v>
      </c>
      <c r="M550" s="411"/>
      <c r="N550" s="412"/>
      <c r="O550" s="442"/>
      <c r="P550" s="442"/>
      <c r="Q550" s="412"/>
      <c r="R550" s="411">
        <f>+HLOOKUP(B550,[238]Hoja1!$2:$78,12,FALSE)</f>
        <v>0</v>
      </c>
      <c r="S550" s="413"/>
      <c r="T550" s="414">
        <f t="shared" si="69"/>
        <v>0</v>
      </c>
      <c r="Y550" s="439">
        <f t="shared" si="70"/>
        <v>0</v>
      </c>
      <c r="Z550" s="439">
        <f t="shared" si="66"/>
        <v>0</v>
      </c>
    </row>
    <row r="551" spans="1:26" ht="25.5">
      <c r="A551" s="453">
        <f t="shared" si="67"/>
        <v>1.08</v>
      </c>
      <c r="B551" s="383">
        <v>15</v>
      </c>
      <c r="D551" s="406"/>
      <c r="E551" s="407"/>
      <c r="F551" s="407"/>
      <c r="G551" s="407"/>
      <c r="H551" s="407"/>
      <c r="I551" s="407"/>
      <c r="J551" s="408" t="s">
        <v>418</v>
      </c>
      <c r="K551" s="409" t="str">
        <f t="shared" si="64"/>
        <v>V=(Ancho x Largo x Alto)* Cant</v>
      </c>
      <c r="L551" s="410" t="str">
        <f t="shared" si="71"/>
        <v>M3</v>
      </c>
      <c r="M551" s="411"/>
      <c r="N551" s="412"/>
      <c r="O551" s="442">
        <v>0.2</v>
      </c>
      <c r="P551" s="442">
        <v>5.7</v>
      </c>
      <c r="Q551" s="449">
        <v>0.2</v>
      </c>
      <c r="R551" s="411">
        <f>+HLOOKUP(B551,[238]Hoja1!$2:$78,12,FALSE)</f>
        <v>0.22800000000000004</v>
      </c>
      <c r="S551" s="413">
        <v>1</v>
      </c>
      <c r="T551" s="414">
        <f t="shared" si="69"/>
        <v>0.22800000000000004</v>
      </c>
      <c r="Y551" s="439">
        <f>+O551*P551*Q551</f>
        <v>0.22800000000000004</v>
      </c>
      <c r="Z551" s="439">
        <f>+Y551-R551</f>
        <v>0</v>
      </c>
    </row>
    <row r="552" spans="1:26" ht="25.5">
      <c r="A552" s="453">
        <f t="shared" si="67"/>
        <v>1.08</v>
      </c>
      <c r="B552" s="383">
        <v>16</v>
      </c>
      <c r="D552" s="406"/>
      <c r="E552" s="407"/>
      <c r="F552" s="407"/>
      <c r="G552" s="407"/>
      <c r="H552" s="407"/>
      <c r="I552" s="407"/>
      <c r="J552" s="408" t="s">
        <v>419</v>
      </c>
      <c r="K552" s="409" t="str">
        <f t="shared" si="64"/>
        <v>V=(Ancho x Largo x Alto)* Cant</v>
      </c>
      <c r="L552" s="410" t="str">
        <f t="shared" si="71"/>
        <v>M3</v>
      </c>
      <c r="M552" s="411"/>
      <c r="N552" s="412"/>
      <c r="O552" s="442">
        <v>0.2</v>
      </c>
      <c r="P552" s="442">
        <v>16.559999999999999</v>
      </c>
      <c r="Q552" s="449">
        <v>0.2</v>
      </c>
      <c r="R552" s="411">
        <f>+HLOOKUP(B552,[238]Hoja1!$2:$78,12,FALSE)</f>
        <v>0.6624000000000001</v>
      </c>
      <c r="S552" s="413">
        <v>1</v>
      </c>
      <c r="T552" s="414">
        <f t="shared" si="69"/>
        <v>0.6624000000000001</v>
      </c>
      <c r="Y552" s="439">
        <f>+O552*P552*Q552</f>
        <v>0.66239999999999999</v>
      </c>
      <c r="Z552" s="439">
        <f>+Y552-R552</f>
        <v>0</v>
      </c>
    </row>
    <row r="553" spans="1:26" ht="25.5">
      <c r="A553" s="453">
        <f t="shared" si="67"/>
        <v>1.08</v>
      </c>
      <c r="B553" s="383">
        <v>17</v>
      </c>
      <c r="D553" s="406"/>
      <c r="E553" s="407"/>
      <c r="F553" s="407"/>
      <c r="G553" s="407"/>
      <c r="H553" s="407"/>
      <c r="I553" s="407"/>
      <c r="J553" s="408" t="s">
        <v>420</v>
      </c>
      <c r="K553" s="409" t="str">
        <f t="shared" si="64"/>
        <v>V=(Ancho x Largo x Alto)* Cant</v>
      </c>
      <c r="L553" s="410" t="str">
        <f t="shared" si="71"/>
        <v>M3</v>
      </c>
      <c r="M553" s="411"/>
      <c r="N553" s="412"/>
      <c r="O553" s="442"/>
      <c r="P553" s="442"/>
      <c r="Q553" s="412"/>
      <c r="R553" s="411">
        <f>+HLOOKUP(B553,[238]Hoja1!$2:$78,12,FALSE)</f>
        <v>0</v>
      </c>
      <c r="S553" s="413"/>
      <c r="T553" s="414">
        <f t="shared" si="69"/>
        <v>0</v>
      </c>
      <c r="Y553" s="439">
        <f t="shared" ref="Y553:Y570" si="72">+O553*P553*Q553</f>
        <v>0</v>
      </c>
      <c r="Z553" s="439">
        <f t="shared" ref="Z553:Z570" si="73">+Y553-R553</f>
        <v>0</v>
      </c>
    </row>
    <row r="554" spans="1:26" ht="25.5">
      <c r="A554" s="453">
        <f t="shared" si="67"/>
        <v>1.08</v>
      </c>
      <c r="B554" s="383">
        <v>18</v>
      </c>
      <c r="D554" s="406"/>
      <c r="E554" s="407"/>
      <c r="F554" s="407"/>
      <c r="G554" s="407"/>
      <c r="H554" s="407"/>
      <c r="I554" s="407"/>
      <c r="J554" s="408" t="s">
        <v>429</v>
      </c>
      <c r="K554" s="409" t="str">
        <f t="shared" si="64"/>
        <v>V=(Ancho x Largo x Alto)* Cant</v>
      </c>
      <c r="L554" s="410" t="str">
        <f t="shared" si="71"/>
        <v>M3</v>
      </c>
      <c r="M554" s="411"/>
      <c r="N554" s="412"/>
      <c r="O554" s="442"/>
      <c r="P554" s="442"/>
      <c r="Q554" s="412"/>
      <c r="R554" s="411">
        <f>+HLOOKUP(B554,[238]Hoja1!$2:$78,12,FALSE)</f>
        <v>0</v>
      </c>
      <c r="S554" s="413"/>
      <c r="T554" s="414">
        <f t="shared" si="69"/>
        <v>0</v>
      </c>
      <c r="Y554" s="439">
        <f t="shared" si="72"/>
        <v>0</v>
      </c>
      <c r="Z554" s="439">
        <f t="shared" si="73"/>
        <v>0</v>
      </c>
    </row>
    <row r="555" spans="1:26" ht="25.5">
      <c r="A555" s="453">
        <f t="shared" si="67"/>
        <v>1.08</v>
      </c>
      <c r="B555" s="383">
        <v>19</v>
      </c>
      <c r="D555" s="406"/>
      <c r="E555" s="407"/>
      <c r="F555" s="407"/>
      <c r="G555" s="407"/>
      <c r="H555" s="407"/>
      <c r="I555" s="407"/>
      <c r="J555" s="408" t="s">
        <v>430</v>
      </c>
      <c r="K555" s="409" t="str">
        <f t="shared" si="64"/>
        <v>V=(Ancho x Largo x Alto)* Cant</v>
      </c>
      <c r="L555" s="410" t="str">
        <f t="shared" si="71"/>
        <v>M3</v>
      </c>
      <c r="M555" s="411"/>
      <c r="N555" s="412"/>
      <c r="O555" s="442"/>
      <c r="P555" s="442"/>
      <c r="Q555" s="412"/>
      <c r="R555" s="411">
        <f>+HLOOKUP(B555,[238]Hoja1!$2:$78,12,FALSE)</f>
        <v>0</v>
      </c>
      <c r="S555" s="413"/>
      <c r="T555" s="414">
        <f t="shared" si="69"/>
        <v>0</v>
      </c>
      <c r="Y555" s="439">
        <f t="shared" si="72"/>
        <v>0</v>
      </c>
      <c r="Z555" s="439">
        <f t="shared" si="73"/>
        <v>0</v>
      </c>
    </row>
    <row r="556" spans="1:26" ht="25.5">
      <c r="A556" s="453">
        <f t="shared" si="67"/>
        <v>1.08</v>
      </c>
      <c r="B556" s="383">
        <v>20</v>
      </c>
      <c r="D556" s="406"/>
      <c r="E556" s="407"/>
      <c r="F556" s="407"/>
      <c r="G556" s="407"/>
      <c r="H556" s="407"/>
      <c r="I556" s="407"/>
      <c r="J556" s="408" t="s">
        <v>431</v>
      </c>
      <c r="K556" s="409" t="str">
        <f t="shared" si="64"/>
        <v>V=(Ancho x Largo x Alto)* Cant</v>
      </c>
      <c r="L556" s="410" t="str">
        <f t="shared" si="71"/>
        <v>M3</v>
      </c>
      <c r="M556" s="411"/>
      <c r="N556" s="412"/>
      <c r="O556" s="442"/>
      <c r="P556" s="442"/>
      <c r="Q556" s="412"/>
      <c r="R556" s="411">
        <f>+HLOOKUP(B556,[238]Hoja1!$2:$78,12,FALSE)</f>
        <v>0</v>
      </c>
      <c r="S556" s="413"/>
      <c r="T556" s="414">
        <f t="shared" si="69"/>
        <v>0</v>
      </c>
      <c r="Y556" s="439">
        <f t="shared" si="72"/>
        <v>0</v>
      </c>
      <c r="Z556" s="439">
        <f t="shared" si="73"/>
        <v>0</v>
      </c>
    </row>
    <row r="557" spans="1:26" ht="25.5">
      <c r="A557" s="453">
        <f t="shared" si="67"/>
        <v>1.08</v>
      </c>
      <c r="B557" s="383">
        <v>21</v>
      </c>
      <c r="D557" s="406"/>
      <c r="E557" s="407"/>
      <c r="F557" s="407"/>
      <c r="G557" s="407"/>
      <c r="H557" s="407"/>
      <c r="I557" s="407"/>
      <c r="J557" s="408" t="s">
        <v>432</v>
      </c>
      <c r="K557" s="409" t="str">
        <f t="shared" si="64"/>
        <v>V=(Ancho x Largo x Alto)* Cant</v>
      </c>
      <c r="L557" s="410" t="str">
        <f t="shared" si="71"/>
        <v>M3</v>
      </c>
      <c r="M557" s="411"/>
      <c r="N557" s="412"/>
      <c r="O557" s="442"/>
      <c r="P557" s="442"/>
      <c r="Q557" s="412"/>
      <c r="R557" s="411">
        <f>+HLOOKUP(B557,[238]Hoja1!$2:$78,12,FALSE)</f>
        <v>0</v>
      </c>
      <c r="S557" s="413"/>
      <c r="T557" s="414">
        <f t="shared" si="69"/>
        <v>0</v>
      </c>
      <c r="Y557" s="439">
        <f t="shared" si="72"/>
        <v>0</v>
      </c>
      <c r="Z557" s="439">
        <f t="shared" si="73"/>
        <v>0</v>
      </c>
    </row>
    <row r="558" spans="1:26" ht="25.5">
      <c r="A558" s="453">
        <f t="shared" si="67"/>
        <v>1.08</v>
      </c>
      <c r="B558" s="383">
        <v>22</v>
      </c>
      <c r="D558" s="406"/>
      <c r="E558" s="407"/>
      <c r="F558" s="407"/>
      <c r="G558" s="407"/>
      <c r="H558" s="407"/>
      <c r="I558" s="407"/>
      <c r="J558" s="408" t="s">
        <v>433</v>
      </c>
      <c r="K558" s="409" t="str">
        <f t="shared" si="64"/>
        <v>V=(Ancho x Largo x Alto)* Cant</v>
      </c>
      <c r="L558" s="410" t="str">
        <f t="shared" si="71"/>
        <v>M3</v>
      </c>
      <c r="M558" s="411"/>
      <c r="N558" s="412"/>
      <c r="O558" s="442"/>
      <c r="P558" s="442"/>
      <c r="Q558" s="412"/>
      <c r="R558" s="411">
        <f>+HLOOKUP(B558,[238]Hoja1!$2:$78,12,FALSE)</f>
        <v>0</v>
      </c>
      <c r="S558" s="413"/>
      <c r="T558" s="414">
        <f t="shared" si="69"/>
        <v>0</v>
      </c>
      <c r="Y558" s="439">
        <f t="shared" si="72"/>
        <v>0</v>
      </c>
      <c r="Z558" s="439">
        <f t="shared" si="73"/>
        <v>0</v>
      </c>
    </row>
    <row r="559" spans="1:26" ht="25.5">
      <c r="A559" s="453">
        <f t="shared" si="67"/>
        <v>1.08</v>
      </c>
      <c r="B559" s="383">
        <v>23</v>
      </c>
      <c r="D559" s="406"/>
      <c r="E559" s="407"/>
      <c r="F559" s="407"/>
      <c r="G559" s="407"/>
      <c r="H559" s="407"/>
      <c r="I559" s="407"/>
      <c r="J559" s="408" t="s">
        <v>434</v>
      </c>
      <c r="K559" s="409" t="str">
        <f t="shared" si="64"/>
        <v>V=(Ancho x Largo x Alto)* Cant</v>
      </c>
      <c r="L559" s="410" t="str">
        <f t="shared" si="71"/>
        <v>M3</v>
      </c>
      <c r="M559" s="411"/>
      <c r="N559" s="412"/>
      <c r="O559" s="441"/>
      <c r="P559" s="441"/>
      <c r="Q559" s="412"/>
      <c r="R559" s="411">
        <f>+HLOOKUP(B559,[238]Hoja1!$2:$78,12,FALSE)</f>
        <v>0</v>
      </c>
      <c r="S559" s="413"/>
      <c r="T559" s="414">
        <f t="shared" si="69"/>
        <v>0</v>
      </c>
      <c r="Y559" s="439">
        <f t="shared" si="72"/>
        <v>0</v>
      </c>
      <c r="Z559" s="439">
        <f t="shared" si="73"/>
        <v>0</v>
      </c>
    </row>
    <row r="560" spans="1:26" ht="25.5">
      <c r="A560" s="453">
        <f t="shared" si="67"/>
        <v>1.08</v>
      </c>
      <c r="B560" s="383">
        <v>24</v>
      </c>
      <c r="D560" s="406"/>
      <c r="E560" s="407"/>
      <c r="F560" s="407"/>
      <c r="G560" s="407"/>
      <c r="H560" s="407"/>
      <c r="I560" s="407"/>
      <c r="J560" s="408" t="s">
        <v>435</v>
      </c>
      <c r="K560" s="409" t="str">
        <f t="shared" si="64"/>
        <v>V=(Ancho x Largo x Alto)* Cant</v>
      </c>
      <c r="L560" s="410" t="str">
        <f t="shared" si="71"/>
        <v>M3</v>
      </c>
      <c r="M560" s="411"/>
      <c r="N560" s="412"/>
      <c r="O560" s="442"/>
      <c r="P560" s="442"/>
      <c r="Q560" s="413"/>
      <c r="R560" s="411">
        <f>+HLOOKUP(B560,[238]Hoja1!$2:$78,12,FALSE)</f>
        <v>0</v>
      </c>
      <c r="S560" s="413"/>
      <c r="T560" s="414">
        <f t="shared" si="69"/>
        <v>0</v>
      </c>
      <c r="Y560" s="439">
        <f t="shared" si="72"/>
        <v>0</v>
      </c>
      <c r="Z560" s="439">
        <f t="shared" si="73"/>
        <v>0</v>
      </c>
    </row>
    <row r="561" spans="1:26" ht="25.5">
      <c r="A561" s="453">
        <f t="shared" si="67"/>
        <v>1.08</v>
      </c>
      <c r="B561" s="383">
        <v>25</v>
      </c>
      <c r="D561" s="406"/>
      <c r="E561" s="407"/>
      <c r="F561" s="407"/>
      <c r="G561" s="407"/>
      <c r="H561" s="407"/>
      <c r="I561" s="407"/>
      <c r="J561" s="408" t="s">
        <v>436</v>
      </c>
      <c r="K561" s="409" t="str">
        <f t="shared" si="64"/>
        <v>V=(Ancho x Largo x Alto)* Cant</v>
      </c>
      <c r="L561" s="410" t="str">
        <f t="shared" si="71"/>
        <v>M3</v>
      </c>
      <c r="M561" s="411"/>
      <c r="N561" s="412"/>
      <c r="O561" s="442"/>
      <c r="P561" s="442"/>
      <c r="Q561" s="412"/>
      <c r="R561" s="411">
        <f>+HLOOKUP(B561,[238]Hoja1!$2:$78,12,FALSE)</f>
        <v>0</v>
      </c>
      <c r="S561" s="413"/>
      <c r="T561" s="414">
        <f t="shared" si="69"/>
        <v>0</v>
      </c>
      <c r="Y561" s="439">
        <f t="shared" si="72"/>
        <v>0</v>
      </c>
      <c r="Z561" s="439">
        <f t="shared" si="73"/>
        <v>0</v>
      </c>
    </row>
    <row r="562" spans="1:26" ht="25.5">
      <c r="A562" s="453">
        <f t="shared" si="67"/>
        <v>1.08</v>
      </c>
      <c r="B562" s="383">
        <v>26</v>
      </c>
      <c r="D562" s="406"/>
      <c r="E562" s="407"/>
      <c r="F562" s="407"/>
      <c r="G562" s="407"/>
      <c r="H562" s="407"/>
      <c r="I562" s="407"/>
      <c r="J562" s="408" t="s">
        <v>437</v>
      </c>
      <c r="K562" s="409" t="str">
        <f t="shared" si="64"/>
        <v>V=(Ancho x Largo x Alto)* Cant</v>
      </c>
      <c r="L562" s="410" t="str">
        <f>+L551</f>
        <v>M3</v>
      </c>
      <c r="M562" s="411"/>
      <c r="N562" s="412"/>
      <c r="O562" s="442"/>
      <c r="P562" s="442"/>
      <c r="Q562" s="412"/>
      <c r="R562" s="411">
        <f>+HLOOKUP(B562,[238]Hoja1!$2:$78,12,FALSE)</f>
        <v>0</v>
      </c>
      <c r="S562" s="413"/>
      <c r="T562" s="414">
        <f t="shared" si="69"/>
        <v>0</v>
      </c>
      <c r="Y562" s="439">
        <f t="shared" si="72"/>
        <v>0</v>
      </c>
      <c r="Z562" s="439">
        <f t="shared" si="73"/>
        <v>0</v>
      </c>
    </row>
    <row r="563" spans="1:26" ht="25.5">
      <c r="A563" s="453">
        <f t="shared" si="67"/>
        <v>1.08</v>
      </c>
      <c r="B563" s="383">
        <v>27</v>
      </c>
      <c r="D563" s="406"/>
      <c r="E563" s="407"/>
      <c r="F563" s="407"/>
      <c r="G563" s="407"/>
      <c r="H563" s="407"/>
      <c r="I563" s="407"/>
      <c r="J563" s="408" t="s">
        <v>438</v>
      </c>
      <c r="K563" s="409" t="str">
        <f t="shared" si="64"/>
        <v>V=(Ancho x Largo x Alto)* Cant</v>
      </c>
      <c r="L563" s="410" t="str">
        <f t="shared" ref="L563:L571" si="74">+L562</f>
        <v>M3</v>
      </c>
      <c r="M563" s="411"/>
      <c r="N563" s="412"/>
      <c r="O563" s="442"/>
      <c r="P563" s="442"/>
      <c r="Q563" s="412"/>
      <c r="R563" s="411">
        <f>+HLOOKUP(B563,[238]Hoja1!$2:$78,12,FALSE)</f>
        <v>0</v>
      </c>
      <c r="S563" s="413"/>
      <c r="T563" s="414">
        <f t="shared" si="69"/>
        <v>0</v>
      </c>
      <c r="Y563" s="439">
        <f t="shared" si="72"/>
        <v>0</v>
      </c>
      <c r="Z563" s="439">
        <f t="shared" si="73"/>
        <v>0</v>
      </c>
    </row>
    <row r="564" spans="1:26" ht="25.5">
      <c r="A564" s="453">
        <f t="shared" si="67"/>
        <v>1.08</v>
      </c>
      <c r="B564" s="383">
        <v>28</v>
      </c>
      <c r="D564" s="406"/>
      <c r="E564" s="440"/>
      <c r="F564" s="407"/>
      <c r="G564" s="407"/>
      <c r="H564" s="407"/>
      <c r="I564" s="437"/>
      <c r="J564" s="408" t="s">
        <v>439</v>
      </c>
      <c r="K564" s="409" t="str">
        <f t="shared" si="64"/>
        <v>V=(Ancho x Largo x Alto)* Cant</v>
      </c>
      <c r="L564" s="410" t="str">
        <f t="shared" si="74"/>
        <v>M3</v>
      </c>
      <c r="M564" s="411"/>
      <c r="N564" s="412"/>
      <c r="O564" s="442"/>
      <c r="P564" s="442"/>
      <c r="Q564" s="413"/>
      <c r="R564" s="411">
        <f>+HLOOKUP(B564,[238]Hoja1!$2:$78,12,FALSE)</f>
        <v>0</v>
      </c>
      <c r="S564" s="413"/>
      <c r="T564" s="414">
        <f t="shared" si="69"/>
        <v>0</v>
      </c>
      <c r="Y564" s="439">
        <f t="shared" si="72"/>
        <v>0</v>
      </c>
      <c r="Z564" s="439">
        <f t="shared" si="73"/>
        <v>0</v>
      </c>
    </row>
    <row r="565" spans="1:26" ht="25.5">
      <c r="A565" s="453">
        <f t="shared" si="67"/>
        <v>1.08</v>
      </c>
      <c r="B565" s="383">
        <v>29</v>
      </c>
      <c r="D565" s="406"/>
      <c r="E565" s="407"/>
      <c r="F565" s="407"/>
      <c r="G565" s="407"/>
      <c r="H565" s="407"/>
      <c r="I565" s="407"/>
      <c r="J565" s="408" t="s">
        <v>440</v>
      </c>
      <c r="K565" s="409" t="str">
        <f t="shared" si="64"/>
        <v>V=(Ancho x Largo x Alto)* Cant</v>
      </c>
      <c r="L565" s="410" t="str">
        <f t="shared" si="74"/>
        <v>M3</v>
      </c>
      <c r="M565" s="411"/>
      <c r="N565" s="412"/>
      <c r="O565" s="443"/>
      <c r="P565" s="443"/>
      <c r="Q565" s="412"/>
      <c r="R565" s="411">
        <f>+HLOOKUP(B565,[238]Hoja1!$2:$78,12,FALSE)</f>
        <v>0</v>
      </c>
      <c r="S565" s="413"/>
      <c r="T565" s="414">
        <f t="shared" si="69"/>
        <v>0</v>
      </c>
      <c r="Y565" s="439">
        <f t="shared" si="72"/>
        <v>0</v>
      </c>
      <c r="Z565" s="439">
        <f t="shared" si="73"/>
        <v>0</v>
      </c>
    </row>
    <row r="566" spans="1:26" ht="25.5">
      <c r="A566" s="453">
        <f t="shared" si="67"/>
        <v>1.08</v>
      </c>
      <c r="B566" s="383">
        <v>30</v>
      </c>
      <c r="D566" s="406"/>
      <c r="E566" s="407"/>
      <c r="F566" s="407"/>
      <c r="G566" s="407"/>
      <c r="H566" s="407"/>
      <c r="I566" s="407"/>
      <c r="J566" s="408" t="s">
        <v>441</v>
      </c>
      <c r="K566" s="409" t="str">
        <f t="shared" si="64"/>
        <v>V=(Ancho x Largo x Alto)* Cant</v>
      </c>
      <c r="L566" s="410" t="str">
        <f t="shared" si="74"/>
        <v>M3</v>
      </c>
      <c r="M566" s="411"/>
      <c r="N566" s="412"/>
      <c r="O566" s="442"/>
      <c r="P566" s="442"/>
      <c r="Q566" s="412"/>
      <c r="R566" s="411">
        <f>+HLOOKUP(B566,[238]Hoja1!$2:$78,12,FALSE)</f>
        <v>0</v>
      </c>
      <c r="S566" s="413"/>
      <c r="T566" s="414">
        <f t="shared" si="69"/>
        <v>0</v>
      </c>
      <c r="Y566" s="439">
        <f t="shared" si="72"/>
        <v>0</v>
      </c>
      <c r="Z566" s="439">
        <f t="shared" si="73"/>
        <v>0</v>
      </c>
    </row>
    <row r="567" spans="1:26" ht="25.5">
      <c r="A567" s="453">
        <f t="shared" si="67"/>
        <v>1.08</v>
      </c>
      <c r="B567" s="383">
        <v>31</v>
      </c>
      <c r="D567" s="406"/>
      <c r="E567" s="407"/>
      <c r="F567" s="407"/>
      <c r="G567" s="407"/>
      <c r="H567" s="407"/>
      <c r="I567" s="407"/>
      <c r="J567" s="408" t="s">
        <v>442</v>
      </c>
      <c r="K567" s="409" t="str">
        <f t="shared" si="64"/>
        <v>V=(Ancho x Largo x Alto)* Cant</v>
      </c>
      <c r="L567" s="410" t="str">
        <f t="shared" si="74"/>
        <v>M3</v>
      </c>
      <c r="M567" s="411"/>
      <c r="N567" s="412"/>
      <c r="O567" s="442"/>
      <c r="P567" s="442"/>
      <c r="Q567" s="413"/>
      <c r="R567" s="411">
        <f>+HLOOKUP(B567,[238]Hoja1!$2:$78,12,FALSE)</f>
        <v>0</v>
      </c>
      <c r="S567" s="413"/>
      <c r="T567" s="414">
        <f t="shared" si="69"/>
        <v>0</v>
      </c>
      <c r="Y567" s="439">
        <f t="shared" si="72"/>
        <v>0</v>
      </c>
      <c r="Z567" s="439">
        <f t="shared" si="73"/>
        <v>0</v>
      </c>
    </row>
    <row r="568" spans="1:26" ht="25.5">
      <c r="A568" s="453">
        <f t="shared" si="67"/>
        <v>1.08</v>
      </c>
      <c r="B568" s="383">
        <v>32</v>
      </c>
      <c r="D568" s="406"/>
      <c r="E568" s="407"/>
      <c r="F568" s="407"/>
      <c r="G568" s="407"/>
      <c r="H568" s="407"/>
      <c r="I568" s="407"/>
      <c r="J568" s="408" t="s">
        <v>443</v>
      </c>
      <c r="K568" s="409" t="str">
        <f t="shared" si="64"/>
        <v>V=(Ancho x Largo x Alto)* Cant</v>
      </c>
      <c r="L568" s="410" t="str">
        <f t="shared" si="74"/>
        <v>M3</v>
      </c>
      <c r="M568" s="411"/>
      <c r="N568" s="412"/>
      <c r="O568" s="442"/>
      <c r="P568" s="442"/>
      <c r="Q568" s="412"/>
      <c r="R568" s="411">
        <f>+HLOOKUP(B568,[238]Hoja1!$2:$78,12,FALSE)</f>
        <v>0</v>
      </c>
      <c r="S568" s="413"/>
      <c r="T568" s="414">
        <f t="shared" si="69"/>
        <v>0</v>
      </c>
      <c r="Y568" s="439">
        <f t="shared" si="72"/>
        <v>0</v>
      </c>
      <c r="Z568" s="439">
        <f t="shared" si="73"/>
        <v>0</v>
      </c>
    </row>
    <row r="569" spans="1:26" ht="25.5">
      <c r="A569" s="453">
        <f t="shared" si="67"/>
        <v>1.08</v>
      </c>
      <c r="B569" s="383">
        <v>33</v>
      </c>
      <c r="D569" s="406"/>
      <c r="E569" s="407"/>
      <c r="F569" s="407"/>
      <c r="G569" s="407"/>
      <c r="H569" s="407"/>
      <c r="I569" s="407"/>
      <c r="J569" s="408" t="s">
        <v>444</v>
      </c>
      <c r="K569" s="409" t="str">
        <f t="shared" si="64"/>
        <v>V=(Ancho x Largo x Alto)* Cant</v>
      </c>
      <c r="L569" s="410" t="str">
        <f t="shared" si="74"/>
        <v>M3</v>
      </c>
      <c r="M569" s="411"/>
      <c r="N569" s="412"/>
      <c r="O569" s="442"/>
      <c r="P569" s="442"/>
      <c r="Q569" s="412"/>
      <c r="R569" s="411">
        <f>+HLOOKUP(B569,[238]Hoja1!$2:$78,12,FALSE)</f>
        <v>0</v>
      </c>
      <c r="S569" s="413"/>
      <c r="T569" s="414">
        <f t="shared" si="69"/>
        <v>0</v>
      </c>
      <c r="Y569" s="439">
        <f t="shared" si="72"/>
        <v>0</v>
      </c>
      <c r="Z569" s="439">
        <f t="shared" si="73"/>
        <v>0</v>
      </c>
    </row>
    <row r="570" spans="1:26" ht="25.5">
      <c r="A570" s="453">
        <f t="shared" si="67"/>
        <v>1.08</v>
      </c>
      <c r="B570" s="383">
        <v>34</v>
      </c>
      <c r="D570" s="406"/>
      <c r="E570" s="407"/>
      <c r="F570" s="407"/>
      <c r="G570" s="407"/>
      <c r="H570" s="407"/>
      <c r="I570" s="407"/>
      <c r="J570" s="408" t="s">
        <v>445</v>
      </c>
      <c r="K570" s="409" t="str">
        <f t="shared" si="64"/>
        <v>V=(Ancho x Largo x Alto)* Cant</v>
      </c>
      <c r="L570" s="410" t="str">
        <f t="shared" si="74"/>
        <v>M3</v>
      </c>
      <c r="M570" s="411"/>
      <c r="N570" s="412"/>
      <c r="O570" s="443">
        <v>0.25</v>
      </c>
      <c r="P570" s="443">
        <v>3.8</v>
      </c>
      <c r="Q570" s="412">
        <v>0.2</v>
      </c>
      <c r="R570" s="411">
        <f>+HLOOKUP(B570,[238]Hoja1!$2:$78,12,FALSE)</f>
        <v>0.19</v>
      </c>
      <c r="S570" s="413">
        <v>1</v>
      </c>
      <c r="T570" s="414">
        <f t="shared" si="69"/>
        <v>0.19</v>
      </c>
      <c r="Y570" s="439">
        <f t="shared" si="72"/>
        <v>0.19</v>
      </c>
      <c r="Z570" s="439">
        <f t="shared" si="73"/>
        <v>0</v>
      </c>
    </row>
    <row r="571" spans="1:26" ht="25.5">
      <c r="A571" s="453">
        <f t="shared" si="67"/>
        <v>1.08</v>
      </c>
      <c r="B571" s="383">
        <v>35</v>
      </c>
      <c r="D571" s="406"/>
      <c r="E571" s="440"/>
      <c r="F571" s="407"/>
      <c r="G571" s="407"/>
      <c r="H571" s="407"/>
      <c r="I571" s="437"/>
      <c r="J571" s="408" t="s">
        <v>446</v>
      </c>
      <c r="K571" s="409" t="str">
        <f t="shared" si="64"/>
        <v>V=(Ancho x Largo x Alto)* Cant</v>
      </c>
      <c r="L571" s="410" t="str">
        <f t="shared" si="74"/>
        <v>M3</v>
      </c>
      <c r="M571" s="411"/>
      <c r="N571" s="412"/>
      <c r="O571" s="442"/>
      <c r="P571" s="442"/>
      <c r="Q571" s="413"/>
      <c r="R571" s="411">
        <f>+HLOOKUP(B571,[238]Hoja1!$2:$78,12,FALSE)</f>
        <v>0</v>
      </c>
      <c r="S571" s="413"/>
      <c r="T571" s="414">
        <f t="shared" si="69"/>
        <v>0</v>
      </c>
      <c r="Y571" s="439">
        <f>+O571*P571*Q571</f>
        <v>0</v>
      </c>
      <c r="Z571" s="439">
        <f>+Y571-R571</f>
        <v>0</v>
      </c>
    </row>
    <row r="572" spans="1:26" ht="25.5">
      <c r="A572" s="453">
        <f t="shared" si="67"/>
        <v>1.08</v>
      </c>
      <c r="B572" s="383">
        <v>36</v>
      </c>
      <c r="D572" s="406"/>
      <c r="E572" s="407"/>
      <c r="F572" s="407"/>
      <c r="G572" s="407"/>
      <c r="H572" s="407"/>
      <c r="I572" s="407"/>
      <c r="J572" s="408" t="s">
        <v>447</v>
      </c>
      <c r="K572" s="409" t="str">
        <f t="shared" si="64"/>
        <v>V=(Ancho x Largo x Alto)* Cant</v>
      </c>
      <c r="L572" s="410" t="str">
        <f>+L561</f>
        <v>M3</v>
      </c>
      <c r="M572" s="411"/>
      <c r="N572" s="412"/>
      <c r="O572" s="442"/>
      <c r="P572" s="442"/>
      <c r="Q572" s="412"/>
      <c r="R572" s="411">
        <f>+HLOOKUP(B572,[238]Hoja1!$2:$78,12,FALSE)</f>
        <v>0</v>
      </c>
      <c r="S572" s="413"/>
      <c r="T572" s="414">
        <f t="shared" si="69"/>
        <v>0</v>
      </c>
      <c r="Y572" s="439">
        <f t="shared" ref="Y572:Y579" si="75">+O572*P572*Q572</f>
        <v>0</v>
      </c>
      <c r="Z572" s="439">
        <f t="shared" ref="Z572:Z579" si="76">+Y572-R572</f>
        <v>0</v>
      </c>
    </row>
    <row r="573" spans="1:26" ht="25.5">
      <c r="A573" s="453">
        <f t="shared" si="67"/>
        <v>1.08</v>
      </c>
      <c r="B573" s="383">
        <v>37</v>
      </c>
      <c r="D573" s="406"/>
      <c r="E573" s="407"/>
      <c r="F573" s="407"/>
      <c r="G573" s="407"/>
      <c r="H573" s="407"/>
      <c r="I573" s="407"/>
      <c r="J573" s="408" t="s">
        <v>448</v>
      </c>
      <c r="K573" s="409" t="str">
        <f t="shared" si="64"/>
        <v>V=(Ancho x Largo x Alto)* Cant</v>
      </c>
      <c r="L573" s="410" t="str">
        <f t="shared" ref="L573:L579" si="77">+L572</f>
        <v>M3</v>
      </c>
      <c r="M573" s="411"/>
      <c r="N573" s="412"/>
      <c r="O573" s="441">
        <v>0.2</v>
      </c>
      <c r="P573" s="441">
        <v>10.9</v>
      </c>
      <c r="Q573" s="449">
        <v>0.2</v>
      </c>
      <c r="R573" s="411">
        <f>+HLOOKUP(B573,[238]Hoja1!$2:$78,12,FALSE)</f>
        <v>0.43600000000000011</v>
      </c>
      <c r="S573" s="413">
        <v>1</v>
      </c>
      <c r="T573" s="414">
        <f t="shared" si="69"/>
        <v>0.43600000000000011</v>
      </c>
      <c r="Y573" s="439">
        <f t="shared" si="75"/>
        <v>0.43600000000000005</v>
      </c>
      <c r="Z573" s="439">
        <f t="shared" si="76"/>
        <v>0</v>
      </c>
    </row>
    <row r="574" spans="1:26" ht="25.5">
      <c r="A574" s="453">
        <f t="shared" si="67"/>
        <v>1.08</v>
      </c>
      <c r="B574" s="383">
        <v>38</v>
      </c>
      <c r="D574" s="406"/>
      <c r="E574" s="440"/>
      <c r="F574" s="407"/>
      <c r="G574" s="407"/>
      <c r="H574" s="407"/>
      <c r="I574" s="437"/>
      <c r="J574" s="408" t="s">
        <v>449</v>
      </c>
      <c r="K574" s="409" t="str">
        <f t="shared" si="64"/>
        <v>V=(Ancho x Largo x Alto)* Cant</v>
      </c>
      <c r="L574" s="410" t="str">
        <f t="shared" si="77"/>
        <v>M3</v>
      </c>
      <c r="M574" s="411"/>
      <c r="N574" s="412"/>
      <c r="O574" s="442"/>
      <c r="P574" s="442"/>
      <c r="Q574" s="413"/>
      <c r="R574" s="411">
        <f>+HLOOKUP(B574,[238]Hoja1!$2:$78,12,FALSE)</f>
        <v>0</v>
      </c>
      <c r="S574" s="413"/>
      <c r="T574" s="414">
        <f t="shared" si="69"/>
        <v>0</v>
      </c>
      <c r="Y574" s="439">
        <f t="shared" si="75"/>
        <v>0</v>
      </c>
      <c r="Z574" s="439">
        <f t="shared" si="76"/>
        <v>0</v>
      </c>
    </row>
    <row r="575" spans="1:26" ht="25.5">
      <c r="A575" s="453">
        <f t="shared" si="67"/>
        <v>1.08</v>
      </c>
      <c r="B575" s="383">
        <v>39</v>
      </c>
      <c r="D575" s="406"/>
      <c r="E575" s="407"/>
      <c r="F575" s="407"/>
      <c r="G575" s="407"/>
      <c r="H575" s="407"/>
      <c r="I575" s="407"/>
      <c r="J575" s="408" t="s">
        <v>450</v>
      </c>
      <c r="K575" s="409" t="str">
        <f t="shared" si="64"/>
        <v>V=(Ancho x Largo x Alto)* Cant</v>
      </c>
      <c r="L575" s="410" t="str">
        <f t="shared" si="77"/>
        <v>M3</v>
      </c>
      <c r="M575" s="411"/>
      <c r="N575" s="412"/>
      <c r="O575" s="441"/>
      <c r="P575" s="441"/>
      <c r="Q575" s="412"/>
      <c r="R575" s="411">
        <f>+HLOOKUP(B575,[238]Hoja1!$2:$78,12,FALSE)</f>
        <v>0</v>
      </c>
      <c r="S575" s="413"/>
      <c r="T575" s="414">
        <f t="shared" si="69"/>
        <v>0</v>
      </c>
      <c r="Y575" s="439">
        <f t="shared" si="75"/>
        <v>0</v>
      </c>
      <c r="Z575" s="439">
        <f t="shared" si="76"/>
        <v>0</v>
      </c>
    </row>
    <row r="576" spans="1:26" ht="25.5">
      <c r="A576" s="453">
        <f t="shared" si="67"/>
        <v>1.08</v>
      </c>
      <c r="B576" s="383">
        <v>40</v>
      </c>
      <c r="D576" s="406"/>
      <c r="E576" s="407"/>
      <c r="F576" s="407"/>
      <c r="G576" s="407"/>
      <c r="H576" s="407"/>
      <c r="I576" s="407"/>
      <c r="J576" s="408" t="s">
        <v>451</v>
      </c>
      <c r="K576" s="409" t="str">
        <f t="shared" si="64"/>
        <v>V=(Ancho x Largo x Alto)* Cant</v>
      </c>
      <c r="L576" s="410" t="str">
        <f t="shared" si="77"/>
        <v>M3</v>
      </c>
      <c r="M576" s="411"/>
      <c r="N576" s="412"/>
      <c r="O576" s="442"/>
      <c r="P576" s="442"/>
      <c r="Q576" s="412"/>
      <c r="R576" s="411">
        <f>+HLOOKUP(B576,[238]Hoja1!$2:$78,12,FALSE)</f>
        <v>0</v>
      </c>
      <c r="S576" s="413"/>
      <c r="T576" s="414">
        <f t="shared" si="69"/>
        <v>0</v>
      </c>
      <c r="Y576" s="439">
        <f t="shared" si="75"/>
        <v>0</v>
      </c>
      <c r="Z576" s="439">
        <f t="shared" si="76"/>
        <v>0</v>
      </c>
    </row>
    <row r="577" spans="1:26" ht="25.5">
      <c r="A577" s="453">
        <f t="shared" si="67"/>
        <v>1.08</v>
      </c>
      <c r="B577" s="383">
        <v>41</v>
      </c>
      <c r="D577" s="406"/>
      <c r="E577" s="407"/>
      <c r="F577" s="407"/>
      <c r="G577" s="407"/>
      <c r="H577" s="407"/>
      <c r="I577" s="407"/>
      <c r="J577" s="408" t="s">
        <v>452</v>
      </c>
      <c r="K577" s="409" t="str">
        <f t="shared" si="64"/>
        <v>V=(Ancho x Largo x Alto)* Cant</v>
      </c>
      <c r="L577" s="410" t="str">
        <f t="shared" si="77"/>
        <v>M3</v>
      </c>
      <c r="M577" s="411"/>
      <c r="N577" s="412"/>
      <c r="O577" s="442">
        <v>0.2</v>
      </c>
      <c r="P577" s="442">
        <v>3.85</v>
      </c>
      <c r="Q577" s="413">
        <v>0.3</v>
      </c>
      <c r="R577" s="411">
        <f>+HLOOKUP(B577,[238]Hoja1!$2:$78,12,FALSE)</f>
        <v>0.23099999999999998</v>
      </c>
      <c r="S577" s="413">
        <v>1</v>
      </c>
      <c r="T577" s="414">
        <f t="shared" si="69"/>
        <v>0.23099999999999998</v>
      </c>
      <c r="Y577" s="439">
        <f t="shared" si="75"/>
        <v>0.23099999999999998</v>
      </c>
      <c r="Z577" s="439">
        <f t="shared" si="76"/>
        <v>0</v>
      </c>
    </row>
    <row r="578" spans="1:26" ht="25.5">
      <c r="A578" s="453">
        <f t="shared" si="67"/>
        <v>1.08</v>
      </c>
      <c r="B578" s="383">
        <v>42</v>
      </c>
      <c r="D578" s="406"/>
      <c r="E578" s="407"/>
      <c r="F578" s="407"/>
      <c r="G578" s="407"/>
      <c r="H578" s="407"/>
      <c r="I578" s="407"/>
      <c r="J578" s="408" t="s">
        <v>453</v>
      </c>
      <c r="K578" s="409" t="str">
        <f t="shared" si="64"/>
        <v>V=(Ancho x Largo x Alto)* Cant</v>
      </c>
      <c r="L578" s="410" t="str">
        <f t="shared" si="77"/>
        <v>M3</v>
      </c>
      <c r="M578" s="411"/>
      <c r="N578" s="412"/>
      <c r="O578" s="442"/>
      <c r="P578" s="442"/>
      <c r="Q578" s="412"/>
      <c r="R578" s="411">
        <f>+HLOOKUP(B578,[238]Hoja1!$2:$78,12,FALSE)</f>
        <v>0</v>
      </c>
      <c r="S578" s="413"/>
      <c r="T578" s="414">
        <f t="shared" si="69"/>
        <v>0</v>
      </c>
      <c r="Y578" s="439">
        <f t="shared" si="75"/>
        <v>0</v>
      </c>
      <c r="Z578" s="439">
        <f t="shared" si="76"/>
        <v>0</v>
      </c>
    </row>
    <row r="579" spans="1:26" ht="26.25" thickBot="1">
      <c r="A579" s="453">
        <f t="shared" si="67"/>
        <v>1.08</v>
      </c>
      <c r="B579" s="383">
        <v>43</v>
      </c>
      <c r="D579" s="406"/>
      <c r="E579" s="407"/>
      <c r="F579" s="407"/>
      <c r="G579" s="407"/>
      <c r="H579" s="407"/>
      <c r="I579" s="407"/>
      <c r="J579" s="408" t="s">
        <v>454</v>
      </c>
      <c r="K579" s="409" t="str">
        <f t="shared" si="64"/>
        <v>V=(Ancho x Largo x Alto)* Cant</v>
      </c>
      <c r="L579" s="410" t="str">
        <f t="shared" si="77"/>
        <v>M3</v>
      </c>
      <c r="M579" s="411"/>
      <c r="N579" s="412"/>
      <c r="O579" s="442"/>
      <c r="P579" s="442"/>
      <c r="Q579" s="412"/>
      <c r="R579" s="411">
        <f>+HLOOKUP(B579,[238]Hoja1!$2:$78,12,FALSE)</f>
        <v>0</v>
      </c>
      <c r="S579" s="413"/>
      <c r="T579" s="414">
        <f t="shared" si="69"/>
        <v>0</v>
      </c>
      <c r="Y579" s="439">
        <f t="shared" si="75"/>
        <v>0</v>
      </c>
      <c r="Z579" s="439">
        <f t="shared" si="76"/>
        <v>0</v>
      </c>
    </row>
    <row r="580" spans="1:26" ht="8.4499999999999993" customHeight="1">
      <c r="D580" s="384"/>
      <c r="E580" s="419"/>
      <c r="F580" s="420"/>
      <c r="G580" s="421"/>
      <c r="H580" s="421"/>
      <c r="I580" s="421"/>
      <c r="J580" s="421"/>
      <c r="K580" s="422"/>
      <c r="L580" s="421"/>
      <c r="M580" s="421"/>
      <c r="N580" s="421"/>
      <c r="O580" s="421"/>
      <c r="P580" s="421"/>
      <c r="Q580" s="421"/>
      <c r="R580" s="421"/>
      <c r="S580" s="422"/>
      <c r="T580" s="423"/>
    </row>
    <row r="581" spans="1:26">
      <c r="D581" s="396"/>
      <c r="E581" s="397"/>
      <c r="F581" s="424"/>
      <c r="G581" s="425"/>
      <c r="H581" s="425"/>
      <c r="I581" s="425"/>
      <c r="J581" s="425"/>
      <c r="K581" s="398"/>
      <c r="L581" s="425"/>
      <c r="M581" s="425"/>
      <c r="N581" s="397"/>
      <c r="O581" s="397"/>
      <c r="P581" s="562" t="s">
        <v>455</v>
      </c>
      <c r="Q581" s="563"/>
      <c r="R581" s="564"/>
      <c r="S581" s="426"/>
      <c r="T581" s="427">
        <f>ROUND(SUM(T537:T580),2)</f>
        <v>1.75</v>
      </c>
    </row>
    <row r="582" spans="1:26">
      <c r="D582" s="396"/>
      <c r="E582" s="397"/>
      <c r="F582" s="424"/>
      <c r="G582" s="425"/>
      <c r="H582" s="425"/>
      <c r="I582" s="425"/>
      <c r="J582" s="425"/>
      <c r="K582" s="398"/>
      <c r="L582" s="425"/>
      <c r="M582" s="425"/>
      <c r="N582" s="428"/>
      <c r="O582" s="428"/>
      <c r="P582" s="429"/>
      <c r="Q582" s="425"/>
      <c r="R582" s="425"/>
      <c r="S582" s="430"/>
      <c r="T582" s="431"/>
    </row>
    <row r="583" spans="1:26">
      <c r="D583" s="565" t="e">
        <v>#REF!</v>
      </c>
      <c r="E583" s="566"/>
      <c r="F583" s="566"/>
      <c r="G583" s="566"/>
      <c r="H583" s="566"/>
      <c r="I583" s="566"/>
      <c r="J583" s="566"/>
      <c r="K583" s="566"/>
      <c r="L583" s="566"/>
      <c r="M583" s="566"/>
      <c r="N583" s="566"/>
      <c r="O583" s="567"/>
      <c r="P583" s="568" t="s">
        <v>422</v>
      </c>
      <c r="Q583" s="568"/>
      <c r="R583" s="568"/>
      <c r="S583" s="426"/>
      <c r="T583" s="427">
        <f>T581</f>
        <v>1.75</v>
      </c>
    </row>
    <row r="584" spans="1:26" ht="4.9000000000000004" customHeight="1">
      <c r="D584" s="396"/>
      <c r="E584" s="397"/>
      <c r="F584" s="424"/>
      <c r="G584" s="425"/>
      <c r="H584" s="425"/>
      <c r="I584" s="425"/>
      <c r="J584" s="425"/>
      <c r="K584" s="398"/>
      <c r="L584" s="425"/>
      <c r="M584" s="425"/>
      <c r="N584" s="428"/>
      <c r="O584" s="428"/>
      <c r="P584" s="429"/>
      <c r="Q584" s="425"/>
      <c r="R584" s="398"/>
      <c r="S584" s="398"/>
      <c r="T584" s="432"/>
    </row>
    <row r="585" spans="1:26" ht="7.9" customHeight="1">
      <c r="D585" s="396"/>
      <c r="E585" s="397"/>
      <c r="F585" s="424"/>
      <c r="G585" s="425"/>
      <c r="H585" s="425"/>
      <c r="I585" s="425"/>
      <c r="J585" s="425"/>
      <c r="K585" s="398"/>
      <c r="L585" s="425"/>
      <c r="M585" s="425"/>
      <c r="N585" s="428"/>
      <c r="O585" s="428"/>
      <c r="P585" s="429"/>
      <c r="Q585" s="425"/>
      <c r="R585" s="398"/>
      <c r="S585" s="398"/>
      <c r="T585" s="432"/>
    </row>
    <row r="586" spans="1:26">
      <c r="D586" s="569" t="s">
        <v>423</v>
      </c>
      <c r="E586" s="570"/>
      <c r="F586" s="570"/>
      <c r="G586" s="570"/>
      <c r="H586" s="570"/>
      <c r="I586" s="570"/>
      <c r="J586" s="570"/>
      <c r="K586" s="571"/>
      <c r="L586" s="433" t="s">
        <v>424</v>
      </c>
      <c r="M586" s="434"/>
      <c r="N586" s="434"/>
      <c r="O586" s="434"/>
      <c r="P586" s="434"/>
      <c r="Q586" s="434"/>
      <c r="R586" s="434"/>
      <c r="S586" s="434"/>
      <c r="T586" s="435"/>
    </row>
    <row r="587" spans="1:26">
      <c r="D587" s="542"/>
      <c r="E587" s="543"/>
      <c r="F587" s="543"/>
      <c r="G587" s="543"/>
      <c r="H587" s="436"/>
      <c r="I587" s="436"/>
      <c r="J587" s="436"/>
      <c r="K587" s="447"/>
      <c r="L587" s="436"/>
      <c r="M587" s="407"/>
      <c r="N587" s="407"/>
      <c r="O587" s="407"/>
      <c r="P587" s="407"/>
      <c r="Q587" s="407"/>
      <c r="R587" s="407"/>
      <c r="S587" s="407"/>
      <c r="T587" s="437"/>
    </row>
    <row r="588" spans="1:26" ht="7.9" customHeight="1">
      <c r="D588" s="542"/>
      <c r="E588" s="543"/>
      <c r="F588" s="543"/>
      <c r="G588" s="543"/>
      <c r="H588" s="436"/>
      <c r="I588" s="436"/>
      <c r="J588" s="436"/>
      <c r="K588" s="447"/>
      <c r="L588" s="436"/>
      <c r="M588" s="407"/>
      <c r="N588" s="407"/>
      <c r="O588" s="407"/>
      <c r="P588" s="407"/>
      <c r="Q588" s="407"/>
      <c r="R588" s="407"/>
      <c r="S588" s="407"/>
      <c r="T588" s="437"/>
    </row>
    <row r="589" spans="1:26">
      <c r="D589" s="542" t="s">
        <v>425</v>
      </c>
      <c r="E589" s="543"/>
      <c r="F589" s="543" t="s">
        <v>425</v>
      </c>
      <c r="G589" s="543"/>
      <c r="H589" s="543" t="s">
        <v>425</v>
      </c>
      <c r="I589" s="543"/>
      <c r="J589" s="543" t="s">
        <v>425</v>
      </c>
      <c r="K589" s="544"/>
      <c r="L589" s="545" t="s">
        <v>426</v>
      </c>
      <c r="M589" s="546"/>
      <c r="N589" s="546"/>
      <c r="O589" s="546"/>
      <c r="P589" s="546"/>
      <c r="Q589" s="546"/>
      <c r="R589" s="546"/>
      <c r="S589" s="546"/>
      <c r="T589" s="547"/>
    </row>
    <row r="590" spans="1:26">
      <c r="D590" s="548" t="str">
        <f>+[42]DATOS!D$8</f>
        <v>HELMER EDUARDO BECERRA SANTANDER</v>
      </c>
      <c r="E590" s="549"/>
      <c r="F590" s="549" t="s">
        <v>427</v>
      </c>
      <c r="G590" s="549"/>
      <c r="H590" s="549" t="s">
        <v>427</v>
      </c>
      <c r="I590" s="549"/>
      <c r="J590" s="549" t="s">
        <v>427</v>
      </c>
      <c r="K590" s="550"/>
      <c r="L590" s="551" t="str">
        <f>+[42]DATOS!D$11</f>
        <v>JESUS IVAN QUIÑONES RUEDA</v>
      </c>
      <c r="M590" s="549"/>
      <c r="N590" s="549"/>
      <c r="O590" s="549"/>
      <c r="P590" s="549"/>
      <c r="Q590" s="549"/>
      <c r="R590" s="549"/>
      <c r="S590" s="549"/>
      <c r="T590" s="552"/>
    </row>
    <row r="591" spans="1:26">
      <c r="D591" s="553" t="str">
        <f>+$D$72</f>
        <v>APOYO SEC. DE PLANEACION Y OBRAS PÚBLICAS</v>
      </c>
      <c r="E591" s="554"/>
      <c r="F591" s="554" t="s">
        <v>428</v>
      </c>
      <c r="G591" s="554"/>
      <c r="H591" s="554" t="s">
        <v>428</v>
      </c>
      <c r="I591" s="554"/>
      <c r="J591" s="554" t="s">
        <v>428</v>
      </c>
      <c r="K591" s="555"/>
      <c r="L591" s="556" t="str">
        <f>+$L$72</f>
        <v>SECRETARIO DE PLANEACION Y OBRAS PÚBLICAS</v>
      </c>
      <c r="M591" s="554"/>
      <c r="N591" s="554"/>
      <c r="O591" s="554"/>
      <c r="P591" s="554"/>
      <c r="Q591" s="554"/>
      <c r="R591" s="554"/>
      <c r="S591" s="554"/>
      <c r="T591" s="557"/>
    </row>
    <row r="592" spans="1:26">
      <c r="D592" s="406"/>
      <c r="E592" s="407"/>
      <c r="F592" s="407"/>
      <c r="G592" s="407"/>
      <c r="H592" s="407"/>
      <c r="I592" s="407"/>
      <c r="J592" s="407"/>
      <c r="K592" s="407"/>
      <c r="L592" s="407"/>
      <c r="M592" s="407"/>
      <c r="N592" s="407"/>
      <c r="O592" s="407"/>
      <c r="P592" s="407"/>
      <c r="Q592" s="407"/>
      <c r="R592" s="407"/>
      <c r="S592" s="407"/>
      <c r="T592" s="437"/>
    </row>
    <row r="593" spans="4:20" ht="111" customHeight="1" thickBot="1">
      <c r="D593" s="417"/>
      <c r="E593" s="418"/>
      <c r="F593" s="418"/>
      <c r="G593" s="418"/>
      <c r="H593" s="418"/>
      <c r="I593" s="418"/>
      <c r="J593" s="418"/>
      <c r="K593" s="418"/>
      <c r="L593" s="418"/>
      <c r="M593" s="418"/>
      <c r="N593" s="418"/>
      <c r="O593" s="418"/>
      <c r="P593" s="418"/>
      <c r="Q593" s="418"/>
      <c r="R593" s="418"/>
      <c r="S593" s="418"/>
      <c r="T593" s="438"/>
    </row>
    <row r="594" spans="4:20" ht="22.5" customHeight="1"/>
    <row r="595" spans="4:20" ht="13.5" thickBot="1"/>
    <row r="596" spans="4:20">
      <c r="D596" s="384"/>
      <c r="E596" s="385"/>
      <c r="F596" s="385"/>
      <c r="G596" s="385"/>
      <c r="H596" s="385"/>
      <c r="I596" s="385"/>
      <c r="J596" s="385"/>
      <c r="K596" s="445"/>
      <c r="L596" s="385"/>
      <c r="M596" s="385"/>
      <c r="N596" s="385"/>
      <c r="O596" s="385"/>
      <c r="P596" s="385"/>
      <c r="Q596" s="385"/>
      <c r="R596" s="385"/>
      <c r="S596" s="385"/>
      <c r="T596" s="386"/>
    </row>
    <row r="597" spans="4:20" ht="121.5" customHeight="1" thickBot="1">
      <c r="D597" s="387"/>
      <c r="E597" s="388"/>
      <c r="F597" s="388"/>
      <c r="G597" s="388"/>
      <c r="H597" s="388"/>
      <c r="I597" s="388"/>
      <c r="J597" s="388"/>
      <c r="K597" s="446"/>
      <c r="L597" s="388"/>
      <c r="M597" s="388"/>
      <c r="N597" s="388"/>
      <c r="O597" s="388"/>
      <c r="P597" s="388"/>
      <c r="Q597" s="388"/>
      <c r="R597" s="388"/>
      <c r="S597" s="388"/>
      <c r="T597" s="389"/>
    </row>
    <row r="598" spans="4:20">
      <c r="D598" s="592" t="str">
        <f>+[42]DATOS!C$7</f>
        <v>MEJORAMIENTO DE VIVIENDA CON ENFOQUE DIFERENCIAL PARA POBLACIÓN VULNERABLE EN EL MUNICIPIO DE CUBARÁ, BOYACÁ (2026).</v>
      </c>
      <c r="E598" s="593"/>
      <c r="F598" s="593"/>
      <c r="G598" s="593"/>
      <c r="H598" s="593"/>
      <c r="I598" s="593"/>
      <c r="J598" s="593"/>
      <c r="K598" s="593"/>
      <c r="L598" s="593"/>
      <c r="M598" s="593"/>
      <c r="N598" s="593"/>
      <c r="O598" s="593"/>
      <c r="P598" s="593"/>
      <c r="Q598" s="593"/>
      <c r="R598" s="593"/>
      <c r="S598" s="593"/>
      <c r="T598" s="594"/>
    </row>
    <row r="599" spans="4:20">
      <c r="D599" s="595"/>
      <c r="E599" s="596"/>
      <c r="F599" s="596"/>
      <c r="G599" s="596"/>
      <c r="H599" s="596"/>
      <c r="I599" s="596"/>
      <c r="J599" s="596"/>
      <c r="K599" s="596"/>
      <c r="L599" s="596"/>
      <c r="M599" s="596"/>
      <c r="N599" s="596"/>
      <c r="O599" s="596"/>
      <c r="P599" s="596"/>
      <c r="Q599" s="596"/>
      <c r="R599" s="596"/>
      <c r="S599" s="596"/>
      <c r="T599" s="597"/>
    </row>
    <row r="600" spans="4:20">
      <c r="D600" s="598" t="s">
        <v>371</v>
      </c>
      <c r="E600" s="599"/>
      <c r="F600" s="599"/>
      <c r="G600" s="599"/>
      <c r="H600" s="599"/>
      <c r="I600" s="599"/>
      <c r="J600" s="599"/>
      <c r="K600" s="599"/>
      <c r="L600" s="599"/>
      <c r="M600" s="599"/>
      <c r="N600" s="599"/>
      <c r="O600" s="599"/>
      <c r="P600" s="599"/>
      <c r="Q600" s="599"/>
      <c r="R600" s="599"/>
      <c r="S600" s="599"/>
      <c r="T600" s="600"/>
    </row>
    <row r="601" spans="4:20">
      <c r="D601" s="586" t="s">
        <v>372</v>
      </c>
      <c r="E601" s="587"/>
      <c r="F601" s="601" t="s">
        <v>373</v>
      </c>
      <c r="G601" s="601"/>
      <c r="H601" s="601"/>
      <c r="I601" s="601"/>
      <c r="J601" s="601"/>
      <c r="K601" s="601"/>
      <c r="L601" s="601"/>
      <c r="M601" s="601"/>
      <c r="N601" s="601"/>
      <c r="O601" s="601"/>
      <c r="P601" s="601"/>
      <c r="Q601" s="601"/>
      <c r="R601" s="601"/>
      <c r="S601" s="601"/>
      <c r="T601" s="602"/>
    </row>
    <row r="602" spans="4:20">
      <c r="D602" s="586" t="s">
        <v>374</v>
      </c>
      <c r="E602" s="587"/>
      <c r="F602" s="603" t="s">
        <v>375</v>
      </c>
      <c r="G602" s="604"/>
      <c r="H602" s="604"/>
      <c r="I602" s="604"/>
      <c r="J602" s="604"/>
      <c r="K602" s="604"/>
      <c r="L602" s="604"/>
      <c r="M602" s="604"/>
      <c r="N602" s="604"/>
      <c r="O602" s="604"/>
      <c r="P602" s="604"/>
      <c r="Q602" s="604"/>
      <c r="R602" s="604"/>
      <c r="S602" s="604"/>
      <c r="T602" s="605"/>
    </row>
    <row r="603" spans="4:20">
      <c r="D603" s="586" t="s">
        <v>376</v>
      </c>
      <c r="E603" s="587"/>
      <c r="F603" s="390">
        <f>+[42]DATOS!F$5</f>
        <v>46143</v>
      </c>
      <c r="G603" s="391"/>
      <c r="H603" s="391"/>
      <c r="I603" s="391"/>
      <c r="J603" s="391"/>
      <c r="K603" s="391"/>
      <c r="L603" s="568" t="s">
        <v>377</v>
      </c>
      <c r="M603" s="568"/>
      <c r="N603" s="588" t="s">
        <v>378</v>
      </c>
      <c r="O603" s="588"/>
      <c r="P603" s="588"/>
      <c r="Q603" s="588"/>
      <c r="R603" s="588"/>
      <c r="S603" s="588"/>
      <c r="T603" s="589"/>
    </row>
    <row r="604" spans="4:20" ht="25.5">
      <c r="D604" s="586" t="s">
        <v>379</v>
      </c>
      <c r="E604" s="587"/>
      <c r="F604" s="590" t="s">
        <v>380</v>
      </c>
      <c r="G604" s="591"/>
      <c r="H604" s="392">
        <f>+[42]DATOS!E$5</f>
        <v>2026</v>
      </c>
      <c r="I604" s="393" t="s">
        <v>381</v>
      </c>
      <c r="J604" s="394">
        <f>+[42]DATOS!E$5</f>
        <v>2026</v>
      </c>
      <c r="K604" s="395"/>
      <c r="L604" s="568" t="s">
        <v>382</v>
      </c>
      <c r="M604" s="568"/>
      <c r="N604" s="588" t="s">
        <v>383</v>
      </c>
      <c r="O604" s="588"/>
      <c r="P604" s="588"/>
      <c r="Q604" s="588"/>
      <c r="R604" s="588"/>
      <c r="S604" s="588"/>
      <c r="T604" s="589"/>
    </row>
    <row r="605" spans="4:20">
      <c r="D605" s="396"/>
      <c r="E605" s="397"/>
      <c r="F605" s="397"/>
      <c r="G605" s="398"/>
      <c r="H605" s="398"/>
      <c r="I605" s="398"/>
      <c r="J605" s="398"/>
      <c r="K605" s="398"/>
      <c r="L605" s="398"/>
      <c r="M605" s="398"/>
      <c r="N605" s="398"/>
      <c r="O605" s="398"/>
      <c r="P605" s="398"/>
      <c r="Q605" s="398"/>
      <c r="R605" s="398"/>
      <c r="S605" s="398"/>
      <c r="T605" s="399"/>
    </row>
    <row r="606" spans="4:20">
      <c r="D606" s="572" t="s">
        <v>384</v>
      </c>
      <c r="E606" s="573"/>
      <c r="F606" s="573"/>
      <c r="G606" s="573"/>
      <c r="H606" s="573"/>
      <c r="I606" s="573"/>
      <c r="J606" s="573"/>
      <c r="K606" s="573"/>
      <c r="L606" s="573"/>
      <c r="M606" s="573"/>
      <c r="N606" s="573"/>
      <c r="O606" s="573"/>
      <c r="P606" s="573"/>
      <c r="Q606" s="573"/>
      <c r="R606" s="573"/>
      <c r="S606" s="573"/>
      <c r="T606" s="574"/>
    </row>
    <row r="607" spans="4:20">
      <c r="D607" s="396"/>
      <c r="E607" s="397"/>
      <c r="F607" s="397"/>
      <c r="G607" s="398"/>
      <c r="H607" s="398"/>
      <c r="I607" s="398"/>
      <c r="J607" s="398"/>
      <c r="K607" s="398"/>
      <c r="L607" s="398"/>
      <c r="M607" s="398"/>
      <c r="N607" s="398"/>
      <c r="O607" s="398"/>
      <c r="P607" s="398"/>
      <c r="Q607" s="398"/>
      <c r="R607" s="398"/>
      <c r="S607" s="398"/>
      <c r="T607" s="399"/>
    </row>
    <row r="608" spans="4:20">
      <c r="D608" s="400" t="s">
        <v>385</v>
      </c>
      <c r="E608" s="575" t="s">
        <v>386</v>
      </c>
      <c r="F608" s="575"/>
      <c r="G608" s="576" t="s">
        <v>387</v>
      </c>
      <c r="H608" s="577"/>
      <c r="I608" s="577"/>
      <c r="J608" s="576" t="s">
        <v>388</v>
      </c>
      <c r="K608" s="576" t="s">
        <v>389</v>
      </c>
      <c r="L608" s="579"/>
      <c r="M608" s="581" t="s">
        <v>390</v>
      </c>
      <c r="N608" s="581"/>
      <c r="O608" s="581"/>
      <c r="P608" s="581"/>
      <c r="Q608" s="581"/>
      <c r="R608" s="581"/>
      <c r="S608" s="581" t="s">
        <v>391</v>
      </c>
      <c r="T608" s="582"/>
    </row>
    <row r="609" spans="1:26" ht="38.25">
      <c r="D609" s="403">
        <f>+'PRESUPUESTO OFICIAL '!C20</f>
        <v>1.0900000000000001</v>
      </c>
      <c r="E609" s="583" t="str">
        <f>+VLOOKUP(D609,'PRESUPUESTO OFICIAL '!$C$11:$H$103,2)</f>
        <v>DESMONTE DE MARCOS, PUERTAS Y VENTANAS.</v>
      </c>
      <c r="F609" s="584"/>
      <c r="G609" s="585" t="str">
        <f>+VLOOKUP(D609,'PRESUPUESTO OFICIAL '!$C$11:$H$103,3)</f>
        <v>M2</v>
      </c>
      <c r="H609" s="585"/>
      <c r="I609" s="585"/>
      <c r="J609" s="578"/>
      <c r="K609" s="578"/>
      <c r="L609" s="580"/>
      <c r="M609" s="401" t="s">
        <v>392</v>
      </c>
      <c r="N609" s="401" t="s">
        <v>393</v>
      </c>
      <c r="O609" s="401" t="s">
        <v>394</v>
      </c>
      <c r="P609" s="401" t="s">
        <v>395</v>
      </c>
      <c r="Q609" s="401" t="s">
        <v>396</v>
      </c>
      <c r="R609" s="401" t="s">
        <v>397</v>
      </c>
      <c r="S609" s="401" t="s">
        <v>398</v>
      </c>
      <c r="T609" s="402" t="s">
        <v>399</v>
      </c>
      <c r="V609" s="404">
        <f>+D609</f>
        <v>1.0900000000000001</v>
      </c>
      <c r="W609" s="405">
        <f>+T657</f>
        <v>4.6100000000000003</v>
      </c>
    </row>
    <row r="610" spans="1:26">
      <c r="D610" s="406"/>
      <c r="E610" s="407"/>
      <c r="F610" s="407"/>
      <c r="G610" s="407"/>
      <c r="H610" s="407"/>
      <c r="I610" s="407"/>
      <c r="J610" s="558"/>
      <c r="K610" s="559"/>
      <c r="L610" s="560"/>
      <c r="M610" s="560"/>
      <c r="N610" s="560"/>
      <c r="O610" s="560"/>
      <c r="P610" s="560"/>
      <c r="Q610" s="560"/>
      <c r="R610" s="560"/>
      <c r="S610" s="560"/>
      <c r="T610" s="561"/>
    </row>
    <row r="611" spans="1:26">
      <c r="A611" s="453">
        <f>+D609</f>
        <v>1.0900000000000001</v>
      </c>
      <c r="B611" s="383">
        <v>1</v>
      </c>
      <c r="D611" s="406"/>
      <c r="E611" s="407"/>
      <c r="F611" s="407"/>
      <c r="G611" s="407"/>
      <c r="H611" s="407"/>
      <c r="I611" s="407"/>
      <c r="J611" s="408" t="s">
        <v>400</v>
      </c>
      <c r="K611" s="409" t="str">
        <f t="shared" ref="K611:K653" si="78">+VLOOKUP(L611,$AH$22:$AJ$58,2,)</f>
        <v>A=(Ancho x Largo)* Cant</v>
      </c>
      <c r="L611" s="410" t="str">
        <f>+G609</f>
        <v>M2</v>
      </c>
      <c r="M611" s="411">
        <f>+HLOOKUP(B611,[238]Hoja1!$2:$78,13,FALSE)</f>
        <v>0</v>
      </c>
      <c r="N611" s="412"/>
      <c r="O611" s="442"/>
      <c r="P611" s="442"/>
      <c r="Q611" s="413"/>
      <c r="R611" s="411"/>
      <c r="S611" s="413"/>
      <c r="T611" s="414">
        <f>+S611*M611</f>
        <v>0</v>
      </c>
      <c r="Y611" s="439">
        <f>+O611*P611</f>
        <v>0</v>
      </c>
      <c r="Z611" s="439">
        <f t="shared" ref="Z611" si="79">+Y611-R611</f>
        <v>0</v>
      </c>
    </row>
    <row r="612" spans="1:26">
      <c r="A612" s="453">
        <f>+A611</f>
        <v>1.0900000000000001</v>
      </c>
      <c r="B612" s="383">
        <v>2</v>
      </c>
      <c r="D612" s="406"/>
      <c r="E612" s="407"/>
      <c r="F612" s="407"/>
      <c r="G612" s="407"/>
      <c r="H612" s="407"/>
      <c r="I612" s="407"/>
      <c r="J612" s="408" t="s">
        <v>401</v>
      </c>
      <c r="K612" s="409" t="str">
        <f t="shared" si="78"/>
        <v>A=(Ancho x Largo)* Cant</v>
      </c>
      <c r="L612" s="410" t="str">
        <f>+L611</f>
        <v>M2</v>
      </c>
      <c r="M612" s="411">
        <f>+HLOOKUP(B612,[238]Hoja1!$2:$78,13,FALSE)</f>
        <v>0</v>
      </c>
      <c r="N612" s="412"/>
      <c r="O612" s="442"/>
      <c r="P612" s="442"/>
      <c r="Q612" s="413"/>
      <c r="R612" s="411"/>
      <c r="S612" s="413"/>
      <c r="T612" s="414">
        <f t="shared" ref="T612:T653" si="80">+S612*M612</f>
        <v>0</v>
      </c>
      <c r="Y612" s="439">
        <f>+O612*P612</f>
        <v>0</v>
      </c>
      <c r="Z612" s="439">
        <f t="shared" ref="Z612:Z643" si="81">+Y612-M612</f>
        <v>0</v>
      </c>
    </row>
    <row r="613" spans="1:26">
      <c r="A613" s="453">
        <f t="shared" ref="A613:A653" si="82">+A612</f>
        <v>1.0900000000000001</v>
      </c>
      <c r="B613" s="383">
        <v>3</v>
      </c>
      <c r="D613" s="406"/>
      <c r="E613" s="407"/>
      <c r="F613" s="407"/>
      <c r="G613" s="407"/>
      <c r="H613" s="407"/>
      <c r="I613" s="407"/>
      <c r="J613" s="408" t="s">
        <v>402</v>
      </c>
      <c r="K613" s="409" t="str">
        <f t="shared" si="78"/>
        <v>A=(Ancho x Largo)* Cant</v>
      </c>
      <c r="L613" s="410" t="str">
        <f>+L612</f>
        <v>M2</v>
      </c>
      <c r="M613" s="411">
        <f>+HLOOKUP(B613,[238]Hoja1!$2:$78,13,FALSE)</f>
        <v>0</v>
      </c>
      <c r="N613" s="412"/>
      <c r="O613" s="442"/>
      <c r="P613" s="442"/>
      <c r="Q613" s="413"/>
      <c r="R613" s="411"/>
      <c r="S613" s="413"/>
      <c r="T613" s="414">
        <f t="shared" si="80"/>
        <v>0</v>
      </c>
      <c r="Y613" s="439">
        <f t="shared" ref="Y613:Y616" si="83">+O613*P613</f>
        <v>0</v>
      </c>
      <c r="Z613" s="439">
        <f t="shared" si="81"/>
        <v>0</v>
      </c>
    </row>
    <row r="614" spans="1:26">
      <c r="A614" s="453">
        <f t="shared" si="82"/>
        <v>1.0900000000000001</v>
      </c>
      <c r="B614" s="383">
        <v>4</v>
      </c>
      <c r="D614" s="406"/>
      <c r="E614" s="407"/>
      <c r="F614" s="407"/>
      <c r="G614" s="407"/>
      <c r="H614" s="407"/>
      <c r="I614" s="407"/>
      <c r="J614" s="408" t="s">
        <v>403</v>
      </c>
      <c r="K614" s="409" t="str">
        <f t="shared" si="78"/>
        <v>A=(Ancho x Largo)* Cant</v>
      </c>
      <c r="L614" s="410" t="str">
        <f>+L613</f>
        <v>M2</v>
      </c>
      <c r="M614" s="411">
        <f>+HLOOKUP(B614,[238]Hoja1!$2:$78,13,FALSE)</f>
        <v>0</v>
      </c>
      <c r="N614" s="412"/>
      <c r="O614" s="442"/>
      <c r="P614" s="442"/>
      <c r="Q614" s="413"/>
      <c r="R614" s="411"/>
      <c r="S614" s="413"/>
      <c r="T614" s="414">
        <f t="shared" si="80"/>
        <v>0</v>
      </c>
      <c r="Y614" s="439">
        <f t="shared" si="83"/>
        <v>0</v>
      </c>
      <c r="Z614" s="439">
        <f t="shared" si="81"/>
        <v>0</v>
      </c>
    </row>
    <row r="615" spans="1:26">
      <c r="A615" s="453">
        <f t="shared" si="82"/>
        <v>1.0900000000000001</v>
      </c>
      <c r="B615" s="383">
        <v>5</v>
      </c>
      <c r="D615" s="406"/>
      <c r="E615" s="407"/>
      <c r="F615" s="407"/>
      <c r="G615" s="407"/>
      <c r="H615" s="407"/>
      <c r="I615" s="407"/>
      <c r="J615" s="408" t="s">
        <v>405</v>
      </c>
      <c r="K615" s="409" t="str">
        <f t="shared" si="78"/>
        <v>A=(Ancho x Largo)* Cant</v>
      </c>
      <c r="L615" s="410" t="str">
        <f>+L614</f>
        <v>M2</v>
      </c>
      <c r="M615" s="411">
        <f>+HLOOKUP(B615,[238]Hoja1!$2:$78,13,FALSE)</f>
        <v>0</v>
      </c>
      <c r="N615" s="412"/>
      <c r="O615" s="442"/>
      <c r="P615" s="442"/>
      <c r="Q615" s="413"/>
      <c r="R615" s="411"/>
      <c r="S615" s="413"/>
      <c r="T615" s="414">
        <f t="shared" si="80"/>
        <v>0</v>
      </c>
      <c r="Y615" s="439">
        <f t="shared" si="83"/>
        <v>0</v>
      </c>
      <c r="Z615" s="439">
        <f t="shared" si="81"/>
        <v>0</v>
      </c>
    </row>
    <row r="616" spans="1:26">
      <c r="A616" s="453">
        <f t="shared" si="82"/>
        <v>1.0900000000000001</v>
      </c>
      <c r="B616" s="383">
        <v>6</v>
      </c>
      <c r="D616" s="406"/>
      <c r="E616" s="407"/>
      <c r="F616" s="407"/>
      <c r="G616" s="407"/>
      <c r="H616" s="407"/>
      <c r="I616" s="407"/>
      <c r="J616" s="408" t="s">
        <v>407</v>
      </c>
      <c r="K616" s="409" t="str">
        <f t="shared" si="78"/>
        <v>A=(Ancho x Largo)* Cant</v>
      </c>
      <c r="L616" s="410" t="str">
        <f>+L615</f>
        <v>M2</v>
      </c>
      <c r="M616" s="411">
        <f>+HLOOKUP(B616,[238]Hoja1!$2:$78,13,FALSE)</f>
        <v>0</v>
      </c>
      <c r="N616" s="412"/>
      <c r="O616" s="442"/>
      <c r="P616" s="442"/>
      <c r="Q616" s="413"/>
      <c r="R616" s="411"/>
      <c r="S616" s="413"/>
      <c r="T616" s="414">
        <f t="shared" si="80"/>
        <v>0</v>
      </c>
      <c r="Y616" s="439">
        <f t="shared" si="83"/>
        <v>0</v>
      </c>
      <c r="Z616" s="439">
        <f t="shared" si="81"/>
        <v>0</v>
      </c>
    </row>
    <row r="617" spans="1:26">
      <c r="A617" s="453">
        <f t="shared" si="82"/>
        <v>1.0900000000000001</v>
      </c>
      <c r="B617" s="383">
        <v>7</v>
      </c>
      <c r="D617" s="406"/>
      <c r="E617" s="407"/>
      <c r="F617" s="407"/>
      <c r="G617" s="407"/>
      <c r="H617" s="407"/>
      <c r="I617" s="407"/>
      <c r="J617" s="408" t="s">
        <v>409</v>
      </c>
      <c r="K617" s="409" t="str">
        <f t="shared" si="78"/>
        <v>A=(Ancho x Largo)* Cant</v>
      </c>
      <c r="L617" s="410" t="str">
        <f>+L611</f>
        <v>M2</v>
      </c>
      <c r="M617" s="411">
        <f>+HLOOKUP(B617,[238]Hoja1!$2:$78,13,FALSE)</f>
        <v>0</v>
      </c>
      <c r="N617" s="412"/>
      <c r="O617" s="442"/>
      <c r="P617" s="442"/>
      <c r="Q617" s="413"/>
      <c r="R617" s="411"/>
      <c r="S617" s="413"/>
      <c r="T617" s="414">
        <f t="shared" si="80"/>
        <v>0</v>
      </c>
      <c r="Y617" s="439">
        <f>+O617*P617*Q617*S617</f>
        <v>0</v>
      </c>
      <c r="Z617" s="439">
        <f t="shared" si="81"/>
        <v>0</v>
      </c>
    </row>
    <row r="618" spans="1:26">
      <c r="A618" s="453">
        <f t="shared" si="82"/>
        <v>1.0900000000000001</v>
      </c>
      <c r="B618" s="383">
        <v>8</v>
      </c>
      <c r="D618" s="406"/>
      <c r="E618" s="407"/>
      <c r="F618" s="407"/>
      <c r="G618" s="407"/>
      <c r="H618" s="407"/>
      <c r="I618" s="407"/>
      <c r="J618" s="408" t="s">
        <v>411</v>
      </c>
      <c r="K618" s="409" t="str">
        <f t="shared" si="78"/>
        <v>A=(Ancho x Largo)* Cant</v>
      </c>
      <c r="L618" s="410" t="str">
        <f>+L617</f>
        <v>M2</v>
      </c>
      <c r="M618" s="411">
        <f>+HLOOKUP(B618,[238]Hoja1!$2:$78,13,FALSE)</f>
        <v>0</v>
      </c>
      <c r="N618" s="412"/>
      <c r="O618" s="442"/>
      <c r="P618" s="442"/>
      <c r="Q618" s="413"/>
      <c r="R618" s="411"/>
      <c r="S618" s="413"/>
      <c r="T618" s="414">
        <f t="shared" si="80"/>
        <v>0</v>
      </c>
      <c r="Y618" s="439">
        <f t="shared" ref="Y618:Y624" si="84">+O618*P618</f>
        <v>0</v>
      </c>
      <c r="Z618" s="439">
        <f t="shared" si="81"/>
        <v>0</v>
      </c>
    </row>
    <row r="619" spans="1:26">
      <c r="A619" s="453">
        <f t="shared" si="82"/>
        <v>1.0900000000000001</v>
      </c>
      <c r="B619" s="383">
        <v>9</v>
      </c>
      <c r="D619" s="406"/>
      <c r="E619" s="407"/>
      <c r="F619" s="407"/>
      <c r="G619" s="407"/>
      <c r="H619" s="407"/>
      <c r="I619" s="407"/>
      <c r="J619" s="408" t="s">
        <v>412</v>
      </c>
      <c r="K619" s="409" t="str">
        <f t="shared" si="78"/>
        <v>A=(Ancho x Largo)* Cant</v>
      </c>
      <c r="L619" s="410" t="str">
        <f>+L618</f>
        <v>M2</v>
      </c>
      <c r="M619" s="411">
        <f>+HLOOKUP(B619,[238]Hoja1!$2:$78,13,FALSE)</f>
        <v>0</v>
      </c>
      <c r="N619" s="412"/>
      <c r="O619" s="442"/>
      <c r="P619" s="442"/>
      <c r="Q619" s="412"/>
      <c r="R619" s="411"/>
      <c r="S619" s="413"/>
      <c r="T619" s="414">
        <f t="shared" si="80"/>
        <v>0</v>
      </c>
      <c r="Y619" s="439">
        <f t="shared" si="84"/>
        <v>0</v>
      </c>
      <c r="Z619" s="439">
        <f t="shared" si="81"/>
        <v>0</v>
      </c>
    </row>
    <row r="620" spans="1:26">
      <c r="A620" s="453">
        <f t="shared" si="82"/>
        <v>1.0900000000000001</v>
      </c>
      <c r="B620" s="383">
        <v>10</v>
      </c>
      <c r="D620" s="406"/>
      <c r="E620" s="407"/>
      <c r="F620" s="407"/>
      <c r="G620" s="407"/>
      <c r="H620" s="407"/>
      <c r="I620" s="407"/>
      <c r="J620" s="408" t="s">
        <v>413</v>
      </c>
      <c r="K620" s="409" t="str">
        <f t="shared" si="78"/>
        <v>A=(Ancho x Largo)* Cant</v>
      </c>
      <c r="L620" s="410" t="str">
        <f>+L619</f>
        <v>M2</v>
      </c>
      <c r="M620" s="411">
        <f>+HLOOKUP(B620,[238]Hoja1!$2:$78,13,FALSE)</f>
        <v>0</v>
      </c>
      <c r="N620" s="412"/>
      <c r="O620" s="441"/>
      <c r="P620" s="441"/>
      <c r="Q620" s="412"/>
      <c r="R620" s="411"/>
      <c r="S620" s="413"/>
      <c r="T620" s="414">
        <f t="shared" si="80"/>
        <v>0</v>
      </c>
      <c r="Y620" s="439">
        <f t="shared" si="84"/>
        <v>0</v>
      </c>
      <c r="Z620" s="439">
        <f t="shared" si="81"/>
        <v>0</v>
      </c>
    </row>
    <row r="621" spans="1:26">
      <c r="A621" s="453">
        <f t="shared" si="82"/>
        <v>1.0900000000000001</v>
      </c>
      <c r="B621" s="383">
        <v>11</v>
      </c>
      <c r="D621" s="406"/>
      <c r="E621" s="407"/>
      <c r="F621" s="407"/>
      <c r="G621" s="407"/>
      <c r="H621" s="407"/>
      <c r="I621" s="407"/>
      <c r="J621" s="408" t="s">
        <v>414</v>
      </c>
      <c r="K621" s="409" t="str">
        <f t="shared" si="78"/>
        <v>A=(Ancho x Largo)* Cant</v>
      </c>
      <c r="L621" s="410" t="str">
        <f>+L620</f>
        <v>M2</v>
      </c>
      <c r="M621" s="411">
        <f>+HLOOKUP(B621,[238]Hoja1!$2:$78,13,FALSE)</f>
        <v>0</v>
      </c>
      <c r="N621" s="412"/>
      <c r="O621" s="443"/>
      <c r="P621" s="443"/>
      <c r="Q621" s="412"/>
      <c r="R621" s="411"/>
      <c r="S621" s="413"/>
      <c r="T621" s="414">
        <f t="shared" si="80"/>
        <v>0</v>
      </c>
      <c r="Y621" s="439">
        <f t="shared" si="84"/>
        <v>0</v>
      </c>
      <c r="Z621" s="439">
        <f t="shared" si="81"/>
        <v>0</v>
      </c>
    </row>
    <row r="622" spans="1:26">
      <c r="A622" s="453">
        <f t="shared" si="82"/>
        <v>1.0900000000000001</v>
      </c>
      <c r="B622" s="383">
        <v>12</v>
      </c>
      <c r="D622" s="406"/>
      <c r="E622" s="407"/>
      <c r="F622" s="407"/>
      <c r="G622" s="407"/>
      <c r="H622" s="407"/>
      <c r="I622" s="407"/>
      <c r="J622" s="408" t="s">
        <v>415</v>
      </c>
      <c r="K622" s="409" t="str">
        <f t="shared" si="78"/>
        <v>A=(Ancho x Largo)* Cant</v>
      </c>
      <c r="L622" s="410" t="str">
        <f>+L616</f>
        <v>M2</v>
      </c>
      <c r="M622" s="411">
        <f>+HLOOKUP(B622,[238]Hoja1!$2:$78,13,FALSE)</f>
        <v>0</v>
      </c>
      <c r="N622" s="412"/>
      <c r="O622" s="442"/>
      <c r="P622" s="442"/>
      <c r="Q622" s="413"/>
      <c r="R622" s="411"/>
      <c r="S622" s="413"/>
      <c r="T622" s="414">
        <f t="shared" si="80"/>
        <v>0</v>
      </c>
      <c r="Y622" s="439">
        <f t="shared" si="84"/>
        <v>0</v>
      </c>
      <c r="Z622" s="439">
        <f t="shared" si="81"/>
        <v>0</v>
      </c>
    </row>
    <row r="623" spans="1:26">
      <c r="A623" s="453">
        <f t="shared" si="82"/>
        <v>1.0900000000000001</v>
      </c>
      <c r="B623" s="383">
        <v>13</v>
      </c>
      <c r="D623" s="406"/>
      <c r="E623" s="407"/>
      <c r="F623" s="407"/>
      <c r="G623" s="407"/>
      <c r="H623" s="407"/>
      <c r="I623" s="407"/>
      <c r="J623" s="408" t="s">
        <v>416</v>
      </c>
      <c r="K623" s="409" t="str">
        <f t="shared" si="78"/>
        <v>A=(Ancho x Largo)* Cant</v>
      </c>
      <c r="L623" s="410" t="str">
        <f>+L618</f>
        <v>M2</v>
      </c>
      <c r="M623" s="411">
        <f>+HLOOKUP(B623,[238]Hoja1!$2:$78,13,FALSE)</f>
        <v>0</v>
      </c>
      <c r="N623" s="412"/>
      <c r="O623" s="442"/>
      <c r="P623" s="442"/>
      <c r="Q623" s="413"/>
      <c r="R623" s="411"/>
      <c r="S623" s="413"/>
      <c r="T623" s="414">
        <f t="shared" si="80"/>
        <v>0</v>
      </c>
      <c r="Y623" s="439">
        <f t="shared" si="84"/>
        <v>0</v>
      </c>
      <c r="Z623" s="439">
        <f t="shared" si="81"/>
        <v>0</v>
      </c>
    </row>
    <row r="624" spans="1:26">
      <c r="A624" s="453">
        <f t="shared" si="82"/>
        <v>1.0900000000000001</v>
      </c>
      <c r="B624" s="383">
        <v>14</v>
      </c>
      <c r="D624" s="406"/>
      <c r="E624" s="407"/>
      <c r="F624" s="407"/>
      <c r="G624" s="407"/>
      <c r="H624" s="407"/>
      <c r="I624" s="407"/>
      <c r="J624" s="408" t="s">
        <v>417</v>
      </c>
      <c r="K624" s="409" t="str">
        <f t="shared" si="78"/>
        <v>A=(Ancho x Largo)* Cant</v>
      </c>
      <c r="L624" s="410" t="str">
        <f t="shared" ref="L624:L635" si="85">+L623</f>
        <v>M2</v>
      </c>
      <c r="M624" s="411">
        <f>+HLOOKUP(B624,[238]Hoja1!$2:$78,13,FALSE)</f>
        <v>0</v>
      </c>
      <c r="N624" s="412"/>
      <c r="O624" s="442"/>
      <c r="P624" s="442"/>
      <c r="Q624" s="412"/>
      <c r="R624" s="411"/>
      <c r="S624" s="413"/>
      <c r="T624" s="414">
        <f t="shared" si="80"/>
        <v>0</v>
      </c>
      <c r="Y624" s="439">
        <f t="shared" si="84"/>
        <v>0</v>
      </c>
      <c r="Z624" s="439">
        <f t="shared" si="81"/>
        <v>0</v>
      </c>
    </row>
    <row r="625" spans="1:26">
      <c r="A625" s="453">
        <f t="shared" si="82"/>
        <v>1.0900000000000001</v>
      </c>
      <c r="B625" s="383">
        <v>15</v>
      </c>
      <c r="D625" s="406"/>
      <c r="E625" s="407"/>
      <c r="F625" s="407"/>
      <c r="G625" s="407"/>
      <c r="H625" s="407"/>
      <c r="I625" s="407"/>
      <c r="J625" s="408" t="s">
        <v>418</v>
      </c>
      <c r="K625" s="409" t="str">
        <f t="shared" si="78"/>
        <v>A=(Ancho x Largo)* Cant</v>
      </c>
      <c r="L625" s="410" t="str">
        <f t="shared" si="85"/>
        <v>M2</v>
      </c>
      <c r="M625" s="411">
        <f>+HLOOKUP(B625,[238]Hoja1!$2:$78,13,FALSE)</f>
        <v>0</v>
      </c>
      <c r="N625" s="412"/>
      <c r="O625" s="442"/>
      <c r="P625" s="442"/>
      <c r="Q625" s="449"/>
      <c r="R625" s="411"/>
      <c r="S625" s="413"/>
      <c r="T625" s="414">
        <f t="shared" si="80"/>
        <v>0</v>
      </c>
      <c r="Y625" s="439">
        <f>+O625*P625*Q625</f>
        <v>0</v>
      </c>
      <c r="Z625" s="439">
        <f t="shared" si="81"/>
        <v>0</v>
      </c>
    </row>
    <row r="626" spans="1:26">
      <c r="A626" s="453">
        <f t="shared" si="82"/>
        <v>1.0900000000000001</v>
      </c>
      <c r="B626" s="383">
        <v>16</v>
      </c>
      <c r="D626" s="406"/>
      <c r="E626" s="407"/>
      <c r="F626" s="407"/>
      <c r="G626" s="407"/>
      <c r="H626" s="407"/>
      <c r="I626" s="407"/>
      <c r="J626" s="408" t="s">
        <v>419</v>
      </c>
      <c r="K626" s="409" t="str">
        <f t="shared" si="78"/>
        <v>A=(Ancho x Largo)* Cant</v>
      </c>
      <c r="L626" s="410" t="str">
        <f t="shared" si="85"/>
        <v>M2</v>
      </c>
      <c r="M626" s="411">
        <f>+HLOOKUP(B626,[238]Hoja1!$2:$78,13,FALSE)</f>
        <v>0</v>
      </c>
      <c r="N626" s="412"/>
      <c r="O626" s="442"/>
      <c r="P626" s="442"/>
      <c r="Q626" s="449"/>
      <c r="R626" s="411"/>
      <c r="S626" s="413"/>
      <c r="T626" s="414">
        <f t="shared" si="80"/>
        <v>0</v>
      </c>
      <c r="Y626" s="439">
        <f>+O626*P626*Q626</f>
        <v>0</v>
      </c>
      <c r="Z626" s="439">
        <f t="shared" si="81"/>
        <v>0</v>
      </c>
    </row>
    <row r="627" spans="1:26">
      <c r="A627" s="453">
        <f t="shared" si="82"/>
        <v>1.0900000000000001</v>
      </c>
      <c r="B627" s="383">
        <v>17</v>
      </c>
      <c r="D627" s="406"/>
      <c r="E627" s="407"/>
      <c r="F627" s="407"/>
      <c r="G627" s="407"/>
      <c r="H627" s="407"/>
      <c r="I627" s="407"/>
      <c r="J627" s="408" t="s">
        <v>420</v>
      </c>
      <c r="K627" s="409" t="str">
        <f t="shared" si="78"/>
        <v>A=(Ancho x Largo)* Cant</v>
      </c>
      <c r="L627" s="410" t="str">
        <f t="shared" si="85"/>
        <v>M2</v>
      </c>
      <c r="M627" s="411">
        <f>+HLOOKUP(B627,[238]Hoja1!$2:$78,13,FALSE)</f>
        <v>0</v>
      </c>
      <c r="N627" s="412"/>
      <c r="O627" s="442"/>
      <c r="P627" s="442"/>
      <c r="Q627" s="412"/>
      <c r="R627" s="411"/>
      <c r="S627" s="413"/>
      <c r="T627" s="414">
        <f t="shared" si="80"/>
        <v>0</v>
      </c>
      <c r="Y627" s="439">
        <f t="shared" ref="Y627:Y643" si="86">+O627*P627*Q627</f>
        <v>0</v>
      </c>
      <c r="Z627" s="439">
        <f t="shared" si="81"/>
        <v>0</v>
      </c>
    </row>
    <row r="628" spans="1:26">
      <c r="A628" s="453">
        <f t="shared" si="82"/>
        <v>1.0900000000000001</v>
      </c>
      <c r="B628" s="383">
        <v>18</v>
      </c>
      <c r="D628" s="406"/>
      <c r="E628" s="407"/>
      <c r="F628" s="407"/>
      <c r="G628" s="407"/>
      <c r="H628" s="407"/>
      <c r="I628" s="407"/>
      <c r="J628" s="408" t="s">
        <v>429</v>
      </c>
      <c r="K628" s="409" t="str">
        <f t="shared" si="78"/>
        <v>A=(Ancho x Largo)* Cant</v>
      </c>
      <c r="L628" s="410" t="str">
        <f t="shared" si="85"/>
        <v>M2</v>
      </c>
      <c r="M628" s="411">
        <f>+HLOOKUP(B628,[238]Hoja1!$2:$78,13,FALSE)</f>
        <v>0</v>
      </c>
      <c r="N628" s="412"/>
      <c r="O628" s="442"/>
      <c r="P628" s="442"/>
      <c r="Q628" s="412"/>
      <c r="R628" s="411"/>
      <c r="S628" s="413"/>
      <c r="T628" s="414">
        <f t="shared" si="80"/>
        <v>0</v>
      </c>
      <c r="Y628" s="439">
        <f t="shared" si="86"/>
        <v>0</v>
      </c>
      <c r="Z628" s="439">
        <f t="shared" si="81"/>
        <v>0</v>
      </c>
    </row>
    <row r="629" spans="1:26">
      <c r="A629" s="453">
        <f t="shared" si="82"/>
        <v>1.0900000000000001</v>
      </c>
      <c r="B629" s="383">
        <v>19</v>
      </c>
      <c r="D629" s="406"/>
      <c r="E629" s="407"/>
      <c r="F629" s="407"/>
      <c r="G629" s="407"/>
      <c r="H629" s="407"/>
      <c r="I629" s="407"/>
      <c r="J629" s="408" t="s">
        <v>430</v>
      </c>
      <c r="K629" s="409" t="str">
        <f t="shared" si="78"/>
        <v>A=(Ancho x Largo)* Cant</v>
      </c>
      <c r="L629" s="410" t="str">
        <f t="shared" si="85"/>
        <v>M2</v>
      </c>
      <c r="M629" s="411">
        <f>+HLOOKUP(B629,[238]Hoja1!$2:$78,13,FALSE)</f>
        <v>0</v>
      </c>
      <c r="N629" s="412"/>
      <c r="O629" s="442"/>
      <c r="P629" s="442"/>
      <c r="Q629" s="412"/>
      <c r="R629" s="411"/>
      <c r="S629" s="413"/>
      <c r="T629" s="414">
        <f t="shared" si="80"/>
        <v>0</v>
      </c>
      <c r="Y629" s="439">
        <f t="shared" si="86"/>
        <v>0</v>
      </c>
      <c r="Z629" s="439">
        <f t="shared" si="81"/>
        <v>0</v>
      </c>
    </row>
    <row r="630" spans="1:26">
      <c r="A630" s="453">
        <f t="shared" si="82"/>
        <v>1.0900000000000001</v>
      </c>
      <c r="B630" s="383">
        <v>20</v>
      </c>
      <c r="D630" s="406"/>
      <c r="E630" s="407"/>
      <c r="F630" s="407"/>
      <c r="G630" s="407"/>
      <c r="H630" s="407"/>
      <c r="I630" s="407"/>
      <c r="J630" s="408" t="s">
        <v>431</v>
      </c>
      <c r="K630" s="409" t="str">
        <f t="shared" si="78"/>
        <v>A=(Ancho x Largo)* Cant</v>
      </c>
      <c r="L630" s="410" t="str">
        <f t="shared" si="85"/>
        <v>M2</v>
      </c>
      <c r="M630" s="411">
        <f>+HLOOKUP(B630,[238]Hoja1!$2:$78,13,FALSE)</f>
        <v>0</v>
      </c>
      <c r="N630" s="412"/>
      <c r="O630" s="442"/>
      <c r="P630" s="442"/>
      <c r="Q630" s="412"/>
      <c r="R630" s="411"/>
      <c r="S630" s="413"/>
      <c r="T630" s="414">
        <f t="shared" si="80"/>
        <v>0</v>
      </c>
      <c r="Y630" s="439">
        <f t="shared" si="86"/>
        <v>0</v>
      </c>
      <c r="Z630" s="439">
        <f t="shared" si="81"/>
        <v>0</v>
      </c>
    </row>
    <row r="631" spans="1:26">
      <c r="A631" s="453">
        <f t="shared" si="82"/>
        <v>1.0900000000000001</v>
      </c>
      <c r="B631" s="383">
        <v>21</v>
      </c>
      <c r="D631" s="406"/>
      <c r="E631" s="407"/>
      <c r="F631" s="407"/>
      <c r="G631" s="407"/>
      <c r="H631" s="407"/>
      <c r="I631" s="407"/>
      <c r="J631" s="408" t="s">
        <v>432</v>
      </c>
      <c r="K631" s="409" t="str">
        <f t="shared" si="78"/>
        <v>A=(Ancho x Largo)* Cant</v>
      </c>
      <c r="L631" s="410" t="str">
        <f t="shared" si="85"/>
        <v>M2</v>
      </c>
      <c r="M631" s="411">
        <f>+HLOOKUP(B631,[238]Hoja1!$2:$78,13,FALSE)</f>
        <v>0</v>
      </c>
      <c r="N631" s="412"/>
      <c r="O631" s="442"/>
      <c r="P631" s="442"/>
      <c r="Q631" s="412"/>
      <c r="R631" s="411"/>
      <c r="S631" s="413"/>
      <c r="T631" s="414">
        <f t="shared" si="80"/>
        <v>0</v>
      </c>
      <c r="Y631" s="439">
        <f t="shared" si="86"/>
        <v>0</v>
      </c>
      <c r="Z631" s="439">
        <f t="shared" si="81"/>
        <v>0</v>
      </c>
    </row>
    <row r="632" spans="1:26">
      <c r="A632" s="453">
        <f t="shared" si="82"/>
        <v>1.0900000000000001</v>
      </c>
      <c r="B632" s="383">
        <v>22</v>
      </c>
      <c r="D632" s="406"/>
      <c r="E632" s="407"/>
      <c r="F632" s="407"/>
      <c r="G632" s="407"/>
      <c r="H632" s="407"/>
      <c r="I632" s="407"/>
      <c r="J632" s="408" t="s">
        <v>433</v>
      </c>
      <c r="K632" s="409" t="str">
        <f t="shared" si="78"/>
        <v>A=(Ancho x Largo)* Cant</v>
      </c>
      <c r="L632" s="410" t="str">
        <f t="shared" si="85"/>
        <v>M2</v>
      </c>
      <c r="M632" s="411">
        <f>+HLOOKUP(B632,[238]Hoja1!$2:$78,13,FALSE)</f>
        <v>0</v>
      </c>
      <c r="N632" s="412"/>
      <c r="O632" s="442"/>
      <c r="P632" s="442"/>
      <c r="Q632" s="412"/>
      <c r="R632" s="411"/>
      <c r="S632" s="413"/>
      <c r="T632" s="414">
        <f t="shared" si="80"/>
        <v>0</v>
      </c>
      <c r="Y632" s="439">
        <f t="shared" si="86"/>
        <v>0</v>
      </c>
      <c r="Z632" s="439">
        <f t="shared" si="81"/>
        <v>0</v>
      </c>
    </row>
    <row r="633" spans="1:26">
      <c r="A633" s="453">
        <f t="shared" si="82"/>
        <v>1.0900000000000001</v>
      </c>
      <c r="B633" s="383">
        <v>23</v>
      </c>
      <c r="D633" s="406"/>
      <c r="E633" s="407"/>
      <c r="F633" s="407"/>
      <c r="G633" s="407"/>
      <c r="H633" s="407"/>
      <c r="I633" s="407"/>
      <c r="J633" s="408" t="s">
        <v>434</v>
      </c>
      <c r="K633" s="409" t="str">
        <f t="shared" si="78"/>
        <v>A=(Ancho x Largo)* Cant</v>
      </c>
      <c r="L633" s="410" t="str">
        <f t="shared" si="85"/>
        <v>M2</v>
      </c>
      <c r="M633" s="411">
        <f>+HLOOKUP(B633,[238]Hoja1!$2:$78,13,FALSE)</f>
        <v>0</v>
      </c>
      <c r="N633" s="412"/>
      <c r="O633" s="441"/>
      <c r="P633" s="441"/>
      <c r="Q633" s="412"/>
      <c r="R633" s="411"/>
      <c r="S633" s="413"/>
      <c r="T633" s="414">
        <f t="shared" si="80"/>
        <v>0</v>
      </c>
      <c r="Y633" s="439">
        <f t="shared" si="86"/>
        <v>0</v>
      </c>
      <c r="Z633" s="439">
        <f t="shared" si="81"/>
        <v>0</v>
      </c>
    </row>
    <row r="634" spans="1:26">
      <c r="A634" s="453">
        <f t="shared" si="82"/>
        <v>1.0900000000000001</v>
      </c>
      <c r="B634" s="383">
        <v>24</v>
      </c>
      <c r="D634" s="406"/>
      <c r="E634" s="407"/>
      <c r="F634" s="407"/>
      <c r="G634" s="407"/>
      <c r="H634" s="407"/>
      <c r="I634" s="407"/>
      <c r="J634" s="408" t="s">
        <v>435</v>
      </c>
      <c r="K634" s="409" t="str">
        <f t="shared" si="78"/>
        <v>A=(Ancho x Largo)* Cant</v>
      </c>
      <c r="L634" s="410" t="str">
        <f t="shared" si="85"/>
        <v>M2</v>
      </c>
      <c r="M634" s="411">
        <f>+HLOOKUP(B634,[238]Hoja1!$2:$78,13,FALSE)</f>
        <v>0</v>
      </c>
      <c r="N634" s="412"/>
      <c r="O634" s="442"/>
      <c r="P634" s="442"/>
      <c r="Q634" s="413"/>
      <c r="R634" s="411"/>
      <c r="S634" s="413"/>
      <c r="T634" s="414">
        <f t="shared" si="80"/>
        <v>0</v>
      </c>
      <c r="Y634" s="439">
        <f t="shared" si="86"/>
        <v>0</v>
      </c>
      <c r="Z634" s="439">
        <f t="shared" si="81"/>
        <v>0</v>
      </c>
    </row>
    <row r="635" spans="1:26">
      <c r="A635" s="453">
        <f t="shared" si="82"/>
        <v>1.0900000000000001</v>
      </c>
      <c r="B635" s="383">
        <v>25</v>
      </c>
      <c r="D635" s="406"/>
      <c r="E635" s="407"/>
      <c r="F635" s="407"/>
      <c r="G635" s="407"/>
      <c r="H635" s="407"/>
      <c r="I635" s="407"/>
      <c r="J635" s="408" t="s">
        <v>436</v>
      </c>
      <c r="K635" s="409" t="str">
        <f t="shared" si="78"/>
        <v>A=(Ancho x Largo)* Cant</v>
      </c>
      <c r="L635" s="410" t="str">
        <f t="shared" si="85"/>
        <v>M2</v>
      </c>
      <c r="M635" s="411">
        <f>+HLOOKUP(B635,[238]Hoja1!$2:$78,13,FALSE)</f>
        <v>0</v>
      </c>
      <c r="N635" s="412"/>
      <c r="O635" s="442"/>
      <c r="P635" s="442"/>
      <c r="Q635" s="412"/>
      <c r="R635" s="411"/>
      <c r="S635" s="413"/>
      <c r="T635" s="414">
        <f t="shared" si="80"/>
        <v>0</v>
      </c>
      <c r="Y635" s="439">
        <f t="shared" si="86"/>
        <v>0</v>
      </c>
      <c r="Z635" s="439">
        <f t="shared" si="81"/>
        <v>0</v>
      </c>
    </row>
    <row r="636" spans="1:26">
      <c r="A636" s="453">
        <f t="shared" si="82"/>
        <v>1.0900000000000001</v>
      </c>
      <c r="B636" s="383">
        <v>26</v>
      </c>
      <c r="D636" s="406"/>
      <c r="E636" s="407"/>
      <c r="F636" s="407"/>
      <c r="G636" s="407"/>
      <c r="H636" s="407"/>
      <c r="I636" s="407"/>
      <c r="J636" s="408" t="s">
        <v>437</v>
      </c>
      <c r="K636" s="409" t="str">
        <f t="shared" si="78"/>
        <v>A=(Ancho x Largo)* Cant</v>
      </c>
      <c r="L636" s="410" t="str">
        <f>+L625</f>
        <v>M2</v>
      </c>
      <c r="M636" s="411">
        <f>+HLOOKUP(B636,[238]Hoja1!$2:$78,13,FALSE)</f>
        <v>0</v>
      </c>
      <c r="N636" s="412"/>
      <c r="O636" s="442"/>
      <c r="P636" s="442"/>
      <c r="Q636" s="412"/>
      <c r="R636" s="411"/>
      <c r="S636" s="413"/>
      <c r="T636" s="414">
        <f t="shared" si="80"/>
        <v>0</v>
      </c>
      <c r="Y636" s="439">
        <f t="shared" si="86"/>
        <v>0</v>
      </c>
      <c r="Z636" s="439">
        <f t="shared" si="81"/>
        <v>0</v>
      </c>
    </row>
    <row r="637" spans="1:26">
      <c r="A637" s="453">
        <f t="shared" si="82"/>
        <v>1.0900000000000001</v>
      </c>
      <c r="B637" s="383">
        <v>27</v>
      </c>
      <c r="D637" s="406"/>
      <c r="E637" s="407"/>
      <c r="F637" s="407"/>
      <c r="G637" s="407"/>
      <c r="H637" s="407"/>
      <c r="I637" s="407"/>
      <c r="J637" s="408" t="s">
        <v>438</v>
      </c>
      <c r="K637" s="409" t="str">
        <f t="shared" si="78"/>
        <v>A=(Ancho x Largo)* Cant</v>
      </c>
      <c r="L637" s="410" t="str">
        <f t="shared" ref="L637:L645" si="87">+L636</f>
        <v>M2</v>
      </c>
      <c r="M637" s="411">
        <f>+HLOOKUP(B637,[238]Hoja1!$2:$78,13,FALSE)</f>
        <v>0</v>
      </c>
      <c r="N637" s="412"/>
      <c r="O637" s="442"/>
      <c r="P637" s="442"/>
      <c r="Q637" s="412"/>
      <c r="R637" s="411"/>
      <c r="S637" s="413"/>
      <c r="T637" s="414">
        <f t="shared" si="80"/>
        <v>0</v>
      </c>
      <c r="Y637" s="439">
        <f t="shared" si="86"/>
        <v>0</v>
      </c>
      <c r="Z637" s="439">
        <f t="shared" si="81"/>
        <v>0</v>
      </c>
    </row>
    <row r="638" spans="1:26">
      <c r="A638" s="453">
        <f t="shared" si="82"/>
        <v>1.0900000000000001</v>
      </c>
      <c r="B638" s="383">
        <v>28</v>
      </c>
      <c r="D638" s="406"/>
      <c r="E638" s="440"/>
      <c r="F638" s="407"/>
      <c r="G638" s="407"/>
      <c r="H638" s="407"/>
      <c r="I638" s="437"/>
      <c r="J638" s="408" t="s">
        <v>439</v>
      </c>
      <c r="K638" s="409" t="str">
        <f t="shared" si="78"/>
        <v>A=(Ancho x Largo)* Cant</v>
      </c>
      <c r="L638" s="410" t="str">
        <f t="shared" si="87"/>
        <v>M2</v>
      </c>
      <c r="M638" s="411">
        <f>+HLOOKUP(B638,[238]Hoja1!$2:$78,13,FALSE)</f>
        <v>4.6099999999999994</v>
      </c>
      <c r="N638" s="412"/>
      <c r="O638" s="442">
        <f>+M638/1</f>
        <v>4.6099999999999994</v>
      </c>
      <c r="P638" s="442">
        <v>1</v>
      </c>
      <c r="Q638" s="413"/>
      <c r="R638" s="411"/>
      <c r="S638" s="413">
        <v>1</v>
      </c>
      <c r="T638" s="414">
        <f t="shared" si="80"/>
        <v>4.6099999999999994</v>
      </c>
      <c r="Y638" s="439">
        <f t="shared" si="86"/>
        <v>0</v>
      </c>
      <c r="Z638" s="439">
        <f t="shared" si="81"/>
        <v>-4.6099999999999994</v>
      </c>
    </row>
    <row r="639" spans="1:26">
      <c r="A639" s="453">
        <f t="shared" si="82"/>
        <v>1.0900000000000001</v>
      </c>
      <c r="B639" s="383">
        <v>29</v>
      </c>
      <c r="D639" s="406"/>
      <c r="E639" s="407"/>
      <c r="F639" s="407"/>
      <c r="G639" s="407"/>
      <c r="H639" s="407"/>
      <c r="I639" s="407"/>
      <c r="J639" s="408" t="s">
        <v>440</v>
      </c>
      <c r="K639" s="409" t="str">
        <f t="shared" si="78"/>
        <v>A=(Ancho x Largo)* Cant</v>
      </c>
      <c r="L639" s="410" t="str">
        <f t="shared" si="87"/>
        <v>M2</v>
      </c>
      <c r="M639" s="411">
        <f>+HLOOKUP(B639,[238]Hoja1!$2:$78,13,FALSE)</f>
        <v>0</v>
      </c>
      <c r="N639" s="412"/>
      <c r="O639" s="443"/>
      <c r="P639" s="443"/>
      <c r="Q639" s="412"/>
      <c r="R639" s="411"/>
      <c r="S639" s="413"/>
      <c r="T639" s="414">
        <f t="shared" si="80"/>
        <v>0</v>
      </c>
      <c r="Y639" s="439">
        <f t="shared" si="86"/>
        <v>0</v>
      </c>
      <c r="Z639" s="439">
        <f t="shared" si="81"/>
        <v>0</v>
      </c>
    </row>
    <row r="640" spans="1:26">
      <c r="A640" s="453">
        <f t="shared" si="82"/>
        <v>1.0900000000000001</v>
      </c>
      <c r="B640" s="383">
        <v>30</v>
      </c>
      <c r="D640" s="406"/>
      <c r="E640" s="407"/>
      <c r="F640" s="407"/>
      <c r="G640" s="407"/>
      <c r="H640" s="407"/>
      <c r="I640" s="407"/>
      <c r="J640" s="408" t="s">
        <v>441</v>
      </c>
      <c r="K640" s="409" t="str">
        <f t="shared" si="78"/>
        <v>A=(Ancho x Largo)* Cant</v>
      </c>
      <c r="L640" s="410" t="str">
        <f t="shared" si="87"/>
        <v>M2</v>
      </c>
      <c r="M640" s="411">
        <f>+HLOOKUP(B640,[238]Hoja1!$2:$78,13,FALSE)</f>
        <v>0</v>
      </c>
      <c r="N640" s="412"/>
      <c r="O640" s="442"/>
      <c r="P640" s="442"/>
      <c r="Q640" s="412"/>
      <c r="R640" s="411"/>
      <c r="S640" s="413"/>
      <c r="T640" s="414">
        <f t="shared" si="80"/>
        <v>0</v>
      </c>
      <c r="Y640" s="439">
        <f t="shared" si="86"/>
        <v>0</v>
      </c>
      <c r="Z640" s="439">
        <f t="shared" si="81"/>
        <v>0</v>
      </c>
    </row>
    <row r="641" spans="1:26">
      <c r="A641" s="453">
        <f t="shared" si="82"/>
        <v>1.0900000000000001</v>
      </c>
      <c r="B641" s="383">
        <v>31</v>
      </c>
      <c r="D641" s="406"/>
      <c r="E641" s="407"/>
      <c r="F641" s="407"/>
      <c r="G641" s="407"/>
      <c r="H641" s="407"/>
      <c r="I641" s="407"/>
      <c r="J641" s="408" t="s">
        <v>442</v>
      </c>
      <c r="K641" s="409" t="str">
        <f t="shared" si="78"/>
        <v>A=(Ancho x Largo)* Cant</v>
      </c>
      <c r="L641" s="410" t="str">
        <f t="shared" si="87"/>
        <v>M2</v>
      </c>
      <c r="M641" s="411">
        <f>+HLOOKUP(B641,[238]Hoja1!$2:$78,13,FALSE)</f>
        <v>0</v>
      </c>
      <c r="N641" s="412"/>
      <c r="O641" s="442"/>
      <c r="P641" s="442"/>
      <c r="Q641" s="413"/>
      <c r="R641" s="411"/>
      <c r="S641" s="413"/>
      <c r="T641" s="414">
        <f t="shared" si="80"/>
        <v>0</v>
      </c>
      <c r="Y641" s="439">
        <f t="shared" si="86"/>
        <v>0</v>
      </c>
      <c r="Z641" s="439">
        <f t="shared" si="81"/>
        <v>0</v>
      </c>
    </row>
    <row r="642" spans="1:26">
      <c r="A642" s="453">
        <f t="shared" si="82"/>
        <v>1.0900000000000001</v>
      </c>
      <c r="B642" s="383">
        <v>32</v>
      </c>
      <c r="D642" s="406"/>
      <c r="E642" s="407"/>
      <c r="F642" s="407"/>
      <c r="G642" s="407"/>
      <c r="H642" s="407"/>
      <c r="I642" s="407"/>
      <c r="J642" s="408" t="s">
        <v>443</v>
      </c>
      <c r="K642" s="409" t="str">
        <f t="shared" si="78"/>
        <v>A=(Ancho x Largo)* Cant</v>
      </c>
      <c r="L642" s="410" t="str">
        <f t="shared" si="87"/>
        <v>M2</v>
      </c>
      <c r="M642" s="411">
        <f>+HLOOKUP(B642,[238]Hoja1!$2:$78,13,FALSE)</f>
        <v>0</v>
      </c>
      <c r="N642" s="412"/>
      <c r="O642" s="442"/>
      <c r="P642" s="442"/>
      <c r="Q642" s="412"/>
      <c r="R642" s="411"/>
      <c r="S642" s="413"/>
      <c r="T642" s="414">
        <f t="shared" si="80"/>
        <v>0</v>
      </c>
      <c r="Y642" s="439">
        <f t="shared" si="86"/>
        <v>0</v>
      </c>
      <c r="Z642" s="439">
        <f t="shared" si="81"/>
        <v>0</v>
      </c>
    </row>
    <row r="643" spans="1:26">
      <c r="A643" s="453">
        <f t="shared" si="82"/>
        <v>1.0900000000000001</v>
      </c>
      <c r="B643" s="383">
        <v>33</v>
      </c>
      <c r="D643" s="406"/>
      <c r="E643" s="407"/>
      <c r="F643" s="407"/>
      <c r="G643" s="407"/>
      <c r="H643" s="407"/>
      <c r="I643" s="407"/>
      <c r="J643" s="408" t="s">
        <v>444</v>
      </c>
      <c r="K643" s="409" t="str">
        <f t="shared" si="78"/>
        <v>A=(Ancho x Largo)* Cant</v>
      </c>
      <c r="L643" s="410" t="str">
        <f t="shared" si="87"/>
        <v>M2</v>
      </c>
      <c r="M643" s="411">
        <f>+HLOOKUP(B643,[238]Hoja1!$2:$78,13,FALSE)</f>
        <v>0</v>
      </c>
      <c r="N643" s="412"/>
      <c r="O643" s="442"/>
      <c r="P643" s="442"/>
      <c r="Q643" s="412"/>
      <c r="R643" s="411"/>
      <c r="S643" s="413"/>
      <c r="T643" s="414">
        <f t="shared" si="80"/>
        <v>0</v>
      </c>
      <c r="Y643" s="439">
        <f t="shared" si="86"/>
        <v>0</v>
      </c>
      <c r="Z643" s="439">
        <f t="shared" si="81"/>
        <v>0</v>
      </c>
    </row>
    <row r="644" spans="1:26">
      <c r="A644" s="453">
        <f t="shared" si="82"/>
        <v>1.0900000000000001</v>
      </c>
      <c r="B644" s="383">
        <v>34</v>
      </c>
      <c r="D644" s="406"/>
      <c r="E644" s="407"/>
      <c r="F644" s="407"/>
      <c r="G644" s="407"/>
      <c r="H644" s="407"/>
      <c r="I644" s="407"/>
      <c r="J644" s="408" t="s">
        <v>445</v>
      </c>
      <c r="K644" s="409" t="str">
        <f t="shared" si="78"/>
        <v>A=(Ancho x Largo)* Cant</v>
      </c>
      <c r="L644" s="410" t="str">
        <f t="shared" si="87"/>
        <v>M2</v>
      </c>
      <c r="M644" s="411">
        <f>+HLOOKUP(B644,[238]Hoja1!$2:$78,13,FALSE)</f>
        <v>0</v>
      </c>
      <c r="N644" s="412"/>
      <c r="O644" s="441"/>
      <c r="P644" s="441"/>
      <c r="Q644" s="412"/>
      <c r="R644" s="411"/>
      <c r="S644" s="413"/>
      <c r="T644" s="414">
        <f t="shared" si="80"/>
        <v>0</v>
      </c>
      <c r="Y644" s="439">
        <f>+O644*P644</f>
        <v>0</v>
      </c>
      <c r="Z644" s="439">
        <f>+Y644-M644</f>
        <v>0</v>
      </c>
    </row>
    <row r="645" spans="1:26">
      <c r="A645" s="453">
        <f t="shared" si="82"/>
        <v>1.0900000000000001</v>
      </c>
      <c r="B645" s="383">
        <v>35</v>
      </c>
      <c r="D645" s="406"/>
      <c r="E645" s="440"/>
      <c r="F645" s="407"/>
      <c r="G645" s="407"/>
      <c r="H645" s="407"/>
      <c r="I645" s="437"/>
      <c r="J645" s="408" t="s">
        <v>446</v>
      </c>
      <c r="K645" s="409" t="str">
        <f t="shared" si="78"/>
        <v>A=(Ancho x Largo)* Cant</v>
      </c>
      <c r="L645" s="410" t="str">
        <f t="shared" si="87"/>
        <v>M2</v>
      </c>
      <c r="M645" s="411">
        <f>+HLOOKUP(B645,[238]Hoja1!$2:$78,13,FALSE)</f>
        <v>0</v>
      </c>
      <c r="N645" s="412"/>
      <c r="O645" s="442"/>
      <c r="P645" s="442"/>
      <c r="Q645" s="413"/>
      <c r="R645" s="411"/>
      <c r="S645" s="413"/>
      <c r="T645" s="414">
        <f t="shared" si="80"/>
        <v>0</v>
      </c>
      <c r="Y645" s="439">
        <f>+O645*P645*Q645</f>
        <v>0</v>
      </c>
      <c r="Z645" s="439">
        <f t="shared" ref="Z645:Z653" si="88">+Y645-M645</f>
        <v>0</v>
      </c>
    </row>
    <row r="646" spans="1:26">
      <c r="A646" s="453">
        <f t="shared" si="82"/>
        <v>1.0900000000000001</v>
      </c>
      <c r="B646" s="383">
        <v>36</v>
      </c>
      <c r="D646" s="406"/>
      <c r="E646" s="407"/>
      <c r="F646" s="407"/>
      <c r="G646" s="407"/>
      <c r="H646" s="407"/>
      <c r="I646" s="407"/>
      <c r="J646" s="408" t="s">
        <v>447</v>
      </c>
      <c r="K646" s="409" t="str">
        <f t="shared" si="78"/>
        <v>A=(Ancho x Largo)* Cant</v>
      </c>
      <c r="L646" s="410" t="str">
        <f>+L635</f>
        <v>M2</v>
      </c>
      <c r="M646" s="411">
        <f>+HLOOKUP(B646,[238]Hoja1!$2:$78,13,FALSE)</f>
        <v>0</v>
      </c>
      <c r="N646" s="412"/>
      <c r="O646" s="442"/>
      <c r="P646" s="442"/>
      <c r="Q646" s="412"/>
      <c r="R646" s="411"/>
      <c r="S646" s="413"/>
      <c r="T646" s="414">
        <f t="shared" si="80"/>
        <v>0</v>
      </c>
      <c r="Y646" s="439">
        <f t="shared" ref="Y646:Y653" si="89">+O646*P646*Q646</f>
        <v>0</v>
      </c>
      <c r="Z646" s="439">
        <f t="shared" si="88"/>
        <v>0</v>
      </c>
    </row>
    <row r="647" spans="1:26">
      <c r="A647" s="453">
        <f t="shared" si="82"/>
        <v>1.0900000000000001</v>
      </c>
      <c r="B647" s="383">
        <v>37</v>
      </c>
      <c r="D647" s="406"/>
      <c r="E647" s="407"/>
      <c r="F647" s="407"/>
      <c r="G647" s="407"/>
      <c r="H647" s="407"/>
      <c r="I647" s="407"/>
      <c r="J647" s="408" t="s">
        <v>448</v>
      </c>
      <c r="K647" s="409" t="str">
        <f t="shared" si="78"/>
        <v>A=(Ancho x Largo)* Cant</v>
      </c>
      <c r="L647" s="410" t="str">
        <f t="shared" ref="L647:L653" si="90">+L646</f>
        <v>M2</v>
      </c>
      <c r="M647" s="411">
        <f>+HLOOKUP(B647,[238]Hoja1!$2:$78,13,FALSE)</f>
        <v>0</v>
      </c>
      <c r="N647" s="412"/>
      <c r="O647" s="441"/>
      <c r="P647" s="441"/>
      <c r="Q647" s="449"/>
      <c r="R647" s="411"/>
      <c r="S647" s="413"/>
      <c r="T647" s="414">
        <f t="shared" si="80"/>
        <v>0</v>
      </c>
      <c r="Y647" s="439">
        <f t="shared" si="89"/>
        <v>0</v>
      </c>
      <c r="Z647" s="439">
        <f t="shared" si="88"/>
        <v>0</v>
      </c>
    </row>
    <row r="648" spans="1:26">
      <c r="A648" s="453">
        <f t="shared" si="82"/>
        <v>1.0900000000000001</v>
      </c>
      <c r="B648" s="383">
        <v>38</v>
      </c>
      <c r="D648" s="406"/>
      <c r="E648" s="440"/>
      <c r="F648" s="407"/>
      <c r="G648" s="407"/>
      <c r="H648" s="407"/>
      <c r="I648" s="437"/>
      <c r="J648" s="408" t="s">
        <v>449</v>
      </c>
      <c r="K648" s="409" t="str">
        <f t="shared" si="78"/>
        <v>A=(Ancho x Largo)* Cant</v>
      </c>
      <c r="L648" s="410" t="str">
        <f t="shared" si="90"/>
        <v>M2</v>
      </c>
      <c r="M648" s="411">
        <f>+HLOOKUP(B648,[238]Hoja1!$2:$78,13,FALSE)</f>
        <v>0</v>
      </c>
      <c r="N648" s="412"/>
      <c r="O648" s="442"/>
      <c r="P648" s="442"/>
      <c r="Q648" s="413"/>
      <c r="R648" s="411"/>
      <c r="S648" s="413"/>
      <c r="T648" s="414">
        <f t="shared" si="80"/>
        <v>0</v>
      </c>
      <c r="Y648" s="439">
        <f t="shared" si="89"/>
        <v>0</v>
      </c>
      <c r="Z648" s="439">
        <f t="shared" si="88"/>
        <v>0</v>
      </c>
    </row>
    <row r="649" spans="1:26">
      <c r="A649" s="453">
        <f t="shared" si="82"/>
        <v>1.0900000000000001</v>
      </c>
      <c r="B649" s="383">
        <v>39</v>
      </c>
      <c r="D649" s="406"/>
      <c r="E649" s="407"/>
      <c r="F649" s="407"/>
      <c r="G649" s="407"/>
      <c r="H649" s="407"/>
      <c r="I649" s="407"/>
      <c r="J649" s="408" t="s">
        <v>450</v>
      </c>
      <c r="K649" s="409" t="str">
        <f t="shared" si="78"/>
        <v>A=(Ancho x Largo)* Cant</v>
      </c>
      <c r="L649" s="410" t="str">
        <f t="shared" si="90"/>
        <v>M2</v>
      </c>
      <c r="M649" s="411">
        <f>+HLOOKUP(B649,[238]Hoja1!$2:$78,13,FALSE)</f>
        <v>0</v>
      </c>
      <c r="N649" s="412"/>
      <c r="O649" s="441"/>
      <c r="P649" s="441"/>
      <c r="Q649" s="412"/>
      <c r="R649" s="411"/>
      <c r="S649" s="413"/>
      <c r="T649" s="414">
        <f t="shared" si="80"/>
        <v>0</v>
      </c>
      <c r="Y649" s="439">
        <f t="shared" si="89"/>
        <v>0</v>
      </c>
      <c r="Z649" s="439">
        <f t="shared" si="88"/>
        <v>0</v>
      </c>
    </row>
    <row r="650" spans="1:26">
      <c r="A650" s="453">
        <f t="shared" si="82"/>
        <v>1.0900000000000001</v>
      </c>
      <c r="B650" s="383">
        <v>40</v>
      </c>
      <c r="D650" s="406"/>
      <c r="E650" s="407"/>
      <c r="F650" s="407"/>
      <c r="G650" s="407"/>
      <c r="H650" s="407"/>
      <c r="I650" s="407"/>
      <c r="J650" s="408" t="s">
        <v>451</v>
      </c>
      <c r="K650" s="409" t="str">
        <f t="shared" si="78"/>
        <v>A=(Ancho x Largo)* Cant</v>
      </c>
      <c r="L650" s="410" t="str">
        <f t="shared" si="90"/>
        <v>M2</v>
      </c>
      <c r="M650" s="411">
        <f>+HLOOKUP(B650,[238]Hoja1!$2:$78,13,FALSE)</f>
        <v>0</v>
      </c>
      <c r="N650" s="412"/>
      <c r="O650" s="442"/>
      <c r="P650" s="442"/>
      <c r="Q650" s="412"/>
      <c r="R650" s="411"/>
      <c r="S650" s="413"/>
      <c r="T650" s="414">
        <f t="shared" si="80"/>
        <v>0</v>
      </c>
      <c r="Y650" s="439">
        <f t="shared" si="89"/>
        <v>0</v>
      </c>
      <c r="Z650" s="439">
        <f t="shared" si="88"/>
        <v>0</v>
      </c>
    </row>
    <row r="651" spans="1:26">
      <c r="A651" s="453">
        <f t="shared" si="82"/>
        <v>1.0900000000000001</v>
      </c>
      <c r="B651" s="383">
        <v>41</v>
      </c>
      <c r="D651" s="406"/>
      <c r="E651" s="407"/>
      <c r="F651" s="407"/>
      <c r="G651" s="407"/>
      <c r="H651" s="407"/>
      <c r="I651" s="407"/>
      <c r="J651" s="408" t="s">
        <v>452</v>
      </c>
      <c r="K651" s="409" t="str">
        <f t="shared" si="78"/>
        <v>A=(Ancho x Largo)* Cant</v>
      </c>
      <c r="L651" s="410" t="str">
        <f t="shared" si="90"/>
        <v>M2</v>
      </c>
      <c r="M651" s="411">
        <f>+HLOOKUP(B651,[238]Hoja1!$2:$78,13,FALSE)</f>
        <v>0</v>
      </c>
      <c r="N651" s="412"/>
      <c r="O651" s="442"/>
      <c r="P651" s="442"/>
      <c r="Q651" s="413"/>
      <c r="R651" s="411"/>
      <c r="S651" s="413"/>
      <c r="T651" s="414">
        <f t="shared" si="80"/>
        <v>0</v>
      </c>
      <c r="Y651" s="439">
        <f t="shared" si="89"/>
        <v>0</v>
      </c>
      <c r="Z651" s="439">
        <f t="shared" si="88"/>
        <v>0</v>
      </c>
    </row>
    <row r="652" spans="1:26">
      <c r="A652" s="453">
        <f t="shared" si="82"/>
        <v>1.0900000000000001</v>
      </c>
      <c r="B652" s="383">
        <v>42</v>
      </c>
      <c r="D652" s="406"/>
      <c r="E652" s="407"/>
      <c r="F652" s="407"/>
      <c r="G652" s="407"/>
      <c r="H652" s="407"/>
      <c r="I652" s="407"/>
      <c r="J652" s="408" t="s">
        <v>453</v>
      </c>
      <c r="K652" s="409" t="str">
        <f t="shared" si="78"/>
        <v>A=(Ancho x Largo)* Cant</v>
      </c>
      <c r="L652" s="410" t="str">
        <f t="shared" si="90"/>
        <v>M2</v>
      </c>
      <c r="M652" s="411">
        <f>+HLOOKUP(B652,[238]Hoja1!$2:$78,13,FALSE)</f>
        <v>0</v>
      </c>
      <c r="N652" s="412"/>
      <c r="O652" s="442"/>
      <c r="P652" s="442"/>
      <c r="Q652" s="412"/>
      <c r="R652" s="411"/>
      <c r="S652" s="413"/>
      <c r="T652" s="414">
        <f t="shared" si="80"/>
        <v>0</v>
      </c>
      <c r="Y652" s="439">
        <f t="shared" si="89"/>
        <v>0</v>
      </c>
      <c r="Z652" s="439">
        <f t="shared" si="88"/>
        <v>0</v>
      </c>
    </row>
    <row r="653" spans="1:26" ht="13.5" thickBot="1">
      <c r="A653" s="453">
        <f t="shared" si="82"/>
        <v>1.0900000000000001</v>
      </c>
      <c r="B653" s="383">
        <v>43</v>
      </c>
      <c r="D653" s="406"/>
      <c r="E653" s="407"/>
      <c r="F653" s="407"/>
      <c r="G653" s="407"/>
      <c r="H653" s="407"/>
      <c r="I653" s="407"/>
      <c r="J653" s="408" t="s">
        <v>454</v>
      </c>
      <c r="K653" s="409" t="str">
        <f t="shared" si="78"/>
        <v>A=(Ancho x Largo)* Cant</v>
      </c>
      <c r="L653" s="410" t="str">
        <f t="shared" si="90"/>
        <v>M2</v>
      </c>
      <c r="M653" s="411">
        <f>+HLOOKUP(B653,[238]Hoja1!$2:$78,13,FALSE)</f>
        <v>0</v>
      </c>
      <c r="N653" s="412"/>
      <c r="O653" s="442"/>
      <c r="P653" s="442"/>
      <c r="Q653" s="412"/>
      <c r="R653" s="411"/>
      <c r="S653" s="413"/>
      <c r="T653" s="414">
        <f t="shared" si="80"/>
        <v>0</v>
      </c>
      <c r="Y653" s="439">
        <f t="shared" si="89"/>
        <v>0</v>
      </c>
      <c r="Z653" s="439">
        <f t="shared" si="88"/>
        <v>0</v>
      </c>
    </row>
    <row r="654" spans="1:26">
      <c r="D654" s="384"/>
      <c r="E654" s="419"/>
      <c r="F654" s="420"/>
      <c r="G654" s="421"/>
      <c r="H654" s="421"/>
      <c r="I654" s="421"/>
      <c r="J654" s="421"/>
      <c r="K654" s="422"/>
      <c r="L654" s="421"/>
      <c r="M654" s="421"/>
      <c r="N654" s="421"/>
      <c r="O654" s="421"/>
      <c r="P654" s="421"/>
      <c r="Q654" s="421"/>
      <c r="R654" s="421"/>
      <c r="S654" s="422"/>
      <c r="T654" s="423"/>
    </row>
    <row r="655" spans="1:26">
      <c r="D655" s="396"/>
      <c r="E655" s="397"/>
      <c r="F655" s="424"/>
      <c r="G655" s="425"/>
      <c r="H655" s="425"/>
      <c r="I655" s="425"/>
      <c r="J655" s="425"/>
      <c r="K655" s="398"/>
      <c r="L655" s="425"/>
      <c r="M655" s="425"/>
      <c r="N655" s="397"/>
      <c r="O655" s="397"/>
      <c r="P655" s="562" t="s">
        <v>455</v>
      </c>
      <c r="Q655" s="563"/>
      <c r="R655" s="564"/>
      <c r="S655" s="426"/>
      <c r="T655" s="427">
        <f>ROUND(SUM(T611:T654),2)</f>
        <v>4.6100000000000003</v>
      </c>
    </row>
    <row r="656" spans="1:26">
      <c r="D656" s="396"/>
      <c r="E656" s="397"/>
      <c r="F656" s="424"/>
      <c r="G656" s="425"/>
      <c r="H656" s="425"/>
      <c r="I656" s="425"/>
      <c r="J656" s="425"/>
      <c r="K656" s="398"/>
      <c r="L656" s="425"/>
      <c r="M656" s="425"/>
      <c r="N656" s="428"/>
      <c r="O656" s="428"/>
      <c r="P656" s="429"/>
      <c r="Q656" s="425"/>
      <c r="R656" s="425"/>
      <c r="S656" s="430"/>
      <c r="T656" s="431"/>
    </row>
    <row r="657" spans="4:20">
      <c r="D657" s="565" t="e">
        <v>#REF!</v>
      </c>
      <c r="E657" s="566"/>
      <c r="F657" s="566"/>
      <c r="G657" s="566"/>
      <c r="H657" s="566"/>
      <c r="I657" s="566"/>
      <c r="J657" s="566"/>
      <c r="K657" s="566"/>
      <c r="L657" s="566"/>
      <c r="M657" s="566"/>
      <c r="N657" s="566"/>
      <c r="O657" s="567"/>
      <c r="P657" s="568" t="s">
        <v>422</v>
      </c>
      <c r="Q657" s="568"/>
      <c r="R657" s="568"/>
      <c r="S657" s="426"/>
      <c r="T657" s="427">
        <f>T655</f>
        <v>4.6100000000000003</v>
      </c>
    </row>
    <row r="658" spans="4:20">
      <c r="D658" s="396"/>
      <c r="E658" s="397"/>
      <c r="F658" s="424"/>
      <c r="G658" s="425"/>
      <c r="H658" s="425"/>
      <c r="I658" s="425"/>
      <c r="J658" s="425"/>
      <c r="K658" s="398"/>
      <c r="L658" s="425"/>
      <c r="M658" s="425"/>
      <c r="N658" s="428"/>
      <c r="O658" s="428"/>
      <c r="P658" s="429"/>
      <c r="Q658" s="425"/>
      <c r="R658" s="398"/>
      <c r="S658" s="398"/>
      <c r="T658" s="432"/>
    </row>
    <row r="659" spans="4:20">
      <c r="D659" s="396"/>
      <c r="E659" s="397"/>
      <c r="F659" s="424"/>
      <c r="G659" s="425"/>
      <c r="H659" s="425"/>
      <c r="I659" s="425"/>
      <c r="J659" s="425"/>
      <c r="K659" s="398"/>
      <c r="L659" s="425"/>
      <c r="M659" s="425"/>
      <c r="N659" s="428"/>
      <c r="O659" s="428"/>
      <c r="P659" s="429"/>
      <c r="Q659" s="425"/>
      <c r="R659" s="398"/>
      <c r="S659" s="398"/>
      <c r="T659" s="432"/>
    </row>
    <row r="660" spans="4:20">
      <c r="D660" s="569" t="s">
        <v>423</v>
      </c>
      <c r="E660" s="570"/>
      <c r="F660" s="570"/>
      <c r="G660" s="570"/>
      <c r="H660" s="570"/>
      <c r="I660" s="570"/>
      <c r="J660" s="570"/>
      <c r="K660" s="571"/>
      <c r="L660" s="433" t="s">
        <v>424</v>
      </c>
      <c r="M660" s="434"/>
      <c r="N660" s="434"/>
      <c r="O660" s="434"/>
      <c r="P660" s="434"/>
      <c r="Q660" s="434"/>
      <c r="R660" s="434"/>
      <c r="S660" s="434"/>
      <c r="T660" s="435"/>
    </row>
    <row r="661" spans="4:20">
      <c r="D661" s="542"/>
      <c r="E661" s="543"/>
      <c r="F661" s="543"/>
      <c r="G661" s="543"/>
      <c r="H661" s="436"/>
      <c r="I661" s="436"/>
      <c r="J661" s="436"/>
      <c r="K661" s="447"/>
      <c r="L661" s="436"/>
      <c r="M661" s="407"/>
      <c r="N661" s="407"/>
      <c r="O661" s="407"/>
      <c r="P661" s="407"/>
      <c r="Q661" s="407"/>
      <c r="R661" s="407"/>
      <c r="S661" s="407"/>
      <c r="T661" s="437"/>
    </row>
    <row r="662" spans="4:20">
      <c r="D662" s="542"/>
      <c r="E662" s="543"/>
      <c r="F662" s="543"/>
      <c r="G662" s="543"/>
      <c r="H662" s="436"/>
      <c r="I662" s="436"/>
      <c r="J662" s="436"/>
      <c r="K662" s="447"/>
      <c r="L662" s="436"/>
      <c r="M662" s="407"/>
      <c r="N662" s="407"/>
      <c r="O662" s="407"/>
      <c r="P662" s="407"/>
      <c r="Q662" s="407"/>
      <c r="R662" s="407"/>
      <c r="S662" s="407"/>
      <c r="T662" s="437"/>
    </row>
    <row r="663" spans="4:20">
      <c r="D663" s="542" t="s">
        <v>425</v>
      </c>
      <c r="E663" s="543"/>
      <c r="F663" s="543" t="s">
        <v>425</v>
      </c>
      <c r="G663" s="543"/>
      <c r="H663" s="543" t="s">
        <v>425</v>
      </c>
      <c r="I663" s="543"/>
      <c r="J663" s="543" t="s">
        <v>425</v>
      </c>
      <c r="K663" s="544"/>
      <c r="L663" s="545" t="s">
        <v>426</v>
      </c>
      <c r="M663" s="546"/>
      <c r="N663" s="546"/>
      <c r="O663" s="546"/>
      <c r="P663" s="546"/>
      <c r="Q663" s="546"/>
      <c r="R663" s="546"/>
      <c r="S663" s="546"/>
      <c r="T663" s="547"/>
    </row>
    <row r="664" spans="4:20">
      <c r="D664" s="548" t="str">
        <f>+[42]DATOS!D$8</f>
        <v>HELMER EDUARDO BECERRA SANTANDER</v>
      </c>
      <c r="E664" s="549"/>
      <c r="F664" s="549" t="s">
        <v>427</v>
      </c>
      <c r="G664" s="549"/>
      <c r="H664" s="549" t="s">
        <v>427</v>
      </c>
      <c r="I664" s="549"/>
      <c r="J664" s="549" t="s">
        <v>427</v>
      </c>
      <c r="K664" s="550"/>
      <c r="L664" s="551" t="str">
        <f>+[42]DATOS!D$11</f>
        <v>JESUS IVAN QUIÑONES RUEDA</v>
      </c>
      <c r="M664" s="549"/>
      <c r="N664" s="549"/>
      <c r="O664" s="549"/>
      <c r="P664" s="549"/>
      <c r="Q664" s="549"/>
      <c r="R664" s="549"/>
      <c r="S664" s="549"/>
      <c r="T664" s="552"/>
    </row>
    <row r="665" spans="4:20">
      <c r="D665" s="553" t="str">
        <f>+$D$72</f>
        <v>APOYO SEC. DE PLANEACION Y OBRAS PÚBLICAS</v>
      </c>
      <c r="E665" s="554"/>
      <c r="F665" s="554" t="s">
        <v>428</v>
      </c>
      <c r="G665" s="554"/>
      <c r="H665" s="554" t="s">
        <v>428</v>
      </c>
      <c r="I665" s="554"/>
      <c r="J665" s="554" t="s">
        <v>428</v>
      </c>
      <c r="K665" s="555"/>
      <c r="L665" s="556" t="str">
        <f>+$L$72</f>
        <v>SECRETARIO DE PLANEACION Y OBRAS PÚBLICAS</v>
      </c>
      <c r="M665" s="554"/>
      <c r="N665" s="554"/>
      <c r="O665" s="554"/>
      <c r="P665" s="554"/>
      <c r="Q665" s="554"/>
      <c r="R665" s="554"/>
      <c r="S665" s="554"/>
      <c r="T665" s="557"/>
    </row>
    <row r="666" spans="4:20">
      <c r="D666" s="406"/>
      <c r="E666" s="407"/>
      <c r="F666" s="407"/>
      <c r="G666" s="407"/>
      <c r="H666" s="407"/>
      <c r="I666" s="407"/>
      <c r="J666" s="407"/>
      <c r="K666" s="407"/>
      <c r="L666" s="407"/>
      <c r="M666" s="407"/>
      <c r="N666" s="407"/>
      <c r="O666" s="407"/>
      <c r="P666" s="407"/>
      <c r="Q666" s="407"/>
      <c r="R666" s="407"/>
      <c r="S666" s="407"/>
      <c r="T666" s="437"/>
    </row>
    <row r="667" spans="4:20" ht="111" customHeight="1" thickBot="1">
      <c r="D667" s="417"/>
      <c r="E667" s="418"/>
      <c r="F667" s="418"/>
      <c r="G667" s="418"/>
      <c r="H667" s="418"/>
      <c r="I667" s="418"/>
      <c r="J667" s="418"/>
      <c r="K667" s="418"/>
      <c r="L667" s="418"/>
      <c r="M667" s="418"/>
      <c r="N667" s="418"/>
      <c r="O667" s="418"/>
      <c r="P667" s="418"/>
      <c r="Q667" s="418"/>
      <c r="R667" s="418"/>
      <c r="S667" s="418"/>
      <c r="T667" s="438"/>
    </row>
    <row r="668" spans="4:20" ht="22.5" customHeight="1"/>
    <row r="669" spans="4:20" ht="13.5" thickBot="1"/>
    <row r="670" spans="4:20">
      <c r="D670" s="384"/>
      <c r="E670" s="385"/>
      <c r="F670" s="385"/>
      <c r="G670" s="385"/>
      <c r="H670" s="385"/>
      <c r="I670" s="385"/>
      <c r="J670" s="385"/>
      <c r="K670" s="445"/>
      <c r="L670" s="385"/>
      <c r="M670" s="385"/>
      <c r="N670" s="385"/>
      <c r="O670" s="385"/>
      <c r="P670" s="385"/>
      <c r="Q670" s="385"/>
      <c r="R670" s="385"/>
      <c r="S670" s="385"/>
      <c r="T670" s="386"/>
    </row>
    <row r="671" spans="4:20" ht="121.5" customHeight="1" thickBot="1">
      <c r="D671" s="387"/>
      <c r="E671" s="388"/>
      <c r="F671" s="388"/>
      <c r="G671" s="388"/>
      <c r="H671" s="388"/>
      <c r="I671" s="388"/>
      <c r="J671" s="388"/>
      <c r="K671" s="446"/>
      <c r="L671" s="388"/>
      <c r="M671" s="388"/>
      <c r="N671" s="388"/>
      <c r="O671" s="388"/>
      <c r="P671" s="388"/>
      <c r="Q671" s="388"/>
      <c r="R671" s="388"/>
      <c r="S671" s="388"/>
      <c r="T671" s="389"/>
    </row>
    <row r="672" spans="4:20">
      <c r="D672" s="592" t="str">
        <f>+[42]DATOS!C$7</f>
        <v>MEJORAMIENTO DE VIVIENDA CON ENFOQUE DIFERENCIAL PARA POBLACIÓN VULNERABLE EN EL MUNICIPIO DE CUBARÁ, BOYACÁ (2026).</v>
      </c>
      <c r="E672" s="593"/>
      <c r="F672" s="593"/>
      <c r="G672" s="593"/>
      <c r="H672" s="593"/>
      <c r="I672" s="593"/>
      <c r="J672" s="593"/>
      <c r="K672" s="593"/>
      <c r="L672" s="593"/>
      <c r="M672" s="593"/>
      <c r="N672" s="593"/>
      <c r="O672" s="593"/>
      <c r="P672" s="593"/>
      <c r="Q672" s="593"/>
      <c r="R672" s="593"/>
      <c r="S672" s="593"/>
      <c r="T672" s="594"/>
    </row>
    <row r="673" spans="1:26">
      <c r="D673" s="595"/>
      <c r="E673" s="596"/>
      <c r="F673" s="596"/>
      <c r="G673" s="596"/>
      <c r="H673" s="596"/>
      <c r="I673" s="596"/>
      <c r="J673" s="596"/>
      <c r="K673" s="596"/>
      <c r="L673" s="596"/>
      <c r="M673" s="596"/>
      <c r="N673" s="596"/>
      <c r="O673" s="596"/>
      <c r="P673" s="596"/>
      <c r="Q673" s="596"/>
      <c r="R673" s="596"/>
      <c r="S673" s="596"/>
      <c r="T673" s="597"/>
    </row>
    <row r="674" spans="1:26">
      <c r="D674" s="598" t="s">
        <v>371</v>
      </c>
      <c r="E674" s="599"/>
      <c r="F674" s="599"/>
      <c r="G674" s="599"/>
      <c r="H674" s="599"/>
      <c r="I674" s="599"/>
      <c r="J674" s="599"/>
      <c r="K674" s="599"/>
      <c r="L674" s="599"/>
      <c r="M674" s="599"/>
      <c r="N674" s="599"/>
      <c r="O674" s="599"/>
      <c r="P674" s="599"/>
      <c r="Q674" s="599"/>
      <c r="R674" s="599"/>
      <c r="S674" s="599"/>
      <c r="T674" s="600"/>
    </row>
    <row r="675" spans="1:26">
      <c r="D675" s="586" t="s">
        <v>372</v>
      </c>
      <c r="E675" s="587"/>
      <c r="F675" s="601" t="s">
        <v>373</v>
      </c>
      <c r="G675" s="601"/>
      <c r="H675" s="601"/>
      <c r="I675" s="601"/>
      <c r="J675" s="601"/>
      <c r="K675" s="601"/>
      <c r="L675" s="601"/>
      <c r="M675" s="601"/>
      <c r="N675" s="601"/>
      <c r="O675" s="601"/>
      <c r="P675" s="601"/>
      <c r="Q675" s="601"/>
      <c r="R675" s="601"/>
      <c r="S675" s="601"/>
      <c r="T675" s="602"/>
    </row>
    <row r="676" spans="1:26">
      <c r="D676" s="586" t="s">
        <v>374</v>
      </c>
      <c r="E676" s="587"/>
      <c r="F676" s="603" t="s">
        <v>375</v>
      </c>
      <c r="G676" s="604"/>
      <c r="H676" s="604"/>
      <c r="I676" s="604"/>
      <c r="J676" s="604"/>
      <c r="K676" s="604"/>
      <c r="L676" s="604"/>
      <c r="M676" s="604"/>
      <c r="N676" s="604"/>
      <c r="O676" s="604"/>
      <c r="P676" s="604"/>
      <c r="Q676" s="604"/>
      <c r="R676" s="604"/>
      <c r="S676" s="604"/>
      <c r="T676" s="605"/>
    </row>
    <row r="677" spans="1:26">
      <c r="D677" s="586" t="s">
        <v>376</v>
      </c>
      <c r="E677" s="587"/>
      <c r="F677" s="390">
        <f>+[42]DATOS!F$5</f>
        <v>46143</v>
      </c>
      <c r="G677" s="391"/>
      <c r="H677" s="391"/>
      <c r="I677" s="391"/>
      <c r="J677" s="391"/>
      <c r="K677" s="391"/>
      <c r="L677" s="568" t="s">
        <v>377</v>
      </c>
      <c r="M677" s="568"/>
      <c r="N677" s="588" t="s">
        <v>378</v>
      </c>
      <c r="O677" s="588"/>
      <c r="P677" s="588"/>
      <c r="Q677" s="588"/>
      <c r="R677" s="588"/>
      <c r="S677" s="588"/>
      <c r="T677" s="589"/>
    </row>
    <row r="678" spans="1:26" ht="25.5">
      <c r="D678" s="586" t="s">
        <v>379</v>
      </c>
      <c r="E678" s="587"/>
      <c r="F678" s="590" t="s">
        <v>380</v>
      </c>
      <c r="G678" s="591"/>
      <c r="H678" s="392">
        <f>+[42]DATOS!E$5</f>
        <v>2026</v>
      </c>
      <c r="I678" s="393" t="s">
        <v>381</v>
      </c>
      <c r="J678" s="394">
        <f>+[42]DATOS!E$5</f>
        <v>2026</v>
      </c>
      <c r="K678" s="395"/>
      <c r="L678" s="568" t="s">
        <v>382</v>
      </c>
      <c r="M678" s="568"/>
      <c r="N678" s="588" t="s">
        <v>383</v>
      </c>
      <c r="O678" s="588"/>
      <c r="P678" s="588"/>
      <c r="Q678" s="588"/>
      <c r="R678" s="588"/>
      <c r="S678" s="588"/>
      <c r="T678" s="589"/>
    </row>
    <row r="679" spans="1:26">
      <c r="D679" s="396"/>
      <c r="E679" s="397"/>
      <c r="F679" s="397"/>
      <c r="G679" s="398"/>
      <c r="H679" s="398"/>
      <c r="I679" s="398"/>
      <c r="J679" s="398"/>
      <c r="K679" s="398"/>
      <c r="L679" s="398"/>
      <c r="M679" s="398"/>
      <c r="N679" s="398"/>
      <c r="O679" s="398"/>
      <c r="P679" s="398"/>
      <c r="Q679" s="398"/>
      <c r="R679" s="398"/>
      <c r="S679" s="398"/>
      <c r="T679" s="399"/>
    </row>
    <row r="680" spans="1:26">
      <c r="D680" s="572" t="s">
        <v>384</v>
      </c>
      <c r="E680" s="573"/>
      <c r="F680" s="573"/>
      <c r="G680" s="573"/>
      <c r="H680" s="573"/>
      <c r="I680" s="573"/>
      <c r="J680" s="573"/>
      <c r="K680" s="573"/>
      <c r="L680" s="573"/>
      <c r="M680" s="573"/>
      <c r="N680" s="573"/>
      <c r="O680" s="573"/>
      <c r="P680" s="573"/>
      <c r="Q680" s="573"/>
      <c r="R680" s="573"/>
      <c r="S680" s="573"/>
      <c r="T680" s="574"/>
    </row>
    <row r="681" spans="1:26" ht="3" customHeight="1">
      <c r="D681" s="396"/>
      <c r="E681" s="397"/>
      <c r="F681" s="397"/>
      <c r="G681" s="398"/>
      <c r="H681" s="398"/>
      <c r="I681" s="398"/>
      <c r="J681" s="398"/>
      <c r="K681" s="398"/>
      <c r="L681" s="398"/>
      <c r="M681" s="398"/>
      <c r="N681" s="398"/>
      <c r="O681" s="398"/>
      <c r="P681" s="398"/>
      <c r="Q681" s="398"/>
      <c r="R681" s="398"/>
      <c r="S681" s="398"/>
      <c r="T681" s="399"/>
    </row>
    <row r="682" spans="1:26">
      <c r="D682" s="400" t="s">
        <v>385</v>
      </c>
      <c r="E682" s="575" t="s">
        <v>386</v>
      </c>
      <c r="F682" s="575"/>
      <c r="G682" s="576" t="s">
        <v>387</v>
      </c>
      <c r="H682" s="577"/>
      <c r="I682" s="577"/>
      <c r="J682" s="576" t="s">
        <v>388</v>
      </c>
      <c r="K682" s="576" t="s">
        <v>389</v>
      </c>
      <c r="L682" s="579"/>
      <c r="M682" s="581" t="s">
        <v>390</v>
      </c>
      <c r="N682" s="581"/>
      <c r="O682" s="581"/>
      <c r="P682" s="581"/>
      <c r="Q682" s="581"/>
      <c r="R682" s="581"/>
      <c r="S682" s="581" t="s">
        <v>391</v>
      </c>
      <c r="T682" s="582"/>
    </row>
    <row r="683" spans="1:26" ht="38.25">
      <c r="D683" s="403">
        <f>+'PRESUPUESTO OFICIAL '!C21</f>
        <v>1.1000000000000001</v>
      </c>
      <c r="E683" s="583" t="str">
        <f>+VLOOKUP(D683,'PRESUPUESTO OFICIAL '!$C$11:$H$103,2)</f>
        <v>RELLENO CON MATERIAL DE EXCAVACION COMPACTADO MANUALMENTE CON PISON</v>
      </c>
      <c r="F683" s="584"/>
      <c r="G683" s="585" t="str">
        <f>+VLOOKUP(D683,'PRESUPUESTO OFICIAL '!$C$11:$H$103,3)</f>
        <v>M3</v>
      </c>
      <c r="H683" s="585"/>
      <c r="I683" s="585"/>
      <c r="J683" s="578"/>
      <c r="K683" s="578"/>
      <c r="L683" s="580"/>
      <c r="M683" s="401" t="s">
        <v>392</v>
      </c>
      <c r="N683" s="401" t="s">
        <v>393</v>
      </c>
      <c r="O683" s="401" t="s">
        <v>394</v>
      </c>
      <c r="P683" s="401" t="s">
        <v>395</v>
      </c>
      <c r="Q683" s="401" t="s">
        <v>396</v>
      </c>
      <c r="R683" s="401" t="s">
        <v>397</v>
      </c>
      <c r="S683" s="401" t="s">
        <v>398</v>
      </c>
      <c r="T683" s="402" t="s">
        <v>399</v>
      </c>
      <c r="V683" s="404">
        <f>+D683</f>
        <v>1.1000000000000001</v>
      </c>
      <c r="W683" s="405">
        <f>+T731</f>
        <v>22.99</v>
      </c>
    </row>
    <row r="684" spans="1:26">
      <c r="D684" s="406"/>
      <c r="E684" s="407"/>
      <c r="F684" s="407"/>
      <c r="G684" s="407"/>
      <c r="H684" s="407"/>
      <c r="I684" s="407"/>
      <c r="J684" s="558"/>
      <c r="K684" s="559"/>
      <c r="L684" s="560"/>
      <c r="M684" s="560"/>
      <c r="N684" s="560"/>
      <c r="O684" s="560"/>
      <c r="P684" s="560"/>
      <c r="Q684" s="560"/>
      <c r="R684" s="560"/>
      <c r="S684" s="560"/>
      <c r="T684" s="561"/>
    </row>
    <row r="685" spans="1:26" ht="25.5">
      <c r="A685" s="453">
        <f>+D683</f>
        <v>1.1000000000000001</v>
      </c>
      <c r="B685" s="383">
        <v>1</v>
      </c>
      <c r="D685" s="406"/>
      <c r="E685" s="407"/>
      <c r="F685" s="407"/>
      <c r="G685" s="407"/>
      <c r="H685" s="407"/>
      <c r="I685" s="407"/>
      <c r="J685" s="408" t="s">
        <v>400</v>
      </c>
      <c r="K685" s="409" t="str">
        <f t="shared" ref="K685:K727" si="91">+VLOOKUP(L685,$AH$22:$AJ$58,2,)</f>
        <v>V=(Ancho x Largo x Alto)* Cant</v>
      </c>
      <c r="L685" s="410" t="str">
        <f>+G683</f>
        <v>M3</v>
      </c>
      <c r="M685" s="411"/>
      <c r="N685" s="412"/>
      <c r="O685" s="442"/>
      <c r="P685" s="442"/>
      <c r="Q685" s="413"/>
      <c r="R685" s="411">
        <f>+HLOOKUP(B685,[238]Hoja1!$2:$78,14,FALSE)</f>
        <v>0.4</v>
      </c>
      <c r="S685" s="413">
        <v>1</v>
      </c>
      <c r="T685" s="414">
        <f>+S685*R685</f>
        <v>0.4</v>
      </c>
      <c r="Y685" s="439">
        <f>+O685*P685</f>
        <v>0</v>
      </c>
      <c r="Z685" s="439">
        <f t="shared" ref="Z685" si="92">+Y685-R685</f>
        <v>-0.4</v>
      </c>
    </row>
    <row r="686" spans="1:26" ht="25.5">
      <c r="A686" s="453">
        <f>+A685</f>
        <v>1.1000000000000001</v>
      </c>
      <c r="B686" s="383">
        <v>2</v>
      </c>
      <c r="D686" s="406"/>
      <c r="E686" s="407"/>
      <c r="F686" s="407"/>
      <c r="G686" s="407"/>
      <c r="H686" s="407"/>
      <c r="I686" s="407"/>
      <c r="J686" s="408" t="s">
        <v>401</v>
      </c>
      <c r="K686" s="409" t="str">
        <f t="shared" si="91"/>
        <v>V=(Ancho x Largo x Alto)* Cant</v>
      </c>
      <c r="L686" s="410" t="str">
        <f>+L685</f>
        <v>M3</v>
      </c>
      <c r="M686" s="411"/>
      <c r="N686" s="412"/>
      <c r="O686" s="442"/>
      <c r="P686" s="442"/>
      <c r="Q686" s="413"/>
      <c r="R686" s="411">
        <f>+HLOOKUP(B686,[238]Hoja1!$2:$78,14,FALSE)</f>
        <v>1.4080000000000001</v>
      </c>
      <c r="S686" s="413">
        <v>1</v>
      </c>
      <c r="T686" s="414">
        <f t="shared" ref="T686:T727" si="93">+S686*R686</f>
        <v>1.4080000000000001</v>
      </c>
      <c r="Y686" s="439">
        <f>+O686*P686</f>
        <v>0</v>
      </c>
      <c r="Z686" s="439">
        <f t="shared" ref="Z686:Z717" si="94">+Y686-M686</f>
        <v>0</v>
      </c>
    </row>
    <row r="687" spans="1:26" ht="25.5">
      <c r="A687" s="453">
        <f t="shared" ref="A687:A727" si="95">+A686</f>
        <v>1.1000000000000001</v>
      </c>
      <c r="B687" s="383">
        <v>3</v>
      </c>
      <c r="D687" s="406"/>
      <c r="E687" s="407"/>
      <c r="F687" s="407"/>
      <c r="G687" s="407"/>
      <c r="H687" s="407"/>
      <c r="I687" s="407"/>
      <c r="J687" s="408" t="s">
        <v>402</v>
      </c>
      <c r="K687" s="409" t="str">
        <f t="shared" si="91"/>
        <v>V=(Ancho x Largo x Alto)* Cant</v>
      </c>
      <c r="L687" s="410" t="str">
        <f>+L686</f>
        <v>M3</v>
      </c>
      <c r="M687" s="411"/>
      <c r="N687" s="412"/>
      <c r="O687" s="442"/>
      <c r="P687" s="442"/>
      <c r="Q687" s="413"/>
      <c r="R687" s="411">
        <f>+HLOOKUP(B687,[238]Hoja1!$2:$78,14,FALSE)</f>
        <v>1.4080000000000001</v>
      </c>
      <c r="S687" s="413">
        <v>1</v>
      </c>
      <c r="T687" s="414">
        <f t="shared" si="93"/>
        <v>1.4080000000000001</v>
      </c>
      <c r="Y687" s="439">
        <f t="shared" ref="Y687:Y690" si="96">+O687*P687</f>
        <v>0</v>
      </c>
      <c r="Z687" s="439">
        <f t="shared" si="94"/>
        <v>0</v>
      </c>
    </row>
    <row r="688" spans="1:26" ht="25.5">
      <c r="A688" s="453">
        <f t="shared" si="95"/>
        <v>1.1000000000000001</v>
      </c>
      <c r="B688" s="383">
        <v>4</v>
      </c>
      <c r="D688" s="406"/>
      <c r="E688" s="407"/>
      <c r="F688" s="407"/>
      <c r="G688" s="407"/>
      <c r="H688" s="407"/>
      <c r="I688" s="407"/>
      <c r="J688" s="408" t="s">
        <v>403</v>
      </c>
      <c r="K688" s="409" t="str">
        <f t="shared" si="91"/>
        <v>V=(Ancho x Largo x Alto)* Cant</v>
      </c>
      <c r="L688" s="410" t="str">
        <f>+L687</f>
        <v>M3</v>
      </c>
      <c r="M688" s="411"/>
      <c r="N688" s="412"/>
      <c r="O688" s="442"/>
      <c r="P688" s="442"/>
      <c r="Q688" s="413"/>
      <c r="R688" s="411">
        <f>+HLOOKUP(B688,[238]Hoja1!$2:$78,14,FALSE)</f>
        <v>0.92800000000000016</v>
      </c>
      <c r="S688" s="413">
        <v>1</v>
      </c>
      <c r="T688" s="414">
        <f t="shared" si="93"/>
        <v>0.92800000000000016</v>
      </c>
      <c r="Y688" s="439">
        <f t="shared" si="96"/>
        <v>0</v>
      </c>
      <c r="Z688" s="439">
        <f t="shared" si="94"/>
        <v>0</v>
      </c>
    </row>
    <row r="689" spans="1:26" ht="25.5">
      <c r="A689" s="453">
        <f t="shared" si="95"/>
        <v>1.1000000000000001</v>
      </c>
      <c r="B689" s="383">
        <v>5</v>
      </c>
      <c r="D689" s="406"/>
      <c r="E689" s="407"/>
      <c r="F689" s="407"/>
      <c r="G689" s="407"/>
      <c r="H689" s="407"/>
      <c r="I689" s="407"/>
      <c r="J689" s="408" t="s">
        <v>405</v>
      </c>
      <c r="K689" s="409" t="str">
        <f t="shared" si="91"/>
        <v>V=(Ancho x Largo x Alto)* Cant</v>
      </c>
      <c r="L689" s="410" t="str">
        <f>+L688</f>
        <v>M3</v>
      </c>
      <c r="M689" s="411"/>
      <c r="N689" s="412"/>
      <c r="O689" s="442"/>
      <c r="P689" s="442"/>
      <c r="Q689" s="413"/>
      <c r="R689" s="411">
        <f>+HLOOKUP(B689,[238]Hoja1!$2:$78,14,FALSE)</f>
        <v>0.92800000000000016</v>
      </c>
      <c r="S689" s="413">
        <v>1</v>
      </c>
      <c r="T689" s="414">
        <f t="shared" si="93"/>
        <v>0.92800000000000016</v>
      </c>
      <c r="Y689" s="439">
        <f t="shared" si="96"/>
        <v>0</v>
      </c>
      <c r="Z689" s="439">
        <f t="shared" si="94"/>
        <v>0</v>
      </c>
    </row>
    <row r="690" spans="1:26" ht="25.5">
      <c r="A690" s="453">
        <f t="shared" si="95"/>
        <v>1.1000000000000001</v>
      </c>
      <c r="B690" s="383">
        <v>6</v>
      </c>
      <c r="D690" s="406"/>
      <c r="E690" s="407"/>
      <c r="F690" s="407"/>
      <c r="G690" s="407"/>
      <c r="H690" s="407"/>
      <c r="I690" s="407"/>
      <c r="J690" s="408" t="s">
        <v>407</v>
      </c>
      <c r="K690" s="409" t="str">
        <f t="shared" si="91"/>
        <v>V=(Ancho x Largo x Alto)* Cant</v>
      </c>
      <c r="L690" s="410" t="str">
        <f>+L689</f>
        <v>M3</v>
      </c>
      <c r="M690" s="411"/>
      <c r="N690" s="412"/>
      <c r="O690" s="442"/>
      <c r="P690" s="442"/>
      <c r="Q690" s="413"/>
      <c r="R690" s="411">
        <f>+HLOOKUP(B690,[238]Hoja1!$2:$78,14,FALSE)</f>
        <v>0.80639999999999989</v>
      </c>
      <c r="S690" s="413">
        <v>1</v>
      </c>
      <c r="T690" s="414">
        <f t="shared" si="93"/>
        <v>0.80639999999999989</v>
      </c>
      <c r="Y690" s="439">
        <f t="shared" si="96"/>
        <v>0</v>
      </c>
      <c r="Z690" s="439">
        <f t="shared" si="94"/>
        <v>0</v>
      </c>
    </row>
    <row r="691" spans="1:26" ht="25.5">
      <c r="A691" s="453">
        <f t="shared" si="95"/>
        <v>1.1000000000000001</v>
      </c>
      <c r="B691" s="383">
        <v>7</v>
      </c>
      <c r="D691" s="406"/>
      <c r="E691" s="407"/>
      <c r="F691" s="407"/>
      <c r="G691" s="407"/>
      <c r="H691" s="407"/>
      <c r="I691" s="407"/>
      <c r="J691" s="408" t="s">
        <v>409</v>
      </c>
      <c r="K691" s="409" t="str">
        <f t="shared" si="91"/>
        <v>V=(Ancho x Largo x Alto)* Cant</v>
      </c>
      <c r="L691" s="410" t="str">
        <f>+L685</f>
        <v>M3</v>
      </c>
      <c r="M691" s="411"/>
      <c r="N691" s="412"/>
      <c r="O691" s="442"/>
      <c r="P691" s="442"/>
      <c r="Q691" s="413"/>
      <c r="R691" s="411">
        <f>+HLOOKUP(B691,[238]Hoja1!$2:$78,14,FALSE)</f>
        <v>0.252</v>
      </c>
      <c r="S691" s="413">
        <v>1</v>
      </c>
      <c r="T691" s="414">
        <f t="shared" si="93"/>
        <v>0.252</v>
      </c>
      <c r="Y691" s="439">
        <f>+O691*P691*Q691*S691</f>
        <v>0</v>
      </c>
      <c r="Z691" s="439">
        <f t="shared" si="94"/>
        <v>0</v>
      </c>
    </row>
    <row r="692" spans="1:26" ht="25.5">
      <c r="A692" s="453">
        <f t="shared" si="95"/>
        <v>1.1000000000000001</v>
      </c>
      <c r="B692" s="383">
        <v>8</v>
      </c>
      <c r="D692" s="406"/>
      <c r="E692" s="407"/>
      <c r="F692" s="407"/>
      <c r="G692" s="407"/>
      <c r="H692" s="407"/>
      <c r="I692" s="407"/>
      <c r="J692" s="408" t="s">
        <v>411</v>
      </c>
      <c r="K692" s="409" t="str">
        <f t="shared" si="91"/>
        <v>V=(Ancho x Largo x Alto)* Cant</v>
      </c>
      <c r="L692" s="410" t="str">
        <f>+L691</f>
        <v>M3</v>
      </c>
      <c r="M692" s="411"/>
      <c r="N692" s="412"/>
      <c r="O692" s="442"/>
      <c r="P692" s="442"/>
      <c r="Q692" s="413"/>
      <c r="R692" s="411">
        <f>+HLOOKUP(B692,[238]Hoja1!$2:$78,14,FALSE)</f>
        <v>0</v>
      </c>
      <c r="S692" s="413"/>
      <c r="T692" s="414">
        <f t="shared" si="93"/>
        <v>0</v>
      </c>
      <c r="Y692" s="439">
        <f t="shared" ref="Y692:Y698" si="97">+O692*P692</f>
        <v>0</v>
      </c>
      <c r="Z692" s="439">
        <f t="shared" si="94"/>
        <v>0</v>
      </c>
    </row>
    <row r="693" spans="1:26" ht="25.5">
      <c r="A693" s="453">
        <f t="shared" si="95"/>
        <v>1.1000000000000001</v>
      </c>
      <c r="B693" s="383">
        <v>9</v>
      </c>
      <c r="D693" s="406"/>
      <c r="E693" s="407"/>
      <c r="F693" s="407"/>
      <c r="G693" s="407"/>
      <c r="H693" s="407"/>
      <c r="I693" s="407"/>
      <c r="J693" s="408" t="s">
        <v>412</v>
      </c>
      <c r="K693" s="409" t="str">
        <f t="shared" si="91"/>
        <v>V=(Ancho x Largo x Alto)* Cant</v>
      </c>
      <c r="L693" s="410" t="str">
        <f>+L692</f>
        <v>M3</v>
      </c>
      <c r="M693" s="411"/>
      <c r="N693" s="412"/>
      <c r="O693" s="442"/>
      <c r="P693" s="442"/>
      <c r="Q693" s="412"/>
      <c r="R693" s="411">
        <f>+HLOOKUP(B693,[238]Hoja1!$2:$78,14,FALSE)</f>
        <v>0.92800000000000016</v>
      </c>
      <c r="S693" s="413">
        <v>1</v>
      </c>
      <c r="T693" s="414">
        <f t="shared" si="93"/>
        <v>0.92800000000000016</v>
      </c>
      <c r="Y693" s="439">
        <f t="shared" si="97"/>
        <v>0</v>
      </c>
      <c r="Z693" s="439">
        <f t="shared" si="94"/>
        <v>0</v>
      </c>
    </row>
    <row r="694" spans="1:26" ht="25.5">
      <c r="A694" s="453">
        <f t="shared" si="95"/>
        <v>1.1000000000000001</v>
      </c>
      <c r="B694" s="383">
        <v>10</v>
      </c>
      <c r="D694" s="406"/>
      <c r="E694" s="407"/>
      <c r="F694" s="407"/>
      <c r="G694" s="407"/>
      <c r="H694" s="407"/>
      <c r="I694" s="407"/>
      <c r="J694" s="408" t="s">
        <v>413</v>
      </c>
      <c r="K694" s="409" t="str">
        <f t="shared" si="91"/>
        <v>V=(Ancho x Largo x Alto)* Cant</v>
      </c>
      <c r="L694" s="410" t="str">
        <f>+L693</f>
        <v>M3</v>
      </c>
      <c r="M694" s="411"/>
      <c r="N694" s="412"/>
      <c r="O694" s="441"/>
      <c r="P694" s="441"/>
      <c r="Q694" s="412"/>
      <c r="R694" s="411">
        <f>+HLOOKUP(B694,[238]Hoja1!$2:$78,14,FALSE)</f>
        <v>0</v>
      </c>
      <c r="S694" s="413"/>
      <c r="T694" s="414">
        <f t="shared" si="93"/>
        <v>0</v>
      </c>
      <c r="Y694" s="439">
        <f t="shared" si="97"/>
        <v>0</v>
      </c>
      <c r="Z694" s="439">
        <f t="shared" si="94"/>
        <v>0</v>
      </c>
    </row>
    <row r="695" spans="1:26" ht="25.5">
      <c r="A695" s="453">
        <f t="shared" si="95"/>
        <v>1.1000000000000001</v>
      </c>
      <c r="B695" s="383">
        <v>11</v>
      </c>
      <c r="D695" s="406"/>
      <c r="E695" s="407"/>
      <c r="F695" s="407"/>
      <c r="G695" s="407"/>
      <c r="H695" s="407"/>
      <c r="I695" s="407"/>
      <c r="J695" s="408" t="s">
        <v>414</v>
      </c>
      <c r="K695" s="409" t="str">
        <f t="shared" si="91"/>
        <v>V=(Ancho x Largo x Alto)* Cant</v>
      </c>
      <c r="L695" s="410" t="str">
        <f>+L694</f>
        <v>M3</v>
      </c>
      <c r="M695" s="411"/>
      <c r="N695" s="412"/>
      <c r="O695" s="443"/>
      <c r="P695" s="443"/>
      <c r="Q695" s="412"/>
      <c r="R695" s="411">
        <f>+HLOOKUP(B695,[238]Hoja1!$2:$78,14,FALSE)</f>
        <v>0</v>
      </c>
      <c r="S695" s="413"/>
      <c r="T695" s="414">
        <f t="shared" si="93"/>
        <v>0</v>
      </c>
      <c r="Y695" s="439">
        <f t="shared" si="97"/>
        <v>0</v>
      </c>
      <c r="Z695" s="439">
        <f t="shared" si="94"/>
        <v>0</v>
      </c>
    </row>
    <row r="696" spans="1:26" ht="25.5">
      <c r="A696" s="453">
        <f t="shared" si="95"/>
        <v>1.1000000000000001</v>
      </c>
      <c r="B696" s="383">
        <v>12</v>
      </c>
      <c r="D696" s="406"/>
      <c r="E696" s="407"/>
      <c r="F696" s="407"/>
      <c r="G696" s="407"/>
      <c r="H696" s="407"/>
      <c r="I696" s="407"/>
      <c r="J696" s="408" t="s">
        <v>415</v>
      </c>
      <c r="K696" s="409" t="str">
        <f t="shared" si="91"/>
        <v>V=(Ancho x Largo x Alto)* Cant</v>
      </c>
      <c r="L696" s="410" t="str">
        <f>+L690</f>
        <v>M3</v>
      </c>
      <c r="M696" s="411"/>
      <c r="N696" s="412"/>
      <c r="O696" s="442"/>
      <c r="P696" s="442"/>
      <c r="Q696" s="413"/>
      <c r="R696" s="411">
        <f>+HLOOKUP(B696,[238]Hoja1!$2:$78,14,FALSE)</f>
        <v>0</v>
      </c>
      <c r="S696" s="413"/>
      <c r="T696" s="414">
        <f t="shared" si="93"/>
        <v>0</v>
      </c>
      <c r="Y696" s="439">
        <f t="shared" si="97"/>
        <v>0</v>
      </c>
      <c r="Z696" s="439">
        <f t="shared" si="94"/>
        <v>0</v>
      </c>
    </row>
    <row r="697" spans="1:26" ht="25.5">
      <c r="A697" s="453">
        <f t="shared" si="95"/>
        <v>1.1000000000000001</v>
      </c>
      <c r="B697" s="383">
        <v>13</v>
      </c>
      <c r="D697" s="406"/>
      <c r="E697" s="407"/>
      <c r="F697" s="407"/>
      <c r="G697" s="407"/>
      <c r="H697" s="407"/>
      <c r="I697" s="407"/>
      <c r="J697" s="408" t="s">
        <v>416</v>
      </c>
      <c r="K697" s="409" t="str">
        <f t="shared" si="91"/>
        <v>V=(Ancho x Largo x Alto)* Cant</v>
      </c>
      <c r="L697" s="410" t="str">
        <f>+L692</f>
        <v>M3</v>
      </c>
      <c r="M697" s="411"/>
      <c r="N697" s="412"/>
      <c r="O697" s="442"/>
      <c r="P697" s="442"/>
      <c r="Q697" s="413"/>
      <c r="R697" s="411">
        <f>+HLOOKUP(B697,[238]Hoja1!$2:$78,14,FALSE)</f>
        <v>0</v>
      </c>
      <c r="S697" s="413"/>
      <c r="T697" s="414">
        <f t="shared" si="93"/>
        <v>0</v>
      </c>
      <c r="Y697" s="439">
        <f t="shared" si="97"/>
        <v>0</v>
      </c>
      <c r="Z697" s="439">
        <f t="shared" si="94"/>
        <v>0</v>
      </c>
    </row>
    <row r="698" spans="1:26" ht="25.5">
      <c r="A698" s="453">
        <f t="shared" si="95"/>
        <v>1.1000000000000001</v>
      </c>
      <c r="B698" s="383">
        <v>14</v>
      </c>
      <c r="D698" s="406"/>
      <c r="E698" s="407"/>
      <c r="F698" s="407"/>
      <c r="G698" s="407"/>
      <c r="H698" s="407"/>
      <c r="I698" s="407"/>
      <c r="J698" s="408" t="s">
        <v>417</v>
      </c>
      <c r="K698" s="409" t="str">
        <f t="shared" si="91"/>
        <v>V=(Ancho x Largo x Alto)* Cant</v>
      </c>
      <c r="L698" s="410" t="str">
        <f t="shared" ref="L698:L709" si="98">+L697</f>
        <v>M3</v>
      </c>
      <c r="M698" s="411"/>
      <c r="N698" s="412"/>
      <c r="O698" s="442"/>
      <c r="P698" s="442"/>
      <c r="Q698" s="412"/>
      <c r="R698" s="411">
        <f>+HLOOKUP(B698,[238]Hoja1!$2:$78,14,FALSE)</f>
        <v>0.92800000000000016</v>
      </c>
      <c r="S698" s="413">
        <v>1</v>
      </c>
      <c r="T698" s="414">
        <f t="shared" si="93"/>
        <v>0.92800000000000016</v>
      </c>
      <c r="Y698" s="439">
        <f t="shared" si="97"/>
        <v>0</v>
      </c>
      <c r="Z698" s="439">
        <f t="shared" si="94"/>
        <v>0</v>
      </c>
    </row>
    <row r="699" spans="1:26" ht="25.5">
      <c r="A699" s="453">
        <f t="shared" si="95"/>
        <v>1.1000000000000001</v>
      </c>
      <c r="B699" s="383">
        <v>15</v>
      </c>
      <c r="D699" s="406"/>
      <c r="E699" s="407"/>
      <c r="F699" s="407"/>
      <c r="G699" s="407"/>
      <c r="H699" s="407"/>
      <c r="I699" s="407"/>
      <c r="J699" s="408" t="s">
        <v>418</v>
      </c>
      <c r="K699" s="409" t="str">
        <f t="shared" si="91"/>
        <v>V=(Ancho x Largo x Alto)* Cant</v>
      </c>
      <c r="L699" s="410" t="str">
        <f t="shared" si="98"/>
        <v>M3</v>
      </c>
      <c r="M699" s="411"/>
      <c r="N699" s="412"/>
      <c r="O699" s="442"/>
      <c r="P699" s="442"/>
      <c r="Q699" s="449"/>
      <c r="R699" s="411">
        <f>+HLOOKUP(B699,[238]Hoja1!$2:$78,14,FALSE)</f>
        <v>0</v>
      </c>
      <c r="S699" s="413"/>
      <c r="T699" s="414">
        <f t="shared" si="93"/>
        <v>0</v>
      </c>
      <c r="Y699" s="439">
        <f>+O699*P699*Q699</f>
        <v>0</v>
      </c>
      <c r="Z699" s="439">
        <f t="shared" si="94"/>
        <v>0</v>
      </c>
    </row>
    <row r="700" spans="1:26" ht="25.5">
      <c r="A700" s="453">
        <f t="shared" si="95"/>
        <v>1.1000000000000001</v>
      </c>
      <c r="B700" s="383">
        <v>16</v>
      </c>
      <c r="D700" s="406"/>
      <c r="E700" s="407"/>
      <c r="F700" s="407"/>
      <c r="G700" s="407"/>
      <c r="H700" s="407"/>
      <c r="I700" s="407"/>
      <c r="J700" s="408" t="s">
        <v>419</v>
      </c>
      <c r="K700" s="409" t="str">
        <f t="shared" si="91"/>
        <v>V=(Ancho x Largo x Alto)* Cant</v>
      </c>
      <c r="L700" s="410" t="str">
        <f t="shared" si="98"/>
        <v>M3</v>
      </c>
      <c r="M700" s="411"/>
      <c r="N700" s="412"/>
      <c r="O700" s="442"/>
      <c r="P700" s="442"/>
      <c r="Q700" s="449"/>
      <c r="R700" s="411">
        <f>+HLOOKUP(B700,[238]Hoja1!$2:$78,14,FALSE)</f>
        <v>0.74519999999999997</v>
      </c>
      <c r="S700" s="413">
        <v>1</v>
      </c>
      <c r="T700" s="414">
        <f t="shared" si="93"/>
        <v>0.74519999999999997</v>
      </c>
      <c r="Y700" s="439">
        <f>+O700*P700*Q700</f>
        <v>0</v>
      </c>
      <c r="Z700" s="439">
        <f t="shared" si="94"/>
        <v>0</v>
      </c>
    </row>
    <row r="701" spans="1:26" ht="25.5">
      <c r="A701" s="453">
        <f t="shared" si="95"/>
        <v>1.1000000000000001</v>
      </c>
      <c r="B701" s="383">
        <v>17</v>
      </c>
      <c r="D701" s="406"/>
      <c r="E701" s="407"/>
      <c r="F701" s="407"/>
      <c r="G701" s="407"/>
      <c r="H701" s="407"/>
      <c r="I701" s="407"/>
      <c r="J701" s="408" t="s">
        <v>420</v>
      </c>
      <c r="K701" s="409" t="str">
        <f t="shared" si="91"/>
        <v>V=(Ancho x Largo x Alto)* Cant</v>
      </c>
      <c r="L701" s="410" t="str">
        <f t="shared" si="98"/>
        <v>M3</v>
      </c>
      <c r="M701" s="411"/>
      <c r="N701" s="412"/>
      <c r="O701" s="442"/>
      <c r="P701" s="442"/>
      <c r="Q701" s="412"/>
      <c r="R701" s="411">
        <f>+HLOOKUP(B701,[238]Hoja1!$2:$78,14,FALSE)</f>
        <v>3.3200000000000003</v>
      </c>
      <c r="S701" s="413">
        <v>1</v>
      </c>
      <c r="T701" s="414">
        <f t="shared" si="93"/>
        <v>3.3200000000000003</v>
      </c>
      <c r="Y701" s="439">
        <f t="shared" ref="Y701:Y717" si="99">+O701*P701*Q701</f>
        <v>0</v>
      </c>
      <c r="Z701" s="439">
        <f t="shared" si="94"/>
        <v>0</v>
      </c>
    </row>
    <row r="702" spans="1:26" ht="25.5">
      <c r="A702" s="453">
        <f t="shared" si="95"/>
        <v>1.1000000000000001</v>
      </c>
      <c r="B702" s="383">
        <v>18</v>
      </c>
      <c r="D702" s="406"/>
      <c r="E702" s="407"/>
      <c r="F702" s="407"/>
      <c r="G702" s="407"/>
      <c r="H702" s="407"/>
      <c r="I702" s="407"/>
      <c r="J702" s="408" t="s">
        <v>429</v>
      </c>
      <c r="K702" s="409" t="str">
        <f t="shared" si="91"/>
        <v>V=(Ancho x Largo x Alto)* Cant</v>
      </c>
      <c r="L702" s="410" t="str">
        <f t="shared" si="98"/>
        <v>M3</v>
      </c>
      <c r="M702" s="411"/>
      <c r="N702" s="412"/>
      <c r="O702" s="442"/>
      <c r="P702" s="442"/>
      <c r="Q702" s="412"/>
      <c r="R702" s="411">
        <f>+HLOOKUP(B702,[238]Hoja1!$2:$78,14,FALSE)</f>
        <v>0.80639999999999989</v>
      </c>
      <c r="S702" s="413">
        <v>1</v>
      </c>
      <c r="T702" s="414">
        <f t="shared" si="93"/>
        <v>0.80639999999999989</v>
      </c>
      <c r="Y702" s="439">
        <f t="shared" si="99"/>
        <v>0</v>
      </c>
      <c r="Z702" s="439">
        <f t="shared" si="94"/>
        <v>0</v>
      </c>
    </row>
    <row r="703" spans="1:26" ht="25.5">
      <c r="A703" s="453">
        <f t="shared" si="95"/>
        <v>1.1000000000000001</v>
      </c>
      <c r="B703" s="383">
        <v>19</v>
      </c>
      <c r="D703" s="406"/>
      <c r="E703" s="407"/>
      <c r="F703" s="407"/>
      <c r="G703" s="407"/>
      <c r="H703" s="407"/>
      <c r="I703" s="407"/>
      <c r="J703" s="408" t="s">
        <v>430</v>
      </c>
      <c r="K703" s="409" t="str">
        <f t="shared" si="91"/>
        <v>V=(Ancho x Largo x Alto)* Cant</v>
      </c>
      <c r="L703" s="410" t="str">
        <f t="shared" si="98"/>
        <v>M3</v>
      </c>
      <c r="M703" s="411"/>
      <c r="N703" s="412"/>
      <c r="O703" s="442"/>
      <c r="P703" s="442"/>
      <c r="Q703" s="412"/>
      <c r="R703" s="411">
        <f>+HLOOKUP(B703,[238]Hoja1!$2:$78,14,FALSE)</f>
        <v>0.92800000000000016</v>
      </c>
      <c r="S703" s="413">
        <v>1</v>
      </c>
      <c r="T703" s="414">
        <f t="shared" si="93"/>
        <v>0.92800000000000016</v>
      </c>
      <c r="Y703" s="439">
        <f t="shared" si="99"/>
        <v>0</v>
      </c>
      <c r="Z703" s="439">
        <f t="shared" si="94"/>
        <v>0</v>
      </c>
    </row>
    <row r="704" spans="1:26" ht="25.5">
      <c r="A704" s="453">
        <f t="shared" si="95"/>
        <v>1.1000000000000001</v>
      </c>
      <c r="B704" s="383">
        <v>20</v>
      </c>
      <c r="D704" s="406"/>
      <c r="E704" s="407"/>
      <c r="F704" s="407"/>
      <c r="G704" s="407"/>
      <c r="H704" s="407"/>
      <c r="I704" s="407"/>
      <c r="J704" s="408" t="s">
        <v>431</v>
      </c>
      <c r="K704" s="409" t="str">
        <f t="shared" si="91"/>
        <v>V=(Ancho x Largo x Alto)* Cant</v>
      </c>
      <c r="L704" s="410" t="str">
        <f t="shared" si="98"/>
        <v>M3</v>
      </c>
      <c r="M704" s="411"/>
      <c r="N704" s="412"/>
      <c r="O704" s="442"/>
      <c r="P704" s="442"/>
      <c r="Q704" s="412"/>
      <c r="R704" s="411">
        <f>+HLOOKUP(B704,[238]Hoja1!$2:$78,14,FALSE)</f>
        <v>0</v>
      </c>
      <c r="S704" s="413"/>
      <c r="T704" s="414">
        <f t="shared" si="93"/>
        <v>0</v>
      </c>
      <c r="Y704" s="439">
        <f t="shared" si="99"/>
        <v>0</v>
      </c>
      <c r="Z704" s="439">
        <f t="shared" si="94"/>
        <v>0</v>
      </c>
    </row>
    <row r="705" spans="1:26" ht="25.5">
      <c r="A705" s="453">
        <f t="shared" si="95"/>
        <v>1.1000000000000001</v>
      </c>
      <c r="B705" s="383">
        <v>21</v>
      </c>
      <c r="D705" s="406"/>
      <c r="E705" s="407"/>
      <c r="F705" s="407"/>
      <c r="G705" s="407"/>
      <c r="H705" s="407"/>
      <c r="I705" s="407"/>
      <c r="J705" s="408" t="s">
        <v>432</v>
      </c>
      <c r="K705" s="409" t="str">
        <f t="shared" si="91"/>
        <v>V=(Ancho x Largo x Alto)* Cant</v>
      </c>
      <c r="L705" s="410" t="str">
        <f t="shared" si="98"/>
        <v>M3</v>
      </c>
      <c r="M705" s="411"/>
      <c r="N705" s="412"/>
      <c r="O705" s="442"/>
      <c r="P705" s="442"/>
      <c r="Q705" s="412"/>
      <c r="R705" s="411">
        <f>+HLOOKUP(B705,[238]Hoja1!$2:$78,14,FALSE)</f>
        <v>1.407</v>
      </c>
      <c r="S705" s="413">
        <v>1</v>
      </c>
      <c r="T705" s="414">
        <f t="shared" si="93"/>
        <v>1.407</v>
      </c>
      <c r="Y705" s="439">
        <f t="shared" si="99"/>
        <v>0</v>
      </c>
      <c r="Z705" s="439">
        <f t="shared" si="94"/>
        <v>0</v>
      </c>
    </row>
    <row r="706" spans="1:26" ht="25.5">
      <c r="A706" s="453">
        <f t="shared" si="95"/>
        <v>1.1000000000000001</v>
      </c>
      <c r="B706" s="383">
        <v>22</v>
      </c>
      <c r="D706" s="406"/>
      <c r="E706" s="407"/>
      <c r="F706" s="407"/>
      <c r="G706" s="407"/>
      <c r="H706" s="407"/>
      <c r="I706" s="407"/>
      <c r="J706" s="408" t="s">
        <v>433</v>
      </c>
      <c r="K706" s="409" t="str">
        <f t="shared" si="91"/>
        <v>V=(Ancho x Largo x Alto)* Cant</v>
      </c>
      <c r="L706" s="410" t="str">
        <f t="shared" si="98"/>
        <v>M3</v>
      </c>
      <c r="M706" s="411"/>
      <c r="N706" s="412"/>
      <c r="O706" s="442"/>
      <c r="P706" s="442"/>
      <c r="Q706" s="412"/>
      <c r="R706" s="411">
        <f>+HLOOKUP(B706,[238]Hoja1!$2:$78,14,FALSE)</f>
        <v>0.92800000000000016</v>
      </c>
      <c r="S706" s="413">
        <v>1</v>
      </c>
      <c r="T706" s="414">
        <f t="shared" si="93"/>
        <v>0.92800000000000016</v>
      </c>
      <c r="Y706" s="439">
        <f t="shared" si="99"/>
        <v>0</v>
      </c>
      <c r="Z706" s="439">
        <f t="shared" si="94"/>
        <v>0</v>
      </c>
    </row>
    <row r="707" spans="1:26" ht="25.5">
      <c r="A707" s="453">
        <f t="shared" si="95"/>
        <v>1.1000000000000001</v>
      </c>
      <c r="B707" s="383">
        <v>23</v>
      </c>
      <c r="D707" s="406"/>
      <c r="E707" s="407"/>
      <c r="F707" s="407"/>
      <c r="G707" s="407"/>
      <c r="H707" s="407"/>
      <c r="I707" s="407"/>
      <c r="J707" s="408" t="s">
        <v>434</v>
      </c>
      <c r="K707" s="409" t="str">
        <f t="shared" si="91"/>
        <v>V=(Ancho x Largo x Alto)* Cant</v>
      </c>
      <c r="L707" s="410" t="str">
        <f t="shared" si="98"/>
        <v>M3</v>
      </c>
      <c r="M707" s="411"/>
      <c r="N707" s="412"/>
      <c r="O707" s="441"/>
      <c r="P707" s="441"/>
      <c r="Q707" s="412"/>
      <c r="R707" s="411">
        <f>+HLOOKUP(B707,[238]Hoja1!$2:$78,14,FALSE)</f>
        <v>9.6000000000000002E-2</v>
      </c>
      <c r="S707" s="413">
        <v>1</v>
      </c>
      <c r="T707" s="414">
        <f t="shared" si="93"/>
        <v>9.6000000000000002E-2</v>
      </c>
      <c r="Y707" s="439">
        <f t="shared" si="99"/>
        <v>0</v>
      </c>
      <c r="Z707" s="439">
        <f t="shared" si="94"/>
        <v>0</v>
      </c>
    </row>
    <row r="708" spans="1:26" ht="25.5">
      <c r="A708" s="453">
        <f t="shared" si="95"/>
        <v>1.1000000000000001</v>
      </c>
      <c r="B708" s="383">
        <v>24</v>
      </c>
      <c r="D708" s="406"/>
      <c r="E708" s="407"/>
      <c r="F708" s="407"/>
      <c r="G708" s="407"/>
      <c r="H708" s="407"/>
      <c r="I708" s="407"/>
      <c r="J708" s="408" t="s">
        <v>435</v>
      </c>
      <c r="K708" s="409" t="str">
        <f t="shared" si="91"/>
        <v>V=(Ancho x Largo x Alto)* Cant</v>
      </c>
      <c r="L708" s="410" t="str">
        <f t="shared" si="98"/>
        <v>M3</v>
      </c>
      <c r="M708" s="411"/>
      <c r="N708" s="412"/>
      <c r="O708" s="442"/>
      <c r="P708" s="442"/>
      <c r="Q708" s="413"/>
      <c r="R708" s="411">
        <f>+HLOOKUP(B708,[238]Hoja1!$2:$78,14,FALSE)</f>
        <v>0</v>
      </c>
      <c r="S708" s="413"/>
      <c r="T708" s="414">
        <f t="shared" si="93"/>
        <v>0</v>
      </c>
      <c r="Y708" s="439">
        <f t="shared" si="99"/>
        <v>0</v>
      </c>
      <c r="Z708" s="439">
        <f t="shared" si="94"/>
        <v>0</v>
      </c>
    </row>
    <row r="709" spans="1:26" ht="25.5">
      <c r="A709" s="453">
        <f t="shared" si="95"/>
        <v>1.1000000000000001</v>
      </c>
      <c r="B709" s="383">
        <v>25</v>
      </c>
      <c r="D709" s="406"/>
      <c r="E709" s="407"/>
      <c r="F709" s="407"/>
      <c r="G709" s="407"/>
      <c r="H709" s="407"/>
      <c r="I709" s="407"/>
      <c r="J709" s="408" t="s">
        <v>436</v>
      </c>
      <c r="K709" s="409" t="str">
        <f t="shared" si="91"/>
        <v>V=(Ancho x Largo x Alto)* Cant</v>
      </c>
      <c r="L709" s="410" t="str">
        <f t="shared" si="98"/>
        <v>M3</v>
      </c>
      <c r="M709" s="411"/>
      <c r="N709" s="412"/>
      <c r="O709" s="442"/>
      <c r="P709" s="442"/>
      <c r="Q709" s="412"/>
      <c r="R709" s="411">
        <f>+HLOOKUP(B709,[238]Hoja1!$2:$78,14,FALSE)</f>
        <v>1.0545</v>
      </c>
      <c r="S709" s="413">
        <v>1</v>
      </c>
      <c r="T709" s="414">
        <f t="shared" si="93"/>
        <v>1.0545</v>
      </c>
      <c r="Y709" s="439">
        <f t="shared" si="99"/>
        <v>0</v>
      </c>
      <c r="Z709" s="439">
        <f t="shared" si="94"/>
        <v>0</v>
      </c>
    </row>
    <row r="710" spans="1:26" ht="25.5">
      <c r="A710" s="453">
        <f t="shared" si="95"/>
        <v>1.1000000000000001</v>
      </c>
      <c r="B710" s="383">
        <v>26</v>
      </c>
      <c r="D710" s="406"/>
      <c r="E710" s="407"/>
      <c r="F710" s="407"/>
      <c r="G710" s="407"/>
      <c r="H710" s="407"/>
      <c r="I710" s="407"/>
      <c r="J710" s="408" t="s">
        <v>437</v>
      </c>
      <c r="K710" s="409" t="str">
        <f t="shared" si="91"/>
        <v>V=(Ancho x Largo x Alto)* Cant</v>
      </c>
      <c r="L710" s="410" t="str">
        <f>+L699</f>
        <v>M3</v>
      </c>
      <c r="M710" s="411"/>
      <c r="N710" s="412"/>
      <c r="O710" s="442"/>
      <c r="P710" s="442"/>
      <c r="Q710" s="412"/>
      <c r="R710" s="411">
        <f>+HLOOKUP(B710,[238]Hoja1!$2:$78,14,FALSE)</f>
        <v>0</v>
      </c>
      <c r="S710" s="413">
        <v>1</v>
      </c>
      <c r="T710" s="414">
        <f t="shared" si="93"/>
        <v>0</v>
      </c>
      <c r="Y710" s="439">
        <f t="shared" si="99"/>
        <v>0</v>
      </c>
      <c r="Z710" s="439">
        <f t="shared" si="94"/>
        <v>0</v>
      </c>
    </row>
    <row r="711" spans="1:26" ht="25.5">
      <c r="A711" s="453">
        <f t="shared" si="95"/>
        <v>1.1000000000000001</v>
      </c>
      <c r="B711" s="383">
        <v>27</v>
      </c>
      <c r="D711" s="406"/>
      <c r="E711" s="407"/>
      <c r="F711" s="407"/>
      <c r="G711" s="407"/>
      <c r="H711" s="407"/>
      <c r="I711" s="407"/>
      <c r="J711" s="408" t="s">
        <v>438</v>
      </c>
      <c r="K711" s="409" t="str">
        <f t="shared" si="91"/>
        <v>V=(Ancho x Largo x Alto)* Cant</v>
      </c>
      <c r="L711" s="410" t="str">
        <f t="shared" ref="L711:L719" si="100">+L710</f>
        <v>M3</v>
      </c>
      <c r="M711" s="411"/>
      <c r="N711" s="412"/>
      <c r="O711" s="442"/>
      <c r="P711" s="442"/>
      <c r="Q711" s="412"/>
      <c r="R711" s="411">
        <f>+HLOOKUP(B711,[238]Hoja1!$2:$78,14,FALSE)</f>
        <v>0.92800000000000016</v>
      </c>
      <c r="S711" s="413">
        <v>1</v>
      </c>
      <c r="T711" s="414">
        <f t="shared" si="93"/>
        <v>0.92800000000000016</v>
      </c>
      <c r="Y711" s="439">
        <f t="shared" si="99"/>
        <v>0</v>
      </c>
      <c r="Z711" s="439">
        <f t="shared" si="94"/>
        <v>0</v>
      </c>
    </row>
    <row r="712" spans="1:26" ht="25.5">
      <c r="A712" s="453">
        <f t="shared" si="95"/>
        <v>1.1000000000000001</v>
      </c>
      <c r="B712" s="383">
        <v>28</v>
      </c>
      <c r="D712" s="406"/>
      <c r="E712" s="440"/>
      <c r="F712" s="407"/>
      <c r="G712" s="407"/>
      <c r="H712" s="407"/>
      <c r="I712" s="437"/>
      <c r="J712" s="408" t="s">
        <v>439</v>
      </c>
      <c r="K712" s="409" t="str">
        <f t="shared" si="91"/>
        <v>V=(Ancho x Largo x Alto)* Cant</v>
      </c>
      <c r="L712" s="410" t="str">
        <f t="shared" si="100"/>
        <v>M3</v>
      </c>
      <c r="M712" s="411"/>
      <c r="N712" s="412"/>
      <c r="O712" s="442"/>
      <c r="P712" s="442"/>
      <c r="Q712" s="413"/>
      <c r="R712" s="411">
        <f>+HLOOKUP(B712,[238]Hoja1!$2:$78,14,FALSE)</f>
        <v>0</v>
      </c>
      <c r="S712" s="413"/>
      <c r="T712" s="414">
        <f t="shared" si="93"/>
        <v>0</v>
      </c>
      <c r="Y712" s="439">
        <f t="shared" si="99"/>
        <v>0</v>
      </c>
      <c r="Z712" s="439">
        <f t="shared" si="94"/>
        <v>0</v>
      </c>
    </row>
    <row r="713" spans="1:26" ht="25.5">
      <c r="A713" s="453">
        <f t="shared" si="95"/>
        <v>1.1000000000000001</v>
      </c>
      <c r="B713" s="383">
        <v>29</v>
      </c>
      <c r="D713" s="406"/>
      <c r="E713" s="407"/>
      <c r="F713" s="407"/>
      <c r="G713" s="407"/>
      <c r="H713" s="407"/>
      <c r="I713" s="407"/>
      <c r="J713" s="408" t="s">
        <v>440</v>
      </c>
      <c r="K713" s="409" t="str">
        <f t="shared" si="91"/>
        <v>V=(Ancho x Largo x Alto)* Cant</v>
      </c>
      <c r="L713" s="410" t="str">
        <f t="shared" si="100"/>
        <v>M3</v>
      </c>
      <c r="M713" s="411"/>
      <c r="N713" s="412"/>
      <c r="O713" s="443"/>
      <c r="P713" s="443"/>
      <c r="Q713" s="412"/>
      <c r="R713" s="411">
        <f>+HLOOKUP(B713,[238]Hoja1!$2:$78,14,FALSE)</f>
        <v>0</v>
      </c>
      <c r="S713" s="413"/>
      <c r="T713" s="414">
        <f t="shared" si="93"/>
        <v>0</v>
      </c>
      <c r="Y713" s="439">
        <f t="shared" si="99"/>
        <v>0</v>
      </c>
      <c r="Z713" s="439">
        <f t="shared" si="94"/>
        <v>0</v>
      </c>
    </row>
    <row r="714" spans="1:26" ht="25.5">
      <c r="A714" s="453">
        <f t="shared" si="95"/>
        <v>1.1000000000000001</v>
      </c>
      <c r="B714" s="383">
        <v>30</v>
      </c>
      <c r="D714" s="406"/>
      <c r="E714" s="407"/>
      <c r="F714" s="407"/>
      <c r="G714" s="407"/>
      <c r="H714" s="407"/>
      <c r="I714" s="407"/>
      <c r="J714" s="408" t="s">
        <v>441</v>
      </c>
      <c r="K714" s="409" t="str">
        <f t="shared" si="91"/>
        <v>V=(Ancho x Largo x Alto)* Cant</v>
      </c>
      <c r="L714" s="410" t="str">
        <f t="shared" si="100"/>
        <v>M3</v>
      </c>
      <c r="M714" s="411"/>
      <c r="N714" s="412"/>
      <c r="O714" s="442"/>
      <c r="P714" s="442"/>
      <c r="Q714" s="412"/>
      <c r="R714" s="411">
        <f>+HLOOKUP(B714,[238]Hoja1!$2:$78,14,FALSE)</f>
        <v>0</v>
      </c>
      <c r="S714" s="413"/>
      <c r="T714" s="414">
        <f t="shared" si="93"/>
        <v>0</v>
      </c>
      <c r="Y714" s="439">
        <f t="shared" si="99"/>
        <v>0</v>
      </c>
      <c r="Z714" s="439">
        <f t="shared" si="94"/>
        <v>0</v>
      </c>
    </row>
    <row r="715" spans="1:26" ht="25.5">
      <c r="A715" s="453">
        <f t="shared" si="95"/>
        <v>1.1000000000000001</v>
      </c>
      <c r="B715" s="383">
        <v>31</v>
      </c>
      <c r="D715" s="406"/>
      <c r="E715" s="407"/>
      <c r="F715" s="407"/>
      <c r="G715" s="407"/>
      <c r="H715" s="407"/>
      <c r="I715" s="407"/>
      <c r="J715" s="408" t="s">
        <v>442</v>
      </c>
      <c r="K715" s="409" t="str">
        <f t="shared" si="91"/>
        <v>V=(Ancho x Largo x Alto)* Cant</v>
      </c>
      <c r="L715" s="410" t="str">
        <f t="shared" si="100"/>
        <v>M3</v>
      </c>
      <c r="M715" s="411"/>
      <c r="N715" s="412"/>
      <c r="O715" s="442"/>
      <c r="P715" s="442"/>
      <c r="Q715" s="413"/>
      <c r="R715" s="411">
        <f>+HLOOKUP(B715,[238]Hoja1!$2:$78,14,FALSE)</f>
        <v>0.18900000000000003</v>
      </c>
      <c r="S715" s="413">
        <v>1</v>
      </c>
      <c r="T715" s="414">
        <f t="shared" si="93"/>
        <v>0.18900000000000003</v>
      </c>
      <c r="Y715" s="439">
        <f t="shared" si="99"/>
        <v>0</v>
      </c>
      <c r="Z715" s="439">
        <f t="shared" si="94"/>
        <v>0</v>
      </c>
    </row>
    <row r="716" spans="1:26" ht="25.5">
      <c r="A716" s="453">
        <f t="shared" si="95"/>
        <v>1.1000000000000001</v>
      </c>
      <c r="B716" s="383">
        <v>32</v>
      </c>
      <c r="D716" s="406"/>
      <c r="E716" s="407"/>
      <c r="F716" s="407"/>
      <c r="G716" s="407"/>
      <c r="H716" s="407"/>
      <c r="I716" s="407"/>
      <c r="J716" s="408" t="s">
        <v>443</v>
      </c>
      <c r="K716" s="409" t="str">
        <f t="shared" si="91"/>
        <v>V=(Ancho x Largo x Alto)* Cant</v>
      </c>
      <c r="L716" s="410" t="str">
        <f t="shared" si="100"/>
        <v>M3</v>
      </c>
      <c r="M716" s="411"/>
      <c r="N716" s="412"/>
      <c r="O716" s="442"/>
      <c r="P716" s="442"/>
      <c r="Q716" s="412"/>
      <c r="R716" s="411">
        <f>+HLOOKUP(B716,[238]Hoja1!$2:$78,14,FALSE)</f>
        <v>0.80639999999999989</v>
      </c>
      <c r="S716" s="413">
        <v>1</v>
      </c>
      <c r="T716" s="414">
        <f t="shared" si="93"/>
        <v>0.80639999999999989</v>
      </c>
      <c r="Y716" s="439">
        <f t="shared" si="99"/>
        <v>0</v>
      </c>
      <c r="Z716" s="439">
        <f t="shared" si="94"/>
        <v>0</v>
      </c>
    </row>
    <row r="717" spans="1:26" ht="25.5">
      <c r="A717" s="453">
        <f t="shared" si="95"/>
        <v>1.1000000000000001</v>
      </c>
      <c r="B717" s="383">
        <v>33</v>
      </c>
      <c r="D717" s="406"/>
      <c r="E717" s="407"/>
      <c r="F717" s="407"/>
      <c r="G717" s="407"/>
      <c r="H717" s="407"/>
      <c r="I717" s="407"/>
      <c r="J717" s="408" t="s">
        <v>444</v>
      </c>
      <c r="K717" s="409" t="str">
        <f t="shared" si="91"/>
        <v>V=(Ancho x Largo x Alto)* Cant</v>
      </c>
      <c r="L717" s="410" t="str">
        <f t="shared" si="100"/>
        <v>M3</v>
      </c>
      <c r="M717" s="411"/>
      <c r="N717" s="412"/>
      <c r="O717" s="442"/>
      <c r="P717" s="442"/>
      <c r="Q717" s="412"/>
      <c r="R717" s="411">
        <f>+HLOOKUP(B717,[238]Hoja1!$2:$78,14,FALSE)</f>
        <v>0</v>
      </c>
      <c r="S717" s="413"/>
      <c r="T717" s="414">
        <f t="shared" si="93"/>
        <v>0</v>
      </c>
      <c r="Y717" s="439">
        <f t="shared" si="99"/>
        <v>0</v>
      </c>
      <c r="Z717" s="439">
        <f t="shared" si="94"/>
        <v>0</v>
      </c>
    </row>
    <row r="718" spans="1:26" ht="25.5">
      <c r="A718" s="453">
        <f t="shared" si="95"/>
        <v>1.1000000000000001</v>
      </c>
      <c r="B718" s="383">
        <v>34</v>
      </c>
      <c r="D718" s="406"/>
      <c r="E718" s="407"/>
      <c r="F718" s="407"/>
      <c r="G718" s="407"/>
      <c r="H718" s="407"/>
      <c r="I718" s="407"/>
      <c r="J718" s="408" t="s">
        <v>445</v>
      </c>
      <c r="K718" s="409" t="str">
        <f t="shared" si="91"/>
        <v>V=(Ancho x Largo x Alto)* Cant</v>
      </c>
      <c r="L718" s="410" t="str">
        <f t="shared" si="100"/>
        <v>M3</v>
      </c>
      <c r="M718" s="411"/>
      <c r="N718" s="412"/>
      <c r="O718" s="441"/>
      <c r="P718" s="441"/>
      <c r="Q718" s="412"/>
      <c r="R718" s="411">
        <f>+HLOOKUP(B718,[238]Hoja1!$2:$78,14,FALSE)</f>
        <v>0</v>
      </c>
      <c r="S718" s="413"/>
      <c r="T718" s="414">
        <f t="shared" si="93"/>
        <v>0</v>
      </c>
      <c r="Y718" s="439">
        <f>+O718*P718</f>
        <v>0</v>
      </c>
      <c r="Z718" s="439">
        <f>+Y718-M718</f>
        <v>0</v>
      </c>
    </row>
    <row r="719" spans="1:26" ht="25.5">
      <c r="A719" s="453">
        <f t="shared" si="95"/>
        <v>1.1000000000000001</v>
      </c>
      <c r="B719" s="383">
        <v>35</v>
      </c>
      <c r="D719" s="406"/>
      <c r="E719" s="440"/>
      <c r="F719" s="407"/>
      <c r="G719" s="407"/>
      <c r="H719" s="407"/>
      <c r="I719" s="437"/>
      <c r="J719" s="408" t="s">
        <v>446</v>
      </c>
      <c r="K719" s="409" t="str">
        <f t="shared" si="91"/>
        <v>V=(Ancho x Largo x Alto)* Cant</v>
      </c>
      <c r="L719" s="410" t="str">
        <f t="shared" si="100"/>
        <v>M3</v>
      </c>
      <c r="M719" s="411"/>
      <c r="N719" s="412"/>
      <c r="O719" s="442"/>
      <c r="P719" s="442"/>
      <c r="Q719" s="413"/>
      <c r="R719" s="411">
        <f>+HLOOKUP(B719,[238]Hoja1!$2:$78,14,FALSE)</f>
        <v>0</v>
      </c>
      <c r="S719" s="413"/>
      <c r="T719" s="414">
        <f t="shared" si="93"/>
        <v>0</v>
      </c>
      <c r="Y719" s="439">
        <f>+O719*P719*Q719</f>
        <v>0</v>
      </c>
      <c r="Z719" s="439">
        <f t="shared" ref="Z719:Z727" si="101">+Y719-M719</f>
        <v>0</v>
      </c>
    </row>
    <row r="720" spans="1:26" ht="25.5">
      <c r="A720" s="453">
        <f t="shared" si="95"/>
        <v>1.1000000000000001</v>
      </c>
      <c r="B720" s="383">
        <v>36</v>
      </c>
      <c r="D720" s="406"/>
      <c r="E720" s="407"/>
      <c r="F720" s="407"/>
      <c r="G720" s="407"/>
      <c r="H720" s="407"/>
      <c r="I720" s="407"/>
      <c r="J720" s="408" t="s">
        <v>447</v>
      </c>
      <c r="K720" s="409" t="str">
        <f t="shared" si="91"/>
        <v>V=(Ancho x Largo x Alto)* Cant</v>
      </c>
      <c r="L720" s="410" t="str">
        <f>+L709</f>
        <v>M3</v>
      </c>
      <c r="M720" s="411"/>
      <c r="N720" s="412"/>
      <c r="O720" s="442"/>
      <c r="P720" s="442"/>
      <c r="Q720" s="412"/>
      <c r="R720" s="411">
        <f>+HLOOKUP(B720,[238]Hoja1!$2:$78,14,FALSE)</f>
        <v>0.80639999999999989</v>
      </c>
      <c r="S720" s="413">
        <v>1</v>
      </c>
      <c r="T720" s="414">
        <f t="shared" si="93"/>
        <v>0.80639999999999989</v>
      </c>
      <c r="Y720" s="439">
        <f t="shared" ref="Y720:Y727" si="102">+O720*P720*Q720</f>
        <v>0</v>
      </c>
      <c r="Z720" s="439">
        <f t="shared" si="101"/>
        <v>0</v>
      </c>
    </row>
    <row r="721" spans="1:26" ht="25.5">
      <c r="A721" s="453">
        <f t="shared" si="95"/>
        <v>1.1000000000000001</v>
      </c>
      <c r="B721" s="383">
        <v>37</v>
      </c>
      <c r="D721" s="406"/>
      <c r="E721" s="407"/>
      <c r="F721" s="407"/>
      <c r="G721" s="407"/>
      <c r="H721" s="407"/>
      <c r="I721" s="407"/>
      <c r="J721" s="408" t="s">
        <v>448</v>
      </c>
      <c r="K721" s="409" t="str">
        <f t="shared" si="91"/>
        <v>V=(Ancho x Largo x Alto)* Cant</v>
      </c>
      <c r="L721" s="410" t="str">
        <f t="shared" ref="L721:L727" si="103">+L720</f>
        <v>M3</v>
      </c>
      <c r="M721" s="411"/>
      <c r="N721" s="412"/>
      <c r="O721" s="441"/>
      <c r="P721" s="441"/>
      <c r="Q721" s="449"/>
      <c r="R721" s="411">
        <f>+HLOOKUP(B721,[238]Hoja1!$2:$78,14,FALSE)</f>
        <v>2.1800000000000002</v>
      </c>
      <c r="S721" s="413">
        <v>1</v>
      </c>
      <c r="T721" s="414">
        <f t="shared" si="93"/>
        <v>2.1800000000000002</v>
      </c>
      <c r="Y721" s="439">
        <f t="shared" si="102"/>
        <v>0</v>
      </c>
      <c r="Z721" s="439">
        <f t="shared" si="101"/>
        <v>0</v>
      </c>
    </row>
    <row r="722" spans="1:26" ht="25.5">
      <c r="A722" s="453">
        <f t="shared" si="95"/>
        <v>1.1000000000000001</v>
      </c>
      <c r="B722" s="383">
        <v>38</v>
      </c>
      <c r="D722" s="406"/>
      <c r="E722" s="440"/>
      <c r="F722" s="407"/>
      <c r="G722" s="407"/>
      <c r="H722" s="407"/>
      <c r="I722" s="437"/>
      <c r="J722" s="408" t="s">
        <v>449</v>
      </c>
      <c r="K722" s="409" t="str">
        <f t="shared" si="91"/>
        <v>V=(Ancho x Largo x Alto)* Cant</v>
      </c>
      <c r="L722" s="410" t="str">
        <f t="shared" si="103"/>
        <v>M3</v>
      </c>
      <c r="M722" s="411"/>
      <c r="N722" s="412"/>
      <c r="O722" s="442"/>
      <c r="P722" s="442"/>
      <c r="Q722" s="413"/>
      <c r="R722" s="411">
        <f>+HLOOKUP(B722,[238]Hoja1!$2:$78,14,FALSE)</f>
        <v>0</v>
      </c>
      <c r="S722" s="413"/>
      <c r="T722" s="414">
        <f t="shared" si="93"/>
        <v>0</v>
      </c>
      <c r="Y722" s="439">
        <f t="shared" si="102"/>
        <v>0</v>
      </c>
      <c r="Z722" s="439">
        <f t="shared" si="101"/>
        <v>0</v>
      </c>
    </row>
    <row r="723" spans="1:26" ht="25.5">
      <c r="A723" s="453">
        <f t="shared" si="95"/>
        <v>1.1000000000000001</v>
      </c>
      <c r="B723" s="383">
        <v>39</v>
      </c>
      <c r="D723" s="406"/>
      <c r="E723" s="407"/>
      <c r="F723" s="407"/>
      <c r="G723" s="407"/>
      <c r="H723" s="407"/>
      <c r="I723" s="407"/>
      <c r="J723" s="408" t="s">
        <v>450</v>
      </c>
      <c r="K723" s="409" t="str">
        <f t="shared" si="91"/>
        <v>V=(Ancho x Largo x Alto)* Cant</v>
      </c>
      <c r="L723" s="410" t="str">
        <f t="shared" si="103"/>
        <v>M3</v>
      </c>
      <c r="M723" s="411"/>
      <c r="N723" s="412"/>
      <c r="O723" s="441"/>
      <c r="P723" s="441"/>
      <c r="Q723" s="412"/>
      <c r="R723" s="411">
        <f>+HLOOKUP(B723,[238]Hoja1!$2:$78,14,FALSE)</f>
        <v>0</v>
      </c>
      <c r="S723" s="413"/>
      <c r="T723" s="414">
        <f t="shared" si="93"/>
        <v>0</v>
      </c>
      <c r="Y723" s="439">
        <f t="shared" si="102"/>
        <v>0</v>
      </c>
      <c r="Z723" s="439">
        <f t="shared" si="101"/>
        <v>0</v>
      </c>
    </row>
    <row r="724" spans="1:26" ht="25.5">
      <c r="A724" s="453">
        <f t="shared" si="95"/>
        <v>1.1000000000000001</v>
      </c>
      <c r="B724" s="383">
        <v>40</v>
      </c>
      <c r="D724" s="406"/>
      <c r="E724" s="407"/>
      <c r="F724" s="407"/>
      <c r="G724" s="407"/>
      <c r="H724" s="407"/>
      <c r="I724" s="407"/>
      <c r="J724" s="408" t="s">
        <v>451</v>
      </c>
      <c r="K724" s="409" t="str">
        <f t="shared" si="91"/>
        <v>V=(Ancho x Largo x Alto)* Cant</v>
      </c>
      <c r="L724" s="410" t="str">
        <f t="shared" si="103"/>
        <v>M3</v>
      </c>
      <c r="M724" s="411"/>
      <c r="N724" s="412"/>
      <c r="O724" s="442"/>
      <c r="P724" s="442"/>
      <c r="Q724" s="412"/>
      <c r="R724" s="411">
        <f>+HLOOKUP(B724,[238]Hoja1!$2:$78,14,FALSE)</f>
        <v>0.80639999999999989</v>
      </c>
      <c r="S724" s="413">
        <v>1</v>
      </c>
      <c r="T724" s="414">
        <f t="shared" si="93"/>
        <v>0.80639999999999989</v>
      </c>
      <c r="Y724" s="439">
        <f t="shared" si="102"/>
        <v>0</v>
      </c>
      <c r="Z724" s="439">
        <f t="shared" si="101"/>
        <v>0</v>
      </c>
    </row>
    <row r="725" spans="1:26" ht="25.5">
      <c r="A725" s="453">
        <f t="shared" si="95"/>
        <v>1.1000000000000001</v>
      </c>
      <c r="B725" s="383">
        <v>41</v>
      </c>
      <c r="D725" s="406"/>
      <c r="E725" s="407"/>
      <c r="F725" s="407"/>
      <c r="G725" s="407"/>
      <c r="H725" s="407"/>
      <c r="I725" s="407"/>
      <c r="J725" s="408" t="s">
        <v>452</v>
      </c>
      <c r="K725" s="409" t="str">
        <f t="shared" si="91"/>
        <v>V=(Ancho x Largo x Alto)* Cant</v>
      </c>
      <c r="L725" s="410" t="str">
        <f t="shared" si="103"/>
        <v>M3</v>
      </c>
      <c r="M725" s="411"/>
      <c r="N725" s="412"/>
      <c r="O725" s="442"/>
      <c r="P725" s="442"/>
      <c r="Q725" s="413"/>
      <c r="R725" s="411">
        <f>+HLOOKUP(B725,[238]Hoja1!$2:$78,14,FALSE)</f>
        <v>0</v>
      </c>
      <c r="S725" s="413"/>
      <c r="T725" s="414">
        <f t="shared" si="93"/>
        <v>0</v>
      </c>
      <c r="Y725" s="439">
        <f t="shared" si="102"/>
        <v>0</v>
      </c>
      <c r="Z725" s="439">
        <f t="shared" si="101"/>
        <v>0</v>
      </c>
    </row>
    <row r="726" spans="1:26" ht="25.5">
      <c r="A726" s="453">
        <f t="shared" si="95"/>
        <v>1.1000000000000001</v>
      </c>
      <c r="B726" s="383">
        <v>42</v>
      </c>
      <c r="D726" s="406"/>
      <c r="E726" s="407"/>
      <c r="F726" s="407"/>
      <c r="G726" s="407"/>
      <c r="H726" s="407"/>
      <c r="I726" s="407"/>
      <c r="J726" s="408" t="s">
        <v>453</v>
      </c>
      <c r="K726" s="409" t="str">
        <f t="shared" si="91"/>
        <v>V=(Ancho x Largo x Alto)* Cant</v>
      </c>
      <c r="L726" s="410" t="str">
        <f t="shared" si="103"/>
        <v>M3</v>
      </c>
      <c r="M726" s="411"/>
      <c r="N726" s="412"/>
      <c r="O726" s="442"/>
      <c r="P726" s="442"/>
      <c r="Q726" s="412"/>
      <c r="R726" s="411">
        <f>+HLOOKUP(B726,[238]Hoja1!$2:$78,14,FALSE)</f>
        <v>0</v>
      </c>
      <c r="S726" s="413"/>
      <c r="T726" s="414">
        <f t="shared" si="93"/>
        <v>0</v>
      </c>
      <c r="Y726" s="439">
        <f t="shared" si="102"/>
        <v>0</v>
      </c>
      <c r="Z726" s="439">
        <f t="shared" si="101"/>
        <v>0</v>
      </c>
    </row>
    <row r="727" spans="1:26" ht="26.25" thickBot="1">
      <c r="A727" s="453">
        <f t="shared" si="95"/>
        <v>1.1000000000000001</v>
      </c>
      <c r="B727" s="383">
        <v>43</v>
      </c>
      <c r="D727" s="406"/>
      <c r="E727" s="407"/>
      <c r="F727" s="407"/>
      <c r="G727" s="407"/>
      <c r="H727" s="407"/>
      <c r="I727" s="407"/>
      <c r="J727" s="408" t="s">
        <v>454</v>
      </c>
      <c r="K727" s="409" t="str">
        <f t="shared" si="91"/>
        <v>V=(Ancho x Largo x Alto)* Cant</v>
      </c>
      <c r="L727" s="410" t="str">
        <f t="shared" si="103"/>
        <v>M3</v>
      </c>
      <c r="M727" s="411"/>
      <c r="N727" s="412"/>
      <c r="O727" s="442"/>
      <c r="P727" s="442"/>
      <c r="Q727" s="412"/>
      <c r="R727" s="411">
        <f>+HLOOKUP(B727,[238]Hoja1!$2:$78,14,FALSE)</f>
        <v>0</v>
      </c>
      <c r="S727" s="413"/>
      <c r="T727" s="414">
        <f t="shared" si="93"/>
        <v>0</v>
      </c>
      <c r="Y727" s="439">
        <f t="shared" si="102"/>
        <v>0</v>
      </c>
      <c r="Z727" s="439">
        <f t="shared" si="101"/>
        <v>0</v>
      </c>
    </row>
    <row r="728" spans="1:26">
      <c r="D728" s="384"/>
      <c r="E728" s="419"/>
      <c r="F728" s="420"/>
      <c r="G728" s="421"/>
      <c r="H728" s="421"/>
      <c r="I728" s="421"/>
      <c r="J728" s="421"/>
      <c r="K728" s="422"/>
      <c r="L728" s="421"/>
      <c r="M728" s="421"/>
      <c r="N728" s="421"/>
      <c r="O728" s="421"/>
      <c r="P728" s="421"/>
      <c r="Q728" s="421"/>
      <c r="R728" s="421"/>
      <c r="S728" s="422"/>
      <c r="T728" s="423"/>
    </row>
    <row r="729" spans="1:26">
      <c r="D729" s="396"/>
      <c r="E729" s="397"/>
      <c r="F729" s="424"/>
      <c r="G729" s="425"/>
      <c r="H729" s="425"/>
      <c r="I729" s="425"/>
      <c r="J729" s="425"/>
      <c r="K729" s="398"/>
      <c r="L729" s="425"/>
      <c r="M729" s="425"/>
      <c r="N729" s="397"/>
      <c r="O729" s="397"/>
      <c r="P729" s="562" t="s">
        <v>455</v>
      </c>
      <c r="Q729" s="563"/>
      <c r="R729" s="564"/>
      <c r="S729" s="426"/>
      <c r="T729" s="427">
        <f>ROUND(SUM(T685:T728),2)</f>
        <v>22.99</v>
      </c>
    </row>
    <row r="730" spans="1:26">
      <c r="D730" s="396"/>
      <c r="E730" s="397"/>
      <c r="F730" s="424"/>
      <c r="G730" s="425"/>
      <c r="H730" s="425"/>
      <c r="I730" s="425"/>
      <c r="J730" s="425"/>
      <c r="K730" s="398"/>
      <c r="L730" s="425"/>
      <c r="M730" s="425"/>
      <c r="N730" s="428"/>
      <c r="O730" s="428"/>
      <c r="P730" s="429"/>
      <c r="Q730" s="425"/>
      <c r="R730" s="425"/>
      <c r="S730" s="430"/>
      <c r="T730" s="431"/>
    </row>
    <row r="731" spans="1:26">
      <c r="D731" s="565" t="e">
        <v>#REF!</v>
      </c>
      <c r="E731" s="566"/>
      <c r="F731" s="566"/>
      <c r="G731" s="566"/>
      <c r="H731" s="566"/>
      <c r="I731" s="566"/>
      <c r="J731" s="566"/>
      <c r="K731" s="566"/>
      <c r="L731" s="566"/>
      <c r="M731" s="566"/>
      <c r="N731" s="566"/>
      <c r="O731" s="567"/>
      <c r="P731" s="568" t="s">
        <v>422</v>
      </c>
      <c r="Q731" s="568"/>
      <c r="R731" s="568"/>
      <c r="S731" s="426"/>
      <c r="T731" s="427">
        <f>T729</f>
        <v>22.99</v>
      </c>
    </row>
    <row r="732" spans="1:26">
      <c r="D732" s="396"/>
      <c r="E732" s="397"/>
      <c r="F732" s="424"/>
      <c r="G732" s="425"/>
      <c r="H732" s="425"/>
      <c r="I732" s="425"/>
      <c r="J732" s="425"/>
      <c r="K732" s="398"/>
      <c r="L732" s="425"/>
      <c r="M732" s="425"/>
      <c r="N732" s="428"/>
      <c r="O732" s="428"/>
      <c r="P732" s="429"/>
      <c r="Q732" s="425"/>
      <c r="R732" s="398"/>
      <c r="S732" s="398"/>
      <c r="T732" s="432"/>
    </row>
    <row r="733" spans="1:26" ht="6" customHeight="1">
      <c r="D733" s="396"/>
      <c r="E733" s="397"/>
      <c r="F733" s="424"/>
      <c r="G733" s="425"/>
      <c r="H733" s="425"/>
      <c r="I733" s="425"/>
      <c r="J733" s="425"/>
      <c r="K733" s="398"/>
      <c r="L733" s="425"/>
      <c r="M733" s="425"/>
      <c r="N733" s="428"/>
      <c r="O733" s="428"/>
      <c r="P733" s="429"/>
      <c r="Q733" s="425"/>
      <c r="R733" s="398"/>
      <c r="S733" s="398"/>
      <c r="T733" s="432"/>
    </row>
    <row r="734" spans="1:26">
      <c r="D734" s="569" t="s">
        <v>423</v>
      </c>
      <c r="E734" s="570"/>
      <c r="F734" s="570"/>
      <c r="G734" s="570"/>
      <c r="H734" s="570"/>
      <c r="I734" s="570"/>
      <c r="J734" s="570"/>
      <c r="K734" s="571"/>
      <c r="L734" s="433" t="s">
        <v>424</v>
      </c>
      <c r="M734" s="434"/>
      <c r="N734" s="434"/>
      <c r="O734" s="434"/>
      <c r="P734" s="434"/>
      <c r="Q734" s="434"/>
      <c r="R734" s="434"/>
      <c r="S734" s="434"/>
      <c r="T734" s="435"/>
    </row>
    <row r="735" spans="1:26">
      <c r="D735" s="542"/>
      <c r="E735" s="543"/>
      <c r="F735" s="543"/>
      <c r="G735" s="543"/>
      <c r="H735" s="436"/>
      <c r="I735" s="436"/>
      <c r="J735" s="436"/>
      <c r="K735" s="447"/>
      <c r="L735" s="436"/>
      <c r="M735" s="407"/>
      <c r="N735" s="407"/>
      <c r="O735" s="407"/>
      <c r="P735" s="407"/>
      <c r="Q735" s="407"/>
      <c r="R735" s="407"/>
      <c r="S735" s="407"/>
      <c r="T735" s="437"/>
    </row>
    <row r="736" spans="1:26">
      <c r="D736" s="542"/>
      <c r="E736" s="543"/>
      <c r="F736" s="543"/>
      <c r="G736" s="543"/>
      <c r="H736" s="436"/>
      <c r="I736" s="436"/>
      <c r="J736" s="436"/>
      <c r="K736" s="447"/>
      <c r="L736" s="436"/>
      <c r="M736" s="407"/>
      <c r="N736" s="407"/>
      <c r="O736" s="407"/>
      <c r="P736" s="407"/>
      <c r="Q736" s="407"/>
      <c r="R736" s="407"/>
      <c r="S736" s="407"/>
      <c r="T736" s="437"/>
    </row>
    <row r="737" spans="4:20">
      <c r="D737" s="542" t="s">
        <v>425</v>
      </c>
      <c r="E737" s="543"/>
      <c r="F737" s="543" t="s">
        <v>425</v>
      </c>
      <c r="G737" s="543"/>
      <c r="H737" s="543" t="s">
        <v>425</v>
      </c>
      <c r="I737" s="543"/>
      <c r="J737" s="543" t="s">
        <v>425</v>
      </c>
      <c r="K737" s="544"/>
      <c r="L737" s="545" t="s">
        <v>426</v>
      </c>
      <c r="M737" s="546"/>
      <c r="N737" s="546"/>
      <c r="O737" s="546"/>
      <c r="P737" s="546"/>
      <c r="Q737" s="546"/>
      <c r="R737" s="546"/>
      <c r="S737" s="546"/>
      <c r="T737" s="547"/>
    </row>
    <row r="738" spans="4:20">
      <c r="D738" s="548" t="str">
        <f>+[42]DATOS!D$8</f>
        <v>HELMER EDUARDO BECERRA SANTANDER</v>
      </c>
      <c r="E738" s="549"/>
      <c r="F738" s="549" t="s">
        <v>427</v>
      </c>
      <c r="G738" s="549"/>
      <c r="H738" s="549" t="s">
        <v>427</v>
      </c>
      <c r="I738" s="549"/>
      <c r="J738" s="549" t="s">
        <v>427</v>
      </c>
      <c r="K738" s="550"/>
      <c r="L738" s="551" t="str">
        <f>+[42]DATOS!D$11</f>
        <v>JESUS IVAN QUIÑONES RUEDA</v>
      </c>
      <c r="M738" s="549"/>
      <c r="N738" s="549"/>
      <c r="O738" s="549"/>
      <c r="P738" s="549"/>
      <c r="Q738" s="549"/>
      <c r="R738" s="549"/>
      <c r="S738" s="549"/>
      <c r="T738" s="552"/>
    </row>
    <row r="739" spans="4:20">
      <c r="D739" s="553" t="str">
        <f>+$D$72</f>
        <v>APOYO SEC. DE PLANEACION Y OBRAS PÚBLICAS</v>
      </c>
      <c r="E739" s="554"/>
      <c r="F739" s="554" t="s">
        <v>428</v>
      </c>
      <c r="G739" s="554"/>
      <c r="H739" s="554" t="s">
        <v>428</v>
      </c>
      <c r="I739" s="554"/>
      <c r="J739" s="554" t="s">
        <v>428</v>
      </c>
      <c r="K739" s="555"/>
      <c r="L739" s="556" t="str">
        <f>+$L$72</f>
        <v>SECRETARIO DE PLANEACION Y OBRAS PÚBLICAS</v>
      </c>
      <c r="M739" s="554"/>
      <c r="N739" s="554"/>
      <c r="O739" s="554"/>
      <c r="P739" s="554"/>
      <c r="Q739" s="554"/>
      <c r="R739" s="554"/>
      <c r="S739" s="554"/>
      <c r="T739" s="557"/>
    </row>
    <row r="740" spans="4:20">
      <c r="D740" s="406"/>
      <c r="E740" s="407"/>
      <c r="F740" s="407"/>
      <c r="G740" s="407"/>
      <c r="H740" s="407"/>
      <c r="I740" s="407"/>
      <c r="J740" s="407"/>
      <c r="K740" s="407"/>
      <c r="L740" s="407"/>
      <c r="M740" s="407"/>
      <c r="N740" s="407"/>
      <c r="O740" s="407"/>
      <c r="P740" s="407"/>
      <c r="Q740" s="407"/>
      <c r="R740" s="407"/>
      <c r="S740" s="407"/>
      <c r="T740" s="437"/>
    </row>
    <row r="741" spans="4:20" ht="111" customHeight="1" thickBot="1">
      <c r="D741" s="417"/>
      <c r="E741" s="418"/>
      <c r="F741" s="418"/>
      <c r="G741" s="418"/>
      <c r="H741" s="418"/>
      <c r="I741" s="418"/>
      <c r="J741" s="418"/>
      <c r="K741" s="418"/>
      <c r="L741" s="418"/>
      <c r="M741" s="418"/>
      <c r="N741" s="418"/>
      <c r="O741" s="418"/>
      <c r="P741" s="418"/>
      <c r="Q741" s="418"/>
      <c r="R741" s="418"/>
      <c r="S741" s="418"/>
      <c r="T741" s="438"/>
    </row>
    <row r="742" spans="4:20" ht="22.5" customHeight="1"/>
    <row r="743" spans="4:20" ht="13.5" thickBot="1"/>
    <row r="744" spans="4:20">
      <c r="D744" s="384"/>
      <c r="E744" s="385"/>
      <c r="F744" s="385"/>
      <c r="G744" s="385"/>
      <c r="H744" s="385"/>
      <c r="I744" s="385"/>
      <c r="J744" s="385"/>
      <c r="K744" s="445"/>
      <c r="L744" s="385"/>
      <c r="M744" s="385"/>
      <c r="N744" s="385"/>
      <c r="O744" s="385"/>
      <c r="P744" s="385"/>
      <c r="Q744" s="385"/>
      <c r="R744" s="385"/>
      <c r="S744" s="385"/>
      <c r="T744" s="386"/>
    </row>
    <row r="745" spans="4:20" ht="121.5" customHeight="1" thickBot="1">
      <c r="D745" s="387"/>
      <c r="E745" s="388"/>
      <c r="F745" s="388"/>
      <c r="G745" s="388"/>
      <c r="H745" s="388"/>
      <c r="I745" s="388"/>
      <c r="J745" s="388"/>
      <c r="K745" s="446"/>
      <c r="L745" s="388"/>
      <c r="M745" s="388"/>
      <c r="N745" s="388"/>
      <c r="O745" s="388"/>
      <c r="P745" s="388"/>
      <c r="Q745" s="388"/>
      <c r="R745" s="388"/>
      <c r="S745" s="388"/>
      <c r="T745" s="389"/>
    </row>
    <row r="746" spans="4:20">
      <c r="D746" s="592" t="str">
        <f>+[42]DATOS!C$7</f>
        <v>MEJORAMIENTO DE VIVIENDA CON ENFOQUE DIFERENCIAL PARA POBLACIÓN VULNERABLE EN EL MUNICIPIO DE CUBARÁ, BOYACÁ (2026).</v>
      </c>
      <c r="E746" s="593"/>
      <c r="F746" s="593"/>
      <c r="G746" s="593"/>
      <c r="H746" s="593"/>
      <c r="I746" s="593"/>
      <c r="J746" s="593"/>
      <c r="K746" s="593"/>
      <c r="L746" s="593"/>
      <c r="M746" s="593"/>
      <c r="N746" s="593"/>
      <c r="O746" s="593"/>
      <c r="P746" s="593"/>
      <c r="Q746" s="593"/>
      <c r="R746" s="593"/>
      <c r="S746" s="593"/>
      <c r="T746" s="594"/>
    </row>
    <row r="747" spans="4:20">
      <c r="D747" s="595"/>
      <c r="E747" s="596"/>
      <c r="F747" s="596"/>
      <c r="G747" s="596"/>
      <c r="H747" s="596"/>
      <c r="I747" s="596"/>
      <c r="J747" s="596"/>
      <c r="K747" s="596"/>
      <c r="L747" s="596"/>
      <c r="M747" s="596"/>
      <c r="N747" s="596"/>
      <c r="O747" s="596"/>
      <c r="P747" s="596"/>
      <c r="Q747" s="596"/>
      <c r="R747" s="596"/>
      <c r="S747" s="596"/>
      <c r="T747" s="597"/>
    </row>
    <row r="748" spans="4:20">
      <c r="D748" s="598" t="s">
        <v>371</v>
      </c>
      <c r="E748" s="599"/>
      <c r="F748" s="599"/>
      <c r="G748" s="599"/>
      <c r="H748" s="599"/>
      <c r="I748" s="599"/>
      <c r="J748" s="599"/>
      <c r="K748" s="599"/>
      <c r="L748" s="599"/>
      <c r="M748" s="599"/>
      <c r="N748" s="599"/>
      <c r="O748" s="599"/>
      <c r="P748" s="599"/>
      <c r="Q748" s="599"/>
      <c r="R748" s="599"/>
      <c r="S748" s="599"/>
      <c r="T748" s="600"/>
    </row>
    <row r="749" spans="4:20">
      <c r="D749" s="586" t="s">
        <v>372</v>
      </c>
      <c r="E749" s="587"/>
      <c r="F749" s="601" t="s">
        <v>373</v>
      </c>
      <c r="G749" s="601"/>
      <c r="H749" s="601"/>
      <c r="I749" s="601"/>
      <c r="J749" s="601"/>
      <c r="K749" s="601"/>
      <c r="L749" s="601"/>
      <c r="M749" s="601"/>
      <c r="N749" s="601"/>
      <c r="O749" s="601"/>
      <c r="P749" s="601"/>
      <c r="Q749" s="601"/>
      <c r="R749" s="601"/>
      <c r="S749" s="601"/>
      <c r="T749" s="602"/>
    </row>
    <row r="750" spans="4:20">
      <c r="D750" s="586" t="s">
        <v>374</v>
      </c>
      <c r="E750" s="587"/>
      <c r="F750" s="603" t="s">
        <v>375</v>
      </c>
      <c r="G750" s="604"/>
      <c r="H750" s="604"/>
      <c r="I750" s="604"/>
      <c r="J750" s="604"/>
      <c r="K750" s="604"/>
      <c r="L750" s="604"/>
      <c r="M750" s="604"/>
      <c r="N750" s="604"/>
      <c r="O750" s="604"/>
      <c r="P750" s="604"/>
      <c r="Q750" s="604"/>
      <c r="R750" s="604"/>
      <c r="S750" s="604"/>
      <c r="T750" s="605"/>
    </row>
    <row r="751" spans="4:20">
      <c r="D751" s="586" t="s">
        <v>376</v>
      </c>
      <c r="E751" s="587"/>
      <c r="F751" s="390">
        <f>+[42]DATOS!F$5</f>
        <v>46143</v>
      </c>
      <c r="G751" s="391"/>
      <c r="H751" s="391"/>
      <c r="I751" s="391"/>
      <c r="J751" s="391"/>
      <c r="K751" s="391"/>
      <c r="L751" s="568" t="s">
        <v>377</v>
      </c>
      <c r="M751" s="568"/>
      <c r="N751" s="588" t="s">
        <v>378</v>
      </c>
      <c r="O751" s="588"/>
      <c r="P751" s="588"/>
      <c r="Q751" s="588"/>
      <c r="R751" s="588"/>
      <c r="S751" s="588"/>
      <c r="T751" s="589"/>
    </row>
    <row r="752" spans="4:20" ht="25.5">
      <c r="D752" s="586" t="s">
        <v>379</v>
      </c>
      <c r="E752" s="587"/>
      <c r="F752" s="590" t="s">
        <v>380</v>
      </c>
      <c r="G752" s="591"/>
      <c r="H752" s="392">
        <f>+[42]DATOS!E$5</f>
        <v>2026</v>
      </c>
      <c r="I752" s="393" t="s">
        <v>381</v>
      </c>
      <c r="J752" s="394">
        <f>+[42]DATOS!E$5</f>
        <v>2026</v>
      </c>
      <c r="K752" s="395"/>
      <c r="L752" s="568" t="s">
        <v>382</v>
      </c>
      <c r="M752" s="568"/>
      <c r="N752" s="588" t="s">
        <v>383</v>
      </c>
      <c r="O752" s="588"/>
      <c r="P752" s="588"/>
      <c r="Q752" s="588"/>
      <c r="R752" s="588"/>
      <c r="S752" s="588"/>
      <c r="T752" s="589"/>
    </row>
    <row r="753" spans="1:26">
      <c r="D753" s="396"/>
      <c r="E753" s="397"/>
      <c r="F753" s="397"/>
      <c r="G753" s="398"/>
      <c r="H753" s="398"/>
      <c r="I753" s="398"/>
      <c r="J753" s="398"/>
      <c r="K753" s="398"/>
      <c r="L753" s="398"/>
      <c r="M753" s="398"/>
      <c r="N753" s="398"/>
      <c r="O753" s="398"/>
      <c r="P753" s="398"/>
      <c r="Q753" s="398"/>
      <c r="R753" s="398"/>
      <c r="S753" s="398"/>
      <c r="T753" s="399"/>
    </row>
    <row r="754" spans="1:26">
      <c r="D754" s="572" t="s">
        <v>384</v>
      </c>
      <c r="E754" s="573"/>
      <c r="F754" s="573"/>
      <c r="G754" s="573"/>
      <c r="H754" s="573"/>
      <c r="I754" s="573"/>
      <c r="J754" s="573"/>
      <c r="K754" s="573"/>
      <c r="L754" s="573"/>
      <c r="M754" s="573"/>
      <c r="N754" s="573"/>
      <c r="O754" s="573"/>
      <c r="P754" s="573"/>
      <c r="Q754" s="573"/>
      <c r="R754" s="573"/>
      <c r="S754" s="573"/>
      <c r="T754" s="574"/>
    </row>
    <row r="755" spans="1:26">
      <c r="D755" s="396"/>
      <c r="E755" s="397"/>
      <c r="F755" s="397"/>
      <c r="G755" s="398"/>
      <c r="H755" s="398"/>
      <c r="I755" s="398"/>
      <c r="J755" s="398"/>
      <c r="K755" s="398"/>
      <c r="L755" s="398"/>
      <c r="M755" s="398"/>
      <c r="N755" s="398"/>
      <c r="O755" s="398"/>
      <c r="P755" s="398"/>
      <c r="Q755" s="398"/>
      <c r="R755" s="398"/>
      <c r="S755" s="398"/>
      <c r="T755" s="399"/>
    </row>
    <row r="756" spans="1:26">
      <c r="D756" s="400" t="s">
        <v>385</v>
      </c>
      <c r="E756" s="575" t="s">
        <v>386</v>
      </c>
      <c r="F756" s="575"/>
      <c r="G756" s="576" t="s">
        <v>387</v>
      </c>
      <c r="H756" s="577"/>
      <c r="I756" s="577"/>
      <c r="J756" s="576" t="s">
        <v>388</v>
      </c>
      <c r="K756" s="576" t="s">
        <v>389</v>
      </c>
      <c r="L756" s="579"/>
      <c r="M756" s="581" t="s">
        <v>390</v>
      </c>
      <c r="N756" s="581"/>
      <c r="O756" s="581"/>
      <c r="P756" s="581"/>
      <c r="Q756" s="581"/>
      <c r="R756" s="581"/>
      <c r="S756" s="581" t="s">
        <v>391</v>
      </c>
      <c r="T756" s="582"/>
    </row>
    <row r="757" spans="1:26" ht="38.25">
      <c r="D757" s="403">
        <f>+'PRESUPUESTO OFICIAL '!C22</f>
        <v>1.1100000000000001</v>
      </c>
      <c r="E757" s="583" t="str">
        <f>+VLOOKUP(D757,'PRESUPUESTO OFICIAL '!$C$11:$H$103,2)</f>
        <v>DESCAPOTE MANUAL HASTA 20 CM (INCLUYE RETIRO Y ACARREO LIBRE HASTA 5 KM)</v>
      </c>
      <c r="F757" s="584"/>
      <c r="G757" s="585" t="str">
        <f>+VLOOKUP(D757,'PRESUPUESTO OFICIAL '!$C$11:$H$103,3)</f>
        <v>M2</v>
      </c>
      <c r="H757" s="585"/>
      <c r="I757" s="585"/>
      <c r="J757" s="578"/>
      <c r="K757" s="578"/>
      <c r="L757" s="580"/>
      <c r="M757" s="401" t="s">
        <v>392</v>
      </c>
      <c r="N757" s="401" t="s">
        <v>393</v>
      </c>
      <c r="O757" s="401" t="s">
        <v>394</v>
      </c>
      <c r="P757" s="401" t="s">
        <v>395</v>
      </c>
      <c r="Q757" s="401" t="s">
        <v>396</v>
      </c>
      <c r="R757" s="401" t="s">
        <v>397</v>
      </c>
      <c r="S757" s="401" t="s">
        <v>398</v>
      </c>
      <c r="T757" s="402" t="s">
        <v>399</v>
      </c>
      <c r="V757" s="404">
        <f>+D757</f>
        <v>1.1100000000000001</v>
      </c>
      <c r="W757" s="405">
        <f>+T805</f>
        <v>24.54</v>
      </c>
    </row>
    <row r="758" spans="1:26">
      <c r="D758" s="406"/>
      <c r="E758" s="407"/>
      <c r="F758" s="407"/>
      <c r="G758" s="407"/>
      <c r="H758" s="407"/>
      <c r="I758" s="407"/>
      <c r="J758" s="558"/>
      <c r="K758" s="559"/>
      <c r="L758" s="560"/>
      <c r="M758" s="560"/>
      <c r="N758" s="560"/>
      <c r="O758" s="560"/>
      <c r="P758" s="560"/>
      <c r="Q758" s="560"/>
      <c r="R758" s="560"/>
      <c r="S758" s="560"/>
      <c r="T758" s="561"/>
    </row>
    <row r="759" spans="1:26">
      <c r="A759" s="453">
        <f>+D757</f>
        <v>1.1100000000000001</v>
      </c>
      <c r="B759" s="383">
        <v>1</v>
      </c>
      <c r="D759" s="406"/>
      <c r="E759" s="407"/>
      <c r="F759" s="407"/>
      <c r="G759" s="407"/>
      <c r="H759" s="407"/>
      <c r="I759" s="407"/>
      <c r="J759" s="408" t="s">
        <v>400</v>
      </c>
      <c r="K759" s="409" t="str">
        <f t="shared" ref="K759:K801" si="104">+VLOOKUP(L759,$AH$22:$AJ$58,2,)</f>
        <v>A=(Ancho x Largo)* Cant</v>
      </c>
      <c r="L759" s="410" t="str">
        <f>+G757</f>
        <v>M2</v>
      </c>
      <c r="M759" s="411">
        <f>+HLOOKUP(B759,[238]Hoja1!$2:$78,15,FALSE)</f>
        <v>0</v>
      </c>
      <c r="N759" s="412"/>
      <c r="O759" s="442"/>
      <c r="P759" s="442"/>
      <c r="Q759" s="413"/>
      <c r="R759" s="411"/>
      <c r="S759" s="413"/>
      <c r="T759" s="414">
        <f>+S759*M759</f>
        <v>0</v>
      </c>
      <c r="Y759" s="439">
        <f t="shared" ref="Y759:Y775" si="105">+O759*P759</f>
        <v>0</v>
      </c>
      <c r="Z759" s="439">
        <f t="shared" ref="Z759:Z775" si="106">+Y759-M759</f>
        <v>0</v>
      </c>
    </row>
    <row r="760" spans="1:26">
      <c r="A760" s="453">
        <f>+A759</f>
        <v>1.1100000000000001</v>
      </c>
      <c r="B760" s="383">
        <v>2</v>
      </c>
      <c r="D760" s="406"/>
      <c r="E760" s="407"/>
      <c r="F760" s="407"/>
      <c r="G760" s="407"/>
      <c r="H760" s="407"/>
      <c r="I760" s="407"/>
      <c r="J760" s="408" t="s">
        <v>401</v>
      </c>
      <c r="K760" s="409" t="str">
        <f t="shared" si="104"/>
        <v>A=(Ancho x Largo)* Cant</v>
      </c>
      <c r="L760" s="410" t="str">
        <f>+L759</f>
        <v>M2</v>
      </c>
      <c r="M760" s="411">
        <f>+HLOOKUP(B760,[238]Hoja1!$2:$78,15,FALSE)</f>
        <v>0</v>
      </c>
      <c r="N760" s="412"/>
      <c r="O760" s="442"/>
      <c r="P760" s="442"/>
      <c r="Q760" s="413"/>
      <c r="R760" s="411"/>
      <c r="S760" s="413"/>
      <c r="T760" s="414">
        <f t="shared" ref="T760:T801" si="107">+S760*M760</f>
        <v>0</v>
      </c>
      <c r="Y760" s="439">
        <f t="shared" si="105"/>
        <v>0</v>
      </c>
      <c r="Z760" s="439">
        <f t="shared" si="106"/>
        <v>0</v>
      </c>
    </row>
    <row r="761" spans="1:26">
      <c r="A761" s="453">
        <f t="shared" ref="A761:A801" si="108">+A760</f>
        <v>1.1100000000000001</v>
      </c>
      <c r="B761" s="383">
        <v>3</v>
      </c>
      <c r="D761" s="406"/>
      <c r="E761" s="407"/>
      <c r="F761" s="407"/>
      <c r="G761" s="407"/>
      <c r="H761" s="407"/>
      <c r="I761" s="407"/>
      <c r="J761" s="408" t="s">
        <v>402</v>
      </c>
      <c r="K761" s="409" t="str">
        <f t="shared" si="104"/>
        <v>A=(Ancho x Largo)* Cant</v>
      </c>
      <c r="L761" s="410" t="str">
        <f>+L760</f>
        <v>M2</v>
      </c>
      <c r="M761" s="411">
        <f>+HLOOKUP(B761,[238]Hoja1!$2:$78,15,FALSE)</f>
        <v>0</v>
      </c>
      <c r="N761" s="412"/>
      <c r="O761" s="442"/>
      <c r="P761" s="442"/>
      <c r="Q761" s="413"/>
      <c r="R761" s="411"/>
      <c r="S761" s="413"/>
      <c r="T761" s="414">
        <f t="shared" si="107"/>
        <v>0</v>
      </c>
      <c r="Y761" s="439">
        <f t="shared" si="105"/>
        <v>0</v>
      </c>
      <c r="Z761" s="439">
        <f t="shared" si="106"/>
        <v>0</v>
      </c>
    </row>
    <row r="762" spans="1:26">
      <c r="A762" s="453">
        <f t="shared" si="108"/>
        <v>1.1100000000000001</v>
      </c>
      <c r="B762" s="383">
        <v>4</v>
      </c>
      <c r="D762" s="406"/>
      <c r="E762" s="407"/>
      <c r="F762" s="407"/>
      <c r="G762" s="407"/>
      <c r="H762" s="407"/>
      <c r="I762" s="407"/>
      <c r="J762" s="408" t="s">
        <v>403</v>
      </c>
      <c r="K762" s="409" t="str">
        <f t="shared" si="104"/>
        <v>A=(Ancho x Largo)* Cant</v>
      </c>
      <c r="L762" s="410" t="str">
        <f>+L761</f>
        <v>M2</v>
      </c>
      <c r="M762" s="411">
        <f>+HLOOKUP(B762,[238]Hoja1!$2:$78,15,FALSE)</f>
        <v>0</v>
      </c>
      <c r="N762" s="412"/>
      <c r="O762" s="442"/>
      <c r="P762" s="442"/>
      <c r="Q762" s="413"/>
      <c r="R762" s="411"/>
      <c r="S762" s="413"/>
      <c r="T762" s="414">
        <f t="shared" si="107"/>
        <v>0</v>
      </c>
      <c r="Y762" s="439">
        <f t="shared" si="105"/>
        <v>0</v>
      </c>
      <c r="Z762" s="439">
        <f t="shared" si="106"/>
        <v>0</v>
      </c>
    </row>
    <row r="763" spans="1:26">
      <c r="A763" s="453">
        <f t="shared" si="108"/>
        <v>1.1100000000000001</v>
      </c>
      <c r="B763" s="383">
        <v>5</v>
      </c>
      <c r="D763" s="406"/>
      <c r="E763" s="407"/>
      <c r="F763" s="407"/>
      <c r="G763" s="407"/>
      <c r="H763" s="407"/>
      <c r="I763" s="407"/>
      <c r="J763" s="408" t="s">
        <v>405</v>
      </c>
      <c r="K763" s="409" t="str">
        <f t="shared" si="104"/>
        <v>A=(Ancho x Largo)* Cant</v>
      </c>
      <c r="L763" s="410" t="str">
        <f>+L762</f>
        <v>M2</v>
      </c>
      <c r="M763" s="411">
        <f>+HLOOKUP(B763,[238]Hoja1!$2:$78,15,FALSE)</f>
        <v>0</v>
      </c>
      <c r="N763" s="412"/>
      <c r="O763" s="442"/>
      <c r="P763" s="442"/>
      <c r="Q763" s="413"/>
      <c r="R763" s="411"/>
      <c r="S763" s="413"/>
      <c r="T763" s="414">
        <f t="shared" si="107"/>
        <v>0</v>
      </c>
      <c r="Y763" s="439">
        <f t="shared" si="105"/>
        <v>0</v>
      </c>
      <c r="Z763" s="439">
        <f t="shared" si="106"/>
        <v>0</v>
      </c>
    </row>
    <row r="764" spans="1:26">
      <c r="A764" s="453">
        <f t="shared" si="108"/>
        <v>1.1100000000000001</v>
      </c>
      <c r="B764" s="383">
        <v>6</v>
      </c>
      <c r="D764" s="406"/>
      <c r="E764" s="407"/>
      <c r="F764" s="407"/>
      <c r="G764" s="407"/>
      <c r="H764" s="407"/>
      <c r="I764" s="407"/>
      <c r="J764" s="408" t="s">
        <v>407</v>
      </c>
      <c r="K764" s="409" t="str">
        <f t="shared" si="104"/>
        <v>A=(Ancho x Largo)* Cant</v>
      </c>
      <c r="L764" s="410" t="str">
        <f>+L763</f>
        <v>M2</v>
      </c>
      <c r="M764" s="411">
        <f>+HLOOKUP(B764,[238]Hoja1!$2:$78,15,FALSE)</f>
        <v>0</v>
      </c>
      <c r="N764" s="412"/>
      <c r="O764" s="442"/>
      <c r="P764" s="442"/>
      <c r="Q764" s="413"/>
      <c r="R764" s="411"/>
      <c r="S764" s="413"/>
      <c r="T764" s="414">
        <f t="shared" si="107"/>
        <v>0</v>
      </c>
      <c r="Y764" s="439">
        <f t="shared" si="105"/>
        <v>0</v>
      </c>
      <c r="Z764" s="439">
        <f t="shared" si="106"/>
        <v>0</v>
      </c>
    </row>
    <row r="765" spans="1:26">
      <c r="A765" s="453">
        <f t="shared" si="108"/>
        <v>1.1100000000000001</v>
      </c>
      <c r="B765" s="383">
        <v>7</v>
      </c>
      <c r="D765" s="406"/>
      <c r="E765" s="407"/>
      <c r="F765" s="407"/>
      <c r="G765" s="407"/>
      <c r="H765" s="407"/>
      <c r="I765" s="407"/>
      <c r="J765" s="408" t="s">
        <v>409</v>
      </c>
      <c r="K765" s="409" t="str">
        <f t="shared" si="104"/>
        <v>A=(Ancho x Largo)* Cant</v>
      </c>
      <c r="L765" s="410" t="str">
        <f>+L759</f>
        <v>M2</v>
      </c>
      <c r="M765" s="411">
        <f>+HLOOKUP(B765,[238]Hoja1!$2:$78,15,FALSE)</f>
        <v>0</v>
      </c>
      <c r="N765" s="412"/>
      <c r="O765" s="442"/>
      <c r="P765" s="442"/>
      <c r="Q765" s="413"/>
      <c r="R765" s="411"/>
      <c r="S765" s="413"/>
      <c r="T765" s="414">
        <f t="shared" si="107"/>
        <v>0</v>
      </c>
      <c r="Y765" s="439">
        <f t="shared" si="105"/>
        <v>0</v>
      </c>
      <c r="Z765" s="439">
        <f t="shared" si="106"/>
        <v>0</v>
      </c>
    </row>
    <row r="766" spans="1:26">
      <c r="A766" s="453">
        <f t="shared" si="108"/>
        <v>1.1100000000000001</v>
      </c>
      <c r="B766" s="383">
        <v>8</v>
      </c>
      <c r="D766" s="406"/>
      <c r="E766" s="407"/>
      <c r="F766" s="407"/>
      <c r="G766" s="407"/>
      <c r="H766" s="407"/>
      <c r="I766" s="407"/>
      <c r="J766" s="408" t="s">
        <v>411</v>
      </c>
      <c r="K766" s="409" t="str">
        <f t="shared" si="104"/>
        <v>A=(Ancho x Largo)* Cant</v>
      </c>
      <c r="L766" s="410" t="str">
        <f>+L765</f>
        <v>M2</v>
      </c>
      <c r="M766" s="411">
        <f>+HLOOKUP(B766,[238]Hoja1!$2:$78,15,FALSE)</f>
        <v>0</v>
      </c>
      <c r="N766" s="412"/>
      <c r="O766" s="442"/>
      <c r="P766" s="442"/>
      <c r="Q766" s="413"/>
      <c r="R766" s="411"/>
      <c r="S766" s="413"/>
      <c r="T766" s="414">
        <f t="shared" si="107"/>
        <v>0</v>
      </c>
      <c r="Y766" s="439">
        <f t="shared" si="105"/>
        <v>0</v>
      </c>
      <c r="Z766" s="439">
        <f t="shared" si="106"/>
        <v>0</v>
      </c>
    </row>
    <row r="767" spans="1:26">
      <c r="A767" s="453">
        <f t="shared" si="108"/>
        <v>1.1100000000000001</v>
      </c>
      <c r="B767" s="383">
        <v>9</v>
      </c>
      <c r="D767" s="406"/>
      <c r="E767" s="407"/>
      <c r="F767" s="407"/>
      <c r="G767" s="407"/>
      <c r="H767" s="407"/>
      <c r="I767" s="407"/>
      <c r="J767" s="408" t="s">
        <v>412</v>
      </c>
      <c r="K767" s="409" t="str">
        <f t="shared" si="104"/>
        <v>A=(Ancho x Largo)* Cant</v>
      </c>
      <c r="L767" s="410" t="str">
        <f>+L766</f>
        <v>M2</v>
      </c>
      <c r="M767" s="411">
        <f>+HLOOKUP(B767,[238]Hoja1!$2:$78,15,FALSE)</f>
        <v>0</v>
      </c>
      <c r="N767" s="412"/>
      <c r="O767" s="442"/>
      <c r="P767" s="442"/>
      <c r="Q767" s="412"/>
      <c r="R767" s="411"/>
      <c r="S767" s="413"/>
      <c r="T767" s="414">
        <f t="shared" si="107"/>
        <v>0</v>
      </c>
      <c r="Y767" s="439">
        <f t="shared" si="105"/>
        <v>0</v>
      </c>
      <c r="Z767" s="439">
        <f t="shared" si="106"/>
        <v>0</v>
      </c>
    </row>
    <row r="768" spans="1:26">
      <c r="A768" s="453">
        <f t="shared" si="108"/>
        <v>1.1100000000000001</v>
      </c>
      <c r="B768" s="383">
        <v>10</v>
      </c>
      <c r="D768" s="406"/>
      <c r="E768" s="407"/>
      <c r="F768" s="407"/>
      <c r="G768" s="407"/>
      <c r="H768" s="407"/>
      <c r="I768" s="407"/>
      <c r="J768" s="408" t="s">
        <v>413</v>
      </c>
      <c r="K768" s="409" t="str">
        <f t="shared" si="104"/>
        <v>A=(Ancho x Largo)* Cant</v>
      </c>
      <c r="L768" s="410" t="str">
        <f>+L767</f>
        <v>M2</v>
      </c>
      <c r="M768" s="411">
        <f>+HLOOKUP(B768,[238]Hoja1!$2:$78,15,FALSE)</f>
        <v>0</v>
      </c>
      <c r="N768" s="412"/>
      <c r="O768" s="441"/>
      <c r="P768" s="441"/>
      <c r="Q768" s="412"/>
      <c r="R768" s="411"/>
      <c r="S768" s="413"/>
      <c r="T768" s="414">
        <f t="shared" si="107"/>
        <v>0</v>
      </c>
      <c r="Y768" s="439">
        <f t="shared" si="105"/>
        <v>0</v>
      </c>
      <c r="Z768" s="439">
        <f t="shared" si="106"/>
        <v>0</v>
      </c>
    </row>
    <row r="769" spans="1:26">
      <c r="A769" s="453">
        <f t="shared" si="108"/>
        <v>1.1100000000000001</v>
      </c>
      <c r="B769" s="383">
        <v>11</v>
      </c>
      <c r="D769" s="406"/>
      <c r="E769" s="407"/>
      <c r="F769" s="407"/>
      <c r="G769" s="407"/>
      <c r="H769" s="407"/>
      <c r="I769" s="407"/>
      <c r="J769" s="408" t="s">
        <v>414</v>
      </c>
      <c r="K769" s="409" t="str">
        <f t="shared" si="104"/>
        <v>A=(Ancho x Largo)* Cant</v>
      </c>
      <c r="L769" s="410" t="str">
        <f>+L768</f>
        <v>M2</v>
      </c>
      <c r="M769" s="411">
        <f>+HLOOKUP(B769,[238]Hoja1!$2:$78,15,FALSE)</f>
        <v>0</v>
      </c>
      <c r="N769" s="412"/>
      <c r="O769" s="443"/>
      <c r="P769" s="443"/>
      <c r="Q769" s="412"/>
      <c r="R769" s="411"/>
      <c r="S769" s="413"/>
      <c r="T769" s="414">
        <f t="shared" si="107"/>
        <v>0</v>
      </c>
      <c r="Y769" s="439">
        <f t="shared" si="105"/>
        <v>0</v>
      </c>
      <c r="Z769" s="439">
        <f t="shared" si="106"/>
        <v>0</v>
      </c>
    </row>
    <row r="770" spans="1:26">
      <c r="A770" s="453">
        <f t="shared" si="108"/>
        <v>1.1100000000000001</v>
      </c>
      <c r="B770" s="383">
        <v>12</v>
      </c>
      <c r="D770" s="406"/>
      <c r="E770" s="407"/>
      <c r="F770" s="407"/>
      <c r="G770" s="407"/>
      <c r="H770" s="407"/>
      <c r="I770" s="407"/>
      <c r="J770" s="408" t="s">
        <v>415</v>
      </c>
      <c r="K770" s="409" t="str">
        <f t="shared" si="104"/>
        <v>A=(Ancho x Largo)* Cant</v>
      </c>
      <c r="L770" s="410" t="str">
        <f>+L764</f>
        <v>M2</v>
      </c>
      <c r="M770" s="411">
        <f>+HLOOKUP(B770,[238]Hoja1!$2:$78,15,FALSE)</f>
        <v>0</v>
      </c>
      <c r="N770" s="412"/>
      <c r="O770" s="442"/>
      <c r="P770" s="442"/>
      <c r="Q770" s="413"/>
      <c r="R770" s="411"/>
      <c r="S770" s="413"/>
      <c r="T770" s="414">
        <f t="shared" si="107"/>
        <v>0</v>
      </c>
      <c r="Y770" s="439">
        <f t="shared" si="105"/>
        <v>0</v>
      </c>
      <c r="Z770" s="439">
        <f t="shared" si="106"/>
        <v>0</v>
      </c>
    </row>
    <row r="771" spans="1:26">
      <c r="A771" s="453">
        <f t="shared" si="108"/>
        <v>1.1100000000000001</v>
      </c>
      <c r="B771" s="383">
        <v>13</v>
      </c>
      <c r="D771" s="406"/>
      <c r="E771" s="407"/>
      <c r="F771" s="407"/>
      <c r="G771" s="407"/>
      <c r="H771" s="407"/>
      <c r="I771" s="407"/>
      <c r="J771" s="408" t="s">
        <v>416</v>
      </c>
      <c r="K771" s="409" t="str">
        <f t="shared" si="104"/>
        <v>A=(Ancho x Largo)* Cant</v>
      </c>
      <c r="L771" s="410" t="str">
        <f>+L766</f>
        <v>M2</v>
      </c>
      <c r="M771" s="411">
        <f>+HLOOKUP(B771,[238]Hoja1!$2:$78,15,FALSE)</f>
        <v>0</v>
      </c>
      <c r="N771" s="412"/>
      <c r="O771" s="442"/>
      <c r="P771" s="442"/>
      <c r="Q771" s="413"/>
      <c r="R771" s="411"/>
      <c r="S771" s="413"/>
      <c r="T771" s="414">
        <f t="shared" si="107"/>
        <v>0</v>
      </c>
      <c r="Y771" s="439">
        <f t="shared" si="105"/>
        <v>0</v>
      </c>
      <c r="Z771" s="439">
        <f t="shared" si="106"/>
        <v>0</v>
      </c>
    </row>
    <row r="772" spans="1:26">
      <c r="A772" s="453">
        <f t="shared" si="108"/>
        <v>1.1100000000000001</v>
      </c>
      <c r="B772" s="383">
        <v>14</v>
      </c>
      <c r="D772" s="406"/>
      <c r="E772" s="407"/>
      <c r="F772" s="407"/>
      <c r="G772" s="407"/>
      <c r="H772" s="407"/>
      <c r="I772" s="407"/>
      <c r="J772" s="408" t="s">
        <v>417</v>
      </c>
      <c r="K772" s="409" t="str">
        <f t="shared" si="104"/>
        <v>A=(Ancho x Largo)* Cant</v>
      </c>
      <c r="L772" s="410" t="str">
        <f t="shared" ref="L772:L783" si="109">+L771</f>
        <v>M2</v>
      </c>
      <c r="M772" s="411">
        <f>+HLOOKUP(B772,[238]Hoja1!$2:$78,15,FALSE)</f>
        <v>0</v>
      </c>
      <c r="N772" s="412"/>
      <c r="O772" s="442"/>
      <c r="P772" s="442"/>
      <c r="Q772" s="412"/>
      <c r="R772" s="411"/>
      <c r="S772" s="413"/>
      <c r="T772" s="414">
        <f t="shared" si="107"/>
        <v>0</v>
      </c>
      <c r="Y772" s="439">
        <f t="shared" si="105"/>
        <v>0</v>
      </c>
      <c r="Z772" s="439">
        <f t="shared" si="106"/>
        <v>0</v>
      </c>
    </row>
    <row r="773" spans="1:26">
      <c r="A773" s="453">
        <f t="shared" si="108"/>
        <v>1.1100000000000001</v>
      </c>
      <c r="B773" s="383">
        <v>15</v>
      </c>
      <c r="D773" s="406"/>
      <c r="E773" s="407"/>
      <c r="F773" s="407"/>
      <c r="G773" s="407"/>
      <c r="H773" s="407"/>
      <c r="I773" s="407"/>
      <c r="J773" s="408" t="s">
        <v>418</v>
      </c>
      <c r="K773" s="409" t="str">
        <f t="shared" si="104"/>
        <v>A=(Ancho x Largo)* Cant</v>
      </c>
      <c r="L773" s="410" t="str">
        <f t="shared" si="109"/>
        <v>M2</v>
      </c>
      <c r="M773" s="411">
        <f>+HLOOKUP(B773,[238]Hoja1!$2:$78,15,FALSE)</f>
        <v>0</v>
      </c>
      <c r="N773" s="412"/>
      <c r="O773" s="442"/>
      <c r="P773" s="442"/>
      <c r="Q773" s="449"/>
      <c r="R773" s="411"/>
      <c r="S773" s="413"/>
      <c r="T773" s="414">
        <f t="shared" si="107"/>
        <v>0</v>
      </c>
      <c r="Y773" s="439">
        <f t="shared" si="105"/>
        <v>0</v>
      </c>
      <c r="Z773" s="439">
        <f t="shared" si="106"/>
        <v>0</v>
      </c>
    </row>
    <row r="774" spans="1:26">
      <c r="A774" s="453">
        <f t="shared" si="108"/>
        <v>1.1100000000000001</v>
      </c>
      <c r="B774" s="383">
        <v>16</v>
      </c>
      <c r="D774" s="406"/>
      <c r="E774" s="407"/>
      <c r="F774" s="407"/>
      <c r="G774" s="407"/>
      <c r="H774" s="407"/>
      <c r="I774" s="407"/>
      <c r="J774" s="408" t="s">
        <v>419</v>
      </c>
      <c r="K774" s="409" t="str">
        <f t="shared" si="104"/>
        <v>A=(Ancho x Largo)* Cant</v>
      </c>
      <c r="L774" s="410" t="str">
        <f t="shared" si="109"/>
        <v>M2</v>
      </c>
      <c r="M774" s="411">
        <f>+HLOOKUP(B774,[238]Hoja1!$2:$78,15,FALSE)</f>
        <v>0</v>
      </c>
      <c r="N774" s="412"/>
      <c r="O774" s="442"/>
      <c r="P774" s="442"/>
      <c r="Q774" s="449"/>
      <c r="R774" s="411"/>
      <c r="S774" s="413"/>
      <c r="T774" s="414">
        <f t="shared" si="107"/>
        <v>0</v>
      </c>
      <c r="Y774" s="439">
        <f t="shared" si="105"/>
        <v>0</v>
      </c>
      <c r="Z774" s="439">
        <f t="shared" si="106"/>
        <v>0</v>
      </c>
    </row>
    <row r="775" spans="1:26">
      <c r="A775" s="453">
        <f t="shared" si="108"/>
        <v>1.1100000000000001</v>
      </c>
      <c r="B775" s="383">
        <v>17</v>
      </c>
      <c r="D775" s="406"/>
      <c r="E775" s="407"/>
      <c r="F775" s="407"/>
      <c r="G775" s="407"/>
      <c r="H775" s="407"/>
      <c r="I775" s="407"/>
      <c r="J775" s="408" t="s">
        <v>420</v>
      </c>
      <c r="K775" s="409" t="str">
        <f t="shared" si="104"/>
        <v>A=(Ancho x Largo)* Cant</v>
      </c>
      <c r="L775" s="410" t="str">
        <f t="shared" si="109"/>
        <v>M2</v>
      </c>
      <c r="M775" s="411">
        <f>+HLOOKUP(B775,[238]Hoja1!$2:$78,15,FALSE)</f>
        <v>0</v>
      </c>
      <c r="N775" s="412"/>
      <c r="O775" s="442"/>
      <c r="P775" s="442"/>
      <c r="Q775" s="412"/>
      <c r="R775" s="411"/>
      <c r="S775" s="413"/>
      <c r="T775" s="414">
        <f t="shared" si="107"/>
        <v>0</v>
      </c>
      <c r="Y775" s="439">
        <f t="shared" si="105"/>
        <v>0</v>
      </c>
      <c r="Z775" s="439">
        <f t="shared" si="106"/>
        <v>0</v>
      </c>
    </row>
    <row r="776" spans="1:26">
      <c r="A776" s="453">
        <f t="shared" si="108"/>
        <v>1.1100000000000001</v>
      </c>
      <c r="B776" s="383">
        <v>18</v>
      </c>
      <c r="D776" s="406"/>
      <c r="E776" s="407"/>
      <c r="F776" s="407"/>
      <c r="G776" s="407"/>
      <c r="H776" s="407"/>
      <c r="I776" s="407"/>
      <c r="J776" s="408" t="s">
        <v>429</v>
      </c>
      <c r="K776" s="409" t="str">
        <f t="shared" si="104"/>
        <v>A=(Ancho x Largo)* Cant</v>
      </c>
      <c r="L776" s="410" t="str">
        <f t="shared" si="109"/>
        <v>M2</v>
      </c>
      <c r="M776" s="411">
        <f>+HLOOKUP(B776,[238]Hoja1!$2:$78,15,FALSE)</f>
        <v>5.94</v>
      </c>
      <c r="N776" s="412"/>
      <c r="O776" s="442">
        <v>3</v>
      </c>
      <c r="P776" s="442">
        <f>+M776/3</f>
        <v>1.9800000000000002</v>
      </c>
      <c r="Q776" s="412"/>
      <c r="R776" s="411"/>
      <c r="S776" s="413">
        <v>1</v>
      </c>
      <c r="T776" s="414">
        <f t="shared" si="107"/>
        <v>5.94</v>
      </c>
      <c r="Y776" s="439">
        <f>+O776*P776</f>
        <v>5.94</v>
      </c>
      <c r="Z776" s="439">
        <f t="shared" ref="Z776" si="110">+Y776-M776</f>
        <v>0</v>
      </c>
    </row>
    <row r="777" spans="1:26">
      <c r="A777" s="453">
        <f t="shared" si="108"/>
        <v>1.1100000000000001</v>
      </c>
      <c r="B777" s="383">
        <v>19</v>
      </c>
      <c r="D777" s="406"/>
      <c r="E777" s="407"/>
      <c r="F777" s="407"/>
      <c r="G777" s="407"/>
      <c r="H777" s="407"/>
      <c r="I777" s="407"/>
      <c r="J777" s="408" t="s">
        <v>430</v>
      </c>
      <c r="K777" s="409" t="str">
        <f t="shared" si="104"/>
        <v>A=(Ancho x Largo)* Cant</v>
      </c>
      <c r="L777" s="410" t="str">
        <f t="shared" si="109"/>
        <v>M2</v>
      </c>
      <c r="M777" s="411">
        <f>+HLOOKUP(B777,[238]Hoja1!$2:$78,15,FALSE)</f>
        <v>0</v>
      </c>
      <c r="N777" s="412"/>
      <c r="O777" s="442"/>
      <c r="P777" s="442"/>
      <c r="Q777" s="412"/>
      <c r="R777" s="411"/>
      <c r="S777" s="413"/>
      <c r="T777" s="414">
        <f t="shared" si="107"/>
        <v>0</v>
      </c>
      <c r="Y777" s="439">
        <f t="shared" ref="Y777:Y801" si="111">+O777*P777</f>
        <v>0</v>
      </c>
      <c r="Z777" s="439">
        <f t="shared" ref="Z777:Z801" si="112">+Y777-M777</f>
        <v>0</v>
      </c>
    </row>
    <row r="778" spans="1:26">
      <c r="A778" s="453">
        <f t="shared" si="108"/>
        <v>1.1100000000000001</v>
      </c>
      <c r="B778" s="383">
        <v>20</v>
      </c>
      <c r="D778" s="406"/>
      <c r="E778" s="407"/>
      <c r="F778" s="407"/>
      <c r="G778" s="407"/>
      <c r="H778" s="407"/>
      <c r="I778" s="407"/>
      <c r="J778" s="408" t="s">
        <v>431</v>
      </c>
      <c r="K778" s="409" t="str">
        <f t="shared" si="104"/>
        <v>A=(Ancho x Largo)* Cant</v>
      </c>
      <c r="L778" s="410" t="str">
        <f t="shared" si="109"/>
        <v>M2</v>
      </c>
      <c r="M778" s="411">
        <f>+HLOOKUP(B778,[238]Hoja1!$2:$78,15,FALSE)</f>
        <v>9.3000000000000007</v>
      </c>
      <c r="N778" s="412"/>
      <c r="O778" s="442">
        <f>+M778/3.15</f>
        <v>2.9523809523809526</v>
      </c>
      <c r="P778" s="442">
        <v>3.15</v>
      </c>
      <c r="Q778" s="412"/>
      <c r="R778" s="411"/>
      <c r="S778" s="413">
        <v>1</v>
      </c>
      <c r="T778" s="414">
        <f t="shared" si="107"/>
        <v>9.3000000000000007</v>
      </c>
      <c r="Y778" s="439">
        <f t="shared" si="111"/>
        <v>9.3000000000000007</v>
      </c>
      <c r="Z778" s="439">
        <f t="shared" si="112"/>
        <v>0</v>
      </c>
    </row>
    <row r="779" spans="1:26">
      <c r="A779" s="453">
        <f t="shared" si="108"/>
        <v>1.1100000000000001</v>
      </c>
      <c r="B779" s="383">
        <v>21</v>
      </c>
      <c r="D779" s="406"/>
      <c r="E779" s="407"/>
      <c r="F779" s="407"/>
      <c r="G779" s="407"/>
      <c r="H779" s="407"/>
      <c r="I779" s="407"/>
      <c r="J779" s="408" t="s">
        <v>432</v>
      </c>
      <c r="K779" s="409" t="str">
        <f t="shared" si="104"/>
        <v>A=(Ancho x Largo)* Cant</v>
      </c>
      <c r="L779" s="410" t="str">
        <f t="shared" si="109"/>
        <v>M2</v>
      </c>
      <c r="M779" s="411">
        <f>+HLOOKUP(B779,[238]Hoja1!$2:$78,15,FALSE)</f>
        <v>0</v>
      </c>
      <c r="N779" s="412"/>
      <c r="O779" s="442"/>
      <c r="P779" s="442"/>
      <c r="Q779" s="412"/>
      <c r="R779" s="411"/>
      <c r="S779" s="413"/>
      <c r="T779" s="414">
        <f t="shared" si="107"/>
        <v>0</v>
      </c>
      <c r="Y779" s="439">
        <f t="shared" si="111"/>
        <v>0</v>
      </c>
      <c r="Z779" s="439">
        <f t="shared" si="112"/>
        <v>0</v>
      </c>
    </row>
    <row r="780" spans="1:26">
      <c r="A780" s="453">
        <f t="shared" si="108"/>
        <v>1.1100000000000001</v>
      </c>
      <c r="B780" s="383">
        <v>22</v>
      </c>
      <c r="D780" s="406"/>
      <c r="E780" s="407"/>
      <c r="F780" s="407"/>
      <c r="G780" s="407"/>
      <c r="H780" s="407"/>
      <c r="I780" s="407"/>
      <c r="J780" s="408" t="s">
        <v>433</v>
      </c>
      <c r="K780" s="409" t="str">
        <f t="shared" si="104"/>
        <v>A=(Ancho x Largo)* Cant</v>
      </c>
      <c r="L780" s="410" t="str">
        <f t="shared" si="109"/>
        <v>M2</v>
      </c>
      <c r="M780" s="411">
        <f>+HLOOKUP(B780,[238]Hoja1!$2:$78,15,FALSE)</f>
        <v>0</v>
      </c>
      <c r="N780" s="412"/>
      <c r="O780" s="442"/>
      <c r="P780" s="442"/>
      <c r="Q780" s="412"/>
      <c r="R780" s="411"/>
      <c r="S780" s="413"/>
      <c r="T780" s="414">
        <f t="shared" si="107"/>
        <v>0</v>
      </c>
      <c r="Y780" s="439">
        <f t="shared" si="111"/>
        <v>0</v>
      </c>
      <c r="Z780" s="439">
        <f t="shared" si="112"/>
        <v>0</v>
      </c>
    </row>
    <row r="781" spans="1:26">
      <c r="A781" s="453">
        <f t="shared" si="108"/>
        <v>1.1100000000000001</v>
      </c>
      <c r="B781" s="383">
        <v>23</v>
      </c>
      <c r="D781" s="406"/>
      <c r="E781" s="407"/>
      <c r="F781" s="407"/>
      <c r="G781" s="407"/>
      <c r="H781" s="407"/>
      <c r="I781" s="407"/>
      <c r="J781" s="408" t="s">
        <v>434</v>
      </c>
      <c r="K781" s="409" t="str">
        <f t="shared" si="104"/>
        <v>A=(Ancho x Largo)* Cant</v>
      </c>
      <c r="L781" s="410" t="str">
        <f t="shared" si="109"/>
        <v>M2</v>
      </c>
      <c r="M781" s="411">
        <f>+HLOOKUP(B781,[238]Hoja1!$2:$78,15,FALSE)</f>
        <v>0</v>
      </c>
      <c r="N781" s="412"/>
      <c r="O781" s="441"/>
      <c r="P781" s="441"/>
      <c r="Q781" s="412"/>
      <c r="R781" s="411"/>
      <c r="S781" s="413"/>
      <c r="T781" s="414">
        <f t="shared" si="107"/>
        <v>0</v>
      </c>
      <c r="Y781" s="439">
        <f t="shared" si="111"/>
        <v>0</v>
      </c>
      <c r="Z781" s="439">
        <f t="shared" si="112"/>
        <v>0</v>
      </c>
    </row>
    <row r="782" spans="1:26">
      <c r="A782" s="453">
        <f t="shared" si="108"/>
        <v>1.1100000000000001</v>
      </c>
      <c r="B782" s="383">
        <v>24</v>
      </c>
      <c r="D782" s="406"/>
      <c r="E782" s="407"/>
      <c r="F782" s="407"/>
      <c r="G782" s="407"/>
      <c r="H782" s="407"/>
      <c r="I782" s="407"/>
      <c r="J782" s="408" t="s">
        <v>435</v>
      </c>
      <c r="K782" s="409" t="str">
        <f t="shared" si="104"/>
        <v>A=(Ancho x Largo)* Cant</v>
      </c>
      <c r="L782" s="410" t="str">
        <f t="shared" si="109"/>
        <v>M2</v>
      </c>
      <c r="M782" s="411">
        <f>+HLOOKUP(B782,[238]Hoja1!$2:$78,15,FALSE)</f>
        <v>0</v>
      </c>
      <c r="N782" s="412"/>
      <c r="O782" s="442"/>
      <c r="P782" s="442"/>
      <c r="Q782" s="413"/>
      <c r="R782" s="411"/>
      <c r="S782" s="413"/>
      <c r="T782" s="414">
        <f t="shared" si="107"/>
        <v>0</v>
      </c>
      <c r="Y782" s="439">
        <f t="shared" si="111"/>
        <v>0</v>
      </c>
      <c r="Z782" s="439">
        <f t="shared" si="112"/>
        <v>0</v>
      </c>
    </row>
    <row r="783" spans="1:26">
      <c r="A783" s="453">
        <f t="shared" si="108"/>
        <v>1.1100000000000001</v>
      </c>
      <c r="B783" s="383">
        <v>25</v>
      </c>
      <c r="D783" s="406"/>
      <c r="E783" s="407"/>
      <c r="F783" s="407"/>
      <c r="G783" s="407"/>
      <c r="H783" s="407"/>
      <c r="I783" s="407"/>
      <c r="J783" s="408" t="s">
        <v>436</v>
      </c>
      <c r="K783" s="409" t="str">
        <f t="shared" si="104"/>
        <v>A=(Ancho x Largo)* Cant</v>
      </c>
      <c r="L783" s="410" t="str">
        <f t="shared" si="109"/>
        <v>M2</v>
      </c>
      <c r="M783" s="411">
        <f>+HLOOKUP(B783,[238]Hoja1!$2:$78,15,FALSE)</f>
        <v>0</v>
      </c>
      <c r="N783" s="412"/>
      <c r="O783" s="442"/>
      <c r="P783" s="442"/>
      <c r="Q783" s="412"/>
      <c r="R783" s="411"/>
      <c r="S783" s="413"/>
      <c r="T783" s="414">
        <f t="shared" si="107"/>
        <v>0</v>
      </c>
      <c r="Y783" s="439">
        <f t="shared" si="111"/>
        <v>0</v>
      </c>
      <c r="Z783" s="439">
        <f t="shared" si="112"/>
        <v>0</v>
      </c>
    </row>
    <row r="784" spans="1:26">
      <c r="A784" s="453">
        <f t="shared" si="108"/>
        <v>1.1100000000000001</v>
      </c>
      <c r="B784" s="383">
        <v>26</v>
      </c>
      <c r="D784" s="406"/>
      <c r="E784" s="407"/>
      <c r="F784" s="407"/>
      <c r="G784" s="407"/>
      <c r="H784" s="407"/>
      <c r="I784" s="407"/>
      <c r="J784" s="408" t="s">
        <v>437</v>
      </c>
      <c r="K784" s="409" t="str">
        <f t="shared" si="104"/>
        <v>A=(Ancho x Largo)* Cant</v>
      </c>
      <c r="L784" s="410" t="str">
        <f>+L773</f>
        <v>M2</v>
      </c>
      <c r="M784" s="411">
        <f>+HLOOKUP(B784,[238]Hoja1!$2:$78,15,FALSE)</f>
        <v>0</v>
      </c>
      <c r="N784" s="412"/>
      <c r="O784" s="442"/>
      <c r="P784" s="442"/>
      <c r="Q784" s="412"/>
      <c r="R784" s="411"/>
      <c r="S784" s="413"/>
      <c r="T784" s="414">
        <f t="shared" si="107"/>
        <v>0</v>
      </c>
      <c r="Y784" s="439">
        <f t="shared" si="111"/>
        <v>0</v>
      </c>
      <c r="Z784" s="439">
        <f t="shared" si="112"/>
        <v>0</v>
      </c>
    </row>
    <row r="785" spans="1:26">
      <c r="A785" s="453">
        <f t="shared" si="108"/>
        <v>1.1100000000000001</v>
      </c>
      <c r="B785" s="383">
        <v>27</v>
      </c>
      <c r="D785" s="406"/>
      <c r="E785" s="407"/>
      <c r="F785" s="407"/>
      <c r="G785" s="407"/>
      <c r="H785" s="407"/>
      <c r="I785" s="407"/>
      <c r="J785" s="408" t="s">
        <v>438</v>
      </c>
      <c r="K785" s="409" t="str">
        <f t="shared" si="104"/>
        <v>A=(Ancho x Largo)* Cant</v>
      </c>
      <c r="L785" s="410" t="str">
        <f t="shared" ref="L785:L793" si="113">+L784</f>
        <v>M2</v>
      </c>
      <c r="M785" s="411">
        <f>+HLOOKUP(B785,[238]Hoja1!$2:$78,15,FALSE)</f>
        <v>0</v>
      </c>
      <c r="N785" s="412"/>
      <c r="O785" s="442"/>
      <c r="P785" s="442"/>
      <c r="Q785" s="412"/>
      <c r="R785" s="411"/>
      <c r="S785" s="413"/>
      <c r="T785" s="414">
        <f t="shared" si="107"/>
        <v>0</v>
      </c>
      <c r="Y785" s="439">
        <f t="shared" si="111"/>
        <v>0</v>
      </c>
      <c r="Z785" s="439">
        <f t="shared" si="112"/>
        <v>0</v>
      </c>
    </row>
    <row r="786" spans="1:26">
      <c r="A786" s="453">
        <f t="shared" si="108"/>
        <v>1.1100000000000001</v>
      </c>
      <c r="B786" s="383">
        <v>28</v>
      </c>
      <c r="D786" s="406"/>
      <c r="E786" s="440"/>
      <c r="F786" s="407"/>
      <c r="G786" s="407"/>
      <c r="H786" s="407"/>
      <c r="I786" s="437"/>
      <c r="J786" s="408" t="s">
        <v>439</v>
      </c>
      <c r="K786" s="409" t="str">
        <f t="shared" si="104"/>
        <v>A=(Ancho x Largo)* Cant</v>
      </c>
      <c r="L786" s="410" t="str">
        <f t="shared" si="113"/>
        <v>M2</v>
      </c>
      <c r="M786" s="411">
        <f>+HLOOKUP(B786,[238]Hoja1!$2:$78,15,FALSE)</f>
        <v>0</v>
      </c>
      <c r="N786" s="412"/>
      <c r="O786" s="442"/>
      <c r="P786" s="442"/>
      <c r="Q786" s="413"/>
      <c r="R786" s="411"/>
      <c r="S786" s="413"/>
      <c r="T786" s="414">
        <f t="shared" si="107"/>
        <v>0</v>
      </c>
      <c r="Y786" s="439">
        <f t="shared" si="111"/>
        <v>0</v>
      </c>
      <c r="Z786" s="439">
        <f t="shared" si="112"/>
        <v>0</v>
      </c>
    </row>
    <row r="787" spans="1:26">
      <c r="A787" s="453">
        <f t="shared" si="108"/>
        <v>1.1100000000000001</v>
      </c>
      <c r="B787" s="383">
        <v>29</v>
      </c>
      <c r="D787" s="406"/>
      <c r="E787" s="407"/>
      <c r="F787" s="407"/>
      <c r="G787" s="407"/>
      <c r="H787" s="407"/>
      <c r="I787" s="407"/>
      <c r="J787" s="408" t="s">
        <v>440</v>
      </c>
      <c r="K787" s="409" t="str">
        <f t="shared" si="104"/>
        <v>A=(Ancho x Largo)* Cant</v>
      </c>
      <c r="L787" s="410" t="str">
        <f t="shared" si="113"/>
        <v>M2</v>
      </c>
      <c r="M787" s="411">
        <f>+HLOOKUP(B787,[238]Hoja1!$2:$78,15,FALSE)</f>
        <v>0</v>
      </c>
      <c r="N787" s="412"/>
      <c r="O787" s="443"/>
      <c r="P787" s="443"/>
      <c r="Q787" s="412"/>
      <c r="R787" s="411"/>
      <c r="S787" s="413"/>
      <c r="T787" s="414">
        <f t="shared" si="107"/>
        <v>0</v>
      </c>
      <c r="Y787" s="439">
        <f t="shared" si="111"/>
        <v>0</v>
      </c>
      <c r="Z787" s="439">
        <f t="shared" si="112"/>
        <v>0</v>
      </c>
    </row>
    <row r="788" spans="1:26">
      <c r="A788" s="453">
        <f t="shared" si="108"/>
        <v>1.1100000000000001</v>
      </c>
      <c r="B788" s="383">
        <v>30</v>
      </c>
      <c r="D788" s="406"/>
      <c r="E788" s="407"/>
      <c r="F788" s="407"/>
      <c r="G788" s="407"/>
      <c r="H788" s="407"/>
      <c r="I788" s="407"/>
      <c r="J788" s="408" t="s">
        <v>441</v>
      </c>
      <c r="K788" s="409" t="str">
        <f t="shared" si="104"/>
        <v>A=(Ancho x Largo)* Cant</v>
      </c>
      <c r="L788" s="410" t="str">
        <f t="shared" si="113"/>
        <v>M2</v>
      </c>
      <c r="M788" s="411">
        <f>+HLOOKUP(B788,[238]Hoja1!$2:$78,15,FALSE)</f>
        <v>9.3000000000000007</v>
      </c>
      <c r="N788" s="412"/>
      <c r="O788" s="442">
        <f>+M788/3.15</f>
        <v>2.9523809523809526</v>
      </c>
      <c r="P788" s="442">
        <v>3.15</v>
      </c>
      <c r="Q788" s="412"/>
      <c r="R788" s="411"/>
      <c r="S788" s="413">
        <v>1</v>
      </c>
      <c r="T788" s="414">
        <f t="shared" si="107"/>
        <v>9.3000000000000007</v>
      </c>
      <c r="Y788" s="439">
        <f t="shared" si="111"/>
        <v>9.3000000000000007</v>
      </c>
      <c r="Z788" s="439">
        <f t="shared" si="112"/>
        <v>0</v>
      </c>
    </row>
    <row r="789" spans="1:26">
      <c r="A789" s="453">
        <f t="shared" si="108"/>
        <v>1.1100000000000001</v>
      </c>
      <c r="B789" s="383">
        <v>31</v>
      </c>
      <c r="D789" s="406"/>
      <c r="E789" s="407"/>
      <c r="F789" s="407"/>
      <c r="G789" s="407"/>
      <c r="H789" s="407"/>
      <c r="I789" s="407"/>
      <c r="J789" s="408" t="s">
        <v>442</v>
      </c>
      <c r="K789" s="409" t="str">
        <f t="shared" si="104"/>
        <v>A=(Ancho x Largo)* Cant</v>
      </c>
      <c r="L789" s="410" t="str">
        <f t="shared" si="113"/>
        <v>M2</v>
      </c>
      <c r="M789" s="411">
        <f>+HLOOKUP(B789,[238]Hoja1!$2:$78,15,FALSE)</f>
        <v>0</v>
      </c>
      <c r="N789" s="412"/>
      <c r="O789" s="442"/>
      <c r="P789" s="442"/>
      <c r="Q789" s="413"/>
      <c r="R789" s="411"/>
      <c r="S789" s="413"/>
      <c r="T789" s="414">
        <f t="shared" si="107"/>
        <v>0</v>
      </c>
      <c r="Y789" s="439">
        <f t="shared" si="111"/>
        <v>0</v>
      </c>
      <c r="Z789" s="439">
        <f t="shared" si="112"/>
        <v>0</v>
      </c>
    </row>
    <row r="790" spans="1:26">
      <c r="A790" s="453">
        <f t="shared" si="108"/>
        <v>1.1100000000000001</v>
      </c>
      <c r="B790" s="383">
        <v>32</v>
      </c>
      <c r="D790" s="406"/>
      <c r="E790" s="407"/>
      <c r="F790" s="407"/>
      <c r="G790" s="407"/>
      <c r="H790" s="407"/>
      <c r="I790" s="407"/>
      <c r="J790" s="408" t="s">
        <v>443</v>
      </c>
      <c r="K790" s="409" t="str">
        <f t="shared" si="104"/>
        <v>A=(Ancho x Largo)* Cant</v>
      </c>
      <c r="L790" s="410" t="str">
        <f t="shared" si="113"/>
        <v>M2</v>
      </c>
      <c r="M790" s="411">
        <f>+HLOOKUP(B790,[238]Hoja1!$2:$78,15,FALSE)</f>
        <v>0</v>
      </c>
      <c r="N790" s="412"/>
      <c r="O790" s="442"/>
      <c r="P790" s="442"/>
      <c r="Q790" s="412"/>
      <c r="R790" s="411"/>
      <c r="S790" s="413"/>
      <c r="T790" s="414">
        <f t="shared" si="107"/>
        <v>0</v>
      </c>
      <c r="Y790" s="439">
        <f t="shared" si="111"/>
        <v>0</v>
      </c>
      <c r="Z790" s="439">
        <f t="shared" si="112"/>
        <v>0</v>
      </c>
    </row>
    <row r="791" spans="1:26">
      <c r="A791" s="453">
        <f t="shared" si="108"/>
        <v>1.1100000000000001</v>
      </c>
      <c r="B791" s="383">
        <v>33</v>
      </c>
      <c r="D791" s="406"/>
      <c r="E791" s="407"/>
      <c r="F791" s="407"/>
      <c r="G791" s="407"/>
      <c r="H791" s="407"/>
      <c r="I791" s="407"/>
      <c r="J791" s="408" t="s">
        <v>444</v>
      </c>
      <c r="K791" s="409" t="str">
        <f t="shared" si="104"/>
        <v>A=(Ancho x Largo)* Cant</v>
      </c>
      <c r="L791" s="410" t="str">
        <f t="shared" si="113"/>
        <v>M2</v>
      </c>
      <c r="M791" s="411">
        <f>+HLOOKUP(B791,[238]Hoja1!$2:$78,15,FALSE)</f>
        <v>0</v>
      </c>
      <c r="N791" s="412"/>
      <c r="O791" s="442"/>
      <c r="P791" s="442"/>
      <c r="Q791" s="412"/>
      <c r="R791" s="411"/>
      <c r="S791" s="413"/>
      <c r="T791" s="414">
        <f t="shared" si="107"/>
        <v>0</v>
      </c>
      <c r="Y791" s="439">
        <f t="shared" si="111"/>
        <v>0</v>
      </c>
      <c r="Z791" s="439">
        <f t="shared" si="112"/>
        <v>0</v>
      </c>
    </row>
    <row r="792" spans="1:26">
      <c r="A792" s="453">
        <f t="shared" si="108"/>
        <v>1.1100000000000001</v>
      </c>
      <c r="B792" s="383">
        <v>34</v>
      </c>
      <c r="D792" s="406"/>
      <c r="E792" s="407"/>
      <c r="F792" s="407"/>
      <c r="G792" s="407"/>
      <c r="H792" s="407"/>
      <c r="I792" s="407"/>
      <c r="J792" s="408" t="s">
        <v>445</v>
      </c>
      <c r="K792" s="409" t="str">
        <f t="shared" si="104"/>
        <v>A=(Ancho x Largo)* Cant</v>
      </c>
      <c r="L792" s="410" t="str">
        <f t="shared" si="113"/>
        <v>M2</v>
      </c>
      <c r="M792" s="411">
        <f>+HLOOKUP(B792,[238]Hoja1!$2:$78,15,FALSE)</f>
        <v>0</v>
      </c>
      <c r="N792" s="412"/>
      <c r="O792" s="441"/>
      <c r="P792" s="441"/>
      <c r="Q792" s="412"/>
      <c r="R792" s="411"/>
      <c r="S792" s="413"/>
      <c r="T792" s="414">
        <f t="shared" si="107"/>
        <v>0</v>
      </c>
      <c r="Y792" s="439">
        <f t="shared" si="111"/>
        <v>0</v>
      </c>
      <c r="Z792" s="439">
        <f t="shared" si="112"/>
        <v>0</v>
      </c>
    </row>
    <row r="793" spans="1:26">
      <c r="A793" s="453">
        <f t="shared" si="108"/>
        <v>1.1100000000000001</v>
      </c>
      <c r="B793" s="383">
        <v>35</v>
      </c>
      <c r="D793" s="406"/>
      <c r="E793" s="440"/>
      <c r="F793" s="407"/>
      <c r="G793" s="407"/>
      <c r="H793" s="407"/>
      <c r="I793" s="437"/>
      <c r="J793" s="408" t="s">
        <v>446</v>
      </c>
      <c r="K793" s="409" t="str">
        <f t="shared" si="104"/>
        <v>A=(Ancho x Largo)* Cant</v>
      </c>
      <c r="L793" s="410" t="str">
        <f t="shared" si="113"/>
        <v>M2</v>
      </c>
      <c r="M793" s="411">
        <f>+HLOOKUP(B793,[238]Hoja1!$2:$78,15,FALSE)</f>
        <v>0</v>
      </c>
      <c r="N793" s="412"/>
      <c r="O793" s="442"/>
      <c r="P793" s="442"/>
      <c r="Q793" s="413"/>
      <c r="R793" s="411"/>
      <c r="S793" s="413"/>
      <c r="T793" s="414">
        <f t="shared" si="107"/>
        <v>0</v>
      </c>
      <c r="Y793" s="439">
        <f t="shared" si="111"/>
        <v>0</v>
      </c>
      <c r="Z793" s="439">
        <f t="shared" si="112"/>
        <v>0</v>
      </c>
    </row>
    <row r="794" spans="1:26">
      <c r="A794" s="453">
        <f t="shared" si="108"/>
        <v>1.1100000000000001</v>
      </c>
      <c r="B794" s="383">
        <v>36</v>
      </c>
      <c r="D794" s="406"/>
      <c r="E794" s="407"/>
      <c r="F794" s="407"/>
      <c r="G794" s="407"/>
      <c r="H794" s="407"/>
      <c r="I794" s="407"/>
      <c r="J794" s="408" t="s">
        <v>447</v>
      </c>
      <c r="K794" s="409" t="str">
        <f t="shared" si="104"/>
        <v>A=(Ancho x Largo)* Cant</v>
      </c>
      <c r="L794" s="410" t="str">
        <f>+L783</f>
        <v>M2</v>
      </c>
      <c r="M794" s="411">
        <f>+HLOOKUP(B794,[238]Hoja1!$2:$78,15,FALSE)</f>
        <v>0</v>
      </c>
      <c r="N794" s="412"/>
      <c r="O794" s="442"/>
      <c r="P794" s="442"/>
      <c r="Q794" s="412"/>
      <c r="R794" s="411"/>
      <c r="S794" s="413"/>
      <c r="T794" s="414">
        <f t="shared" si="107"/>
        <v>0</v>
      </c>
      <c r="Y794" s="439">
        <f t="shared" si="111"/>
        <v>0</v>
      </c>
      <c r="Z794" s="439">
        <f t="shared" si="112"/>
        <v>0</v>
      </c>
    </row>
    <row r="795" spans="1:26">
      <c r="A795" s="453">
        <f t="shared" si="108"/>
        <v>1.1100000000000001</v>
      </c>
      <c r="B795" s="383">
        <v>37</v>
      </c>
      <c r="D795" s="406"/>
      <c r="E795" s="407"/>
      <c r="F795" s="407"/>
      <c r="G795" s="407"/>
      <c r="H795" s="407"/>
      <c r="I795" s="407"/>
      <c r="J795" s="408" t="s">
        <v>448</v>
      </c>
      <c r="K795" s="409" t="str">
        <f t="shared" si="104"/>
        <v>A=(Ancho x Largo)* Cant</v>
      </c>
      <c r="L795" s="410" t="str">
        <f t="shared" ref="L795:L801" si="114">+L794</f>
        <v>M2</v>
      </c>
      <c r="M795" s="411">
        <f>+HLOOKUP(B795,[238]Hoja1!$2:$78,15,FALSE)</f>
        <v>0</v>
      </c>
      <c r="N795" s="412"/>
      <c r="O795" s="441"/>
      <c r="P795" s="441"/>
      <c r="Q795" s="449"/>
      <c r="R795" s="411"/>
      <c r="S795" s="413"/>
      <c r="T795" s="414">
        <f t="shared" si="107"/>
        <v>0</v>
      </c>
      <c r="Y795" s="439">
        <f t="shared" si="111"/>
        <v>0</v>
      </c>
      <c r="Z795" s="439">
        <f t="shared" si="112"/>
        <v>0</v>
      </c>
    </row>
    <row r="796" spans="1:26">
      <c r="A796" s="453">
        <f t="shared" si="108"/>
        <v>1.1100000000000001</v>
      </c>
      <c r="B796" s="383">
        <v>38</v>
      </c>
      <c r="D796" s="406"/>
      <c r="E796" s="440"/>
      <c r="F796" s="407"/>
      <c r="G796" s="407"/>
      <c r="H796" s="407"/>
      <c r="I796" s="437"/>
      <c r="J796" s="408" t="s">
        <v>449</v>
      </c>
      <c r="K796" s="409" t="str">
        <f t="shared" si="104"/>
        <v>A=(Ancho x Largo)* Cant</v>
      </c>
      <c r="L796" s="410" t="str">
        <f t="shared" si="114"/>
        <v>M2</v>
      </c>
      <c r="M796" s="411">
        <f>+HLOOKUP(B796,[238]Hoja1!$2:$78,15,FALSE)</f>
        <v>0</v>
      </c>
      <c r="N796" s="412"/>
      <c r="O796" s="442"/>
      <c r="P796" s="442"/>
      <c r="Q796" s="413"/>
      <c r="R796" s="411"/>
      <c r="S796" s="413"/>
      <c r="T796" s="414">
        <f t="shared" si="107"/>
        <v>0</v>
      </c>
      <c r="Y796" s="439">
        <f t="shared" si="111"/>
        <v>0</v>
      </c>
      <c r="Z796" s="439">
        <f t="shared" si="112"/>
        <v>0</v>
      </c>
    </row>
    <row r="797" spans="1:26">
      <c r="A797" s="453">
        <f t="shared" si="108"/>
        <v>1.1100000000000001</v>
      </c>
      <c r="B797" s="383">
        <v>39</v>
      </c>
      <c r="D797" s="406"/>
      <c r="E797" s="407"/>
      <c r="F797" s="407"/>
      <c r="G797" s="407"/>
      <c r="H797" s="407"/>
      <c r="I797" s="407"/>
      <c r="J797" s="408" t="s">
        <v>450</v>
      </c>
      <c r="K797" s="409" t="str">
        <f t="shared" si="104"/>
        <v>A=(Ancho x Largo)* Cant</v>
      </c>
      <c r="L797" s="410" t="str">
        <f t="shared" si="114"/>
        <v>M2</v>
      </c>
      <c r="M797" s="411">
        <f>+HLOOKUP(B797,[238]Hoja1!$2:$78,15,FALSE)</f>
        <v>0</v>
      </c>
      <c r="N797" s="412"/>
      <c r="O797" s="441"/>
      <c r="P797" s="441"/>
      <c r="Q797" s="412"/>
      <c r="R797" s="411"/>
      <c r="S797" s="413"/>
      <c r="T797" s="414">
        <f t="shared" si="107"/>
        <v>0</v>
      </c>
      <c r="Y797" s="439">
        <f t="shared" si="111"/>
        <v>0</v>
      </c>
      <c r="Z797" s="439">
        <f t="shared" si="112"/>
        <v>0</v>
      </c>
    </row>
    <row r="798" spans="1:26">
      <c r="A798" s="453">
        <f t="shared" si="108"/>
        <v>1.1100000000000001</v>
      </c>
      <c r="B798" s="383">
        <v>40</v>
      </c>
      <c r="D798" s="406"/>
      <c r="E798" s="407"/>
      <c r="F798" s="407"/>
      <c r="G798" s="407"/>
      <c r="H798" s="407"/>
      <c r="I798" s="407"/>
      <c r="J798" s="408" t="s">
        <v>451</v>
      </c>
      <c r="K798" s="409" t="str">
        <f t="shared" si="104"/>
        <v>A=(Ancho x Largo)* Cant</v>
      </c>
      <c r="L798" s="410" t="str">
        <f t="shared" si="114"/>
        <v>M2</v>
      </c>
      <c r="M798" s="411">
        <f>+HLOOKUP(B798,[238]Hoja1!$2:$78,15,FALSE)</f>
        <v>0</v>
      </c>
      <c r="N798" s="412"/>
      <c r="O798" s="442"/>
      <c r="P798" s="442"/>
      <c r="Q798" s="412"/>
      <c r="R798" s="411"/>
      <c r="S798" s="413"/>
      <c r="T798" s="414">
        <f t="shared" si="107"/>
        <v>0</v>
      </c>
      <c r="Y798" s="439">
        <f t="shared" si="111"/>
        <v>0</v>
      </c>
      <c r="Z798" s="439">
        <f t="shared" si="112"/>
        <v>0</v>
      </c>
    </row>
    <row r="799" spans="1:26">
      <c r="A799" s="453">
        <f t="shared" si="108"/>
        <v>1.1100000000000001</v>
      </c>
      <c r="B799" s="383">
        <v>41</v>
      </c>
      <c r="D799" s="406"/>
      <c r="E799" s="407"/>
      <c r="F799" s="407"/>
      <c r="G799" s="407"/>
      <c r="H799" s="407"/>
      <c r="I799" s="407"/>
      <c r="J799" s="408" t="s">
        <v>452</v>
      </c>
      <c r="K799" s="409" t="str">
        <f t="shared" si="104"/>
        <v>A=(Ancho x Largo)* Cant</v>
      </c>
      <c r="L799" s="410" t="str">
        <f t="shared" si="114"/>
        <v>M2</v>
      </c>
      <c r="M799" s="411">
        <f>+HLOOKUP(B799,[238]Hoja1!$2:$78,15,FALSE)</f>
        <v>0</v>
      </c>
      <c r="N799" s="412"/>
      <c r="O799" s="442"/>
      <c r="P799" s="442"/>
      <c r="Q799" s="413"/>
      <c r="R799" s="411"/>
      <c r="S799" s="413"/>
      <c r="T799" s="414">
        <f t="shared" si="107"/>
        <v>0</v>
      </c>
      <c r="Y799" s="439">
        <f t="shared" si="111"/>
        <v>0</v>
      </c>
      <c r="Z799" s="439">
        <f t="shared" si="112"/>
        <v>0</v>
      </c>
    </row>
    <row r="800" spans="1:26">
      <c r="A800" s="453">
        <f t="shared" si="108"/>
        <v>1.1100000000000001</v>
      </c>
      <c r="B800" s="383">
        <v>42</v>
      </c>
      <c r="D800" s="406"/>
      <c r="E800" s="407"/>
      <c r="F800" s="407"/>
      <c r="G800" s="407"/>
      <c r="H800" s="407"/>
      <c r="I800" s="407"/>
      <c r="J800" s="408" t="s">
        <v>453</v>
      </c>
      <c r="K800" s="409" t="str">
        <f t="shared" si="104"/>
        <v>A=(Ancho x Largo)* Cant</v>
      </c>
      <c r="L800" s="410" t="str">
        <f t="shared" si="114"/>
        <v>M2</v>
      </c>
      <c r="M800" s="411">
        <f>+HLOOKUP(B800,[238]Hoja1!$2:$78,15,FALSE)</f>
        <v>0</v>
      </c>
      <c r="N800" s="412"/>
      <c r="O800" s="442"/>
      <c r="P800" s="442"/>
      <c r="Q800" s="412"/>
      <c r="R800" s="411"/>
      <c r="S800" s="413"/>
      <c r="T800" s="414">
        <f t="shared" si="107"/>
        <v>0</v>
      </c>
      <c r="Y800" s="439">
        <f t="shared" si="111"/>
        <v>0</v>
      </c>
      <c r="Z800" s="439">
        <f t="shared" si="112"/>
        <v>0</v>
      </c>
    </row>
    <row r="801" spans="1:26" ht="13.5" thickBot="1">
      <c r="A801" s="453">
        <f t="shared" si="108"/>
        <v>1.1100000000000001</v>
      </c>
      <c r="B801" s="383">
        <v>43</v>
      </c>
      <c r="D801" s="406"/>
      <c r="E801" s="407"/>
      <c r="F801" s="407"/>
      <c r="G801" s="407"/>
      <c r="H801" s="407"/>
      <c r="I801" s="407"/>
      <c r="J801" s="408" t="s">
        <v>454</v>
      </c>
      <c r="K801" s="409" t="str">
        <f t="shared" si="104"/>
        <v>A=(Ancho x Largo)* Cant</v>
      </c>
      <c r="L801" s="410" t="str">
        <f t="shared" si="114"/>
        <v>M2</v>
      </c>
      <c r="M801" s="411">
        <f>+HLOOKUP(B801,[238]Hoja1!$2:$78,15,FALSE)</f>
        <v>0</v>
      </c>
      <c r="N801" s="412"/>
      <c r="O801" s="442"/>
      <c r="P801" s="442"/>
      <c r="Q801" s="412"/>
      <c r="R801" s="411"/>
      <c r="S801" s="413"/>
      <c r="T801" s="414">
        <f t="shared" si="107"/>
        <v>0</v>
      </c>
      <c r="Y801" s="439">
        <f t="shared" si="111"/>
        <v>0</v>
      </c>
      <c r="Z801" s="439">
        <f t="shared" si="112"/>
        <v>0</v>
      </c>
    </row>
    <row r="802" spans="1:26">
      <c r="D802" s="384"/>
      <c r="E802" s="419"/>
      <c r="F802" s="420"/>
      <c r="G802" s="421"/>
      <c r="H802" s="421"/>
      <c r="I802" s="421"/>
      <c r="J802" s="421"/>
      <c r="K802" s="422"/>
      <c r="L802" s="421"/>
      <c r="M802" s="421"/>
      <c r="N802" s="421"/>
      <c r="O802" s="421"/>
      <c r="P802" s="421"/>
      <c r="Q802" s="421"/>
      <c r="R802" s="421"/>
      <c r="S802" s="422"/>
      <c r="T802" s="423"/>
    </row>
    <row r="803" spans="1:26">
      <c r="D803" s="396"/>
      <c r="E803" s="397"/>
      <c r="F803" s="424"/>
      <c r="G803" s="425"/>
      <c r="H803" s="425"/>
      <c r="I803" s="425"/>
      <c r="J803" s="425"/>
      <c r="K803" s="398"/>
      <c r="L803" s="425"/>
      <c r="M803" s="425"/>
      <c r="N803" s="397"/>
      <c r="O803" s="397"/>
      <c r="P803" s="562" t="s">
        <v>455</v>
      </c>
      <c r="Q803" s="563"/>
      <c r="R803" s="564"/>
      <c r="S803" s="426"/>
      <c r="T803" s="427">
        <f>ROUND(SUM(T759:T802),2)</f>
        <v>24.54</v>
      </c>
    </row>
    <row r="804" spans="1:26">
      <c r="D804" s="396"/>
      <c r="E804" s="397"/>
      <c r="F804" s="424"/>
      <c r="G804" s="425"/>
      <c r="H804" s="425"/>
      <c r="I804" s="425"/>
      <c r="J804" s="425"/>
      <c r="K804" s="398"/>
      <c r="L804" s="425"/>
      <c r="M804" s="425"/>
      <c r="N804" s="428"/>
      <c r="O804" s="428"/>
      <c r="P804" s="429"/>
      <c r="Q804" s="425"/>
      <c r="R804" s="425"/>
      <c r="S804" s="430"/>
      <c r="T804" s="431"/>
    </row>
    <row r="805" spans="1:26">
      <c r="D805" s="565" t="e">
        <v>#REF!</v>
      </c>
      <c r="E805" s="566"/>
      <c r="F805" s="566"/>
      <c r="G805" s="566"/>
      <c r="H805" s="566"/>
      <c r="I805" s="566"/>
      <c r="J805" s="566"/>
      <c r="K805" s="566"/>
      <c r="L805" s="566"/>
      <c r="M805" s="566"/>
      <c r="N805" s="566"/>
      <c r="O805" s="567"/>
      <c r="P805" s="568" t="s">
        <v>422</v>
      </c>
      <c r="Q805" s="568"/>
      <c r="R805" s="568"/>
      <c r="S805" s="426"/>
      <c r="T805" s="427">
        <f>T803</f>
        <v>24.54</v>
      </c>
    </row>
    <row r="806" spans="1:26">
      <c r="D806" s="396"/>
      <c r="E806" s="397"/>
      <c r="F806" s="424"/>
      <c r="G806" s="425"/>
      <c r="H806" s="425"/>
      <c r="I806" s="425"/>
      <c r="J806" s="425"/>
      <c r="K806" s="398"/>
      <c r="L806" s="425"/>
      <c r="M806" s="425"/>
      <c r="N806" s="428"/>
      <c r="O806" s="428"/>
      <c r="P806" s="429"/>
      <c r="Q806" s="425"/>
      <c r="R806" s="398"/>
      <c r="S806" s="398"/>
      <c r="T806" s="432"/>
    </row>
    <row r="807" spans="1:26">
      <c r="D807" s="396"/>
      <c r="E807" s="397"/>
      <c r="F807" s="424"/>
      <c r="G807" s="425"/>
      <c r="H807" s="425"/>
      <c r="I807" s="425"/>
      <c r="J807" s="425"/>
      <c r="K807" s="398"/>
      <c r="L807" s="425"/>
      <c r="M807" s="425"/>
      <c r="N807" s="428"/>
      <c r="O807" s="428"/>
      <c r="P807" s="429"/>
      <c r="Q807" s="425"/>
      <c r="R807" s="398"/>
      <c r="S807" s="398"/>
      <c r="T807" s="432"/>
    </row>
    <row r="808" spans="1:26">
      <c r="D808" s="569" t="s">
        <v>423</v>
      </c>
      <c r="E808" s="570"/>
      <c r="F808" s="570"/>
      <c r="G808" s="570"/>
      <c r="H808" s="570"/>
      <c r="I808" s="570"/>
      <c r="J808" s="570"/>
      <c r="K808" s="571"/>
      <c r="L808" s="433" t="s">
        <v>424</v>
      </c>
      <c r="M808" s="434"/>
      <c r="N808" s="434"/>
      <c r="O808" s="434"/>
      <c r="P808" s="434"/>
      <c r="Q808" s="434"/>
      <c r="R808" s="434"/>
      <c r="S808" s="434"/>
      <c r="T808" s="435"/>
    </row>
    <row r="809" spans="1:26">
      <c r="D809" s="542"/>
      <c r="E809" s="543"/>
      <c r="F809" s="543"/>
      <c r="G809" s="543"/>
      <c r="H809" s="436"/>
      <c r="I809" s="436"/>
      <c r="J809" s="436"/>
      <c r="K809" s="447"/>
      <c r="L809" s="436"/>
      <c r="M809" s="407"/>
      <c r="N809" s="407"/>
      <c r="O809" s="407"/>
      <c r="P809" s="407"/>
      <c r="Q809" s="407"/>
      <c r="R809" s="407"/>
      <c r="S809" s="407"/>
      <c r="T809" s="437"/>
    </row>
    <row r="810" spans="1:26">
      <c r="D810" s="542"/>
      <c r="E810" s="543"/>
      <c r="F810" s="543"/>
      <c r="G810" s="543"/>
      <c r="H810" s="436"/>
      <c r="I810" s="436"/>
      <c r="J810" s="436"/>
      <c r="K810" s="447"/>
      <c r="L810" s="436"/>
      <c r="M810" s="407"/>
      <c r="N810" s="407"/>
      <c r="O810" s="407"/>
      <c r="P810" s="407"/>
      <c r="Q810" s="407"/>
      <c r="R810" s="407"/>
      <c r="S810" s="407"/>
      <c r="T810" s="437"/>
    </row>
    <row r="811" spans="1:26">
      <c r="D811" s="542" t="s">
        <v>425</v>
      </c>
      <c r="E811" s="543"/>
      <c r="F811" s="543" t="s">
        <v>425</v>
      </c>
      <c r="G811" s="543"/>
      <c r="H811" s="543" t="s">
        <v>425</v>
      </c>
      <c r="I811" s="543"/>
      <c r="J811" s="543" t="s">
        <v>425</v>
      </c>
      <c r="K811" s="544"/>
      <c r="L811" s="545" t="s">
        <v>426</v>
      </c>
      <c r="M811" s="546"/>
      <c r="N811" s="546"/>
      <c r="O811" s="546"/>
      <c r="P811" s="546"/>
      <c r="Q811" s="546"/>
      <c r="R811" s="546"/>
      <c r="S811" s="546"/>
      <c r="T811" s="547"/>
    </row>
    <row r="812" spans="1:26">
      <c r="D812" s="548" t="str">
        <f>+[42]DATOS!D$8</f>
        <v>HELMER EDUARDO BECERRA SANTANDER</v>
      </c>
      <c r="E812" s="549"/>
      <c r="F812" s="549" t="s">
        <v>427</v>
      </c>
      <c r="G812" s="549"/>
      <c r="H812" s="549" t="s">
        <v>427</v>
      </c>
      <c r="I812" s="549"/>
      <c r="J812" s="549" t="s">
        <v>427</v>
      </c>
      <c r="K812" s="550"/>
      <c r="L812" s="551" t="str">
        <f>+[42]DATOS!D$11</f>
        <v>JESUS IVAN QUIÑONES RUEDA</v>
      </c>
      <c r="M812" s="549"/>
      <c r="N812" s="549"/>
      <c r="O812" s="549"/>
      <c r="P812" s="549"/>
      <c r="Q812" s="549"/>
      <c r="R812" s="549"/>
      <c r="S812" s="549"/>
      <c r="T812" s="552"/>
    </row>
    <row r="813" spans="1:26">
      <c r="D813" s="553" t="str">
        <f>+$D$72</f>
        <v>APOYO SEC. DE PLANEACION Y OBRAS PÚBLICAS</v>
      </c>
      <c r="E813" s="554"/>
      <c r="F813" s="554" t="s">
        <v>428</v>
      </c>
      <c r="G813" s="554"/>
      <c r="H813" s="554" t="s">
        <v>428</v>
      </c>
      <c r="I813" s="554"/>
      <c r="J813" s="554" t="s">
        <v>428</v>
      </c>
      <c r="K813" s="555"/>
      <c r="L813" s="556" t="str">
        <f>+$L$72</f>
        <v>SECRETARIO DE PLANEACION Y OBRAS PÚBLICAS</v>
      </c>
      <c r="M813" s="554"/>
      <c r="N813" s="554"/>
      <c r="O813" s="554"/>
      <c r="P813" s="554"/>
      <c r="Q813" s="554"/>
      <c r="R813" s="554"/>
      <c r="S813" s="554"/>
      <c r="T813" s="557"/>
    </row>
    <row r="814" spans="1:26">
      <c r="D814" s="406"/>
      <c r="E814" s="407"/>
      <c r="F814" s="407"/>
      <c r="G814" s="407"/>
      <c r="H814" s="407"/>
      <c r="I814" s="407"/>
      <c r="J814" s="407"/>
      <c r="K814" s="407"/>
      <c r="L814" s="407"/>
      <c r="M814" s="407"/>
      <c r="N814" s="407"/>
      <c r="O814" s="407"/>
      <c r="P814" s="407"/>
      <c r="Q814" s="407"/>
      <c r="R814" s="407"/>
      <c r="S814" s="407"/>
      <c r="T814" s="437"/>
    </row>
    <row r="815" spans="1:26" ht="111" customHeight="1" thickBot="1">
      <c r="D815" s="417"/>
      <c r="E815" s="418"/>
      <c r="F815" s="418"/>
      <c r="G815" s="418"/>
      <c r="H815" s="418"/>
      <c r="I815" s="418"/>
      <c r="J815" s="418"/>
      <c r="K815" s="418"/>
      <c r="L815" s="418"/>
      <c r="M815" s="418"/>
      <c r="N815" s="418"/>
      <c r="O815" s="418"/>
      <c r="P815" s="418"/>
      <c r="Q815" s="418"/>
      <c r="R815" s="418"/>
      <c r="S815" s="418"/>
      <c r="T815" s="438"/>
    </row>
    <row r="816" spans="1:26" ht="22.5" customHeight="1"/>
    <row r="817" spans="4:23" ht="13.5" thickBot="1"/>
    <row r="818" spans="4:23">
      <c r="D818" s="384"/>
      <c r="E818" s="385"/>
      <c r="F818" s="385"/>
      <c r="G818" s="385"/>
      <c r="H818" s="385"/>
      <c r="I818" s="385"/>
      <c r="J818" s="385"/>
      <c r="K818" s="445"/>
      <c r="L818" s="385"/>
      <c r="M818" s="385"/>
      <c r="N818" s="385"/>
      <c r="O818" s="385"/>
      <c r="P818" s="385"/>
      <c r="Q818" s="385"/>
      <c r="R818" s="385"/>
      <c r="S818" s="385"/>
      <c r="T818" s="386"/>
    </row>
    <row r="819" spans="4:23" ht="121.5" customHeight="1" thickBot="1">
      <c r="D819" s="387"/>
      <c r="E819" s="388"/>
      <c r="F819" s="388"/>
      <c r="G819" s="388"/>
      <c r="H819" s="388"/>
      <c r="I819" s="388"/>
      <c r="J819" s="388"/>
      <c r="K819" s="446"/>
      <c r="L819" s="388"/>
      <c r="M819" s="388"/>
      <c r="N819" s="388"/>
      <c r="O819" s="388"/>
      <c r="P819" s="388"/>
      <c r="Q819" s="388"/>
      <c r="R819" s="388"/>
      <c r="S819" s="388"/>
      <c r="T819" s="389"/>
    </row>
    <row r="820" spans="4:23">
      <c r="D820" s="592" t="str">
        <f>+[42]DATOS!C$7</f>
        <v>MEJORAMIENTO DE VIVIENDA CON ENFOQUE DIFERENCIAL PARA POBLACIÓN VULNERABLE EN EL MUNICIPIO DE CUBARÁ, BOYACÁ (2026).</v>
      </c>
      <c r="E820" s="593"/>
      <c r="F820" s="593"/>
      <c r="G820" s="593"/>
      <c r="H820" s="593"/>
      <c r="I820" s="593"/>
      <c r="J820" s="593"/>
      <c r="K820" s="593"/>
      <c r="L820" s="593"/>
      <c r="M820" s="593"/>
      <c r="N820" s="593"/>
      <c r="O820" s="593"/>
      <c r="P820" s="593"/>
      <c r="Q820" s="593"/>
      <c r="R820" s="593"/>
      <c r="S820" s="593"/>
      <c r="T820" s="594"/>
    </row>
    <row r="821" spans="4:23">
      <c r="D821" s="595"/>
      <c r="E821" s="596"/>
      <c r="F821" s="596"/>
      <c r="G821" s="596"/>
      <c r="H821" s="596"/>
      <c r="I821" s="596"/>
      <c r="J821" s="596"/>
      <c r="K821" s="596"/>
      <c r="L821" s="596"/>
      <c r="M821" s="596"/>
      <c r="N821" s="596"/>
      <c r="O821" s="596"/>
      <c r="P821" s="596"/>
      <c r="Q821" s="596"/>
      <c r="R821" s="596"/>
      <c r="S821" s="596"/>
      <c r="T821" s="597"/>
    </row>
    <row r="822" spans="4:23">
      <c r="D822" s="598" t="s">
        <v>371</v>
      </c>
      <c r="E822" s="599"/>
      <c r="F822" s="599"/>
      <c r="G822" s="599"/>
      <c r="H822" s="599"/>
      <c r="I822" s="599"/>
      <c r="J822" s="599"/>
      <c r="K822" s="599"/>
      <c r="L822" s="599"/>
      <c r="M822" s="599"/>
      <c r="N822" s="599"/>
      <c r="O822" s="599"/>
      <c r="P822" s="599"/>
      <c r="Q822" s="599"/>
      <c r="R822" s="599"/>
      <c r="S822" s="599"/>
      <c r="T822" s="600"/>
    </row>
    <row r="823" spans="4:23">
      <c r="D823" s="586" t="s">
        <v>372</v>
      </c>
      <c r="E823" s="587"/>
      <c r="F823" s="601" t="s">
        <v>373</v>
      </c>
      <c r="G823" s="601"/>
      <c r="H823" s="601"/>
      <c r="I823" s="601"/>
      <c r="J823" s="601"/>
      <c r="K823" s="601"/>
      <c r="L823" s="601"/>
      <c r="M823" s="601"/>
      <c r="N823" s="601"/>
      <c r="O823" s="601"/>
      <c r="P823" s="601"/>
      <c r="Q823" s="601"/>
      <c r="R823" s="601"/>
      <c r="S823" s="601"/>
      <c r="T823" s="602"/>
    </row>
    <row r="824" spans="4:23">
      <c r="D824" s="586" t="s">
        <v>374</v>
      </c>
      <c r="E824" s="587"/>
      <c r="F824" s="603" t="s">
        <v>375</v>
      </c>
      <c r="G824" s="604"/>
      <c r="H824" s="604"/>
      <c r="I824" s="604"/>
      <c r="J824" s="604"/>
      <c r="K824" s="604"/>
      <c r="L824" s="604"/>
      <c r="M824" s="604"/>
      <c r="N824" s="604"/>
      <c r="O824" s="604"/>
      <c r="P824" s="604"/>
      <c r="Q824" s="604"/>
      <c r="R824" s="604"/>
      <c r="S824" s="604"/>
      <c r="T824" s="605"/>
    </row>
    <row r="825" spans="4:23">
      <c r="D825" s="586" t="s">
        <v>376</v>
      </c>
      <c r="E825" s="587"/>
      <c r="F825" s="390">
        <f>+[42]DATOS!F$5</f>
        <v>46143</v>
      </c>
      <c r="G825" s="391"/>
      <c r="H825" s="391"/>
      <c r="I825" s="391"/>
      <c r="J825" s="391"/>
      <c r="K825" s="391"/>
      <c r="L825" s="568" t="s">
        <v>377</v>
      </c>
      <c r="M825" s="568"/>
      <c r="N825" s="588" t="s">
        <v>378</v>
      </c>
      <c r="O825" s="588"/>
      <c r="P825" s="588"/>
      <c r="Q825" s="588"/>
      <c r="R825" s="588"/>
      <c r="S825" s="588"/>
      <c r="T825" s="589"/>
    </row>
    <row r="826" spans="4:23" ht="25.5">
      <c r="D826" s="586" t="s">
        <v>379</v>
      </c>
      <c r="E826" s="587"/>
      <c r="F826" s="590" t="s">
        <v>380</v>
      </c>
      <c r="G826" s="591"/>
      <c r="H826" s="392">
        <f>+[42]DATOS!E$5</f>
        <v>2026</v>
      </c>
      <c r="I826" s="393" t="s">
        <v>381</v>
      </c>
      <c r="J826" s="394">
        <f>+[42]DATOS!E$5</f>
        <v>2026</v>
      </c>
      <c r="K826" s="395"/>
      <c r="L826" s="568" t="s">
        <v>382</v>
      </c>
      <c r="M826" s="568"/>
      <c r="N826" s="588" t="s">
        <v>383</v>
      </c>
      <c r="O826" s="588"/>
      <c r="P826" s="588"/>
      <c r="Q826" s="588"/>
      <c r="R826" s="588"/>
      <c r="S826" s="588"/>
      <c r="T826" s="589"/>
    </row>
    <row r="827" spans="4:23">
      <c r="D827" s="396"/>
      <c r="E827" s="397"/>
      <c r="F827" s="397"/>
      <c r="G827" s="398"/>
      <c r="H827" s="398"/>
      <c r="I827" s="398"/>
      <c r="J827" s="398"/>
      <c r="K827" s="398"/>
      <c r="L827" s="398"/>
      <c r="M827" s="398"/>
      <c r="N827" s="398"/>
      <c r="O827" s="398"/>
      <c r="P827" s="398"/>
      <c r="Q827" s="398"/>
      <c r="R827" s="398"/>
      <c r="S827" s="398"/>
      <c r="T827" s="399"/>
    </row>
    <row r="828" spans="4:23">
      <c r="D828" s="572" t="s">
        <v>384</v>
      </c>
      <c r="E828" s="573"/>
      <c r="F828" s="573"/>
      <c r="G828" s="573"/>
      <c r="H828" s="573"/>
      <c r="I828" s="573"/>
      <c r="J828" s="573"/>
      <c r="K828" s="573"/>
      <c r="L828" s="573"/>
      <c r="M828" s="573"/>
      <c r="N828" s="573"/>
      <c r="O828" s="573"/>
      <c r="P828" s="573"/>
      <c r="Q828" s="573"/>
      <c r="R828" s="573"/>
      <c r="S828" s="573"/>
      <c r="T828" s="574"/>
    </row>
    <row r="829" spans="4:23">
      <c r="D829" s="396"/>
      <c r="E829" s="397"/>
      <c r="F829" s="397"/>
      <c r="G829" s="398"/>
      <c r="H829" s="398"/>
      <c r="I829" s="398"/>
      <c r="J829" s="398"/>
      <c r="K829" s="398"/>
      <c r="L829" s="398"/>
      <c r="M829" s="398"/>
      <c r="N829" s="398"/>
      <c r="O829" s="398"/>
      <c r="P829" s="398"/>
      <c r="Q829" s="398"/>
      <c r="R829" s="398"/>
      <c r="S829" s="398"/>
      <c r="T829" s="399"/>
    </row>
    <row r="830" spans="4:23">
      <c r="D830" s="400" t="s">
        <v>385</v>
      </c>
      <c r="E830" s="575" t="s">
        <v>386</v>
      </c>
      <c r="F830" s="575"/>
      <c r="G830" s="576" t="s">
        <v>387</v>
      </c>
      <c r="H830" s="577"/>
      <c r="I830" s="577"/>
      <c r="J830" s="576" t="s">
        <v>388</v>
      </c>
      <c r="K830" s="576" t="s">
        <v>389</v>
      </c>
      <c r="L830" s="579"/>
      <c r="M830" s="581" t="s">
        <v>390</v>
      </c>
      <c r="N830" s="581"/>
      <c r="O830" s="581"/>
      <c r="P830" s="581"/>
      <c r="Q830" s="581"/>
      <c r="R830" s="581"/>
      <c r="S830" s="581" t="s">
        <v>391</v>
      </c>
      <c r="T830" s="582"/>
    </row>
    <row r="831" spans="4:23" ht="38.25">
      <c r="D831" s="403">
        <f>+'PRESUPUESTO OFICIAL '!C23</f>
        <v>1.1200000000000001</v>
      </c>
      <c r="E831" s="583" t="str">
        <f>+VLOOKUP(D831,'PRESUPUESTO OFICIAL '!$C$11:$H$103,2)</f>
        <v>EXCAVACIÓN MANUAL EN MATERIAL COMÚN</v>
      </c>
      <c r="F831" s="584"/>
      <c r="G831" s="585" t="str">
        <f>+VLOOKUP(D831,'PRESUPUESTO OFICIAL '!$C$11:$H$103,3)</f>
        <v>M3</v>
      </c>
      <c r="H831" s="585"/>
      <c r="I831" s="585"/>
      <c r="J831" s="578"/>
      <c r="K831" s="578"/>
      <c r="L831" s="580"/>
      <c r="M831" s="401" t="s">
        <v>392</v>
      </c>
      <c r="N831" s="401" t="s">
        <v>393</v>
      </c>
      <c r="O831" s="401" t="s">
        <v>394</v>
      </c>
      <c r="P831" s="401" t="s">
        <v>395</v>
      </c>
      <c r="Q831" s="401" t="s">
        <v>396</v>
      </c>
      <c r="R831" s="401" t="s">
        <v>397</v>
      </c>
      <c r="S831" s="401" t="s">
        <v>398</v>
      </c>
      <c r="T831" s="402" t="s">
        <v>399</v>
      </c>
      <c r="V831" s="404">
        <f>+D831</f>
        <v>1.1200000000000001</v>
      </c>
      <c r="W831" s="405">
        <f>+T879</f>
        <v>45.16</v>
      </c>
    </row>
    <row r="832" spans="4:23">
      <c r="D832" s="406"/>
      <c r="E832" s="407"/>
      <c r="F832" s="407"/>
      <c r="G832" s="407"/>
      <c r="H832" s="407"/>
      <c r="I832" s="407"/>
      <c r="J832" s="558"/>
      <c r="K832" s="559"/>
      <c r="L832" s="560"/>
      <c r="M832" s="560"/>
      <c r="N832" s="560"/>
      <c r="O832" s="560"/>
      <c r="P832" s="560"/>
      <c r="Q832" s="560"/>
      <c r="R832" s="560"/>
      <c r="S832" s="560"/>
      <c r="T832" s="561"/>
    </row>
    <row r="833" spans="1:26" ht="25.5">
      <c r="A833" s="453">
        <f>+D831</f>
        <v>1.1200000000000001</v>
      </c>
      <c r="B833" s="383">
        <v>1</v>
      </c>
      <c r="D833" s="406"/>
      <c r="E833" s="407"/>
      <c r="F833" s="407"/>
      <c r="G833" s="407"/>
      <c r="H833" s="407"/>
      <c r="I833" s="407"/>
      <c r="J833" s="408" t="s">
        <v>400</v>
      </c>
      <c r="K833" s="409" t="str">
        <f t="shared" ref="K833:K875" si="115">+VLOOKUP(L833,$AH$22:$AJ$58,2,)</f>
        <v>V=(Ancho x Largo x Alto)* Cant</v>
      </c>
      <c r="L833" s="410" t="str">
        <f>+G831</f>
        <v>M3</v>
      </c>
      <c r="M833" s="411"/>
      <c r="N833" s="412"/>
      <c r="O833" s="442"/>
      <c r="P833" s="442"/>
      <c r="Q833" s="413"/>
      <c r="R833" s="411">
        <f>+HLOOKUP(B833,[238]Hoja1!$2:$78,16,FALSE)</f>
        <v>0.55000000000000004</v>
      </c>
      <c r="S833" s="413">
        <v>1</v>
      </c>
      <c r="T833" s="414">
        <f>+S833*R833</f>
        <v>0.55000000000000004</v>
      </c>
      <c r="Y833" s="439">
        <f t="shared" ref="Y833:Y849" si="116">+O833*P833</f>
        <v>0</v>
      </c>
      <c r="Z833" s="439">
        <f t="shared" ref="Z833:Z875" si="117">+Y833-M833</f>
        <v>0</v>
      </c>
    </row>
    <row r="834" spans="1:26" ht="25.5">
      <c r="A834" s="453">
        <f>+A833</f>
        <v>1.1200000000000001</v>
      </c>
      <c r="B834" s="383">
        <v>2</v>
      </c>
      <c r="D834" s="406"/>
      <c r="E834" s="407"/>
      <c r="F834" s="407"/>
      <c r="G834" s="407"/>
      <c r="H834" s="407"/>
      <c r="I834" s="407"/>
      <c r="J834" s="408" t="s">
        <v>401</v>
      </c>
      <c r="K834" s="409" t="str">
        <f t="shared" si="115"/>
        <v>V=(Ancho x Largo x Alto)* Cant</v>
      </c>
      <c r="L834" s="410" t="str">
        <f>+L833</f>
        <v>M3</v>
      </c>
      <c r="M834" s="411"/>
      <c r="N834" s="412"/>
      <c r="O834" s="442"/>
      <c r="P834" s="442"/>
      <c r="Q834" s="413"/>
      <c r="R834" s="411">
        <f>+HLOOKUP(B834,[238]Hoja1!$2:$78,16,FALSE)</f>
        <v>2.8159999999999998</v>
      </c>
      <c r="S834" s="413">
        <v>1</v>
      </c>
      <c r="T834" s="414">
        <f t="shared" ref="T834:T875" si="118">+S834*R834</f>
        <v>2.8159999999999998</v>
      </c>
      <c r="Y834" s="439">
        <f t="shared" si="116"/>
        <v>0</v>
      </c>
      <c r="Z834" s="439">
        <f t="shared" si="117"/>
        <v>0</v>
      </c>
    </row>
    <row r="835" spans="1:26" ht="25.5">
      <c r="A835" s="453">
        <f t="shared" ref="A835:A875" si="119">+A834</f>
        <v>1.1200000000000001</v>
      </c>
      <c r="B835" s="383">
        <v>3</v>
      </c>
      <c r="D835" s="406"/>
      <c r="E835" s="407"/>
      <c r="F835" s="407"/>
      <c r="G835" s="407"/>
      <c r="H835" s="407"/>
      <c r="I835" s="407"/>
      <c r="J835" s="408" t="s">
        <v>402</v>
      </c>
      <c r="K835" s="409" t="str">
        <f t="shared" si="115"/>
        <v>V=(Ancho x Largo x Alto)* Cant</v>
      </c>
      <c r="L835" s="410" t="str">
        <f>+L834</f>
        <v>M3</v>
      </c>
      <c r="M835" s="411"/>
      <c r="N835" s="412"/>
      <c r="O835" s="442"/>
      <c r="P835" s="442"/>
      <c r="Q835" s="413"/>
      <c r="R835" s="411">
        <f>+HLOOKUP(B835,[238]Hoja1!$2:$78,16,FALSE)</f>
        <v>2.8159999999999998</v>
      </c>
      <c r="S835" s="413">
        <v>1</v>
      </c>
      <c r="T835" s="414">
        <f t="shared" si="118"/>
        <v>2.8159999999999998</v>
      </c>
      <c r="Y835" s="439">
        <f t="shared" si="116"/>
        <v>0</v>
      </c>
      <c r="Z835" s="439">
        <f t="shared" si="117"/>
        <v>0</v>
      </c>
    </row>
    <row r="836" spans="1:26" ht="25.5">
      <c r="A836" s="453">
        <f t="shared" si="119"/>
        <v>1.1200000000000001</v>
      </c>
      <c r="B836" s="383">
        <v>4</v>
      </c>
      <c r="D836" s="406"/>
      <c r="E836" s="407"/>
      <c r="F836" s="407"/>
      <c r="G836" s="407"/>
      <c r="H836" s="407"/>
      <c r="I836" s="407"/>
      <c r="J836" s="408" t="s">
        <v>403</v>
      </c>
      <c r="K836" s="409" t="str">
        <f t="shared" si="115"/>
        <v>V=(Ancho x Largo x Alto)* Cant</v>
      </c>
      <c r="L836" s="410" t="str">
        <f>+L835</f>
        <v>M3</v>
      </c>
      <c r="M836" s="411"/>
      <c r="N836" s="412"/>
      <c r="O836" s="442"/>
      <c r="P836" s="442"/>
      <c r="Q836" s="413"/>
      <c r="R836" s="411">
        <f>+HLOOKUP(B836,[238]Hoja1!$2:$78,16,FALSE)</f>
        <v>1.8559999999999999</v>
      </c>
      <c r="S836" s="413">
        <v>1</v>
      </c>
      <c r="T836" s="414">
        <f t="shared" si="118"/>
        <v>1.8559999999999999</v>
      </c>
      <c r="Y836" s="439">
        <f t="shared" si="116"/>
        <v>0</v>
      </c>
      <c r="Z836" s="439">
        <f t="shared" si="117"/>
        <v>0</v>
      </c>
    </row>
    <row r="837" spans="1:26" ht="25.5">
      <c r="A837" s="453">
        <f t="shared" si="119"/>
        <v>1.1200000000000001</v>
      </c>
      <c r="B837" s="383">
        <v>5</v>
      </c>
      <c r="D837" s="406"/>
      <c r="E837" s="407"/>
      <c r="F837" s="407"/>
      <c r="G837" s="407"/>
      <c r="H837" s="407"/>
      <c r="I837" s="407"/>
      <c r="J837" s="408" t="s">
        <v>405</v>
      </c>
      <c r="K837" s="409" t="str">
        <f t="shared" si="115"/>
        <v>V=(Ancho x Largo x Alto)* Cant</v>
      </c>
      <c r="L837" s="410" t="str">
        <f>+L836</f>
        <v>M3</v>
      </c>
      <c r="M837" s="411"/>
      <c r="N837" s="412"/>
      <c r="O837" s="442"/>
      <c r="P837" s="442"/>
      <c r="Q837" s="413"/>
      <c r="R837" s="411">
        <f>+HLOOKUP(B837,[238]Hoja1!$2:$78,16,FALSE)</f>
        <v>1.8559999999999999</v>
      </c>
      <c r="S837" s="413">
        <v>1</v>
      </c>
      <c r="T837" s="414">
        <f t="shared" si="118"/>
        <v>1.8559999999999999</v>
      </c>
      <c r="Y837" s="439">
        <f t="shared" si="116"/>
        <v>0</v>
      </c>
      <c r="Z837" s="439">
        <f t="shared" si="117"/>
        <v>0</v>
      </c>
    </row>
    <row r="838" spans="1:26" ht="25.5">
      <c r="A838" s="453">
        <f t="shared" si="119"/>
        <v>1.1200000000000001</v>
      </c>
      <c r="B838" s="383">
        <v>6</v>
      </c>
      <c r="D838" s="406"/>
      <c r="E838" s="407"/>
      <c r="F838" s="407"/>
      <c r="G838" s="407"/>
      <c r="H838" s="407"/>
      <c r="I838" s="407"/>
      <c r="J838" s="408" t="s">
        <v>407</v>
      </c>
      <c r="K838" s="409" t="str">
        <f t="shared" si="115"/>
        <v>V=(Ancho x Largo x Alto)* Cant</v>
      </c>
      <c r="L838" s="410" t="str">
        <f>+L837</f>
        <v>M3</v>
      </c>
      <c r="M838" s="411"/>
      <c r="N838" s="412"/>
      <c r="O838" s="442"/>
      <c r="P838" s="442"/>
      <c r="Q838" s="413"/>
      <c r="R838" s="411">
        <f>+HLOOKUP(B838,[238]Hoja1!$2:$78,16,FALSE)</f>
        <v>1.6127999999999998</v>
      </c>
      <c r="S838" s="413">
        <v>1</v>
      </c>
      <c r="T838" s="414">
        <f t="shared" si="118"/>
        <v>1.6127999999999998</v>
      </c>
      <c r="Y838" s="439">
        <f t="shared" si="116"/>
        <v>0</v>
      </c>
      <c r="Z838" s="439">
        <f t="shared" si="117"/>
        <v>0</v>
      </c>
    </row>
    <row r="839" spans="1:26" ht="25.5">
      <c r="A839" s="453">
        <f t="shared" si="119"/>
        <v>1.1200000000000001</v>
      </c>
      <c r="B839" s="383">
        <v>7</v>
      </c>
      <c r="D839" s="406"/>
      <c r="E839" s="407"/>
      <c r="F839" s="407"/>
      <c r="G839" s="407"/>
      <c r="H839" s="407"/>
      <c r="I839" s="407"/>
      <c r="J839" s="408" t="s">
        <v>409</v>
      </c>
      <c r="K839" s="409" t="str">
        <f t="shared" si="115"/>
        <v>V=(Ancho x Largo x Alto)* Cant</v>
      </c>
      <c r="L839" s="410" t="str">
        <f>+L833</f>
        <v>M3</v>
      </c>
      <c r="M839" s="411"/>
      <c r="N839" s="412"/>
      <c r="O839" s="442"/>
      <c r="P839" s="442"/>
      <c r="Q839" s="413"/>
      <c r="R839" s="411">
        <f>+HLOOKUP(B839,[238]Hoja1!$2:$78,16,FALSE)</f>
        <v>0</v>
      </c>
      <c r="S839" s="413"/>
      <c r="T839" s="414">
        <f t="shared" si="118"/>
        <v>0</v>
      </c>
      <c r="Y839" s="439">
        <f t="shared" si="116"/>
        <v>0</v>
      </c>
      <c r="Z839" s="439">
        <f t="shared" si="117"/>
        <v>0</v>
      </c>
    </row>
    <row r="840" spans="1:26" ht="25.5">
      <c r="A840" s="453">
        <f t="shared" si="119"/>
        <v>1.1200000000000001</v>
      </c>
      <c r="B840" s="383">
        <v>8</v>
      </c>
      <c r="D840" s="406"/>
      <c r="E840" s="407"/>
      <c r="F840" s="407"/>
      <c r="G840" s="407"/>
      <c r="H840" s="407"/>
      <c r="I840" s="407"/>
      <c r="J840" s="408" t="s">
        <v>411</v>
      </c>
      <c r="K840" s="409" t="str">
        <f t="shared" si="115"/>
        <v>V=(Ancho x Largo x Alto)* Cant</v>
      </c>
      <c r="L840" s="410" t="str">
        <f>+L839</f>
        <v>M3</v>
      </c>
      <c r="M840" s="411"/>
      <c r="N840" s="412"/>
      <c r="O840" s="442"/>
      <c r="P840" s="442"/>
      <c r="Q840" s="413"/>
      <c r="R840" s="411">
        <f>+HLOOKUP(B840,[238]Hoja1!$2:$78,16,FALSE)</f>
        <v>1.464</v>
      </c>
      <c r="S840" s="413">
        <v>1</v>
      </c>
      <c r="T840" s="414">
        <f t="shared" si="118"/>
        <v>1.464</v>
      </c>
      <c r="Y840" s="439">
        <f t="shared" si="116"/>
        <v>0</v>
      </c>
      <c r="Z840" s="439">
        <f t="shared" si="117"/>
        <v>0</v>
      </c>
    </row>
    <row r="841" spans="1:26" ht="25.5">
      <c r="A841" s="453">
        <f t="shared" si="119"/>
        <v>1.1200000000000001</v>
      </c>
      <c r="B841" s="383">
        <v>9</v>
      </c>
      <c r="D841" s="406"/>
      <c r="E841" s="407"/>
      <c r="F841" s="407"/>
      <c r="G841" s="407"/>
      <c r="H841" s="407"/>
      <c r="I841" s="407"/>
      <c r="J841" s="408" t="s">
        <v>412</v>
      </c>
      <c r="K841" s="409" t="str">
        <f t="shared" si="115"/>
        <v>V=(Ancho x Largo x Alto)* Cant</v>
      </c>
      <c r="L841" s="410" t="str">
        <f>+L840</f>
        <v>M3</v>
      </c>
      <c r="M841" s="411"/>
      <c r="N841" s="412"/>
      <c r="O841" s="442"/>
      <c r="P841" s="442"/>
      <c r="Q841" s="412"/>
      <c r="R841" s="411">
        <f>+HLOOKUP(B841,[238]Hoja1!$2:$78,16,FALSE)</f>
        <v>1.8559999999999999</v>
      </c>
      <c r="S841" s="413">
        <v>1</v>
      </c>
      <c r="T841" s="414">
        <f t="shared" si="118"/>
        <v>1.8559999999999999</v>
      </c>
      <c r="Y841" s="439">
        <f t="shared" si="116"/>
        <v>0</v>
      </c>
      <c r="Z841" s="439">
        <f t="shared" si="117"/>
        <v>0</v>
      </c>
    </row>
    <row r="842" spans="1:26" ht="25.5">
      <c r="A842" s="453">
        <f t="shared" si="119"/>
        <v>1.1200000000000001</v>
      </c>
      <c r="B842" s="383">
        <v>10</v>
      </c>
      <c r="D842" s="406"/>
      <c r="E842" s="407"/>
      <c r="F842" s="407"/>
      <c r="G842" s="407"/>
      <c r="H842" s="407"/>
      <c r="I842" s="407"/>
      <c r="J842" s="408" t="s">
        <v>413</v>
      </c>
      <c r="K842" s="409" t="str">
        <f t="shared" si="115"/>
        <v>V=(Ancho x Largo x Alto)* Cant</v>
      </c>
      <c r="L842" s="410" t="str">
        <f>+L841</f>
        <v>M3</v>
      </c>
      <c r="M842" s="411"/>
      <c r="N842" s="412"/>
      <c r="O842" s="441"/>
      <c r="P842" s="441"/>
      <c r="Q842" s="412"/>
      <c r="R842" s="411">
        <f>+HLOOKUP(B842,[238]Hoja1!$2:$78,16,FALSE)</f>
        <v>0</v>
      </c>
      <c r="S842" s="413"/>
      <c r="T842" s="414">
        <f t="shared" si="118"/>
        <v>0</v>
      </c>
      <c r="Y842" s="439">
        <f t="shared" si="116"/>
        <v>0</v>
      </c>
      <c r="Z842" s="439">
        <f t="shared" si="117"/>
        <v>0</v>
      </c>
    </row>
    <row r="843" spans="1:26" ht="25.5">
      <c r="A843" s="453">
        <f t="shared" si="119"/>
        <v>1.1200000000000001</v>
      </c>
      <c r="B843" s="383">
        <v>11</v>
      </c>
      <c r="D843" s="406"/>
      <c r="E843" s="407"/>
      <c r="F843" s="407"/>
      <c r="G843" s="407"/>
      <c r="H843" s="407"/>
      <c r="I843" s="407"/>
      <c r="J843" s="408" t="s">
        <v>414</v>
      </c>
      <c r="K843" s="409" t="str">
        <f t="shared" si="115"/>
        <v>V=(Ancho x Largo x Alto)* Cant</v>
      </c>
      <c r="L843" s="410" t="str">
        <f>+L842</f>
        <v>M3</v>
      </c>
      <c r="M843" s="411"/>
      <c r="N843" s="412"/>
      <c r="O843" s="443"/>
      <c r="P843" s="443"/>
      <c r="Q843" s="412"/>
      <c r="R843" s="411">
        <f>+HLOOKUP(B843,[238]Hoja1!$2:$78,16,FALSE)</f>
        <v>0</v>
      </c>
      <c r="S843" s="413"/>
      <c r="T843" s="414">
        <f t="shared" si="118"/>
        <v>0</v>
      </c>
      <c r="Y843" s="439">
        <f t="shared" si="116"/>
        <v>0</v>
      </c>
      <c r="Z843" s="439">
        <f t="shared" si="117"/>
        <v>0</v>
      </c>
    </row>
    <row r="844" spans="1:26" ht="25.5">
      <c r="A844" s="453">
        <f t="shared" si="119"/>
        <v>1.1200000000000001</v>
      </c>
      <c r="B844" s="383">
        <v>12</v>
      </c>
      <c r="D844" s="406"/>
      <c r="E844" s="407"/>
      <c r="F844" s="407"/>
      <c r="G844" s="407"/>
      <c r="H844" s="407"/>
      <c r="I844" s="407"/>
      <c r="J844" s="408" t="s">
        <v>415</v>
      </c>
      <c r="K844" s="409" t="str">
        <f t="shared" si="115"/>
        <v>V=(Ancho x Largo x Alto)* Cant</v>
      </c>
      <c r="L844" s="410" t="str">
        <f>+L838</f>
        <v>M3</v>
      </c>
      <c r="M844" s="411"/>
      <c r="N844" s="412"/>
      <c r="O844" s="442"/>
      <c r="P844" s="442"/>
      <c r="Q844" s="413"/>
      <c r="R844" s="411">
        <f>+HLOOKUP(B844,[238]Hoja1!$2:$78,16,FALSE)</f>
        <v>0</v>
      </c>
      <c r="S844" s="413"/>
      <c r="T844" s="414">
        <f t="shared" si="118"/>
        <v>0</v>
      </c>
      <c r="Y844" s="439">
        <f t="shared" si="116"/>
        <v>0</v>
      </c>
      <c r="Z844" s="439">
        <f t="shared" si="117"/>
        <v>0</v>
      </c>
    </row>
    <row r="845" spans="1:26" ht="25.5">
      <c r="A845" s="453">
        <f t="shared" si="119"/>
        <v>1.1200000000000001</v>
      </c>
      <c r="B845" s="383">
        <v>13</v>
      </c>
      <c r="D845" s="406"/>
      <c r="E845" s="407"/>
      <c r="F845" s="407"/>
      <c r="G845" s="407"/>
      <c r="H845" s="407"/>
      <c r="I845" s="407"/>
      <c r="J845" s="408" t="s">
        <v>416</v>
      </c>
      <c r="K845" s="409" t="str">
        <f t="shared" si="115"/>
        <v>V=(Ancho x Largo x Alto)* Cant</v>
      </c>
      <c r="L845" s="410" t="str">
        <f>+L840</f>
        <v>M3</v>
      </c>
      <c r="M845" s="411"/>
      <c r="N845" s="412"/>
      <c r="O845" s="442"/>
      <c r="P845" s="442"/>
      <c r="Q845" s="413"/>
      <c r="R845" s="411">
        <f>+HLOOKUP(B845,[238]Hoja1!$2:$78,16,FALSE)</f>
        <v>0</v>
      </c>
      <c r="S845" s="413"/>
      <c r="T845" s="414">
        <f t="shared" si="118"/>
        <v>0</v>
      </c>
      <c r="Y845" s="439">
        <f t="shared" si="116"/>
        <v>0</v>
      </c>
      <c r="Z845" s="439">
        <f t="shared" si="117"/>
        <v>0</v>
      </c>
    </row>
    <row r="846" spans="1:26" ht="25.5">
      <c r="A846" s="453">
        <f t="shared" si="119"/>
        <v>1.1200000000000001</v>
      </c>
      <c r="B846" s="383">
        <v>14</v>
      </c>
      <c r="D846" s="406"/>
      <c r="E846" s="407"/>
      <c r="F846" s="407"/>
      <c r="G846" s="407"/>
      <c r="H846" s="407"/>
      <c r="I846" s="407"/>
      <c r="J846" s="408" t="s">
        <v>417</v>
      </c>
      <c r="K846" s="409" t="str">
        <f t="shared" si="115"/>
        <v>V=(Ancho x Largo x Alto)* Cant</v>
      </c>
      <c r="L846" s="410" t="str">
        <f t="shared" ref="L846:L857" si="120">+L845</f>
        <v>M3</v>
      </c>
      <c r="M846" s="411"/>
      <c r="N846" s="412"/>
      <c r="O846" s="442"/>
      <c r="P846" s="442"/>
      <c r="Q846" s="412"/>
      <c r="R846" s="411">
        <f>+HLOOKUP(B846,[238]Hoja1!$2:$78,16,FALSE)</f>
        <v>1.8559999999999999</v>
      </c>
      <c r="S846" s="413">
        <v>1</v>
      </c>
      <c r="T846" s="414">
        <f t="shared" si="118"/>
        <v>1.8559999999999999</v>
      </c>
      <c r="Y846" s="439">
        <f t="shared" si="116"/>
        <v>0</v>
      </c>
      <c r="Z846" s="439">
        <f t="shared" si="117"/>
        <v>0</v>
      </c>
    </row>
    <row r="847" spans="1:26" ht="25.5">
      <c r="A847" s="453">
        <f t="shared" si="119"/>
        <v>1.1200000000000001</v>
      </c>
      <c r="B847" s="383">
        <v>15</v>
      </c>
      <c r="D847" s="406"/>
      <c r="E847" s="407"/>
      <c r="F847" s="407"/>
      <c r="G847" s="407"/>
      <c r="H847" s="407"/>
      <c r="I847" s="407"/>
      <c r="J847" s="408" t="s">
        <v>418</v>
      </c>
      <c r="K847" s="409" t="str">
        <f t="shared" si="115"/>
        <v>V=(Ancho x Largo x Alto)* Cant</v>
      </c>
      <c r="L847" s="410" t="str">
        <f t="shared" si="120"/>
        <v>M3</v>
      </c>
      <c r="M847" s="411"/>
      <c r="N847" s="412"/>
      <c r="O847" s="442"/>
      <c r="P847" s="442"/>
      <c r="Q847" s="449"/>
      <c r="R847" s="411">
        <f>+HLOOKUP(B847,[238]Hoja1!$2:$78,16,FALSE)</f>
        <v>0</v>
      </c>
      <c r="S847" s="413"/>
      <c r="T847" s="414">
        <f t="shared" si="118"/>
        <v>0</v>
      </c>
      <c r="Y847" s="439">
        <f t="shared" si="116"/>
        <v>0</v>
      </c>
      <c r="Z847" s="439">
        <f t="shared" si="117"/>
        <v>0</v>
      </c>
    </row>
    <row r="848" spans="1:26" ht="25.5">
      <c r="A848" s="453">
        <f t="shared" si="119"/>
        <v>1.1200000000000001</v>
      </c>
      <c r="B848" s="383">
        <v>16</v>
      </c>
      <c r="D848" s="406"/>
      <c r="E848" s="407"/>
      <c r="F848" s="407"/>
      <c r="G848" s="407"/>
      <c r="H848" s="407"/>
      <c r="I848" s="407"/>
      <c r="J848" s="408" t="s">
        <v>419</v>
      </c>
      <c r="K848" s="409" t="str">
        <f t="shared" si="115"/>
        <v>V=(Ancho x Largo x Alto)* Cant</v>
      </c>
      <c r="L848" s="410" t="str">
        <f t="shared" si="120"/>
        <v>M3</v>
      </c>
      <c r="M848" s="411"/>
      <c r="N848" s="412"/>
      <c r="O848" s="442"/>
      <c r="P848" s="442"/>
      <c r="Q848" s="449"/>
      <c r="R848" s="411">
        <f>+HLOOKUP(B848,[238]Hoja1!$2:$78,16,FALSE)</f>
        <v>1.7387999999999999</v>
      </c>
      <c r="S848" s="413">
        <v>1</v>
      </c>
      <c r="T848" s="414">
        <f t="shared" si="118"/>
        <v>1.7387999999999999</v>
      </c>
      <c r="Y848" s="439">
        <f t="shared" si="116"/>
        <v>0</v>
      </c>
      <c r="Z848" s="439">
        <f t="shared" si="117"/>
        <v>0</v>
      </c>
    </row>
    <row r="849" spans="1:26" ht="25.5">
      <c r="A849" s="453">
        <f t="shared" si="119"/>
        <v>1.1200000000000001</v>
      </c>
      <c r="B849" s="383">
        <v>17</v>
      </c>
      <c r="D849" s="406"/>
      <c r="E849" s="407"/>
      <c r="F849" s="407"/>
      <c r="G849" s="407"/>
      <c r="H849" s="407"/>
      <c r="I849" s="407"/>
      <c r="J849" s="408" t="s">
        <v>420</v>
      </c>
      <c r="K849" s="409" t="str">
        <f t="shared" si="115"/>
        <v>V=(Ancho x Largo x Alto)* Cant</v>
      </c>
      <c r="L849" s="410" t="str">
        <f t="shared" si="120"/>
        <v>M3</v>
      </c>
      <c r="M849" s="411"/>
      <c r="N849" s="412"/>
      <c r="O849" s="442"/>
      <c r="P849" s="442"/>
      <c r="Q849" s="412"/>
      <c r="R849" s="411">
        <f>+HLOOKUP(B849,[238]Hoja1!$2:$78,16,FALSE)</f>
        <v>6.6400000000000006</v>
      </c>
      <c r="S849" s="413">
        <v>1</v>
      </c>
      <c r="T849" s="414">
        <f t="shared" si="118"/>
        <v>6.6400000000000006</v>
      </c>
      <c r="Y849" s="439">
        <f t="shared" si="116"/>
        <v>0</v>
      </c>
      <c r="Z849" s="439">
        <f t="shared" si="117"/>
        <v>0</v>
      </c>
    </row>
    <row r="850" spans="1:26" ht="25.5">
      <c r="A850" s="453">
        <f t="shared" si="119"/>
        <v>1.1200000000000001</v>
      </c>
      <c r="B850" s="383">
        <v>18</v>
      </c>
      <c r="D850" s="406"/>
      <c r="E850" s="407"/>
      <c r="F850" s="407"/>
      <c r="G850" s="407"/>
      <c r="H850" s="407"/>
      <c r="I850" s="407"/>
      <c r="J850" s="408" t="s">
        <v>429</v>
      </c>
      <c r="K850" s="409" t="str">
        <f t="shared" si="115"/>
        <v>V=(Ancho x Largo x Alto)* Cant</v>
      </c>
      <c r="L850" s="410" t="str">
        <f t="shared" si="120"/>
        <v>M3</v>
      </c>
      <c r="M850" s="411"/>
      <c r="N850" s="412"/>
      <c r="O850" s="442"/>
      <c r="P850" s="442"/>
      <c r="Q850" s="412"/>
      <c r="R850" s="411">
        <f>+HLOOKUP(B850,[238]Hoja1!$2:$78,16,FALSE)</f>
        <v>1.6127999999999998</v>
      </c>
      <c r="S850" s="413">
        <v>1</v>
      </c>
      <c r="T850" s="414">
        <f t="shared" si="118"/>
        <v>1.6127999999999998</v>
      </c>
      <c r="Y850" s="439">
        <f>+O850*P850</f>
        <v>0</v>
      </c>
      <c r="Z850" s="439">
        <f t="shared" si="117"/>
        <v>0</v>
      </c>
    </row>
    <row r="851" spans="1:26" ht="25.5">
      <c r="A851" s="453">
        <f t="shared" si="119"/>
        <v>1.1200000000000001</v>
      </c>
      <c r="B851" s="383">
        <v>19</v>
      </c>
      <c r="D851" s="406"/>
      <c r="E851" s="407"/>
      <c r="F851" s="407"/>
      <c r="G851" s="407"/>
      <c r="H851" s="407"/>
      <c r="I851" s="407"/>
      <c r="J851" s="408" t="s">
        <v>430</v>
      </c>
      <c r="K851" s="409" t="str">
        <f t="shared" si="115"/>
        <v>V=(Ancho x Largo x Alto)* Cant</v>
      </c>
      <c r="L851" s="410" t="str">
        <f t="shared" si="120"/>
        <v>M3</v>
      </c>
      <c r="M851" s="411"/>
      <c r="N851" s="412"/>
      <c r="O851" s="442"/>
      <c r="P851" s="442"/>
      <c r="Q851" s="412"/>
      <c r="R851" s="411">
        <f>+HLOOKUP(B851,[238]Hoja1!$2:$78,16,FALSE)</f>
        <v>1.8559999999999999</v>
      </c>
      <c r="S851" s="413">
        <v>1</v>
      </c>
      <c r="T851" s="414">
        <f t="shared" si="118"/>
        <v>1.8559999999999999</v>
      </c>
      <c r="Y851" s="439">
        <f t="shared" ref="Y851:Y875" si="121">+O851*P851</f>
        <v>0</v>
      </c>
      <c r="Z851" s="439">
        <f t="shared" si="117"/>
        <v>0</v>
      </c>
    </row>
    <row r="852" spans="1:26" ht="25.5">
      <c r="A852" s="453">
        <f t="shared" si="119"/>
        <v>1.1200000000000001</v>
      </c>
      <c r="B852" s="383">
        <v>20</v>
      </c>
      <c r="D852" s="406"/>
      <c r="E852" s="407"/>
      <c r="F852" s="407"/>
      <c r="G852" s="407"/>
      <c r="H852" s="407"/>
      <c r="I852" s="407"/>
      <c r="J852" s="408" t="s">
        <v>431</v>
      </c>
      <c r="K852" s="409" t="str">
        <f t="shared" si="115"/>
        <v>V=(Ancho x Largo x Alto)* Cant</v>
      </c>
      <c r="L852" s="410" t="str">
        <f t="shared" si="120"/>
        <v>M3</v>
      </c>
      <c r="M852" s="411"/>
      <c r="N852" s="412"/>
      <c r="O852" s="442"/>
      <c r="P852" s="442"/>
      <c r="Q852" s="412"/>
      <c r="R852" s="411">
        <f>+HLOOKUP(B852,[238]Hoja1!$2:$78,16,FALSE)</f>
        <v>1.464</v>
      </c>
      <c r="S852" s="413">
        <v>1</v>
      </c>
      <c r="T852" s="414">
        <f t="shared" si="118"/>
        <v>1.464</v>
      </c>
      <c r="Y852" s="439">
        <f t="shared" si="121"/>
        <v>0</v>
      </c>
      <c r="Z852" s="439">
        <f t="shared" si="117"/>
        <v>0</v>
      </c>
    </row>
    <row r="853" spans="1:26" ht="25.5">
      <c r="A853" s="453">
        <f t="shared" si="119"/>
        <v>1.1200000000000001</v>
      </c>
      <c r="B853" s="383">
        <v>21</v>
      </c>
      <c r="D853" s="406"/>
      <c r="E853" s="407"/>
      <c r="F853" s="407"/>
      <c r="G853" s="407"/>
      <c r="H853" s="407"/>
      <c r="I853" s="407"/>
      <c r="J853" s="408" t="s">
        <v>432</v>
      </c>
      <c r="K853" s="409" t="str">
        <f t="shared" si="115"/>
        <v>V=(Ancho x Largo x Alto)* Cant</v>
      </c>
      <c r="L853" s="410" t="str">
        <f t="shared" si="120"/>
        <v>M3</v>
      </c>
      <c r="M853" s="411"/>
      <c r="N853" s="412"/>
      <c r="O853" s="442"/>
      <c r="P853" s="442"/>
      <c r="Q853" s="412"/>
      <c r="R853" s="411">
        <f>+HLOOKUP(B853,[238]Hoja1!$2:$78,16,FALSE)</f>
        <v>0</v>
      </c>
      <c r="S853" s="413"/>
      <c r="T853" s="414">
        <f t="shared" si="118"/>
        <v>0</v>
      </c>
      <c r="Y853" s="439">
        <f t="shared" si="121"/>
        <v>0</v>
      </c>
      <c r="Z853" s="439">
        <f t="shared" si="117"/>
        <v>0</v>
      </c>
    </row>
    <row r="854" spans="1:26" ht="25.5">
      <c r="A854" s="453">
        <f t="shared" si="119"/>
        <v>1.1200000000000001</v>
      </c>
      <c r="B854" s="383">
        <v>22</v>
      </c>
      <c r="D854" s="406"/>
      <c r="E854" s="407"/>
      <c r="F854" s="407"/>
      <c r="G854" s="407"/>
      <c r="H854" s="407"/>
      <c r="I854" s="407"/>
      <c r="J854" s="408" t="s">
        <v>433</v>
      </c>
      <c r="K854" s="409" t="str">
        <f t="shared" si="115"/>
        <v>V=(Ancho x Largo x Alto)* Cant</v>
      </c>
      <c r="L854" s="410" t="str">
        <f t="shared" si="120"/>
        <v>M3</v>
      </c>
      <c r="M854" s="411"/>
      <c r="N854" s="412"/>
      <c r="O854" s="442"/>
      <c r="P854" s="442"/>
      <c r="Q854" s="412"/>
      <c r="R854" s="411">
        <f>+HLOOKUP(B854,[238]Hoja1!$2:$78,16,FALSE)</f>
        <v>1.8559999999999999</v>
      </c>
      <c r="S854" s="413">
        <v>1</v>
      </c>
      <c r="T854" s="414">
        <f t="shared" si="118"/>
        <v>1.8559999999999999</v>
      </c>
      <c r="Y854" s="439">
        <f t="shared" si="121"/>
        <v>0</v>
      </c>
      <c r="Z854" s="439">
        <f t="shared" si="117"/>
        <v>0</v>
      </c>
    </row>
    <row r="855" spans="1:26" ht="25.5">
      <c r="A855" s="453">
        <f t="shared" si="119"/>
        <v>1.1200000000000001</v>
      </c>
      <c r="B855" s="383">
        <v>23</v>
      </c>
      <c r="D855" s="406"/>
      <c r="E855" s="407"/>
      <c r="F855" s="407"/>
      <c r="G855" s="407"/>
      <c r="H855" s="407"/>
      <c r="I855" s="407"/>
      <c r="J855" s="408" t="s">
        <v>434</v>
      </c>
      <c r="K855" s="409" t="str">
        <f t="shared" si="115"/>
        <v>V=(Ancho x Largo x Alto)* Cant</v>
      </c>
      <c r="L855" s="410" t="str">
        <f t="shared" si="120"/>
        <v>M3</v>
      </c>
      <c r="M855" s="411"/>
      <c r="N855" s="412"/>
      <c r="O855" s="441"/>
      <c r="P855" s="441"/>
      <c r="Q855" s="412"/>
      <c r="R855" s="411">
        <f>+HLOOKUP(B855,[238]Hoja1!$2:$78,16,FALSE)</f>
        <v>0.2</v>
      </c>
      <c r="S855" s="413">
        <v>1</v>
      </c>
      <c r="T855" s="414">
        <f t="shared" si="118"/>
        <v>0.2</v>
      </c>
      <c r="Y855" s="439">
        <f t="shared" si="121"/>
        <v>0</v>
      </c>
      <c r="Z855" s="439">
        <f t="shared" si="117"/>
        <v>0</v>
      </c>
    </row>
    <row r="856" spans="1:26" ht="25.5">
      <c r="A856" s="453">
        <f t="shared" si="119"/>
        <v>1.1200000000000001</v>
      </c>
      <c r="B856" s="383">
        <v>24</v>
      </c>
      <c r="D856" s="406"/>
      <c r="E856" s="407"/>
      <c r="F856" s="407"/>
      <c r="G856" s="407"/>
      <c r="H856" s="407"/>
      <c r="I856" s="407"/>
      <c r="J856" s="408" t="s">
        <v>435</v>
      </c>
      <c r="K856" s="409" t="str">
        <f t="shared" si="115"/>
        <v>V=(Ancho x Largo x Alto)* Cant</v>
      </c>
      <c r="L856" s="410" t="str">
        <f t="shared" si="120"/>
        <v>M3</v>
      </c>
      <c r="M856" s="411"/>
      <c r="N856" s="412"/>
      <c r="O856" s="442"/>
      <c r="P856" s="442"/>
      <c r="Q856" s="413"/>
      <c r="R856" s="411">
        <f>+HLOOKUP(B856,[238]Hoja1!$2:$78,16,FALSE)</f>
        <v>0</v>
      </c>
      <c r="S856" s="413"/>
      <c r="T856" s="414">
        <f t="shared" si="118"/>
        <v>0</v>
      </c>
      <c r="Y856" s="439">
        <f t="shared" si="121"/>
        <v>0</v>
      </c>
      <c r="Z856" s="439">
        <f t="shared" si="117"/>
        <v>0</v>
      </c>
    </row>
    <row r="857" spans="1:26" ht="25.5">
      <c r="A857" s="453">
        <f t="shared" si="119"/>
        <v>1.1200000000000001</v>
      </c>
      <c r="B857" s="383">
        <v>25</v>
      </c>
      <c r="D857" s="406"/>
      <c r="E857" s="407"/>
      <c r="F857" s="407"/>
      <c r="G857" s="407"/>
      <c r="H857" s="407"/>
      <c r="I857" s="407"/>
      <c r="J857" s="408" t="s">
        <v>436</v>
      </c>
      <c r="K857" s="409" t="str">
        <f t="shared" si="115"/>
        <v>V=(Ancho x Largo x Alto)* Cant</v>
      </c>
      <c r="L857" s="410" t="str">
        <f t="shared" si="120"/>
        <v>M3</v>
      </c>
      <c r="M857" s="411"/>
      <c r="N857" s="412"/>
      <c r="O857" s="442"/>
      <c r="P857" s="442"/>
      <c r="Q857" s="412"/>
      <c r="R857" s="411">
        <f>+HLOOKUP(B857,[238]Hoja1!$2:$78,16,FALSE)</f>
        <v>1.5539999999999998</v>
      </c>
      <c r="S857" s="413">
        <v>1</v>
      </c>
      <c r="T857" s="414">
        <f t="shared" si="118"/>
        <v>1.5539999999999998</v>
      </c>
      <c r="Y857" s="439">
        <f t="shared" si="121"/>
        <v>0</v>
      </c>
      <c r="Z857" s="439">
        <f t="shared" si="117"/>
        <v>0</v>
      </c>
    </row>
    <row r="858" spans="1:26" ht="25.5">
      <c r="A858" s="453">
        <f t="shared" si="119"/>
        <v>1.1200000000000001</v>
      </c>
      <c r="B858" s="383">
        <v>26</v>
      </c>
      <c r="D858" s="406"/>
      <c r="E858" s="407"/>
      <c r="F858" s="407"/>
      <c r="G858" s="407"/>
      <c r="H858" s="407"/>
      <c r="I858" s="407"/>
      <c r="J858" s="408" t="s">
        <v>437</v>
      </c>
      <c r="K858" s="409" t="str">
        <f t="shared" si="115"/>
        <v>V=(Ancho x Largo x Alto)* Cant</v>
      </c>
      <c r="L858" s="410" t="str">
        <f>+L847</f>
        <v>M3</v>
      </c>
      <c r="M858" s="411"/>
      <c r="N858" s="412"/>
      <c r="O858" s="442"/>
      <c r="P858" s="442"/>
      <c r="Q858" s="412"/>
      <c r="R858" s="411">
        <f>+HLOOKUP(B858,[238]Hoja1!$2:$78,16,FALSE)</f>
        <v>0</v>
      </c>
      <c r="S858" s="413"/>
      <c r="T858" s="414">
        <f t="shared" si="118"/>
        <v>0</v>
      </c>
      <c r="Y858" s="439">
        <f t="shared" si="121"/>
        <v>0</v>
      </c>
      <c r="Z858" s="439">
        <f t="shared" si="117"/>
        <v>0</v>
      </c>
    </row>
    <row r="859" spans="1:26" ht="25.5">
      <c r="A859" s="453">
        <f t="shared" si="119"/>
        <v>1.1200000000000001</v>
      </c>
      <c r="B859" s="383">
        <v>27</v>
      </c>
      <c r="D859" s="406"/>
      <c r="E859" s="407"/>
      <c r="F859" s="407"/>
      <c r="G859" s="407"/>
      <c r="H859" s="407"/>
      <c r="I859" s="407"/>
      <c r="J859" s="408" t="s">
        <v>438</v>
      </c>
      <c r="K859" s="409" t="str">
        <f t="shared" si="115"/>
        <v>V=(Ancho x Largo x Alto)* Cant</v>
      </c>
      <c r="L859" s="410" t="str">
        <f t="shared" ref="L859:L867" si="122">+L858</f>
        <v>M3</v>
      </c>
      <c r="M859" s="411"/>
      <c r="N859" s="412"/>
      <c r="O859" s="442"/>
      <c r="P859" s="442"/>
      <c r="Q859" s="412"/>
      <c r="R859" s="411">
        <f>+HLOOKUP(B859,[238]Hoja1!$2:$78,16,FALSE)</f>
        <v>1.8559999999999999</v>
      </c>
      <c r="S859" s="413">
        <v>1</v>
      </c>
      <c r="T859" s="414">
        <f t="shared" si="118"/>
        <v>1.8559999999999999</v>
      </c>
      <c r="Y859" s="439">
        <f t="shared" si="121"/>
        <v>0</v>
      </c>
      <c r="Z859" s="439">
        <f t="shared" si="117"/>
        <v>0</v>
      </c>
    </row>
    <row r="860" spans="1:26" ht="25.5">
      <c r="A860" s="453">
        <f t="shared" si="119"/>
        <v>1.1200000000000001</v>
      </c>
      <c r="B860" s="383">
        <v>28</v>
      </c>
      <c r="D860" s="406"/>
      <c r="E860" s="440"/>
      <c r="F860" s="407"/>
      <c r="G860" s="407"/>
      <c r="H860" s="407"/>
      <c r="I860" s="437"/>
      <c r="J860" s="408" t="s">
        <v>439</v>
      </c>
      <c r="K860" s="409" t="str">
        <f t="shared" si="115"/>
        <v>V=(Ancho x Largo x Alto)* Cant</v>
      </c>
      <c r="L860" s="410" t="str">
        <f t="shared" si="122"/>
        <v>M3</v>
      </c>
      <c r="M860" s="411"/>
      <c r="N860" s="412"/>
      <c r="O860" s="442"/>
      <c r="P860" s="442"/>
      <c r="Q860" s="413"/>
      <c r="R860" s="411">
        <f>+HLOOKUP(B860,[238]Hoja1!$2:$78,16,FALSE)</f>
        <v>0</v>
      </c>
      <c r="S860" s="413"/>
      <c r="T860" s="414">
        <f t="shared" si="118"/>
        <v>0</v>
      </c>
      <c r="Y860" s="439">
        <f t="shared" si="121"/>
        <v>0</v>
      </c>
      <c r="Z860" s="439">
        <f t="shared" si="117"/>
        <v>0</v>
      </c>
    </row>
    <row r="861" spans="1:26" ht="25.5">
      <c r="A861" s="453">
        <f t="shared" si="119"/>
        <v>1.1200000000000001</v>
      </c>
      <c r="B861" s="383">
        <v>29</v>
      </c>
      <c r="D861" s="406"/>
      <c r="E861" s="407"/>
      <c r="F861" s="407"/>
      <c r="G861" s="407"/>
      <c r="H861" s="407"/>
      <c r="I861" s="407"/>
      <c r="J861" s="408" t="s">
        <v>440</v>
      </c>
      <c r="K861" s="409" t="str">
        <f t="shared" si="115"/>
        <v>V=(Ancho x Largo x Alto)* Cant</v>
      </c>
      <c r="L861" s="410" t="str">
        <f t="shared" si="122"/>
        <v>M3</v>
      </c>
      <c r="M861" s="411"/>
      <c r="N861" s="412"/>
      <c r="O861" s="443"/>
      <c r="P861" s="443"/>
      <c r="Q861" s="412"/>
      <c r="R861" s="411">
        <f>+HLOOKUP(B861,[238]Hoja1!$2:$78,16,FALSE)</f>
        <v>0</v>
      </c>
      <c r="S861" s="413"/>
      <c r="T861" s="414">
        <f t="shared" si="118"/>
        <v>0</v>
      </c>
      <c r="Y861" s="439">
        <f t="shared" si="121"/>
        <v>0</v>
      </c>
      <c r="Z861" s="439">
        <f t="shared" si="117"/>
        <v>0</v>
      </c>
    </row>
    <row r="862" spans="1:26" ht="25.5">
      <c r="A862" s="453">
        <f t="shared" si="119"/>
        <v>1.1200000000000001</v>
      </c>
      <c r="B862" s="383">
        <v>30</v>
      </c>
      <c r="D862" s="406"/>
      <c r="E862" s="407"/>
      <c r="F862" s="407"/>
      <c r="G862" s="407"/>
      <c r="H862" s="407"/>
      <c r="I862" s="407"/>
      <c r="J862" s="408" t="s">
        <v>441</v>
      </c>
      <c r="K862" s="409" t="str">
        <f t="shared" si="115"/>
        <v>V=(Ancho x Largo x Alto)* Cant</v>
      </c>
      <c r="L862" s="410" t="str">
        <f t="shared" si="122"/>
        <v>M3</v>
      </c>
      <c r="M862" s="411"/>
      <c r="N862" s="412"/>
      <c r="O862" s="442"/>
      <c r="P862" s="442"/>
      <c r="Q862" s="412"/>
      <c r="R862" s="411">
        <f>+HLOOKUP(B862,[238]Hoja1!$2:$78,16,FALSE)</f>
        <v>1.464</v>
      </c>
      <c r="S862" s="413">
        <v>1</v>
      </c>
      <c r="T862" s="414">
        <f t="shared" si="118"/>
        <v>1.464</v>
      </c>
      <c r="Y862" s="439">
        <f t="shared" si="121"/>
        <v>0</v>
      </c>
      <c r="Z862" s="439">
        <f t="shared" si="117"/>
        <v>0</v>
      </c>
    </row>
    <row r="863" spans="1:26" ht="25.5">
      <c r="A863" s="453">
        <f t="shared" si="119"/>
        <v>1.1200000000000001</v>
      </c>
      <c r="B863" s="383">
        <v>31</v>
      </c>
      <c r="D863" s="406"/>
      <c r="E863" s="407"/>
      <c r="F863" s="407"/>
      <c r="G863" s="407"/>
      <c r="H863" s="407"/>
      <c r="I863" s="407"/>
      <c r="J863" s="408" t="s">
        <v>442</v>
      </c>
      <c r="K863" s="409" t="str">
        <f t="shared" si="115"/>
        <v>V=(Ancho x Largo x Alto)* Cant</v>
      </c>
      <c r="L863" s="410" t="str">
        <f t="shared" si="122"/>
        <v>M3</v>
      </c>
      <c r="M863" s="411"/>
      <c r="N863" s="412"/>
      <c r="O863" s="442"/>
      <c r="P863" s="442"/>
      <c r="Q863" s="413"/>
      <c r="R863" s="411">
        <f>+HLOOKUP(B863,[238]Hoja1!$2:$78,16,FALSE)</f>
        <v>0.41250000000000003</v>
      </c>
      <c r="S863" s="413">
        <v>1</v>
      </c>
      <c r="T863" s="414">
        <f t="shared" si="118"/>
        <v>0.41250000000000003</v>
      </c>
      <c r="Y863" s="439">
        <f t="shared" si="121"/>
        <v>0</v>
      </c>
      <c r="Z863" s="439">
        <f t="shared" si="117"/>
        <v>0</v>
      </c>
    </row>
    <row r="864" spans="1:26" ht="25.5">
      <c r="A864" s="453">
        <f t="shared" si="119"/>
        <v>1.1200000000000001</v>
      </c>
      <c r="B864" s="383">
        <v>32</v>
      </c>
      <c r="D864" s="406"/>
      <c r="E864" s="407"/>
      <c r="F864" s="407"/>
      <c r="G864" s="407"/>
      <c r="H864" s="407"/>
      <c r="I864" s="407"/>
      <c r="J864" s="408" t="s">
        <v>443</v>
      </c>
      <c r="K864" s="409" t="str">
        <f t="shared" si="115"/>
        <v>V=(Ancho x Largo x Alto)* Cant</v>
      </c>
      <c r="L864" s="410" t="str">
        <f t="shared" si="122"/>
        <v>M3</v>
      </c>
      <c r="M864" s="411"/>
      <c r="N864" s="412"/>
      <c r="O864" s="442"/>
      <c r="P864" s="442"/>
      <c r="Q864" s="412"/>
      <c r="R864" s="411">
        <f>+HLOOKUP(B864,[238]Hoja1!$2:$78,16,FALSE)</f>
        <v>1.6127999999999998</v>
      </c>
      <c r="S864" s="413">
        <v>1</v>
      </c>
      <c r="T864" s="414">
        <f t="shared" si="118"/>
        <v>1.6127999999999998</v>
      </c>
      <c r="Y864" s="439">
        <f t="shared" si="121"/>
        <v>0</v>
      </c>
      <c r="Z864" s="439">
        <f t="shared" si="117"/>
        <v>0</v>
      </c>
    </row>
    <row r="865" spans="1:26" ht="25.5">
      <c r="A865" s="453">
        <f t="shared" si="119"/>
        <v>1.1200000000000001</v>
      </c>
      <c r="B865" s="383">
        <v>33</v>
      </c>
      <c r="D865" s="406"/>
      <c r="E865" s="407"/>
      <c r="F865" s="407"/>
      <c r="G865" s="407"/>
      <c r="H865" s="407"/>
      <c r="I865" s="407"/>
      <c r="J865" s="408" t="s">
        <v>444</v>
      </c>
      <c r="K865" s="409" t="str">
        <f t="shared" si="115"/>
        <v>V=(Ancho x Largo x Alto)* Cant</v>
      </c>
      <c r="L865" s="410" t="str">
        <f t="shared" si="122"/>
        <v>M3</v>
      </c>
      <c r="M865" s="411"/>
      <c r="N865" s="412"/>
      <c r="O865" s="442"/>
      <c r="P865" s="442"/>
      <c r="Q865" s="412"/>
      <c r="R865" s="411">
        <f>+HLOOKUP(B865,[238]Hoja1!$2:$78,16,FALSE)</f>
        <v>0</v>
      </c>
      <c r="S865" s="413"/>
      <c r="T865" s="414">
        <f t="shared" si="118"/>
        <v>0</v>
      </c>
      <c r="Y865" s="439">
        <f t="shared" si="121"/>
        <v>0</v>
      </c>
      <c r="Z865" s="439">
        <f t="shared" si="117"/>
        <v>0</v>
      </c>
    </row>
    <row r="866" spans="1:26" ht="25.5">
      <c r="A866" s="453">
        <f t="shared" si="119"/>
        <v>1.1200000000000001</v>
      </c>
      <c r="B866" s="383">
        <v>34</v>
      </c>
      <c r="D866" s="406"/>
      <c r="E866" s="407"/>
      <c r="F866" s="407"/>
      <c r="G866" s="407"/>
      <c r="H866" s="407"/>
      <c r="I866" s="407"/>
      <c r="J866" s="408" t="s">
        <v>445</v>
      </c>
      <c r="K866" s="409" t="str">
        <f t="shared" si="115"/>
        <v>V=(Ancho x Largo x Alto)* Cant</v>
      </c>
      <c r="L866" s="410" t="str">
        <f t="shared" si="122"/>
        <v>M3</v>
      </c>
      <c r="M866" s="411"/>
      <c r="N866" s="412"/>
      <c r="O866" s="441"/>
      <c r="P866" s="441"/>
      <c r="Q866" s="412"/>
      <c r="R866" s="411">
        <f>+HLOOKUP(B866,[238]Hoja1!$2:$78,16,FALSE)</f>
        <v>0</v>
      </c>
      <c r="S866" s="413"/>
      <c r="T866" s="414">
        <f t="shared" si="118"/>
        <v>0</v>
      </c>
      <c r="Y866" s="439">
        <f t="shared" si="121"/>
        <v>0</v>
      </c>
      <c r="Z866" s="439">
        <f t="shared" si="117"/>
        <v>0</v>
      </c>
    </row>
    <row r="867" spans="1:26" ht="25.5">
      <c r="A867" s="453">
        <f t="shared" si="119"/>
        <v>1.1200000000000001</v>
      </c>
      <c r="B867" s="383">
        <v>35</v>
      </c>
      <c r="D867" s="406"/>
      <c r="E867" s="440"/>
      <c r="F867" s="407"/>
      <c r="G867" s="407"/>
      <c r="H867" s="407"/>
      <c r="I867" s="437"/>
      <c r="J867" s="408" t="s">
        <v>446</v>
      </c>
      <c r="K867" s="409" t="str">
        <f t="shared" si="115"/>
        <v>V=(Ancho x Largo x Alto)* Cant</v>
      </c>
      <c r="L867" s="410" t="str">
        <f t="shared" si="122"/>
        <v>M3</v>
      </c>
      <c r="M867" s="411"/>
      <c r="N867" s="412"/>
      <c r="O867" s="442"/>
      <c r="P867" s="442"/>
      <c r="Q867" s="413"/>
      <c r="R867" s="411">
        <f>+HLOOKUP(B867,[238]Hoja1!$2:$78,16,FALSE)</f>
        <v>0</v>
      </c>
      <c r="S867" s="413"/>
      <c r="T867" s="414">
        <f t="shared" si="118"/>
        <v>0</v>
      </c>
      <c r="Y867" s="439">
        <f t="shared" si="121"/>
        <v>0</v>
      </c>
      <c r="Z867" s="439">
        <f t="shared" si="117"/>
        <v>0</v>
      </c>
    </row>
    <row r="868" spans="1:26" ht="25.5">
      <c r="A868" s="453">
        <f t="shared" si="119"/>
        <v>1.1200000000000001</v>
      </c>
      <c r="B868" s="383">
        <v>36</v>
      </c>
      <c r="D868" s="406"/>
      <c r="E868" s="407"/>
      <c r="F868" s="407"/>
      <c r="G868" s="407"/>
      <c r="H868" s="407"/>
      <c r="I868" s="407"/>
      <c r="J868" s="408" t="s">
        <v>447</v>
      </c>
      <c r="K868" s="409" t="str">
        <f t="shared" si="115"/>
        <v>V=(Ancho x Largo x Alto)* Cant</v>
      </c>
      <c r="L868" s="410" t="str">
        <f>+L857</f>
        <v>M3</v>
      </c>
      <c r="M868" s="411"/>
      <c r="N868" s="412"/>
      <c r="O868" s="442"/>
      <c r="P868" s="442"/>
      <c r="Q868" s="412"/>
      <c r="R868" s="411">
        <f>+HLOOKUP(B868,[238]Hoja1!$2:$78,16,FALSE)</f>
        <v>1.6127999999999998</v>
      </c>
      <c r="S868" s="413">
        <v>1</v>
      </c>
      <c r="T868" s="414">
        <f t="shared" si="118"/>
        <v>1.6127999999999998</v>
      </c>
      <c r="Y868" s="439">
        <f t="shared" si="121"/>
        <v>0</v>
      </c>
      <c r="Z868" s="439">
        <f t="shared" si="117"/>
        <v>0</v>
      </c>
    </row>
    <row r="869" spans="1:26" ht="25.5">
      <c r="A869" s="453">
        <f t="shared" si="119"/>
        <v>1.1200000000000001</v>
      </c>
      <c r="B869" s="383">
        <v>37</v>
      </c>
      <c r="D869" s="406"/>
      <c r="E869" s="407"/>
      <c r="F869" s="407"/>
      <c r="G869" s="407"/>
      <c r="H869" s="407"/>
      <c r="I869" s="407"/>
      <c r="J869" s="408" t="s">
        <v>448</v>
      </c>
      <c r="K869" s="409" t="str">
        <f t="shared" si="115"/>
        <v>V=(Ancho x Largo x Alto)* Cant</v>
      </c>
      <c r="L869" s="410" t="str">
        <f t="shared" ref="L869:L875" si="123">+L868</f>
        <v>M3</v>
      </c>
      <c r="M869" s="411"/>
      <c r="N869" s="412"/>
      <c r="O869" s="441"/>
      <c r="P869" s="441"/>
      <c r="Q869" s="449"/>
      <c r="R869" s="411">
        <f>+HLOOKUP(B869,[238]Hoja1!$2:$78,16,FALSE)</f>
        <v>2.1800000000000002</v>
      </c>
      <c r="S869" s="413">
        <v>1</v>
      </c>
      <c r="T869" s="414">
        <f t="shared" si="118"/>
        <v>2.1800000000000002</v>
      </c>
      <c r="Y869" s="439">
        <f t="shared" si="121"/>
        <v>0</v>
      </c>
      <c r="Z869" s="439">
        <f t="shared" si="117"/>
        <v>0</v>
      </c>
    </row>
    <row r="870" spans="1:26" ht="25.5">
      <c r="A870" s="453">
        <f t="shared" si="119"/>
        <v>1.1200000000000001</v>
      </c>
      <c r="B870" s="383">
        <v>38</v>
      </c>
      <c r="D870" s="406"/>
      <c r="E870" s="440"/>
      <c r="F870" s="407"/>
      <c r="G870" s="407"/>
      <c r="H870" s="407"/>
      <c r="I870" s="437"/>
      <c r="J870" s="408" t="s">
        <v>449</v>
      </c>
      <c r="K870" s="409" t="str">
        <f t="shared" si="115"/>
        <v>V=(Ancho x Largo x Alto)* Cant</v>
      </c>
      <c r="L870" s="410" t="str">
        <f t="shared" si="123"/>
        <v>M3</v>
      </c>
      <c r="M870" s="411"/>
      <c r="N870" s="412"/>
      <c r="O870" s="442"/>
      <c r="P870" s="442"/>
      <c r="Q870" s="413"/>
      <c r="R870" s="411">
        <f>+HLOOKUP(B870,[238]Hoja1!$2:$78,16,FALSE)</f>
        <v>0</v>
      </c>
      <c r="S870" s="413"/>
      <c r="T870" s="414">
        <f t="shared" si="118"/>
        <v>0</v>
      </c>
      <c r="Y870" s="439">
        <f t="shared" si="121"/>
        <v>0</v>
      </c>
      <c r="Z870" s="439">
        <f t="shared" si="117"/>
        <v>0</v>
      </c>
    </row>
    <row r="871" spans="1:26" ht="25.5">
      <c r="A871" s="453">
        <f t="shared" si="119"/>
        <v>1.1200000000000001</v>
      </c>
      <c r="B871" s="383">
        <v>39</v>
      </c>
      <c r="D871" s="406"/>
      <c r="E871" s="407"/>
      <c r="F871" s="407"/>
      <c r="G871" s="407"/>
      <c r="H871" s="407"/>
      <c r="I871" s="407"/>
      <c r="J871" s="408" t="s">
        <v>450</v>
      </c>
      <c r="K871" s="409" t="str">
        <f t="shared" si="115"/>
        <v>V=(Ancho x Largo x Alto)* Cant</v>
      </c>
      <c r="L871" s="410" t="str">
        <f t="shared" si="123"/>
        <v>M3</v>
      </c>
      <c r="M871" s="411"/>
      <c r="N871" s="412"/>
      <c r="O871" s="441"/>
      <c r="P871" s="441"/>
      <c r="Q871" s="412"/>
      <c r="R871" s="411">
        <f>+HLOOKUP(B871,[238]Hoja1!$2:$78,16,FALSE)</f>
        <v>0</v>
      </c>
      <c r="S871" s="413"/>
      <c r="T871" s="414">
        <f t="shared" si="118"/>
        <v>0</v>
      </c>
      <c r="Y871" s="439">
        <f t="shared" si="121"/>
        <v>0</v>
      </c>
      <c r="Z871" s="439">
        <f t="shared" si="117"/>
        <v>0</v>
      </c>
    </row>
    <row r="872" spans="1:26" ht="25.5">
      <c r="A872" s="453">
        <f t="shared" si="119"/>
        <v>1.1200000000000001</v>
      </c>
      <c r="B872" s="383">
        <v>40</v>
      </c>
      <c r="D872" s="406"/>
      <c r="E872" s="407"/>
      <c r="F872" s="407"/>
      <c r="G872" s="407"/>
      <c r="H872" s="407"/>
      <c r="I872" s="407"/>
      <c r="J872" s="408" t="s">
        <v>451</v>
      </c>
      <c r="K872" s="409" t="str">
        <f t="shared" si="115"/>
        <v>V=(Ancho x Largo x Alto)* Cant</v>
      </c>
      <c r="L872" s="410" t="str">
        <f t="shared" si="123"/>
        <v>M3</v>
      </c>
      <c r="M872" s="411"/>
      <c r="N872" s="412"/>
      <c r="O872" s="442"/>
      <c r="P872" s="442"/>
      <c r="Q872" s="412"/>
      <c r="R872" s="411">
        <f>+HLOOKUP(B872,[238]Hoja1!$2:$78,16,FALSE)</f>
        <v>1.6127999999999998</v>
      </c>
      <c r="S872" s="413">
        <v>1</v>
      </c>
      <c r="T872" s="414">
        <f t="shared" si="118"/>
        <v>1.6127999999999998</v>
      </c>
      <c r="Y872" s="439">
        <f t="shared" si="121"/>
        <v>0</v>
      </c>
      <c r="Z872" s="439">
        <f t="shared" si="117"/>
        <v>0</v>
      </c>
    </row>
    <row r="873" spans="1:26" ht="25.5">
      <c r="A873" s="453">
        <f t="shared" si="119"/>
        <v>1.1200000000000001</v>
      </c>
      <c r="B873" s="383">
        <v>41</v>
      </c>
      <c r="D873" s="406"/>
      <c r="E873" s="407"/>
      <c r="F873" s="407"/>
      <c r="G873" s="407"/>
      <c r="H873" s="407"/>
      <c r="I873" s="407"/>
      <c r="J873" s="408" t="s">
        <v>452</v>
      </c>
      <c r="K873" s="409" t="str">
        <f t="shared" si="115"/>
        <v>V=(Ancho x Largo x Alto)* Cant</v>
      </c>
      <c r="L873" s="410" t="str">
        <f t="shared" si="123"/>
        <v>M3</v>
      </c>
      <c r="M873" s="411"/>
      <c r="N873" s="412"/>
      <c r="O873" s="442"/>
      <c r="P873" s="442"/>
      <c r="Q873" s="413"/>
      <c r="R873" s="411">
        <f>+HLOOKUP(B873,[238]Hoja1!$2:$78,16,FALSE)</f>
        <v>0.80500000000000016</v>
      </c>
      <c r="S873" s="413">
        <v>1</v>
      </c>
      <c r="T873" s="414">
        <f t="shared" si="118"/>
        <v>0.80500000000000016</v>
      </c>
      <c r="Y873" s="439">
        <f t="shared" si="121"/>
        <v>0</v>
      </c>
      <c r="Z873" s="439">
        <f t="shared" si="117"/>
        <v>0</v>
      </c>
    </row>
    <row r="874" spans="1:26" ht="25.5">
      <c r="A874" s="453">
        <f t="shared" si="119"/>
        <v>1.1200000000000001</v>
      </c>
      <c r="B874" s="383">
        <v>42</v>
      </c>
      <c r="D874" s="406"/>
      <c r="E874" s="407"/>
      <c r="F874" s="407"/>
      <c r="G874" s="407"/>
      <c r="H874" s="407"/>
      <c r="I874" s="407"/>
      <c r="J874" s="408" t="s">
        <v>453</v>
      </c>
      <c r="K874" s="409" t="str">
        <f t="shared" si="115"/>
        <v>V=(Ancho x Largo x Alto)* Cant</v>
      </c>
      <c r="L874" s="410" t="str">
        <f t="shared" si="123"/>
        <v>M3</v>
      </c>
      <c r="M874" s="411"/>
      <c r="N874" s="412"/>
      <c r="O874" s="442"/>
      <c r="P874" s="442"/>
      <c r="Q874" s="412"/>
      <c r="R874" s="411">
        <f>+HLOOKUP(B874,[238]Hoja1!$2:$78,16,FALSE)</f>
        <v>0</v>
      </c>
      <c r="S874" s="413"/>
      <c r="T874" s="414">
        <f t="shared" si="118"/>
        <v>0</v>
      </c>
      <c r="Y874" s="439">
        <f t="shared" si="121"/>
        <v>0</v>
      </c>
      <c r="Z874" s="439">
        <f t="shared" si="117"/>
        <v>0</v>
      </c>
    </row>
    <row r="875" spans="1:26" ht="26.25" thickBot="1">
      <c r="A875" s="453">
        <f t="shared" si="119"/>
        <v>1.1200000000000001</v>
      </c>
      <c r="B875" s="383">
        <v>43</v>
      </c>
      <c r="D875" s="406"/>
      <c r="E875" s="407"/>
      <c r="F875" s="407"/>
      <c r="G875" s="407"/>
      <c r="H875" s="407"/>
      <c r="I875" s="407"/>
      <c r="J875" s="408" t="s">
        <v>454</v>
      </c>
      <c r="K875" s="409" t="str">
        <f t="shared" si="115"/>
        <v>V=(Ancho x Largo x Alto)* Cant</v>
      </c>
      <c r="L875" s="410" t="str">
        <f t="shared" si="123"/>
        <v>M3</v>
      </c>
      <c r="M875" s="411"/>
      <c r="N875" s="412"/>
      <c r="O875" s="442"/>
      <c r="P875" s="442"/>
      <c r="Q875" s="412"/>
      <c r="R875" s="411">
        <f>+HLOOKUP(B875,[238]Hoja1!$2:$78,16,FALSE)</f>
        <v>0</v>
      </c>
      <c r="S875" s="413"/>
      <c r="T875" s="414">
        <f t="shared" si="118"/>
        <v>0</v>
      </c>
      <c r="Y875" s="439">
        <f t="shared" si="121"/>
        <v>0</v>
      </c>
      <c r="Z875" s="439">
        <f t="shared" si="117"/>
        <v>0</v>
      </c>
    </row>
    <row r="876" spans="1:26">
      <c r="D876" s="384"/>
      <c r="E876" s="419"/>
      <c r="F876" s="420"/>
      <c r="G876" s="421"/>
      <c r="H876" s="421"/>
      <c r="I876" s="421"/>
      <c r="J876" s="421"/>
      <c r="K876" s="422"/>
      <c r="L876" s="421"/>
      <c r="M876" s="421"/>
      <c r="N876" s="421"/>
      <c r="O876" s="421"/>
      <c r="P876" s="421"/>
      <c r="Q876" s="421"/>
      <c r="R876" s="421"/>
      <c r="S876" s="422"/>
      <c r="T876" s="423"/>
    </row>
    <row r="877" spans="1:26">
      <c r="D877" s="396"/>
      <c r="E877" s="397"/>
      <c r="F877" s="424"/>
      <c r="G877" s="425"/>
      <c r="H877" s="425"/>
      <c r="I877" s="425"/>
      <c r="J877" s="425"/>
      <c r="K877" s="398"/>
      <c r="L877" s="425"/>
      <c r="M877" s="425"/>
      <c r="N877" s="397"/>
      <c r="O877" s="397"/>
      <c r="P877" s="562" t="s">
        <v>455</v>
      </c>
      <c r="Q877" s="563"/>
      <c r="R877" s="564"/>
      <c r="S877" s="426"/>
      <c r="T877" s="427">
        <f>ROUND(SUM(T833:T876),2)</f>
        <v>45.16</v>
      </c>
    </row>
    <row r="878" spans="1:26">
      <c r="D878" s="396"/>
      <c r="E878" s="397"/>
      <c r="F878" s="424"/>
      <c r="G878" s="425"/>
      <c r="H878" s="425"/>
      <c r="I878" s="425"/>
      <c r="J878" s="425"/>
      <c r="K878" s="398"/>
      <c r="L878" s="425"/>
      <c r="M878" s="425"/>
      <c r="N878" s="428"/>
      <c r="O878" s="428"/>
      <c r="P878" s="429"/>
      <c r="Q878" s="425"/>
      <c r="R878" s="425"/>
      <c r="S878" s="430"/>
      <c r="T878" s="431"/>
    </row>
    <row r="879" spans="1:26">
      <c r="D879" s="565" t="e">
        <v>#REF!</v>
      </c>
      <c r="E879" s="566"/>
      <c r="F879" s="566"/>
      <c r="G879" s="566"/>
      <c r="H879" s="566"/>
      <c r="I879" s="566"/>
      <c r="J879" s="566"/>
      <c r="K879" s="566"/>
      <c r="L879" s="566"/>
      <c r="M879" s="566"/>
      <c r="N879" s="566"/>
      <c r="O879" s="567"/>
      <c r="P879" s="568" t="s">
        <v>422</v>
      </c>
      <c r="Q879" s="568"/>
      <c r="R879" s="568"/>
      <c r="S879" s="426"/>
      <c r="T879" s="427">
        <f>T877</f>
        <v>45.16</v>
      </c>
    </row>
    <row r="880" spans="1:26">
      <c r="D880" s="396"/>
      <c r="E880" s="397"/>
      <c r="F880" s="424"/>
      <c r="G880" s="425"/>
      <c r="H880" s="425"/>
      <c r="I880" s="425"/>
      <c r="J880" s="425"/>
      <c r="K880" s="398"/>
      <c r="L880" s="425"/>
      <c r="M880" s="425"/>
      <c r="N880" s="428"/>
      <c r="O880" s="428"/>
      <c r="P880" s="429"/>
      <c r="Q880" s="425"/>
      <c r="R880" s="398"/>
      <c r="S880" s="398"/>
      <c r="T880" s="432"/>
    </row>
    <row r="881" spans="4:20" ht="2.4500000000000002" customHeight="1">
      <c r="D881" s="396"/>
      <c r="E881" s="397"/>
      <c r="F881" s="424"/>
      <c r="G881" s="425"/>
      <c r="H881" s="425"/>
      <c r="I881" s="425"/>
      <c r="J881" s="425"/>
      <c r="K881" s="398"/>
      <c r="L881" s="425"/>
      <c r="M881" s="425"/>
      <c r="N881" s="428"/>
      <c r="O881" s="428"/>
      <c r="P881" s="429"/>
      <c r="Q881" s="425"/>
      <c r="R881" s="398"/>
      <c r="S881" s="398"/>
      <c r="T881" s="432"/>
    </row>
    <row r="882" spans="4:20">
      <c r="D882" s="569" t="s">
        <v>423</v>
      </c>
      <c r="E882" s="570"/>
      <c r="F882" s="570"/>
      <c r="G882" s="570"/>
      <c r="H882" s="570"/>
      <c r="I882" s="570"/>
      <c r="J882" s="570"/>
      <c r="K882" s="571"/>
      <c r="L882" s="433" t="s">
        <v>424</v>
      </c>
      <c r="M882" s="434"/>
      <c r="N882" s="434"/>
      <c r="O882" s="434"/>
      <c r="P882" s="434"/>
      <c r="Q882" s="434"/>
      <c r="R882" s="434"/>
      <c r="S882" s="434"/>
      <c r="T882" s="435"/>
    </row>
    <row r="883" spans="4:20">
      <c r="D883" s="542"/>
      <c r="E883" s="543"/>
      <c r="F883" s="543"/>
      <c r="G883" s="543"/>
      <c r="H883" s="436"/>
      <c r="I883" s="436"/>
      <c r="J883" s="436"/>
      <c r="K883" s="447"/>
      <c r="L883" s="436"/>
      <c r="M883" s="407"/>
      <c r="N883" s="407"/>
      <c r="O883" s="407"/>
      <c r="P883" s="407"/>
      <c r="Q883" s="407"/>
      <c r="R883" s="407"/>
      <c r="S883" s="407"/>
      <c r="T883" s="437"/>
    </row>
    <row r="884" spans="4:20">
      <c r="D884" s="542"/>
      <c r="E884" s="543"/>
      <c r="F884" s="543"/>
      <c r="G884" s="543"/>
      <c r="H884" s="436"/>
      <c r="I884" s="436"/>
      <c r="J884" s="436"/>
      <c r="K884" s="447"/>
      <c r="L884" s="436"/>
      <c r="M884" s="407"/>
      <c r="N884" s="407"/>
      <c r="O884" s="407"/>
      <c r="P884" s="407"/>
      <c r="Q884" s="407"/>
      <c r="R884" s="407"/>
      <c r="S884" s="407"/>
      <c r="T884" s="437"/>
    </row>
    <row r="885" spans="4:20" ht="4.1500000000000004" customHeight="1">
      <c r="D885" s="542" t="s">
        <v>425</v>
      </c>
      <c r="E885" s="543"/>
      <c r="F885" s="543" t="s">
        <v>425</v>
      </c>
      <c r="G885" s="543"/>
      <c r="H885" s="543" t="s">
        <v>425</v>
      </c>
      <c r="I885" s="543"/>
      <c r="J885" s="543" t="s">
        <v>425</v>
      </c>
      <c r="K885" s="544"/>
      <c r="L885" s="545" t="s">
        <v>426</v>
      </c>
      <c r="M885" s="546"/>
      <c r="N885" s="546"/>
      <c r="O885" s="546"/>
      <c r="P885" s="546"/>
      <c r="Q885" s="546"/>
      <c r="R885" s="546"/>
      <c r="S885" s="546"/>
      <c r="T885" s="547"/>
    </row>
    <row r="886" spans="4:20">
      <c r="D886" s="548" t="str">
        <f>+[42]DATOS!D$8</f>
        <v>HELMER EDUARDO BECERRA SANTANDER</v>
      </c>
      <c r="E886" s="549"/>
      <c r="F886" s="549" t="s">
        <v>427</v>
      </c>
      <c r="G886" s="549"/>
      <c r="H886" s="549" t="s">
        <v>427</v>
      </c>
      <c r="I886" s="549"/>
      <c r="J886" s="549" t="s">
        <v>427</v>
      </c>
      <c r="K886" s="550"/>
      <c r="L886" s="551" t="str">
        <f>+[42]DATOS!D$11</f>
        <v>JESUS IVAN QUIÑONES RUEDA</v>
      </c>
      <c r="M886" s="549"/>
      <c r="N886" s="549"/>
      <c r="O886" s="549"/>
      <c r="P886" s="549"/>
      <c r="Q886" s="549"/>
      <c r="R886" s="549"/>
      <c r="S886" s="549"/>
      <c r="T886" s="552"/>
    </row>
    <row r="887" spans="4:20">
      <c r="D887" s="553" t="str">
        <f>+$D$72</f>
        <v>APOYO SEC. DE PLANEACION Y OBRAS PÚBLICAS</v>
      </c>
      <c r="E887" s="554"/>
      <c r="F887" s="554" t="s">
        <v>428</v>
      </c>
      <c r="G887" s="554"/>
      <c r="H887" s="554" t="s">
        <v>428</v>
      </c>
      <c r="I887" s="554"/>
      <c r="J887" s="554" t="s">
        <v>428</v>
      </c>
      <c r="K887" s="555"/>
      <c r="L887" s="556" t="str">
        <f>+$L$72</f>
        <v>SECRETARIO DE PLANEACION Y OBRAS PÚBLICAS</v>
      </c>
      <c r="M887" s="554"/>
      <c r="N887" s="554"/>
      <c r="O887" s="554"/>
      <c r="P887" s="554"/>
      <c r="Q887" s="554"/>
      <c r="R887" s="554"/>
      <c r="S887" s="554"/>
      <c r="T887" s="557"/>
    </row>
    <row r="888" spans="4:20">
      <c r="D888" s="406"/>
      <c r="E888" s="407"/>
      <c r="F888" s="407"/>
      <c r="G888" s="407"/>
      <c r="H888" s="407"/>
      <c r="I888" s="407"/>
      <c r="J888" s="407"/>
      <c r="K888" s="407"/>
      <c r="L888" s="407"/>
      <c r="M888" s="407"/>
      <c r="N888" s="407"/>
      <c r="O888" s="407"/>
      <c r="P888" s="407"/>
      <c r="Q888" s="407"/>
      <c r="R888" s="407"/>
      <c r="S888" s="407"/>
      <c r="T888" s="437"/>
    </row>
    <row r="889" spans="4:20" ht="111" customHeight="1" thickBot="1">
      <c r="D889" s="417"/>
      <c r="E889" s="418"/>
      <c r="F889" s="418"/>
      <c r="G889" s="418"/>
      <c r="H889" s="418"/>
      <c r="I889" s="418"/>
      <c r="J889" s="418"/>
      <c r="K889" s="418"/>
      <c r="L889" s="418"/>
      <c r="M889" s="418"/>
      <c r="N889" s="418"/>
      <c r="O889" s="418"/>
      <c r="P889" s="418"/>
      <c r="Q889" s="418"/>
      <c r="R889" s="418"/>
      <c r="S889" s="418"/>
      <c r="T889" s="438"/>
    </row>
    <row r="890" spans="4:20" ht="22.5" customHeight="1"/>
    <row r="891" spans="4:20" ht="13.5" thickBot="1"/>
    <row r="892" spans="4:20">
      <c r="D892" s="384"/>
      <c r="E892" s="385"/>
      <c r="F892" s="385"/>
      <c r="G892" s="385"/>
      <c r="H892" s="385"/>
      <c r="I892" s="385"/>
      <c r="J892" s="385"/>
      <c r="K892" s="445"/>
      <c r="L892" s="385"/>
      <c r="M892" s="385"/>
      <c r="N892" s="385"/>
      <c r="O892" s="385"/>
      <c r="P892" s="385"/>
      <c r="Q892" s="385"/>
      <c r="R892" s="385"/>
      <c r="S892" s="385"/>
      <c r="T892" s="386"/>
    </row>
    <row r="893" spans="4:20" ht="121.5" customHeight="1" thickBot="1">
      <c r="D893" s="387"/>
      <c r="E893" s="388"/>
      <c r="F893" s="388"/>
      <c r="G893" s="388"/>
      <c r="H893" s="388"/>
      <c r="I893" s="388"/>
      <c r="J893" s="388"/>
      <c r="K893" s="446"/>
      <c r="L893" s="388"/>
      <c r="M893" s="388"/>
      <c r="N893" s="388"/>
      <c r="O893" s="388"/>
      <c r="P893" s="388"/>
      <c r="Q893" s="388"/>
      <c r="R893" s="388"/>
      <c r="S893" s="388"/>
      <c r="T893" s="389"/>
    </row>
    <row r="894" spans="4:20">
      <c r="D894" s="592" t="str">
        <f>+[42]DATOS!C$7</f>
        <v>MEJORAMIENTO DE VIVIENDA CON ENFOQUE DIFERENCIAL PARA POBLACIÓN VULNERABLE EN EL MUNICIPIO DE CUBARÁ, BOYACÁ (2026).</v>
      </c>
      <c r="E894" s="593"/>
      <c r="F894" s="593"/>
      <c r="G894" s="593"/>
      <c r="H894" s="593"/>
      <c r="I894" s="593"/>
      <c r="J894" s="593"/>
      <c r="K894" s="593"/>
      <c r="L894" s="593"/>
      <c r="M894" s="593"/>
      <c r="N894" s="593"/>
      <c r="O894" s="593"/>
      <c r="P894" s="593"/>
      <c r="Q894" s="593"/>
      <c r="R894" s="593"/>
      <c r="S894" s="593"/>
      <c r="T894" s="594"/>
    </row>
    <row r="895" spans="4:20">
      <c r="D895" s="595"/>
      <c r="E895" s="596"/>
      <c r="F895" s="596"/>
      <c r="G895" s="596"/>
      <c r="H895" s="596"/>
      <c r="I895" s="596"/>
      <c r="J895" s="596"/>
      <c r="K895" s="596"/>
      <c r="L895" s="596"/>
      <c r="M895" s="596"/>
      <c r="N895" s="596"/>
      <c r="O895" s="596"/>
      <c r="P895" s="596"/>
      <c r="Q895" s="596"/>
      <c r="R895" s="596"/>
      <c r="S895" s="596"/>
      <c r="T895" s="597"/>
    </row>
    <row r="896" spans="4:20">
      <c r="D896" s="598" t="s">
        <v>371</v>
      </c>
      <c r="E896" s="599"/>
      <c r="F896" s="599"/>
      <c r="G896" s="599"/>
      <c r="H896" s="599"/>
      <c r="I896" s="599"/>
      <c r="J896" s="599"/>
      <c r="K896" s="599"/>
      <c r="L896" s="599"/>
      <c r="M896" s="599"/>
      <c r="N896" s="599"/>
      <c r="O896" s="599"/>
      <c r="P896" s="599"/>
      <c r="Q896" s="599"/>
      <c r="R896" s="599"/>
      <c r="S896" s="599"/>
      <c r="T896" s="600"/>
    </row>
    <row r="897" spans="1:26">
      <c r="D897" s="586" t="s">
        <v>372</v>
      </c>
      <c r="E897" s="587"/>
      <c r="F897" s="601" t="s">
        <v>373</v>
      </c>
      <c r="G897" s="601"/>
      <c r="H897" s="601"/>
      <c r="I897" s="601"/>
      <c r="J897" s="601"/>
      <c r="K897" s="601"/>
      <c r="L897" s="601"/>
      <c r="M897" s="601"/>
      <c r="N897" s="601"/>
      <c r="O897" s="601"/>
      <c r="P897" s="601"/>
      <c r="Q897" s="601"/>
      <c r="R897" s="601"/>
      <c r="S897" s="601"/>
      <c r="T897" s="602"/>
    </row>
    <row r="898" spans="1:26">
      <c r="D898" s="586" t="s">
        <v>374</v>
      </c>
      <c r="E898" s="587"/>
      <c r="F898" s="603" t="s">
        <v>375</v>
      </c>
      <c r="G898" s="604"/>
      <c r="H898" s="604"/>
      <c r="I898" s="604"/>
      <c r="J898" s="604"/>
      <c r="K898" s="604"/>
      <c r="L898" s="604"/>
      <c r="M898" s="604"/>
      <c r="N898" s="604"/>
      <c r="O898" s="604"/>
      <c r="P898" s="604"/>
      <c r="Q898" s="604"/>
      <c r="R898" s="604"/>
      <c r="S898" s="604"/>
      <c r="T898" s="605"/>
    </row>
    <row r="899" spans="1:26">
      <c r="D899" s="586" t="s">
        <v>376</v>
      </c>
      <c r="E899" s="587"/>
      <c r="F899" s="390">
        <f>+[42]DATOS!F$5</f>
        <v>46143</v>
      </c>
      <c r="G899" s="391"/>
      <c r="H899" s="391"/>
      <c r="I899" s="391"/>
      <c r="J899" s="391"/>
      <c r="K899" s="391"/>
      <c r="L899" s="568" t="s">
        <v>377</v>
      </c>
      <c r="M899" s="568"/>
      <c r="N899" s="588" t="s">
        <v>378</v>
      </c>
      <c r="O899" s="588"/>
      <c r="P899" s="588"/>
      <c r="Q899" s="588"/>
      <c r="R899" s="588"/>
      <c r="S899" s="588"/>
      <c r="T899" s="589"/>
    </row>
    <row r="900" spans="1:26" ht="25.5">
      <c r="D900" s="586" t="s">
        <v>379</v>
      </c>
      <c r="E900" s="587"/>
      <c r="F900" s="590" t="s">
        <v>380</v>
      </c>
      <c r="G900" s="591"/>
      <c r="H900" s="392">
        <f>+[42]DATOS!E$5</f>
        <v>2026</v>
      </c>
      <c r="I900" s="393" t="s">
        <v>381</v>
      </c>
      <c r="J900" s="394">
        <f>+[42]DATOS!E$5</f>
        <v>2026</v>
      </c>
      <c r="K900" s="395"/>
      <c r="L900" s="568" t="s">
        <v>382</v>
      </c>
      <c r="M900" s="568"/>
      <c r="N900" s="588" t="s">
        <v>383</v>
      </c>
      <c r="O900" s="588"/>
      <c r="P900" s="588"/>
      <c r="Q900" s="588"/>
      <c r="R900" s="588"/>
      <c r="S900" s="588"/>
      <c r="T900" s="589"/>
    </row>
    <row r="901" spans="1:26">
      <c r="D901" s="396"/>
      <c r="E901" s="397"/>
      <c r="F901" s="397"/>
      <c r="G901" s="398"/>
      <c r="H901" s="398"/>
      <c r="I901" s="398"/>
      <c r="J901" s="398"/>
      <c r="K901" s="398"/>
      <c r="L901" s="398"/>
      <c r="M901" s="398"/>
      <c r="N901" s="398"/>
      <c r="O901" s="398"/>
      <c r="P901" s="398"/>
      <c r="Q901" s="398"/>
      <c r="R901" s="398"/>
      <c r="S901" s="398"/>
      <c r="T901" s="399"/>
    </row>
    <row r="902" spans="1:26">
      <c r="D902" s="572" t="s">
        <v>384</v>
      </c>
      <c r="E902" s="573"/>
      <c r="F902" s="573"/>
      <c r="G902" s="573"/>
      <c r="H902" s="573"/>
      <c r="I902" s="573"/>
      <c r="J902" s="573"/>
      <c r="K902" s="573"/>
      <c r="L902" s="573"/>
      <c r="M902" s="573"/>
      <c r="N902" s="573"/>
      <c r="O902" s="573"/>
      <c r="P902" s="573"/>
      <c r="Q902" s="573"/>
      <c r="R902" s="573"/>
      <c r="S902" s="573"/>
      <c r="T902" s="574"/>
    </row>
    <row r="903" spans="1:26">
      <c r="D903" s="396"/>
      <c r="E903" s="397"/>
      <c r="F903" s="397"/>
      <c r="G903" s="398"/>
      <c r="H903" s="398"/>
      <c r="I903" s="398"/>
      <c r="J903" s="398"/>
      <c r="K903" s="398"/>
      <c r="L903" s="398"/>
      <c r="M903" s="398"/>
      <c r="N903" s="398"/>
      <c r="O903" s="398"/>
      <c r="P903" s="398"/>
      <c r="Q903" s="398"/>
      <c r="R903" s="398"/>
      <c r="S903" s="398"/>
      <c r="T903" s="399"/>
    </row>
    <row r="904" spans="1:26">
      <c r="D904" s="400" t="s">
        <v>385</v>
      </c>
      <c r="E904" s="575" t="s">
        <v>386</v>
      </c>
      <c r="F904" s="575"/>
      <c r="G904" s="576" t="s">
        <v>387</v>
      </c>
      <c r="H904" s="577"/>
      <c r="I904" s="577"/>
      <c r="J904" s="576" t="s">
        <v>388</v>
      </c>
      <c r="K904" s="576" t="s">
        <v>389</v>
      </c>
      <c r="L904" s="579"/>
      <c r="M904" s="581" t="s">
        <v>390</v>
      </c>
      <c r="N904" s="581"/>
      <c r="O904" s="581"/>
      <c r="P904" s="581"/>
      <c r="Q904" s="581"/>
      <c r="R904" s="581"/>
      <c r="S904" s="581" t="s">
        <v>391</v>
      </c>
      <c r="T904" s="582"/>
    </row>
    <row r="905" spans="1:26" ht="38.25">
      <c r="D905" s="403">
        <f>+'PRESUPUESTO OFICIAL '!C24</f>
        <v>1.1299999999999999</v>
      </c>
      <c r="E905" s="583" t="str">
        <f>+VLOOKUP(D905,'PRESUPUESTO OFICIAL '!$C$11:$H$103,2)</f>
        <v>EXCAVACIÓN MANUAL EN MATERIAL CONGLOMERADO</v>
      </c>
      <c r="F905" s="584"/>
      <c r="G905" s="585" t="str">
        <f>+VLOOKUP(D905,'PRESUPUESTO OFICIAL '!$C$11:$H$103,3)</f>
        <v>M3</v>
      </c>
      <c r="H905" s="585"/>
      <c r="I905" s="585"/>
      <c r="J905" s="578"/>
      <c r="K905" s="578"/>
      <c r="L905" s="580"/>
      <c r="M905" s="401" t="s">
        <v>392</v>
      </c>
      <c r="N905" s="401" t="s">
        <v>393</v>
      </c>
      <c r="O905" s="401" t="s">
        <v>394</v>
      </c>
      <c r="P905" s="401" t="s">
        <v>395</v>
      </c>
      <c r="Q905" s="401" t="s">
        <v>396</v>
      </c>
      <c r="R905" s="401" t="s">
        <v>397</v>
      </c>
      <c r="S905" s="401" t="s">
        <v>398</v>
      </c>
      <c r="T905" s="402" t="s">
        <v>399</v>
      </c>
      <c r="V905" s="404">
        <f>+D905</f>
        <v>1.1299999999999999</v>
      </c>
      <c r="W905" s="405">
        <f>+T953</f>
        <v>2.4500000000000002</v>
      </c>
    </row>
    <row r="906" spans="1:26">
      <c r="D906" s="406"/>
      <c r="E906" s="407"/>
      <c r="F906" s="407"/>
      <c r="G906" s="407"/>
      <c r="H906" s="407"/>
      <c r="I906" s="407"/>
      <c r="J906" s="558"/>
      <c r="K906" s="559"/>
      <c r="L906" s="560"/>
      <c r="M906" s="560"/>
      <c r="N906" s="560"/>
      <c r="O906" s="560"/>
      <c r="P906" s="560"/>
      <c r="Q906" s="560"/>
      <c r="R906" s="560"/>
      <c r="S906" s="560"/>
      <c r="T906" s="561"/>
    </row>
    <row r="907" spans="1:26" ht="25.5">
      <c r="A907" s="453">
        <f>+D905</f>
        <v>1.1299999999999999</v>
      </c>
      <c r="B907" s="383">
        <v>1</v>
      </c>
      <c r="D907" s="406"/>
      <c r="E907" s="407"/>
      <c r="F907" s="407"/>
      <c r="G907" s="407"/>
      <c r="H907" s="407"/>
      <c r="I907" s="407"/>
      <c r="J907" s="408" t="s">
        <v>400</v>
      </c>
      <c r="K907" s="409" t="str">
        <f t="shared" ref="K907:K949" si="124">+VLOOKUP(L907,$AH$22:$AJ$58,2,)</f>
        <v>V=(Ancho x Largo x Alto)* Cant</v>
      </c>
      <c r="L907" s="410" t="str">
        <f>+G905</f>
        <v>M3</v>
      </c>
      <c r="M907" s="411"/>
      <c r="N907" s="412"/>
      <c r="O907" s="442"/>
      <c r="P907" s="442"/>
      <c r="Q907" s="413"/>
      <c r="R907" s="411">
        <f>+HLOOKUP(B907,[238]Hoja1!$2:$78,17,FALSE)</f>
        <v>0</v>
      </c>
      <c r="S907" s="413"/>
      <c r="T907" s="414">
        <f>+S907*R907</f>
        <v>0</v>
      </c>
      <c r="Y907" s="439">
        <f t="shared" ref="Y907:Y912" si="125">+O907*P907*Q907</f>
        <v>0</v>
      </c>
      <c r="Z907" s="439">
        <f t="shared" ref="Z907:Z912" si="126">+Y907-R907</f>
        <v>0</v>
      </c>
    </row>
    <row r="908" spans="1:26" ht="25.5">
      <c r="A908" s="453">
        <f>+A907</f>
        <v>1.1299999999999999</v>
      </c>
      <c r="B908" s="383">
        <v>2</v>
      </c>
      <c r="D908" s="406"/>
      <c r="E908" s="407"/>
      <c r="F908" s="407"/>
      <c r="G908" s="407"/>
      <c r="H908" s="407"/>
      <c r="I908" s="407"/>
      <c r="J908" s="408" t="s">
        <v>401</v>
      </c>
      <c r="K908" s="409" t="str">
        <f t="shared" si="124"/>
        <v>V=(Ancho x Largo x Alto)* Cant</v>
      </c>
      <c r="L908" s="410" t="str">
        <f>+L907</f>
        <v>M3</v>
      </c>
      <c r="M908" s="411"/>
      <c r="N908" s="412"/>
      <c r="O908" s="442"/>
      <c r="P908" s="442"/>
      <c r="Q908" s="413"/>
      <c r="R908" s="411">
        <f>+HLOOKUP(B908,[238]Hoja1!$2:$78,17,FALSE)</f>
        <v>0</v>
      </c>
      <c r="S908" s="413"/>
      <c r="T908" s="414">
        <f t="shared" ref="T908:T949" si="127">+S908*R908</f>
        <v>0</v>
      </c>
      <c r="Y908" s="439">
        <f t="shared" si="125"/>
        <v>0</v>
      </c>
      <c r="Z908" s="439">
        <f t="shared" si="126"/>
        <v>0</v>
      </c>
    </row>
    <row r="909" spans="1:26" ht="25.5">
      <c r="A909" s="453">
        <f t="shared" ref="A909:A949" si="128">+A908</f>
        <v>1.1299999999999999</v>
      </c>
      <c r="B909" s="383">
        <v>3</v>
      </c>
      <c r="D909" s="406"/>
      <c r="E909" s="407"/>
      <c r="F909" s="407"/>
      <c r="G909" s="407"/>
      <c r="H909" s="407"/>
      <c r="I909" s="407"/>
      <c r="J909" s="408" t="s">
        <v>402</v>
      </c>
      <c r="K909" s="409" t="str">
        <f t="shared" si="124"/>
        <v>V=(Ancho x Largo x Alto)* Cant</v>
      </c>
      <c r="L909" s="410" t="str">
        <f>+L908</f>
        <v>M3</v>
      </c>
      <c r="M909" s="411"/>
      <c r="N909" s="412"/>
      <c r="O909" s="442"/>
      <c r="P909" s="442"/>
      <c r="Q909" s="413"/>
      <c r="R909" s="411">
        <f>+HLOOKUP(B909,[238]Hoja1!$2:$78,17,FALSE)</f>
        <v>0</v>
      </c>
      <c r="S909" s="413"/>
      <c r="T909" s="414">
        <f t="shared" si="127"/>
        <v>0</v>
      </c>
      <c r="Y909" s="439">
        <f t="shared" si="125"/>
        <v>0</v>
      </c>
      <c r="Z909" s="439">
        <f t="shared" si="126"/>
        <v>0</v>
      </c>
    </row>
    <row r="910" spans="1:26" ht="25.5">
      <c r="A910" s="453">
        <f t="shared" si="128"/>
        <v>1.1299999999999999</v>
      </c>
      <c r="B910" s="383">
        <v>4</v>
      </c>
      <c r="D910" s="406"/>
      <c r="E910" s="407"/>
      <c r="F910" s="407"/>
      <c r="G910" s="407"/>
      <c r="H910" s="407"/>
      <c r="I910" s="407"/>
      <c r="J910" s="408" t="s">
        <v>403</v>
      </c>
      <c r="K910" s="409" t="str">
        <f t="shared" si="124"/>
        <v>V=(Ancho x Largo x Alto)* Cant</v>
      </c>
      <c r="L910" s="410" t="str">
        <f>+L909</f>
        <v>M3</v>
      </c>
      <c r="M910" s="411"/>
      <c r="N910" s="412"/>
      <c r="O910" s="442"/>
      <c r="P910" s="442"/>
      <c r="Q910" s="413"/>
      <c r="R910" s="411">
        <f>+HLOOKUP(B910,[238]Hoja1!$2:$78,17,FALSE)</f>
        <v>0</v>
      </c>
      <c r="S910" s="413"/>
      <c r="T910" s="414">
        <f t="shared" si="127"/>
        <v>0</v>
      </c>
      <c r="Y910" s="439">
        <f t="shared" si="125"/>
        <v>0</v>
      </c>
      <c r="Z910" s="439">
        <f t="shared" si="126"/>
        <v>0</v>
      </c>
    </row>
    <row r="911" spans="1:26" ht="25.5">
      <c r="A911" s="453">
        <f t="shared" si="128"/>
        <v>1.1299999999999999</v>
      </c>
      <c r="B911" s="383">
        <v>5</v>
      </c>
      <c r="D911" s="406"/>
      <c r="E911" s="407"/>
      <c r="F911" s="407"/>
      <c r="G911" s="407"/>
      <c r="H911" s="407"/>
      <c r="I911" s="407"/>
      <c r="J911" s="408" t="s">
        <v>405</v>
      </c>
      <c r="K911" s="409" t="str">
        <f t="shared" si="124"/>
        <v>V=(Ancho x Largo x Alto)* Cant</v>
      </c>
      <c r="L911" s="410" t="str">
        <f>+L910</f>
        <v>M3</v>
      </c>
      <c r="M911" s="411"/>
      <c r="N911" s="412"/>
      <c r="O911" s="442"/>
      <c r="P911" s="442"/>
      <c r="Q911" s="413"/>
      <c r="R911" s="411">
        <f>+HLOOKUP(B911,[238]Hoja1!$2:$78,17,FALSE)</f>
        <v>0</v>
      </c>
      <c r="S911" s="413"/>
      <c r="T911" s="414">
        <f t="shared" si="127"/>
        <v>0</v>
      </c>
      <c r="Y911" s="439">
        <f t="shared" si="125"/>
        <v>0</v>
      </c>
      <c r="Z911" s="439">
        <f t="shared" si="126"/>
        <v>0</v>
      </c>
    </row>
    <row r="912" spans="1:26" ht="25.5">
      <c r="A912" s="453">
        <f t="shared" si="128"/>
        <v>1.1299999999999999</v>
      </c>
      <c r="B912" s="383">
        <v>6</v>
      </c>
      <c r="D912" s="406"/>
      <c r="E912" s="407"/>
      <c r="F912" s="407"/>
      <c r="G912" s="407"/>
      <c r="H912" s="407"/>
      <c r="I912" s="407"/>
      <c r="J912" s="408" t="s">
        <v>407</v>
      </c>
      <c r="K912" s="409" t="str">
        <f t="shared" si="124"/>
        <v>V=(Ancho x Largo x Alto)* Cant</v>
      </c>
      <c r="L912" s="410" t="str">
        <f>+L911</f>
        <v>M3</v>
      </c>
      <c r="M912" s="411"/>
      <c r="N912" s="412"/>
      <c r="O912" s="442"/>
      <c r="P912" s="442"/>
      <c r="Q912" s="413"/>
      <c r="R912" s="411">
        <f>+HLOOKUP(B912,[238]Hoja1!$2:$78,17,FALSE)</f>
        <v>0</v>
      </c>
      <c r="S912" s="413"/>
      <c r="T912" s="414">
        <f t="shared" si="127"/>
        <v>0</v>
      </c>
      <c r="Y912" s="439">
        <f t="shared" si="125"/>
        <v>0</v>
      </c>
      <c r="Z912" s="439">
        <f t="shared" si="126"/>
        <v>0</v>
      </c>
    </row>
    <row r="913" spans="1:26" ht="25.5">
      <c r="A913" s="453">
        <f t="shared" si="128"/>
        <v>1.1299999999999999</v>
      </c>
      <c r="B913" s="383">
        <v>7</v>
      </c>
      <c r="D913" s="406"/>
      <c r="E913" s="407"/>
      <c r="F913" s="407"/>
      <c r="G913" s="407"/>
      <c r="H913" s="407"/>
      <c r="I913" s="407"/>
      <c r="J913" s="408" t="s">
        <v>409</v>
      </c>
      <c r="K913" s="409" t="str">
        <f t="shared" si="124"/>
        <v>V=(Ancho x Largo x Alto)* Cant</v>
      </c>
      <c r="L913" s="410" t="str">
        <f>+L907</f>
        <v>M3</v>
      </c>
      <c r="M913" s="411"/>
      <c r="N913" s="412"/>
      <c r="O913" s="442">
        <v>0.5</v>
      </c>
      <c r="P913" s="442">
        <f>0.5*6</f>
        <v>3</v>
      </c>
      <c r="Q913" s="413">
        <v>0.4</v>
      </c>
      <c r="R913" s="411">
        <f>+HLOOKUP(B913,[238]Hoja1!$2:$78,17,FALSE)</f>
        <v>0.60000000000000009</v>
      </c>
      <c r="S913" s="413">
        <v>1</v>
      </c>
      <c r="T913" s="414">
        <f t="shared" si="127"/>
        <v>0.60000000000000009</v>
      </c>
      <c r="Y913" s="439">
        <f>+O913*P913*Q913</f>
        <v>0.60000000000000009</v>
      </c>
      <c r="Z913" s="439">
        <f>+Y913-R913</f>
        <v>0</v>
      </c>
    </row>
    <row r="914" spans="1:26" ht="25.5">
      <c r="A914" s="453">
        <f t="shared" si="128"/>
        <v>1.1299999999999999</v>
      </c>
      <c r="B914" s="383">
        <v>8</v>
      </c>
      <c r="D914" s="406"/>
      <c r="E914" s="407"/>
      <c r="F914" s="407"/>
      <c r="G914" s="407"/>
      <c r="H914" s="407"/>
      <c r="I914" s="407"/>
      <c r="J914" s="408" t="s">
        <v>411</v>
      </c>
      <c r="K914" s="409" t="str">
        <f t="shared" si="124"/>
        <v>V=(Ancho x Largo x Alto)* Cant</v>
      </c>
      <c r="L914" s="410" t="str">
        <f>+L913</f>
        <v>M3</v>
      </c>
      <c r="M914" s="411"/>
      <c r="N914" s="412"/>
      <c r="O914" s="442"/>
      <c r="P914" s="442"/>
      <c r="Q914" s="413"/>
      <c r="R914" s="411">
        <f>+HLOOKUP(B914,[238]Hoja1!$2:$78,17,FALSE)</f>
        <v>0</v>
      </c>
      <c r="S914" s="413"/>
      <c r="T914" s="414">
        <f t="shared" si="127"/>
        <v>0</v>
      </c>
      <c r="Y914" s="439">
        <f t="shared" ref="Y914:Y949" si="129">+O914*P914*Q914</f>
        <v>0</v>
      </c>
      <c r="Z914" s="439">
        <f t="shared" ref="Z914:Z949" si="130">+Y914-R914</f>
        <v>0</v>
      </c>
    </row>
    <row r="915" spans="1:26" ht="25.5">
      <c r="A915" s="453">
        <f t="shared" si="128"/>
        <v>1.1299999999999999</v>
      </c>
      <c r="B915" s="383">
        <v>9</v>
      </c>
      <c r="D915" s="406"/>
      <c r="E915" s="407"/>
      <c r="F915" s="407"/>
      <c r="G915" s="407"/>
      <c r="H915" s="407"/>
      <c r="I915" s="407"/>
      <c r="J915" s="408" t="s">
        <v>412</v>
      </c>
      <c r="K915" s="409" t="str">
        <f t="shared" si="124"/>
        <v>V=(Ancho x Largo x Alto)* Cant</v>
      </c>
      <c r="L915" s="410" t="str">
        <f>+L914</f>
        <v>M3</v>
      </c>
      <c r="M915" s="411"/>
      <c r="N915" s="412"/>
      <c r="O915" s="442"/>
      <c r="P915" s="442"/>
      <c r="Q915" s="412"/>
      <c r="R915" s="411">
        <f>+HLOOKUP(B915,[238]Hoja1!$2:$78,17,FALSE)</f>
        <v>0</v>
      </c>
      <c r="S915" s="413"/>
      <c r="T915" s="414">
        <f t="shared" si="127"/>
        <v>0</v>
      </c>
      <c r="Y915" s="439">
        <f t="shared" si="129"/>
        <v>0</v>
      </c>
      <c r="Z915" s="439">
        <f t="shared" si="130"/>
        <v>0</v>
      </c>
    </row>
    <row r="916" spans="1:26" ht="25.5">
      <c r="A916" s="453">
        <f t="shared" si="128"/>
        <v>1.1299999999999999</v>
      </c>
      <c r="B916" s="383">
        <v>10</v>
      </c>
      <c r="D916" s="406"/>
      <c r="E916" s="407"/>
      <c r="F916" s="407"/>
      <c r="G916" s="407"/>
      <c r="H916" s="407"/>
      <c r="I916" s="407"/>
      <c r="J916" s="408" t="s">
        <v>413</v>
      </c>
      <c r="K916" s="409" t="str">
        <f t="shared" si="124"/>
        <v>V=(Ancho x Largo x Alto)* Cant</v>
      </c>
      <c r="L916" s="410" t="str">
        <f>+L915</f>
        <v>M3</v>
      </c>
      <c r="M916" s="411"/>
      <c r="N916" s="412"/>
      <c r="O916" s="441"/>
      <c r="P916" s="441"/>
      <c r="Q916" s="412"/>
      <c r="R916" s="411">
        <f>+HLOOKUP(B916,[238]Hoja1!$2:$78,17,FALSE)</f>
        <v>0</v>
      </c>
      <c r="S916" s="413"/>
      <c r="T916" s="414">
        <f t="shared" si="127"/>
        <v>0</v>
      </c>
      <c r="Y916" s="439">
        <f t="shared" si="129"/>
        <v>0</v>
      </c>
      <c r="Z916" s="439">
        <f t="shared" si="130"/>
        <v>0</v>
      </c>
    </row>
    <row r="917" spans="1:26" ht="25.5">
      <c r="A917" s="453">
        <f t="shared" si="128"/>
        <v>1.1299999999999999</v>
      </c>
      <c r="B917" s="383">
        <v>11</v>
      </c>
      <c r="D917" s="406"/>
      <c r="E917" s="407"/>
      <c r="F917" s="407"/>
      <c r="G917" s="407"/>
      <c r="H917" s="407"/>
      <c r="I917" s="407"/>
      <c r="J917" s="408" t="s">
        <v>414</v>
      </c>
      <c r="K917" s="409" t="str">
        <f t="shared" si="124"/>
        <v>V=(Ancho x Largo x Alto)* Cant</v>
      </c>
      <c r="L917" s="410" t="str">
        <f>+L916</f>
        <v>M3</v>
      </c>
      <c r="M917" s="411"/>
      <c r="N917" s="412"/>
      <c r="O917" s="443"/>
      <c r="P917" s="443"/>
      <c r="Q917" s="412"/>
      <c r="R917" s="411">
        <f>+HLOOKUP(B917,[238]Hoja1!$2:$78,17,FALSE)</f>
        <v>0</v>
      </c>
      <c r="S917" s="413"/>
      <c r="T917" s="414">
        <f t="shared" si="127"/>
        <v>0</v>
      </c>
      <c r="Y917" s="439">
        <f t="shared" si="129"/>
        <v>0</v>
      </c>
      <c r="Z917" s="439">
        <f t="shared" si="130"/>
        <v>0</v>
      </c>
    </row>
    <row r="918" spans="1:26" ht="25.5">
      <c r="A918" s="453">
        <f t="shared" si="128"/>
        <v>1.1299999999999999</v>
      </c>
      <c r="B918" s="383">
        <v>12</v>
      </c>
      <c r="D918" s="406"/>
      <c r="E918" s="407"/>
      <c r="F918" s="407"/>
      <c r="G918" s="407"/>
      <c r="H918" s="407"/>
      <c r="I918" s="407"/>
      <c r="J918" s="408" t="s">
        <v>415</v>
      </c>
      <c r="K918" s="409" t="str">
        <f t="shared" si="124"/>
        <v>V=(Ancho x Largo x Alto)* Cant</v>
      </c>
      <c r="L918" s="410" t="str">
        <f>+L912</f>
        <v>M3</v>
      </c>
      <c r="M918" s="411"/>
      <c r="N918" s="412"/>
      <c r="O918" s="442"/>
      <c r="P918" s="442"/>
      <c r="Q918" s="413"/>
      <c r="R918" s="411">
        <f>+HLOOKUP(B918,[238]Hoja1!$2:$78,17,FALSE)</f>
        <v>0</v>
      </c>
      <c r="S918" s="413"/>
      <c r="T918" s="414">
        <f t="shared" si="127"/>
        <v>0</v>
      </c>
      <c r="Y918" s="439">
        <f t="shared" si="129"/>
        <v>0</v>
      </c>
      <c r="Z918" s="439">
        <f t="shared" si="130"/>
        <v>0</v>
      </c>
    </row>
    <row r="919" spans="1:26" ht="25.5">
      <c r="A919" s="453">
        <f t="shared" si="128"/>
        <v>1.1299999999999999</v>
      </c>
      <c r="B919" s="383">
        <v>13</v>
      </c>
      <c r="D919" s="406"/>
      <c r="E919" s="407"/>
      <c r="F919" s="407"/>
      <c r="G919" s="407"/>
      <c r="H919" s="407"/>
      <c r="I919" s="407"/>
      <c r="J919" s="408" t="s">
        <v>416</v>
      </c>
      <c r="K919" s="409" t="str">
        <f t="shared" si="124"/>
        <v>V=(Ancho x Largo x Alto)* Cant</v>
      </c>
      <c r="L919" s="410" t="str">
        <f>+L914</f>
        <v>M3</v>
      </c>
      <c r="M919" s="411"/>
      <c r="N919" s="412"/>
      <c r="O919" s="442"/>
      <c r="P919" s="442"/>
      <c r="Q919" s="413"/>
      <c r="R919" s="411">
        <f>+HLOOKUP(B919,[238]Hoja1!$2:$78,17,FALSE)</f>
        <v>0</v>
      </c>
      <c r="S919" s="413"/>
      <c r="T919" s="414">
        <f t="shared" si="127"/>
        <v>0</v>
      </c>
      <c r="Y919" s="439">
        <f t="shared" si="129"/>
        <v>0</v>
      </c>
      <c r="Z919" s="439">
        <f t="shared" si="130"/>
        <v>0</v>
      </c>
    </row>
    <row r="920" spans="1:26" ht="25.5">
      <c r="A920" s="453">
        <f t="shared" si="128"/>
        <v>1.1299999999999999</v>
      </c>
      <c r="B920" s="383">
        <v>14</v>
      </c>
      <c r="D920" s="406"/>
      <c r="E920" s="407"/>
      <c r="F920" s="407"/>
      <c r="G920" s="407"/>
      <c r="H920" s="407"/>
      <c r="I920" s="407"/>
      <c r="J920" s="408" t="s">
        <v>417</v>
      </c>
      <c r="K920" s="409" t="str">
        <f t="shared" si="124"/>
        <v>V=(Ancho x Largo x Alto)* Cant</v>
      </c>
      <c r="L920" s="410" t="str">
        <f t="shared" ref="L920:L931" si="131">+L919</f>
        <v>M3</v>
      </c>
      <c r="M920" s="411"/>
      <c r="N920" s="412"/>
      <c r="O920" s="442"/>
      <c r="P920" s="442"/>
      <c r="Q920" s="412"/>
      <c r="R920" s="411">
        <f>+HLOOKUP(B920,[238]Hoja1!$2:$78,17,FALSE)</f>
        <v>0</v>
      </c>
      <c r="S920" s="413"/>
      <c r="T920" s="414">
        <f t="shared" si="127"/>
        <v>0</v>
      </c>
      <c r="Y920" s="439">
        <f t="shared" si="129"/>
        <v>0</v>
      </c>
      <c r="Z920" s="439">
        <f t="shared" si="130"/>
        <v>0</v>
      </c>
    </row>
    <row r="921" spans="1:26" ht="25.5">
      <c r="A921" s="453">
        <f t="shared" si="128"/>
        <v>1.1299999999999999</v>
      </c>
      <c r="B921" s="383">
        <v>15</v>
      </c>
      <c r="D921" s="406"/>
      <c r="E921" s="407"/>
      <c r="F921" s="407"/>
      <c r="G921" s="407"/>
      <c r="H921" s="407"/>
      <c r="I921" s="407"/>
      <c r="J921" s="408" t="s">
        <v>418</v>
      </c>
      <c r="K921" s="409" t="str">
        <f t="shared" si="124"/>
        <v>V=(Ancho x Largo x Alto)* Cant</v>
      </c>
      <c r="L921" s="410" t="str">
        <f t="shared" si="131"/>
        <v>M3</v>
      </c>
      <c r="M921" s="411"/>
      <c r="N921" s="412"/>
      <c r="O921" s="442"/>
      <c r="P921" s="442"/>
      <c r="Q921" s="449"/>
      <c r="R921" s="411">
        <f>+HLOOKUP(B921,[238]Hoja1!$2:$78,17,FALSE)</f>
        <v>0</v>
      </c>
      <c r="S921" s="413"/>
      <c r="T921" s="414">
        <f t="shared" si="127"/>
        <v>0</v>
      </c>
      <c r="Y921" s="439">
        <f t="shared" si="129"/>
        <v>0</v>
      </c>
      <c r="Z921" s="439">
        <f t="shared" si="130"/>
        <v>0</v>
      </c>
    </row>
    <row r="922" spans="1:26" ht="25.5">
      <c r="A922" s="453">
        <f t="shared" si="128"/>
        <v>1.1299999999999999</v>
      </c>
      <c r="B922" s="383">
        <v>16</v>
      </c>
      <c r="D922" s="406"/>
      <c r="E922" s="407"/>
      <c r="F922" s="407"/>
      <c r="G922" s="407"/>
      <c r="H922" s="407"/>
      <c r="I922" s="407"/>
      <c r="J922" s="408" t="s">
        <v>419</v>
      </c>
      <c r="K922" s="409" t="str">
        <f t="shared" si="124"/>
        <v>V=(Ancho x Largo x Alto)* Cant</v>
      </c>
      <c r="L922" s="410" t="str">
        <f t="shared" si="131"/>
        <v>M3</v>
      </c>
      <c r="M922" s="411"/>
      <c r="N922" s="412"/>
      <c r="O922" s="442"/>
      <c r="P922" s="442"/>
      <c r="Q922" s="449"/>
      <c r="R922" s="411">
        <f>+HLOOKUP(B922,[238]Hoja1!$2:$78,17,FALSE)</f>
        <v>0</v>
      </c>
      <c r="S922" s="413"/>
      <c r="T922" s="414">
        <f t="shared" si="127"/>
        <v>0</v>
      </c>
      <c r="Y922" s="439">
        <f t="shared" si="129"/>
        <v>0</v>
      </c>
      <c r="Z922" s="439">
        <f t="shared" si="130"/>
        <v>0</v>
      </c>
    </row>
    <row r="923" spans="1:26" ht="25.5">
      <c r="A923" s="453">
        <f t="shared" si="128"/>
        <v>1.1299999999999999</v>
      </c>
      <c r="B923" s="383">
        <v>17</v>
      </c>
      <c r="D923" s="406"/>
      <c r="E923" s="407"/>
      <c r="F923" s="407"/>
      <c r="G923" s="407"/>
      <c r="H923" s="407"/>
      <c r="I923" s="407"/>
      <c r="J923" s="408" t="s">
        <v>420</v>
      </c>
      <c r="K923" s="409" t="str">
        <f t="shared" si="124"/>
        <v>V=(Ancho x Largo x Alto)* Cant</v>
      </c>
      <c r="L923" s="410" t="str">
        <f t="shared" si="131"/>
        <v>M3</v>
      </c>
      <c r="M923" s="411"/>
      <c r="N923" s="412"/>
      <c r="O923" s="442"/>
      <c r="P923" s="442"/>
      <c r="Q923" s="412"/>
      <c r="R923" s="411">
        <f>+HLOOKUP(B923,[238]Hoja1!$2:$78,17,FALSE)</f>
        <v>0</v>
      </c>
      <c r="S923" s="413"/>
      <c r="T923" s="414">
        <f t="shared" si="127"/>
        <v>0</v>
      </c>
      <c r="Y923" s="439">
        <f t="shared" si="129"/>
        <v>0</v>
      </c>
      <c r="Z923" s="439">
        <f t="shared" si="130"/>
        <v>0</v>
      </c>
    </row>
    <row r="924" spans="1:26" ht="25.5">
      <c r="A924" s="453">
        <f t="shared" si="128"/>
        <v>1.1299999999999999</v>
      </c>
      <c r="B924" s="383">
        <v>18</v>
      </c>
      <c r="D924" s="406"/>
      <c r="E924" s="407"/>
      <c r="F924" s="407"/>
      <c r="G924" s="407"/>
      <c r="H924" s="407"/>
      <c r="I924" s="407"/>
      <c r="J924" s="408" t="s">
        <v>429</v>
      </c>
      <c r="K924" s="409" t="str">
        <f t="shared" si="124"/>
        <v>V=(Ancho x Largo x Alto)* Cant</v>
      </c>
      <c r="L924" s="410" t="str">
        <f t="shared" si="131"/>
        <v>M3</v>
      </c>
      <c r="M924" s="411"/>
      <c r="N924" s="412"/>
      <c r="O924" s="442"/>
      <c r="P924" s="442"/>
      <c r="Q924" s="412"/>
      <c r="R924" s="411">
        <f>+HLOOKUP(B924,[238]Hoja1!$2:$78,17,FALSE)</f>
        <v>0</v>
      </c>
      <c r="S924" s="413"/>
      <c r="T924" s="414">
        <f t="shared" si="127"/>
        <v>0</v>
      </c>
      <c r="Y924" s="439">
        <f t="shared" si="129"/>
        <v>0</v>
      </c>
      <c r="Z924" s="439">
        <f t="shared" si="130"/>
        <v>0</v>
      </c>
    </row>
    <row r="925" spans="1:26" ht="25.5">
      <c r="A925" s="453">
        <f t="shared" si="128"/>
        <v>1.1299999999999999</v>
      </c>
      <c r="B925" s="383">
        <v>19</v>
      </c>
      <c r="D925" s="406"/>
      <c r="E925" s="407"/>
      <c r="F925" s="407"/>
      <c r="G925" s="407"/>
      <c r="H925" s="407"/>
      <c r="I925" s="407"/>
      <c r="J925" s="408" t="s">
        <v>430</v>
      </c>
      <c r="K925" s="409" t="str">
        <f t="shared" si="124"/>
        <v>V=(Ancho x Largo x Alto)* Cant</v>
      </c>
      <c r="L925" s="410" t="str">
        <f t="shared" si="131"/>
        <v>M3</v>
      </c>
      <c r="M925" s="411"/>
      <c r="N925" s="412"/>
      <c r="O925" s="442"/>
      <c r="P925" s="442"/>
      <c r="Q925" s="412"/>
      <c r="R925" s="411">
        <f>+HLOOKUP(B925,[238]Hoja1!$2:$78,17,FALSE)</f>
        <v>0</v>
      </c>
      <c r="S925" s="413"/>
      <c r="T925" s="414">
        <f t="shared" si="127"/>
        <v>0</v>
      </c>
      <c r="Y925" s="439">
        <f t="shared" si="129"/>
        <v>0</v>
      </c>
      <c r="Z925" s="439">
        <f t="shared" si="130"/>
        <v>0</v>
      </c>
    </row>
    <row r="926" spans="1:26" ht="25.5">
      <c r="A926" s="453">
        <f t="shared" si="128"/>
        <v>1.1299999999999999</v>
      </c>
      <c r="B926" s="383">
        <v>20</v>
      </c>
      <c r="D926" s="406"/>
      <c r="E926" s="407"/>
      <c r="F926" s="407"/>
      <c r="G926" s="407"/>
      <c r="H926" s="407"/>
      <c r="I926" s="407"/>
      <c r="J926" s="408" t="s">
        <v>431</v>
      </c>
      <c r="K926" s="409" t="str">
        <f t="shared" si="124"/>
        <v>V=(Ancho x Largo x Alto)* Cant</v>
      </c>
      <c r="L926" s="410" t="str">
        <f t="shared" si="131"/>
        <v>M3</v>
      </c>
      <c r="M926" s="411"/>
      <c r="N926" s="412"/>
      <c r="O926" s="442"/>
      <c r="P926" s="442"/>
      <c r="Q926" s="412"/>
      <c r="R926" s="411">
        <f>+HLOOKUP(B926,[238]Hoja1!$2:$78,17,FALSE)</f>
        <v>0</v>
      </c>
      <c r="S926" s="413"/>
      <c r="T926" s="414">
        <f t="shared" si="127"/>
        <v>0</v>
      </c>
      <c r="Y926" s="439">
        <f t="shared" si="129"/>
        <v>0</v>
      </c>
      <c r="Z926" s="439">
        <f t="shared" si="130"/>
        <v>0</v>
      </c>
    </row>
    <row r="927" spans="1:26" ht="25.5">
      <c r="A927" s="453">
        <f t="shared" si="128"/>
        <v>1.1299999999999999</v>
      </c>
      <c r="B927" s="383">
        <v>21</v>
      </c>
      <c r="D927" s="406"/>
      <c r="E927" s="407"/>
      <c r="F927" s="407"/>
      <c r="G927" s="407"/>
      <c r="H927" s="407"/>
      <c r="I927" s="407"/>
      <c r="J927" s="408" t="s">
        <v>432</v>
      </c>
      <c r="K927" s="409" t="str">
        <f t="shared" si="124"/>
        <v>V=(Ancho x Largo x Alto)* Cant</v>
      </c>
      <c r="L927" s="410" t="str">
        <f t="shared" si="131"/>
        <v>M3</v>
      </c>
      <c r="M927" s="411"/>
      <c r="N927" s="412"/>
      <c r="O927" s="442"/>
      <c r="P927" s="442"/>
      <c r="Q927" s="412"/>
      <c r="R927" s="411">
        <f>+HLOOKUP(B927,[238]Hoja1!$2:$78,17,FALSE)</f>
        <v>1.8450000000000002</v>
      </c>
      <c r="S927" s="413">
        <v>1</v>
      </c>
      <c r="T927" s="414">
        <f t="shared" si="127"/>
        <v>1.8450000000000002</v>
      </c>
      <c r="Y927" s="439">
        <f t="shared" si="129"/>
        <v>0</v>
      </c>
      <c r="Z927" s="439">
        <f t="shared" si="130"/>
        <v>-1.8450000000000002</v>
      </c>
    </row>
    <row r="928" spans="1:26" ht="25.5">
      <c r="A928" s="453">
        <f t="shared" si="128"/>
        <v>1.1299999999999999</v>
      </c>
      <c r="B928" s="383">
        <v>22</v>
      </c>
      <c r="D928" s="406"/>
      <c r="E928" s="407"/>
      <c r="F928" s="407"/>
      <c r="G928" s="407"/>
      <c r="H928" s="407"/>
      <c r="I928" s="407"/>
      <c r="J928" s="408" t="s">
        <v>433</v>
      </c>
      <c r="K928" s="409" t="str">
        <f t="shared" si="124"/>
        <v>V=(Ancho x Largo x Alto)* Cant</v>
      </c>
      <c r="L928" s="410" t="str">
        <f t="shared" si="131"/>
        <v>M3</v>
      </c>
      <c r="M928" s="411"/>
      <c r="N928" s="412"/>
      <c r="O928" s="442"/>
      <c r="P928" s="442"/>
      <c r="Q928" s="412"/>
      <c r="R928" s="411">
        <f>+HLOOKUP(B928,[238]Hoja1!$2:$78,17,FALSE)</f>
        <v>0</v>
      </c>
      <c r="S928" s="413"/>
      <c r="T928" s="414">
        <f t="shared" si="127"/>
        <v>0</v>
      </c>
      <c r="Y928" s="439">
        <f t="shared" si="129"/>
        <v>0</v>
      </c>
      <c r="Z928" s="439">
        <f t="shared" si="130"/>
        <v>0</v>
      </c>
    </row>
    <row r="929" spans="1:26" ht="25.5">
      <c r="A929" s="453">
        <f t="shared" si="128"/>
        <v>1.1299999999999999</v>
      </c>
      <c r="B929" s="383">
        <v>23</v>
      </c>
      <c r="D929" s="406"/>
      <c r="E929" s="407"/>
      <c r="F929" s="407"/>
      <c r="G929" s="407"/>
      <c r="H929" s="407"/>
      <c r="I929" s="407"/>
      <c r="J929" s="408" t="s">
        <v>434</v>
      </c>
      <c r="K929" s="409" t="str">
        <f t="shared" si="124"/>
        <v>V=(Ancho x Largo x Alto)* Cant</v>
      </c>
      <c r="L929" s="410" t="str">
        <f t="shared" si="131"/>
        <v>M3</v>
      </c>
      <c r="M929" s="411"/>
      <c r="N929" s="412"/>
      <c r="O929" s="441"/>
      <c r="P929" s="441"/>
      <c r="Q929" s="412"/>
      <c r="R929" s="411">
        <f>+HLOOKUP(B929,[238]Hoja1!$2:$78,17,FALSE)</f>
        <v>0</v>
      </c>
      <c r="S929" s="413"/>
      <c r="T929" s="414">
        <f t="shared" si="127"/>
        <v>0</v>
      </c>
      <c r="Y929" s="439">
        <f t="shared" si="129"/>
        <v>0</v>
      </c>
      <c r="Z929" s="439">
        <f t="shared" si="130"/>
        <v>0</v>
      </c>
    </row>
    <row r="930" spans="1:26" ht="25.5">
      <c r="A930" s="453">
        <f t="shared" si="128"/>
        <v>1.1299999999999999</v>
      </c>
      <c r="B930" s="383">
        <v>24</v>
      </c>
      <c r="D930" s="406"/>
      <c r="E930" s="407"/>
      <c r="F930" s="407"/>
      <c r="G930" s="407"/>
      <c r="H930" s="407"/>
      <c r="I930" s="407"/>
      <c r="J930" s="408" t="s">
        <v>435</v>
      </c>
      <c r="K930" s="409" t="str">
        <f t="shared" si="124"/>
        <v>V=(Ancho x Largo x Alto)* Cant</v>
      </c>
      <c r="L930" s="410" t="str">
        <f t="shared" si="131"/>
        <v>M3</v>
      </c>
      <c r="M930" s="411"/>
      <c r="N930" s="412"/>
      <c r="O930" s="442"/>
      <c r="P930" s="442"/>
      <c r="Q930" s="413"/>
      <c r="R930" s="411">
        <f>+HLOOKUP(B930,[238]Hoja1!$2:$78,17,FALSE)</f>
        <v>0</v>
      </c>
      <c r="S930" s="413"/>
      <c r="T930" s="414">
        <f t="shared" si="127"/>
        <v>0</v>
      </c>
      <c r="Y930" s="439">
        <f t="shared" si="129"/>
        <v>0</v>
      </c>
      <c r="Z930" s="439">
        <f t="shared" si="130"/>
        <v>0</v>
      </c>
    </row>
    <row r="931" spans="1:26" ht="25.5">
      <c r="A931" s="453">
        <f t="shared" si="128"/>
        <v>1.1299999999999999</v>
      </c>
      <c r="B931" s="383">
        <v>25</v>
      </c>
      <c r="D931" s="406"/>
      <c r="E931" s="407"/>
      <c r="F931" s="407"/>
      <c r="G931" s="407"/>
      <c r="H931" s="407"/>
      <c r="I931" s="407"/>
      <c r="J931" s="408" t="s">
        <v>436</v>
      </c>
      <c r="K931" s="409" t="str">
        <f t="shared" si="124"/>
        <v>V=(Ancho x Largo x Alto)* Cant</v>
      </c>
      <c r="L931" s="410" t="str">
        <f t="shared" si="131"/>
        <v>M3</v>
      </c>
      <c r="M931" s="411"/>
      <c r="N931" s="412"/>
      <c r="O931" s="442"/>
      <c r="P931" s="442"/>
      <c r="Q931" s="412"/>
      <c r="R931" s="411">
        <f>+HLOOKUP(B931,[238]Hoja1!$2:$78,17,FALSE)</f>
        <v>0</v>
      </c>
      <c r="S931" s="413"/>
      <c r="T931" s="414">
        <f t="shared" si="127"/>
        <v>0</v>
      </c>
      <c r="Y931" s="439">
        <f t="shared" si="129"/>
        <v>0</v>
      </c>
      <c r="Z931" s="439">
        <f t="shared" si="130"/>
        <v>0</v>
      </c>
    </row>
    <row r="932" spans="1:26" ht="25.5">
      <c r="A932" s="453">
        <f t="shared" si="128"/>
        <v>1.1299999999999999</v>
      </c>
      <c r="B932" s="383">
        <v>26</v>
      </c>
      <c r="D932" s="406"/>
      <c r="E932" s="407"/>
      <c r="F932" s="407"/>
      <c r="G932" s="407"/>
      <c r="H932" s="407"/>
      <c r="I932" s="407"/>
      <c r="J932" s="408" t="s">
        <v>437</v>
      </c>
      <c r="K932" s="409" t="str">
        <f t="shared" si="124"/>
        <v>V=(Ancho x Largo x Alto)* Cant</v>
      </c>
      <c r="L932" s="410" t="str">
        <f>+L921</f>
        <v>M3</v>
      </c>
      <c r="M932" s="411"/>
      <c r="N932" s="412"/>
      <c r="O932" s="442"/>
      <c r="P932" s="442"/>
      <c r="Q932" s="412"/>
      <c r="R932" s="411">
        <f>+HLOOKUP(B932,[238]Hoja1!$2:$78,17,FALSE)</f>
        <v>0</v>
      </c>
      <c r="S932" s="413"/>
      <c r="T932" s="414">
        <f t="shared" si="127"/>
        <v>0</v>
      </c>
      <c r="Y932" s="439">
        <f t="shared" si="129"/>
        <v>0</v>
      </c>
      <c r="Z932" s="439">
        <f t="shared" si="130"/>
        <v>0</v>
      </c>
    </row>
    <row r="933" spans="1:26" ht="25.5">
      <c r="A933" s="453">
        <f t="shared" si="128"/>
        <v>1.1299999999999999</v>
      </c>
      <c r="B933" s="383">
        <v>27</v>
      </c>
      <c r="D933" s="406"/>
      <c r="E933" s="407"/>
      <c r="F933" s="407"/>
      <c r="G933" s="407"/>
      <c r="H933" s="407"/>
      <c r="I933" s="407"/>
      <c r="J933" s="408" t="s">
        <v>438</v>
      </c>
      <c r="K933" s="409" t="str">
        <f t="shared" si="124"/>
        <v>V=(Ancho x Largo x Alto)* Cant</v>
      </c>
      <c r="L933" s="410" t="str">
        <f t="shared" ref="L933:L941" si="132">+L932</f>
        <v>M3</v>
      </c>
      <c r="M933" s="411"/>
      <c r="N933" s="412"/>
      <c r="O933" s="442"/>
      <c r="P933" s="442"/>
      <c r="Q933" s="412"/>
      <c r="R933" s="411">
        <f>+HLOOKUP(B933,[238]Hoja1!$2:$78,17,FALSE)</f>
        <v>0</v>
      </c>
      <c r="S933" s="413"/>
      <c r="T933" s="414">
        <f t="shared" si="127"/>
        <v>0</v>
      </c>
      <c r="Y933" s="439">
        <f t="shared" si="129"/>
        <v>0</v>
      </c>
      <c r="Z933" s="439">
        <f t="shared" si="130"/>
        <v>0</v>
      </c>
    </row>
    <row r="934" spans="1:26" ht="25.5">
      <c r="A934" s="453">
        <f t="shared" si="128"/>
        <v>1.1299999999999999</v>
      </c>
      <c r="B934" s="383">
        <v>28</v>
      </c>
      <c r="D934" s="406"/>
      <c r="E934" s="440"/>
      <c r="F934" s="407"/>
      <c r="G934" s="407"/>
      <c r="H934" s="407"/>
      <c r="I934" s="437"/>
      <c r="J934" s="408" t="s">
        <v>439</v>
      </c>
      <c r="K934" s="409" t="str">
        <f t="shared" si="124"/>
        <v>V=(Ancho x Largo x Alto)* Cant</v>
      </c>
      <c r="L934" s="410" t="str">
        <f t="shared" si="132"/>
        <v>M3</v>
      </c>
      <c r="M934" s="411"/>
      <c r="N934" s="412"/>
      <c r="O934" s="442"/>
      <c r="P934" s="442"/>
      <c r="Q934" s="413"/>
      <c r="R934" s="411">
        <f>+HLOOKUP(B934,[238]Hoja1!$2:$78,17,FALSE)</f>
        <v>0</v>
      </c>
      <c r="S934" s="413"/>
      <c r="T934" s="414">
        <f t="shared" si="127"/>
        <v>0</v>
      </c>
      <c r="Y934" s="439">
        <f t="shared" si="129"/>
        <v>0</v>
      </c>
      <c r="Z934" s="439">
        <f t="shared" si="130"/>
        <v>0</v>
      </c>
    </row>
    <row r="935" spans="1:26" ht="25.5">
      <c r="A935" s="453">
        <f t="shared" si="128"/>
        <v>1.1299999999999999</v>
      </c>
      <c r="B935" s="383">
        <v>29</v>
      </c>
      <c r="D935" s="406"/>
      <c r="E935" s="407"/>
      <c r="F935" s="407"/>
      <c r="G935" s="407"/>
      <c r="H935" s="407"/>
      <c r="I935" s="407"/>
      <c r="J935" s="408" t="s">
        <v>440</v>
      </c>
      <c r="K935" s="409" t="str">
        <f t="shared" si="124"/>
        <v>V=(Ancho x Largo x Alto)* Cant</v>
      </c>
      <c r="L935" s="410" t="str">
        <f t="shared" si="132"/>
        <v>M3</v>
      </c>
      <c r="M935" s="411"/>
      <c r="N935" s="412"/>
      <c r="O935" s="443"/>
      <c r="P935" s="443"/>
      <c r="Q935" s="412"/>
      <c r="R935" s="411">
        <f>+HLOOKUP(B935,[238]Hoja1!$2:$78,17,FALSE)</f>
        <v>0</v>
      </c>
      <c r="S935" s="413"/>
      <c r="T935" s="414">
        <f t="shared" si="127"/>
        <v>0</v>
      </c>
      <c r="Y935" s="439">
        <f t="shared" si="129"/>
        <v>0</v>
      </c>
      <c r="Z935" s="439">
        <f t="shared" si="130"/>
        <v>0</v>
      </c>
    </row>
    <row r="936" spans="1:26" ht="25.5">
      <c r="A936" s="453">
        <f t="shared" si="128"/>
        <v>1.1299999999999999</v>
      </c>
      <c r="B936" s="383">
        <v>30</v>
      </c>
      <c r="D936" s="406"/>
      <c r="E936" s="407"/>
      <c r="F936" s="407"/>
      <c r="G936" s="407"/>
      <c r="H936" s="407"/>
      <c r="I936" s="407"/>
      <c r="J936" s="408" t="s">
        <v>441</v>
      </c>
      <c r="K936" s="409" t="str">
        <f t="shared" si="124"/>
        <v>V=(Ancho x Largo x Alto)* Cant</v>
      </c>
      <c r="L936" s="410" t="str">
        <f t="shared" si="132"/>
        <v>M3</v>
      </c>
      <c r="M936" s="411"/>
      <c r="N936" s="412"/>
      <c r="O936" s="442"/>
      <c r="P936" s="442"/>
      <c r="Q936" s="412"/>
      <c r="R936" s="411">
        <f>+HLOOKUP(B936,[238]Hoja1!$2:$78,17,FALSE)</f>
        <v>0</v>
      </c>
      <c r="S936" s="413"/>
      <c r="T936" s="414">
        <f t="shared" si="127"/>
        <v>0</v>
      </c>
      <c r="Y936" s="439">
        <f t="shared" si="129"/>
        <v>0</v>
      </c>
      <c r="Z936" s="439">
        <f t="shared" si="130"/>
        <v>0</v>
      </c>
    </row>
    <row r="937" spans="1:26" ht="25.5">
      <c r="A937" s="453">
        <f t="shared" si="128"/>
        <v>1.1299999999999999</v>
      </c>
      <c r="B937" s="383">
        <v>31</v>
      </c>
      <c r="D937" s="406"/>
      <c r="E937" s="407"/>
      <c r="F937" s="407"/>
      <c r="G937" s="407"/>
      <c r="H937" s="407"/>
      <c r="I937" s="407"/>
      <c r="J937" s="408" t="s">
        <v>442</v>
      </c>
      <c r="K937" s="409" t="str">
        <f t="shared" si="124"/>
        <v>V=(Ancho x Largo x Alto)* Cant</v>
      </c>
      <c r="L937" s="410" t="str">
        <f t="shared" si="132"/>
        <v>M3</v>
      </c>
      <c r="M937" s="411"/>
      <c r="N937" s="412"/>
      <c r="O937" s="442"/>
      <c r="P937" s="442"/>
      <c r="Q937" s="413"/>
      <c r="R937" s="411">
        <f>+HLOOKUP(B937,[238]Hoja1!$2:$78,17,FALSE)</f>
        <v>0</v>
      </c>
      <c r="S937" s="413"/>
      <c r="T937" s="414">
        <f t="shared" si="127"/>
        <v>0</v>
      </c>
      <c r="Y937" s="439">
        <f t="shared" si="129"/>
        <v>0</v>
      </c>
      <c r="Z937" s="439">
        <f t="shared" si="130"/>
        <v>0</v>
      </c>
    </row>
    <row r="938" spans="1:26" ht="25.5">
      <c r="A938" s="453">
        <f t="shared" si="128"/>
        <v>1.1299999999999999</v>
      </c>
      <c r="B938" s="383">
        <v>32</v>
      </c>
      <c r="D938" s="406"/>
      <c r="E938" s="407"/>
      <c r="F938" s="407"/>
      <c r="G938" s="407"/>
      <c r="H938" s="407"/>
      <c r="I938" s="407"/>
      <c r="J938" s="408" t="s">
        <v>443</v>
      </c>
      <c r="K938" s="409" t="str">
        <f t="shared" si="124"/>
        <v>V=(Ancho x Largo x Alto)* Cant</v>
      </c>
      <c r="L938" s="410" t="str">
        <f t="shared" si="132"/>
        <v>M3</v>
      </c>
      <c r="M938" s="411"/>
      <c r="N938" s="412"/>
      <c r="O938" s="442"/>
      <c r="P938" s="442"/>
      <c r="Q938" s="412"/>
      <c r="R938" s="411">
        <f>+HLOOKUP(B938,[238]Hoja1!$2:$78,17,FALSE)</f>
        <v>0</v>
      </c>
      <c r="S938" s="413"/>
      <c r="T938" s="414">
        <f t="shared" si="127"/>
        <v>0</v>
      </c>
      <c r="Y938" s="439">
        <f t="shared" si="129"/>
        <v>0</v>
      </c>
      <c r="Z938" s="439">
        <f t="shared" si="130"/>
        <v>0</v>
      </c>
    </row>
    <row r="939" spans="1:26" ht="25.5">
      <c r="A939" s="453">
        <f t="shared" si="128"/>
        <v>1.1299999999999999</v>
      </c>
      <c r="B939" s="383">
        <v>33</v>
      </c>
      <c r="D939" s="406"/>
      <c r="E939" s="407"/>
      <c r="F939" s="407"/>
      <c r="G939" s="407"/>
      <c r="H939" s="407"/>
      <c r="I939" s="407"/>
      <c r="J939" s="408" t="s">
        <v>444</v>
      </c>
      <c r="K939" s="409" t="str">
        <f t="shared" si="124"/>
        <v>V=(Ancho x Largo x Alto)* Cant</v>
      </c>
      <c r="L939" s="410" t="str">
        <f t="shared" si="132"/>
        <v>M3</v>
      </c>
      <c r="M939" s="411"/>
      <c r="N939" s="412"/>
      <c r="O939" s="442"/>
      <c r="P939" s="442"/>
      <c r="Q939" s="412"/>
      <c r="R939" s="411">
        <f>+HLOOKUP(B939,[238]Hoja1!$2:$78,17,FALSE)</f>
        <v>0</v>
      </c>
      <c r="S939" s="413"/>
      <c r="T939" s="414">
        <f t="shared" si="127"/>
        <v>0</v>
      </c>
      <c r="Y939" s="439">
        <f t="shared" si="129"/>
        <v>0</v>
      </c>
      <c r="Z939" s="439">
        <f t="shared" si="130"/>
        <v>0</v>
      </c>
    </row>
    <row r="940" spans="1:26" ht="25.5">
      <c r="A940" s="453">
        <f t="shared" si="128"/>
        <v>1.1299999999999999</v>
      </c>
      <c r="B940" s="383">
        <v>34</v>
      </c>
      <c r="D940" s="406"/>
      <c r="E940" s="407"/>
      <c r="F940" s="407"/>
      <c r="G940" s="407"/>
      <c r="H940" s="407"/>
      <c r="I940" s="407"/>
      <c r="J940" s="408" t="s">
        <v>445</v>
      </c>
      <c r="K940" s="409" t="str">
        <f t="shared" si="124"/>
        <v>V=(Ancho x Largo x Alto)* Cant</v>
      </c>
      <c r="L940" s="410" t="str">
        <f t="shared" si="132"/>
        <v>M3</v>
      </c>
      <c r="M940" s="411"/>
      <c r="N940" s="412"/>
      <c r="O940" s="441"/>
      <c r="P940" s="441"/>
      <c r="Q940" s="412"/>
      <c r="R940" s="411">
        <f>+HLOOKUP(B940,[238]Hoja1!$2:$78,17,FALSE)</f>
        <v>0</v>
      </c>
      <c r="S940" s="413"/>
      <c r="T940" s="414">
        <f t="shared" si="127"/>
        <v>0</v>
      </c>
      <c r="Y940" s="439">
        <f t="shared" si="129"/>
        <v>0</v>
      </c>
      <c r="Z940" s="439">
        <f t="shared" si="130"/>
        <v>0</v>
      </c>
    </row>
    <row r="941" spans="1:26" ht="25.5">
      <c r="A941" s="453">
        <f t="shared" si="128"/>
        <v>1.1299999999999999</v>
      </c>
      <c r="B941" s="383">
        <v>35</v>
      </c>
      <c r="D941" s="406"/>
      <c r="E941" s="440"/>
      <c r="F941" s="407"/>
      <c r="G941" s="407"/>
      <c r="H941" s="407"/>
      <c r="I941" s="437"/>
      <c r="J941" s="408" t="s">
        <v>446</v>
      </c>
      <c r="K941" s="409" t="str">
        <f t="shared" si="124"/>
        <v>V=(Ancho x Largo x Alto)* Cant</v>
      </c>
      <c r="L941" s="410" t="str">
        <f t="shared" si="132"/>
        <v>M3</v>
      </c>
      <c r="M941" s="411"/>
      <c r="N941" s="412"/>
      <c r="O941" s="442"/>
      <c r="P941" s="442"/>
      <c r="Q941" s="413"/>
      <c r="R941" s="411">
        <f>+HLOOKUP(B941,[238]Hoja1!$2:$78,17,FALSE)</f>
        <v>0</v>
      </c>
      <c r="S941" s="413"/>
      <c r="T941" s="414">
        <f t="shared" si="127"/>
        <v>0</v>
      </c>
      <c r="Y941" s="439">
        <f t="shared" si="129"/>
        <v>0</v>
      </c>
      <c r="Z941" s="439">
        <f t="shared" si="130"/>
        <v>0</v>
      </c>
    </row>
    <row r="942" spans="1:26" ht="25.5">
      <c r="A942" s="453">
        <f t="shared" si="128"/>
        <v>1.1299999999999999</v>
      </c>
      <c r="B942" s="383">
        <v>36</v>
      </c>
      <c r="D942" s="406"/>
      <c r="E942" s="407"/>
      <c r="F942" s="407"/>
      <c r="G942" s="407"/>
      <c r="H942" s="407"/>
      <c r="I942" s="407"/>
      <c r="J942" s="408" t="s">
        <v>447</v>
      </c>
      <c r="K942" s="409" t="str">
        <f t="shared" si="124"/>
        <v>V=(Ancho x Largo x Alto)* Cant</v>
      </c>
      <c r="L942" s="410" t="str">
        <f>+L931</f>
        <v>M3</v>
      </c>
      <c r="M942" s="411"/>
      <c r="N942" s="412"/>
      <c r="O942" s="442"/>
      <c r="P942" s="442"/>
      <c r="Q942" s="412"/>
      <c r="R942" s="411">
        <f>+HLOOKUP(B942,[238]Hoja1!$2:$78,17,FALSE)</f>
        <v>0</v>
      </c>
      <c r="S942" s="413"/>
      <c r="T942" s="414">
        <f t="shared" si="127"/>
        <v>0</v>
      </c>
      <c r="Y942" s="439">
        <f t="shared" si="129"/>
        <v>0</v>
      </c>
      <c r="Z942" s="439">
        <f t="shared" si="130"/>
        <v>0</v>
      </c>
    </row>
    <row r="943" spans="1:26" ht="25.5">
      <c r="A943" s="453">
        <f t="shared" si="128"/>
        <v>1.1299999999999999</v>
      </c>
      <c r="B943" s="383">
        <v>37</v>
      </c>
      <c r="D943" s="406"/>
      <c r="E943" s="407"/>
      <c r="F943" s="407"/>
      <c r="G943" s="407"/>
      <c r="H943" s="407"/>
      <c r="I943" s="407"/>
      <c r="J943" s="408" t="s">
        <v>448</v>
      </c>
      <c r="K943" s="409" t="str">
        <f t="shared" si="124"/>
        <v>V=(Ancho x Largo x Alto)* Cant</v>
      </c>
      <c r="L943" s="410" t="str">
        <f t="shared" ref="L943:L949" si="133">+L942</f>
        <v>M3</v>
      </c>
      <c r="M943" s="411"/>
      <c r="N943" s="412"/>
      <c r="O943" s="441"/>
      <c r="P943" s="441"/>
      <c r="Q943" s="449"/>
      <c r="R943" s="411">
        <f>+HLOOKUP(B943,[238]Hoja1!$2:$78,17,FALSE)</f>
        <v>0</v>
      </c>
      <c r="S943" s="413"/>
      <c r="T943" s="414">
        <f t="shared" si="127"/>
        <v>0</v>
      </c>
      <c r="Y943" s="439">
        <f t="shared" si="129"/>
        <v>0</v>
      </c>
      <c r="Z943" s="439">
        <f t="shared" si="130"/>
        <v>0</v>
      </c>
    </row>
    <row r="944" spans="1:26" ht="25.5">
      <c r="A944" s="453">
        <f t="shared" si="128"/>
        <v>1.1299999999999999</v>
      </c>
      <c r="B944" s="383">
        <v>38</v>
      </c>
      <c r="D944" s="406"/>
      <c r="E944" s="440"/>
      <c r="F944" s="407"/>
      <c r="G944" s="407"/>
      <c r="H944" s="407"/>
      <c r="I944" s="437"/>
      <c r="J944" s="408" t="s">
        <v>449</v>
      </c>
      <c r="K944" s="409" t="str">
        <f t="shared" si="124"/>
        <v>V=(Ancho x Largo x Alto)* Cant</v>
      </c>
      <c r="L944" s="410" t="str">
        <f t="shared" si="133"/>
        <v>M3</v>
      </c>
      <c r="M944" s="411"/>
      <c r="N944" s="412"/>
      <c r="O944" s="442"/>
      <c r="P944" s="442"/>
      <c r="Q944" s="413"/>
      <c r="R944" s="411">
        <f>+HLOOKUP(B944,[238]Hoja1!$2:$78,17,FALSE)</f>
        <v>0</v>
      </c>
      <c r="S944" s="413"/>
      <c r="T944" s="414">
        <f t="shared" si="127"/>
        <v>0</v>
      </c>
      <c r="Y944" s="439">
        <f t="shared" si="129"/>
        <v>0</v>
      </c>
      <c r="Z944" s="439">
        <f t="shared" si="130"/>
        <v>0</v>
      </c>
    </row>
    <row r="945" spans="1:26" ht="25.5">
      <c r="A945" s="453">
        <f t="shared" si="128"/>
        <v>1.1299999999999999</v>
      </c>
      <c r="B945" s="383">
        <v>39</v>
      </c>
      <c r="D945" s="406"/>
      <c r="E945" s="407"/>
      <c r="F945" s="407"/>
      <c r="G945" s="407"/>
      <c r="H945" s="407"/>
      <c r="I945" s="407"/>
      <c r="J945" s="408" t="s">
        <v>450</v>
      </c>
      <c r="K945" s="409" t="str">
        <f t="shared" si="124"/>
        <v>V=(Ancho x Largo x Alto)* Cant</v>
      </c>
      <c r="L945" s="410" t="str">
        <f t="shared" si="133"/>
        <v>M3</v>
      </c>
      <c r="M945" s="411"/>
      <c r="N945" s="412"/>
      <c r="O945" s="441"/>
      <c r="P945" s="441"/>
      <c r="Q945" s="412"/>
      <c r="R945" s="411">
        <f>+HLOOKUP(B945,[238]Hoja1!$2:$78,17,FALSE)</f>
        <v>0</v>
      </c>
      <c r="S945" s="413"/>
      <c r="T945" s="414">
        <f t="shared" si="127"/>
        <v>0</v>
      </c>
      <c r="Y945" s="439">
        <f t="shared" si="129"/>
        <v>0</v>
      </c>
      <c r="Z945" s="439">
        <f t="shared" si="130"/>
        <v>0</v>
      </c>
    </row>
    <row r="946" spans="1:26" ht="25.5">
      <c r="A946" s="453">
        <f t="shared" si="128"/>
        <v>1.1299999999999999</v>
      </c>
      <c r="B946" s="383">
        <v>40</v>
      </c>
      <c r="D946" s="406"/>
      <c r="E946" s="407"/>
      <c r="F946" s="407"/>
      <c r="G946" s="407"/>
      <c r="H946" s="407"/>
      <c r="I946" s="407"/>
      <c r="J946" s="408" t="s">
        <v>451</v>
      </c>
      <c r="K946" s="409" t="str">
        <f t="shared" si="124"/>
        <v>V=(Ancho x Largo x Alto)* Cant</v>
      </c>
      <c r="L946" s="410" t="str">
        <f t="shared" si="133"/>
        <v>M3</v>
      </c>
      <c r="M946" s="411"/>
      <c r="N946" s="412"/>
      <c r="O946" s="442"/>
      <c r="P946" s="442"/>
      <c r="Q946" s="412"/>
      <c r="R946" s="411">
        <f>+HLOOKUP(B946,[238]Hoja1!$2:$78,17,FALSE)</f>
        <v>0</v>
      </c>
      <c r="S946" s="413"/>
      <c r="T946" s="414">
        <f t="shared" si="127"/>
        <v>0</v>
      </c>
      <c r="Y946" s="439">
        <f t="shared" si="129"/>
        <v>0</v>
      </c>
      <c r="Z946" s="439">
        <f t="shared" si="130"/>
        <v>0</v>
      </c>
    </row>
    <row r="947" spans="1:26" ht="25.5">
      <c r="A947" s="453">
        <f t="shared" si="128"/>
        <v>1.1299999999999999</v>
      </c>
      <c r="B947" s="383">
        <v>41</v>
      </c>
      <c r="D947" s="406"/>
      <c r="E947" s="407"/>
      <c r="F947" s="407"/>
      <c r="G947" s="407"/>
      <c r="H947" s="407"/>
      <c r="I947" s="407"/>
      <c r="J947" s="408" t="s">
        <v>452</v>
      </c>
      <c r="K947" s="409" t="str">
        <f t="shared" si="124"/>
        <v>V=(Ancho x Largo x Alto)* Cant</v>
      </c>
      <c r="L947" s="410" t="str">
        <f t="shared" si="133"/>
        <v>M3</v>
      </c>
      <c r="M947" s="411"/>
      <c r="N947" s="412"/>
      <c r="O947" s="442"/>
      <c r="P947" s="442"/>
      <c r="Q947" s="413"/>
      <c r="R947" s="411">
        <f>+HLOOKUP(B947,[238]Hoja1!$2:$78,17,FALSE)</f>
        <v>0</v>
      </c>
      <c r="S947" s="413"/>
      <c r="T947" s="414">
        <f t="shared" si="127"/>
        <v>0</v>
      </c>
      <c r="Y947" s="439">
        <f t="shared" si="129"/>
        <v>0</v>
      </c>
      <c r="Z947" s="439">
        <f t="shared" si="130"/>
        <v>0</v>
      </c>
    </row>
    <row r="948" spans="1:26" ht="25.5">
      <c r="A948" s="453">
        <f t="shared" si="128"/>
        <v>1.1299999999999999</v>
      </c>
      <c r="B948" s="383">
        <v>42</v>
      </c>
      <c r="D948" s="406"/>
      <c r="E948" s="407"/>
      <c r="F948" s="407"/>
      <c r="G948" s="407"/>
      <c r="H948" s="407"/>
      <c r="I948" s="407"/>
      <c r="J948" s="408" t="s">
        <v>453</v>
      </c>
      <c r="K948" s="409" t="str">
        <f t="shared" si="124"/>
        <v>V=(Ancho x Largo x Alto)* Cant</v>
      </c>
      <c r="L948" s="410" t="str">
        <f t="shared" si="133"/>
        <v>M3</v>
      </c>
      <c r="M948" s="411"/>
      <c r="N948" s="412"/>
      <c r="O948" s="442"/>
      <c r="P948" s="442"/>
      <c r="Q948" s="412"/>
      <c r="R948" s="411">
        <f>+HLOOKUP(B948,[238]Hoja1!$2:$78,17,FALSE)</f>
        <v>0</v>
      </c>
      <c r="S948" s="413"/>
      <c r="T948" s="414">
        <f t="shared" si="127"/>
        <v>0</v>
      </c>
      <c r="Y948" s="439">
        <f t="shared" si="129"/>
        <v>0</v>
      </c>
      <c r="Z948" s="439">
        <f t="shared" si="130"/>
        <v>0</v>
      </c>
    </row>
    <row r="949" spans="1:26" ht="26.25" thickBot="1">
      <c r="A949" s="453">
        <f t="shared" si="128"/>
        <v>1.1299999999999999</v>
      </c>
      <c r="B949" s="383">
        <v>43</v>
      </c>
      <c r="D949" s="406"/>
      <c r="E949" s="407"/>
      <c r="F949" s="407"/>
      <c r="G949" s="407"/>
      <c r="H949" s="407"/>
      <c r="I949" s="407"/>
      <c r="J949" s="408" t="s">
        <v>454</v>
      </c>
      <c r="K949" s="409" t="str">
        <f t="shared" si="124"/>
        <v>V=(Ancho x Largo x Alto)* Cant</v>
      </c>
      <c r="L949" s="410" t="str">
        <f t="shared" si="133"/>
        <v>M3</v>
      </c>
      <c r="M949" s="411"/>
      <c r="N949" s="412"/>
      <c r="O949" s="442"/>
      <c r="P949" s="442"/>
      <c r="Q949" s="412"/>
      <c r="R949" s="411">
        <f>+HLOOKUP(B949,[238]Hoja1!$2:$78,17,FALSE)</f>
        <v>0</v>
      </c>
      <c r="S949" s="413"/>
      <c r="T949" s="414">
        <f t="shared" si="127"/>
        <v>0</v>
      </c>
      <c r="Y949" s="439">
        <f t="shared" si="129"/>
        <v>0</v>
      </c>
      <c r="Z949" s="439">
        <f t="shared" si="130"/>
        <v>0</v>
      </c>
    </row>
    <row r="950" spans="1:26">
      <c r="D950" s="384"/>
      <c r="E950" s="419"/>
      <c r="F950" s="420"/>
      <c r="G950" s="421"/>
      <c r="H950" s="421"/>
      <c r="I950" s="421"/>
      <c r="J950" s="421"/>
      <c r="K950" s="422"/>
      <c r="L950" s="421"/>
      <c r="M950" s="421"/>
      <c r="N950" s="421"/>
      <c r="O950" s="421"/>
      <c r="P950" s="421"/>
      <c r="Q950" s="421"/>
      <c r="R950" s="421"/>
      <c r="S950" s="422"/>
      <c r="T950" s="423"/>
    </row>
    <row r="951" spans="1:26">
      <c r="D951" s="396"/>
      <c r="E951" s="397"/>
      <c r="F951" s="424"/>
      <c r="G951" s="425"/>
      <c r="H951" s="425"/>
      <c r="I951" s="425"/>
      <c r="J951" s="425"/>
      <c r="K951" s="398"/>
      <c r="L951" s="425"/>
      <c r="M951" s="425"/>
      <c r="N951" s="397"/>
      <c r="O951" s="397"/>
      <c r="P951" s="562" t="s">
        <v>455</v>
      </c>
      <c r="Q951" s="563"/>
      <c r="R951" s="564"/>
      <c r="S951" s="426"/>
      <c r="T951" s="427">
        <f>ROUND(SUM(T907:T950),2)</f>
        <v>2.4500000000000002</v>
      </c>
    </row>
    <row r="952" spans="1:26">
      <c r="D952" s="396"/>
      <c r="E952" s="397"/>
      <c r="F952" s="424"/>
      <c r="G952" s="425"/>
      <c r="H952" s="425"/>
      <c r="I952" s="425"/>
      <c r="J952" s="425"/>
      <c r="K952" s="398"/>
      <c r="L952" s="425"/>
      <c r="M952" s="425"/>
      <c r="N952" s="428"/>
      <c r="O952" s="428"/>
      <c r="P952" s="429"/>
      <c r="Q952" s="425"/>
      <c r="R952" s="425"/>
      <c r="S952" s="430"/>
      <c r="T952" s="431"/>
    </row>
    <row r="953" spans="1:26">
      <c r="D953" s="565" t="e">
        <v>#REF!</v>
      </c>
      <c r="E953" s="566"/>
      <c r="F953" s="566"/>
      <c r="G953" s="566"/>
      <c r="H953" s="566"/>
      <c r="I953" s="566"/>
      <c r="J953" s="566"/>
      <c r="K953" s="566"/>
      <c r="L953" s="566"/>
      <c r="M953" s="566"/>
      <c r="N953" s="566"/>
      <c r="O953" s="567"/>
      <c r="P953" s="568" t="s">
        <v>422</v>
      </c>
      <c r="Q953" s="568"/>
      <c r="R953" s="568"/>
      <c r="S953" s="426"/>
      <c r="T953" s="427">
        <f>T951</f>
        <v>2.4500000000000002</v>
      </c>
    </row>
    <row r="954" spans="1:26">
      <c r="D954" s="396"/>
      <c r="E954" s="397"/>
      <c r="F954" s="424"/>
      <c r="G954" s="425"/>
      <c r="H954" s="425"/>
      <c r="I954" s="425"/>
      <c r="J954" s="425"/>
      <c r="K954" s="398"/>
      <c r="L954" s="425"/>
      <c r="M954" s="425"/>
      <c r="N954" s="428"/>
      <c r="O954" s="428"/>
      <c r="P954" s="429"/>
      <c r="Q954" s="425"/>
      <c r="R954" s="398"/>
      <c r="S954" s="398"/>
      <c r="T954" s="432"/>
    </row>
    <row r="955" spans="1:26" ht="4.1500000000000004" customHeight="1">
      <c r="D955" s="396"/>
      <c r="E955" s="397"/>
      <c r="F955" s="424"/>
      <c r="G955" s="425"/>
      <c r="H955" s="425"/>
      <c r="I955" s="425"/>
      <c r="J955" s="425"/>
      <c r="K955" s="398"/>
      <c r="L955" s="425"/>
      <c r="M955" s="425"/>
      <c r="N955" s="428"/>
      <c r="O955" s="428"/>
      <c r="P955" s="429"/>
      <c r="Q955" s="425"/>
      <c r="R955" s="398"/>
      <c r="S955" s="398"/>
      <c r="T955" s="432"/>
    </row>
    <row r="956" spans="1:26">
      <c r="D956" s="569" t="s">
        <v>423</v>
      </c>
      <c r="E956" s="570"/>
      <c r="F956" s="570"/>
      <c r="G956" s="570"/>
      <c r="H956" s="570"/>
      <c r="I956" s="570"/>
      <c r="J956" s="570"/>
      <c r="K956" s="571"/>
      <c r="L956" s="433" t="s">
        <v>424</v>
      </c>
      <c r="M956" s="434"/>
      <c r="N956" s="434"/>
      <c r="O956" s="434"/>
      <c r="P956" s="434"/>
      <c r="Q956" s="434"/>
      <c r="R956" s="434"/>
      <c r="S956" s="434"/>
      <c r="T956" s="435"/>
    </row>
    <row r="957" spans="1:26">
      <c r="D957" s="542"/>
      <c r="E957" s="543"/>
      <c r="F957" s="543"/>
      <c r="G957" s="543"/>
      <c r="H957" s="436"/>
      <c r="I957" s="436"/>
      <c r="J957" s="436"/>
      <c r="K957" s="447"/>
      <c r="L957" s="436"/>
      <c r="M957" s="407"/>
      <c r="N957" s="407"/>
      <c r="O957" s="407"/>
      <c r="P957" s="407"/>
      <c r="Q957" s="407"/>
      <c r="R957" s="407"/>
      <c r="S957" s="407"/>
      <c r="T957" s="437"/>
    </row>
    <row r="958" spans="1:26">
      <c r="D958" s="542"/>
      <c r="E958" s="543"/>
      <c r="F958" s="543"/>
      <c r="G958" s="543"/>
      <c r="H958" s="436"/>
      <c r="I958" s="436"/>
      <c r="J958" s="436"/>
      <c r="K958" s="447"/>
      <c r="L958" s="436"/>
      <c r="M958" s="407"/>
      <c r="N958" s="407"/>
      <c r="O958" s="407"/>
      <c r="P958" s="407"/>
      <c r="Q958" s="407"/>
      <c r="R958" s="407"/>
      <c r="S958" s="407"/>
      <c r="T958" s="437"/>
    </row>
    <row r="959" spans="1:26">
      <c r="D959" s="542" t="s">
        <v>425</v>
      </c>
      <c r="E959" s="543"/>
      <c r="F959" s="543" t="s">
        <v>425</v>
      </c>
      <c r="G959" s="543"/>
      <c r="H959" s="543" t="s">
        <v>425</v>
      </c>
      <c r="I959" s="543"/>
      <c r="J959" s="543" t="s">
        <v>425</v>
      </c>
      <c r="K959" s="544"/>
      <c r="L959" s="545" t="s">
        <v>426</v>
      </c>
      <c r="M959" s="546"/>
      <c r="N959" s="546"/>
      <c r="O959" s="546"/>
      <c r="P959" s="546"/>
      <c r="Q959" s="546"/>
      <c r="R959" s="546"/>
      <c r="S959" s="546"/>
      <c r="T959" s="547"/>
    </row>
    <row r="960" spans="1:26">
      <c r="D960" s="548" t="str">
        <f>+[42]DATOS!D$8</f>
        <v>HELMER EDUARDO BECERRA SANTANDER</v>
      </c>
      <c r="E960" s="549"/>
      <c r="F960" s="549" t="s">
        <v>427</v>
      </c>
      <c r="G960" s="549"/>
      <c r="H960" s="549" t="s">
        <v>427</v>
      </c>
      <c r="I960" s="549"/>
      <c r="J960" s="549" t="s">
        <v>427</v>
      </c>
      <c r="K960" s="550"/>
      <c r="L960" s="551" t="str">
        <f>+[42]DATOS!D$11</f>
        <v>JESUS IVAN QUIÑONES RUEDA</v>
      </c>
      <c r="M960" s="549"/>
      <c r="N960" s="549"/>
      <c r="O960" s="549"/>
      <c r="P960" s="549"/>
      <c r="Q960" s="549"/>
      <c r="R960" s="549"/>
      <c r="S960" s="549"/>
      <c r="T960" s="552"/>
    </row>
    <row r="961" spans="4:20">
      <c r="D961" s="553" t="str">
        <f>+$D$72</f>
        <v>APOYO SEC. DE PLANEACION Y OBRAS PÚBLICAS</v>
      </c>
      <c r="E961" s="554"/>
      <c r="F961" s="554" t="s">
        <v>428</v>
      </c>
      <c r="G961" s="554"/>
      <c r="H961" s="554" t="s">
        <v>428</v>
      </c>
      <c r="I961" s="554"/>
      <c r="J961" s="554" t="s">
        <v>428</v>
      </c>
      <c r="K961" s="555"/>
      <c r="L961" s="556" t="str">
        <f>+$L$72</f>
        <v>SECRETARIO DE PLANEACION Y OBRAS PÚBLICAS</v>
      </c>
      <c r="M961" s="554"/>
      <c r="N961" s="554"/>
      <c r="O961" s="554"/>
      <c r="P961" s="554"/>
      <c r="Q961" s="554"/>
      <c r="R961" s="554"/>
      <c r="S961" s="554"/>
      <c r="T961" s="557"/>
    </row>
    <row r="962" spans="4:20">
      <c r="D962" s="406"/>
      <c r="E962" s="407"/>
      <c r="F962" s="407"/>
      <c r="G962" s="407"/>
      <c r="H962" s="407"/>
      <c r="I962" s="407"/>
      <c r="J962" s="407"/>
      <c r="K962" s="407"/>
      <c r="L962" s="407"/>
      <c r="M962" s="407"/>
      <c r="N962" s="407"/>
      <c r="O962" s="407"/>
      <c r="P962" s="407"/>
      <c r="Q962" s="407"/>
      <c r="R962" s="407"/>
      <c r="S962" s="407"/>
      <c r="T962" s="437"/>
    </row>
    <row r="963" spans="4:20" ht="111" customHeight="1" thickBot="1">
      <c r="D963" s="417"/>
      <c r="E963" s="418"/>
      <c r="F963" s="418"/>
      <c r="G963" s="418"/>
      <c r="H963" s="418"/>
      <c r="I963" s="418"/>
      <c r="J963" s="418"/>
      <c r="K963" s="418"/>
      <c r="L963" s="418"/>
      <c r="M963" s="418"/>
      <c r="N963" s="418"/>
      <c r="O963" s="418"/>
      <c r="P963" s="418"/>
      <c r="Q963" s="418"/>
      <c r="R963" s="418"/>
      <c r="S963" s="418"/>
      <c r="T963" s="438"/>
    </row>
    <row r="964" spans="4:20" ht="12" customHeight="1"/>
    <row r="965" spans="4:20" ht="13.5" thickBot="1"/>
    <row r="966" spans="4:20">
      <c r="D966" s="384"/>
      <c r="E966" s="385"/>
      <c r="F966" s="385"/>
      <c r="G966" s="385"/>
      <c r="H966" s="385"/>
      <c r="I966" s="385"/>
      <c r="J966" s="385"/>
      <c r="K966" s="445"/>
      <c r="L966" s="385"/>
      <c r="M966" s="385"/>
      <c r="N966" s="385"/>
      <c r="O966" s="385"/>
      <c r="P966" s="385"/>
      <c r="Q966" s="385"/>
      <c r="R966" s="385"/>
      <c r="S966" s="385"/>
      <c r="T966" s="386"/>
    </row>
    <row r="967" spans="4:20" ht="121.5" customHeight="1" thickBot="1">
      <c r="D967" s="387"/>
      <c r="E967" s="388"/>
      <c r="F967" s="388"/>
      <c r="G967" s="388"/>
      <c r="H967" s="388"/>
      <c r="I967" s="388"/>
      <c r="J967" s="388"/>
      <c r="K967" s="446"/>
      <c r="L967" s="388"/>
      <c r="M967" s="388"/>
      <c r="N967" s="388"/>
      <c r="O967" s="388"/>
      <c r="P967" s="388"/>
      <c r="Q967" s="388"/>
      <c r="R967" s="388"/>
      <c r="S967" s="388"/>
      <c r="T967" s="389"/>
    </row>
    <row r="968" spans="4:20">
      <c r="D968" s="592" t="str">
        <f>+[42]DATOS!C$7</f>
        <v>MEJORAMIENTO DE VIVIENDA CON ENFOQUE DIFERENCIAL PARA POBLACIÓN VULNERABLE EN EL MUNICIPIO DE CUBARÁ, BOYACÁ (2026).</v>
      </c>
      <c r="E968" s="593"/>
      <c r="F968" s="593"/>
      <c r="G968" s="593"/>
      <c r="H968" s="593"/>
      <c r="I968" s="593"/>
      <c r="J968" s="593"/>
      <c r="K968" s="593"/>
      <c r="L968" s="593"/>
      <c r="M968" s="593"/>
      <c r="N968" s="593"/>
      <c r="O968" s="593"/>
      <c r="P968" s="593"/>
      <c r="Q968" s="593"/>
      <c r="R968" s="593"/>
      <c r="S968" s="593"/>
      <c r="T968" s="594"/>
    </row>
    <row r="969" spans="4:20">
      <c r="D969" s="595"/>
      <c r="E969" s="596"/>
      <c r="F969" s="596"/>
      <c r="G969" s="596"/>
      <c r="H969" s="596"/>
      <c r="I969" s="596"/>
      <c r="J969" s="596"/>
      <c r="K969" s="596"/>
      <c r="L969" s="596"/>
      <c r="M969" s="596"/>
      <c r="N969" s="596"/>
      <c r="O969" s="596"/>
      <c r="P969" s="596"/>
      <c r="Q969" s="596"/>
      <c r="R969" s="596"/>
      <c r="S969" s="596"/>
      <c r="T969" s="597"/>
    </row>
    <row r="970" spans="4:20">
      <c r="D970" s="598" t="s">
        <v>371</v>
      </c>
      <c r="E970" s="599"/>
      <c r="F970" s="599"/>
      <c r="G970" s="599"/>
      <c r="H970" s="599"/>
      <c r="I970" s="599"/>
      <c r="J970" s="599"/>
      <c r="K970" s="599"/>
      <c r="L970" s="599"/>
      <c r="M970" s="599"/>
      <c r="N970" s="599"/>
      <c r="O970" s="599"/>
      <c r="P970" s="599"/>
      <c r="Q970" s="599"/>
      <c r="R970" s="599"/>
      <c r="S970" s="599"/>
      <c r="T970" s="600"/>
    </row>
    <row r="971" spans="4:20">
      <c r="D971" s="586" t="s">
        <v>372</v>
      </c>
      <c r="E971" s="587"/>
      <c r="F971" s="601" t="s">
        <v>373</v>
      </c>
      <c r="G971" s="601"/>
      <c r="H971" s="601"/>
      <c r="I971" s="601"/>
      <c r="J971" s="601"/>
      <c r="K971" s="601"/>
      <c r="L971" s="601"/>
      <c r="M971" s="601"/>
      <c r="N971" s="601"/>
      <c r="O971" s="601"/>
      <c r="P971" s="601"/>
      <c r="Q971" s="601"/>
      <c r="R971" s="601"/>
      <c r="S971" s="601"/>
      <c r="T971" s="602"/>
    </row>
    <row r="972" spans="4:20">
      <c r="D972" s="586" t="s">
        <v>374</v>
      </c>
      <c r="E972" s="587"/>
      <c r="F972" s="603" t="s">
        <v>375</v>
      </c>
      <c r="G972" s="604"/>
      <c r="H972" s="604"/>
      <c r="I972" s="604"/>
      <c r="J972" s="604"/>
      <c r="K972" s="604"/>
      <c r="L972" s="604"/>
      <c r="M972" s="604"/>
      <c r="N972" s="604"/>
      <c r="O972" s="604"/>
      <c r="P972" s="604"/>
      <c r="Q972" s="604"/>
      <c r="R972" s="604"/>
      <c r="S972" s="604"/>
      <c r="T972" s="605"/>
    </row>
    <row r="973" spans="4:20">
      <c r="D973" s="586" t="s">
        <v>376</v>
      </c>
      <c r="E973" s="587"/>
      <c r="F973" s="390">
        <f>+[42]DATOS!F$5</f>
        <v>46143</v>
      </c>
      <c r="G973" s="391"/>
      <c r="H973" s="391"/>
      <c r="I973" s="391"/>
      <c r="J973" s="391"/>
      <c r="K973" s="391"/>
      <c r="L973" s="568" t="s">
        <v>377</v>
      </c>
      <c r="M973" s="568"/>
      <c r="N973" s="588" t="s">
        <v>378</v>
      </c>
      <c r="O973" s="588"/>
      <c r="P973" s="588"/>
      <c r="Q973" s="588"/>
      <c r="R973" s="588"/>
      <c r="S973" s="588"/>
      <c r="T973" s="589"/>
    </row>
    <row r="974" spans="4:20" ht="25.5">
      <c r="D974" s="586" t="s">
        <v>379</v>
      </c>
      <c r="E974" s="587"/>
      <c r="F974" s="590" t="s">
        <v>380</v>
      </c>
      <c r="G974" s="591"/>
      <c r="H974" s="392">
        <f>+[42]DATOS!E$5</f>
        <v>2026</v>
      </c>
      <c r="I974" s="393" t="s">
        <v>381</v>
      </c>
      <c r="J974" s="394">
        <f>+[42]DATOS!E$5</f>
        <v>2026</v>
      </c>
      <c r="K974" s="395"/>
      <c r="L974" s="568" t="s">
        <v>382</v>
      </c>
      <c r="M974" s="568"/>
      <c r="N974" s="588" t="s">
        <v>383</v>
      </c>
      <c r="O974" s="588"/>
      <c r="P974" s="588"/>
      <c r="Q974" s="588"/>
      <c r="R974" s="588"/>
      <c r="S974" s="588"/>
      <c r="T974" s="589"/>
    </row>
    <row r="975" spans="4:20">
      <c r="D975" s="396"/>
      <c r="E975" s="397"/>
      <c r="F975" s="397"/>
      <c r="G975" s="398"/>
      <c r="H975" s="398"/>
      <c r="I975" s="398"/>
      <c r="J975" s="398"/>
      <c r="K975" s="398"/>
      <c r="L975" s="398"/>
      <c r="M975" s="398"/>
      <c r="N975" s="398"/>
      <c r="O975" s="398"/>
      <c r="P975" s="398"/>
      <c r="Q975" s="398"/>
      <c r="R975" s="398"/>
      <c r="S975" s="398"/>
      <c r="T975" s="399"/>
    </row>
    <row r="976" spans="4:20">
      <c r="D976" s="572" t="s">
        <v>384</v>
      </c>
      <c r="E976" s="573"/>
      <c r="F976" s="573"/>
      <c r="G976" s="573"/>
      <c r="H976" s="573"/>
      <c r="I976" s="573"/>
      <c r="J976" s="573"/>
      <c r="K976" s="573"/>
      <c r="L976" s="573"/>
      <c r="M976" s="573"/>
      <c r="N976" s="573"/>
      <c r="O976" s="573"/>
      <c r="P976" s="573"/>
      <c r="Q976" s="573"/>
      <c r="R976" s="573"/>
      <c r="S976" s="573"/>
      <c r="T976" s="574"/>
    </row>
    <row r="977" spans="1:26">
      <c r="D977" s="396"/>
      <c r="E977" s="397"/>
      <c r="F977" s="397"/>
      <c r="G977" s="398"/>
      <c r="H977" s="398"/>
      <c r="I977" s="398"/>
      <c r="J977" s="398"/>
      <c r="K977" s="398"/>
      <c r="L977" s="398"/>
      <c r="M977" s="398"/>
      <c r="N977" s="398"/>
      <c r="O977" s="398"/>
      <c r="P977" s="398"/>
      <c r="Q977" s="398"/>
      <c r="R977" s="398"/>
      <c r="S977" s="398"/>
      <c r="T977" s="399"/>
    </row>
    <row r="978" spans="1:26">
      <c r="D978" s="400" t="s">
        <v>385</v>
      </c>
      <c r="E978" s="575" t="s">
        <v>386</v>
      </c>
      <c r="F978" s="575"/>
      <c r="G978" s="576" t="s">
        <v>387</v>
      </c>
      <c r="H978" s="577"/>
      <c r="I978" s="577"/>
      <c r="J978" s="576" t="s">
        <v>388</v>
      </c>
      <c r="K978" s="576" t="s">
        <v>389</v>
      </c>
      <c r="L978" s="579"/>
      <c r="M978" s="581" t="s">
        <v>390</v>
      </c>
      <c r="N978" s="581"/>
      <c r="O978" s="581"/>
      <c r="P978" s="581"/>
      <c r="Q978" s="581"/>
      <c r="R978" s="581"/>
      <c r="S978" s="581" t="s">
        <v>391</v>
      </c>
      <c r="T978" s="582"/>
    </row>
    <row r="979" spans="1:26" ht="38.25">
      <c r="D979" s="403">
        <f>+'PRESUPUESTO OFICIAL '!C25</f>
        <v>1.1399999999999999</v>
      </c>
      <c r="E979" s="583" t="str">
        <f>+VLOOKUP(D979,'PRESUPUESTO OFICIAL '!$C$11:$H$103,2)</f>
        <v>SUMINISTRO, EXTENDIDA Y COMPACTACIÓN DE MATERIAL PARA AFIRMADO HASTA UN DIÁMETRO DE 2".</v>
      </c>
      <c r="F979" s="584"/>
      <c r="G979" s="585" t="str">
        <f>+VLOOKUP(D979,'PRESUPUESTO OFICIAL '!$C$11:$H$103,3)</f>
        <v>M3</v>
      </c>
      <c r="H979" s="585"/>
      <c r="I979" s="585"/>
      <c r="J979" s="578"/>
      <c r="K979" s="578"/>
      <c r="L979" s="580"/>
      <c r="M979" s="401" t="s">
        <v>392</v>
      </c>
      <c r="N979" s="401" t="s">
        <v>393</v>
      </c>
      <c r="O979" s="401" t="s">
        <v>394</v>
      </c>
      <c r="P979" s="401" t="s">
        <v>395</v>
      </c>
      <c r="Q979" s="401" t="s">
        <v>396</v>
      </c>
      <c r="R979" s="401" t="s">
        <v>397</v>
      </c>
      <c r="S979" s="401" t="s">
        <v>398</v>
      </c>
      <c r="T979" s="402" t="s">
        <v>399</v>
      </c>
      <c r="V979" s="404">
        <f>+D979</f>
        <v>1.1399999999999999</v>
      </c>
      <c r="W979" s="405">
        <f>+T1027</f>
        <v>43.09</v>
      </c>
    </row>
    <row r="980" spans="1:26">
      <c r="D980" s="406"/>
      <c r="E980" s="407"/>
      <c r="F980" s="407"/>
      <c r="G980" s="407"/>
      <c r="H980" s="407"/>
      <c r="I980" s="407"/>
      <c r="J980" s="558"/>
      <c r="K980" s="559"/>
      <c r="L980" s="560"/>
      <c r="M980" s="560"/>
      <c r="N980" s="560"/>
      <c r="O980" s="560"/>
      <c r="P980" s="560"/>
      <c r="Q980" s="560"/>
      <c r="R980" s="560"/>
      <c r="S980" s="560"/>
      <c r="T980" s="561"/>
    </row>
    <row r="981" spans="1:26" ht="25.5">
      <c r="A981" s="453">
        <f>+D979</f>
        <v>1.1399999999999999</v>
      </c>
      <c r="B981" s="383">
        <v>1</v>
      </c>
      <c r="D981" s="406"/>
      <c r="E981" s="407"/>
      <c r="F981" s="407"/>
      <c r="G981" s="407"/>
      <c r="H981" s="407"/>
      <c r="I981" s="407"/>
      <c r="J981" s="408" t="s">
        <v>400</v>
      </c>
      <c r="K981" s="409" t="str">
        <f t="shared" ref="K981:K1023" si="134">+VLOOKUP(L981,$AH$22:$AJ$58,2,)</f>
        <v>V=(Ancho x Largo x Alto)* Cant</v>
      </c>
      <c r="L981" s="410" t="str">
        <f>+G979</f>
        <v>M3</v>
      </c>
      <c r="M981" s="411"/>
      <c r="N981" s="412"/>
      <c r="O981" s="442"/>
      <c r="P981" s="442"/>
      <c r="Q981" s="413"/>
      <c r="R981" s="411">
        <f>+HLOOKUP(B981,[238]Hoja1!$2:$78,18,FALSE)</f>
        <v>0</v>
      </c>
      <c r="S981" s="413"/>
      <c r="T981" s="414">
        <f>+S981*R981</f>
        <v>0</v>
      </c>
      <c r="Y981" s="439">
        <f t="shared" ref="Y981" si="135">+O981*P981*Q981</f>
        <v>0</v>
      </c>
      <c r="Z981" s="439">
        <f t="shared" ref="Z981" si="136">+Y981-R981</f>
        <v>0</v>
      </c>
    </row>
    <row r="982" spans="1:26" ht="25.5">
      <c r="A982" s="453">
        <f>+A981</f>
        <v>1.1399999999999999</v>
      </c>
      <c r="B982" s="383">
        <v>2</v>
      </c>
      <c r="D982" s="406"/>
      <c r="E982" s="407"/>
      <c r="F982" s="407"/>
      <c r="G982" s="407"/>
      <c r="H982" s="407"/>
      <c r="I982" s="407"/>
      <c r="J982" s="408" t="s">
        <v>401</v>
      </c>
      <c r="K982" s="409" t="str">
        <f t="shared" si="134"/>
        <v>V=(Ancho x Largo x Alto)* Cant</v>
      </c>
      <c r="L982" s="410" t="str">
        <f>+L981</f>
        <v>M3</v>
      </c>
      <c r="M982" s="411">
        <v>4.6900000000000004</v>
      </c>
      <c r="N982" s="412"/>
      <c r="O982" s="442"/>
      <c r="P982" s="442"/>
      <c r="Q982" s="413">
        <v>0.2</v>
      </c>
      <c r="R982" s="411">
        <f>+HLOOKUP(B982,[238]Hoja1!$2:$78,18,FALSE)</f>
        <v>0.93800000000000017</v>
      </c>
      <c r="S982" s="413">
        <v>1</v>
      </c>
      <c r="T982" s="414">
        <f t="shared" ref="T982:T1023" si="137">+S982*R982</f>
        <v>0.93800000000000017</v>
      </c>
      <c r="Y982" s="439">
        <f>+M982*Q982</f>
        <v>0.93800000000000017</v>
      </c>
      <c r="Z982" s="439">
        <f>+Y982-R982</f>
        <v>0</v>
      </c>
    </row>
    <row r="983" spans="1:26" ht="25.5">
      <c r="A983" s="453">
        <f t="shared" ref="A983:A1023" si="138">+A982</f>
        <v>1.1399999999999999</v>
      </c>
      <c r="B983" s="383">
        <v>3</v>
      </c>
      <c r="D983" s="406"/>
      <c r="E983" s="407"/>
      <c r="F983" s="407"/>
      <c r="G983" s="407"/>
      <c r="H983" s="407"/>
      <c r="I983" s="407"/>
      <c r="J983" s="408" t="s">
        <v>402</v>
      </c>
      <c r="K983" s="409" t="str">
        <f t="shared" si="134"/>
        <v>V=(Ancho x Largo x Alto)* Cant</v>
      </c>
      <c r="L983" s="410" t="str">
        <f>+L982</f>
        <v>M3</v>
      </c>
      <c r="M983" s="411">
        <v>4.6900000000000004</v>
      </c>
      <c r="N983" s="412"/>
      <c r="O983" s="442"/>
      <c r="P983" s="442"/>
      <c r="Q983" s="413">
        <v>0.2</v>
      </c>
      <c r="R983" s="411">
        <f>+HLOOKUP(B983,[238]Hoja1!$2:$78,18,FALSE)</f>
        <v>0.93800000000000017</v>
      </c>
      <c r="S983" s="413">
        <v>1</v>
      </c>
      <c r="T983" s="414">
        <f t="shared" si="137"/>
        <v>0.93800000000000017</v>
      </c>
      <c r="Y983" s="439">
        <f t="shared" ref="Y983:Y985" si="139">+M983*Q983</f>
        <v>0.93800000000000017</v>
      </c>
      <c r="Z983" s="439">
        <f t="shared" ref="Z983:Z985" si="140">+Y983-R983</f>
        <v>0</v>
      </c>
    </row>
    <row r="984" spans="1:26" ht="25.5">
      <c r="A984" s="453">
        <f t="shared" si="138"/>
        <v>1.1399999999999999</v>
      </c>
      <c r="B984" s="383">
        <v>4</v>
      </c>
      <c r="D984" s="406"/>
      <c r="E984" s="407"/>
      <c r="F984" s="407"/>
      <c r="G984" s="407"/>
      <c r="H984" s="407"/>
      <c r="I984" s="407"/>
      <c r="J984" s="408" t="s">
        <v>403</v>
      </c>
      <c r="K984" s="409" t="str">
        <f t="shared" si="134"/>
        <v>V=(Ancho x Largo x Alto)* Cant</v>
      </c>
      <c r="L984" s="410" t="str">
        <f>+L983</f>
        <v>M3</v>
      </c>
      <c r="M984" s="411">
        <v>4.6900000000000004</v>
      </c>
      <c r="N984" s="412"/>
      <c r="O984" s="442"/>
      <c r="P984" s="442"/>
      <c r="Q984" s="413">
        <v>0.2</v>
      </c>
      <c r="R984" s="411">
        <f>+HLOOKUP(B984,[238]Hoja1!$2:$78,18,FALSE)</f>
        <v>0.93800000000000017</v>
      </c>
      <c r="S984" s="413">
        <v>1</v>
      </c>
      <c r="T984" s="414">
        <f t="shared" si="137"/>
        <v>0.93800000000000017</v>
      </c>
      <c r="Y984" s="439">
        <f t="shared" si="139"/>
        <v>0.93800000000000017</v>
      </c>
      <c r="Z984" s="439">
        <f t="shared" si="140"/>
        <v>0</v>
      </c>
    </row>
    <row r="985" spans="1:26" ht="25.5">
      <c r="A985" s="453">
        <f t="shared" si="138"/>
        <v>1.1399999999999999</v>
      </c>
      <c r="B985" s="383">
        <v>5</v>
      </c>
      <c r="D985" s="406"/>
      <c r="E985" s="407"/>
      <c r="F985" s="407"/>
      <c r="G985" s="407"/>
      <c r="H985" s="407"/>
      <c r="I985" s="407"/>
      <c r="J985" s="408" t="s">
        <v>405</v>
      </c>
      <c r="K985" s="409" t="str">
        <f t="shared" si="134"/>
        <v>V=(Ancho x Largo x Alto)* Cant</v>
      </c>
      <c r="L985" s="410" t="str">
        <f>+L984</f>
        <v>M3</v>
      </c>
      <c r="M985" s="411">
        <v>4.6900000000000004</v>
      </c>
      <c r="N985" s="412"/>
      <c r="O985" s="442"/>
      <c r="P985" s="442"/>
      <c r="Q985" s="413">
        <v>0.2</v>
      </c>
      <c r="R985" s="411">
        <f>+HLOOKUP(B985,[238]Hoja1!$2:$78,18,FALSE)</f>
        <v>0.93800000000000017</v>
      </c>
      <c r="S985" s="413">
        <v>1</v>
      </c>
      <c r="T985" s="414">
        <f t="shared" si="137"/>
        <v>0.93800000000000017</v>
      </c>
      <c r="Y985" s="439">
        <f t="shared" si="139"/>
        <v>0.93800000000000017</v>
      </c>
      <c r="Z985" s="439">
        <f t="shared" si="140"/>
        <v>0</v>
      </c>
    </row>
    <row r="986" spans="1:26" ht="25.5">
      <c r="A986" s="453">
        <f t="shared" si="138"/>
        <v>1.1399999999999999</v>
      </c>
      <c r="B986" s="383">
        <v>6</v>
      </c>
      <c r="D986" s="406"/>
      <c r="E986" s="407"/>
      <c r="F986" s="407"/>
      <c r="G986" s="407"/>
      <c r="H986" s="407"/>
      <c r="I986" s="407"/>
      <c r="J986" s="408" t="s">
        <v>407</v>
      </c>
      <c r="K986" s="409" t="str">
        <f t="shared" si="134"/>
        <v>V=(Ancho x Largo x Alto)* Cant</v>
      </c>
      <c r="L986" s="410" t="str">
        <f>+L985</f>
        <v>M3</v>
      </c>
      <c r="M986" s="411">
        <v>9.8000000000000007</v>
      </c>
      <c r="N986" s="412"/>
      <c r="O986" s="442"/>
      <c r="P986" s="442"/>
      <c r="Q986" s="413">
        <v>0.2</v>
      </c>
      <c r="R986" s="411">
        <f>+HLOOKUP(B986,[238]Hoja1!$2:$78,18,FALSE)</f>
        <v>1.9600000000000002</v>
      </c>
      <c r="S986" s="413">
        <v>1</v>
      </c>
      <c r="T986" s="414">
        <f t="shared" si="137"/>
        <v>1.9600000000000002</v>
      </c>
      <c r="Y986" s="439">
        <f>+M986*Q986</f>
        <v>1.9600000000000002</v>
      </c>
      <c r="Z986" s="439">
        <f>+Y986-R986</f>
        <v>0</v>
      </c>
    </row>
    <row r="987" spans="1:26" ht="25.5">
      <c r="A987" s="453">
        <f t="shared" si="138"/>
        <v>1.1399999999999999</v>
      </c>
      <c r="B987" s="383">
        <v>7</v>
      </c>
      <c r="D987" s="406"/>
      <c r="E987" s="407"/>
      <c r="F987" s="407"/>
      <c r="G987" s="407"/>
      <c r="H987" s="407"/>
      <c r="I987" s="407"/>
      <c r="J987" s="408" t="s">
        <v>409</v>
      </c>
      <c r="K987" s="409" t="str">
        <f t="shared" si="134"/>
        <v>V=(Ancho x Largo x Alto)* Cant</v>
      </c>
      <c r="L987" s="410" t="str">
        <f>+L981</f>
        <v>M3</v>
      </c>
      <c r="M987" s="411"/>
      <c r="N987" s="412"/>
      <c r="O987" s="442"/>
      <c r="P987" s="442"/>
      <c r="Q987" s="413"/>
      <c r="R987" s="411">
        <f>+HLOOKUP(B987,[238]Hoja1!$2:$78,18,FALSE)</f>
        <v>0</v>
      </c>
      <c r="S987" s="413"/>
      <c r="T987" s="414">
        <f t="shared" si="137"/>
        <v>0</v>
      </c>
      <c r="Y987" s="439">
        <f t="shared" ref="Y987:Y998" si="141">+M987*Q987</f>
        <v>0</v>
      </c>
      <c r="Z987" s="439">
        <f t="shared" ref="Z987:Z998" si="142">+Y987-R987</f>
        <v>0</v>
      </c>
    </row>
    <row r="988" spans="1:26" ht="25.5">
      <c r="A988" s="453">
        <f t="shared" si="138"/>
        <v>1.1399999999999999</v>
      </c>
      <c r="B988" s="383">
        <v>8</v>
      </c>
      <c r="D988" s="406"/>
      <c r="E988" s="407"/>
      <c r="F988" s="407"/>
      <c r="G988" s="407"/>
      <c r="H988" s="407"/>
      <c r="I988" s="407"/>
      <c r="J988" s="408" t="s">
        <v>411</v>
      </c>
      <c r="K988" s="409" t="str">
        <f t="shared" si="134"/>
        <v>V=(Ancho x Largo x Alto)* Cant</v>
      </c>
      <c r="L988" s="410" t="str">
        <f>+L987</f>
        <v>M3</v>
      </c>
      <c r="M988" s="411">
        <v>8.5</v>
      </c>
      <c r="N988" s="412"/>
      <c r="O988" s="442"/>
      <c r="P988" s="442"/>
      <c r="Q988" s="413">
        <v>0.2</v>
      </c>
      <c r="R988" s="411">
        <f>+HLOOKUP(B988,[238]Hoja1!$2:$78,18,FALSE)</f>
        <v>1.7000000000000002</v>
      </c>
      <c r="S988" s="413">
        <v>1</v>
      </c>
      <c r="T988" s="414">
        <f t="shared" si="137"/>
        <v>1.7000000000000002</v>
      </c>
      <c r="Y988" s="439">
        <f t="shared" si="141"/>
        <v>1.7000000000000002</v>
      </c>
      <c r="Z988" s="439">
        <f t="shared" si="142"/>
        <v>0</v>
      </c>
    </row>
    <row r="989" spans="1:26" ht="25.5">
      <c r="A989" s="453">
        <f t="shared" si="138"/>
        <v>1.1399999999999999</v>
      </c>
      <c r="B989" s="383">
        <v>9</v>
      </c>
      <c r="D989" s="406"/>
      <c r="E989" s="407"/>
      <c r="F989" s="407"/>
      <c r="G989" s="407"/>
      <c r="H989" s="407"/>
      <c r="I989" s="407"/>
      <c r="J989" s="408" t="s">
        <v>412</v>
      </c>
      <c r="K989" s="409" t="str">
        <f t="shared" si="134"/>
        <v>V=(Ancho x Largo x Alto)* Cant</v>
      </c>
      <c r="L989" s="410" t="str">
        <f>+L988</f>
        <v>M3</v>
      </c>
      <c r="M989" s="411">
        <v>4.6900000000000004</v>
      </c>
      <c r="N989" s="412"/>
      <c r="O989" s="442"/>
      <c r="P989" s="442"/>
      <c r="Q989" s="413">
        <v>0.2</v>
      </c>
      <c r="R989" s="411">
        <f>+HLOOKUP(B989,[238]Hoja1!$2:$78,18,FALSE)</f>
        <v>0.93800000000000017</v>
      </c>
      <c r="S989" s="413">
        <v>1</v>
      </c>
      <c r="T989" s="414">
        <f t="shared" si="137"/>
        <v>0.93800000000000017</v>
      </c>
      <c r="Y989" s="439">
        <f t="shared" si="141"/>
        <v>0.93800000000000017</v>
      </c>
      <c r="Z989" s="439">
        <f t="shared" si="142"/>
        <v>0</v>
      </c>
    </row>
    <row r="990" spans="1:26" ht="25.5">
      <c r="A990" s="453">
        <f t="shared" si="138"/>
        <v>1.1399999999999999</v>
      </c>
      <c r="B990" s="383">
        <v>10</v>
      </c>
      <c r="D990" s="406"/>
      <c r="E990" s="407"/>
      <c r="F990" s="407"/>
      <c r="G990" s="407"/>
      <c r="H990" s="407"/>
      <c r="I990" s="407"/>
      <c r="J990" s="408" t="s">
        <v>413</v>
      </c>
      <c r="K990" s="409" t="str">
        <f t="shared" si="134"/>
        <v>V=(Ancho x Largo x Alto)* Cant</v>
      </c>
      <c r="L990" s="410" t="str">
        <f>+L989</f>
        <v>M3</v>
      </c>
      <c r="M990" s="411"/>
      <c r="N990" s="412"/>
      <c r="O990" s="441"/>
      <c r="P990" s="441"/>
      <c r="Q990" s="412"/>
      <c r="R990" s="411">
        <f>+HLOOKUP(B990,[238]Hoja1!$2:$78,18,FALSE)</f>
        <v>0</v>
      </c>
      <c r="S990" s="413"/>
      <c r="T990" s="414">
        <f t="shared" si="137"/>
        <v>0</v>
      </c>
      <c r="Y990" s="439">
        <f t="shared" si="141"/>
        <v>0</v>
      </c>
      <c r="Z990" s="439">
        <f t="shared" si="142"/>
        <v>0</v>
      </c>
    </row>
    <row r="991" spans="1:26" ht="25.5">
      <c r="A991" s="453">
        <f t="shared" si="138"/>
        <v>1.1399999999999999</v>
      </c>
      <c r="B991" s="383">
        <v>11</v>
      </c>
      <c r="D991" s="406"/>
      <c r="E991" s="407"/>
      <c r="F991" s="407"/>
      <c r="G991" s="407"/>
      <c r="H991" s="407"/>
      <c r="I991" s="407"/>
      <c r="J991" s="408" t="s">
        <v>414</v>
      </c>
      <c r="K991" s="409" t="str">
        <f t="shared" si="134"/>
        <v>V=(Ancho x Largo x Alto)* Cant</v>
      </c>
      <c r="L991" s="410" t="str">
        <f>+L990</f>
        <v>M3</v>
      </c>
      <c r="M991" s="411"/>
      <c r="N991" s="412"/>
      <c r="O991" s="443"/>
      <c r="P991" s="443"/>
      <c r="Q991" s="412"/>
      <c r="R991" s="411">
        <f>+HLOOKUP(B991,[238]Hoja1!$2:$78,18,FALSE)</f>
        <v>0</v>
      </c>
      <c r="S991" s="413"/>
      <c r="T991" s="414">
        <f t="shared" si="137"/>
        <v>0</v>
      </c>
      <c r="Y991" s="439">
        <f t="shared" si="141"/>
        <v>0</v>
      </c>
      <c r="Z991" s="439">
        <f t="shared" si="142"/>
        <v>0</v>
      </c>
    </row>
    <row r="992" spans="1:26" ht="25.5">
      <c r="A992" s="453">
        <f t="shared" si="138"/>
        <v>1.1399999999999999</v>
      </c>
      <c r="B992" s="383">
        <v>12</v>
      </c>
      <c r="D992" s="406"/>
      <c r="E992" s="407"/>
      <c r="F992" s="407"/>
      <c r="G992" s="407"/>
      <c r="H992" s="407"/>
      <c r="I992" s="407"/>
      <c r="J992" s="408" t="s">
        <v>415</v>
      </c>
      <c r="K992" s="409" t="str">
        <f t="shared" si="134"/>
        <v>V=(Ancho x Largo x Alto)* Cant</v>
      </c>
      <c r="L992" s="410" t="str">
        <f>+L986</f>
        <v>M3</v>
      </c>
      <c r="M992" s="411"/>
      <c r="N992" s="412"/>
      <c r="O992" s="442"/>
      <c r="P992" s="442"/>
      <c r="Q992" s="413"/>
      <c r="R992" s="411">
        <f>+HLOOKUP(B992,[238]Hoja1!$2:$78,18,FALSE)</f>
        <v>0</v>
      </c>
      <c r="S992" s="413"/>
      <c r="T992" s="414">
        <f t="shared" si="137"/>
        <v>0</v>
      </c>
      <c r="Y992" s="439">
        <f t="shared" si="141"/>
        <v>0</v>
      </c>
      <c r="Z992" s="439">
        <f t="shared" si="142"/>
        <v>0</v>
      </c>
    </row>
    <row r="993" spans="1:32" ht="25.5">
      <c r="A993" s="453">
        <f t="shared" si="138"/>
        <v>1.1399999999999999</v>
      </c>
      <c r="B993" s="383">
        <v>13</v>
      </c>
      <c r="D993" s="406"/>
      <c r="E993" s="407"/>
      <c r="F993" s="407"/>
      <c r="G993" s="407"/>
      <c r="H993" s="407"/>
      <c r="I993" s="407"/>
      <c r="J993" s="408" t="s">
        <v>416</v>
      </c>
      <c r="K993" s="409" t="str">
        <f t="shared" si="134"/>
        <v>V=(Ancho x Largo x Alto)* Cant</v>
      </c>
      <c r="L993" s="410" t="str">
        <f>+L988</f>
        <v>M3</v>
      </c>
      <c r="M993" s="411"/>
      <c r="N993" s="412"/>
      <c r="O993" s="442"/>
      <c r="P993" s="442"/>
      <c r="Q993" s="413"/>
      <c r="R993" s="411">
        <f>+HLOOKUP(B993,[238]Hoja1!$2:$78,18,FALSE)</f>
        <v>0</v>
      </c>
      <c r="S993" s="413"/>
      <c r="T993" s="414">
        <f t="shared" si="137"/>
        <v>0</v>
      </c>
      <c r="Y993" s="439">
        <f t="shared" si="141"/>
        <v>0</v>
      </c>
      <c r="Z993" s="439">
        <f t="shared" si="142"/>
        <v>0</v>
      </c>
    </row>
    <row r="994" spans="1:32" ht="25.5">
      <c r="A994" s="453">
        <f t="shared" si="138"/>
        <v>1.1399999999999999</v>
      </c>
      <c r="B994" s="383">
        <v>14</v>
      </c>
      <c r="D994" s="406"/>
      <c r="E994" s="407"/>
      <c r="F994" s="407"/>
      <c r="G994" s="407"/>
      <c r="H994" s="407"/>
      <c r="I994" s="407"/>
      <c r="J994" s="408" t="s">
        <v>417</v>
      </c>
      <c r="K994" s="409" t="str">
        <f t="shared" si="134"/>
        <v>V=(Ancho x Largo x Alto)* Cant</v>
      </c>
      <c r="L994" s="410" t="str">
        <f t="shared" ref="L994:L1005" si="143">+L993</f>
        <v>M3</v>
      </c>
      <c r="M994" s="411">
        <v>4.6900000000000004</v>
      </c>
      <c r="N994" s="412"/>
      <c r="O994" s="442"/>
      <c r="P994" s="442"/>
      <c r="Q994" s="413">
        <v>0.2</v>
      </c>
      <c r="R994" s="411">
        <f>+HLOOKUP(B994,[238]Hoja1!$2:$78,18,FALSE)</f>
        <v>0.93800000000000017</v>
      </c>
      <c r="S994" s="413">
        <v>1</v>
      </c>
      <c r="T994" s="414">
        <f t="shared" si="137"/>
        <v>0.93800000000000017</v>
      </c>
      <c r="Y994" s="439">
        <f t="shared" si="141"/>
        <v>0.93800000000000017</v>
      </c>
      <c r="Z994" s="439">
        <f t="shared" si="142"/>
        <v>0</v>
      </c>
    </row>
    <row r="995" spans="1:32" ht="25.5">
      <c r="A995" s="453">
        <f t="shared" si="138"/>
        <v>1.1399999999999999</v>
      </c>
      <c r="B995" s="383">
        <v>15</v>
      </c>
      <c r="D995" s="406"/>
      <c r="E995" s="407"/>
      <c r="F995" s="407"/>
      <c r="G995" s="407"/>
      <c r="H995" s="407"/>
      <c r="I995" s="407"/>
      <c r="J995" s="408" t="s">
        <v>418</v>
      </c>
      <c r="K995" s="409" t="str">
        <f t="shared" si="134"/>
        <v>V=(Ancho x Largo x Alto)* Cant</v>
      </c>
      <c r="L995" s="410" t="str">
        <f t="shared" si="143"/>
        <v>M3</v>
      </c>
      <c r="M995" s="411"/>
      <c r="N995" s="412"/>
      <c r="O995" s="442"/>
      <c r="P995" s="442"/>
      <c r="Q995" s="449"/>
      <c r="R995" s="411">
        <f>+HLOOKUP(B995,[238]Hoja1!$2:$78,18,FALSE)</f>
        <v>0</v>
      </c>
      <c r="S995" s="413"/>
      <c r="T995" s="414">
        <f t="shared" si="137"/>
        <v>0</v>
      </c>
      <c r="Y995" s="439">
        <f t="shared" si="141"/>
        <v>0</v>
      </c>
      <c r="Z995" s="439">
        <f t="shared" si="142"/>
        <v>0</v>
      </c>
    </row>
    <row r="996" spans="1:32" ht="25.5">
      <c r="A996" s="453">
        <f t="shared" si="138"/>
        <v>1.1399999999999999</v>
      </c>
      <c r="B996" s="383">
        <v>16</v>
      </c>
      <c r="D996" s="406"/>
      <c r="E996" s="407"/>
      <c r="F996" s="407"/>
      <c r="G996" s="407"/>
      <c r="H996" s="407"/>
      <c r="I996" s="407"/>
      <c r="J996" s="408" t="s">
        <v>419</v>
      </c>
      <c r="K996" s="409" t="str">
        <f t="shared" si="134"/>
        <v>V=(Ancho x Largo x Alto)* Cant</v>
      </c>
      <c r="L996" s="410" t="str">
        <f t="shared" si="143"/>
        <v>M3</v>
      </c>
      <c r="M996" s="411">
        <v>14.13</v>
      </c>
      <c r="N996" s="412"/>
      <c r="O996" s="442"/>
      <c r="P996" s="442"/>
      <c r="Q996" s="449">
        <v>0.2</v>
      </c>
      <c r="R996" s="411">
        <f>+Q996*M996</f>
        <v>2.8260000000000005</v>
      </c>
      <c r="S996" s="413">
        <v>1</v>
      </c>
      <c r="T996" s="414">
        <f t="shared" si="137"/>
        <v>2.8260000000000005</v>
      </c>
      <c r="Y996" s="439">
        <f t="shared" si="141"/>
        <v>2.8260000000000005</v>
      </c>
      <c r="Z996" s="439">
        <f t="shared" si="142"/>
        <v>0</v>
      </c>
    </row>
    <row r="997" spans="1:32" ht="25.5">
      <c r="A997" s="453">
        <f t="shared" si="138"/>
        <v>1.1399999999999999</v>
      </c>
      <c r="B997" s="383">
        <v>17</v>
      </c>
      <c r="D997" s="406"/>
      <c r="E997" s="407"/>
      <c r="F997" s="407"/>
      <c r="G997" s="407"/>
      <c r="H997" s="407"/>
      <c r="I997" s="407"/>
      <c r="J997" s="408" t="s">
        <v>420</v>
      </c>
      <c r="K997" s="409" t="str">
        <f t="shared" si="134"/>
        <v>V=(Ancho x Largo x Alto)* Cant</v>
      </c>
      <c r="L997" s="410" t="str">
        <f t="shared" si="143"/>
        <v>M3</v>
      </c>
      <c r="M997" s="411"/>
      <c r="N997" s="412"/>
      <c r="O997" s="442">
        <v>9</v>
      </c>
      <c r="P997" s="442">
        <v>10</v>
      </c>
      <c r="Q997" s="448">
        <v>0.15</v>
      </c>
      <c r="R997" s="411">
        <f>+Q997*P997*O997</f>
        <v>13.5</v>
      </c>
      <c r="S997" s="413">
        <v>1</v>
      </c>
      <c r="T997" s="414">
        <f t="shared" si="137"/>
        <v>13.5</v>
      </c>
      <c r="W997" s="383">
        <f>+Q997*P997*O997</f>
        <v>13.5</v>
      </c>
      <c r="Y997" s="439">
        <f t="shared" si="141"/>
        <v>0</v>
      </c>
      <c r="Z997" s="439">
        <f t="shared" si="142"/>
        <v>-13.5</v>
      </c>
      <c r="AC997" s="383">
        <v>8.1</v>
      </c>
      <c r="AD997" s="383">
        <v>8.9</v>
      </c>
      <c r="AE997" s="383">
        <v>0.15</v>
      </c>
    </row>
    <row r="998" spans="1:32" ht="25.5">
      <c r="A998" s="453">
        <f t="shared" si="138"/>
        <v>1.1399999999999999</v>
      </c>
      <c r="B998" s="383">
        <v>18</v>
      </c>
      <c r="D998" s="406"/>
      <c r="E998" s="407"/>
      <c r="F998" s="407"/>
      <c r="G998" s="407"/>
      <c r="H998" s="407"/>
      <c r="I998" s="407"/>
      <c r="J998" s="408" t="s">
        <v>429</v>
      </c>
      <c r="K998" s="409" t="str">
        <f t="shared" si="134"/>
        <v>V=(Ancho x Largo x Alto)* Cant</v>
      </c>
      <c r="L998" s="410" t="str">
        <f t="shared" si="143"/>
        <v>M3</v>
      </c>
      <c r="M998" s="411">
        <v>9.8000000000000007</v>
      </c>
      <c r="N998" s="412"/>
      <c r="O998" s="442"/>
      <c r="P998" s="442"/>
      <c r="Q998" s="413">
        <v>0.2</v>
      </c>
      <c r="R998" s="411">
        <f>+HLOOKUP(B998,[238]Hoja1!$2:$78,18,FALSE)</f>
        <v>1.9600000000000002</v>
      </c>
      <c r="S998" s="413">
        <v>1</v>
      </c>
      <c r="T998" s="414">
        <f t="shared" si="137"/>
        <v>1.9600000000000002</v>
      </c>
      <c r="Y998" s="439">
        <f t="shared" si="141"/>
        <v>1.9600000000000002</v>
      </c>
      <c r="Z998" s="439">
        <f t="shared" si="142"/>
        <v>0</v>
      </c>
      <c r="AF998" s="383">
        <f>+AE997*AD997*AC997</f>
        <v>10.813499999999999</v>
      </c>
    </row>
    <row r="999" spans="1:32" ht="25.5">
      <c r="A999" s="453">
        <f t="shared" si="138"/>
        <v>1.1399999999999999</v>
      </c>
      <c r="B999" s="383">
        <v>19</v>
      </c>
      <c r="D999" s="406"/>
      <c r="E999" s="407"/>
      <c r="F999" s="407"/>
      <c r="G999" s="407"/>
      <c r="H999" s="407"/>
      <c r="I999" s="407"/>
      <c r="J999" s="408" t="s">
        <v>430</v>
      </c>
      <c r="K999" s="409" t="str">
        <f t="shared" si="134"/>
        <v>V=(Ancho x Largo x Alto)* Cant</v>
      </c>
      <c r="L999" s="410" t="str">
        <f t="shared" si="143"/>
        <v>M3</v>
      </c>
      <c r="M999" s="411">
        <v>6.12</v>
      </c>
      <c r="N999" s="412"/>
      <c r="O999" s="442"/>
      <c r="P999" s="442"/>
      <c r="Q999" s="448">
        <v>0.25</v>
      </c>
      <c r="R999" s="411">
        <f>+HLOOKUP(B999,[238]Hoja1!$2:$78,18,FALSE)</f>
        <v>1.53</v>
      </c>
      <c r="S999" s="413">
        <v>1</v>
      </c>
      <c r="T999" s="414">
        <f t="shared" si="137"/>
        <v>1.53</v>
      </c>
      <c r="Y999" s="439">
        <f t="shared" ref="Y999:Y1023" si="144">+M999*Q999</f>
        <v>1.53</v>
      </c>
      <c r="Z999" s="439">
        <f t="shared" ref="Z999:Z1023" si="145">+Y999-R999</f>
        <v>0</v>
      </c>
    </row>
    <row r="1000" spans="1:32" ht="25.5">
      <c r="A1000" s="453">
        <f t="shared" si="138"/>
        <v>1.1399999999999999</v>
      </c>
      <c r="B1000" s="383">
        <v>20</v>
      </c>
      <c r="D1000" s="406"/>
      <c r="E1000" s="407"/>
      <c r="F1000" s="407"/>
      <c r="G1000" s="407"/>
      <c r="H1000" s="407"/>
      <c r="I1000" s="407"/>
      <c r="J1000" s="408" t="s">
        <v>431</v>
      </c>
      <c r="K1000" s="409" t="str">
        <f t="shared" si="134"/>
        <v>V=(Ancho x Largo x Alto)* Cant</v>
      </c>
      <c r="L1000" s="410" t="str">
        <f t="shared" si="143"/>
        <v>M3</v>
      </c>
      <c r="M1000" s="411">
        <v>8.5</v>
      </c>
      <c r="N1000" s="412"/>
      <c r="O1000" s="442"/>
      <c r="P1000" s="442"/>
      <c r="Q1000" s="413">
        <v>0.2</v>
      </c>
      <c r="R1000" s="411">
        <f>+HLOOKUP(B1000,[238]Hoja1!$2:$78,18,FALSE)</f>
        <v>1.7000000000000002</v>
      </c>
      <c r="S1000" s="413">
        <v>1</v>
      </c>
      <c r="T1000" s="414">
        <f t="shared" si="137"/>
        <v>1.7000000000000002</v>
      </c>
      <c r="Y1000" s="439">
        <f t="shared" si="144"/>
        <v>1.7000000000000002</v>
      </c>
      <c r="Z1000" s="439">
        <f t="shared" si="145"/>
        <v>0</v>
      </c>
    </row>
    <row r="1001" spans="1:32" ht="25.5">
      <c r="A1001" s="453">
        <f t="shared" si="138"/>
        <v>1.1399999999999999</v>
      </c>
      <c r="B1001" s="383">
        <v>21</v>
      </c>
      <c r="D1001" s="406"/>
      <c r="E1001" s="407"/>
      <c r="F1001" s="407"/>
      <c r="G1001" s="407"/>
      <c r="H1001" s="407"/>
      <c r="I1001" s="407"/>
      <c r="J1001" s="408" t="s">
        <v>432</v>
      </c>
      <c r="K1001" s="409" t="str">
        <f t="shared" si="134"/>
        <v>V=(Ancho x Largo x Alto)* Cant</v>
      </c>
      <c r="L1001" s="410" t="str">
        <f t="shared" si="143"/>
        <v>M3</v>
      </c>
      <c r="M1001" s="411"/>
      <c r="N1001" s="412"/>
      <c r="O1001" s="442"/>
      <c r="P1001" s="442"/>
      <c r="Q1001" s="412"/>
      <c r="R1001" s="411">
        <f>+HLOOKUP(B1001,[238]Hoja1!$2:$78,18,FALSE)</f>
        <v>0</v>
      </c>
      <c r="S1001" s="413"/>
      <c r="T1001" s="414">
        <f t="shared" si="137"/>
        <v>0</v>
      </c>
      <c r="Y1001" s="439">
        <f t="shared" si="144"/>
        <v>0</v>
      </c>
      <c r="Z1001" s="439">
        <f t="shared" si="145"/>
        <v>0</v>
      </c>
    </row>
    <row r="1002" spans="1:32" ht="25.5">
      <c r="A1002" s="453">
        <f t="shared" si="138"/>
        <v>1.1399999999999999</v>
      </c>
      <c r="B1002" s="383">
        <v>22</v>
      </c>
      <c r="D1002" s="406"/>
      <c r="E1002" s="407"/>
      <c r="F1002" s="407"/>
      <c r="G1002" s="407"/>
      <c r="H1002" s="407"/>
      <c r="I1002" s="407"/>
      <c r="J1002" s="408" t="s">
        <v>433</v>
      </c>
      <c r="K1002" s="409" t="str">
        <f t="shared" si="134"/>
        <v>V=(Ancho x Largo x Alto)* Cant</v>
      </c>
      <c r="L1002" s="410" t="str">
        <f t="shared" si="143"/>
        <v>M3</v>
      </c>
      <c r="M1002" s="411">
        <v>6.12</v>
      </c>
      <c r="N1002" s="412"/>
      <c r="O1002" s="442"/>
      <c r="P1002" s="442"/>
      <c r="Q1002" s="448">
        <v>0.25</v>
      </c>
      <c r="R1002" s="411">
        <f>+HLOOKUP(B1002,[238]Hoja1!$2:$78,18,FALSE)</f>
        <v>1.53</v>
      </c>
      <c r="S1002" s="413">
        <v>1</v>
      </c>
      <c r="T1002" s="414">
        <f t="shared" si="137"/>
        <v>1.53</v>
      </c>
      <c r="Y1002" s="439">
        <f t="shared" si="144"/>
        <v>1.53</v>
      </c>
      <c r="Z1002" s="439">
        <f t="shared" si="145"/>
        <v>0</v>
      </c>
    </row>
    <row r="1003" spans="1:32" ht="25.5">
      <c r="A1003" s="453">
        <f t="shared" si="138"/>
        <v>1.1399999999999999</v>
      </c>
      <c r="B1003" s="383">
        <v>23</v>
      </c>
      <c r="D1003" s="406"/>
      <c r="E1003" s="407"/>
      <c r="F1003" s="407"/>
      <c r="G1003" s="407"/>
      <c r="H1003" s="407"/>
      <c r="I1003" s="407"/>
      <c r="J1003" s="408" t="s">
        <v>434</v>
      </c>
      <c r="K1003" s="409" t="str">
        <f t="shared" si="134"/>
        <v>V=(Ancho x Largo x Alto)* Cant</v>
      </c>
      <c r="L1003" s="410" t="str">
        <f t="shared" si="143"/>
        <v>M3</v>
      </c>
      <c r="M1003" s="411"/>
      <c r="N1003" s="412"/>
      <c r="O1003" s="441"/>
      <c r="P1003" s="441"/>
      <c r="Q1003" s="412"/>
      <c r="R1003" s="411">
        <f>+HLOOKUP(B1003,[238]Hoja1!$2:$78,18,FALSE)</f>
        <v>0</v>
      </c>
      <c r="S1003" s="413"/>
      <c r="T1003" s="414">
        <f t="shared" si="137"/>
        <v>0</v>
      </c>
      <c r="Y1003" s="439">
        <f t="shared" si="144"/>
        <v>0</v>
      </c>
      <c r="Z1003" s="439">
        <f t="shared" si="145"/>
        <v>0</v>
      </c>
    </row>
    <row r="1004" spans="1:32" ht="25.5">
      <c r="A1004" s="453">
        <f t="shared" si="138"/>
        <v>1.1399999999999999</v>
      </c>
      <c r="B1004" s="383">
        <v>24</v>
      </c>
      <c r="D1004" s="406"/>
      <c r="E1004" s="407"/>
      <c r="F1004" s="407"/>
      <c r="G1004" s="407"/>
      <c r="H1004" s="407"/>
      <c r="I1004" s="407"/>
      <c r="J1004" s="408" t="s">
        <v>435</v>
      </c>
      <c r="K1004" s="409" t="str">
        <f t="shared" si="134"/>
        <v>V=(Ancho x Largo x Alto)* Cant</v>
      </c>
      <c r="L1004" s="410" t="str">
        <f t="shared" si="143"/>
        <v>M3</v>
      </c>
      <c r="M1004" s="411"/>
      <c r="N1004" s="412"/>
      <c r="O1004" s="442"/>
      <c r="P1004" s="442"/>
      <c r="Q1004" s="413"/>
      <c r="R1004" s="411">
        <f>+HLOOKUP(B1004,[238]Hoja1!$2:$78,18,FALSE)</f>
        <v>0</v>
      </c>
      <c r="S1004" s="413"/>
      <c r="T1004" s="414">
        <f t="shared" si="137"/>
        <v>0</v>
      </c>
      <c r="Y1004" s="439">
        <f t="shared" si="144"/>
        <v>0</v>
      </c>
      <c r="Z1004" s="439">
        <f t="shared" si="145"/>
        <v>0</v>
      </c>
    </row>
    <row r="1005" spans="1:32" ht="25.5">
      <c r="A1005" s="453">
        <f t="shared" si="138"/>
        <v>1.1399999999999999</v>
      </c>
      <c r="B1005" s="383">
        <v>25</v>
      </c>
      <c r="D1005" s="406"/>
      <c r="E1005" s="407"/>
      <c r="F1005" s="407"/>
      <c r="G1005" s="407"/>
      <c r="H1005" s="407"/>
      <c r="I1005" s="407"/>
      <c r="J1005" s="408" t="s">
        <v>436</v>
      </c>
      <c r="K1005" s="409" t="str">
        <f t="shared" si="134"/>
        <v>V=(Ancho x Largo x Alto)* Cant</v>
      </c>
      <c r="L1005" s="410" t="str">
        <f t="shared" si="143"/>
        <v>M3</v>
      </c>
      <c r="M1005" s="411">
        <v>7.4249999999999998</v>
      </c>
      <c r="N1005" s="412"/>
      <c r="O1005" s="442"/>
      <c r="P1005" s="442"/>
      <c r="Q1005" s="449">
        <v>0.15</v>
      </c>
      <c r="R1005" s="411">
        <f>+Q1005*M1005</f>
        <v>1.11375</v>
      </c>
      <c r="S1005" s="413">
        <v>1</v>
      </c>
      <c r="T1005" s="414">
        <f t="shared" si="137"/>
        <v>1.11375</v>
      </c>
      <c r="Y1005" s="439">
        <f t="shared" si="144"/>
        <v>1.11375</v>
      </c>
      <c r="Z1005" s="439">
        <f t="shared" si="145"/>
        <v>0</v>
      </c>
    </row>
    <row r="1006" spans="1:32" ht="25.5">
      <c r="A1006" s="453">
        <f t="shared" si="138"/>
        <v>1.1399999999999999</v>
      </c>
      <c r="B1006" s="383">
        <v>26</v>
      </c>
      <c r="D1006" s="406"/>
      <c r="E1006" s="407"/>
      <c r="F1006" s="407"/>
      <c r="G1006" s="407"/>
      <c r="H1006" s="407"/>
      <c r="I1006" s="407"/>
      <c r="J1006" s="408" t="s">
        <v>437</v>
      </c>
      <c r="K1006" s="409" t="str">
        <f t="shared" si="134"/>
        <v>V=(Ancho x Largo x Alto)* Cant</v>
      </c>
      <c r="L1006" s="410" t="str">
        <f>+L995</f>
        <v>M3</v>
      </c>
      <c r="M1006" s="411"/>
      <c r="N1006" s="412"/>
      <c r="O1006" s="442"/>
      <c r="P1006" s="442"/>
      <c r="Q1006" s="412"/>
      <c r="R1006" s="411">
        <f>+HLOOKUP(B1006,[238]Hoja1!$2:$78,18,FALSE)</f>
        <v>0</v>
      </c>
      <c r="S1006" s="413"/>
      <c r="T1006" s="414">
        <f t="shared" si="137"/>
        <v>0</v>
      </c>
      <c r="Y1006" s="439">
        <f t="shared" si="144"/>
        <v>0</v>
      </c>
      <c r="Z1006" s="439">
        <f t="shared" si="145"/>
        <v>0</v>
      </c>
    </row>
    <row r="1007" spans="1:32" ht="25.5">
      <c r="A1007" s="453">
        <f t="shared" si="138"/>
        <v>1.1399999999999999</v>
      </c>
      <c r="B1007" s="383">
        <v>27</v>
      </c>
      <c r="D1007" s="406"/>
      <c r="E1007" s="407"/>
      <c r="F1007" s="407"/>
      <c r="G1007" s="407"/>
      <c r="H1007" s="407"/>
      <c r="I1007" s="407"/>
      <c r="J1007" s="408" t="s">
        <v>438</v>
      </c>
      <c r="K1007" s="409" t="str">
        <f t="shared" si="134"/>
        <v>V=(Ancho x Largo x Alto)* Cant</v>
      </c>
      <c r="L1007" s="410" t="str">
        <f t="shared" ref="L1007:L1015" si="146">+L1006</f>
        <v>M3</v>
      </c>
      <c r="M1007" s="411">
        <v>6.12</v>
      </c>
      <c r="N1007" s="412"/>
      <c r="O1007" s="442"/>
      <c r="P1007" s="442"/>
      <c r="Q1007" s="448">
        <v>0.25</v>
      </c>
      <c r="R1007" s="411">
        <f>+HLOOKUP(B1007,[238]Hoja1!$2:$78,18,FALSE)</f>
        <v>1.53</v>
      </c>
      <c r="S1007" s="413">
        <v>1</v>
      </c>
      <c r="T1007" s="414">
        <f t="shared" si="137"/>
        <v>1.53</v>
      </c>
      <c r="Y1007" s="439">
        <f t="shared" si="144"/>
        <v>1.53</v>
      </c>
      <c r="Z1007" s="439">
        <f t="shared" si="145"/>
        <v>0</v>
      </c>
      <c r="AE1007" s="480">
        <f>8*'PRESUPUESTO OFICIAL '!G25</f>
        <v>1437872</v>
      </c>
    </row>
    <row r="1008" spans="1:32" ht="25.5">
      <c r="A1008" s="453">
        <f t="shared" si="138"/>
        <v>1.1399999999999999</v>
      </c>
      <c r="B1008" s="383">
        <v>28</v>
      </c>
      <c r="D1008" s="406"/>
      <c r="E1008" s="440"/>
      <c r="F1008" s="407"/>
      <c r="G1008" s="407"/>
      <c r="H1008" s="407"/>
      <c r="I1008" s="437"/>
      <c r="J1008" s="408" t="s">
        <v>439</v>
      </c>
      <c r="K1008" s="409" t="str">
        <f t="shared" si="134"/>
        <v>V=(Ancho x Largo x Alto)* Cant</v>
      </c>
      <c r="L1008" s="410" t="str">
        <f t="shared" si="146"/>
        <v>M3</v>
      </c>
      <c r="M1008" s="411"/>
      <c r="N1008" s="412"/>
      <c r="O1008" s="442"/>
      <c r="P1008" s="442"/>
      <c r="Q1008" s="413"/>
      <c r="R1008" s="411">
        <f>+HLOOKUP(B1008,[238]Hoja1!$2:$78,18,FALSE)</f>
        <v>0</v>
      </c>
      <c r="S1008" s="413"/>
      <c r="T1008" s="414">
        <f t="shared" si="137"/>
        <v>0</v>
      </c>
      <c r="Y1008" s="439">
        <f t="shared" si="144"/>
        <v>0</v>
      </c>
      <c r="Z1008" s="439">
        <f t="shared" si="145"/>
        <v>0</v>
      </c>
    </row>
    <row r="1009" spans="1:26" ht="25.5">
      <c r="A1009" s="453">
        <f t="shared" si="138"/>
        <v>1.1399999999999999</v>
      </c>
      <c r="B1009" s="383">
        <v>29</v>
      </c>
      <c r="D1009" s="406"/>
      <c r="E1009" s="407"/>
      <c r="F1009" s="407"/>
      <c r="G1009" s="407"/>
      <c r="H1009" s="407"/>
      <c r="I1009" s="407"/>
      <c r="J1009" s="408" t="s">
        <v>440</v>
      </c>
      <c r="K1009" s="409" t="str">
        <f t="shared" si="134"/>
        <v>V=(Ancho x Largo x Alto)* Cant</v>
      </c>
      <c r="L1009" s="410" t="str">
        <f t="shared" si="146"/>
        <v>M3</v>
      </c>
      <c r="M1009" s="411"/>
      <c r="N1009" s="412"/>
      <c r="O1009" s="443"/>
      <c r="P1009" s="443"/>
      <c r="Q1009" s="412"/>
      <c r="R1009" s="411">
        <f>+HLOOKUP(B1009,[238]Hoja1!$2:$78,18,FALSE)</f>
        <v>0</v>
      </c>
      <c r="S1009" s="413"/>
      <c r="T1009" s="414">
        <f t="shared" si="137"/>
        <v>0</v>
      </c>
      <c r="Y1009" s="439">
        <f t="shared" si="144"/>
        <v>0</v>
      </c>
      <c r="Z1009" s="439">
        <f t="shared" si="145"/>
        <v>0</v>
      </c>
    </row>
    <row r="1010" spans="1:26" ht="25.5">
      <c r="A1010" s="453">
        <f t="shared" si="138"/>
        <v>1.1399999999999999</v>
      </c>
      <c r="B1010" s="383">
        <v>30</v>
      </c>
      <c r="D1010" s="406"/>
      <c r="E1010" s="407"/>
      <c r="F1010" s="407"/>
      <c r="G1010" s="407"/>
      <c r="H1010" s="407"/>
      <c r="I1010" s="407"/>
      <c r="J1010" s="408" t="s">
        <v>441</v>
      </c>
      <c r="K1010" s="409" t="str">
        <f t="shared" si="134"/>
        <v>V=(Ancho x Largo x Alto)* Cant</v>
      </c>
      <c r="L1010" s="410" t="str">
        <f t="shared" si="146"/>
        <v>M3</v>
      </c>
      <c r="M1010" s="411">
        <v>8.5</v>
      </c>
      <c r="N1010" s="412"/>
      <c r="O1010" s="442"/>
      <c r="P1010" s="442"/>
      <c r="Q1010" s="413">
        <v>0.2</v>
      </c>
      <c r="R1010" s="411">
        <f>+HLOOKUP(B1010,[238]Hoja1!$2:$78,18,FALSE)</f>
        <v>1.7000000000000002</v>
      </c>
      <c r="S1010" s="413">
        <v>1</v>
      </c>
      <c r="T1010" s="414">
        <f t="shared" si="137"/>
        <v>1.7000000000000002</v>
      </c>
      <c r="Y1010" s="439">
        <f t="shared" si="144"/>
        <v>1.7000000000000002</v>
      </c>
      <c r="Z1010" s="439">
        <f t="shared" si="145"/>
        <v>0</v>
      </c>
    </row>
    <row r="1011" spans="1:26" ht="25.5">
      <c r="A1011" s="453">
        <f t="shared" si="138"/>
        <v>1.1399999999999999</v>
      </c>
      <c r="B1011" s="383">
        <v>31</v>
      </c>
      <c r="D1011" s="406"/>
      <c r="E1011" s="407"/>
      <c r="F1011" s="407"/>
      <c r="G1011" s="407"/>
      <c r="H1011" s="407"/>
      <c r="I1011" s="407"/>
      <c r="J1011" s="408" t="s">
        <v>442</v>
      </c>
      <c r="K1011" s="409" t="str">
        <f t="shared" si="134"/>
        <v>V=(Ancho x Largo x Alto)* Cant</v>
      </c>
      <c r="L1011" s="410" t="str">
        <f t="shared" si="146"/>
        <v>M3</v>
      </c>
      <c r="M1011" s="411"/>
      <c r="N1011" s="412"/>
      <c r="O1011" s="442"/>
      <c r="P1011" s="442"/>
      <c r="Q1011" s="413"/>
      <c r="R1011" s="411">
        <f>+HLOOKUP(B1011,[238]Hoja1!$2:$78,18,FALSE)</f>
        <v>0</v>
      </c>
      <c r="S1011" s="413"/>
      <c r="T1011" s="414">
        <f t="shared" si="137"/>
        <v>0</v>
      </c>
      <c r="Y1011" s="439">
        <f t="shared" si="144"/>
        <v>0</v>
      </c>
      <c r="Z1011" s="439">
        <f t="shared" si="145"/>
        <v>0</v>
      </c>
    </row>
    <row r="1012" spans="1:26" ht="25.5">
      <c r="A1012" s="453">
        <f t="shared" si="138"/>
        <v>1.1399999999999999</v>
      </c>
      <c r="B1012" s="383">
        <v>32</v>
      </c>
      <c r="D1012" s="406"/>
      <c r="E1012" s="407"/>
      <c r="F1012" s="407"/>
      <c r="G1012" s="407"/>
      <c r="H1012" s="407"/>
      <c r="I1012" s="407"/>
      <c r="J1012" s="408" t="s">
        <v>443</v>
      </c>
      <c r="K1012" s="409" t="str">
        <f t="shared" si="134"/>
        <v>V=(Ancho x Largo x Alto)* Cant</v>
      </c>
      <c r="L1012" s="410" t="str">
        <f t="shared" si="146"/>
        <v>M3</v>
      </c>
      <c r="M1012" s="411">
        <v>9.8000000000000007</v>
      </c>
      <c r="N1012" s="412"/>
      <c r="O1012" s="442"/>
      <c r="P1012" s="442"/>
      <c r="Q1012" s="413">
        <v>0.2</v>
      </c>
      <c r="R1012" s="411">
        <f>+HLOOKUP(B1012,[238]Hoja1!$2:$78,18,FALSE)</f>
        <v>1.9600000000000002</v>
      </c>
      <c r="S1012" s="413">
        <v>1</v>
      </c>
      <c r="T1012" s="414">
        <f t="shared" si="137"/>
        <v>1.9600000000000002</v>
      </c>
      <c r="Y1012" s="439">
        <f t="shared" si="144"/>
        <v>1.9600000000000002</v>
      </c>
      <c r="Z1012" s="439">
        <f t="shared" si="145"/>
        <v>0</v>
      </c>
    </row>
    <row r="1013" spans="1:26" ht="25.5">
      <c r="A1013" s="453">
        <f t="shared" si="138"/>
        <v>1.1399999999999999</v>
      </c>
      <c r="B1013" s="383">
        <v>33</v>
      </c>
      <c r="D1013" s="406"/>
      <c r="E1013" s="407"/>
      <c r="F1013" s="407"/>
      <c r="G1013" s="407"/>
      <c r="H1013" s="407"/>
      <c r="I1013" s="407"/>
      <c r="J1013" s="408" t="s">
        <v>444</v>
      </c>
      <c r="K1013" s="409" t="str">
        <f t="shared" si="134"/>
        <v>V=(Ancho x Largo x Alto)* Cant</v>
      </c>
      <c r="L1013" s="410" t="str">
        <f t="shared" si="146"/>
        <v>M3</v>
      </c>
      <c r="M1013" s="411"/>
      <c r="N1013" s="412"/>
      <c r="O1013" s="442"/>
      <c r="P1013" s="442"/>
      <c r="Q1013" s="412"/>
      <c r="R1013" s="411">
        <f>+HLOOKUP(B1013,[238]Hoja1!$2:$78,18,FALSE)</f>
        <v>0</v>
      </c>
      <c r="S1013" s="413"/>
      <c r="T1013" s="414">
        <f t="shared" si="137"/>
        <v>0</v>
      </c>
      <c r="Y1013" s="439">
        <f t="shared" si="144"/>
        <v>0</v>
      </c>
      <c r="Z1013" s="439">
        <f t="shared" si="145"/>
        <v>0</v>
      </c>
    </row>
    <row r="1014" spans="1:26" ht="25.5">
      <c r="A1014" s="453">
        <f t="shared" si="138"/>
        <v>1.1399999999999999</v>
      </c>
      <c r="B1014" s="383">
        <v>34</v>
      </c>
      <c r="D1014" s="406"/>
      <c r="E1014" s="407"/>
      <c r="F1014" s="407"/>
      <c r="G1014" s="407"/>
      <c r="H1014" s="407"/>
      <c r="I1014" s="407"/>
      <c r="J1014" s="408" t="s">
        <v>445</v>
      </c>
      <c r="K1014" s="409" t="str">
        <f t="shared" si="134"/>
        <v>V=(Ancho x Largo x Alto)* Cant</v>
      </c>
      <c r="L1014" s="410" t="str">
        <f t="shared" si="146"/>
        <v>M3</v>
      </c>
      <c r="M1014" s="411"/>
      <c r="N1014" s="412"/>
      <c r="O1014" s="441"/>
      <c r="P1014" s="441"/>
      <c r="Q1014" s="412"/>
      <c r="R1014" s="411">
        <f>+HLOOKUP(B1014,[238]Hoja1!$2:$78,18,FALSE)</f>
        <v>0</v>
      </c>
      <c r="S1014" s="413"/>
      <c r="T1014" s="414">
        <f t="shared" si="137"/>
        <v>0</v>
      </c>
      <c r="Y1014" s="439">
        <f t="shared" si="144"/>
        <v>0</v>
      </c>
      <c r="Z1014" s="439">
        <f t="shared" si="145"/>
        <v>0</v>
      </c>
    </row>
    <row r="1015" spans="1:26" ht="25.5">
      <c r="A1015" s="453">
        <f t="shared" si="138"/>
        <v>1.1399999999999999</v>
      </c>
      <c r="B1015" s="383">
        <v>35</v>
      </c>
      <c r="D1015" s="406"/>
      <c r="E1015" s="440"/>
      <c r="F1015" s="407"/>
      <c r="G1015" s="407"/>
      <c r="H1015" s="407"/>
      <c r="I1015" s="437"/>
      <c r="J1015" s="408" t="s">
        <v>446</v>
      </c>
      <c r="K1015" s="409" t="str">
        <f t="shared" si="134"/>
        <v>V=(Ancho x Largo x Alto)* Cant</v>
      </c>
      <c r="L1015" s="410" t="str">
        <f t="shared" si="146"/>
        <v>M3</v>
      </c>
      <c r="M1015" s="411"/>
      <c r="N1015" s="412"/>
      <c r="O1015" s="442"/>
      <c r="P1015" s="442"/>
      <c r="Q1015" s="413"/>
      <c r="R1015" s="411">
        <f>+HLOOKUP(B1015,[238]Hoja1!$2:$78,18,FALSE)</f>
        <v>0</v>
      </c>
      <c r="S1015" s="413"/>
      <c r="T1015" s="414">
        <f t="shared" si="137"/>
        <v>0</v>
      </c>
      <c r="Y1015" s="439">
        <f t="shared" si="144"/>
        <v>0</v>
      </c>
      <c r="Z1015" s="439">
        <f t="shared" si="145"/>
        <v>0</v>
      </c>
    </row>
    <row r="1016" spans="1:26" ht="25.5">
      <c r="A1016" s="453">
        <f t="shared" si="138"/>
        <v>1.1399999999999999</v>
      </c>
      <c r="B1016" s="383">
        <v>36</v>
      </c>
      <c r="D1016" s="406"/>
      <c r="E1016" s="407"/>
      <c r="F1016" s="407"/>
      <c r="G1016" s="407"/>
      <c r="H1016" s="407"/>
      <c r="I1016" s="407"/>
      <c r="J1016" s="408" t="s">
        <v>447</v>
      </c>
      <c r="K1016" s="409" t="str">
        <f t="shared" si="134"/>
        <v>V=(Ancho x Largo x Alto)* Cant</v>
      </c>
      <c r="L1016" s="410" t="str">
        <f>+L1005</f>
        <v>M3</v>
      </c>
      <c r="M1016" s="411">
        <v>9.8000000000000007</v>
      </c>
      <c r="N1016" s="412"/>
      <c r="O1016" s="442"/>
      <c r="P1016" s="442"/>
      <c r="Q1016" s="449">
        <v>0.2</v>
      </c>
      <c r="R1016" s="411">
        <f>+Q1016*M1016</f>
        <v>1.9600000000000002</v>
      </c>
      <c r="S1016" s="413">
        <v>1</v>
      </c>
      <c r="T1016" s="414">
        <f t="shared" si="137"/>
        <v>1.9600000000000002</v>
      </c>
      <c r="Y1016" s="439">
        <f t="shared" si="144"/>
        <v>1.9600000000000002</v>
      </c>
      <c r="Z1016" s="439">
        <f t="shared" si="145"/>
        <v>0</v>
      </c>
    </row>
    <row r="1017" spans="1:26" ht="25.5">
      <c r="A1017" s="453">
        <f t="shared" si="138"/>
        <v>1.1399999999999999</v>
      </c>
      <c r="B1017" s="383">
        <v>37</v>
      </c>
      <c r="D1017" s="406"/>
      <c r="E1017" s="407"/>
      <c r="F1017" s="407"/>
      <c r="G1017" s="407"/>
      <c r="H1017" s="407"/>
      <c r="I1017" s="407"/>
      <c r="J1017" s="408" t="s">
        <v>448</v>
      </c>
      <c r="K1017" s="409" t="str">
        <f t="shared" si="134"/>
        <v>V=(Ancho x Largo x Alto)* Cant</v>
      </c>
      <c r="L1017" s="410" t="str">
        <f t="shared" ref="L1017:L1023" si="147">+L1016</f>
        <v>M3</v>
      </c>
      <c r="M1017" s="411"/>
      <c r="N1017" s="412"/>
      <c r="O1017" s="441"/>
      <c r="P1017" s="441"/>
      <c r="Q1017" s="449"/>
      <c r="R1017" s="411">
        <f>+HLOOKUP(B1017,[238]Hoja1!$2:$78,18,FALSE)</f>
        <v>0</v>
      </c>
      <c r="S1017" s="413"/>
      <c r="T1017" s="414">
        <f t="shared" si="137"/>
        <v>0</v>
      </c>
      <c r="Y1017" s="439">
        <f t="shared" si="144"/>
        <v>0</v>
      </c>
      <c r="Z1017" s="439">
        <f t="shared" si="145"/>
        <v>0</v>
      </c>
    </row>
    <row r="1018" spans="1:26" ht="25.5">
      <c r="A1018" s="453">
        <f t="shared" si="138"/>
        <v>1.1399999999999999</v>
      </c>
      <c r="B1018" s="383">
        <v>38</v>
      </c>
      <c r="D1018" s="406"/>
      <c r="E1018" s="440"/>
      <c r="F1018" s="407"/>
      <c r="G1018" s="407"/>
      <c r="H1018" s="407"/>
      <c r="I1018" s="437"/>
      <c r="J1018" s="408" t="s">
        <v>449</v>
      </c>
      <c r="K1018" s="409" t="str">
        <f t="shared" si="134"/>
        <v>V=(Ancho x Largo x Alto)* Cant</v>
      </c>
      <c r="L1018" s="410" t="str">
        <f t="shared" si="147"/>
        <v>M3</v>
      </c>
      <c r="M1018" s="411"/>
      <c r="N1018" s="412"/>
      <c r="O1018" s="442"/>
      <c r="P1018" s="442"/>
      <c r="Q1018" s="413"/>
      <c r="R1018" s="411">
        <f>+HLOOKUP(B1018,[238]Hoja1!$2:$78,18,FALSE)</f>
        <v>0</v>
      </c>
      <c r="S1018" s="413"/>
      <c r="T1018" s="414">
        <f t="shared" si="137"/>
        <v>0</v>
      </c>
      <c r="Y1018" s="439">
        <f t="shared" si="144"/>
        <v>0</v>
      </c>
      <c r="Z1018" s="439">
        <f t="shared" si="145"/>
        <v>0</v>
      </c>
    </row>
    <row r="1019" spans="1:26" ht="25.5">
      <c r="A1019" s="453">
        <f t="shared" si="138"/>
        <v>1.1399999999999999</v>
      </c>
      <c r="B1019" s="383">
        <v>39</v>
      </c>
      <c r="D1019" s="406"/>
      <c r="E1019" s="407"/>
      <c r="F1019" s="407"/>
      <c r="G1019" s="407"/>
      <c r="H1019" s="407"/>
      <c r="I1019" s="407"/>
      <c r="J1019" s="408" t="s">
        <v>450</v>
      </c>
      <c r="K1019" s="409" t="str">
        <f t="shared" si="134"/>
        <v>V=(Ancho x Largo x Alto)* Cant</v>
      </c>
      <c r="L1019" s="410" t="str">
        <f t="shared" si="147"/>
        <v>M3</v>
      </c>
      <c r="M1019" s="411"/>
      <c r="N1019" s="412"/>
      <c r="O1019" s="441"/>
      <c r="P1019" s="441"/>
      <c r="Q1019" s="412"/>
      <c r="R1019" s="411">
        <f>+HLOOKUP(B1019,[238]Hoja1!$2:$78,18,FALSE)</f>
        <v>0</v>
      </c>
      <c r="S1019" s="413"/>
      <c r="T1019" s="414">
        <f t="shared" si="137"/>
        <v>0</v>
      </c>
      <c r="Y1019" s="439">
        <f t="shared" si="144"/>
        <v>0</v>
      </c>
      <c r="Z1019" s="439">
        <f t="shared" si="145"/>
        <v>0</v>
      </c>
    </row>
    <row r="1020" spans="1:26" ht="25.5">
      <c r="A1020" s="453">
        <f t="shared" si="138"/>
        <v>1.1399999999999999</v>
      </c>
      <c r="B1020" s="383">
        <v>40</v>
      </c>
      <c r="D1020" s="406"/>
      <c r="E1020" s="407"/>
      <c r="F1020" s="407"/>
      <c r="G1020" s="407"/>
      <c r="H1020" s="407"/>
      <c r="I1020" s="407"/>
      <c r="J1020" s="408" t="s">
        <v>451</v>
      </c>
      <c r="K1020" s="409" t="str">
        <f t="shared" si="134"/>
        <v>V=(Ancho x Largo x Alto)* Cant</v>
      </c>
      <c r="L1020" s="410" t="str">
        <f t="shared" si="147"/>
        <v>M3</v>
      </c>
      <c r="M1020" s="411">
        <v>9.8000000000000007</v>
      </c>
      <c r="N1020" s="412"/>
      <c r="O1020" s="442"/>
      <c r="P1020" s="442"/>
      <c r="Q1020" s="413">
        <v>0.2</v>
      </c>
      <c r="R1020" s="411">
        <f>+HLOOKUP(B1020,[238]Hoja1!$2:$78,18,FALSE)</f>
        <v>1.9600000000000002</v>
      </c>
      <c r="S1020" s="413">
        <v>1</v>
      </c>
      <c r="T1020" s="414">
        <f t="shared" si="137"/>
        <v>1.9600000000000002</v>
      </c>
      <c r="Y1020" s="439">
        <f t="shared" si="144"/>
        <v>1.9600000000000002</v>
      </c>
      <c r="Z1020" s="439">
        <f t="shared" si="145"/>
        <v>0</v>
      </c>
    </row>
    <row r="1021" spans="1:26" ht="25.5">
      <c r="A1021" s="453">
        <f t="shared" si="138"/>
        <v>1.1399999999999999</v>
      </c>
      <c r="B1021" s="383">
        <v>41</v>
      </c>
      <c r="D1021" s="406"/>
      <c r="E1021" s="407"/>
      <c r="F1021" s="407"/>
      <c r="G1021" s="407"/>
      <c r="H1021" s="407"/>
      <c r="I1021" s="407"/>
      <c r="J1021" s="408" t="s">
        <v>452</v>
      </c>
      <c r="K1021" s="409" t="str">
        <f t="shared" si="134"/>
        <v>V=(Ancho x Largo x Alto)* Cant</v>
      </c>
      <c r="L1021" s="410" t="str">
        <f t="shared" si="147"/>
        <v>M3</v>
      </c>
      <c r="M1021" s="411">
        <v>2.66</v>
      </c>
      <c r="N1021" s="412"/>
      <c r="O1021" s="442"/>
      <c r="P1021" s="442"/>
      <c r="Q1021" s="413">
        <v>0.2</v>
      </c>
      <c r="R1021" s="411">
        <f>+Q1021*M1021</f>
        <v>0.53200000000000003</v>
      </c>
      <c r="S1021" s="413">
        <v>1</v>
      </c>
      <c r="T1021" s="414">
        <f t="shared" si="137"/>
        <v>0.53200000000000003</v>
      </c>
      <c r="Y1021" s="439">
        <f t="shared" si="144"/>
        <v>0.53200000000000003</v>
      </c>
      <c r="Z1021" s="439">
        <f t="shared" si="145"/>
        <v>0</v>
      </c>
    </row>
    <row r="1022" spans="1:26" ht="25.5">
      <c r="A1022" s="453">
        <f t="shared" si="138"/>
        <v>1.1399999999999999</v>
      </c>
      <c r="B1022" s="383">
        <v>42</v>
      </c>
      <c r="D1022" s="406"/>
      <c r="E1022" s="407"/>
      <c r="F1022" s="407"/>
      <c r="G1022" s="407"/>
      <c r="H1022" s="407"/>
      <c r="I1022" s="407"/>
      <c r="J1022" s="408" t="s">
        <v>453</v>
      </c>
      <c r="K1022" s="409" t="str">
        <f t="shared" si="134"/>
        <v>V=(Ancho x Largo x Alto)* Cant</v>
      </c>
      <c r="L1022" s="410" t="str">
        <f t="shared" si="147"/>
        <v>M3</v>
      </c>
      <c r="M1022" s="411"/>
      <c r="N1022" s="412"/>
      <c r="O1022" s="442"/>
      <c r="P1022" s="442"/>
      <c r="Q1022" s="412"/>
      <c r="R1022" s="411">
        <f>+HLOOKUP(B1022,[238]Hoja1!$2:$78,18,FALSE)</f>
        <v>0</v>
      </c>
      <c r="S1022" s="413"/>
      <c r="T1022" s="414">
        <f t="shared" si="137"/>
        <v>0</v>
      </c>
      <c r="Y1022" s="439">
        <f t="shared" si="144"/>
        <v>0</v>
      </c>
      <c r="Z1022" s="439">
        <f t="shared" si="145"/>
        <v>0</v>
      </c>
    </row>
    <row r="1023" spans="1:26" ht="26.25" thickBot="1">
      <c r="A1023" s="453">
        <f t="shared" si="138"/>
        <v>1.1399999999999999</v>
      </c>
      <c r="B1023" s="383">
        <v>43</v>
      </c>
      <c r="D1023" s="406"/>
      <c r="E1023" s="407"/>
      <c r="F1023" s="407"/>
      <c r="G1023" s="407"/>
      <c r="H1023" s="407"/>
      <c r="I1023" s="407"/>
      <c r="J1023" s="408" t="s">
        <v>454</v>
      </c>
      <c r="K1023" s="409" t="str">
        <f t="shared" si="134"/>
        <v>V=(Ancho x Largo x Alto)* Cant</v>
      </c>
      <c r="L1023" s="410" t="str">
        <f t="shared" si="147"/>
        <v>M3</v>
      </c>
      <c r="M1023" s="411"/>
      <c r="N1023" s="412"/>
      <c r="O1023" s="442"/>
      <c r="P1023" s="442"/>
      <c r="Q1023" s="412"/>
      <c r="R1023" s="411">
        <f>+HLOOKUP(B1023,[238]Hoja1!$2:$78,18,FALSE)</f>
        <v>0</v>
      </c>
      <c r="S1023" s="413"/>
      <c r="T1023" s="414">
        <f t="shared" si="137"/>
        <v>0</v>
      </c>
      <c r="Y1023" s="439">
        <f t="shared" si="144"/>
        <v>0</v>
      </c>
      <c r="Z1023" s="439">
        <f t="shared" si="145"/>
        <v>0</v>
      </c>
    </row>
    <row r="1024" spans="1:26">
      <c r="D1024" s="384"/>
      <c r="E1024" s="419"/>
      <c r="F1024" s="420"/>
      <c r="G1024" s="421"/>
      <c r="H1024" s="421"/>
      <c r="I1024" s="421"/>
      <c r="J1024" s="421"/>
      <c r="K1024" s="422"/>
      <c r="L1024" s="421"/>
      <c r="M1024" s="421"/>
      <c r="N1024" s="421"/>
      <c r="O1024" s="421"/>
      <c r="P1024" s="421"/>
      <c r="Q1024" s="421"/>
      <c r="R1024" s="421"/>
      <c r="S1024" s="422"/>
      <c r="T1024" s="423"/>
    </row>
    <row r="1025" spans="4:20">
      <c r="D1025" s="396"/>
      <c r="E1025" s="397"/>
      <c r="F1025" s="424"/>
      <c r="G1025" s="425"/>
      <c r="H1025" s="425"/>
      <c r="I1025" s="425"/>
      <c r="J1025" s="425"/>
      <c r="K1025" s="398"/>
      <c r="L1025" s="425"/>
      <c r="M1025" s="425"/>
      <c r="N1025" s="397"/>
      <c r="O1025" s="397"/>
      <c r="P1025" s="562" t="s">
        <v>455</v>
      </c>
      <c r="Q1025" s="563"/>
      <c r="R1025" s="564"/>
      <c r="S1025" s="426"/>
      <c r="T1025" s="427">
        <f>ROUND(SUM(T981:T1024),2)</f>
        <v>43.09</v>
      </c>
    </row>
    <row r="1026" spans="4:20">
      <c r="D1026" s="396"/>
      <c r="E1026" s="397"/>
      <c r="F1026" s="424"/>
      <c r="G1026" s="425"/>
      <c r="H1026" s="425"/>
      <c r="I1026" s="425"/>
      <c r="J1026" s="425"/>
      <c r="K1026" s="398"/>
      <c r="L1026" s="425"/>
      <c r="M1026" s="425"/>
      <c r="N1026" s="428"/>
      <c r="O1026" s="428"/>
      <c r="P1026" s="429"/>
      <c r="Q1026" s="425"/>
      <c r="R1026" s="425"/>
      <c r="S1026" s="430"/>
      <c r="T1026" s="431"/>
    </row>
    <row r="1027" spans="4:20">
      <c r="D1027" s="565" t="e">
        <v>#REF!</v>
      </c>
      <c r="E1027" s="566"/>
      <c r="F1027" s="566"/>
      <c r="G1027" s="566"/>
      <c r="H1027" s="566"/>
      <c r="I1027" s="566"/>
      <c r="J1027" s="566"/>
      <c r="K1027" s="566"/>
      <c r="L1027" s="566"/>
      <c r="M1027" s="566"/>
      <c r="N1027" s="566"/>
      <c r="O1027" s="567"/>
      <c r="P1027" s="568" t="s">
        <v>422</v>
      </c>
      <c r="Q1027" s="568"/>
      <c r="R1027" s="568"/>
      <c r="S1027" s="426"/>
      <c r="T1027" s="427">
        <f>T1025</f>
        <v>43.09</v>
      </c>
    </row>
    <row r="1028" spans="4:20">
      <c r="D1028" s="396"/>
      <c r="E1028" s="397"/>
      <c r="F1028" s="424"/>
      <c r="G1028" s="425"/>
      <c r="H1028" s="425"/>
      <c r="I1028" s="425"/>
      <c r="J1028" s="425"/>
      <c r="K1028" s="398"/>
      <c r="L1028" s="425"/>
      <c r="M1028" s="425"/>
      <c r="N1028" s="428"/>
      <c r="O1028" s="428"/>
      <c r="P1028" s="429"/>
      <c r="Q1028" s="425"/>
      <c r="R1028" s="398"/>
      <c r="S1028" s="398"/>
      <c r="T1028" s="432"/>
    </row>
    <row r="1029" spans="4:20" ht="4.1500000000000004" customHeight="1">
      <c r="D1029" s="396"/>
      <c r="E1029" s="397"/>
      <c r="F1029" s="424"/>
      <c r="G1029" s="425"/>
      <c r="H1029" s="425"/>
      <c r="I1029" s="425"/>
      <c r="J1029" s="425"/>
      <c r="K1029" s="398"/>
      <c r="L1029" s="425"/>
      <c r="M1029" s="425"/>
      <c r="N1029" s="428"/>
      <c r="O1029" s="428"/>
      <c r="P1029" s="429"/>
      <c r="Q1029" s="425"/>
      <c r="R1029" s="398"/>
      <c r="S1029" s="398"/>
      <c r="T1029" s="432"/>
    </row>
    <row r="1030" spans="4:20">
      <c r="D1030" s="569" t="s">
        <v>423</v>
      </c>
      <c r="E1030" s="570"/>
      <c r="F1030" s="570"/>
      <c r="G1030" s="570"/>
      <c r="H1030" s="570"/>
      <c r="I1030" s="570"/>
      <c r="J1030" s="570"/>
      <c r="K1030" s="571"/>
      <c r="L1030" s="433" t="s">
        <v>424</v>
      </c>
      <c r="M1030" s="434"/>
      <c r="N1030" s="434"/>
      <c r="O1030" s="434"/>
      <c r="P1030" s="434"/>
      <c r="Q1030" s="434"/>
      <c r="R1030" s="434"/>
      <c r="S1030" s="434"/>
      <c r="T1030" s="435"/>
    </row>
    <row r="1031" spans="4:20">
      <c r="D1031" s="542"/>
      <c r="E1031" s="543"/>
      <c r="F1031" s="543"/>
      <c r="G1031" s="543"/>
      <c r="H1031" s="436"/>
      <c r="I1031" s="436"/>
      <c r="J1031" s="436"/>
      <c r="K1031" s="447"/>
      <c r="L1031" s="436"/>
      <c r="M1031" s="407"/>
      <c r="N1031" s="407"/>
      <c r="O1031" s="407"/>
      <c r="P1031" s="407"/>
      <c r="Q1031" s="407"/>
      <c r="R1031" s="407"/>
      <c r="S1031" s="407"/>
      <c r="T1031" s="437"/>
    </row>
    <row r="1032" spans="4:20">
      <c r="D1032" s="542"/>
      <c r="E1032" s="543"/>
      <c r="F1032" s="543"/>
      <c r="G1032" s="543"/>
      <c r="H1032" s="436"/>
      <c r="I1032" s="436"/>
      <c r="J1032" s="436"/>
      <c r="K1032" s="447"/>
      <c r="L1032" s="436"/>
      <c r="M1032" s="407"/>
      <c r="N1032" s="407"/>
      <c r="O1032" s="407"/>
      <c r="P1032" s="407"/>
      <c r="Q1032" s="407"/>
      <c r="R1032" s="407"/>
      <c r="S1032" s="407"/>
      <c r="T1032" s="437"/>
    </row>
    <row r="1033" spans="4:20">
      <c r="D1033" s="542" t="s">
        <v>425</v>
      </c>
      <c r="E1033" s="543"/>
      <c r="F1033" s="543" t="s">
        <v>425</v>
      </c>
      <c r="G1033" s="543"/>
      <c r="H1033" s="543" t="s">
        <v>425</v>
      </c>
      <c r="I1033" s="543"/>
      <c r="J1033" s="543" t="s">
        <v>425</v>
      </c>
      <c r="K1033" s="544"/>
      <c r="L1033" s="545" t="s">
        <v>426</v>
      </c>
      <c r="M1033" s="546"/>
      <c r="N1033" s="546"/>
      <c r="O1033" s="546"/>
      <c r="P1033" s="546"/>
      <c r="Q1033" s="546"/>
      <c r="R1033" s="546"/>
      <c r="S1033" s="546"/>
      <c r="T1033" s="547"/>
    </row>
    <row r="1034" spans="4:20">
      <c r="D1034" s="548" t="str">
        <f>+[42]DATOS!D$8</f>
        <v>HELMER EDUARDO BECERRA SANTANDER</v>
      </c>
      <c r="E1034" s="549"/>
      <c r="F1034" s="549" t="s">
        <v>427</v>
      </c>
      <c r="G1034" s="549"/>
      <c r="H1034" s="549" t="s">
        <v>427</v>
      </c>
      <c r="I1034" s="549"/>
      <c r="J1034" s="549" t="s">
        <v>427</v>
      </c>
      <c r="K1034" s="550"/>
      <c r="L1034" s="551" t="str">
        <f>+[42]DATOS!D$11</f>
        <v>JESUS IVAN QUIÑONES RUEDA</v>
      </c>
      <c r="M1034" s="549"/>
      <c r="N1034" s="549"/>
      <c r="O1034" s="549"/>
      <c r="P1034" s="549"/>
      <c r="Q1034" s="549"/>
      <c r="R1034" s="549"/>
      <c r="S1034" s="549"/>
      <c r="T1034" s="552"/>
    </row>
    <row r="1035" spans="4:20">
      <c r="D1035" s="553" t="str">
        <f>+$D$72</f>
        <v>APOYO SEC. DE PLANEACION Y OBRAS PÚBLICAS</v>
      </c>
      <c r="E1035" s="554"/>
      <c r="F1035" s="554" t="s">
        <v>428</v>
      </c>
      <c r="G1035" s="554"/>
      <c r="H1035" s="554" t="s">
        <v>428</v>
      </c>
      <c r="I1035" s="554"/>
      <c r="J1035" s="554" t="s">
        <v>428</v>
      </c>
      <c r="K1035" s="555"/>
      <c r="L1035" s="556" t="str">
        <f>+$L$72</f>
        <v>SECRETARIO DE PLANEACION Y OBRAS PÚBLICAS</v>
      </c>
      <c r="M1035" s="554"/>
      <c r="N1035" s="554"/>
      <c r="O1035" s="554"/>
      <c r="P1035" s="554"/>
      <c r="Q1035" s="554"/>
      <c r="R1035" s="554"/>
      <c r="S1035" s="554"/>
      <c r="T1035" s="557"/>
    </row>
    <row r="1036" spans="4:20">
      <c r="D1036" s="406"/>
      <c r="E1036" s="407"/>
      <c r="F1036" s="407"/>
      <c r="G1036" s="407"/>
      <c r="H1036" s="407"/>
      <c r="I1036" s="407"/>
      <c r="J1036" s="407"/>
      <c r="K1036" s="407"/>
      <c r="L1036" s="407"/>
      <c r="M1036" s="407"/>
      <c r="N1036" s="407"/>
      <c r="O1036" s="407"/>
      <c r="P1036" s="407"/>
      <c r="Q1036" s="407"/>
      <c r="R1036" s="407"/>
      <c r="S1036" s="407"/>
      <c r="T1036" s="437"/>
    </row>
    <row r="1037" spans="4:20" ht="111" customHeight="1" thickBot="1">
      <c r="D1037" s="417"/>
      <c r="E1037" s="418"/>
      <c r="F1037" s="418"/>
      <c r="G1037" s="418"/>
      <c r="H1037" s="418"/>
      <c r="I1037" s="418"/>
      <c r="J1037" s="418"/>
      <c r="K1037" s="418"/>
      <c r="L1037" s="418"/>
      <c r="M1037" s="418"/>
      <c r="N1037" s="418"/>
      <c r="O1037" s="418"/>
      <c r="P1037" s="418"/>
      <c r="Q1037" s="418"/>
      <c r="R1037" s="418"/>
      <c r="S1037" s="418"/>
      <c r="T1037" s="438"/>
    </row>
    <row r="1038" spans="4:20" ht="14.25" customHeight="1"/>
    <row r="1039" spans="4:20" ht="13.5" thickBot="1"/>
    <row r="1040" spans="4:20">
      <c r="D1040" s="384"/>
      <c r="E1040" s="385"/>
      <c r="F1040" s="385"/>
      <c r="G1040" s="385"/>
      <c r="H1040" s="385"/>
      <c r="I1040" s="385"/>
      <c r="J1040" s="385"/>
      <c r="K1040" s="445"/>
      <c r="L1040" s="385"/>
      <c r="M1040" s="385"/>
      <c r="N1040" s="385"/>
      <c r="O1040" s="385"/>
      <c r="P1040" s="385"/>
      <c r="Q1040" s="385"/>
      <c r="R1040" s="385"/>
      <c r="S1040" s="385"/>
      <c r="T1040" s="386"/>
    </row>
    <row r="1041" spans="1:26" ht="121.5" customHeight="1" thickBot="1">
      <c r="D1041" s="387"/>
      <c r="E1041" s="388"/>
      <c r="F1041" s="388"/>
      <c r="G1041" s="388"/>
      <c r="H1041" s="388"/>
      <c r="I1041" s="388"/>
      <c r="J1041" s="388"/>
      <c r="K1041" s="446"/>
      <c r="L1041" s="388"/>
      <c r="M1041" s="388"/>
      <c r="N1041" s="388"/>
      <c r="O1041" s="388"/>
      <c r="P1041" s="388"/>
      <c r="Q1041" s="388"/>
      <c r="R1041" s="388"/>
      <c r="S1041" s="388"/>
      <c r="T1041" s="389"/>
    </row>
    <row r="1042" spans="1:26">
      <c r="D1042" s="592" t="str">
        <f>+[42]DATOS!C$7</f>
        <v>MEJORAMIENTO DE VIVIENDA CON ENFOQUE DIFERENCIAL PARA POBLACIÓN VULNERABLE EN EL MUNICIPIO DE CUBARÁ, BOYACÁ (2026).</v>
      </c>
      <c r="E1042" s="593"/>
      <c r="F1042" s="593"/>
      <c r="G1042" s="593"/>
      <c r="H1042" s="593"/>
      <c r="I1042" s="593"/>
      <c r="J1042" s="593"/>
      <c r="K1042" s="593"/>
      <c r="L1042" s="593"/>
      <c r="M1042" s="593"/>
      <c r="N1042" s="593"/>
      <c r="O1042" s="593"/>
      <c r="P1042" s="593"/>
      <c r="Q1042" s="593"/>
      <c r="R1042" s="593"/>
      <c r="S1042" s="593"/>
      <c r="T1042" s="594"/>
    </row>
    <row r="1043" spans="1:26">
      <c r="D1043" s="595"/>
      <c r="E1043" s="596"/>
      <c r="F1043" s="596"/>
      <c r="G1043" s="596"/>
      <c r="H1043" s="596"/>
      <c r="I1043" s="596"/>
      <c r="J1043" s="596"/>
      <c r="K1043" s="596"/>
      <c r="L1043" s="596"/>
      <c r="M1043" s="596"/>
      <c r="N1043" s="596"/>
      <c r="O1043" s="596"/>
      <c r="P1043" s="596"/>
      <c r="Q1043" s="596"/>
      <c r="R1043" s="596"/>
      <c r="S1043" s="596"/>
      <c r="T1043" s="597"/>
    </row>
    <row r="1044" spans="1:26">
      <c r="D1044" s="598" t="s">
        <v>371</v>
      </c>
      <c r="E1044" s="599"/>
      <c r="F1044" s="599"/>
      <c r="G1044" s="599"/>
      <c r="H1044" s="599"/>
      <c r="I1044" s="599"/>
      <c r="J1044" s="599"/>
      <c r="K1044" s="599"/>
      <c r="L1044" s="599"/>
      <c r="M1044" s="599"/>
      <c r="N1044" s="599"/>
      <c r="O1044" s="599"/>
      <c r="P1044" s="599"/>
      <c r="Q1044" s="599"/>
      <c r="R1044" s="599"/>
      <c r="S1044" s="599"/>
      <c r="T1044" s="600"/>
    </row>
    <row r="1045" spans="1:26">
      <c r="D1045" s="586" t="s">
        <v>372</v>
      </c>
      <c r="E1045" s="587"/>
      <c r="F1045" s="601" t="s">
        <v>373</v>
      </c>
      <c r="G1045" s="601"/>
      <c r="H1045" s="601"/>
      <c r="I1045" s="601"/>
      <c r="J1045" s="601"/>
      <c r="K1045" s="601"/>
      <c r="L1045" s="601"/>
      <c r="M1045" s="601"/>
      <c r="N1045" s="601"/>
      <c r="O1045" s="601"/>
      <c r="P1045" s="601"/>
      <c r="Q1045" s="601"/>
      <c r="R1045" s="601"/>
      <c r="S1045" s="601"/>
      <c r="T1045" s="602"/>
    </row>
    <row r="1046" spans="1:26">
      <c r="D1046" s="586" t="s">
        <v>374</v>
      </c>
      <c r="E1046" s="587"/>
      <c r="F1046" s="603" t="s">
        <v>375</v>
      </c>
      <c r="G1046" s="604"/>
      <c r="H1046" s="604"/>
      <c r="I1046" s="604"/>
      <c r="J1046" s="604"/>
      <c r="K1046" s="604"/>
      <c r="L1046" s="604"/>
      <c r="M1046" s="604"/>
      <c r="N1046" s="604"/>
      <c r="O1046" s="604"/>
      <c r="P1046" s="604"/>
      <c r="Q1046" s="604"/>
      <c r="R1046" s="604"/>
      <c r="S1046" s="604"/>
      <c r="T1046" s="605"/>
    </row>
    <row r="1047" spans="1:26">
      <c r="D1047" s="586" t="s">
        <v>376</v>
      </c>
      <c r="E1047" s="587"/>
      <c r="F1047" s="390">
        <f>+[42]DATOS!F$5</f>
        <v>46143</v>
      </c>
      <c r="G1047" s="391"/>
      <c r="H1047" s="391"/>
      <c r="I1047" s="391"/>
      <c r="J1047" s="391"/>
      <c r="K1047" s="391"/>
      <c r="L1047" s="568" t="s">
        <v>377</v>
      </c>
      <c r="M1047" s="568"/>
      <c r="N1047" s="588" t="s">
        <v>378</v>
      </c>
      <c r="O1047" s="588"/>
      <c r="P1047" s="588"/>
      <c r="Q1047" s="588"/>
      <c r="R1047" s="588"/>
      <c r="S1047" s="588"/>
      <c r="T1047" s="589"/>
    </row>
    <row r="1048" spans="1:26" ht="25.5">
      <c r="D1048" s="586" t="s">
        <v>379</v>
      </c>
      <c r="E1048" s="587"/>
      <c r="F1048" s="590" t="s">
        <v>380</v>
      </c>
      <c r="G1048" s="591"/>
      <c r="H1048" s="392">
        <f>+[42]DATOS!E$5</f>
        <v>2026</v>
      </c>
      <c r="I1048" s="393" t="s">
        <v>381</v>
      </c>
      <c r="J1048" s="394">
        <f>+[42]DATOS!E$5</f>
        <v>2026</v>
      </c>
      <c r="K1048" s="395"/>
      <c r="L1048" s="568" t="s">
        <v>382</v>
      </c>
      <c r="M1048" s="568"/>
      <c r="N1048" s="588" t="s">
        <v>383</v>
      </c>
      <c r="O1048" s="588"/>
      <c r="P1048" s="588"/>
      <c r="Q1048" s="588"/>
      <c r="R1048" s="588"/>
      <c r="S1048" s="588"/>
      <c r="T1048" s="589"/>
    </row>
    <row r="1049" spans="1:26">
      <c r="D1049" s="396"/>
      <c r="E1049" s="397"/>
      <c r="F1049" s="397"/>
      <c r="G1049" s="398"/>
      <c r="H1049" s="398"/>
      <c r="I1049" s="398"/>
      <c r="J1049" s="398"/>
      <c r="K1049" s="398"/>
      <c r="L1049" s="398"/>
      <c r="M1049" s="398"/>
      <c r="N1049" s="398"/>
      <c r="O1049" s="398"/>
      <c r="P1049" s="398"/>
      <c r="Q1049" s="398"/>
      <c r="R1049" s="398"/>
      <c r="S1049" s="398"/>
      <c r="T1049" s="399"/>
    </row>
    <row r="1050" spans="1:26">
      <c r="D1050" s="572" t="s">
        <v>384</v>
      </c>
      <c r="E1050" s="573"/>
      <c r="F1050" s="573"/>
      <c r="G1050" s="573"/>
      <c r="H1050" s="573"/>
      <c r="I1050" s="573"/>
      <c r="J1050" s="573"/>
      <c r="K1050" s="573"/>
      <c r="L1050" s="573"/>
      <c r="M1050" s="573"/>
      <c r="N1050" s="573"/>
      <c r="O1050" s="573"/>
      <c r="P1050" s="573"/>
      <c r="Q1050" s="573"/>
      <c r="R1050" s="573"/>
      <c r="S1050" s="573"/>
      <c r="T1050" s="574"/>
    </row>
    <row r="1051" spans="1:26">
      <c r="D1051" s="396"/>
      <c r="E1051" s="397"/>
      <c r="F1051" s="397"/>
      <c r="G1051" s="398"/>
      <c r="H1051" s="398"/>
      <c r="I1051" s="398"/>
      <c r="J1051" s="398"/>
      <c r="K1051" s="398"/>
      <c r="L1051" s="398"/>
      <c r="M1051" s="398"/>
      <c r="N1051" s="398"/>
      <c r="O1051" s="398"/>
      <c r="P1051" s="398"/>
      <c r="Q1051" s="398"/>
      <c r="R1051" s="398"/>
      <c r="S1051" s="398"/>
      <c r="T1051" s="399"/>
    </row>
    <row r="1052" spans="1:26">
      <c r="D1052" s="400" t="s">
        <v>385</v>
      </c>
      <c r="E1052" s="575" t="s">
        <v>386</v>
      </c>
      <c r="F1052" s="575"/>
      <c r="G1052" s="576" t="s">
        <v>387</v>
      </c>
      <c r="H1052" s="577"/>
      <c r="I1052" s="577"/>
      <c r="J1052" s="576" t="s">
        <v>388</v>
      </c>
      <c r="K1052" s="576" t="s">
        <v>389</v>
      </c>
      <c r="L1052" s="579"/>
      <c r="M1052" s="581" t="s">
        <v>390</v>
      </c>
      <c r="N1052" s="581"/>
      <c r="O1052" s="581"/>
      <c r="P1052" s="581"/>
      <c r="Q1052" s="581"/>
      <c r="R1052" s="581"/>
      <c r="S1052" s="581" t="s">
        <v>391</v>
      </c>
      <c r="T1052" s="582"/>
    </row>
    <row r="1053" spans="1:26" ht="38.25">
      <c r="D1053" s="403">
        <f>+'PRESUPUESTO OFICIAL '!C26</f>
        <v>1.1499999999999999</v>
      </c>
      <c r="E1053" s="583" t="str">
        <f>+VLOOKUP(D1053,'PRESUPUESTO OFICIAL '!$C$11:$H$103,2)</f>
        <v>DESMONTE DE CUBIERTA EN LÁMINA</v>
      </c>
      <c r="F1053" s="584"/>
      <c r="G1053" s="585" t="str">
        <f>+VLOOKUP(D1053,'PRESUPUESTO OFICIAL '!$C$11:$H$103,3)</f>
        <v>M2</v>
      </c>
      <c r="H1053" s="585"/>
      <c r="I1053" s="585"/>
      <c r="J1053" s="578"/>
      <c r="K1053" s="578"/>
      <c r="L1053" s="580"/>
      <c r="M1053" s="401" t="s">
        <v>392</v>
      </c>
      <c r="N1053" s="401" t="s">
        <v>393</v>
      </c>
      <c r="O1053" s="401" t="s">
        <v>394</v>
      </c>
      <c r="P1053" s="401" t="s">
        <v>395</v>
      </c>
      <c r="Q1053" s="401" t="s">
        <v>396</v>
      </c>
      <c r="R1053" s="401" t="s">
        <v>397</v>
      </c>
      <c r="S1053" s="401" t="s">
        <v>398</v>
      </c>
      <c r="T1053" s="402" t="s">
        <v>399</v>
      </c>
      <c r="V1053" s="404">
        <f>+D1053</f>
        <v>1.1499999999999999</v>
      </c>
      <c r="W1053" s="405">
        <f>+T1101</f>
        <v>121.33</v>
      </c>
    </row>
    <row r="1054" spans="1:26">
      <c r="D1054" s="406"/>
      <c r="E1054" s="407"/>
      <c r="F1054" s="407"/>
      <c r="G1054" s="407"/>
      <c r="H1054" s="407"/>
      <c r="I1054" s="407"/>
      <c r="J1054" s="558"/>
      <c r="K1054" s="559"/>
      <c r="L1054" s="560"/>
      <c r="M1054" s="560"/>
      <c r="N1054" s="560"/>
      <c r="O1054" s="560"/>
      <c r="P1054" s="560"/>
      <c r="Q1054" s="560"/>
      <c r="R1054" s="560"/>
      <c r="S1054" s="560"/>
      <c r="T1054" s="561"/>
    </row>
    <row r="1055" spans="1:26">
      <c r="A1055" s="453">
        <f>+D1053</f>
        <v>1.1499999999999999</v>
      </c>
      <c r="B1055" s="383">
        <v>1</v>
      </c>
      <c r="D1055" s="406"/>
      <c r="E1055" s="407"/>
      <c r="F1055" s="407"/>
      <c r="G1055" s="407"/>
      <c r="H1055" s="407"/>
      <c r="I1055" s="407"/>
      <c r="J1055" s="408" t="s">
        <v>400</v>
      </c>
      <c r="K1055" s="409" t="str">
        <f t="shared" ref="K1055:K1097" si="148">+VLOOKUP(L1055,$AH$22:$AJ$58,2,)</f>
        <v>A=(Ancho x Largo)* Cant</v>
      </c>
      <c r="L1055" s="410" t="str">
        <f>+G1053</f>
        <v>M2</v>
      </c>
      <c r="M1055" s="411">
        <f>+HLOOKUP(B1055,[238]Hoja1!$2:$78,19,FALSE)</f>
        <v>0</v>
      </c>
      <c r="N1055" s="412"/>
      <c r="O1055" s="442"/>
      <c r="P1055" s="442"/>
      <c r="Q1055" s="413"/>
      <c r="R1055" s="411"/>
      <c r="S1055" s="413"/>
      <c r="T1055" s="414">
        <f>+S1055*M1055</f>
        <v>0</v>
      </c>
      <c r="Y1055" s="439">
        <f t="shared" ref="Y1055" si="149">+O1055*P1055*Q1055</f>
        <v>0</v>
      </c>
      <c r="Z1055" s="439">
        <f t="shared" ref="Z1055" si="150">+Y1055-R1055</f>
        <v>0</v>
      </c>
    </row>
    <row r="1056" spans="1:26">
      <c r="A1056" s="453">
        <f>+A1055</f>
        <v>1.1499999999999999</v>
      </c>
      <c r="B1056" s="383">
        <v>2</v>
      </c>
      <c r="D1056" s="406"/>
      <c r="E1056" s="407"/>
      <c r="F1056" s="407"/>
      <c r="G1056" s="407"/>
      <c r="H1056" s="407"/>
      <c r="I1056" s="407"/>
      <c r="J1056" s="408" t="s">
        <v>401</v>
      </c>
      <c r="K1056" s="409" t="str">
        <f t="shared" si="148"/>
        <v>A=(Ancho x Largo)* Cant</v>
      </c>
      <c r="L1056" s="410" t="str">
        <f>+L1055</f>
        <v>M2</v>
      </c>
      <c r="M1056" s="411">
        <f>+HLOOKUP(B1056,[238]Hoja1!$2:$78,19,FALSE)</f>
        <v>0</v>
      </c>
      <c r="N1056" s="412"/>
      <c r="O1056" s="442"/>
      <c r="P1056" s="442"/>
      <c r="Q1056" s="413"/>
      <c r="R1056" s="411"/>
      <c r="S1056" s="413"/>
      <c r="T1056" s="414">
        <f t="shared" ref="T1056:T1097" si="151">+S1056*M1056</f>
        <v>0</v>
      </c>
      <c r="Y1056" s="439">
        <f>+M1056*Q1056</f>
        <v>0</v>
      </c>
      <c r="Z1056" s="439">
        <f>+Y1056-R1056</f>
        <v>0</v>
      </c>
    </row>
    <row r="1057" spans="1:26">
      <c r="A1057" s="453">
        <f t="shared" ref="A1057:A1097" si="152">+A1056</f>
        <v>1.1499999999999999</v>
      </c>
      <c r="B1057" s="383">
        <v>3</v>
      </c>
      <c r="D1057" s="406"/>
      <c r="E1057" s="407"/>
      <c r="F1057" s="407"/>
      <c r="G1057" s="407"/>
      <c r="H1057" s="407"/>
      <c r="I1057" s="407"/>
      <c r="J1057" s="408" t="s">
        <v>402</v>
      </c>
      <c r="K1057" s="409" t="str">
        <f t="shared" si="148"/>
        <v>A=(Ancho x Largo)* Cant</v>
      </c>
      <c r="L1057" s="410" t="str">
        <f>+L1056</f>
        <v>M2</v>
      </c>
      <c r="M1057" s="411">
        <f>+HLOOKUP(B1057,[238]Hoja1!$2:$78,19,FALSE)</f>
        <v>0</v>
      </c>
      <c r="N1057" s="412"/>
      <c r="O1057" s="442"/>
      <c r="P1057" s="442"/>
      <c r="Q1057" s="413"/>
      <c r="R1057" s="411"/>
      <c r="S1057" s="413"/>
      <c r="T1057" s="414">
        <f t="shared" si="151"/>
        <v>0</v>
      </c>
      <c r="Y1057" s="439">
        <f t="shared" ref="Y1057:Y1059" si="153">+M1057*Q1057</f>
        <v>0</v>
      </c>
      <c r="Z1057" s="439">
        <f t="shared" ref="Z1057:Z1059" si="154">+Y1057-R1057</f>
        <v>0</v>
      </c>
    </row>
    <row r="1058" spans="1:26">
      <c r="A1058" s="453">
        <f t="shared" si="152"/>
        <v>1.1499999999999999</v>
      </c>
      <c r="B1058" s="383">
        <v>4</v>
      </c>
      <c r="D1058" s="406"/>
      <c r="E1058" s="407"/>
      <c r="F1058" s="407"/>
      <c r="G1058" s="407"/>
      <c r="H1058" s="407"/>
      <c r="I1058" s="407"/>
      <c r="J1058" s="408" t="s">
        <v>403</v>
      </c>
      <c r="K1058" s="409" t="str">
        <f t="shared" si="148"/>
        <v>A=(Ancho x Largo)* Cant</v>
      </c>
      <c r="L1058" s="410" t="str">
        <f>+L1057</f>
        <v>M2</v>
      </c>
      <c r="M1058" s="411">
        <f>+HLOOKUP(B1058,[238]Hoja1!$2:$78,19,FALSE)</f>
        <v>0</v>
      </c>
      <c r="N1058" s="412"/>
      <c r="O1058" s="442"/>
      <c r="P1058" s="442"/>
      <c r="Q1058" s="413"/>
      <c r="R1058" s="411"/>
      <c r="S1058" s="413"/>
      <c r="T1058" s="414">
        <f t="shared" si="151"/>
        <v>0</v>
      </c>
      <c r="Y1058" s="439">
        <f t="shared" si="153"/>
        <v>0</v>
      </c>
      <c r="Z1058" s="439">
        <f t="shared" si="154"/>
        <v>0</v>
      </c>
    </row>
    <row r="1059" spans="1:26">
      <c r="A1059" s="453">
        <f t="shared" si="152"/>
        <v>1.1499999999999999</v>
      </c>
      <c r="B1059" s="383">
        <v>5</v>
      </c>
      <c r="D1059" s="406"/>
      <c r="E1059" s="407"/>
      <c r="F1059" s="407"/>
      <c r="G1059" s="407"/>
      <c r="H1059" s="407"/>
      <c r="I1059" s="407"/>
      <c r="J1059" s="408" t="s">
        <v>405</v>
      </c>
      <c r="K1059" s="409" t="str">
        <f t="shared" si="148"/>
        <v>A=(Ancho x Largo)* Cant</v>
      </c>
      <c r="L1059" s="410" t="str">
        <f>+L1058</f>
        <v>M2</v>
      </c>
      <c r="M1059" s="411">
        <f>+HLOOKUP(B1059,[238]Hoja1!$2:$78,19,FALSE)</f>
        <v>0</v>
      </c>
      <c r="N1059" s="412"/>
      <c r="O1059" s="442"/>
      <c r="P1059" s="442"/>
      <c r="Q1059" s="413"/>
      <c r="R1059" s="411"/>
      <c r="S1059" s="413"/>
      <c r="T1059" s="414">
        <f t="shared" si="151"/>
        <v>0</v>
      </c>
      <c r="Y1059" s="439">
        <f t="shared" si="153"/>
        <v>0</v>
      </c>
      <c r="Z1059" s="439">
        <f t="shared" si="154"/>
        <v>0</v>
      </c>
    </row>
    <row r="1060" spans="1:26">
      <c r="A1060" s="453">
        <f t="shared" si="152"/>
        <v>1.1499999999999999</v>
      </c>
      <c r="B1060" s="383">
        <v>6</v>
      </c>
      <c r="D1060" s="406"/>
      <c r="E1060" s="407"/>
      <c r="F1060" s="407"/>
      <c r="G1060" s="407"/>
      <c r="H1060" s="407"/>
      <c r="I1060" s="407"/>
      <c r="J1060" s="408" t="s">
        <v>407</v>
      </c>
      <c r="K1060" s="409" t="str">
        <f t="shared" si="148"/>
        <v>A=(Ancho x Largo)* Cant</v>
      </c>
      <c r="L1060" s="410" t="str">
        <f>+L1059</f>
        <v>M2</v>
      </c>
      <c r="M1060" s="411">
        <f>+HLOOKUP(B1060,[238]Hoja1!$2:$78,19,FALSE)</f>
        <v>0</v>
      </c>
      <c r="N1060" s="412"/>
      <c r="O1060" s="442"/>
      <c r="P1060" s="442"/>
      <c r="Q1060" s="413"/>
      <c r="R1060" s="411"/>
      <c r="S1060" s="413"/>
      <c r="T1060" s="414">
        <f t="shared" si="151"/>
        <v>0</v>
      </c>
      <c r="Y1060" s="439">
        <f>+M1060*Q1060</f>
        <v>0</v>
      </c>
      <c r="Z1060" s="439">
        <f>+Y1060-R1060</f>
        <v>0</v>
      </c>
    </row>
    <row r="1061" spans="1:26">
      <c r="A1061" s="453">
        <f t="shared" si="152"/>
        <v>1.1499999999999999</v>
      </c>
      <c r="B1061" s="383">
        <v>7</v>
      </c>
      <c r="D1061" s="406"/>
      <c r="E1061" s="407"/>
      <c r="F1061" s="407"/>
      <c r="G1061" s="407"/>
      <c r="H1061" s="407"/>
      <c r="I1061" s="407"/>
      <c r="J1061" s="408" t="s">
        <v>409</v>
      </c>
      <c r="K1061" s="409" t="str">
        <f t="shared" si="148"/>
        <v>A=(Ancho x Largo)* Cant</v>
      </c>
      <c r="L1061" s="410" t="str">
        <f>+L1055</f>
        <v>M2</v>
      </c>
      <c r="M1061" s="411">
        <f>+HLOOKUP(B1061,[238]Hoja1!$2:$78,19,FALSE)</f>
        <v>0</v>
      </c>
      <c r="N1061" s="412"/>
      <c r="O1061" s="442"/>
      <c r="P1061" s="442"/>
      <c r="Q1061" s="413"/>
      <c r="R1061" s="411"/>
      <c r="S1061" s="413"/>
      <c r="T1061" s="414">
        <f t="shared" si="151"/>
        <v>0</v>
      </c>
      <c r="Y1061" s="439">
        <f t="shared" ref="Y1061:Y1097" si="155">+M1061*Q1061</f>
        <v>0</v>
      </c>
      <c r="Z1061" s="439">
        <f t="shared" ref="Z1061:Z1097" si="156">+Y1061-R1061</f>
        <v>0</v>
      </c>
    </row>
    <row r="1062" spans="1:26">
      <c r="A1062" s="453">
        <f t="shared" si="152"/>
        <v>1.1499999999999999</v>
      </c>
      <c r="B1062" s="383">
        <v>8</v>
      </c>
      <c r="D1062" s="406"/>
      <c r="E1062" s="407"/>
      <c r="F1062" s="407"/>
      <c r="G1062" s="407"/>
      <c r="H1062" s="407"/>
      <c r="I1062" s="407"/>
      <c r="J1062" s="408" t="s">
        <v>411</v>
      </c>
      <c r="K1062" s="409" t="str">
        <f t="shared" si="148"/>
        <v>A=(Ancho x Largo)* Cant</v>
      </c>
      <c r="L1062" s="410" t="str">
        <f>+L1061</f>
        <v>M2</v>
      </c>
      <c r="M1062" s="411">
        <f>+HLOOKUP(B1062,[238]Hoja1!$2:$78,19,FALSE)</f>
        <v>0</v>
      </c>
      <c r="N1062" s="412"/>
      <c r="O1062" s="442"/>
      <c r="P1062" s="442"/>
      <c r="Q1062" s="413"/>
      <c r="R1062" s="411"/>
      <c r="S1062" s="413"/>
      <c r="T1062" s="414">
        <f t="shared" si="151"/>
        <v>0</v>
      </c>
      <c r="Y1062" s="439">
        <f t="shared" si="155"/>
        <v>0</v>
      </c>
      <c r="Z1062" s="439">
        <f t="shared" si="156"/>
        <v>0</v>
      </c>
    </row>
    <row r="1063" spans="1:26">
      <c r="A1063" s="453">
        <f t="shared" si="152"/>
        <v>1.1499999999999999</v>
      </c>
      <c r="B1063" s="383">
        <v>9</v>
      </c>
      <c r="D1063" s="406"/>
      <c r="E1063" s="407"/>
      <c r="F1063" s="407"/>
      <c r="G1063" s="407"/>
      <c r="H1063" s="407"/>
      <c r="I1063" s="407"/>
      <c r="J1063" s="408" t="s">
        <v>412</v>
      </c>
      <c r="K1063" s="409" t="str">
        <f t="shared" si="148"/>
        <v>A=(Ancho x Largo)* Cant</v>
      </c>
      <c r="L1063" s="410" t="str">
        <f>+L1062</f>
        <v>M2</v>
      </c>
      <c r="M1063" s="411">
        <f>+HLOOKUP(B1063,[238]Hoja1!$2:$78,19,FALSE)</f>
        <v>0</v>
      </c>
      <c r="N1063" s="412"/>
      <c r="O1063" s="442"/>
      <c r="P1063" s="442"/>
      <c r="Q1063" s="413"/>
      <c r="R1063" s="411"/>
      <c r="S1063" s="413"/>
      <c r="T1063" s="414">
        <f t="shared" si="151"/>
        <v>0</v>
      </c>
      <c r="Y1063" s="439">
        <f t="shared" si="155"/>
        <v>0</v>
      </c>
      <c r="Z1063" s="439">
        <f t="shared" si="156"/>
        <v>0</v>
      </c>
    </row>
    <row r="1064" spans="1:26">
      <c r="A1064" s="453">
        <f t="shared" si="152"/>
        <v>1.1499999999999999</v>
      </c>
      <c r="B1064" s="383">
        <v>10</v>
      </c>
      <c r="D1064" s="406"/>
      <c r="E1064" s="407"/>
      <c r="F1064" s="407"/>
      <c r="G1064" s="407"/>
      <c r="H1064" s="407"/>
      <c r="I1064" s="407"/>
      <c r="J1064" s="408" t="s">
        <v>413</v>
      </c>
      <c r="K1064" s="409" t="str">
        <f t="shared" si="148"/>
        <v>A=(Ancho x Largo)* Cant</v>
      </c>
      <c r="L1064" s="410" t="str">
        <f>+L1063</f>
        <v>M2</v>
      </c>
      <c r="M1064" s="411">
        <f>+HLOOKUP(B1064,[238]Hoja1!$2:$78,19,FALSE)</f>
        <v>58.93</v>
      </c>
      <c r="N1064" s="412"/>
      <c r="O1064" s="441">
        <v>7.1</v>
      </c>
      <c r="P1064" s="441">
        <f>+M1064/7.1</f>
        <v>8.3000000000000007</v>
      </c>
      <c r="Q1064" s="412"/>
      <c r="R1064" s="411"/>
      <c r="S1064" s="413">
        <v>1</v>
      </c>
      <c r="T1064" s="414">
        <f t="shared" si="151"/>
        <v>58.93</v>
      </c>
      <c r="Y1064" s="439">
        <f t="shared" si="155"/>
        <v>0</v>
      </c>
      <c r="Z1064" s="439">
        <f t="shared" si="156"/>
        <v>0</v>
      </c>
    </row>
    <row r="1065" spans="1:26">
      <c r="A1065" s="453">
        <f t="shared" si="152"/>
        <v>1.1499999999999999</v>
      </c>
      <c r="B1065" s="383">
        <v>11</v>
      </c>
      <c r="D1065" s="406"/>
      <c r="E1065" s="407"/>
      <c r="F1065" s="407"/>
      <c r="G1065" s="407"/>
      <c r="H1065" s="407"/>
      <c r="I1065" s="407"/>
      <c r="J1065" s="408" t="s">
        <v>414</v>
      </c>
      <c r="K1065" s="409" t="str">
        <f t="shared" si="148"/>
        <v>A=(Ancho x Largo)* Cant</v>
      </c>
      <c r="L1065" s="410" t="str">
        <f>+L1064</f>
        <v>M2</v>
      </c>
      <c r="M1065" s="411">
        <f>+HLOOKUP(B1065,[238]Hoja1!$2:$78,19,FALSE)</f>
        <v>0</v>
      </c>
      <c r="N1065" s="412"/>
      <c r="O1065" s="443"/>
      <c r="P1065" s="443"/>
      <c r="Q1065" s="412"/>
      <c r="R1065" s="411"/>
      <c r="S1065" s="413"/>
      <c r="T1065" s="414">
        <f t="shared" si="151"/>
        <v>0</v>
      </c>
      <c r="Y1065" s="439">
        <f t="shared" si="155"/>
        <v>0</v>
      </c>
      <c r="Z1065" s="439">
        <f t="shared" si="156"/>
        <v>0</v>
      </c>
    </row>
    <row r="1066" spans="1:26">
      <c r="A1066" s="453">
        <f t="shared" si="152"/>
        <v>1.1499999999999999</v>
      </c>
      <c r="B1066" s="383">
        <v>12</v>
      </c>
      <c r="D1066" s="406"/>
      <c r="E1066" s="407"/>
      <c r="F1066" s="407"/>
      <c r="G1066" s="407"/>
      <c r="H1066" s="407"/>
      <c r="I1066" s="407"/>
      <c r="J1066" s="408" t="s">
        <v>415</v>
      </c>
      <c r="K1066" s="409" t="str">
        <f t="shared" si="148"/>
        <v>A=(Ancho x Largo)* Cant</v>
      </c>
      <c r="L1066" s="410" t="str">
        <f>+L1060</f>
        <v>M2</v>
      </c>
      <c r="M1066" s="411">
        <f>+HLOOKUP(B1066,[238]Hoja1!$2:$78,19,FALSE)</f>
        <v>0</v>
      </c>
      <c r="N1066" s="412"/>
      <c r="O1066" s="442"/>
      <c r="P1066" s="442"/>
      <c r="Q1066" s="413"/>
      <c r="R1066" s="411"/>
      <c r="S1066" s="413"/>
      <c r="T1066" s="414">
        <f t="shared" si="151"/>
        <v>0</v>
      </c>
      <c r="Y1066" s="439">
        <f t="shared" si="155"/>
        <v>0</v>
      </c>
      <c r="Z1066" s="439">
        <f t="shared" si="156"/>
        <v>0</v>
      </c>
    </row>
    <row r="1067" spans="1:26">
      <c r="A1067" s="453">
        <f t="shared" si="152"/>
        <v>1.1499999999999999</v>
      </c>
      <c r="B1067" s="383">
        <v>13</v>
      </c>
      <c r="D1067" s="406"/>
      <c r="E1067" s="407"/>
      <c r="F1067" s="407"/>
      <c r="G1067" s="407"/>
      <c r="H1067" s="407"/>
      <c r="I1067" s="407"/>
      <c r="J1067" s="408" t="s">
        <v>416</v>
      </c>
      <c r="K1067" s="409" t="str">
        <f t="shared" si="148"/>
        <v>A=(Ancho x Largo)* Cant</v>
      </c>
      <c r="L1067" s="410" t="str">
        <f>+L1062</f>
        <v>M2</v>
      </c>
      <c r="M1067" s="411">
        <f>+HLOOKUP(B1067,[238]Hoja1!$2:$78,19,FALSE)</f>
        <v>0</v>
      </c>
      <c r="N1067" s="412"/>
      <c r="O1067" s="442"/>
      <c r="P1067" s="442"/>
      <c r="Q1067" s="413"/>
      <c r="R1067" s="411"/>
      <c r="S1067" s="413"/>
      <c r="T1067" s="414">
        <f t="shared" si="151"/>
        <v>0</v>
      </c>
      <c r="Y1067" s="439">
        <f t="shared" si="155"/>
        <v>0</v>
      </c>
      <c r="Z1067" s="439">
        <f t="shared" si="156"/>
        <v>0</v>
      </c>
    </row>
    <row r="1068" spans="1:26">
      <c r="A1068" s="453">
        <f t="shared" si="152"/>
        <v>1.1499999999999999</v>
      </c>
      <c r="B1068" s="383">
        <v>14</v>
      </c>
      <c r="D1068" s="406"/>
      <c r="E1068" s="407"/>
      <c r="F1068" s="407"/>
      <c r="G1068" s="407"/>
      <c r="H1068" s="407"/>
      <c r="I1068" s="407"/>
      <c r="J1068" s="408" t="s">
        <v>417</v>
      </c>
      <c r="K1068" s="409" t="str">
        <f t="shared" si="148"/>
        <v>A=(Ancho x Largo)* Cant</v>
      </c>
      <c r="L1068" s="410" t="str">
        <f t="shared" ref="L1068:L1079" si="157">+L1067</f>
        <v>M2</v>
      </c>
      <c r="M1068" s="411">
        <f>+HLOOKUP(B1068,[238]Hoja1!$2:$78,19,FALSE)</f>
        <v>0</v>
      </c>
      <c r="N1068" s="412"/>
      <c r="O1068" s="442"/>
      <c r="P1068" s="442"/>
      <c r="Q1068" s="413"/>
      <c r="R1068" s="411"/>
      <c r="S1068" s="413"/>
      <c r="T1068" s="414">
        <f t="shared" si="151"/>
        <v>0</v>
      </c>
      <c r="Y1068" s="439">
        <f t="shared" si="155"/>
        <v>0</v>
      </c>
      <c r="Z1068" s="439">
        <f t="shared" si="156"/>
        <v>0</v>
      </c>
    </row>
    <row r="1069" spans="1:26">
      <c r="A1069" s="453">
        <f t="shared" si="152"/>
        <v>1.1499999999999999</v>
      </c>
      <c r="B1069" s="383">
        <v>15</v>
      </c>
      <c r="D1069" s="406"/>
      <c r="E1069" s="407"/>
      <c r="F1069" s="407"/>
      <c r="G1069" s="407"/>
      <c r="H1069" s="407"/>
      <c r="I1069" s="407"/>
      <c r="J1069" s="408" t="s">
        <v>418</v>
      </c>
      <c r="K1069" s="409" t="str">
        <f t="shared" si="148"/>
        <v>A=(Ancho x Largo)* Cant</v>
      </c>
      <c r="L1069" s="410" t="str">
        <f t="shared" si="157"/>
        <v>M2</v>
      </c>
      <c r="M1069" s="411">
        <f>+HLOOKUP(B1069,[238]Hoja1!$2:$78,19,FALSE)</f>
        <v>0</v>
      </c>
      <c r="N1069" s="412"/>
      <c r="O1069" s="442"/>
      <c r="P1069" s="442"/>
      <c r="Q1069" s="449"/>
      <c r="R1069" s="411"/>
      <c r="S1069" s="413"/>
      <c r="T1069" s="414">
        <f t="shared" si="151"/>
        <v>0</v>
      </c>
      <c r="Y1069" s="439">
        <f t="shared" si="155"/>
        <v>0</v>
      </c>
      <c r="Z1069" s="439">
        <f t="shared" si="156"/>
        <v>0</v>
      </c>
    </row>
    <row r="1070" spans="1:26">
      <c r="A1070" s="453">
        <f t="shared" si="152"/>
        <v>1.1499999999999999</v>
      </c>
      <c r="B1070" s="383">
        <v>16</v>
      </c>
      <c r="D1070" s="406"/>
      <c r="E1070" s="407"/>
      <c r="F1070" s="407"/>
      <c r="G1070" s="407"/>
      <c r="H1070" s="407"/>
      <c r="I1070" s="407"/>
      <c r="J1070" s="408" t="s">
        <v>419</v>
      </c>
      <c r="K1070" s="409" t="str">
        <f t="shared" si="148"/>
        <v>A=(Ancho x Largo)* Cant</v>
      </c>
      <c r="L1070" s="410" t="str">
        <f t="shared" si="157"/>
        <v>M2</v>
      </c>
      <c r="M1070" s="411">
        <f>+HLOOKUP(B1070,[238]Hoja1!$2:$78,19,FALSE)</f>
        <v>0</v>
      </c>
      <c r="N1070" s="412"/>
      <c r="O1070" s="442"/>
      <c r="P1070" s="442"/>
      <c r="Q1070" s="449"/>
      <c r="R1070" s="411"/>
      <c r="S1070" s="413"/>
      <c r="T1070" s="414">
        <f t="shared" si="151"/>
        <v>0</v>
      </c>
      <c r="Y1070" s="439">
        <f t="shared" si="155"/>
        <v>0</v>
      </c>
      <c r="Z1070" s="439">
        <f t="shared" si="156"/>
        <v>0</v>
      </c>
    </row>
    <row r="1071" spans="1:26">
      <c r="A1071" s="453">
        <f t="shared" si="152"/>
        <v>1.1499999999999999</v>
      </c>
      <c r="B1071" s="383">
        <v>17</v>
      </c>
      <c r="D1071" s="406"/>
      <c r="E1071" s="407"/>
      <c r="F1071" s="407"/>
      <c r="G1071" s="407"/>
      <c r="H1071" s="407"/>
      <c r="I1071" s="407"/>
      <c r="J1071" s="408" t="s">
        <v>420</v>
      </c>
      <c r="K1071" s="409" t="str">
        <f t="shared" si="148"/>
        <v>A=(Ancho x Largo)* Cant</v>
      </c>
      <c r="L1071" s="410" t="str">
        <f t="shared" si="157"/>
        <v>M2</v>
      </c>
      <c r="M1071" s="411">
        <f>+HLOOKUP(B1071,[238]Hoja1!$2:$78,19,FALSE)</f>
        <v>0</v>
      </c>
      <c r="N1071" s="412"/>
      <c r="O1071" s="442"/>
      <c r="P1071" s="442"/>
      <c r="Q1071" s="448"/>
      <c r="R1071" s="411"/>
      <c r="S1071" s="413"/>
      <c r="T1071" s="414">
        <f t="shared" si="151"/>
        <v>0</v>
      </c>
      <c r="W1071" s="383">
        <f>+Q1071*P1071*O1071</f>
        <v>0</v>
      </c>
      <c r="Y1071" s="439">
        <f t="shared" si="155"/>
        <v>0</v>
      </c>
      <c r="Z1071" s="439">
        <f t="shared" si="156"/>
        <v>0</v>
      </c>
    </row>
    <row r="1072" spans="1:26">
      <c r="A1072" s="453">
        <f t="shared" si="152"/>
        <v>1.1499999999999999</v>
      </c>
      <c r="B1072" s="383">
        <v>18</v>
      </c>
      <c r="D1072" s="406"/>
      <c r="E1072" s="407"/>
      <c r="F1072" s="407"/>
      <c r="G1072" s="407"/>
      <c r="H1072" s="407"/>
      <c r="I1072" s="407"/>
      <c r="J1072" s="408" t="s">
        <v>429</v>
      </c>
      <c r="K1072" s="409" t="str">
        <f t="shared" si="148"/>
        <v>A=(Ancho x Largo)* Cant</v>
      </c>
      <c r="L1072" s="410" t="str">
        <f t="shared" si="157"/>
        <v>M2</v>
      </c>
      <c r="M1072" s="411">
        <f>+HLOOKUP(B1072,[238]Hoja1!$2:$78,19,FALSE)</f>
        <v>0</v>
      </c>
      <c r="N1072" s="412"/>
      <c r="O1072" s="442"/>
      <c r="P1072" s="442"/>
      <c r="Q1072" s="413"/>
      <c r="R1072" s="411"/>
      <c r="S1072" s="413"/>
      <c r="T1072" s="414">
        <f t="shared" si="151"/>
        <v>0</v>
      </c>
      <c r="Y1072" s="439">
        <f t="shared" si="155"/>
        <v>0</v>
      </c>
      <c r="Z1072" s="439">
        <f t="shared" si="156"/>
        <v>0</v>
      </c>
    </row>
    <row r="1073" spans="1:26">
      <c r="A1073" s="453">
        <f t="shared" si="152"/>
        <v>1.1499999999999999</v>
      </c>
      <c r="B1073" s="383">
        <v>19</v>
      </c>
      <c r="D1073" s="406"/>
      <c r="E1073" s="407"/>
      <c r="F1073" s="407"/>
      <c r="G1073" s="407"/>
      <c r="H1073" s="407"/>
      <c r="I1073" s="407"/>
      <c r="J1073" s="408" t="s">
        <v>430</v>
      </c>
      <c r="K1073" s="409" t="str">
        <f t="shared" si="148"/>
        <v>A=(Ancho x Largo)* Cant</v>
      </c>
      <c r="L1073" s="410" t="str">
        <f t="shared" si="157"/>
        <v>M2</v>
      </c>
      <c r="M1073" s="411">
        <f>+HLOOKUP(B1073,[238]Hoja1!$2:$78,19,FALSE)</f>
        <v>0</v>
      </c>
      <c r="N1073" s="412"/>
      <c r="O1073" s="442"/>
      <c r="P1073" s="442"/>
      <c r="Q1073" s="448"/>
      <c r="R1073" s="411"/>
      <c r="S1073" s="413"/>
      <c r="T1073" s="414">
        <f t="shared" si="151"/>
        <v>0</v>
      </c>
      <c r="Y1073" s="439">
        <f t="shared" si="155"/>
        <v>0</v>
      </c>
      <c r="Z1073" s="439">
        <f t="shared" si="156"/>
        <v>0</v>
      </c>
    </row>
    <row r="1074" spans="1:26">
      <c r="A1074" s="453">
        <f t="shared" si="152"/>
        <v>1.1499999999999999</v>
      </c>
      <c r="B1074" s="383">
        <v>20</v>
      </c>
      <c r="D1074" s="406"/>
      <c r="E1074" s="407"/>
      <c r="F1074" s="407"/>
      <c r="G1074" s="407"/>
      <c r="H1074" s="407"/>
      <c r="I1074" s="407"/>
      <c r="J1074" s="408" t="s">
        <v>431</v>
      </c>
      <c r="K1074" s="409" t="str">
        <f t="shared" si="148"/>
        <v>A=(Ancho x Largo)* Cant</v>
      </c>
      <c r="L1074" s="410" t="str">
        <f t="shared" si="157"/>
        <v>M2</v>
      </c>
      <c r="M1074" s="411">
        <f>+HLOOKUP(B1074,[238]Hoja1!$2:$78,19,FALSE)</f>
        <v>0</v>
      </c>
      <c r="N1074" s="412"/>
      <c r="O1074" s="442"/>
      <c r="P1074" s="442"/>
      <c r="Q1074" s="413"/>
      <c r="R1074" s="411"/>
      <c r="S1074" s="413"/>
      <c r="T1074" s="414">
        <f t="shared" si="151"/>
        <v>0</v>
      </c>
      <c r="Y1074" s="439">
        <f t="shared" si="155"/>
        <v>0</v>
      </c>
      <c r="Z1074" s="439">
        <f t="shared" si="156"/>
        <v>0</v>
      </c>
    </row>
    <row r="1075" spans="1:26">
      <c r="A1075" s="453">
        <f t="shared" si="152"/>
        <v>1.1499999999999999</v>
      </c>
      <c r="B1075" s="383">
        <v>21</v>
      </c>
      <c r="D1075" s="406"/>
      <c r="E1075" s="407"/>
      <c r="F1075" s="407"/>
      <c r="G1075" s="407"/>
      <c r="H1075" s="407"/>
      <c r="I1075" s="407"/>
      <c r="J1075" s="408" t="s">
        <v>432</v>
      </c>
      <c r="K1075" s="409" t="str">
        <f t="shared" si="148"/>
        <v>A=(Ancho x Largo)* Cant</v>
      </c>
      <c r="L1075" s="410" t="str">
        <f t="shared" si="157"/>
        <v>M2</v>
      </c>
      <c r="M1075" s="411">
        <f>+HLOOKUP(B1075,[238]Hoja1!$2:$78,19,FALSE)</f>
        <v>0</v>
      </c>
      <c r="N1075" s="412"/>
      <c r="O1075" s="442"/>
      <c r="P1075" s="442"/>
      <c r="Q1075" s="412"/>
      <c r="R1075" s="411"/>
      <c r="S1075" s="413"/>
      <c r="T1075" s="414">
        <f t="shared" si="151"/>
        <v>0</v>
      </c>
      <c r="Y1075" s="439">
        <f t="shared" si="155"/>
        <v>0</v>
      </c>
      <c r="Z1075" s="439">
        <f t="shared" si="156"/>
        <v>0</v>
      </c>
    </row>
    <row r="1076" spans="1:26">
      <c r="A1076" s="453">
        <f t="shared" si="152"/>
        <v>1.1499999999999999</v>
      </c>
      <c r="B1076" s="383">
        <v>22</v>
      </c>
      <c r="D1076" s="406"/>
      <c r="E1076" s="407"/>
      <c r="F1076" s="407"/>
      <c r="G1076" s="407"/>
      <c r="H1076" s="407"/>
      <c r="I1076" s="407"/>
      <c r="J1076" s="408" t="s">
        <v>433</v>
      </c>
      <c r="K1076" s="409" t="str">
        <f t="shared" si="148"/>
        <v>A=(Ancho x Largo)* Cant</v>
      </c>
      <c r="L1076" s="410" t="str">
        <f t="shared" si="157"/>
        <v>M2</v>
      </c>
      <c r="M1076" s="411">
        <f>+HLOOKUP(B1076,[238]Hoja1!$2:$78,19,FALSE)</f>
        <v>0</v>
      </c>
      <c r="N1076" s="412"/>
      <c r="O1076" s="442"/>
      <c r="P1076" s="442"/>
      <c r="Q1076" s="448"/>
      <c r="R1076" s="411"/>
      <c r="S1076" s="413"/>
      <c r="T1076" s="414">
        <f t="shared" si="151"/>
        <v>0</v>
      </c>
      <c r="Y1076" s="439">
        <f t="shared" si="155"/>
        <v>0</v>
      </c>
      <c r="Z1076" s="439">
        <f t="shared" si="156"/>
        <v>0</v>
      </c>
    </row>
    <row r="1077" spans="1:26">
      <c r="A1077" s="453">
        <f t="shared" si="152"/>
        <v>1.1499999999999999</v>
      </c>
      <c r="B1077" s="383">
        <v>23</v>
      </c>
      <c r="D1077" s="406"/>
      <c r="E1077" s="407"/>
      <c r="F1077" s="407"/>
      <c r="G1077" s="407"/>
      <c r="H1077" s="407"/>
      <c r="I1077" s="407"/>
      <c r="J1077" s="408" t="s">
        <v>434</v>
      </c>
      <c r="K1077" s="409" t="str">
        <f t="shared" si="148"/>
        <v>A=(Ancho x Largo)* Cant</v>
      </c>
      <c r="L1077" s="410" t="str">
        <f t="shared" si="157"/>
        <v>M2</v>
      </c>
      <c r="M1077" s="411">
        <f>+HLOOKUP(B1077,[238]Hoja1!$2:$78,19,FALSE)</f>
        <v>0</v>
      </c>
      <c r="N1077" s="412"/>
      <c r="O1077" s="441"/>
      <c r="P1077" s="441"/>
      <c r="Q1077" s="412"/>
      <c r="R1077" s="411"/>
      <c r="S1077" s="413"/>
      <c r="T1077" s="414">
        <f t="shared" si="151"/>
        <v>0</v>
      </c>
      <c r="Y1077" s="439">
        <f t="shared" si="155"/>
        <v>0</v>
      </c>
      <c r="Z1077" s="439">
        <f t="shared" si="156"/>
        <v>0</v>
      </c>
    </row>
    <row r="1078" spans="1:26">
      <c r="A1078" s="453">
        <f t="shared" si="152"/>
        <v>1.1499999999999999</v>
      </c>
      <c r="B1078" s="383">
        <v>24</v>
      </c>
      <c r="D1078" s="406"/>
      <c r="E1078" s="407"/>
      <c r="F1078" s="407"/>
      <c r="G1078" s="407"/>
      <c r="H1078" s="407"/>
      <c r="I1078" s="407"/>
      <c r="J1078" s="408" t="s">
        <v>435</v>
      </c>
      <c r="K1078" s="409" t="str">
        <f t="shared" si="148"/>
        <v>A=(Ancho x Largo)* Cant</v>
      </c>
      <c r="L1078" s="410" t="str">
        <f t="shared" si="157"/>
        <v>M2</v>
      </c>
      <c r="M1078" s="411">
        <f>+HLOOKUP(B1078,[238]Hoja1!$2:$78,19,FALSE)</f>
        <v>0</v>
      </c>
      <c r="N1078" s="412"/>
      <c r="O1078" s="442"/>
      <c r="P1078" s="442"/>
      <c r="Q1078" s="413"/>
      <c r="R1078" s="411"/>
      <c r="S1078" s="413"/>
      <c r="T1078" s="414">
        <f t="shared" si="151"/>
        <v>0</v>
      </c>
      <c r="Y1078" s="439">
        <f t="shared" si="155"/>
        <v>0</v>
      </c>
      <c r="Z1078" s="439">
        <f t="shared" si="156"/>
        <v>0</v>
      </c>
    </row>
    <row r="1079" spans="1:26">
      <c r="A1079" s="453">
        <f t="shared" si="152"/>
        <v>1.1499999999999999</v>
      </c>
      <c r="B1079" s="383">
        <v>25</v>
      </c>
      <c r="D1079" s="406"/>
      <c r="E1079" s="407"/>
      <c r="F1079" s="407"/>
      <c r="G1079" s="407"/>
      <c r="H1079" s="407"/>
      <c r="I1079" s="407"/>
      <c r="J1079" s="408" t="s">
        <v>436</v>
      </c>
      <c r="K1079" s="409" t="str">
        <f t="shared" si="148"/>
        <v>A=(Ancho x Largo)* Cant</v>
      </c>
      <c r="L1079" s="410" t="str">
        <f t="shared" si="157"/>
        <v>M2</v>
      </c>
      <c r="M1079" s="411">
        <f>+HLOOKUP(B1079,[238]Hoja1!$2:$78,19,FALSE)</f>
        <v>0</v>
      </c>
      <c r="N1079" s="412"/>
      <c r="O1079" s="442"/>
      <c r="P1079" s="442"/>
      <c r="Q1079" s="450"/>
      <c r="R1079" s="411"/>
      <c r="S1079" s="413"/>
      <c r="T1079" s="414">
        <f t="shared" si="151"/>
        <v>0</v>
      </c>
      <c r="Y1079" s="439">
        <f t="shared" si="155"/>
        <v>0</v>
      </c>
      <c r="Z1079" s="439">
        <f t="shared" si="156"/>
        <v>0</v>
      </c>
    </row>
    <row r="1080" spans="1:26">
      <c r="A1080" s="453">
        <f t="shared" si="152"/>
        <v>1.1499999999999999</v>
      </c>
      <c r="B1080" s="383">
        <v>26</v>
      </c>
      <c r="D1080" s="406"/>
      <c r="E1080" s="407"/>
      <c r="F1080" s="407"/>
      <c r="G1080" s="407"/>
      <c r="H1080" s="407"/>
      <c r="I1080" s="407"/>
      <c r="J1080" s="408" t="s">
        <v>437</v>
      </c>
      <c r="K1080" s="409" t="str">
        <f t="shared" si="148"/>
        <v>A=(Ancho x Largo)* Cant</v>
      </c>
      <c r="L1080" s="410" t="str">
        <f>+L1069</f>
        <v>M2</v>
      </c>
      <c r="M1080" s="411">
        <f>+HLOOKUP(B1080,[238]Hoja1!$2:$78,19,FALSE)</f>
        <v>0</v>
      </c>
      <c r="N1080" s="412"/>
      <c r="O1080" s="442"/>
      <c r="P1080" s="442"/>
      <c r="Q1080" s="412"/>
      <c r="R1080" s="411"/>
      <c r="S1080" s="413"/>
      <c r="T1080" s="414">
        <f t="shared" si="151"/>
        <v>0</v>
      </c>
      <c r="Y1080" s="439">
        <f t="shared" si="155"/>
        <v>0</v>
      </c>
      <c r="Z1080" s="439">
        <f t="shared" si="156"/>
        <v>0</v>
      </c>
    </row>
    <row r="1081" spans="1:26">
      <c r="A1081" s="453">
        <f t="shared" si="152"/>
        <v>1.1499999999999999</v>
      </c>
      <c r="B1081" s="383">
        <v>27</v>
      </c>
      <c r="D1081" s="406"/>
      <c r="E1081" s="407"/>
      <c r="F1081" s="407"/>
      <c r="G1081" s="407"/>
      <c r="H1081" s="407"/>
      <c r="I1081" s="407"/>
      <c r="J1081" s="408" t="s">
        <v>438</v>
      </c>
      <c r="K1081" s="409" t="str">
        <f t="shared" si="148"/>
        <v>A=(Ancho x Largo)* Cant</v>
      </c>
      <c r="L1081" s="410" t="str">
        <f t="shared" ref="L1081:L1089" si="158">+L1080</f>
        <v>M2</v>
      </c>
      <c r="M1081" s="411">
        <f>+HLOOKUP(B1081,[238]Hoja1!$2:$78,19,FALSE)</f>
        <v>0</v>
      </c>
      <c r="N1081" s="412"/>
      <c r="O1081" s="442"/>
      <c r="P1081" s="442"/>
      <c r="Q1081" s="448"/>
      <c r="R1081" s="411"/>
      <c r="S1081" s="413"/>
      <c r="T1081" s="414">
        <f t="shared" si="151"/>
        <v>0</v>
      </c>
      <c r="Y1081" s="439">
        <f t="shared" si="155"/>
        <v>0</v>
      </c>
      <c r="Z1081" s="439">
        <f t="shared" si="156"/>
        <v>0</v>
      </c>
    </row>
    <row r="1082" spans="1:26">
      <c r="A1082" s="453">
        <f t="shared" si="152"/>
        <v>1.1499999999999999</v>
      </c>
      <c r="B1082" s="383">
        <v>28</v>
      </c>
      <c r="D1082" s="406"/>
      <c r="E1082" s="440"/>
      <c r="F1082" s="407"/>
      <c r="G1082" s="407"/>
      <c r="H1082" s="407"/>
      <c r="I1082" s="437"/>
      <c r="J1082" s="408" t="s">
        <v>439</v>
      </c>
      <c r="K1082" s="409" t="str">
        <f t="shared" si="148"/>
        <v>A=(Ancho x Largo)* Cant</v>
      </c>
      <c r="L1082" s="410" t="str">
        <f t="shared" si="158"/>
        <v>M2</v>
      </c>
      <c r="M1082" s="411">
        <f>+HLOOKUP(B1082,[238]Hoja1!$2:$78,19,FALSE)</f>
        <v>0</v>
      </c>
      <c r="N1082" s="412"/>
      <c r="O1082" s="442"/>
      <c r="P1082" s="442"/>
      <c r="Q1082" s="413"/>
      <c r="R1082" s="411"/>
      <c r="S1082" s="413"/>
      <c r="T1082" s="414">
        <f t="shared" si="151"/>
        <v>0</v>
      </c>
      <c r="Y1082" s="439">
        <f t="shared" si="155"/>
        <v>0</v>
      </c>
      <c r="Z1082" s="439">
        <f t="shared" si="156"/>
        <v>0</v>
      </c>
    </row>
    <row r="1083" spans="1:26">
      <c r="A1083" s="453">
        <f t="shared" si="152"/>
        <v>1.1499999999999999</v>
      </c>
      <c r="B1083" s="383">
        <v>29</v>
      </c>
      <c r="D1083" s="406"/>
      <c r="E1083" s="407"/>
      <c r="F1083" s="407"/>
      <c r="G1083" s="407"/>
      <c r="H1083" s="407"/>
      <c r="I1083" s="407"/>
      <c r="J1083" s="408" t="s">
        <v>440</v>
      </c>
      <c r="K1083" s="409" t="str">
        <f t="shared" si="148"/>
        <v>A=(Ancho x Largo)* Cant</v>
      </c>
      <c r="L1083" s="410" t="str">
        <f t="shared" si="158"/>
        <v>M2</v>
      </c>
      <c r="M1083" s="411">
        <f>+HLOOKUP(B1083,[238]Hoja1!$2:$78,19,FALSE)</f>
        <v>0</v>
      </c>
      <c r="N1083" s="412"/>
      <c r="O1083" s="443"/>
      <c r="P1083" s="443"/>
      <c r="Q1083" s="412"/>
      <c r="R1083" s="411"/>
      <c r="S1083" s="413"/>
      <c r="T1083" s="414">
        <f t="shared" si="151"/>
        <v>0</v>
      </c>
      <c r="Y1083" s="439">
        <f t="shared" si="155"/>
        <v>0</v>
      </c>
      <c r="Z1083" s="439">
        <f t="shared" si="156"/>
        <v>0</v>
      </c>
    </row>
    <row r="1084" spans="1:26">
      <c r="A1084" s="453">
        <f t="shared" si="152"/>
        <v>1.1499999999999999</v>
      </c>
      <c r="B1084" s="383">
        <v>30</v>
      </c>
      <c r="D1084" s="406"/>
      <c r="E1084" s="407"/>
      <c r="F1084" s="407"/>
      <c r="G1084" s="407"/>
      <c r="H1084" s="407"/>
      <c r="I1084" s="407"/>
      <c r="J1084" s="408" t="s">
        <v>441</v>
      </c>
      <c r="K1084" s="409" t="str">
        <f t="shared" si="148"/>
        <v>A=(Ancho x Largo)* Cant</v>
      </c>
      <c r="L1084" s="410" t="str">
        <f t="shared" si="158"/>
        <v>M2</v>
      </c>
      <c r="M1084" s="411">
        <f>+HLOOKUP(B1084,[238]Hoja1!$2:$78,19,FALSE)</f>
        <v>0</v>
      </c>
      <c r="N1084" s="412"/>
      <c r="O1084" s="442"/>
      <c r="P1084" s="442"/>
      <c r="Q1084" s="413"/>
      <c r="R1084" s="411"/>
      <c r="S1084" s="413"/>
      <c r="T1084" s="414">
        <f t="shared" si="151"/>
        <v>0</v>
      </c>
      <c r="Y1084" s="439">
        <f t="shared" si="155"/>
        <v>0</v>
      </c>
      <c r="Z1084" s="439">
        <f t="shared" si="156"/>
        <v>0</v>
      </c>
    </row>
    <row r="1085" spans="1:26">
      <c r="A1085" s="453">
        <f t="shared" si="152"/>
        <v>1.1499999999999999</v>
      </c>
      <c r="B1085" s="383">
        <v>31</v>
      </c>
      <c r="D1085" s="406"/>
      <c r="E1085" s="407"/>
      <c r="F1085" s="407"/>
      <c r="G1085" s="407"/>
      <c r="H1085" s="407"/>
      <c r="I1085" s="407"/>
      <c r="J1085" s="408" t="s">
        <v>442</v>
      </c>
      <c r="K1085" s="409" t="str">
        <f t="shared" si="148"/>
        <v>A=(Ancho x Largo)* Cant</v>
      </c>
      <c r="L1085" s="410" t="str">
        <f t="shared" si="158"/>
        <v>M2</v>
      </c>
      <c r="M1085" s="411">
        <f>+HLOOKUP(B1085,[238]Hoja1!$2:$78,19,FALSE)</f>
        <v>0</v>
      </c>
      <c r="N1085" s="412"/>
      <c r="O1085" s="442"/>
      <c r="P1085" s="442"/>
      <c r="Q1085" s="413"/>
      <c r="R1085" s="411"/>
      <c r="S1085" s="413"/>
      <c r="T1085" s="414">
        <f t="shared" si="151"/>
        <v>0</v>
      </c>
      <c r="Y1085" s="439">
        <f t="shared" si="155"/>
        <v>0</v>
      </c>
      <c r="Z1085" s="439">
        <f t="shared" si="156"/>
        <v>0</v>
      </c>
    </row>
    <row r="1086" spans="1:26">
      <c r="A1086" s="453">
        <f t="shared" si="152"/>
        <v>1.1499999999999999</v>
      </c>
      <c r="B1086" s="383">
        <v>32</v>
      </c>
      <c r="D1086" s="406"/>
      <c r="E1086" s="407"/>
      <c r="F1086" s="407"/>
      <c r="G1086" s="407"/>
      <c r="H1086" s="407"/>
      <c r="I1086" s="407"/>
      <c r="J1086" s="408" t="s">
        <v>443</v>
      </c>
      <c r="K1086" s="409" t="str">
        <f t="shared" si="148"/>
        <v>A=(Ancho x Largo)* Cant</v>
      </c>
      <c r="L1086" s="410" t="str">
        <f t="shared" si="158"/>
        <v>M2</v>
      </c>
      <c r="M1086" s="411">
        <f>+HLOOKUP(B1086,[238]Hoja1!$2:$78,19,FALSE)</f>
        <v>0</v>
      </c>
      <c r="N1086" s="412"/>
      <c r="O1086" s="442"/>
      <c r="P1086" s="442"/>
      <c r="Q1086" s="413"/>
      <c r="R1086" s="411"/>
      <c r="S1086" s="413"/>
      <c r="T1086" s="414">
        <f t="shared" si="151"/>
        <v>0</v>
      </c>
      <c r="Y1086" s="439">
        <f t="shared" si="155"/>
        <v>0</v>
      </c>
      <c r="Z1086" s="439">
        <f t="shared" si="156"/>
        <v>0</v>
      </c>
    </row>
    <row r="1087" spans="1:26">
      <c r="A1087" s="453">
        <f t="shared" si="152"/>
        <v>1.1499999999999999</v>
      </c>
      <c r="B1087" s="383">
        <v>33</v>
      </c>
      <c r="D1087" s="406"/>
      <c r="E1087" s="407"/>
      <c r="F1087" s="407"/>
      <c r="G1087" s="407"/>
      <c r="H1087" s="407"/>
      <c r="I1087" s="407"/>
      <c r="J1087" s="408" t="s">
        <v>444</v>
      </c>
      <c r="K1087" s="409" t="str">
        <f t="shared" si="148"/>
        <v>A=(Ancho x Largo)* Cant</v>
      </c>
      <c r="L1087" s="410" t="str">
        <f t="shared" si="158"/>
        <v>M2</v>
      </c>
      <c r="M1087" s="411">
        <f>+HLOOKUP(B1087,[238]Hoja1!$2:$78,19,FALSE)</f>
        <v>0</v>
      </c>
      <c r="N1087" s="412"/>
      <c r="O1087" s="442"/>
      <c r="P1087" s="442"/>
      <c r="Q1087" s="412"/>
      <c r="R1087" s="411"/>
      <c r="S1087" s="413"/>
      <c r="T1087" s="414">
        <f t="shared" si="151"/>
        <v>0</v>
      </c>
      <c r="Y1087" s="439">
        <f t="shared" si="155"/>
        <v>0</v>
      </c>
      <c r="Z1087" s="439">
        <f t="shared" si="156"/>
        <v>0</v>
      </c>
    </row>
    <row r="1088" spans="1:26">
      <c r="A1088" s="453">
        <f t="shared" si="152"/>
        <v>1.1499999999999999</v>
      </c>
      <c r="B1088" s="383">
        <v>34</v>
      </c>
      <c r="D1088" s="406"/>
      <c r="E1088" s="407"/>
      <c r="F1088" s="407"/>
      <c r="G1088" s="407"/>
      <c r="H1088" s="407"/>
      <c r="I1088" s="407"/>
      <c r="J1088" s="408" t="s">
        <v>445</v>
      </c>
      <c r="K1088" s="409" t="str">
        <f t="shared" si="148"/>
        <v>A=(Ancho x Largo)* Cant</v>
      </c>
      <c r="L1088" s="410" t="str">
        <f t="shared" si="158"/>
        <v>M2</v>
      </c>
      <c r="M1088" s="411">
        <f>+HLOOKUP(B1088,[238]Hoja1!$2:$78,19,FALSE)</f>
        <v>0</v>
      </c>
      <c r="N1088" s="412"/>
      <c r="O1088" s="441"/>
      <c r="P1088" s="441"/>
      <c r="Q1088" s="412"/>
      <c r="R1088" s="411"/>
      <c r="S1088" s="413"/>
      <c r="T1088" s="414">
        <f t="shared" si="151"/>
        <v>0</v>
      </c>
      <c r="Y1088" s="439">
        <f t="shared" si="155"/>
        <v>0</v>
      </c>
      <c r="Z1088" s="439">
        <f t="shared" si="156"/>
        <v>0</v>
      </c>
    </row>
    <row r="1089" spans="1:26">
      <c r="A1089" s="453">
        <f t="shared" si="152"/>
        <v>1.1499999999999999</v>
      </c>
      <c r="B1089" s="383">
        <v>35</v>
      </c>
      <c r="D1089" s="406"/>
      <c r="E1089" s="440"/>
      <c r="F1089" s="407"/>
      <c r="G1089" s="407"/>
      <c r="H1089" s="407"/>
      <c r="I1089" s="437"/>
      <c r="J1089" s="408" t="s">
        <v>446</v>
      </c>
      <c r="K1089" s="409" t="str">
        <f t="shared" si="148"/>
        <v>A=(Ancho x Largo)* Cant</v>
      </c>
      <c r="L1089" s="410" t="str">
        <f t="shared" si="158"/>
        <v>M2</v>
      </c>
      <c r="M1089" s="411">
        <f>+HLOOKUP(B1089,[238]Hoja1!$2:$78,19,FALSE)</f>
        <v>0</v>
      </c>
      <c r="N1089" s="412"/>
      <c r="O1089" s="442"/>
      <c r="P1089" s="442"/>
      <c r="Q1089" s="413"/>
      <c r="R1089" s="411"/>
      <c r="S1089" s="413"/>
      <c r="T1089" s="414">
        <f t="shared" si="151"/>
        <v>0</v>
      </c>
      <c r="Y1089" s="439">
        <f t="shared" si="155"/>
        <v>0</v>
      </c>
      <c r="Z1089" s="439">
        <f t="shared" si="156"/>
        <v>0</v>
      </c>
    </row>
    <row r="1090" spans="1:26">
      <c r="A1090" s="453">
        <f t="shared" si="152"/>
        <v>1.1499999999999999</v>
      </c>
      <c r="B1090" s="383">
        <v>36</v>
      </c>
      <c r="D1090" s="406"/>
      <c r="E1090" s="407"/>
      <c r="F1090" s="407"/>
      <c r="G1090" s="407"/>
      <c r="H1090" s="407"/>
      <c r="I1090" s="407"/>
      <c r="J1090" s="408" t="s">
        <v>447</v>
      </c>
      <c r="K1090" s="409" t="str">
        <f t="shared" si="148"/>
        <v>A=(Ancho x Largo)* Cant</v>
      </c>
      <c r="L1090" s="410" t="str">
        <f>+L1079</f>
        <v>M2</v>
      </c>
      <c r="M1090" s="411">
        <f>+HLOOKUP(B1090,[238]Hoja1!$2:$78,19,FALSE)</f>
        <v>0</v>
      </c>
      <c r="N1090" s="412"/>
      <c r="O1090" s="442"/>
      <c r="P1090" s="442"/>
      <c r="Q1090" s="449"/>
      <c r="R1090" s="411"/>
      <c r="S1090" s="413"/>
      <c r="T1090" s="414">
        <f t="shared" si="151"/>
        <v>0</v>
      </c>
      <c r="Y1090" s="439">
        <f t="shared" si="155"/>
        <v>0</v>
      </c>
      <c r="Z1090" s="439">
        <f t="shared" si="156"/>
        <v>0</v>
      </c>
    </row>
    <row r="1091" spans="1:26">
      <c r="A1091" s="453">
        <f t="shared" si="152"/>
        <v>1.1499999999999999</v>
      </c>
      <c r="B1091" s="383">
        <v>37</v>
      </c>
      <c r="D1091" s="406"/>
      <c r="E1091" s="407"/>
      <c r="F1091" s="407"/>
      <c r="G1091" s="407"/>
      <c r="H1091" s="407"/>
      <c r="I1091" s="407"/>
      <c r="J1091" s="408" t="s">
        <v>448</v>
      </c>
      <c r="K1091" s="409" t="str">
        <f t="shared" si="148"/>
        <v>A=(Ancho x Largo)* Cant</v>
      </c>
      <c r="L1091" s="410" t="str">
        <f t="shared" ref="L1091:L1097" si="159">+L1090</f>
        <v>M2</v>
      </c>
      <c r="M1091" s="411">
        <f>+HLOOKUP(B1091,[238]Hoja1!$2:$78,19,FALSE)</f>
        <v>0</v>
      </c>
      <c r="N1091" s="412"/>
      <c r="O1091" s="441"/>
      <c r="P1091" s="441"/>
      <c r="Q1091" s="449"/>
      <c r="R1091" s="411"/>
      <c r="S1091" s="413"/>
      <c r="T1091" s="414">
        <f t="shared" si="151"/>
        <v>0</v>
      </c>
      <c r="Y1091" s="439">
        <f t="shared" si="155"/>
        <v>0</v>
      </c>
      <c r="Z1091" s="439">
        <f t="shared" si="156"/>
        <v>0</v>
      </c>
    </row>
    <row r="1092" spans="1:26">
      <c r="A1092" s="453">
        <f t="shared" si="152"/>
        <v>1.1499999999999999</v>
      </c>
      <c r="B1092" s="383">
        <v>38</v>
      </c>
      <c r="D1092" s="406"/>
      <c r="E1092" s="440"/>
      <c r="F1092" s="407"/>
      <c r="G1092" s="407"/>
      <c r="H1092" s="407"/>
      <c r="I1092" s="437"/>
      <c r="J1092" s="408" t="s">
        <v>449</v>
      </c>
      <c r="K1092" s="409" t="str">
        <f t="shared" si="148"/>
        <v>A=(Ancho x Largo)* Cant</v>
      </c>
      <c r="L1092" s="410" t="str">
        <f t="shared" si="159"/>
        <v>M2</v>
      </c>
      <c r="M1092" s="411">
        <f>+HLOOKUP(B1092,[238]Hoja1!$2:$78,19,FALSE)</f>
        <v>0</v>
      </c>
      <c r="N1092" s="412"/>
      <c r="O1092" s="442"/>
      <c r="P1092" s="442"/>
      <c r="Q1092" s="413"/>
      <c r="R1092" s="411"/>
      <c r="S1092" s="413"/>
      <c r="T1092" s="414">
        <f t="shared" si="151"/>
        <v>0</v>
      </c>
      <c r="Y1092" s="439">
        <f t="shared" si="155"/>
        <v>0</v>
      </c>
      <c r="Z1092" s="439">
        <f t="shared" si="156"/>
        <v>0</v>
      </c>
    </row>
    <row r="1093" spans="1:26">
      <c r="A1093" s="453">
        <f t="shared" si="152"/>
        <v>1.1499999999999999</v>
      </c>
      <c r="B1093" s="383">
        <v>39</v>
      </c>
      <c r="D1093" s="406"/>
      <c r="E1093" s="407"/>
      <c r="F1093" s="407"/>
      <c r="G1093" s="407"/>
      <c r="H1093" s="407"/>
      <c r="I1093" s="407"/>
      <c r="J1093" s="408" t="s">
        <v>450</v>
      </c>
      <c r="K1093" s="409" t="str">
        <f t="shared" si="148"/>
        <v>A=(Ancho x Largo)* Cant</v>
      </c>
      <c r="L1093" s="410" t="str">
        <f t="shared" si="159"/>
        <v>M2</v>
      </c>
      <c r="M1093" s="411">
        <f>+HLOOKUP(B1093,[238]Hoja1!$2:$78,19,FALSE)</f>
        <v>0</v>
      </c>
      <c r="N1093" s="412"/>
      <c r="O1093" s="441"/>
      <c r="P1093" s="441"/>
      <c r="Q1093" s="412"/>
      <c r="R1093" s="411"/>
      <c r="S1093" s="413"/>
      <c r="T1093" s="414">
        <f t="shared" si="151"/>
        <v>0</v>
      </c>
      <c r="Y1093" s="439">
        <f t="shared" si="155"/>
        <v>0</v>
      </c>
      <c r="Z1093" s="439">
        <f t="shared" si="156"/>
        <v>0</v>
      </c>
    </row>
    <row r="1094" spans="1:26">
      <c r="A1094" s="453">
        <f t="shared" si="152"/>
        <v>1.1499999999999999</v>
      </c>
      <c r="B1094" s="383">
        <v>40</v>
      </c>
      <c r="D1094" s="406"/>
      <c r="E1094" s="407"/>
      <c r="F1094" s="407"/>
      <c r="G1094" s="407"/>
      <c r="H1094" s="407"/>
      <c r="I1094" s="407"/>
      <c r="J1094" s="408" t="s">
        <v>451</v>
      </c>
      <c r="K1094" s="409" t="str">
        <f t="shared" si="148"/>
        <v>A=(Ancho x Largo)* Cant</v>
      </c>
      <c r="L1094" s="410" t="str">
        <f t="shared" si="159"/>
        <v>M2</v>
      </c>
      <c r="M1094" s="411">
        <f>+HLOOKUP(B1094,[238]Hoja1!$2:$78,19,FALSE)</f>
        <v>0</v>
      </c>
      <c r="N1094" s="412"/>
      <c r="O1094" s="442"/>
      <c r="P1094" s="442"/>
      <c r="Q1094" s="413"/>
      <c r="R1094" s="411"/>
      <c r="S1094" s="413"/>
      <c r="T1094" s="414">
        <f t="shared" si="151"/>
        <v>0</v>
      </c>
      <c r="Y1094" s="439">
        <f t="shared" si="155"/>
        <v>0</v>
      </c>
      <c r="Z1094" s="439">
        <f t="shared" si="156"/>
        <v>0</v>
      </c>
    </row>
    <row r="1095" spans="1:26">
      <c r="A1095" s="453">
        <f t="shared" si="152"/>
        <v>1.1499999999999999</v>
      </c>
      <c r="B1095" s="383">
        <v>41</v>
      </c>
      <c r="D1095" s="406"/>
      <c r="E1095" s="407"/>
      <c r="F1095" s="407"/>
      <c r="G1095" s="407"/>
      <c r="H1095" s="407"/>
      <c r="I1095" s="407"/>
      <c r="J1095" s="408" t="s">
        <v>452</v>
      </c>
      <c r="K1095" s="409" t="str">
        <f t="shared" si="148"/>
        <v>A=(Ancho x Largo)* Cant</v>
      </c>
      <c r="L1095" s="410" t="str">
        <f t="shared" si="159"/>
        <v>M2</v>
      </c>
      <c r="M1095" s="411">
        <f>+HLOOKUP(B1095,[238]Hoja1!$2:$78,19,FALSE)</f>
        <v>0</v>
      </c>
      <c r="N1095" s="412"/>
      <c r="O1095" s="442"/>
      <c r="P1095" s="442"/>
      <c r="Q1095" s="413"/>
      <c r="R1095" s="411"/>
      <c r="S1095" s="413"/>
      <c r="T1095" s="414">
        <f t="shared" si="151"/>
        <v>0</v>
      </c>
      <c r="Y1095" s="439">
        <f t="shared" si="155"/>
        <v>0</v>
      </c>
      <c r="Z1095" s="439">
        <f t="shared" si="156"/>
        <v>0</v>
      </c>
    </row>
    <row r="1096" spans="1:26">
      <c r="A1096" s="453">
        <f t="shared" si="152"/>
        <v>1.1499999999999999</v>
      </c>
      <c r="B1096" s="383">
        <v>42</v>
      </c>
      <c r="D1096" s="406"/>
      <c r="E1096" s="407"/>
      <c r="F1096" s="407"/>
      <c r="G1096" s="407"/>
      <c r="H1096" s="407"/>
      <c r="I1096" s="407"/>
      <c r="J1096" s="408" t="s">
        <v>453</v>
      </c>
      <c r="K1096" s="409" t="str">
        <f t="shared" si="148"/>
        <v>A=(Ancho x Largo)* Cant</v>
      </c>
      <c r="L1096" s="410" t="str">
        <f t="shared" si="159"/>
        <v>M2</v>
      </c>
      <c r="M1096" s="411">
        <f>+HLOOKUP(B1096,[238]Hoja1!$2:$78,19,FALSE)</f>
        <v>62.4</v>
      </c>
      <c r="N1096" s="412"/>
      <c r="O1096" s="442">
        <f>+M1096/8</f>
        <v>7.8</v>
      </c>
      <c r="P1096" s="442">
        <v>8</v>
      </c>
      <c r="Q1096" s="412"/>
      <c r="R1096" s="411"/>
      <c r="S1096" s="413">
        <v>1</v>
      </c>
      <c r="T1096" s="414">
        <f t="shared" si="151"/>
        <v>62.4</v>
      </c>
      <c r="Y1096" s="439">
        <f t="shared" si="155"/>
        <v>0</v>
      </c>
      <c r="Z1096" s="439">
        <f t="shared" si="156"/>
        <v>0</v>
      </c>
    </row>
    <row r="1097" spans="1:26" ht="13.5" thickBot="1">
      <c r="A1097" s="453">
        <f t="shared" si="152"/>
        <v>1.1499999999999999</v>
      </c>
      <c r="B1097" s="383">
        <v>43</v>
      </c>
      <c r="D1097" s="406"/>
      <c r="E1097" s="407"/>
      <c r="F1097" s="407"/>
      <c r="G1097" s="407"/>
      <c r="H1097" s="407"/>
      <c r="I1097" s="407"/>
      <c r="J1097" s="408" t="s">
        <v>454</v>
      </c>
      <c r="K1097" s="409" t="str">
        <f t="shared" si="148"/>
        <v>A=(Ancho x Largo)* Cant</v>
      </c>
      <c r="L1097" s="410" t="str">
        <f t="shared" si="159"/>
        <v>M2</v>
      </c>
      <c r="M1097" s="411">
        <f>+HLOOKUP(B1097,[238]Hoja1!$2:$78,19,FALSE)</f>
        <v>0</v>
      </c>
      <c r="N1097" s="412"/>
      <c r="O1097" s="442"/>
      <c r="P1097" s="442"/>
      <c r="Q1097" s="412"/>
      <c r="R1097" s="411"/>
      <c r="S1097" s="413"/>
      <c r="T1097" s="414">
        <f t="shared" si="151"/>
        <v>0</v>
      </c>
      <c r="Y1097" s="439">
        <f t="shared" si="155"/>
        <v>0</v>
      </c>
      <c r="Z1097" s="439">
        <f t="shared" si="156"/>
        <v>0</v>
      </c>
    </row>
    <row r="1098" spans="1:26">
      <c r="D1098" s="384"/>
      <c r="E1098" s="419"/>
      <c r="F1098" s="420"/>
      <c r="G1098" s="421"/>
      <c r="H1098" s="421"/>
      <c r="I1098" s="421"/>
      <c r="J1098" s="421"/>
      <c r="K1098" s="422"/>
      <c r="L1098" s="421"/>
      <c r="M1098" s="421"/>
      <c r="N1098" s="421"/>
      <c r="O1098" s="421"/>
      <c r="P1098" s="421"/>
      <c r="Q1098" s="421"/>
      <c r="R1098" s="421"/>
      <c r="S1098" s="422"/>
      <c r="T1098" s="423"/>
    </row>
    <row r="1099" spans="1:26">
      <c r="D1099" s="396"/>
      <c r="E1099" s="397"/>
      <c r="F1099" s="424"/>
      <c r="G1099" s="425"/>
      <c r="H1099" s="425"/>
      <c r="I1099" s="425"/>
      <c r="J1099" s="425"/>
      <c r="K1099" s="398"/>
      <c r="L1099" s="425"/>
      <c r="M1099" s="425"/>
      <c r="N1099" s="397"/>
      <c r="O1099" s="397"/>
      <c r="P1099" s="562" t="s">
        <v>455</v>
      </c>
      <c r="Q1099" s="563"/>
      <c r="R1099" s="564"/>
      <c r="S1099" s="426"/>
      <c r="T1099" s="427">
        <f>ROUND(SUM(T1055:T1098),2)</f>
        <v>121.33</v>
      </c>
    </row>
    <row r="1100" spans="1:26">
      <c r="D1100" s="396"/>
      <c r="E1100" s="397"/>
      <c r="F1100" s="424"/>
      <c r="G1100" s="425"/>
      <c r="H1100" s="425"/>
      <c r="I1100" s="425"/>
      <c r="J1100" s="425"/>
      <c r="K1100" s="398"/>
      <c r="L1100" s="425"/>
      <c r="M1100" s="425"/>
      <c r="N1100" s="428"/>
      <c r="O1100" s="428"/>
      <c r="P1100" s="429"/>
      <c r="Q1100" s="425"/>
      <c r="R1100" s="425"/>
      <c r="S1100" s="430"/>
      <c r="T1100" s="431"/>
    </row>
    <row r="1101" spans="1:26">
      <c r="D1101" s="565" t="e">
        <v>#REF!</v>
      </c>
      <c r="E1101" s="566"/>
      <c r="F1101" s="566"/>
      <c r="G1101" s="566"/>
      <c r="H1101" s="566"/>
      <c r="I1101" s="566"/>
      <c r="J1101" s="566"/>
      <c r="K1101" s="566"/>
      <c r="L1101" s="566"/>
      <c r="M1101" s="566"/>
      <c r="N1101" s="566"/>
      <c r="O1101" s="567"/>
      <c r="P1101" s="568" t="s">
        <v>422</v>
      </c>
      <c r="Q1101" s="568"/>
      <c r="R1101" s="568"/>
      <c r="S1101" s="426"/>
      <c r="T1101" s="427">
        <f>T1099</f>
        <v>121.33</v>
      </c>
    </row>
    <row r="1102" spans="1:26">
      <c r="D1102" s="396"/>
      <c r="E1102" s="397"/>
      <c r="F1102" s="424"/>
      <c r="G1102" s="425"/>
      <c r="H1102" s="425"/>
      <c r="I1102" s="425"/>
      <c r="J1102" s="425"/>
      <c r="K1102" s="398"/>
      <c r="L1102" s="425"/>
      <c r="M1102" s="425"/>
      <c r="N1102" s="428"/>
      <c r="O1102" s="428"/>
      <c r="P1102" s="429"/>
      <c r="Q1102" s="425"/>
      <c r="R1102" s="398"/>
      <c r="S1102" s="398"/>
      <c r="T1102" s="432"/>
    </row>
    <row r="1103" spans="1:26">
      <c r="D1103" s="396"/>
      <c r="E1103" s="397"/>
      <c r="F1103" s="424"/>
      <c r="G1103" s="425"/>
      <c r="H1103" s="425"/>
      <c r="I1103" s="425"/>
      <c r="J1103" s="425"/>
      <c r="K1103" s="398"/>
      <c r="L1103" s="425"/>
      <c r="M1103" s="425"/>
      <c r="N1103" s="428"/>
      <c r="O1103" s="428"/>
      <c r="P1103" s="429"/>
      <c r="Q1103" s="425"/>
      <c r="R1103" s="398"/>
      <c r="S1103" s="398"/>
      <c r="T1103" s="432"/>
    </row>
    <row r="1104" spans="1:26">
      <c r="D1104" s="569" t="s">
        <v>423</v>
      </c>
      <c r="E1104" s="570"/>
      <c r="F1104" s="570"/>
      <c r="G1104" s="570"/>
      <c r="H1104" s="570"/>
      <c r="I1104" s="570"/>
      <c r="J1104" s="570"/>
      <c r="K1104" s="571"/>
      <c r="L1104" s="433" t="s">
        <v>424</v>
      </c>
      <c r="M1104" s="434"/>
      <c r="N1104" s="434"/>
      <c r="O1104" s="434"/>
      <c r="P1104" s="434"/>
      <c r="Q1104" s="434"/>
      <c r="R1104" s="434"/>
      <c r="S1104" s="434"/>
      <c r="T1104" s="435"/>
    </row>
    <row r="1105" spans="4:20">
      <c r="D1105" s="542"/>
      <c r="E1105" s="543"/>
      <c r="F1105" s="543"/>
      <c r="G1105" s="543"/>
      <c r="H1105" s="436"/>
      <c r="I1105" s="436"/>
      <c r="J1105" s="436"/>
      <c r="K1105" s="447"/>
      <c r="L1105" s="436"/>
      <c r="M1105" s="407"/>
      <c r="N1105" s="407"/>
      <c r="O1105" s="407"/>
      <c r="P1105" s="407"/>
      <c r="Q1105" s="407"/>
      <c r="R1105" s="407"/>
      <c r="S1105" s="407"/>
      <c r="T1105" s="437"/>
    </row>
    <row r="1106" spans="4:20">
      <c r="D1106" s="542"/>
      <c r="E1106" s="543"/>
      <c r="F1106" s="543"/>
      <c r="G1106" s="543"/>
      <c r="H1106" s="436"/>
      <c r="I1106" s="436"/>
      <c r="J1106" s="436"/>
      <c r="K1106" s="447"/>
      <c r="L1106" s="436"/>
      <c r="M1106" s="407"/>
      <c r="N1106" s="407"/>
      <c r="O1106" s="407"/>
      <c r="P1106" s="407"/>
      <c r="Q1106" s="407"/>
      <c r="R1106" s="407"/>
      <c r="S1106" s="407"/>
      <c r="T1106" s="437"/>
    </row>
    <row r="1107" spans="4:20">
      <c r="D1107" s="542" t="s">
        <v>425</v>
      </c>
      <c r="E1107" s="543"/>
      <c r="F1107" s="543" t="s">
        <v>425</v>
      </c>
      <c r="G1107" s="543"/>
      <c r="H1107" s="543" t="s">
        <v>425</v>
      </c>
      <c r="I1107" s="543"/>
      <c r="J1107" s="543" t="s">
        <v>425</v>
      </c>
      <c r="K1107" s="544"/>
      <c r="L1107" s="545" t="s">
        <v>426</v>
      </c>
      <c r="M1107" s="546"/>
      <c r="N1107" s="546"/>
      <c r="O1107" s="546"/>
      <c r="P1107" s="546"/>
      <c r="Q1107" s="546"/>
      <c r="R1107" s="546"/>
      <c r="S1107" s="546"/>
      <c r="T1107" s="547"/>
    </row>
    <row r="1108" spans="4:20">
      <c r="D1108" s="548" t="str">
        <f>+[42]DATOS!D$8</f>
        <v>HELMER EDUARDO BECERRA SANTANDER</v>
      </c>
      <c r="E1108" s="549"/>
      <c r="F1108" s="549" t="s">
        <v>427</v>
      </c>
      <c r="G1108" s="549"/>
      <c r="H1108" s="549" t="s">
        <v>427</v>
      </c>
      <c r="I1108" s="549"/>
      <c r="J1108" s="549" t="s">
        <v>427</v>
      </c>
      <c r="K1108" s="550"/>
      <c r="L1108" s="551" t="str">
        <f>+[42]DATOS!D$11</f>
        <v>JESUS IVAN QUIÑONES RUEDA</v>
      </c>
      <c r="M1108" s="549"/>
      <c r="N1108" s="549"/>
      <c r="O1108" s="549"/>
      <c r="P1108" s="549"/>
      <c r="Q1108" s="549"/>
      <c r="R1108" s="549"/>
      <c r="S1108" s="549"/>
      <c r="T1108" s="552"/>
    </row>
    <row r="1109" spans="4:20">
      <c r="D1109" s="553" t="str">
        <f>+$D$72</f>
        <v>APOYO SEC. DE PLANEACION Y OBRAS PÚBLICAS</v>
      </c>
      <c r="E1109" s="554"/>
      <c r="F1109" s="554" t="s">
        <v>428</v>
      </c>
      <c r="G1109" s="554"/>
      <c r="H1109" s="554" t="s">
        <v>428</v>
      </c>
      <c r="I1109" s="554"/>
      <c r="J1109" s="554" t="s">
        <v>428</v>
      </c>
      <c r="K1109" s="555"/>
      <c r="L1109" s="556" t="str">
        <f>+$L$72</f>
        <v>SECRETARIO DE PLANEACION Y OBRAS PÚBLICAS</v>
      </c>
      <c r="M1109" s="554"/>
      <c r="N1109" s="554"/>
      <c r="O1109" s="554"/>
      <c r="P1109" s="554"/>
      <c r="Q1109" s="554"/>
      <c r="R1109" s="554"/>
      <c r="S1109" s="554"/>
      <c r="T1109" s="557"/>
    </row>
    <row r="1110" spans="4:20">
      <c r="D1110" s="406"/>
      <c r="E1110" s="407"/>
      <c r="F1110" s="407"/>
      <c r="G1110" s="407"/>
      <c r="H1110" s="407"/>
      <c r="I1110" s="407"/>
      <c r="J1110" s="407"/>
      <c r="K1110" s="407"/>
      <c r="L1110" s="407"/>
      <c r="M1110" s="407"/>
      <c r="N1110" s="407"/>
      <c r="O1110" s="407"/>
      <c r="P1110" s="407"/>
      <c r="Q1110" s="407"/>
      <c r="R1110" s="407"/>
      <c r="S1110" s="407"/>
      <c r="T1110" s="437"/>
    </row>
    <row r="1111" spans="4:20" ht="111" customHeight="1" thickBot="1">
      <c r="D1111" s="417"/>
      <c r="E1111" s="418"/>
      <c r="F1111" s="418"/>
      <c r="G1111" s="418"/>
      <c r="H1111" s="418"/>
      <c r="I1111" s="418"/>
      <c r="J1111" s="418"/>
      <c r="K1111" s="418"/>
      <c r="L1111" s="418"/>
      <c r="M1111" s="418"/>
      <c r="N1111" s="418"/>
      <c r="O1111" s="418"/>
      <c r="P1111" s="418"/>
      <c r="Q1111" s="418"/>
      <c r="R1111" s="418"/>
      <c r="S1111" s="418"/>
      <c r="T1111" s="438"/>
    </row>
    <row r="1112" spans="4:20" ht="22.5" customHeight="1"/>
  </sheetData>
  <mergeCells count="525">
    <mergeCell ref="D10:E10"/>
    <mergeCell ref="L10:M10"/>
    <mergeCell ref="N10:T10"/>
    <mergeCell ref="D11:E11"/>
    <mergeCell ref="F11:G11"/>
    <mergeCell ref="L11:M11"/>
    <mergeCell ref="N11:T11"/>
    <mergeCell ref="D5:T6"/>
    <mergeCell ref="D7:T7"/>
    <mergeCell ref="D8:E8"/>
    <mergeCell ref="F8:T8"/>
    <mergeCell ref="D9:E9"/>
    <mergeCell ref="F9:T9"/>
    <mergeCell ref="D68:G68"/>
    <mergeCell ref="D13:T13"/>
    <mergeCell ref="E15:F15"/>
    <mergeCell ref="G15:I15"/>
    <mergeCell ref="J15:J16"/>
    <mergeCell ref="K15:L16"/>
    <mergeCell ref="M15:R15"/>
    <mergeCell ref="S15:T15"/>
    <mergeCell ref="E16:F16"/>
    <mergeCell ref="G16:I16"/>
    <mergeCell ref="J17:T17"/>
    <mergeCell ref="P62:R62"/>
    <mergeCell ref="D64:O64"/>
    <mergeCell ref="P64:R64"/>
    <mergeCell ref="D67:K67"/>
    <mergeCell ref="D85:E85"/>
    <mergeCell ref="F85:G85"/>
    <mergeCell ref="L85:M85"/>
    <mergeCell ref="N85:T85"/>
    <mergeCell ref="G90:I90"/>
    <mergeCell ref="D69:G69"/>
    <mergeCell ref="D70:K70"/>
    <mergeCell ref="L70:T70"/>
    <mergeCell ref="D71:K71"/>
    <mergeCell ref="L71:T71"/>
    <mergeCell ref="D72:K72"/>
    <mergeCell ref="L72:T72"/>
    <mergeCell ref="D79:T80"/>
    <mergeCell ref="D81:T81"/>
    <mergeCell ref="D82:E82"/>
    <mergeCell ref="F82:T82"/>
    <mergeCell ref="D83:E83"/>
    <mergeCell ref="F83:T83"/>
    <mergeCell ref="D84:E84"/>
    <mergeCell ref="L84:M84"/>
    <mergeCell ref="N84:T84"/>
    <mergeCell ref="D87:T87"/>
    <mergeCell ref="E89:F89"/>
    <mergeCell ref="G89:I89"/>
    <mergeCell ref="J89:J90"/>
    <mergeCell ref="K89:L90"/>
    <mergeCell ref="M89:R89"/>
    <mergeCell ref="S89:T89"/>
    <mergeCell ref="E90:F90"/>
    <mergeCell ref="D138:O138"/>
    <mergeCell ref="P138:R138"/>
    <mergeCell ref="P136:R136"/>
    <mergeCell ref="J91:T91"/>
    <mergeCell ref="D146:K146"/>
    <mergeCell ref="L146:T146"/>
    <mergeCell ref="D141:K141"/>
    <mergeCell ref="D142:G142"/>
    <mergeCell ref="D143:G143"/>
    <mergeCell ref="D144:K144"/>
    <mergeCell ref="L144:T144"/>
    <mergeCell ref="J165:T165"/>
    <mergeCell ref="P210:R210"/>
    <mergeCell ref="D158:E158"/>
    <mergeCell ref="L158:M158"/>
    <mergeCell ref="N158:T158"/>
    <mergeCell ref="D159:E159"/>
    <mergeCell ref="F159:G159"/>
    <mergeCell ref="L159:M159"/>
    <mergeCell ref="N159:T159"/>
    <mergeCell ref="D153:T154"/>
    <mergeCell ref="D155:T155"/>
    <mergeCell ref="D156:E156"/>
    <mergeCell ref="F156:T156"/>
    <mergeCell ref="D157:E157"/>
    <mergeCell ref="F157:T157"/>
    <mergeCell ref="D145:K145"/>
    <mergeCell ref="L145:T145"/>
    <mergeCell ref="D212:O212"/>
    <mergeCell ref="P212:R212"/>
    <mergeCell ref="D215:K215"/>
    <mergeCell ref="D161:T161"/>
    <mergeCell ref="E163:F163"/>
    <mergeCell ref="G163:I163"/>
    <mergeCell ref="J163:J164"/>
    <mergeCell ref="K163:L164"/>
    <mergeCell ref="M163:R163"/>
    <mergeCell ref="S163:T163"/>
    <mergeCell ref="E164:F164"/>
    <mergeCell ref="G164:I164"/>
    <mergeCell ref="D220:K220"/>
    <mergeCell ref="L220:T220"/>
    <mergeCell ref="D227:T228"/>
    <mergeCell ref="D229:T229"/>
    <mergeCell ref="D230:E230"/>
    <mergeCell ref="F230:T230"/>
    <mergeCell ref="D216:G216"/>
    <mergeCell ref="D217:G217"/>
    <mergeCell ref="D218:K218"/>
    <mergeCell ref="L218:T218"/>
    <mergeCell ref="D219:K219"/>
    <mergeCell ref="L219:T219"/>
    <mergeCell ref="D233:E233"/>
    <mergeCell ref="F233:G233"/>
    <mergeCell ref="L233:M233"/>
    <mergeCell ref="N233:T233"/>
    <mergeCell ref="D235:T235"/>
    <mergeCell ref="D231:E231"/>
    <mergeCell ref="F231:T231"/>
    <mergeCell ref="D232:E232"/>
    <mergeCell ref="L232:M232"/>
    <mergeCell ref="N232:T232"/>
    <mergeCell ref="S237:T237"/>
    <mergeCell ref="E238:F238"/>
    <mergeCell ref="G238:I238"/>
    <mergeCell ref="J239:T239"/>
    <mergeCell ref="P284:R284"/>
    <mergeCell ref="E237:F237"/>
    <mergeCell ref="G237:I237"/>
    <mergeCell ref="J237:J238"/>
    <mergeCell ref="K237:L238"/>
    <mergeCell ref="M237:R237"/>
    <mergeCell ref="D292:K292"/>
    <mergeCell ref="L292:T292"/>
    <mergeCell ref="D293:K293"/>
    <mergeCell ref="L293:T293"/>
    <mergeCell ref="D294:K294"/>
    <mergeCell ref="L294:T294"/>
    <mergeCell ref="D286:O286"/>
    <mergeCell ref="P286:R286"/>
    <mergeCell ref="D289:K289"/>
    <mergeCell ref="D290:G290"/>
    <mergeCell ref="D291:G291"/>
    <mergeCell ref="D307:E307"/>
    <mergeCell ref="L307:M307"/>
    <mergeCell ref="N307:T307"/>
    <mergeCell ref="D308:E308"/>
    <mergeCell ref="F308:G308"/>
    <mergeCell ref="L308:M308"/>
    <mergeCell ref="N308:T308"/>
    <mergeCell ref="D302:T303"/>
    <mergeCell ref="D304:T304"/>
    <mergeCell ref="D305:E305"/>
    <mergeCell ref="F305:T305"/>
    <mergeCell ref="D306:E306"/>
    <mergeCell ref="F306:T306"/>
    <mergeCell ref="J314:T314"/>
    <mergeCell ref="P359:R359"/>
    <mergeCell ref="D361:O361"/>
    <mergeCell ref="P361:R361"/>
    <mergeCell ref="D364:K364"/>
    <mergeCell ref="D310:T310"/>
    <mergeCell ref="E312:F312"/>
    <mergeCell ref="G312:I312"/>
    <mergeCell ref="J312:J313"/>
    <mergeCell ref="K312:L313"/>
    <mergeCell ref="M312:R312"/>
    <mergeCell ref="S312:T312"/>
    <mergeCell ref="E313:F313"/>
    <mergeCell ref="G313:I313"/>
    <mergeCell ref="D369:K369"/>
    <mergeCell ref="L369:T369"/>
    <mergeCell ref="D376:T377"/>
    <mergeCell ref="D378:T378"/>
    <mergeCell ref="D379:E379"/>
    <mergeCell ref="F379:T379"/>
    <mergeCell ref="D365:G365"/>
    <mergeCell ref="D366:G366"/>
    <mergeCell ref="D367:K367"/>
    <mergeCell ref="L367:T367"/>
    <mergeCell ref="D368:K368"/>
    <mergeCell ref="L368:T368"/>
    <mergeCell ref="D382:E382"/>
    <mergeCell ref="F382:G382"/>
    <mergeCell ref="L382:M382"/>
    <mergeCell ref="N382:T382"/>
    <mergeCell ref="D384:T384"/>
    <mergeCell ref="D380:E380"/>
    <mergeCell ref="F380:T380"/>
    <mergeCell ref="D381:E381"/>
    <mergeCell ref="L381:M381"/>
    <mergeCell ref="N381:T381"/>
    <mergeCell ref="S386:T386"/>
    <mergeCell ref="E387:F387"/>
    <mergeCell ref="G387:I387"/>
    <mergeCell ref="J388:T388"/>
    <mergeCell ref="P433:R433"/>
    <mergeCell ref="E386:F386"/>
    <mergeCell ref="G386:I386"/>
    <mergeCell ref="J386:J387"/>
    <mergeCell ref="K386:L387"/>
    <mergeCell ref="M386:R386"/>
    <mergeCell ref="D441:K441"/>
    <mergeCell ref="L441:T441"/>
    <mergeCell ref="D442:K442"/>
    <mergeCell ref="L442:T442"/>
    <mergeCell ref="D443:K443"/>
    <mergeCell ref="L443:T443"/>
    <mergeCell ref="D435:O435"/>
    <mergeCell ref="P435:R435"/>
    <mergeCell ref="D438:K438"/>
    <mergeCell ref="D439:G439"/>
    <mergeCell ref="D440:G440"/>
    <mergeCell ref="D455:E455"/>
    <mergeCell ref="L455:M455"/>
    <mergeCell ref="N455:T455"/>
    <mergeCell ref="D456:E456"/>
    <mergeCell ref="F456:G456"/>
    <mergeCell ref="L456:M456"/>
    <mergeCell ref="N456:T456"/>
    <mergeCell ref="D450:T451"/>
    <mergeCell ref="D452:T452"/>
    <mergeCell ref="D453:E453"/>
    <mergeCell ref="F453:T453"/>
    <mergeCell ref="D454:E454"/>
    <mergeCell ref="F454:T454"/>
    <mergeCell ref="J462:T462"/>
    <mergeCell ref="P507:R507"/>
    <mergeCell ref="D509:O509"/>
    <mergeCell ref="P509:R509"/>
    <mergeCell ref="D512:K512"/>
    <mergeCell ref="D458:T458"/>
    <mergeCell ref="E460:F460"/>
    <mergeCell ref="G460:I460"/>
    <mergeCell ref="J460:J461"/>
    <mergeCell ref="K460:L461"/>
    <mergeCell ref="M460:R460"/>
    <mergeCell ref="S460:T460"/>
    <mergeCell ref="E461:F461"/>
    <mergeCell ref="G461:I461"/>
    <mergeCell ref="D517:K517"/>
    <mergeCell ref="L517:T517"/>
    <mergeCell ref="D524:T525"/>
    <mergeCell ref="D526:T526"/>
    <mergeCell ref="D527:E527"/>
    <mergeCell ref="F527:T527"/>
    <mergeCell ref="D513:G513"/>
    <mergeCell ref="D514:G514"/>
    <mergeCell ref="D515:K515"/>
    <mergeCell ref="L515:T515"/>
    <mergeCell ref="D516:K516"/>
    <mergeCell ref="L516:T516"/>
    <mergeCell ref="D530:E530"/>
    <mergeCell ref="F530:G530"/>
    <mergeCell ref="L530:M530"/>
    <mergeCell ref="N530:T530"/>
    <mergeCell ref="D532:T532"/>
    <mergeCell ref="D528:E528"/>
    <mergeCell ref="F528:T528"/>
    <mergeCell ref="D529:E529"/>
    <mergeCell ref="L529:M529"/>
    <mergeCell ref="N529:T529"/>
    <mergeCell ref="S534:T534"/>
    <mergeCell ref="E535:F535"/>
    <mergeCell ref="G535:I535"/>
    <mergeCell ref="J536:T536"/>
    <mergeCell ref="P581:R581"/>
    <mergeCell ref="E534:F534"/>
    <mergeCell ref="G534:I534"/>
    <mergeCell ref="J534:J535"/>
    <mergeCell ref="K534:L535"/>
    <mergeCell ref="M534:R534"/>
    <mergeCell ref="D589:K589"/>
    <mergeCell ref="L589:T589"/>
    <mergeCell ref="D590:K590"/>
    <mergeCell ref="L590:T590"/>
    <mergeCell ref="D591:K591"/>
    <mergeCell ref="L591:T591"/>
    <mergeCell ref="D583:O583"/>
    <mergeCell ref="P583:R583"/>
    <mergeCell ref="D586:K586"/>
    <mergeCell ref="D587:G587"/>
    <mergeCell ref="D588:G588"/>
    <mergeCell ref="D603:E603"/>
    <mergeCell ref="L603:M603"/>
    <mergeCell ref="N603:T603"/>
    <mergeCell ref="D604:E604"/>
    <mergeCell ref="F604:G604"/>
    <mergeCell ref="L604:M604"/>
    <mergeCell ref="N604:T604"/>
    <mergeCell ref="D598:T599"/>
    <mergeCell ref="D600:T600"/>
    <mergeCell ref="D601:E601"/>
    <mergeCell ref="F601:T601"/>
    <mergeCell ref="D602:E602"/>
    <mergeCell ref="F602:T602"/>
    <mergeCell ref="J610:T610"/>
    <mergeCell ref="P655:R655"/>
    <mergeCell ref="D657:O657"/>
    <mergeCell ref="P657:R657"/>
    <mergeCell ref="D660:K660"/>
    <mergeCell ref="D606:T606"/>
    <mergeCell ref="E608:F608"/>
    <mergeCell ref="G608:I608"/>
    <mergeCell ref="J608:J609"/>
    <mergeCell ref="K608:L609"/>
    <mergeCell ref="M608:R608"/>
    <mergeCell ref="S608:T608"/>
    <mergeCell ref="E609:F609"/>
    <mergeCell ref="G609:I609"/>
    <mergeCell ref="D665:K665"/>
    <mergeCell ref="L665:T665"/>
    <mergeCell ref="D672:T673"/>
    <mergeCell ref="D674:T674"/>
    <mergeCell ref="D675:E675"/>
    <mergeCell ref="F675:T675"/>
    <mergeCell ref="D661:G661"/>
    <mergeCell ref="D662:G662"/>
    <mergeCell ref="D663:K663"/>
    <mergeCell ref="L663:T663"/>
    <mergeCell ref="D664:K664"/>
    <mergeCell ref="L664:T664"/>
    <mergeCell ref="D678:E678"/>
    <mergeCell ref="F678:G678"/>
    <mergeCell ref="L678:M678"/>
    <mergeCell ref="N678:T678"/>
    <mergeCell ref="D680:T680"/>
    <mergeCell ref="D676:E676"/>
    <mergeCell ref="F676:T676"/>
    <mergeCell ref="D677:E677"/>
    <mergeCell ref="L677:M677"/>
    <mergeCell ref="N677:T677"/>
    <mergeCell ref="S682:T682"/>
    <mergeCell ref="E683:F683"/>
    <mergeCell ref="G683:I683"/>
    <mergeCell ref="J684:T684"/>
    <mergeCell ref="P729:R729"/>
    <mergeCell ref="E682:F682"/>
    <mergeCell ref="G682:I682"/>
    <mergeCell ref="J682:J683"/>
    <mergeCell ref="K682:L683"/>
    <mergeCell ref="M682:R682"/>
    <mergeCell ref="D737:K737"/>
    <mergeCell ref="L737:T737"/>
    <mergeCell ref="D738:K738"/>
    <mergeCell ref="L738:T738"/>
    <mergeCell ref="D739:K739"/>
    <mergeCell ref="L739:T739"/>
    <mergeCell ref="D731:O731"/>
    <mergeCell ref="P731:R731"/>
    <mergeCell ref="D734:K734"/>
    <mergeCell ref="D735:G735"/>
    <mergeCell ref="D736:G736"/>
    <mergeCell ref="D751:E751"/>
    <mergeCell ref="L751:M751"/>
    <mergeCell ref="N751:T751"/>
    <mergeCell ref="D752:E752"/>
    <mergeCell ref="F752:G752"/>
    <mergeCell ref="L752:M752"/>
    <mergeCell ref="N752:T752"/>
    <mergeCell ref="D746:T747"/>
    <mergeCell ref="D748:T748"/>
    <mergeCell ref="D749:E749"/>
    <mergeCell ref="F749:T749"/>
    <mergeCell ref="D750:E750"/>
    <mergeCell ref="F750:T750"/>
    <mergeCell ref="J758:T758"/>
    <mergeCell ref="P803:R803"/>
    <mergeCell ref="D805:O805"/>
    <mergeCell ref="P805:R805"/>
    <mergeCell ref="D808:K808"/>
    <mergeCell ref="D754:T754"/>
    <mergeCell ref="E756:F756"/>
    <mergeCell ref="G756:I756"/>
    <mergeCell ref="J756:J757"/>
    <mergeCell ref="K756:L757"/>
    <mergeCell ref="M756:R756"/>
    <mergeCell ref="S756:T756"/>
    <mergeCell ref="E757:F757"/>
    <mergeCell ref="G757:I757"/>
    <mergeCell ref="D813:K813"/>
    <mergeCell ref="L813:T813"/>
    <mergeCell ref="D820:T821"/>
    <mergeCell ref="D822:T822"/>
    <mergeCell ref="D823:E823"/>
    <mergeCell ref="F823:T823"/>
    <mergeCell ref="D809:G809"/>
    <mergeCell ref="D810:G810"/>
    <mergeCell ref="D811:K811"/>
    <mergeCell ref="L811:T811"/>
    <mergeCell ref="D812:K812"/>
    <mergeCell ref="L812:T812"/>
    <mergeCell ref="D826:E826"/>
    <mergeCell ref="F826:G826"/>
    <mergeCell ref="L826:M826"/>
    <mergeCell ref="N826:T826"/>
    <mergeCell ref="D828:T828"/>
    <mergeCell ref="D824:E824"/>
    <mergeCell ref="F824:T824"/>
    <mergeCell ref="D825:E825"/>
    <mergeCell ref="L825:M825"/>
    <mergeCell ref="N825:T825"/>
    <mergeCell ref="S830:T830"/>
    <mergeCell ref="E831:F831"/>
    <mergeCell ref="G831:I831"/>
    <mergeCell ref="J832:T832"/>
    <mergeCell ref="P877:R877"/>
    <mergeCell ref="E830:F830"/>
    <mergeCell ref="G830:I830"/>
    <mergeCell ref="J830:J831"/>
    <mergeCell ref="K830:L831"/>
    <mergeCell ref="M830:R830"/>
    <mergeCell ref="D885:K885"/>
    <mergeCell ref="L885:T885"/>
    <mergeCell ref="D886:K886"/>
    <mergeCell ref="L886:T886"/>
    <mergeCell ref="D887:K887"/>
    <mergeCell ref="L887:T887"/>
    <mergeCell ref="D879:O879"/>
    <mergeCell ref="P879:R879"/>
    <mergeCell ref="D882:K882"/>
    <mergeCell ref="D883:G883"/>
    <mergeCell ref="D884:G884"/>
    <mergeCell ref="D899:E899"/>
    <mergeCell ref="L899:M899"/>
    <mergeCell ref="N899:T899"/>
    <mergeCell ref="D900:E900"/>
    <mergeCell ref="F900:G900"/>
    <mergeCell ref="L900:M900"/>
    <mergeCell ref="N900:T900"/>
    <mergeCell ref="D894:T895"/>
    <mergeCell ref="D896:T896"/>
    <mergeCell ref="D897:E897"/>
    <mergeCell ref="F897:T897"/>
    <mergeCell ref="D898:E898"/>
    <mergeCell ref="F898:T898"/>
    <mergeCell ref="J906:T906"/>
    <mergeCell ref="P951:R951"/>
    <mergeCell ref="D953:O953"/>
    <mergeCell ref="P953:R953"/>
    <mergeCell ref="D956:K956"/>
    <mergeCell ref="D902:T902"/>
    <mergeCell ref="E904:F904"/>
    <mergeCell ref="G904:I904"/>
    <mergeCell ref="J904:J905"/>
    <mergeCell ref="K904:L905"/>
    <mergeCell ref="M904:R904"/>
    <mergeCell ref="S904:T904"/>
    <mergeCell ref="E905:F905"/>
    <mergeCell ref="G905:I905"/>
    <mergeCell ref="D961:K961"/>
    <mergeCell ref="L961:T961"/>
    <mergeCell ref="D968:T969"/>
    <mergeCell ref="D970:T970"/>
    <mergeCell ref="D971:E971"/>
    <mergeCell ref="F971:T971"/>
    <mergeCell ref="D957:G957"/>
    <mergeCell ref="D958:G958"/>
    <mergeCell ref="D959:K959"/>
    <mergeCell ref="L959:T959"/>
    <mergeCell ref="D960:K960"/>
    <mergeCell ref="L960:T960"/>
    <mergeCell ref="D974:E974"/>
    <mergeCell ref="F974:G974"/>
    <mergeCell ref="L974:M974"/>
    <mergeCell ref="N974:T974"/>
    <mergeCell ref="D976:T976"/>
    <mergeCell ref="D972:E972"/>
    <mergeCell ref="F972:T972"/>
    <mergeCell ref="D973:E973"/>
    <mergeCell ref="L973:M973"/>
    <mergeCell ref="N973:T973"/>
    <mergeCell ref="S978:T978"/>
    <mergeCell ref="E979:F979"/>
    <mergeCell ref="G979:I979"/>
    <mergeCell ref="J980:T980"/>
    <mergeCell ref="P1025:R1025"/>
    <mergeCell ref="E978:F978"/>
    <mergeCell ref="G978:I978"/>
    <mergeCell ref="J978:J979"/>
    <mergeCell ref="K978:L979"/>
    <mergeCell ref="M978:R978"/>
    <mergeCell ref="D1033:K1033"/>
    <mergeCell ref="L1033:T1033"/>
    <mergeCell ref="D1034:K1034"/>
    <mergeCell ref="L1034:T1034"/>
    <mergeCell ref="D1035:K1035"/>
    <mergeCell ref="L1035:T1035"/>
    <mergeCell ref="D1027:O1027"/>
    <mergeCell ref="P1027:R1027"/>
    <mergeCell ref="D1030:K1030"/>
    <mergeCell ref="D1031:G1031"/>
    <mergeCell ref="D1032:G1032"/>
    <mergeCell ref="D1047:E1047"/>
    <mergeCell ref="L1047:M1047"/>
    <mergeCell ref="N1047:T1047"/>
    <mergeCell ref="D1048:E1048"/>
    <mergeCell ref="F1048:G1048"/>
    <mergeCell ref="L1048:M1048"/>
    <mergeCell ref="N1048:T1048"/>
    <mergeCell ref="D1042:T1043"/>
    <mergeCell ref="D1044:T1044"/>
    <mergeCell ref="D1045:E1045"/>
    <mergeCell ref="F1045:T1045"/>
    <mergeCell ref="D1046:E1046"/>
    <mergeCell ref="F1046:T1046"/>
    <mergeCell ref="D1050:T1050"/>
    <mergeCell ref="E1052:F1052"/>
    <mergeCell ref="G1052:I1052"/>
    <mergeCell ref="J1052:J1053"/>
    <mergeCell ref="K1052:L1053"/>
    <mergeCell ref="M1052:R1052"/>
    <mergeCell ref="S1052:T1052"/>
    <mergeCell ref="E1053:F1053"/>
    <mergeCell ref="G1053:I1053"/>
    <mergeCell ref="D1109:K1109"/>
    <mergeCell ref="L1109:T1109"/>
    <mergeCell ref="D1105:G1105"/>
    <mergeCell ref="D1106:G1106"/>
    <mergeCell ref="D1107:K1107"/>
    <mergeCell ref="L1107:T1107"/>
    <mergeCell ref="D1108:K1108"/>
    <mergeCell ref="L1108:T1108"/>
    <mergeCell ref="J1054:T1054"/>
    <mergeCell ref="P1099:R1099"/>
    <mergeCell ref="D1101:O1101"/>
    <mergeCell ref="P1101:R1101"/>
    <mergeCell ref="D1104:K1104"/>
  </mergeCells>
  <phoneticPr fontId="28" type="noConversion"/>
  <printOptions horizontalCentered="1"/>
  <pageMargins left="0.70866141732283472" right="0.70866141732283472" top="0.74803149606299213" bottom="0.74803149606299213" header="0.31496062992125984" footer="0.31496062992125984"/>
  <pageSetup scale="38" fitToHeight="0" orientation="portrait" r:id="rId1"/>
  <rowBreaks count="14" manualBreakCount="14">
    <brk id="75" min="2" max="20" man="1"/>
    <brk id="149" min="2" max="20" man="1"/>
    <brk id="223" min="2" max="20" man="1"/>
    <brk id="298" min="2" max="20" man="1"/>
    <brk id="372" min="2" max="20" man="1"/>
    <brk id="446" min="2" max="20" man="1"/>
    <brk id="520" min="2" max="20" man="1"/>
    <brk id="594" min="2" max="20" man="1"/>
    <brk id="668" min="2" max="20" man="1"/>
    <brk id="742" min="2" max="20" man="1"/>
    <brk id="816" min="2" max="20" man="1"/>
    <brk id="890" min="2" max="20" man="1"/>
    <brk id="964" min="2" max="20" man="1"/>
    <brk id="1038" min="2" max="20"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24746D-16E7-4665-9FC6-D28C071EB4AB}">
  <dimension ref="A4:I47"/>
  <sheetViews>
    <sheetView workbookViewId="0">
      <selection activeCell="E6" sqref="E6"/>
    </sheetView>
  </sheetViews>
  <sheetFormatPr baseColWidth="10" defaultRowHeight="15"/>
  <cols>
    <col min="3" max="4" width="11.42578125" style="532"/>
    <col min="5" max="5" width="17.7109375" style="532" customWidth="1"/>
  </cols>
  <sheetData>
    <row r="4" spans="1:9">
      <c r="E4" s="532" t="s">
        <v>481</v>
      </c>
    </row>
    <row r="5" spans="1:9">
      <c r="E5" s="536">
        <f>+'MC 1'!B18</f>
        <v>1</v>
      </c>
      <c r="F5">
        <v>2</v>
      </c>
      <c r="G5">
        <v>3</v>
      </c>
      <c r="H5">
        <v>4</v>
      </c>
      <c r="I5">
        <v>5</v>
      </c>
    </row>
    <row r="6" spans="1:9">
      <c r="A6">
        <v>1.01</v>
      </c>
      <c r="B6" t="s">
        <v>482</v>
      </c>
      <c r="C6" s="532">
        <v>1.01</v>
      </c>
      <c r="E6" s="532" t="b">
        <f>'MC 1'!$A:$A=$C6</f>
        <v>0</v>
      </c>
      <c r="F6" s="532" t="str">
        <f>IFERROR(INDEX('MC 1'!$T:$T,MATCH(1,('MC 1'!$A:$A=$C6)*('MC 1'!$B:$B=$F$5),0)),"")</f>
        <v/>
      </c>
    </row>
    <row r="7" spans="1:9">
      <c r="A7">
        <v>1.02</v>
      </c>
      <c r="C7" s="532">
        <v>1.02</v>
      </c>
      <c r="E7" s="532" t="b">
        <f t="shared" ref="E7:E12" si="0">+$A:$A=$C7</f>
        <v>1</v>
      </c>
      <c r="F7" s="532" t="str">
        <f>IFERROR(INDEX('MC 1'!$T:$T,MATCH(1,('MC 1'!$A:$A=$C7)*('MC 1'!$B:$B=$E$5),0)),"")</f>
        <v/>
      </c>
    </row>
    <row r="8" spans="1:9">
      <c r="A8">
        <v>1.01</v>
      </c>
      <c r="C8" s="532">
        <v>1.03</v>
      </c>
      <c r="E8" s="532" t="b">
        <f t="shared" si="0"/>
        <v>0</v>
      </c>
      <c r="F8" s="532" t="str">
        <f>IFERROR(INDEX('MC 1'!$T:$T,MATCH(1,('MC 1'!$A:$A=$C8)*('MC 1'!$B:$B=$E$5),0)),"")</f>
        <v/>
      </c>
    </row>
    <row r="9" spans="1:9">
      <c r="A9">
        <v>1.01</v>
      </c>
      <c r="C9" s="532">
        <v>1.04</v>
      </c>
      <c r="E9" s="532" t="b">
        <f t="shared" si="0"/>
        <v>0</v>
      </c>
      <c r="F9" s="532" t="str">
        <f>IFERROR(INDEX('MC 1'!$T:$T,MATCH(1,('MC 1'!$A:$A=$C9)*('MC 1'!$B:$B=$E$5),0)),"")</f>
        <v/>
      </c>
    </row>
    <row r="10" spans="1:9">
      <c r="A10">
        <v>1.01</v>
      </c>
      <c r="C10" s="532">
        <v>1.05</v>
      </c>
      <c r="E10" s="532" t="b">
        <f t="shared" si="0"/>
        <v>0</v>
      </c>
      <c r="F10" s="532" t="str">
        <f>IFERROR(INDEX('MC 1'!$T:$T,MATCH(1,('MC 1'!$A:$A=$C10)*('MC 1'!$B:$B=$E$5),0)),"")</f>
        <v/>
      </c>
    </row>
    <row r="11" spans="1:9">
      <c r="A11">
        <v>1.01</v>
      </c>
      <c r="C11" s="532">
        <v>1.06</v>
      </c>
      <c r="E11" s="532" t="b">
        <f t="shared" si="0"/>
        <v>0</v>
      </c>
      <c r="F11" s="532" t="str">
        <f>IFERROR(INDEX('MC 1'!$T:$T,MATCH(1,('MC 1'!$A:$A=$C11)*('MC 1'!$B:$B=$E$5),0)),"")</f>
        <v/>
      </c>
    </row>
    <row r="12" spans="1:9">
      <c r="A12">
        <v>1.01</v>
      </c>
      <c r="C12" s="532">
        <v>1.07</v>
      </c>
      <c r="E12" s="532" t="b">
        <f t="shared" si="0"/>
        <v>0</v>
      </c>
      <c r="F12" s="532" t="str">
        <f>IFERROR(INDEX('MC 1'!$T:$T,MATCH(1,('MC 1'!$A:$A=$C12)*('MC 1'!$B:$B=$E$5),0)),"")</f>
        <v/>
      </c>
    </row>
    <row r="13" spans="1:9">
      <c r="A13">
        <v>1.01</v>
      </c>
      <c r="C13" s="532">
        <v>1.08</v>
      </c>
      <c r="E13" s="532" t="str">
        <f>IFERROR(INDEX('MC 1'!$T:$T,MATCH(1,('MC 1'!$A:$A=$C13)*('MC 1'!$B:$B=$E$5),0)),"")</f>
        <v/>
      </c>
      <c r="F13" s="532" t="str">
        <f>IFERROR(INDEX('MC 1'!$T:$T,MATCH(1,('MC 1'!$A:$A=$C13)*('MC 1'!$B:$B=$E$5),0)),"")</f>
        <v/>
      </c>
    </row>
    <row r="14" spans="1:9">
      <c r="A14">
        <v>1.01</v>
      </c>
      <c r="C14" s="532">
        <v>1.0900000000000001</v>
      </c>
      <c r="E14" s="532" t="str">
        <f>IFERROR(INDEX('MC 1'!$T:$T,MATCH(1,('MC 1'!$A:$A=$C14)*('MC 1'!$B:$B=$E$5),0)),"")</f>
        <v/>
      </c>
      <c r="F14" s="532" t="str">
        <f>IFERROR(INDEX('MC 1'!$T:$T,MATCH(1,('MC 1'!$A:$A=$C14)*('MC 1'!$B:$B=$E$5),0)),"")</f>
        <v/>
      </c>
    </row>
    <row r="15" spans="1:9">
      <c r="A15">
        <v>1.01</v>
      </c>
      <c r="C15" s="532">
        <v>1.1000000000000001</v>
      </c>
      <c r="E15" s="532" t="str">
        <f>IFERROR(INDEX('MC 1'!$T:$T,MATCH(1,('MC 1'!$A:$A=$C15)*('MC 1'!$B:$B=$E$5),0)),"")</f>
        <v/>
      </c>
      <c r="F15" s="532" t="str">
        <f>IFERROR(INDEX('MC 1'!$T:$T,MATCH(1,('MC 1'!$A:$A=$C15)*('MC 1'!$B:$B=$E$5),0)),"")</f>
        <v/>
      </c>
    </row>
    <row r="16" spans="1:9">
      <c r="A16">
        <v>1.01</v>
      </c>
      <c r="C16" s="532">
        <v>1.1100000000000001</v>
      </c>
      <c r="E16" s="532" t="str">
        <f>IFERROR(INDEX('MC 1'!$T:$T,MATCH(1,('MC 1'!$A:$A=$C16)*('MC 1'!$B:$B=$E$5),0)),"")</f>
        <v/>
      </c>
      <c r="F16" s="532" t="str">
        <f>IFERROR(INDEX('MC 1'!$T:$T,MATCH(1,('MC 1'!$A:$A=$C16)*('MC 1'!$B:$B=$E$5),0)),"")</f>
        <v/>
      </c>
    </row>
    <row r="17" spans="1:6">
      <c r="A17">
        <v>1.01</v>
      </c>
      <c r="C17" s="532">
        <v>1.1200000000000001</v>
      </c>
      <c r="E17" s="532" t="str">
        <f>IFERROR(INDEX('MC 1'!$T:$T,MATCH(1,('MC 1'!$A:$A=$C17)*('MC 1'!$B:$B=$E$5),0)),"")</f>
        <v/>
      </c>
      <c r="F17" s="532" t="str">
        <f>IFERROR(INDEX('MC 1'!$T:$T,MATCH(1,('MC 1'!$A:$A=$C17)*('MC 1'!$B:$B=$E$5),0)),"")</f>
        <v/>
      </c>
    </row>
    <row r="18" spans="1:6">
      <c r="A18">
        <v>1.01</v>
      </c>
      <c r="C18" s="532">
        <v>1.1299999999999999</v>
      </c>
      <c r="E18" s="532" t="str">
        <f>IFERROR(INDEX('MC 1'!$T:$T,MATCH(1,('MC 1'!$A:$A=$C18)*('MC 1'!$B:$B=$E$5),0)),"")</f>
        <v/>
      </c>
      <c r="F18" s="532" t="str">
        <f>IFERROR(INDEX('MC 1'!$T:$T,MATCH(1,('MC 1'!$A:$A=$C18)*('MC 1'!$B:$B=$E$5),0)),"")</f>
        <v/>
      </c>
    </row>
    <row r="19" spans="1:6">
      <c r="A19">
        <v>1.01</v>
      </c>
      <c r="C19" s="532">
        <v>1.1399999999999999</v>
      </c>
      <c r="E19" s="532" t="str">
        <f>IFERROR(INDEX('MC 1'!$T:$T,MATCH(1,('MC 1'!$A:$A=$C19)*('MC 1'!$B:$B=$E$5),0)),"")</f>
        <v/>
      </c>
      <c r="F19" s="532" t="str">
        <f>IFERROR(INDEX('MC 1'!$T:$T,MATCH(1,('MC 1'!$A:$A=$C19)*('MC 1'!$B:$B=$E$5),0)),"")</f>
        <v/>
      </c>
    </row>
    <row r="20" spans="1:6">
      <c r="A20">
        <v>1.01</v>
      </c>
      <c r="C20" s="532">
        <v>1.1499999999999999</v>
      </c>
      <c r="E20" s="532" t="str">
        <f>IFERROR(INDEX('MC 1'!$T:$T,MATCH(1,('MC 1'!$A:$A=$C20)*('MC 1'!$B:$B=$E$5),0)),"")</f>
        <v/>
      </c>
      <c r="F20" s="532" t="str">
        <f>IFERROR(INDEX('MC 1'!$T:$T,MATCH(1,('MC 1'!$A:$A=$C20)*('MC 1'!$B:$B=$E$5),0)),"")</f>
        <v/>
      </c>
    </row>
    <row r="21" spans="1:6">
      <c r="A21">
        <v>1.01</v>
      </c>
      <c r="C21" s="532">
        <v>2.0099999999999998</v>
      </c>
      <c r="E21" s="532" t="str">
        <f>IFERROR(INDEX('MC 1'!$T:$T,MATCH(1,('MC 1'!$A:$A=$C21)*('MC 1'!$B:$B=$E$5),0)),"")</f>
        <v/>
      </c>
      <c r="F21" s="532" t="str">
        <f>IFERROR(INDEX('MC 1'!$T:$T,MATCH(1,('MC 1'!$A:$A=$C21)*('MC 1'!$B:$B=$E$5),0)),"")</f>
        <v/>
      </c>
    </row>
    <row r="22" spans="1:6">
      <c r="A22">
        <v>1.01</v>
      </c>
      <c r="C22" s="532">
        <v>2.02</v>
      </c>
      <c r="E22" s="532" t="str">
        <f>IFERROR(INDEX('MC 1'!$T:$T,MATCH(1,('MC 1'!$A:$A=$C22)*('MC 1'!$B:$B=$E$5),0)),"")</f>
        <v/>
      </c>
      <c r="F22" s="532" t="str">
        <f>IFERROR(INDEX('MC 1'!$T:$T,MATCH(1,('MC 1'!$A:$A=$C22)*('MC 1'!$B:$B=$E$5),0)),"")</f>
        <v/>
      </c>
    </row>
    <row r="23" spans="1:6">
      <c r="A23">
        <v>1.01</v>
      </c>
      <c r="C23" s="532">
        <v>2.0299999999999998</v>
      </c>
      <c r="E23" s="532" t="str">
        <f>IFERROR(INDEX('MC 1'!$T:$T,MATCH(1,('MC 1'!$A:$A=$C23)*('MC 1'!$B:$B=$E$5),0)),"")</f>
        <v/>
      </c>
      <c r="F23" s="532" t="str">
        <f>IFERROR(INDEX('MC 1'!$T:$T,MATCH(1,('MC 1'!$A:$A=$C23)*('MC 1'!$B:$B=$E$5),0)),"")</f>
        <v/>
      </c>
    </row>
    <row r="24" spans="1:6">
      <c r="A24">
        <v>1.01</v>
      </c>
      <c r="C24" s="532">
        <v>2.04</v>
      </c>
    </row>
    <row r="25" spans="1:6">
      <c r="A25">
        <v>1.01</v>
      </c>
      <c r="C25" s="532">
        <v>2.0499999999999998</v>
      </c>
    </row>
    <row r="26" spans="1:6">
      <c r="A26">
        <v>1.01</v>
      </c>
      <c r="C26" s="532">
        <v>3.01</v>
      </c>
    </row>
    <row r="27" spans="1:6">
      <c r="A27">
        <v>1.01</v>
      </c>
      <c r="C27" s="532">
        <v>3.02</v>
      </c>
    </row>
    <row r="28" spans="1:6">
      <c r="A28">
        <v>1.01</v>
      </c>
      <c r="C28" s="532">
        <v>3.03</v>
      </c>
    </row>
    <row r="29" spans="1:6">
      <c r="A29">
        <v>1.01</v>
      </c>
      <c r="C29" s="532">
        <v>3.04</v>
      </c>
    </row>
    <row r="30" spans="1:6">
      <c r="A30">
        <v>1.01</v>
      </c>
      <c r="C30" s="532">
        <v>3.05</v>
      </c>
    </row>
    <row r="31" spans="1:6">
      <c r="A31">
        <v>1.01</v>
      </c>
      <c r="C31" s="532">
        <v>3.06</v>
      </c>
    </row>
    <row r="32" spans="1:6">
      <c r="A32">
        <v>1.01</v>
      </c>
      <c r="C32" s="532">
        <v>3.07</v>
      </c>
    </row>
    <row r="33" spans="1:3">
      <c r="A33">
        <v>1.01</v>
      </c>
      <c r="C33" s="532">
        <v>3.08</v>
      </c>
    </row>
    <row r="34" spans="1:3">
      <c r="A34">
        <v>1.01</v>
      </c>
    </row>
    <row r="35" spans="1:3">
      <c r="A35">
        <v>1.01</v>
      </c>
    </row>
    <row r="36" spans="1:3">
      <c r="A36">
        <v>1.01</v>
      </c>
    </row>
    <row r="37" spans="1:3">
      <c r="A37">
        <v>1.01</v>
      </c>
    </row>
    <row r="38" spans="1:3">
      <c r="A38">
        <v>1.01</v>
      </c>
    </row>
    <row r="39" spans="1:3">
      <c r="A39">
        <v>1.01</v>
      </c>
    </row>
    <row r="40" spans="1:3">
      <c r="A40">
        <v>1.01</v>
      </c>
    </row>
    <row r="41" spans="1:3">
      <c r="A41">
        <v>1.01</v>
      </c>
    </row>
    <row r="42" spans="1:3">
      <c r="A42">
        <v>1.01</v>
      </c>
    </row>
    <row r="43" spans="1:3">
      <c r="A43">
        <v>1.01</v>
      </c>
    </row>
    <row r="44" spans="1:3">
      <c r="A44">
        <v>1.01</v>
      </c>
    </row>
    <row r="45" spans="1:3">
      <c r="A45">
        <v>1.01</v>
      </c>
    </row>
    <row r="46" spans="1:3">
      <c r="A46">
        <v>1.01</v>
      </c>
    </row>
    <row r="47" spans="1:3">
      <c r="A47">
        <v>1.01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F39477-1B12-4071-8E38-66D00BCDC415}">
  <sheetPr>
    <pageSetUpPr fitToPage="1"/>
  </sheetPr>
  <dimension ref="B1:Z165"/>
  <sheetViews>
    <sheetView view="pageBreakPreview" topLeftCell="C94" zoomScale="78" zoomScaleNormal="70" zoomScaleSheetLayoutView="78" workbookViewId="0">
      <selection activeCell="D115" sqref="D115"/>
    </sheetView>
  </sheetViews>
  <sheetFormatPr baseColWidth="10" defaultColWidth="11.42578125" defaultRowHeight="15.75"/>
  <cols>
    <col min="1" max="2" width="3.42578125" style="258" customWidth="1"/>
    <col min="3" max="3" width="6.140625" style="258" customWidth="1"/>
    <col min="4" max="4" width="73.28515625" style="258" customWidth="1"/>
    <col min="5" max="5" width="8.7109375" style="258" customWidth="1"/>
    <col min="6" max="6" width="18.85546875" style="258" customWidth="1"/>
    <col min="7" max="7" width="23.85546875" style="258" customWidth="1"/>
    <col min="8" max="8" width="30" style="258" customWidth="1"/>
    <col min="9" max="9" width="3.28515625" style="258" customWidth="1"/>
    <col min="10" max="10" width="2.7109375" style="258" customWidth="1"/>
    <col min="11" max="12" width="13.140625" style="258" customWidth="1"/>
    <col min="13" max="13" width="17.140625" style="258" customWidth="1"/>
    <col min="14" max="14" width="16.7109375" style="258" customWidth="1"/>
    <col min="15" max="15" width="16.28515625" style="258" customWidth="1"/>
    <col min="16" max="16" width="18.28515625" style="258" customWidth="1"/>
    <col min="17" max="17" width="19.28515625" style="258" bestFit="1" customWidth="1"/>
    <col min="18" max="18" width="18.5703125" style="258" bestFit="1" customWidth="1"/>
    <col min="19" max="19" width="23" style="258" bestFit="1" customWidth="1"/>
    <col min="20" max="20" width="29.7109375" style="258" customWidth="1"/>
    <col min="21" max="21" width="25.140625" style="258" bestFit="1" customWidth="1"/>
    <col min="22" max="22" width="11.42578125" style="258"/>
    <col min="23" max="23" width="17.28515625" style="258" customWidth="1"/>
    <col min="24" max="24" width="20.7109375" style="258" customWidth="1"/>
    <col min="25" max="25" width="11.42578125" style="258"/>
    <col min="26" max="26" width="16.28515625" style="258" bestFit="1" customWidth="1"/>
    <col min="27" max="16384" width="11.42578125" style="258"/>
  </cols>
  <sheetData>
    <row r="1" spans="2:26" ht="16.5" thickBot="1"/>
    <row r="2" spans="2:26" ht="16.5" thickTop="1">
      <c r="B2" s="259"/>
      <c r="C2" s="260"/>
      <c r="D2" s="260"/>
      <c r="E2" s="260"/>
      <c r="F2" s="260"/>
      <c r="G2" s="260"/>
      <c r="H2" s="260"/>
      <c r="I2" s="261"/>
    </row>
    <row r="3" spans="2:26">
      <c r="B3" s="262"/>
      <c r="C3" s="263"/>
      <c r="I3" s="264"/>
    </row>
    <row r="4" spans="2:26">
      <c r="B4" s="262"/>
      <c r="C4" s="265"/>
      <c r="I4" s="264"/>
    </row>
    <row r="5" spans="2:26">
      <c r="B5" s="262"/>
      <c r="C5" s="630" t="s">
        <v>169</v>
      </c>
      <c r="D5" s="630"/>
      <c r="E5" s="630"/>
      <c r="F5" s="630"/>
      <c r="G5" s="630"/>
      <c r="H5" s="630"/>
      <c r="I5" s="264"/>
    </row>
    <row r="6" spans="2:26" ht="72.599999999999994" customHeight="1" thickBot="1">
      <c r="B6" s="262"/>
      <c r="C6" s="631" t="s">
        <v>170</v>
      </c>
      <c r="D6" s="631"/>
      <c r="E6" s="631"/>
      <c r="F6" s="631"/>
      <c r="G6" s="631"/>
      <c r="H6" s="631"/>
      <c r="I6" s="264"/>
      <c r="L6" s="258">
        <v>0.05</v>
      </c>
      <c r="M6" s="266" t="e">
        <f>+#REF!</f>
        <v>#REF!</v>
      </c>
      <c r="Q6" s="258">
        <v>13</v>
      </c>
      <c r="R6" s="258">
        <v>13</v>
      </c>
      <c r="S6" s="258">
        <v>15</v>
      </c>
      <c r="T6" s="258">
        <f>15*85%</f>
        <v>12.75</v>
      </c>
      <c r="Z6" s="266">
        <f>+X7*0.091</f>
        <v>236863101.04449999</v>
      </c>
    </row>
    <row r="7" spans="2:26" ht="36.75" customHeight="1" thickBot="1">
      <c r="B7" s="262"/>
      <c r="C7" s="632" t="s">
        <v>471</v>
      </c>
      <c r="D7" s="633"/>
      <c r="E7" s="633"/>
      <c r="F7" s="633"/>
      <c r="G7" s="633"/>
      <c r="H7" s="634"/>
      <c r="I7" s="264"/>
      <c r="L7" s="258">
        <v>1</v>
      </c>
      <c r="M7" s="266" t="e">
        <f>+L7*M6/L6</f>
        <v>#REF!</v>
      </c>
      <c r="P7" s="267">
        <f>+H103</f>
        <v>6727301</v>
      </c>
      <c r="Q7" s="268">
        <f>+P7/P8</f>
        <v>3.842185041449993</v>
      </c>
      <c r="R7" s="263"/>
      <c r="S7" s="263"/>
      <c r="T7" s="263"/>
      <c r="W7" s="269">
        <v>236863101.03999999</v>
      </c>
      <c r="X7" s="270">
        <f>3383758586.35/1.3</f>
        <v>2602891220.2692308</v>
      </c>
      <c r="Z7" s="258">
        <f>+X7*0.07</f>
        <v>182202385.41884619</v>
      </c>
    </row>
    <row r="8" spans="2:26">
      <c r="B8" s="262"/>
      <c r="C8" s="635" t="s">
        <v>171</v>
      </c>
      <c r="D8" s="635" t="s">
        <v>14</v>
      </c>
      <c r="E8" s="637" t="s">
        <v>172</v>
      </c>
      <c r="F8" s="637" t="s">
        <v>16</v>
      </c>
      <c r="G8" s="639" t="s">
        <v>82</v>
      </c>
      <c r="H8" s="641" t="s">
        <v>181</v>
      </c>
      <c r="I8" s="264"/>
      <c r="P8" s="271">
        <v>1750905</v>
      </c>
      <c r="R8" s="272"/>
      <c r="S8" s="263"/>
      <c r="T8" s="273"/>
      <c r="W8" s="274"/>
      <c r="X8" s="274"/>
    </row>
    <row r="9" spans="2:26" ht="16.5" thickBot="1">
      <c r="B9" s="262"/>
      <c r="C9" s="636"/>
      <c r="D9" s="636"/>
      <c r="E9" s="638"/>
      <c r="F9" s="638"/>
      <c r="G9" s="640"/>
      <c r="H9" s="642"/>
      <c r="I9" s="264"/>
      <c r="S9" s="620"/>
      <c r="T9" s="620"/>
      <c r="U9" s="258">
        <f>87%*15</f>
        <v>13.05</v>
      </c>
      <c r="W9" s="274"/>
      <c r="X9" s="274"/>
    </row>
    <row r="10" spans="2:26" ht="16.5" thickBot="1">
      <c r="B10" s="262"/>
      <c r="C10" s="509"/>
      <c r="D10" s="510"/>
      <c r="E10" s="510"/>
      <c r="F10" s="510"/>
      <c r="G10" s="511"/>
      <c r="H10" s="512"/>
      <c r="I10" s="264"/>
      <c r="S10" s="494"/>
      <c r="T10" s="494"/>
      <c r="W10" s="274"/>
      <c r="X10" s="274"/>
    </row>
    <row r="11" spans="2:26">
      <c r="B11" s="262"/>
      <c r="C11" s="275">
        <v>1</v>
      </c>
      <c r="D11" s="276" t="s">
        <v>84</v>
      </c>
      <c r="E11" s="277"/>
      <c r="F11" s="277"/>
      <c r="G11" s="277"/>
      <c r="H11" s="278"/>
      <c r="I11" s="264"/>
      <c r="K11" s="279"/>
      <c r="L11" s="279"/>
      <c r="M11" s="279"/>
      <c r="N11" s="279"/>
      <c r="O11" s="279"/>
      <c r="P11" s="279"/>
      <c r="Q11" s="279">
        <f>427000*4</f>
        <v>1708000</v>
      </c>
      <c r="R11" s="279"/>
      <c r="S11" s="279"/>
      <c r="T11" s="279"/>
      <c r="U11" s="280"/>
      <c r="W11" s="269">
        <f>+W7-X7</f>
        <v>-2366028119.2292309</v>
      </c>
      <c r="X11" s="281">
        <f>+W11/X7</f>
        <v>-0.90900000000172887</v>
      </c>
    </row>
    <row r="12" spans="2:26" ht="31.5">
      <c r="B12" s="262"/>
      <c r="C12" s="282">
        <v>1.01</v>
      </c>
      <c r="D12" s="283" t="s">
        <v>85</v>
      </c>
      <c r="E12" s="284" t="s">
        <v>162</v>
      </c>
      <c r="F12" s="526">
        <f>+VLOOKUP(C12,'MC 1'!V:W,2,FALSE)</f>
        <v>1318.48</v>
      </c>
      <c r="G12" s="528">
        <f>+VLOOKUP(C12,'CAP 1,00'!D:R,15,FALSE)</f>
        <v>5949</v>
      </c>
      <c r="H12" s="285">
        <f t="shared" ref="H12:H98" si="0">ROUND(G12*F12,2)</f>
        <v>7843637.5199999996</v>
      </c>
      <c r="I12" s="264"/>
      <c r="K12" s="363" t="s">
        <v>174</v>
      </c>
      <c r="L12" s="286">
        <v>5949</v>
      </c>
      <c r="M12" s="286">
        <f>+G12-L12</f>
        <v>0</v>
      </c>
      <c r="N12" s="350"/>
      <c r="O12" s="286"/>
      <c r="P12" s="287">
        <f>+G12/1.33</f>
        <v>4472.9323308270677</v>
      </c>
      <c r="Q12" s="272"/>
      <c r="R12" s="272"/>
      <c r="S12" s="263"/>
      <c r="T12" s="263"/>
      <c r="U12" s="263"/>
    </row>
    <row r="13" spans="2:26" ht="31.5">
      <c r="B13" s="262"/>
      <c r="C13" s="282">
        <v>1.02</v>
      </c>
      <c r="D13" s="283" t="s">
        <v>86</v>
      </c>
      <c r="E13" s="284" t="s">
        <v>162</v>
      </c>
      <c r="F13" s="526">
        <f>+VLOOKUP(C13,'MC 1'!V:W,2,FALSE)</f>
        <v>572.49</v>
      </c>
      <c r="G13" s="528">
        <f>+VLOOKUP(C13,'CAP 1,00'!D:R,15,FALSE)</f>
        <v>33698</v>
      </c>
      <c r="H13" s="285">
        <f t="shared" si="0"/>
        <v>19291768.02</v>
      </c>
      <c r="I13" s="264"/>
      <c r="K13" s="363" t="s">
        <v>175</v>
      </c>
      <c r="L13" s="286">
        <v>30639</v>
      </c>
      <c r="M13" s="286">
        <f t="shared" ref="M13:M74" si="1">+G13-L13</f>
        <v>3059</v>
      </c>
      <c r="N13" s="350"/>
      <c r="O13" s="286"/>
      <c r="P13" s="287"/>
      <c r="Q13" s="272"/>
      <c r="R13" s="272"/>
      <c r="S13" s="263"/>
      <c r="T13" s="263"/>
      <c r="U13" s="263"/>
    </row>
    <row r="14" spans="2:26" ht="31.5">
      <c r="B14" s="262"/>
      <c r="C14" s="282">
        <v>1.03</v>
      </c>
      <c r="D14" s="283" t="s">
        <v>93</v>
      </c>
      <c r="E14" s="284" t="s">
        <v>162</v>
      </c>
      <c r="F14" s="526">
        <f>+VLOOKUP(C14,'MC 1'!V:W,2,FALSE)</f>
        <v>13.75</v>
      </c>
      <c r="G14" s="528">
        <f>+VLOOKUP(C14,'CAP 1,00'!D:R,15,FALSE)</f>
        <v>25602</v>
      </c>
      <c r="H14" s="285">
        <f t="shared" si="0"/>
        <v>352027.5</v>
      </c>
      <c r="I14" s="264"/>
      <c r="K14" s="363" t="s">
        <v>468</v>
      </c>
      <c r="L14" s="286">
        <v>25602</v>
      </c>
      <c r="M14" s="286">
        <f t="shared" si="1"/>
        <v>0</v>
      </c>
      <c r="N14" s="350"/>
      <c r="O14" s="286"/>
      <c r="P14" s="287"/>
      <c r="Q14" s="272"/>
      <c r="R14" s="272"/>
      <c r="S14" s="263"/>
      <c r="T14" s="263"/>
      <c r="U14" s="263"/>
    </row>
    <row r="15" spans="2:26" ht="31.5">
      <c r="B15" s="262"/>
      <c r="C15" s="282">
        <v>1.04</v>
      </c>
      <c r="D15" s="283" t="s">
        <v>98</v>
      </c>
      <c r="E15" s="284" t="s">
        <v>162</v>
      </c>
      <c r="F15" s="526">
        <f>+VLOOKUP(C15,'MC 1'!V:W,2,FALSE)</f>
        <v>46.6</v>
      </c>
      <c r="G15" s="528">
        <f>+VLOOKUP(C15,'CAP 1,00'!D:R,15,FALSE)</f>
        <v>31112</v>
      </c>
      <c r="H15" s="285">
        <f t="shared" si="0"/>
        <v>1449819.2</v>
      </c>
      <c r="I15" s="264"/>
      <c r="K15" s="363" t="s">
        <v>469</v>
      </c>
      <c r="L15" s="286">
        <v>31112</v>
      </c>
      <c r="M15" s="286">
        <f t="shared" si="1"/>
        <v>0</v>
      </c>
      <c r="N15" s="350"/>
      <c r="O15" s="286"/>
      <c r="P15" s="287"/>
      <c r="Q15" s="272"/>
      <c r="R15" s="272"/>
      <c r="S15" s="263"/>
      <c r="T15" s="263"/>
      <c r="U15" s="263"/>
    </row>
    <row r="16" spans="2:26" ht="31.5">
      <c r="B16" s="262"/>
      <c r="C16" s="282">
        <v>1.05</v>
      </c>
      <c r="D16" s="283" t="s">
        <v>100</v>
      </c>
      <c r="E16" s="284" t="s">
        <v>162</v>
      </c>
      <c r="F16" s="526">
        <f>+VLOOKUP(C16,'MC 1'!V:W,2,FALSE)</f>
        <v>48.54</v>
      </c>
      <c r="G16" s="528">
        <f>+VLOOKUP(C16,'CAP 1,00'!D:R,15,FALSE)</f>
        <v>92781</v>
      </c>
      <c r="H16" s="285">
        <f t="shared" si="0"/>
        <v>4503589.74</v>
      </c>
      <c r="I16" s="264"/>
      <c r="K16" s="363" t="s">
        <v>176</v>
      </c>
      <c r="L16" s="286">
        <v>63675</v>
      </c>
      <c r="M16" s="286">
        <f t="shared" si="1"/>
        <v>29106</v>
      </c>
      <c r="N16" s="350"/>
      <c r="O16" s="286"/>
      <c r="P16" s="287"/>
      <c r="Q16" s="272"/>
      <c r="R16" s="272"/>
      <c r="S16" s="263"/>
      <c r="T16" s="263"/>
      <c r="U16" s="263"/>
    </row>
    <row r="17" spans="2:21" ht="31.5">
      <c r="B17" s="262"/>
      <c r="C17" s="282">
        <v>1.06</v>
      </c>
      <c r="D17" s="283" t="s">
        <v>101</v>
      </c>
      <c r="E17" s="284" t="s">
        <v>162</v>
      </c>
      <c r="F17" s="526">
        <f>+VLOOKUP(C17,'MC 1'!V:W,2,FALSE)</f>
        <v>12.66</v>
      </c>
      <c r="G17" s="528">
        <f>+VLOOKUP(C17,'CAP 1,00'!D:R,15,FALSE)</f>
        <v>20684</v>
      </c>
      <c r="H17" s="285">
        <f t="shared" si="0"/>
        <v>261859.44</v>
      </c>
      <c r="I17" s="264"/>
      <c r="K17" s="363" t="s">
        <v>470</v>
      </c>
      <c r="L17" s="286">
        <v>20684</v>
      </c>
      <c r="M17" s="286">
        <f t="shared" si="1"/>
        <v>0</v>
      </c>
      <c r="N17" s="350"/>
      <c r="O17" s="286"/>
      <c r="P17" s="287"/>
      <c r="Q17" s="272"/>
      <c r="R17" s="272"/>
      <c r="S17" s="263"/>
      <c r="T17" s="263"/>
      <c r="U17" s="263"/>
    </row>
    <row r="18" spans="2:21" ht="47.25">
      <c r="B18" s="262"/>
      <c r="C18" s="282">
        <v>1.07</v>
      </c>
      <c r="D18" s="283" t="s">
        <v>201</v>
      </c>
      <c r="E18" s="284" t="s">
        <v>49</v>
      </c>
      <c r="F18" s="526">
        <f>+VLOOKUP(C18,'MC 1'!V:W,2,FALSE)</f>
        <v>1.67</v>
      </c>
      <c r="G18" s="528">
        <f>+VLOOKUP(C18,'CAP 1,00'!D:R,15,FALSE)</f>
        <v>536147</v>
      </c>
      <c r="H18" s="285">
        <f t="shared" si="0"/>
        <v>895365.49</v>
      </c>
      <c r="I18" s="264"/>
      <c r="K18" s="363" t="s">
        <v>177</v>
      </c>
      <c r="L18" s="286">
        <v>536147</v>
      </c>
      <c r="M18" s="286">
        <f t="shared" si="1"/>
        <v>0</v>
      </c>
      <c r="N18" s="350"/>
      <c r="O18" s="286"/>
      <c r="P18" s="287"/>
      <c r="Q18" s="272"/>
      <c r="R18" s="272"/>
      <c r="S18" s="263"/>
      <c r="T18" s="263"/>
      <c r="U18" s="263"/>
    </row>
    <row r="19" spans="2:21" ht="31.5">
      <c r="B19" s="262"/>
      <c r="C19" s="282">
        <v>1.08</v>
      </c>
      <c r="D19" s="283" t="s">
        <v>202</v>
      </c>
      <c r="E19" s="284" t="s">
        <v>49</v>
      </c>
      <c r="F19" s="526">
        <f>+VLOOKUP(C19,'MC 1'!V:W,2,FALSE)</f>
        <v>1.75</v>
      </c>
      <c r="G19" s="528">
        <f>+VLOOKUP(C19,'CAP 1,00'!D:R,15,FALSE)</f>
        <v>512427</v>
      </c>
      <c r="H19" s="285">
        <f t="shared" si="0"/>
        <v>896747.25</v>
      </c>
      <c r="I19" s="264"/>
      <c r="K19" s="363" t="s">
        <v>178</v>
      </c>
      <c r="L19" s="286">
        <v>512427</v>
      </c>
      <c r="M19" s="286">
        <f t="shared" si="1"/>
        <v>0</v>
      </c>
      <c r="N19" s="350"/>
      <c r="O19" s="286"/>
      <c r="P19" s="287"/>
      <c r="Q19" s="272"/>
      <c r="R19" s="272"/>
      <c r="S19" s="263"/>
      <c r="T19" s="263"/>
      <c r="U19" s="263"/>
    </row>
    <row r="20" spans="2:21">
      <c r="B20" s="262"/>
      <c r="C20" s="282">
        <v>1.0900000000000001</v>
      </c>
      <c r="D20" s="283" t="s">
        <v>102</v>
      </c>
      <c r="E20" s="284" t="s">
        <v>162</v>
      </c>
      <c r="F20" s="526">
        <f>+VLOOKUP(C20,'MC 1'!V:W,2,FALSE)</f>
        <v>4.6100000000000003</v>
      </c>
      <c r="G20" s="528">
        <f>+VLOOKUP(C20,'CAP 1,00'!D:R,15,FALSE)</f>
        <v>60447</v>
      </c>
      <c r="H20" s="285">
        <f t="shared" si="0"/>
        <v>278660.67</v>
      </c>
      <c r="I20" s="264"/>
      <c r="K20" s="363" t="s">
        <v>179</v>
      </c>
      <c r="L20" s="286">
        <v>60447</v>
      </c>
      <c r="M20" s="286">
        <f t="shared" si="1"/>
        <v>0</v>
      </c>
      <c r="N20" s="350"/>
      <c r="O20" s="286"/>
      <c r="P20" s="287"/>
      <c r="Q20" s="272"/>
      <c r="R20" s="272"/>
      <c r="S20" s="263"/>
      <c r="T20" s="263"/>
      <c r="U20" s="263"/>
    </row>
    <row r="21" spans="2:21" ht="31.5">
      <c r="B21" s="262"/>
      <c r="C21" s="282">
        <v>1.1000000000000001</v>
      </c>
      <c r="D21" s="283" t="s">
        <v>104</v>
      </c>
      <c r="E21" s="284" t="s">
        <v>49</v>
      </c>
      <c r="F21" s="526">
        <f>+VLOOKUP(C21,'MC 1'!V:W,2,FALSE)</f>
        <v>22.99</v>
      </c>
      <c r="G21" s="528">
        <f>+VLOOKUP(C21,'CAP 1,00'!D:R,15,FALSE)</f>
        <v>68288</v>
      </c>
      <c r="H21" s="285">
        <f t="shared" si="0"/>
        <v>1569941.12</v>
      </c>
      <c r="I21" s="264"/>
      <c r="K21" s="363" t="s">
        <v>205</v>
      </c>
      <c r="L21" s="286">
        <v>68288</v>
      </c>
      <c r="M21" s="286">
        <f t="shared" si="1"/>
        <v>0</v>
      </c>
      <c r="N21" s="350"/>
      <c r="O21" s="286"/>
      <c r="P21" s="287"/>
      <c r="Q21" s="272"/>
      <c r="R21" s="272"/>
      <c r="S21" s="263"/>
      <c r="T21" s="263"/>
      <c r="U21" s="263"/>
    </row>
    <row r="22" spans="2:21" ht="31.5">
      <c r="B22" s="262"/>
      <c r="C22" s="282">
        <v>1.1100000000000001</v>
      </c>
      <c r="D22" s="283" t="s">
        <v>105</v>
      </c>
      <c r="E22" s="284" t="s">
        <v>162</v>
      </c>
      <c r="F22" s="526">
        <f>+VLOOKUP(C22,'MC 1'!V:W,2,FALSE)</f>
        <v>24.54</v>
      </c>
      <c r="G22" s="528">
        <f>+VLOOKUP(C22,'CAP 1,00'!D:R,15,FALSE)</f>
        <v>18897</v>
      </c>
      <c r="H22" s="285">
        <f t="shared" si="0"/>
        <v>463732.38</v>
      </c>
      <c r="I22" s="264"/>
      <c r="K22" s="363" t="s">
        <v>206</v>
      </c>
      <c r="L22" s="286">
        <v>18897</v>
      </c>
      <c r="M22" s="286">
        <f t="shared" si="1"/>
        <v>0</v>
      </c>
      <c r="N22" s="350"/>
      <c r="O22" s="286"/>
      <c r="P22" s="287"/>
      <c r="Q22" s="272"/>
      <c r="R22" s="272"/>
      <c r="S22" s="263"/>
      <c r="T22" s="263"/>
      <c r="U22" s="263"/>
    </row>
    <row r="23" spans="2:21">
      <c r="B23" s="262"/>
      <c r="C23" s="282">
        <v>1.1200000000000001</v>
      </c>
      <c r="D23" s="283" t="s">
        <v>106</v>
      </c>
      <c r="E23" s="284" t="s">
        <v>49</v>
      </c>
      <c r="F23" s="526">
        <f>+VLOOKUP(C23,'MC 1'!V:W,2,FALSE)</f>
        <v>45.16</v>
      </c>
      <c r="G23" s="528">
        <f>+VLOOKUP(C23,'CAP 1,00'!D:R,15,FALSE)</f>
        <v>116450</v>
      </c>
      <c r="H23" s="285">
        <f t="shared" si="0"/>
        <v>5258882</v>
      </c>
      <c r="I23" s="264"/>
      <c r="K23" s="363" t="s">
        <v>207</v>
      </c>
      <c r="L23" s="286">
        <v>116450</v>
      </c>
      <c r="M23" s="286">
        <f t="shared" si="1"/>
        <v>0</v>
      </c>
      <c r="N23" s="350"/>
      <c r="O23" s="286"/>
      <c r="P23" s="287"/>
      <c r="Q23" s="272"/>
      <c r="R23" s="272"/>
      <c r="S23" s="263"/>
      <c r="T23" s="263"/>
      <c r="U23" s="263"/>
    </row>
    <row r="24" spans="2:21">
      <c r="B24" s="262"/>
      <c r="C24" s="282">
        <v>1.1299999999999999</v>
      </c>
      <c r="D24" s="283" t="s">
        <v>107</v>
      </c>
      <c r="E24" s="284" t="s">
        <v>49</v>
      </c>
      <c r="F24" s="526">
        <f>+VLOOKUP(C24,'MC 1'!V:W,2,FALSE)</f>
        <v>2.4500000000000002</v>
      </c>
      <c r="G24" s="528">
        <f>+VLOOKUP(C24,'CAP 1,00'!D:R,15,FALSE)</f>
        <v>163030</v>
      </c>
      <c r="H24" s="285">
        <f t="shared" si="0"/>
        <v>399423.5</v>
      </c>
      <c r="I24" s="264"/>
      <c r="K24" s="363" t="s">
        <v>208</v>
      </c>
      <c r="L24" s="286">
        <v>163030</v>
      </c>
      <c r="M24" s="286">
        <f t="shared" si="1"/>
        <v>0</v>
      </c>
      <c r="N24" s="350"/>
      <c r="O24" s="286"/>
      <c r="P24" s="287"/>
      <c r="Q24" s="272"/>
      <c r="R24" s="272"/>
      <c r="S24" s="263"/>
      <c r="T24" s="263"/>
      <c r="U24" s="263"/>
    </row>
    <row r="25" spans="2:21" ht="31.5">
      <c r="B25" s="262"/>
      <c r="C25" s="282">
        <v>1.1399999999999999</v>
      </c>
      <c r="D25" s="283" t="s">
        <v>269</v>
      </c>
      <c r="E25" s="284" t="s">
        <v>49</v>
      </c>
      <c r="F25" s="526">
        <f>+VLOOKUP(C25,'MC 1'!V:W,2,FALSE)</f>
        <v>43.09</v>
      </c>
      <c r="G25" s="528">
        <f>+VLOOKUP(C25,'CAP 1,00'!D:R,15,FALSE)</f>
        <v>179734</v>
      </c>
      <c r="H25" s="285">
        <f t="shared" si="0"/>
        <v>7744738.0599999996</v>
      </c>
      <c r="I25" s="264"/>
      <c r="K25" s="363" t="s">
        <v>209</v>
      </c>
      <c r="L25" s="286">
        <v>256959</v>
      </c>
      <c r="M25" s="286">
        <f t="shared" si="1"/>
        <v>-77225</v>
      </c>
      <c r="N25" s="350"/>
      <c r="O25" s="286"/>
      <c r="P25" s="287"/>
      <c r="Q25" s="272"/>
      <c r="R25" s="272"/>
      <c r="S25" s="263"/>
      <c r="T25" s="263"/>
      <c r="U25" s="263"/>
    </row>
    <row r="26" spans="2:21" ht="16.5" thickBot="1">
      <c r="B26" s="262"/>
      <c r="C26" s="282">
        <v>1.1499999999999999</v>
      </c>
      <c r="D26" s="529" t="s">
        <v>109</v>
      </c>
      <c r="E26" s="530" t="s">
        <v>162</v>
      </c>
      <c r="F26" s="526">
        <f>+VLOOKUP(C26,'MC 1'!V:W,2,FALSE)</f>
        <v>121.33</v>
      </c>
      <c r="G26" s="528">
        <f>+VLOOKUP(C26,'CAP 1,00'!D:R,15,FALSE)</f>
        <v>15306</v>
      </c>
      <c r="H26" s="331">
        <f t="shared" si="0"/>
        <v>1857076.98</v>
      </c>
      <c r="I26" s="264"/>
      <c r="K26" s="363" t="s">
        <v>210</v>
      </c>
      <c r="L26" s="286">
        <v>15306</v>
      </c>
      <c r="M26" s="286">
        <f t="shared" si="1"/>
        <v>0</v>
      </c>
      <c r="N26" s="350"/>
      <c r="O26" s="286"/>
      <c r="P26" s="287"/>
      <c r="Q26" s="272"/>
      <c r="R26" s="272"/>
      <c r="S26" s="263"/>
      <c r="T26" s="263"/>
      <c r="U26" s="263"/>
    </row>
    <row r="27" spans="2:21" ht="16.5" thickBot="1">
      <c r="B27" s="262"/>
      <c r="C27" s="337" t="s">
        <v>180</v>
      </c>
      <c r="D27" s="338"/>
      <c r="E27" s="338"/>
      <c r="F27" s="338"/>
      <c r="G27" s="339"/>
      <c r="H27" s="340">
        <f>+SUM(H12:H26)</f>
        <v>53067268.869999997</v>
      </c>
      <c r="I27" s="264"/>
      <c r="K27" s="286"/>
      <c r="L27" s="286"/>
      <c r="M27" s="286">
        <f t="shared" si="1"/>
        <v>0</v>
      </c>
      <c r="N27" s="465">
        <f>+H27</f>
        <v>53067268.869999997</v>
      </c>
      <c r="O27" s="467">
        <v>51773774.020600013</v>
      </c>
      <c r="P27" s="287">
        <f>+N27-O27</f>
        <v>1293494.8493999839</v>
      </c>
      <c r="Q27" s="272"/>
      <c r="R27" s="272"/>
      <c r="S27" s="263"/>
      <c r="T27" s="263"/>
      <c r="U27" s="263"/>
    </row>
    <row r="28" spans="2:21" ht="16.5" thickBot="1">
      <c r="B28" s="262"/>
      <c r="C28" s="332"/>
      <c r="D28" s="333"/>
      <c r="E28" s="334"/>
      <c r="F28" s="335"/>
      <c r="G28" s="341"/>
      <c r="H28" s="342"/>
      <c r="I28" s="264"/>
      <c r="K28" s="286"/>
      <c r="L28" s="286"/>
      <c r="M28" s="286">
        <f t="shared" si="1"/>
        <v>0</v>
      </c>
      <c r="N28" s="465">
        <f>+H35</f>
        <v>48296819.990000002</v>
      </c>
      <c r="O28" s="467">
        <v>48282177.616800003</v>
      </c>
      <c r="P28" s="287">
        <f t="shared" ref="P28:P38" si="2">+N28-O28</f>
        <v>14642.373199999332</v>
      </c>
      <c r="Q28" s="272"/>
      <c r="R28" s="272"/>
      <c r="S28" s="263"/>
      <c r="T28" s="263"/>
      <c r="U28" s="263"/>
    </row>
    <row r="29" spans="2:21" ht="16.5" thickBot="1">
      <c r="B29" s="262"/>
      <c r="C29" s="345">
        <v>2</v>
      </c>
      <c r="D29" s="346" t="s">
        <v>110</v>
      </c>
      <c r="E29" s="347"/>
      <c r="F29" s="347"/>
      <c r="G29" s="347"/>
      <c r="H29" s="348"/>
      <c r="I29" s="264"/>
      <c r="K29" s="286"/>
      <c r="L29" s="286"/>
      <c r="M29" s="286">
        <f t="shared" si="1"/>
        <v>0</v>
      </c>
      <c r="N29" s="465">
        <f>+H47</f>
        <v>174352220.04000002</v>
      </c>
      <c r="O29" s="467">
        <v>174288973.46822184</v>
      </c>
      <c r="P29" s="287">
        <f t="shared" si="2"/>
        <v>63246.571778178215</v>
      </c>
      <c r="Q29" s="272"/>
      <c r="R29" s="272"/>
      <c r="S29" s="263"/>
      <c r="T29" s="263"/>
      <c r="U29" s="263"/>
    </row>
    <row r="30" spans="2:21">
      <c r="B30" s="262"/>
      <c r="C30" s="343">
        <v>2.0099999999999998</v>
      </c>
      <c r="D30" s="330" t="s">
        <v>111</v>
      </c>
      <c r="E30" s="344" t="s">
        <v>162</v>
      </c>
      <c r="F30" s="526">
        <f>+VLOOKUP(C30,'MC 2-3-4'!V:W,2,FALSE)</f>
        <v>17.399999999999999</v>
      </c>
      <c r="G30" s="527">
        <f>+VLOOKUP(C30,'CAP 2-3-4'!D:R,15,FALSE)</f>
        <v>65698</v>
      </c>
      <c r="H30" s="336">
        <f t="shared" si="0"/>
        <v>1143145.2</v>
      </c>
      <c r="I30" s="264"/>
      <c r="K30" s="364" t="s">
        <v>211</v>
      </c>
      <c r="L30" s="286">
        <v>65698</v>
      </c>
      <c r="M30" s="286">
        <f t="shared" si="1"/>
        <v>0</v>
      </c>
      <c r="N30" s="465">
        <f>+H58</f>
        <v>20034899.199999999</v>
      </c>
      <c r="O30" s="467">
        <v>20034899.199999999</v>
      </c>
      <c r="P30" s="287">
        <f t="shared" si="2"/>
        <v>0</v>
      </c>
      <c r="Q30" s="272"/>
      <c r="R30" s="272"/>
      <c r="S30" s="263"/>
      <c r="T30" s="263"/>
      <c r="U30" s="263"/>
    </row>
    <row r="31" spans="2:21">
      <c r="B31" s="262"/>
      <c r="C31" s="282">
        <v>2.02</v>
      </c>
      <c r="D31" s="283" t="s">
        <v>472</v>
      </c>
      <c r="E31" s="284" t="s">
        <v>49</v>
      </c>
      <c r="F31" s="526">
        <f>+VLOOKUP(C31,'MC 2-3-4'!V:W,2,FALSE)</f>
        <v>1.0900000000000001</v>
      </c>
      <c r="G31" s="527">
        <f>+VLOOKUP(C31,'CAP 2-3-4'!D:R,15,FALSE)</f>
        <v>1763453</v>
      </c>
      <c r="H31" s="285">
        <f t="shared" si="0"/>
        <v>1922163.77</v>
      </c>
      <c r="I31" s="264"/>
      <c r="K31" s="364" t="s">
        <v>212</v>
      </c>
      <c r="L31" s="286">
        <v>1763453</v>
      </c>
      <c r="M31" s="286">
        <f t="shared" si="1"/>
        <v>0</v>
      </c>
      <c r="N31" s="465">
        <f>+H66</f>
        <v>22200604.32</v>
      </c>
      <c r="O31" s="467">
        <v>21969472.319999997</v>
      </c>
      <c r="P31" s="287">
        <f t="shared" si="2"/>
        <v>231132.00000000373</v>
      </c>
      <c r="Q31" s="272"/>
      <c r="R31" s="272"/>
      <c r="S31" s="263"/>
      <c r="T31" s="263"/>
      <c r="U31" s="263"/>
    </row>
    <row r="32" spans="2:21">
      <c r="B32" s="262"/>
      <c r="C32" s="282">
        <v>2.0299999999999998</v>
      </c>
      <c r="D32" s="283" t="s">
        <v>473</v>
      </c>
      <c r="E32" s="284" t="s">
        <v>49</v>
      </c>
      <c r="F32" s="526">
        <f>+VLOOKUP(C32,'MC 2-3-4'!V:W,2,FALSE)</f>
        <v>0.48</v>
      </c>
      <c r="G32" s="527">
        <f>+VLOOKUP(C32,'CAP 2-3-4'!D:R,15,FALSE)</f>
        <v>1930936</v>
      </c>
      <c r="H32" s="285">
        <f t="shared" si="0"/>
        <v>926849.28</v>
      </c>
      <c r="I32" s="264"/>
      <c r="K32" s="364" t="s">
        <v>213</v>
      </c>
      <c r="L32" s="286">
        <v>1852166</v>
      </c>
      <c r="M32" s="286">
        <f t="shared" si="1"/>
        <v>78770</v>
      </c>
      <c r="N32" s="465">
        <f>+H77</f>
        <v>240174250.23999998</v>
      </c>
      <c r="O32" s="467">
        <v>239746860.824</v>
      </c>
      <c r="P32" s="287">
        <f t="shared" si="2"/>
        <v>427389.41599997878</v>
      </c>
      <c r="Q32" s="272"/>
      <c r="R32" s="272"/>
      <c r="S32" s="263"/>
      <c r="T32" s="263"/>
      <c r="U32" s="263"/>
    </row>
    <row r="33" spans="2:21" ht="31.5">
      <c r="B33" s="262"/>
      <c r="C33" s="282">
        <v>2.04</v>
      </c>
      <c r="D33" s="283" t="s">
        <v>114</v>
      </c>
      <c r="E33" s="284" t="s">
        <v>49</v>
      </c>
      <c r="F33" s="526">
        <f>+VLOOKUP(C33,'MC 2-3-4'!V:W,2,FALSE)</f>
        <v>18.68</v>
      </c>
      <c r="G33" s="527">
        <f>+VLOOKUP(C33,'CAP 2-3-4'!D:R,15,FALSE)</f>
        <v>1810313</v>
      </c>
      <c r="H33" s="285">
        <f t="shared" si="0"/>
        <v>33816646.840000004</v>
      </c>
      <c r="I33" s="264"/>
      <c r="K33" s="364" t="s">
        <v>214</v>
      </c>
      <c r="L33" s="286">
        <v>1810313</v>
      </c>
      <c r="M33" s="286">
        <f t="shared" si="1"/>
        <v>0</v>
      </c>
      <c r="N33" s="465">
        <f>+H85</f>
        <v>231184489.47999999</v>
      </c>
      <c r="O33" s="467">
        <v>241301700.13999999</v>
      </c>
      <c r="P33" s="287">
        <f t="shared" si="2"/>
        <v>-10117210.659999996</v>
      </c>
      <c r="Q33" s="272"/>
      <c r="R33" s="272"/>
      <c r="S33" s="263"/>
      <c r="T33" s="263"/>
      <c r="U33" s="263"/>
    </row>
    <row r="34" spans="2:21" ht="32.25" thickBot="1">
      <c r="B34" s="262"/>
      <c r="C34" s="282">
        <v>2.0499999999999998</v>
      </c>
      <c r="D34" s="529" t="s">
        <v>474</v>
      </c>
      <c r="E34" s="284" t="s">
        <v>49</v>
      </c>
      <c r="F34" s="526">
        <f>+VLOOKUP(C34,'MC 2-3-4'!V:W,2,FALSE)</f>
        <v>9.26</v>
      </c>
      <c r="G34" s="527">
        <f>+VLOOKUP(C34,'CAP 2-3-4'!D:R,15,FALSE)</f>
        <v>1132615</v>
      </c>
      <c r="H34" s="285">
        <f t="shared" si="0"/>
        <v>10488014.9</v>
      </c>
      <c r="I34" s="264"/>
      <c r="K34" s="364" t="s">
        <v>215</v>
      </c>
      <c r="L34" s="286">
        <v>1132615</v>
      </c>
      <c r="M34" s="286">
        <f t="shared" si="1"/>
        <v>0</v>
      </c>
      <c r="N34" s="465">
        <f>+H93</f>
        <v>13590909</v>
      </c>
      <c r="O34" s="467">
        <v>13590909</v>
      </c>
      <c r="P34" s="287">
        <f t="shared" si="2"/>
        <v>0</v>
      </c>
      <c r="Q34" s="272"/>
      <c r="R34" s="272"/>
      <c r="S34" s="263"/>
      <c r="T34" s="263"/>
      <c r="U34" s="263"/>
    </row>
    <row r="35" spans="2:21" ht="16.5" thickBot="1">
      <c r="B35" s="262"/>
      <c r="C35" s="337" t="s">
        <v>180</v>
      </c>
      <c r="D35" s="338"/>
      <c r="E35" s="338"/>
      <c r="F35" s="338"/>
      <c r="G35" s="339"/>
      <c r="H35" s="340">
        <f>+SUM(H30:H34)</f>
        <v>48296819.990000002</v>
      </c>
      <c r="I35" s="264"/>
      <c r="K35" s="364"/>
      <c r="L35" s="286"/>
      <c r="M35" s="286">
        <f t="shared" si="1"/>
        <v>0</v>
      </c>
      <c r="N35" s="465">
        <f>+H99</f>
        <v>31101268.399999999</v>
      </c>
      <c r="O35" s="467">
        <v>24940943.746000003</v>
      </c>
      <c r="P35" s="287">
        <f t="shared" si="2"/>
        <v>6160324.6539999954</v>
      </c>
      <c r="Q35" s="272"/>
      <c r="R35" s="272"/>
      <c r="S35" s="263"/>
      <c r="T35" s="263"/>
      <c r="U35" s="263"/>
    </row>
    <row r="36" spans="2:21" ht="16.5" thickBot="1">
      <c r="B36" s="515"/>
      <c r="C36" s="523"/>
      <c r="D36" s="524"/>
      <c r="E36" s="524"/>
      <c r="F36" s="524"/>
      <c r="G36" s="524"/>
      <c r="H36" s="525"/>
      <c r="I36" s="522"/>
      <c r="K36" s="364"/>
      <c r="L36" s="286"/>
      <c r="M36" s="286"/>
      <c r="N36" s="465"/>
      <c r="O36" s="467"/>
      <c r="P36" s="287"/>
      <c r="Q36" s="272"/>
      <c r="R36" s="272"/>
      <c r="S36" s="263"/>
      <c r="T36" s="263"/>
      <c r="U36" s="263"/>
    </row>
    <row r="37" spans="2:21" ht="17.25" thickTop="1" thickBot="1">
      <c r="B37" s="262"/>
      <c r="C37" s="514"/>
      <c r="D37" s="333"/>
      <c r="E37" s="334"/>
      <c r="F37" s="335"/>
      <c r="G37" s="341"/>
      <c r="H37" s="513"/>
      <c r="I37" s="264"/>
      <c r="K37" s="364"/>
      <c r="L37" s="286"/>
      <c r="M37" s="286">
        <f t="shared" si="1"/>
        <v>0</v>
      </c>
      <c r="N37" s="466">
        <f>+H103</f>
        <v>6727301</v>
      </c>
      <c r="O37" s="467">
        <v>4805215</v>
      </c>
      <c r="P37" s="287">
        <f t="shared" si="2"/>
        <v>1922086</v>
      </c>
      <c r="Q37" s="272"/>
      <c r="R37" s="272"/>
      <c r="S37" s="263"/>
      <c r="T37" s="263"/>
      <c r="U37" s="263"/>
    </row>
    <row r="38" spans="2:21" ht="16.5" thickBot="1">
      <c r="B38" s="262"/>
      <c r="C38" s="345">
        <v>3</v>
      </c>
      <c r="D38" s="346" t="s">
        <v>475</v>
      </c>
      <c r="E38" s="347"/>
      <c r="F38" s="347"/>
      <c r="G38" s="347"/>
      <c r="H38" s="348"/>
      <c r="I38" s="264"/>
      <c r="K38" s="364"/>
      <c r="L38" s="286"/>
      <c r="M38" s="286">
        <f t="shared" si="1"/>
        <v>0</v>
      </c>
      <c r="N38" s="266">
        <f>SUM(N27:N37)</f>
        <v>840730030.53999996</v>
      </c>
      <c r="O38" s="465">
        <f>SUM(O27:O37)</f>
        <v>840734925.33562195</v>
      </c>
      <c r="P38" s="287">
        <f t="shared" si="2"/>
        <v>-4894.7956219911575</v>
      </c>
      <c r="Q38" s="272"/>
      <c r="R38" s="272"/>
      <c r="S38" s="263"/>
      <c r="T38" s="263"/>
      <c r="U38" s="263"/>
    </row>
    <row r="39" spans="2:21">
      <c r="B39" s="262"/>
      <c r="C39" s="343">
        <v>3.01</v>
      </c>
      <c r="D39" s="330" t="s">
        <v>117</v>
      </c>
      <c r="E39" s="344" t="s">
        <v>49</v>
      </c>
      <c r="F39" s="526">
        <f>+VLOOKUP(C39,'MC 2-3-4'!V:W,2,FALSE)</f>
        <v>5.48</v>
      </c>
      <c r="G39" s="527">
        <f>+VLOOKUP(C39,'CAP 2-3-4'!D:R,15,FALSE)</f>
        <v>2184805</v>
      </c>
      <c r="H39" s="285">
        <f t="shared" si="0"/>
        <v>11972731.4</v>
      </c>
      <c r="I39" s="264"/>
      <c r="K39" s="364" t="s">
        <v>216</v>
      </c>
      <c r="L39" s="286">
        <v>2184805</v>
      </c>
      <c r="M39" s="286">
        <f t="shared" si="1"/>
        <v>0</v>
      </c>
      <c r="N39" s="350"/>
      <c r="O39" s="286"/>
      <c r="P39" s="287"/>
      <c r="Q39" s="272"/>
      <c r="R39" s="272"/>
      <c r="S39" s="263"/>
      <c r="T39" s="263"/>
      <c r="U39" s="263"/>
    </row>
    <row r="40" spans="2:21">
      <c r="B40" s="262"/>
      <c r="C40" s="343">
        <v>3.02</v>
      </c>
      <c r="D40" s="330" t="s">
        <v>118</v>
      </c>
      <c r="E40" s="344" t="s">
        <v>49</v>
      </c>
      <c r="F40" s="526">
        <f>+VLOOKUP(C40,'MC 2-3-4'!V:W,2,FALSE)</f>
        <v>2.56</v>
      </c>
      <c r="G40" s="527">
        <f>+VLOOKUP(C40,'CAP 2-3-4'!D:R,15,FALSE)</f>
        <v>2111861</v>
      </c>
      <c r="H40" s="285">
        <f t="shared" si="0"/>
        <v>5406364.1600000001</v>
      </c>
      <c r="I40" s="264"/>
      <c r="K40" s="364" t="s">
        <v>217</v>
      </c>
      <c r="L40" s="286">
        <v>2111861</v>
      </c>
      <c r="M40" s="286">
        <f t="shared" si="1"/>
        <v>0</v>
      </c>
      <c r="N40" s="350"/>
      <c r="O40" s="286"/>
      <c r="P40" s="287"/>
      <c r="Q40" s="272"/>
      <c r="R40" s="272"/>
      <c r="S40" s="263"/>
      <c r="T40" s="263"/>
      <c r="U40" s="263"/>
    </row>
    <row r="41" spans="2:21">
      <c r="B41" s="262"/>
      <c r="C41" s="343">
        <v>3.03</v>
      </c>
      <c r="D41" s="330" t="s">
        <v>476</v>
      </c>
      <c r="E41" s="344" t="s">
        <v>49</v>
      </c>
      <c r="F41" s="526">
        <f>+VLOOKUP(C41,'MC 2-3-4'!V:W,2,FALSE)</f>
        <v>6.81</v>
      </c>
      <c r="G41" s="527">
        <f>+VLOOKUP(C41,'CAP 2-3-4'!D:R,15,FALSE)</f>
        <v>2159835</v>
      </c>
      <c r="H41" s="285">
        <f t="shared" si="0"/>
        <v>14708476.35</v>
      </c>
      <c r="I41" s="264"/>
      <c r="K41" s="364" t="s">
        <v>218</v>
      </c>
      <c r="L41" s="286">
        <v>2159835</v>
      </c>
      <c r="M41" s="286">
        <f t="shared" si="1"/>
        <v>0</v>
      </c>
      <c r="N41" s="350"/>
      <c r="O41" s="286"/>
      <c r="P41" s="287"/>
      <c r="Q41" s="272"/>
      <c r="R41" s="272"/>
      <c r="S41" s="263"/>
      <c r="T41" s="263"/>
      <c r="U41" s="263"/>
    </row>
    <row r="42" spans="2:21">
      <c r="B42" s="262"/>
      <c r="C42" s="343">
        <v>3.04</v>
      </c>
      <c r="D42" s="330" t="s">
        <v>465</v>
      </c>
      <c r="E42" s="344" t="s">
        <v>173</v>
      </c>
      <c r="F42" s="526">
        <f>+VLOOKUP(C42,'MC 2-3-4'!V:W,2,FALSE)</f>
        <v>37.65</v>
      </c>
      <c r="G42" s="527">
        <f>+VLOOKUP(C42,'CAP 2-3-4'!D:R,15,FALSE)</f>
        <v>183325</v>
      </c>
      <c r="H42" s="285">
        <f t="shared" si="0"/>
        <v>6902186.25</v>
      </c>
      <c r="I42" s="264"/>
      <c r="K42" s="364" t="s">
        <v>219</v>
      </c>
      <c r="L42" s="286">
        <v>183956</v>
      </c>
      <c r="M42" s="286">
        <f t="shared" si="1"/>
        <v>-631</v>
      </c>
      <c r="N42" s="350"/>
      <c r="O42" s="286"/>
      <c r="P42" s="287"/>
      <c r="Q42" s="272"/>
      <c r="R42" s="272"/>
      <c r="S42" s="263"/>
      <c r="T42" s="263"/>
      <c r="U42" s="263"/>
    </row>
    <row r="43" spans="2:21" ht="31.5">
      <c r="B43" s="262"/>
      <c r="C43" s="343">
        <v>3.05</v>
      </c>
      <c r="D43" s="330" t="s">
        <v>121</v>
      </c>
      <c r="E43" s="344" t="s">
        <v>162</v>
      </c>
      <c r="F43" s="526">
        <f>+VLOOKUP(C43,'MC 2-3-4'!V:W,2,FALSE)</f>
        <v>235.59</v>
      </c>
      <c r="G43" s="527">
        <f>+VLOOKUP(C43,'CAP 2-3-4'!D:R,15,FALSE)</f>
        <v>167995</v>
      </c>
      <c r="H43" s="285">
        <f t="shared" si="0"/>
        <v>39577942.049999997</v>
      </c>
      <c r="I43" s="264"/>
      <c r="K43" s="364" t="s">
        <v>220</v>
      </c>
      <c r="L43" s="286">
        <v>167995</v>
      </c>
      <c r="M43" s="286">
        <f t="shared" si="1"/>
        <v>0</v>
      </c>
      <c r="N43" s="350"/>
      <c r="O43" s="286"/>
      <c r="P43" s="287"/>
      <c r="Q43" s="272"/>
      <c r="R43" s="272"/>
      <c r="S43" s="263"/>
      <c r="T43" s="263"/>
      <c r="U43" s="263"/>
    </row>
    <row r="44" spans="2:21">
      <c r="B44" s="262"/>
      <c r="C44" s="343">
        <v>3.06</v>
      </c>
      <c r="D44" s="330" t="s">
        <v>122</v>
      </c>
      <c r="E44" s="344" t="s">
        <v>162</v>
      </c>
      <c r="F44" s="526">
        <f>+VLOOKUP(C44,'MC 2-3-4'!V:W,2,FALSE)</f>
        <v>10.36</v>
      </c>
      <c r="G44" s="527">
        <f>+VLOOKUP(C44,'CAP 2-3-4'!D:R,15,FALSE)</f>
        <v>116881</v>
      </c>
      <c r="H44" s="285">
        <f t="shared" si="0"/>
        <v>1210887.1599999999</v>
      </c>
      <c r="I44" s="264"/>
      <c r="K44" s="364" t="s">
        <v>221</v>
      </c>
      <c r="L44" s="286">
        <v>116881</v>
      </c>
      <c r="M44" s="286">
        <f t="shared" si="1"/>
        <v>0</v>
      </c>
      <c r="N44" s="350"/>
      <c r="O44" s="286"/>
      <c r="P44" s="287"/>
      <c r="Q44" s="272"/>
      <c r="R44" s="272"/>
      <c r="S44" s="263"/>
      <c r="T44" s="263"/>
      <c r="U44" s="263"/>
    </row>
    <row r="45" spans="2:21" ht="31.5">
      <c r="B45" s="262"/>
      <c r="C45" s="343">
        <v>3.07</v>
      </c>
      <c r="D45" s="330" t="s">
        <v>123</v>
      </c>
      <c r="E45" s="344" t="s">
        <v>162</v>
      </c>
      <c r="F45" s="526">
        <f>+VLOOKUP(C45,'MC 2-3-4'!V:W,2,FALSE)</f>
        <v>22.69</v>
      </c>
      <c r="G45" s="527">
        <f>+VLOOKUP(C45,'CAP 2-3-4'!D:R,15,FALSE)</f>
        <v>318473</v>
      </c>
      <c r="H45" s="285">
        <f t="shared" si="0"/>
        <v>7226152.3700000001</v>
      </c>
      <c r="I45" s="264"/>
      <c r="K45" s="364" t="s">
        <v>222</v>
      </c>
      <c r="L45" s="286">
        <v>318473</v>
      </c>
      <c r="M45" s="286">
        <f t="shared" si="1"/>
        <v>0</v>
      </c>
      <c r="N45" s="350"/>
      <c r="O45" s="286"/>
      <c r="P45" s="287"/>
      <c r="Q45" s="272"/>
      <c r="R45" s="272"/>
      <c r="S45" s="263"/>
      <c r="T45" s="263"/>
      <c r="U45" s="263"/>
    </row>
    <row r="46" spans="2:21" ht="16.5" thickBot="1">
      <c r="B46" s="262"/>
      <c r="C46" s="343">
        <v>3.08</v>
      </c>
      <c r="D46" s="330" t="s">
        <v>203</v>
      </c>
      <c r="E46" s="344" t="s">
        <v>50</v>
      </c>
      <c r="F46" s="526">
        <f>+VLOOKUP(C46,'MC 2-3-4'!V:W,2,FALSE)</f>
        <v>6290.78</v>
      </c>
      <c r="G46" s="527">
        <f>+VLOOKUP(C46,'CAP 2-3-4'!D:R,15,FALSE)</f>
        <v>13885</v>
      </c>
      <c r="H46" s="285">
        <f t="shared" si="0"/>
        <v>87347480.299999997</v>
      </c>
      <c r="I46" s="264"/>
      <c r="K46" s="364" t="s">
        <v>223</v>
      </c>
      <c r="L46" s="286">
        <v>13885</v>
      </c>
      <c r="M46" s="286">
        <f t="shared" si="1"/>
        <v>0</v>
      </c>
      <c r="N46" s="350"/>
      <c r="O46" s="286"/>
      <c r="P46" s="287"/>
      <c r="Q46" s="272"/>
      <c r="R46" s="272"/>
      <c r="S46" s="263"/>
      <c r="T46" s="263"/>
      <c r="U46" s="263"/>
    </row>
    <row r="47" spans="2:21" ht="16.5" thickBot="1">
      <c r="B47" s="262"/>
      <c r="C47" s="337" t="s">
        <v>180</v>
      </c>
      <c r="D47" s="338"/>
      <c r="E47" s="338"/>
      <c r="F47" s="338"/>
      <c r="G47" s="339"/>
      <c r="H47" s="340">
        <f>+SUM(H39:H46)</f>
        <v>174352220.04000002</v>
      </c>
      <c r="I47" s="264"/>
      <c r="K47" s="364"/>
      <c r="L47" s="286"/>
      <c r="M47" s="286">
        <f t="shared" si="1"/>
        <v>0</v>
      </c>
      <c r="N47" s="350"/>
      <c r="O47" s="286"/>
      <c r="P47" s="287"/>
      <c r="Q47" s="272"/>
      <c r="R47" s="272"/>
      <c r="S47" s="263"/>
      <c r="T47" s="263"/>
      <c r="U47" s="263"/>
    </row>
    <row r="48" spans="2:21" ht="16.5" thickBot="1">
      <c r="B48" s="262"/>
      <c r="C48" s="332"/>
      <c r="D48" s="333"/>
      <c r="E48" s="334"/>
      <c r="F48" s="335"/>
      <c r="G48" s="341"/>
      <c r="H48" s="342"/>
      <c r="I48" s="264"/>
      <c r="K48" s="364"/>
      <c r="L48" s="286"/>
      <c r="M48" s="286">
        <f t="shared" si="1"/>
        <v>0</v>
      </c>
      <c r="N48" s="350"/>
      <c r="O48" s="286"/>
      <c r="P48" s="287"/>
      <c r="Q48" s="272"/>
      <c r="R48" s="272"/>
      <c r="S48" s="263"/>
      <c r="T48" s="263"/>
      <c r="U48" s="263"/>
    </row>
    <row r="49" spans="2:21" ht="16.5" thickBot="1">
      <c r="B49" s="262"/>
      <c r="C49" s="345">
        <v>4</v>
      </c>
      <c r="D49" s="346" t="s">
        <v>124</v>
      </c>
      <c r="E49" s="347"/>
      <c r="F49" s="347"/>
      <c r="G49" s="347"/>
      <c r="H49" s="348"/>
      <c r="I49" s="264"/>
      <c r="K49" s="364"/>
      <c r="L49" s="286"/>
      <c r="M49" s="286">
        <f t="shared" si="1"/>
        <v>0</v>
      </c>
      <c r="N49" s="350"/>
      <c r="O49" s="286"/>
      <c r="P49" s="287"/>
      <c r="Q49" s="272"/>
      <c r="R49" s="272"/>
      <c r="S49" s="263"/>
      <c r="T49" s="263"/>
      <c r="U49" s="263"/>
    </row>
    <row r="50" spans="2:21" ht="31.5">
      <c r="B50" s="262"/>
      <c r="C50" s="343">
        <v>4.01</v>
      </c>
      <c r="D50" s="330" t="s">
        <v>125</v>
      </c>
      <c r="E50" s="344" t="s">
        <v>173</v>
      </c>
      <c r="F50" s="526">
        <f>+VLOOKUP(C50,'MC 2-3-4'!V:W,2,FALSE)</f>
        <v>128</v>
      </c>
      <c r="G50" s="527">
        <f>+VLOOKUP(C50,'CAP 2-3-4'!D:R,15,FALSE)</f>
        <v>24471</v>
      </c>
      <c r="H50" s="285">
        <f t="shared" si="0"/>
        <v>3132288</v>
      </c>
      <c r="I50" s="264"/>
      <c r="K50" s="364" t="s">
        <v>224</v>
      </c>
      <c r="L50" s="286">
        <v>24471</v>
      </c>
      <c r="M50" s="286">
        <f t="shared" si="1"/>
        <v>0</v>
      </c>
      <c r="N50" s="350"/>
      <c r="O50" s="286"/>
      <c r="P50" s="287"/>
      <c r="Q50" s="272"/>
      <c r="R50" s="272"/>
      <c r="S50" s="263"/>
      <c r="T50" s="263"/>
      <c r="U50" s="263"/>
    </row>
    <row r="51" spans="2:21" ht="31.5">
      <c r="B51" s="262"/>
      <c r="C51" s="343">
        <v>4.0199999999999996</v>
      </c>
      <c r="D51" s="330" t="s">
        <v>126</v>
      </c>
      <c r="E51" s="344" t="s">
        <v>156</v>
      </c>
      <c r="F51" s="526">
        <f>+VLOOKUP(C51,'MC 2-3-4'!V:W,2,FALSE)</f>
        <v>37</v>
      </c>
      <c r="G51" s="527">
        <f>+VLOOKUP(C51,'CAP 2-3-4'!D:R,15,FALSE)</f>
        <v>77838</v>
      </c>
      <c r="H51" s="285">
        <f t="shared" si="0"/>
        <v>2880006</v>
      </c>
      <c r="I51" s="264"/>
      <c r="K51" s="364" t="s">
        <v>225</v>
      </c>
      <c r="L51" s="286">
        <v>77838</v>
      </c>
      <c r="M51" s="286">
        <f t="shared" si="1"/>
        <v>0</v>
      </c>
      <c r="N51" s="350"/>
      <c r="O51" s="286"/>
      <c r="P51" s="287"/>
      <c r="Q51" s="272"/>
      <c r="R51" s="272"/>
      <c r="S51" s="263"/>
      <c r="T51" s="263"/>
      <c r="U51" s="263"/>
    </row>
    <row r="52" spans="2:21">
      <c r="B52" s="262"/>
      <c r="C52" s="343">
        <v>4.03</v>
      </c>
      <c r="D52" s="330" t="s">
        <v>127</v>
      </c>
      <c r="E52" s="344" t="s">
        <v>173</v>
      </c>
      <c r="F52" s="526">
        <f>+VLOOKUP(C52,'MC 2-3-4'!V:W,2,FALSE)</f>
        <v>24.6</v>
      </c>
      <c r="G52" s="527">
        <f>+VLOOKUP(C52,'CAP 2-3-4'!D:R,15,FALSE)</f>
        <v>60892</v>
      </c>
      <c r="H52" s="285">
        <f t="shared" si="0"/>
        <v>1497943.2</v>
      </c>
      <c r="I52" s="264"/>
      <c r="K52" s="364" t="s">
        <v>226</v>
      </c>
      <c r="L52" s="286">
        <v>60892</v>
      </c>
      <c r="M52" s="286">
        <f t="shared" si="1"/>
        <v>0</v>
      </c>
      <c r="N52" s="350"/>
      <c r="O52" s="286"/>
      <c r="P52" s="287"/>
      <c r="Q52" s="272"/>
      <c r="R52" s="272"/>
      <c r="S52" s="263"/>
      <c r="T52" s="263"/>
      <c r="U52" s="263"/>
    </row>
    <row r="53" spans="2:21">
      <c r="B53" s="262"/>
      <c r="C53" s="343">
        <v>4.04</v>
      </c>
      <c r="D53" s="330" t="s">
        <v>128</v>
      </c>
      <c r="E53" s="344" t="s">
        <v>156</v>
      </c>
      <c r="F53" s="526">
        <f>+VLOOKUP(C53,'MC 2-3-4'!V:W,2,FALSE)</f>
        <v>19</v>
      </c>
      <c r="G53" s="527">
        <f>+VLOOKUP(C53,'CAP 2-3-4'!D:R,15,FALSE)</f>
        <v>47432</v>
      </c>
      <c r="H53" s="285">
        <f t="shared" si="0"/>
        <v>901208</v>
      </c>
      <c r="I53" s="264"/>
      <c r="K53" s="364" t="s">
        <v>227</v>
      </c>
      <c r="L53" s="286">
        <v>47432</v>
      </c>
      <c r="M53" s="286">
        <f t="shared" si="1"/>
        <v>0</v>
      </c>
      <c r="N53" s="350"/>
      <c r="O53" s="286"/>
      <c r="P53" s="287"/>
      <c r="Q53" s="272"/>
      <c r="R53" s="272"/>
      <c r="S53" s="263"/>
      <c r="T53" s="263"/>
      <c r="U53" s="263"/>
    </row>
    <row r="54" spans="2:21">
      <c r="B54" s="262"/>
      <c r="C54" s="343">
        <v>4.05</v>
      </c>
      <c r="D54" s="330" t="s">
        <v>129</v>
      </c>
      <c r="E54" s="344" t="s">
        <v>173</v>
      </c>
      <c r="F54" s="526">
        <f>+VLOOKUP(C54,'MC 2-3-4'!V:W,2,FALSE)</f>
        <v>38</v>
      </c>
      <c r="G54" s="527">
        <f>+VLOOKUP(C54,'CAP 2-3-4'!D:R,15,FALSE)</f>
        <v>63984</v>
      </c>
      <c r="H54" s="285">
        <f t="shared" si="0"/>
        <v>2431392</v>
      </c>
      <c r="I54" s="264"/>
      <c r="K54" s="364" t="s">
        <v>228</v>
      </c>
      <c r="L54" s="286">
        <v>63984</v>
      </c>
      <c r="M54" s="286">
        <f t="shared" si="1"/>
        <v>0</v>
      </c>
      <c r="N54" s="350"/>
      <c r="O54" s="286"/>
      <c r="P54" s="287"/>
      <c r="Q54" s="272"/>
      <c r="R54" s="272"/>
      <c r="S54" s="263"/>
      <c r="T54" s="263"/>
      <c r="U54" s="263"/>
    </row>
    <row r="55" spans="2:21">
      <c r="B55" s="262"/>
      <c r="C55" s="343">
        <v>4.0599999999999996</v>
      </c>
      <c r="D55" s="330" t="s">
        <v>130</v>
      </c>
      <c r="E55" s="344" t="s">
        <v>156</v>
      </c>
      <c r="F55" s="526">
        <f>+VLOOKUP(C55,'MC 2-3-4'!V:W,2,FALSE)</f>
        <v>7</v>
      </c>
      <c r="G55" s="527">
        <f>+VLOOKUP(C55,'CAP 2-3-4'!D:R,15,FALSE)</f>
        <v>51944</v>
      </c>
      <c r="H55" s="285">
        <f t="shared" si="0"/>
        <v>363608</v>
      </c>
      <c r="I55" s="264"/>
      <c r="K55" s="364" t="s">
        <v>229</v>
      </c>
      <c r="L55" s="286">
        <v>51944</v>
      </c>
      <c r="M55" s="286">
        <f t="shared" si="1"/>
        <v>0</v>
      </c>
      <c r="N55" s="350"/>
      <c r="O55" s="286"/>
      <c r="P55" s="287"/>
      <c r="Q55" s="272"/>
      <c r="R55" s="272"/>
      <c r="S55" s="263"/>
      <c r="T55" s="263"/>
      <c r="U55" s="263"/>
    </row>
    <row r="56" spans="2:21">
      <c r="B56" s="262"/>
      <c r="C56" s="343">
        <v>4.07</v>
      </c>
      <c r="D56" s="330" t="s">
        <v>131</v>
      </c>
      <c r="E56" s="344" t="s">
        <v>173</v>
      </c>
      <c r="F56" s="526">
        <f>+VLOOKUP(C56,'MC 2-3-4'!V:W,2,FALSE)</f>
        <v>96</v>
      </c>
      <c r="G56" s="527">
        <f>+VLOOKUP(C56,'CAP 2-3-4'!D:R,15,FALSE)</f>
        <v>83609</v>
      </c>
      <c r="H56" s="285">
        <f t="shared" si="0"/>
        <v>8026464</v>
      </c>
      <c r="I56" s="264"/>
      <c r="K56" s="364" t="s">
        <v>230</v>
      </c>
      <c r="L56" s="286">
        <v>83609</v>
      </c>
      <c r="M56" s="286">
        <f t="shared" si="1"/>
        <v>0</v>
      </c>
      <c r="N56" s="350"/>
      <c r="O56" s="286"/>
      <c r="P56" s="287"/>
      <c r="Q56" s="272"/>
      <c r="R56" s="272"/>
      <c r="S56" s="263"/>
      <c r="T56" s="263"/>
      <c r="U56" s="263"/>
    </row>
    <row r="57" spans="2:21" ht="16.5" thickBot="1">
      <c r="B57" s="262"/>
      <c r="C57" s="343">
        <v>4.08</v>
      </c>
      <c r="D57" s="330" t="s">
        <v>132</v>
      </c>
      <c r="E57" s="344" t="s">
        <v>156</v>
      </c>
      <c r="F57" s="526">
        <f>+VLOOKUP(C57,'MC 2-3-4'!V:W,2,FALSE)</f>
        <v>10</v>
      </c>
      <c r="G57" s="527">
        <f>+VLOOKUP(C57,'CAP 2-3-4'!D:R,15,FALSE)</f>
        <v>80199</v>
      </c>
      <c r="H57" s="285">
        <f t="shared" si="0"/>
        <v>801990</v>
      </c>
      <c r="I57" s="264"/>
      <c r="K57" s="364" t="s">
        <v>231</v>
      </c>
      <c r="L57" s="286">
        <v>80199</v>
      </c>
      <c r="M57" s="286">
        <f t="shared" si="1"/>
        <v>0</v>
      </c>
      <c r="N57" s="350"/>
      <c r="O57" s="286"/>
      <c r="P57" s="287"/>
      <c r="Q57" s="272"/>
      <c r="R57" s="272"/>
      <c r="S57" s="263"/>
      <c r="T57" s="263"/>
      <c r="U57" s="263"/>
    </row>
    <row r="58" spans="2:21" ht="16.5" thickBot="1">
      <c r="B58" s="262"/>
      <c r="C58" s="337" t="s">
        <v>180</v>
      </c>
      <c r="D58" s="338"/>
      <c r="E58" s="338"/>
      <c r="F58" s="338"/>
      <c r="G58" s="339"/>
      <c r="H58" s="340">
        <f>+SUM(H50:H57)</f>
        <v>20034899.199999999</v>
      </c>
      <c r="I58" s="264"/>
      <c r="K58" s="286"/>
      <c r="L58" s="286"/>
      <c r="M58" s="286">
        <f t="shared" si="1"/>
        <v>0</v>
      </c>
      <c r="N58" s="350"/>
      <c r="O58" s="286"/>
      <c r="P58" s="287"/>
      <c r="Q58" s="272"/>
      <c r="R58" s="272"/>
      <c r="S58" s="263"/>
      <c r="T58" s="263"/>
      <c r="U58" s="263"/>
    </row>
    <row r="59" spans="2:21" ht="16.5" thickBot="1">
      <c r="B59" s="262"/>
      <c r="C59" s="332"/>
      <c r="D59" s="333"/>
      <c r="E59" s="334"/>
      <c r="F59" s="335"/>
      <c r="G59" s="341"/>
      <c r="H59" s="342"/>
      <c r="I59" s="264"/>
      <c r="K59" s="286"/>
      <c r="L59" s="286"/>
      <c r="M59" s="286">
        <f t="shared" si="1"/>
        <v>0</v>
      </c>
      <c r="N59" s="350"/>
      <c r="O59" s="286"/>
      <c r="P59" s="287"/>
      <c r="Q59" s="272"/>
      <c r="R59" s="272"/>
      <c r="S59" s="263"/>
      <c r="T59" s="263"/>
      <c r="U59" s="263"/>
    </row>
    <row r="60" spans="2:21" ht="16.5" thickBot="1">
      <c r="B60" s="262"/>
      <c r="C60" s="345">
        <v>5</v>
      </c>
      <c r="D60" s="346" t="s">
        <v>133</v>
      </c>
      <c r="E60" s="347"/>
      <c r="F60" s="347"/>
      <c r="G60" s="347"/>
      <c r="H60" s="348"/>
      <c r="I60" s="264"/>
      <c r="K60" s="286"/>
      <c r="L60" s="286"/>
      <c r="M60" s="286">
        <f t="shared" si="1"/>
        <v>0</v>
      </c>
      <c r="N60" s="350"/>
      <c r="O60" s="286"/>
      <c r="P60" s="287"/>
      <c r="Q60" s="272"/>
      <c r="R60" s="272"/>
      <c r="S60" s="263"/>
      <c r="T60" s="263"/>
      <c r="U60" s="263"/>
    </row>
    <row r="61" spans="2:21" ht="31.5">
      <c r="B61" s="262"/>
      <c r="C61" s="343">
        <v>5.01</v>
      </c>
      <c r="D61" s="330" t="s">
        <v>134</v>
      </c>
      <c r="E61" s="344" t="s">
        <v>173</v>
      </c>
      <c r="F61" s="526">
        <f>+VLOOKUP(C61,'MC 5'!U:V,2,FALSE)</f>
        <v>341.62</v>
      </c>
      <c r="G61" s="527">
        <f>+VLOOKUP(C61,'CAP 5-6-7'!D:R,15,FALSE)</f>
        <v>50836</v>
      </c>
      <c r="H61" s="285">
        <f t="shared" si="0"/>
        <v>17366594.32</v>
      </c>
      <c r="I61" s="264"/>
      <c r="K61" s="286" t="s">
        <v>232</v>
      </c>
      <c r="L61" s="286">
        <v>50836</v>
      </c>
      <c r="M61" s="286">
        <f t="shared" si="1"/>
        <v>0</v>
      </c>
      <c r="N61" s="350"/>
      <c r="O61" s="286"/>
      <c r="P61" s="287"/>
      <c r="Q61" s="272"/>
      <c r="R61" s="272"/>
      <c r="S61" s="263"/>
      <c r="T61" s="263"/>
      <c r="U61" s="263"/>
    </row>
    <row r="62" spans="2:21">
      <c r="B62" s="262"/>
      <c r="C62" s="343">
        <v>5.0199999999999996</v>
      </c>
      <c r="D62" s="330" t="s">
        <v>135</v>
      </c>
      <c r="E62" s="344" t="s">
        <v>156</v>
      </c>
      <c r="F62" s="526">
        <f>+VLOOKUP(C62,'MC 5'!U:V,2,FALSE)</f>
        <v>21</v>
      </c>
      <c r="G62" s="527">
        <f>+VLOOKUP(C62,'CAP 5-6-7'!D:R,15,FALSE)</f>
        <v>29906</v>
      </c>
      <c r="H62" s="285">
        <f t="shared" si="0"/>
        <v>628026</v>
      </c>
      <c r="I62" s="264"/>
      <c r="K62" s="286" t="s">
        <v>233</v>
      </c>
      <c r="L62" s="286">
        <v>29906</v>
      </c>
      <c r="M62" s="286">
        <f t="shared" si="1"/>
        <v>0</v>
      </c>
      <c r="N62" s="350"/>
      <c r="O62" s="286"/>
      <c r="P62" s="287"/>
      <c r="Q62" s="272"/>
      <c r="R62" s="272"/>
      <c r="S62" s="263"/>
      <c r="T62" s="263"/>
      <c r="U62" s="263"/>
    </row>
    <row r="63" spans="2:21">
      <c r="B63" s="262"/>
      <c r="C63" s="343">
        <v>5.03</v>
      </c>
      <c r="D63" s="330" t="s">
        <v>136</v>
      </c>
      <c r="E63" s="344" t="s">
        <v>156</v>
      </c>
      <c r="F63" s="526">
        <f>+VLOOKUP(C63,'MC 5'!U:V,2,FALSE)</f>
        <v>11</v>
      </c>
      <c r="G63" s="527">
        <f>+VLOOKUP(C63,'CAP 5-6-7'!D:R,15,FALSE)</f>
        <v>36693</v>
      </c>
      <c r="H63" s="285">
        <f t="shared" si="0"/>
        <v>403623</v>
      </c>
      <c r="I63" s="264"/>
      <c r="K63" s="286" t="s">
        <v>234</v>
      </c>
      <c r="L63" s="286">
        <v>36693</v>
      </c>
      <c r="M63" s="286">
        <f t="shared" si="1"/>
        <v>0</v>
      </c>
      <c r="N63" s="350"/>
      <c r="O63" s="286"/>
      <c r="P63" s="287"/>
      <c r="Q63" s="272"/>
      <c r="R63" s="272"/>
      <c r="S63" s="263"/>
      <c r="T63" s="263"/>
      <c r="U63" s="263"/>
    </row>
    <row r="64" spans="2:21">
      <c r="B64" s="262"/>
      <c r="C64" s="343">
        <v>5.04</v>
      </c>
      <c r="D64" s="330" t="s">
        <v>137</v>
      </c>
      <c r="E64" s="344" t="s">
        <v>156</v>
      </c>
      <c r="F64" s="526">
        <f>+VLOOKUP(C64,'MC 5'!U:V,2,FALSE)</f>
        <v>44</v>
      </c>
      <c r="G64" s="527">
        <f>+VLOOKUP(C64,'CAP 5-6-7'!D:R,15,FALSE)</f>
        <v>57765</v>
      </c>
      <c r="H64" s="285">
        <f t="shared" si="0"/>
        <v>2541660</v>
      </c>
      <c r="I64" s="264"/>
      <c r="K64" s="286" t="s">
        <v>235</v>
      </c>
      <c r="L64" s="286">
        <v>61619</v>
      </c>
      <c r="M64" s="286">
        <f t="shared" si="1"/>
        <v>-3854</v>
      </c>
      <c r="N64" s="350"/>
      <c r="O64" s="286"/>
      <c r="P64" s="287"/>
      <c r="Q64" s="272"/>
      <c r="R64" s="272"/>
      <c r="S64" s="263"/>
      <c r="T64" s="263"/>
      <c r="U64" s="263"/>
    </row>
    <row r="65" spans="2:21" ht="16.5" thickBot="1">
      <c r="B65" s="262"/>
      <c r="C65" s="343">
        <v>5.05</v>
      </c>
      <c r="D65" s="330" t="s">
        <v>138</v>
      </c>
      <c r="E65" s="344" t="s">
        <v>156</v>
      </c>
      <c r="F65" s="526">
        <f>+VLOOKUP(C65,'MC 5'!U:V,2,FALSE)</f>
        <v>37</v>
      </c>
      <c r="G65" s="527">
        <f>+VLOOKUP(C65,'CAP 5-6-7'!D:R,15,FALSE)</f>
        <v>34073</v>
      </c>
      <c r="H65" s="285">
        <f t="shared" si="0"/>
        <v>1260701</v>
      </c>
      <c r="I65" s="264"/>
      <c r="K65" s="286" t="s">
        <v>236</v>
      </c>
      <c r="L65" s="286">
        <v>34073</v>
      </c>
      <c r="M65" s="286">
        <f t="shared" si="1"/>
        <v>0</v>
      </c>
      <c r="N65" s="350"/>
      <c r="O65" s="286"/>
      <c r="P65" s="287"/>
      <c r="Q65" s="272"/>
      <c r="R65" s="272"/>
      <c r="S65" s="263"/>
      <c r="T65" s="263"/>
      <c r="U65" s="263"/>
    </row>
    <row r="66" spans="2:21" ht="16.5" thickBot="1">
      <c r="B66" s="262"/>
      <c r="C66" s="337" t="s">
        <v>180</v>
      </c>
      <c r="D66" s="338"/>
      <c r="E66" s="338"/>
      <c r="F66" s="338"/>
      <c r="G66" s="339"/>
      <c r="H66" s="340">
        <f>+SUM(H61:H65)</f>
        <v>22200604.32</v>
      </c>
      <c r="I66" s="264"/>
      <c r="K66" s="286"/>
      <c r="L66" s="286"/>
      <c r="M66" s="286">
        <f t="shared" si="1"/>
        <v>0</v>
      </c>
      <c r="N66" s="350"/>
      <c r="O66" s="286"/>
      <c r="P66" s="287"/>
      <c r="Q66" s="272"/>
      <c r="R66" s="272"/>
      <c r="S66" s="263"/>
      <c r="T66" s="263"/>
      <c r="U66" s="263"/>
    </row>
    <row r="67" spans="2:21" ht="16.5" thickBot="1">
      <c r="B67" s="262"/>
      <c r="C67" s="332"/>
      <c r="D67" s="333"/>
      <c r="E67" s="334"/>
      <c r="F67" s="335"/>
      <c r="G67" s="341"/>
      <c r="H67" s="342"/>
      <c r="I67" s="264"/>
      <c r="K67" s="286"/>
      <c r="L67" s="286"/>
      <c r="M67" s="286">
        <f t="shared" si="1"/>
        <v>0</v>
      </c>
      <c r="N67" s="350"/>
      <c r="O67" s="286"/>
      <c r="P67" s="287"/>
      <c r="Q67" s="272"/>
      <c r="R67" s="272"/>
      <c r="S67" s="263"/>
      <c r="T67" s="263"/>
      <c r="U67" s="263"/>
    </row>
    <row r="68" spans="2:21" ht="16.5" thickBot="1">
      <c r="B68" s="262"/>
      <c r="C68" s="345">
        <v>6</v>
      </c>
      <c r="D68" s="346" t="s">
        <v>139</v>
      </c>
      <c r="E68" s="347"/>
      <c r="F68" s="347"/>
      <c r="G68" s="347"/>
      <c r="H68" s="348"/>
      <c r="I68" s="264"/>
      <c r="K68" s="286"/>
      <c r="L68" s="286"/>
      <c r="M68" s="286">
        <f t="shared" si="1"/>
        <v>0</v>
      </c>
      <c r="N68" s="350"/>
      <c r="O68" s="286"/>
      <c r="P68" s="287"/>
      <c r="Q68" s="272"/>
      <c r="R68" s="272"/>
      <c r="S68" s="263"/>
      <c r="T68" s="263"/>
      <c r="U68" s="263"/>
    </row>
    <row r="69" spans="2:21">
      <c r="B69" s="262"/>
      <c r="C69" s="343">
        <v>6.01</v>
      </c>
      <c r="D69" s="330" t="s">
        <v>140</v>
      </c>
      <c r="E69" s="344" t="s">
        <v>162</v>
      </c>
      <c r="F69" s="526">
        <f>+VLOOKUP(C69,'MC 5'!U:V,2,FALSE)</f>
        <v>499.26</v>
      </c>
      <c r="G69" s="527">
        <f>+VLOOKUP(C69,'CAP 5-6-7'!D:R,15,FALSE)</f>
        <v>110998</v>
      </c>
      <c r="H69" s="285">
        <f t="shared" si="0"/>
        <v>55416861.479999997</v>
      </c>
      <c r="I69" s="264"/>
      <c r="K69" s="286" t="s">
        <v>237</v>
      </c>
      <c r="L69" s="286">
        <v>110998</v>
      </c>
      <c r="M69" s="286">
        <f t="shared" si="1"/>
        <v>0</v>
      </c>
      <c r="N69" s="350"/>
      <c r="O69" s="286"/>
      <c r="P69" s="287"/>
      <c r="Q69" s="272"/>
      <c r="R69" s="272"/>
      <c r="S69" s="263"/>
      <c r="T69" s="263"/>
      <c r="U69" s="263"/>
    </row>
    <row r="70" spans="2:21">
      <c r="B70" s="262"/>
      <c r="C70" s="343">
        <v>6.02</v>
      </c>
      <c r="D70" s="330" t="s">
        <v>141</v>
      </c>
      <c r="E70" s="344" t="s">
        <v>162</v>
      </c>
      <c r="F70" s="526">
        <f>+VLOOKUP(C70,'MC 5'!U:V,2,FALSE)</f>
        <v>1589.42</v>
      </c>
      <c r="G70" s="527">
        <f>+VLOOKUP(C70,'CAP 5-6-7'!D:R,15,FALSE)</f>
        <v>55661</v>
      </c>
      <c r="H70" s="285">
        <f t="shared" si="0"/>
        <v>88468706.620000005</v>
      </c>
      <c r="I70" s="264"/>
      <c r="K70" s="286" t="s">
        <v>238</v>
      </c>
      <c r="L70" s="286">
        <v>55661</v>
      </c>
      <c r="M70" s="286">
        <f t="shared" si="1"/>
        <v>0</v>
      </c>
      <c r="N70" s="350"/>
      <c r="O70" s="286"/>
      <c r="P70" s="287"/>
      <c r="Q70" s="272"/>
      <c r="R70" s="272"/>
      <c r="S70" s="263"/>
      <c r="T70" s="263"/>
      <c r="U70" s="263"/>
    </row>
    <row r="71" spans="2:21">
      <c r="B71" s="262"/>
      <c r="C71" s="343">
        <v>6.03</v>
      </c>
      <c r="D71" s="330" t="s">
        <v>142</v>
      </c>
      <c r="E71" s="344" t="s">
        <v>162</v>
      </c>
      <c r="F71" s="526">
        <f>+VLOOKUP(C71,'MC 5'!U:V,2,FALSE)</f>
        <v>174.89</v>
      </c>
      <c r="G71" s="527">
        <f>+VLOOKUP(C71,'CAP 5-6-7'!D:R,15,FALSE)</f>
        <v>166700</v>
      </c>
      <c r="H71" s="285">
        <f t="shared" si="0"/>
        <v>29154163</v>
      </c>
      <c r="I71" s="264"/>
      <c r="K71" s="286" t="s">
        <v>239</v>
      </c>
      <c r="L71" s="286">
        <v>166700</v>
      </c>
      <c r="M71" s="286">
        <f t="shared" si="1"/>
        <v>0</v>
      </c>
      <c r="N71" s="350"/>
      <c r="O71" s="286"/>
      <c r="P71" s="287"/>
      <c r="Q71" s="272"/>
      <c r="R71" s="272"/>
      <c r="S71" s="263"/>
      <c r="T71" s="263"/>
      <c r="U71" s="263"/>
    </row>
    <row r="72" spans="2:21" ht="31.5">
      <c r="B72" s="262"/>
      <c r="C72" s="343">
        <v>6.04</v>
      </c>
      <c r="D72" s="330" t="s">
        <v>143</v>
      </c>
      <c r="E72" s="344" t="s">
        <v>162</v>
      </c>
      <c r="F72" s="526">
        <f>+VLOOKUP(C72,'MC 5'!U:V,2,FALSE)</f>
        <v>775.21</v>
      </c>
      <c r="G72" s="527">
        <f>+VLOOKUP(C72,'CAP 5-6-7'!D:R,15,FALSE)</f>
        <v>23979</v>
      </c>
      <c r="H72" s="285">
        <f t="shared" si="0"/>
        <v>18588760.59</v>
      </c>
      <c r="I72" s="264"/>
      <c r="K72" s="286" t="s">
        <v>240</v>
      </c>
      <c r="L72" s="286">
        <v>23963</v>
      </c>
      <c r="M72" s="286">
        <f t="shared" si="1"/>
        <v>16</v>
      </c>
      <c r="N72" s="350"/>
      <c r="O72" s="286"/>
      <c r="P72" s="287"/>
      <c r="Q72" s="272"/>
      <c r="R72" s="272"/>
      <c r="S72" s="263"/>
      <c r="T72" s="263"/>
      <c r="U72" s="263"/>
    </row>
    <row r="73" spans="2:21" ht="31.5">
      <c r="B73" s="262"/>
      <c r="C73" s="343">
        <v>6.05</v>
      </c>
      <c r="D73" s="330" t="s">
        <v>144</v>
      </c>
      <c r="E73" s="344" t="s">
        <v>162</v>
      </c>
      <c r="F73" s="526">
        <f>+VLOOKUP(C73,'MC 5'!U:V,2,FALSE)</f>
        <v>477.77</v>
      </c>
      <c r="G73" s="527">
        <f>+VLOOKUP(C73,'CAP 5-6-7'!D:R,15,FALSE)</f>
        <v>29991</v>
      </c>
      <c r="H73" s="285">
        <f t="shared" si="0"/>
        <v>14328800.07</v>
      </c>
      <c r="I73" s="264"/>
      <c r="K73" s="286" t="s">
        <v>241</v>
      </c>
      <c r="L73" s="286">
        <v>29121</v>
      </c>
      <c r="M73" s="286">
        <f t="shared" si="1"/>
        <v>870</v>
      </c>
      <c r="N73" s="350"/>
      <c r="O73" s="286"/>
      <c r="P73" s="287"/>
      <c r="Q73" s="272"/>
      <c r="R73" s="272"/>
      <c r="S73" s="263"/>
      <c r="T73" s="263"/>
      <c r="U73" s="263"/>
    </row>
    <row r="74" spans="2:21">
      <c r="B74" s="262"/>
      <c r="C74" s="343">
        <v>6.06</v>
      </c>
      <c r="D74" s="330" t="s">
        <v>145</v>
      </c>
      <c r="E74" s="344" t="s">
        <v>162</v>
      </c>
      <c r="F74" s="526">
        <f>+VLOOKUP(C74,'MC 5'!U:V,2,FALSE)</f>
        <v>172.14</v>
      </c>
      <c r="G74" s="527">
        <f>+VLOOKUP(C74,'CAP 5-6-7'!D:R,15,FALSE)</f>
        <v>147896</v>
      </c>
      <c r="H74" s="285">
        <f t="shared" si="0"/>
        <v>25458817.440000001</v>
      </c>
      <c r="I74" s="264"/>
      <c r="K74" s="286" t="s">
        <v>242</v>
      </c>
      <c r="L74" s="286">
        <v>147896</v>
      </c>
      <c r="M74" s="286">
        <f t="shared" si="1"/>
        <v>0</v>
      </c>
      <c r="N74" s="350"/>
      <c r="O74" s="286"/>
      <c r="P74" s="287"/>
      <c r="Q74" s="272"/>
      <c r="R74" s="272"/>
      <c r="S74" s="263"/>
      <c r="T74" s="263"/>
      <c r="U74" s="263"/>
    </row>
    <row r="75" spans="2:21">
      <c r="B75" s="262"/>
      <c r="C75" s="343">
        <v>6.07</v>
      </c>
      <c r="D75" s="330" t="s">
        <v>146</v>
      </c>
      <c r="E75" s="344" t="s">
        <v>162</v>
      </c>
      <c r="F75" s="526">
        <f>+VLOOKUP(C75,'MC 5'!U:V,2,FALSE)</f>
        <v>32.5</v>
      </c>
      <c r="G75" s="527">
        <f>+VLOOKUP(C75,'CAP 5-6-7'!D:R,15,FALSE)</f>
        <v>142204</v>
      </c>
      <c r="H75" s="285">
        <f t="shared" si="0"/>
        <v>4621630</v>
      </c>
      <c r="I75" s="264"/>
      <c r="K75" s="286" t="s">
        <v>243</v>
      </c>
      <c r="L75" s="286">
        <v>142204</v>
      </c>
      <c r="M75" s="286">
        <f t="shared" ref="M75:M98" si="3">+G75-L75</f>
        <v>0</v>
      </c>
      <c r="N75" s="350"/>
      <c r="O75" s="286"/>
      <c r="P75" s="287"/>
      <c r="Q75" s="272"/>
      <c r="R75" s="272"/>
      <c r="S75" s="263"/>
      <c r="T75" s="263"/>
      <c r="U75" s="263"/>
    </row>
    <row r="76" spans="2:21" ht="16.5" thickBot="1">
      <c r="B76" s="262"/>
      <c r="C76" s="343">
        <v>6.08</v>
      </c>
      <c r="D76" s="330" t="s">
        <v>147</v>
      </c>
      <c r="E76" s="344" t="s">
        <v>173</v>
      </c>
      <c r="F76" s="526">
        <f>+VLOOKUP(C76,'MC 5'!U:V,2,FALSE)</f>
        <v>160.96</v>
      </c>
      <c r="G76" s="527">
        <f>+VLOOKUP(C76,'CAP 5-6-7'!D:R,15,FALSE)</f>
        <v>25699</v>
      </c>
      <c r="H76" s="285">
        <f t="shared" si="0"/>
        <v>4136511.04</v>
      </c>
      <c r="I76" s="264"/>
      <c r="K76" s="286" t="s">
        <v>244</v>
      </c>
      <c r="L76" s="286">
        <v>25699</v>
      </c>
      <c r="M76" s="286">
        <f t="shared" si="3"/>
        <v>0</v>
      </c>
      <c r="N76" s="350"/>
      <c r="O76" s="286"/>
      <c r="P76" s="287"/>
      <c r="Q76" s="272"/>
      <c r="R76" s="272"/>
      <c r="S76" s="263"/>
      <c r="T76" s="263"/>
      <c r="U76" s="263"/>
    </row>
    <row r="77" spans="2:21" ht="16.5" thickBot="1">
      <c r="B77" s="262"/>
      <c r="C77" s="337" t="s">
        <v>180</v>
      </c>
      <c r="D77" s="338"/>
      <c r="E77" s="338"/>
      <c r="F77" s="338"/>
      <c r="G77" s="339"/>
      <c r="H77" s="340">
        <f>+SUM(H69:H76)</f>
        <v>240174250.23999998</v>
      </c>
      <c r="I77" s="264"/>
      <c r="K77" s="286"/>
      <c r="L77" s="286"/>
      <c r="M77" s="286">
        <f t="shared" si="3"/>
        <v>0</v>
      </c>
      <c r="N77" s="350"/>
      <c r="O77" s="286"/>
      <c r="P77" s="287"/>
      <c r="Q77" s="272"/>
      <c r="R77" s="272"/>
      <c r="S77" s="263"/>
      <c r="T77" s="263"/>
      <c r="U77" s="263"/>
    </row>
    <row r="78" spans="2:21" ht="16.5" thickBot="1">
      <c r="B78" s="262"/>
      <c r="C78" s="332"/>
      <c r="D78" s="333"/>
      <c r="E78" s="334"/>
      <c r="F78" s="335"/>
      <c r="G78" s="341"/>
      <c r="H78" s="342"/>
      <c r="I78" s="264"/>
      <c r="K78" s="286"/>
      <c r="L78" s="286"/>
      <c r="M78" s="286">
        <f t="shared" si="3"/>
        <v>0</v>
      </c>
      <c r="N78" s="350"/>
      <c r="O78" s="286"/>
      <c r="P78" s="287"/>
      <c r="Q78" s="272"/>
      <c r="R78" s="272"/>
      <c r="S78" s="263"/>
      <c r="T78" s="263"/>
      <c r="U78" s="263"/>
    </row>
    <row r="79" spans="2:21" ht="16.5" thickBot="1">
      <c r="B79" s="262"/>
      <c r="C79" s="345">
        <v>7</v>
      </c>
      <c r="D79" s="346" t="s">
        <v>204</v>
      </c>
      <c r="E79" s="347"/>
      <c r="F79" s="347"/>
      <c r="G79" s="347"/>
      <c r="H79" s="348"/>
      <c r="I79" s="264"/>
      <c r="K79" s="286"/>
      <c r="L79" s="286"/>
      <c r="M79" s="286">
        <f t="shared" si="3"/>
        <v>0</v>
      </c>
      <c r="N79" s="350"/>
      <c r="O79" s="286"/>
      <c r="P79" s="287"/>
      <c r="Q79" s="272"/>
      <c r="R79" s="272"/>
      <c r="S79" s="263"/>
      <c r="T79" s="263"/>
      <c r="U79" s="263"/>
    </row>
    <row r="80" spans="2:21">
      <c r="B80" s="262"/>
      <c r="C80" s="282">
        <v>7.01</v>
      </c>
      <c r="D80" s="283" t="s">
        <v>149</v>
      </c>
      <c r="E80" s="284" t="s">
        <v>173</v>
      </c>
      <c r="F80" s="526">
        <f>+VLOOKUP(C80,'MC 5'!U:V,2,FALSE)</f>
        <v>1399.87</v>
      </c>
      <c r="G80" s="527">
        <f>+VLOOKUP(C80,'CAP 5-6-7'!D:R,15,FALSE)</f>
        <v>59674</v>
      </c>
      <c r="H80" s="285">
        <f t="shared" si="0"/>
        <v>83535842.379999995</v>
      </c>
      <c r="I80" s="264"/>
      <c r="K80" s="286" t="s">
        <v>245</v>
      </c>
      <c r="L80" s="286">
        <v>67740</v>
      </c>
      <c r="M80" s="286">
        <f t="shared" si="3"/>
        <v>-8066</v>
      </c>
      <c r="N80" s="350"/>
      <c r="O80" s="286"/>
      <c r="P80" s="287"/>
      <c r="Q80" s="272"/>
      <c r="R80" s="272"/>
      <c r="S80" s="263"/>
      <c r="T80" s="263"/>
      <c r="U80" s="263"/>
    </row>
    <row r="81" spans="2:21">
      <c r="B81" s="262"/>
      <c r="C81" s="282">
        <v>7.02</v>
      </c>
      <c r="D81" s="283" t="s">
        <v>150</v>
      </c>
      <c r="E81" s="284" t="s">
        <v>173</v>
      </c>
      <c r="F81" s="526">
        <f>+VLOOKUP(C81,'MC 5'!U:V,2,FALSE)</f>
        <v>193.71</v>
      </c>
      <c r="G81" s="527">
        <f>+VLOOKUP(C81,'CAP 5-6-7'!D:R,15,FALSE)</f>
        <v>79465</v>
      </c>
      <c r="H81" s="285">
        <f t="shared" si="0"/>
        <v>15393165.15</v>
      </c>
      <c r="I81" s="264"/>
      <c r="K81" s="286" t="s">
        <v>246</v>
      </c>
      <c r="L81" s="286">
        <v>79453</v>
      </c>
      <c r="M81" s="286">
        <f t="shared" si="3"/>
        <v>12</v>
      </c>
      <c r="N81" s="350"/>
      <c r="O81" s="286"/>
      <c r="P81" s="287"/>
      <c r="Q81" s="272"/>
      <c r="R81" s="272"/>
      <c r="S81" s="263"/>
      <c r="T81" s="263"/>
      <c r="U81" s="263"/>
    </row>
    <row r="82" spans="2:21">
      <c r="B82" s="262"/>
      <c r="C82" s="282">
        <v>7.03</v>
      </c>
      <c r="D82" s="283" t="s">
        <v>151</v>
      </c>
      <c r="E82" s="284" t="s">
        <v>173</v>
      </c>
      <c r="F82" s="526">
        <f>+VLOOKUP(C82,'MC 5'!U:V,2,FALSE)</f>
        <v>57.6</v>
      </c>
      <c r="G82" s="527">
        <f>+VLOOKUP(C82,'CAP 5-6-7'!D:R,15,FALSE)</f>
        <v>36885</v>
      </c>
      <c r="H82" s="285">
        <f t="shared" si="0"/>
        <v>2124576</v>
      </c>
      <c r="I82" s="264"/>
      <c r="K82" s="286" t="s">
        <v>247</v>
      </c>
      <c r="L82" s="286">
        <v>42000</v>
      </c>
      <c r="M82" s="286">
        <f t="shared" si="3"/>
        <v>-5115</v>
      </c>
      <c r="N82" s="350"/>
      <c r="O82" s="286"/>
      <c r="P82" s="287"/>
      <c r="Q82" s="272"/>
      <c r="R82" s="272"/>
      <c r="S82" s="263"/>
      <c r="T82" s="263"/>
      <c r="U82" s="263"/>
    </row>
    <row r="83" spans="2:21" ht="31.5">
      <c r="B83" s="262"/>
      <c r="C83" s="282">
        <v>7.04</v>
      </c>
      <c r="D83" s="283" t="s">
        <v>152</v>
      </c>
      <c r="E83" s="284" t="s">
        <v>162</v>
      </c>
      <c r="F83" s="526">
        <f>+VLOOKUP(C83,'MC 5'!U:V,2,FALSE)</f>
        <v>1439.84</v>
      </c>
      <c r="G83" s="527">
        <f>+VLOOKUP(C83,'CAP 5-6-7'!D:R,15,FALSE)</f>
        <v>84966</v>
      </c>
      <c r="H83" s="285">
        <f t="shared" si="0"/>
        <v>122337445.44</v>
      </c>
      <c r="I83" s="264"/>
      <c r="K83" s="286" t="s">
        <v>248</v>
      </c>
      <c r="L83" s="286">
        <v>90128</v>
      </c>
      <c r="M83" s="286">
        <f t="shared" si="3"/>
        <v>-5162</v>
      </c>
      <c r="N83" s="350"/>
      <c r="O83" s="286"/>
      <c r="P83" s="287"/>
      <c r="Q83" s="272"/>
      <c r="R83" s="272"/>
      <c r="S83" s="263"/>
      <c r="T83" s="263"/>
      <c r="U83" s="263"/>
    </row>
    <row r="84" spans="2:21" ht="16.5" thickBot="1">
      <c r="B84" s="262"/>
      <c r="C84" s="282">
        <v>7.05</v>
      </c>
      <c r="D84" s="283" t="s">
        <v>153</v>
      </c>
      <c r="E84" s="284" t="s">
        <v>173</v>
      </c>
      <c r="F84" s="526">
        <f>+VLOOKUP(C84,'MC 5'!U:V,2,FALSE)</f>
        <v>105.29</v>
      </c>
      <c r="G84" s="527">
        <f>+VLOOKUP(C84,'CAP 5-6-7'!D:R,15,FALSE)</f>
        <v>74019</v>
      </c>
      <c r="H84" s="285">
        <f t="shared" si="0"/>
        <v>7793460.5099999998</v>
      </c>
      <c r="I84" s="264"/>
      <c r="K84" s="286" t="s">
        <v>249</v>
      </c>
      <c r="L84" s="286">
        <v>74019</v>
      </c>
      <c r="M84" s="286">
        <f t="shared" si="3"/>
        <v>0</v>
      </c>
      <c r="N84" s="350"/>
      <c r="O84" s="286"/>
      <c r="P84" s="287"/>
      <c r="Q84" s="272"/>
      <c r="R84" s="272"/>
      <c r="S84" s="263"/>
      <c r="T84" s="263"/>
      <c r="U84" s="263"/>
    </row>
    <row r="85" spans="2:21" ht="16.5" thickBot="1">
      <c r="B85" s="262"/>
      <c r="C85" s="337" t="s">
        <v>180</v>
      </c>
      <c r="D85" s="338"/>
      <c r="E85" s="338"/>
      <c r="F85" s="338"/>
      <c r="G85" s="339"/>
      <c r="H85" s="340">
        <f>+SUM(H80:H84)</f>
        <v>231184489.47999999</v>
      </c>
      <c r="I85" s="264"/>
      <c r="K85" s="286"/>
      <c r="L85" s="286"/>
      <c r="M85" s="286">
        <f t="shared" si="3"/>
        <v>0</v>
      </c>
      <c r="N85" s="350"/>
      <c r="O85" s="286"/>
      <c r="P85" s="287"/>
      <c r="Q85" s="272"/>
      <c r="R85" s="272"/>
      <c r="S85" s="263"/>
      <c r="T85" s="263"/>
      <c r="U85" s="263"/>
    </row>
    <row r="86" spans="2:21" ht="16.5" thickBot="1">
      <c r="B86" s="515"/>
      <c r="C86" s="516"/>
      <c r="D86" s="517"/>
      <c r="E86" s="518"/>
      <c r="F86" s="519"/>
      <c r="G86" s="520"/>
      <c r="H86" s="521"/>
      <c r="I86" s="522"/>
      <c r="K86" s="286"/>
      <c r="L86" s="286"/>
      <c r="M86" s="286">
        <f t="shared" si="3"/>
        <v>0</v>
      </c>
      <c r="N86" s="350"/>
      <c r="O86" s="286"/>
      <c r="P86" s="287"/>
      <c r="Q86" s="272"/>
      <c r="R86" s="272"/>
      <c r="S86" s="263"/>
      <c r="T86" s="263"/>
      <c r="U86" s="263"/>
    </row>
    <row r="87" spans="2:21" ht="17.25" thickTop="1" thickBot="1">
      <c r="B87" s="262"/>
      <c r="C87" s="514"/>
      <c r="D87" s="333"/>
      <c r="E87" s="334"/>
      <c r="F87" s="335"/>
      <c r="G87" s="341"/>
      <c r="H87" s="513"/>
      <c r="I87" s="264"/>
      <c r="K87" s="286"/>
      <c r="L87" s="286"/>
      <c r="M87" s="286"/>
      <c r="N87" s="350"/>
      <c r="O87" s="286"/>
      <c r="P87" s="287"/>
      <c r="Q87" s="272"/>
      <c r="R87" s="272"/>
      <c r="S87" s="263"/>
      <c r="T87" s="263"/>
      <c r="U87" s="263"/>
    </row>
    <row r="88" spans="2:21" ht="16.5" thickBot="1">
      <c r="B88" s="262"/>
      <c r="C88" s="345">
        <v>8</v>
      </c>
      <c r="D88" s="346" t="s">
        <v>154</v>
      </c>
      <c r="E88" s="347"/>
      <c r="F88" s="347"/>
      <c r="G88" s="347"/>
      <c r="H88" s="348"/>
      <c r="I88" s="264"/>
      <c r="K88" s="286"/>
      <c r="L88" s="286"/>
      <c r="M88" s="286">
        <f t="shared" si="3"/>
        <v>0</v>
      </c>
      <c r="N88" s="350"/>
      <c r="O88" s="286"/>
      <c r="P88" s="287"/>
      <c r="Q88" s="272"/>
      <c r="R88" s="272"/>
      <c r="S88" s="263"/>
      <c r="T88" s="263"/>
      <c r="U88" s="263"/>
    </row>
    <row r="89" spans="2:21">
      <c r="B89" s="262"/>
      <c r="C89" s="282">
        <v>8.01</v>
      </c>
      <c r="D89" s="283" t="s">
        <v>155</v>
      </c>
      <c r="E89" s="284" t="s">
        <v>156</v>
      </c>
      <c r="F89" s="526">
        <f>+VLOOKUP(C89,'MC 5'!U:V,2,FALSE)</f>
        <v>11</v>
      </c>
      <c r="G89" s="527">
        <f>+VLOOKUP(C89,'CAP 8-9'!D:R,15,FALSE)</f>
        <v>626441</v>
      </c>
      <c r="H89" s="285">
        <f t="shared" si="0"/>
        <v>6890851</v>
      </c>
      <c r="I89" s="264"/>
      <c r="K89" s="286" t="s">
        <v>250</v>
      </c>
      <c r="L89" s="286">
        <v>626441</v>
      </c>
      <c r="M89" s="286">
        <f t="shared" si="3"/>
        <v>0</v>
      </c>
      <c r="N89" s="350"/>
      <c r="O89" s="286"/>
      <c r="P89" s="287"/>
      <c r="Q89" s="272"/>
      <c r="R89" s="272"/>
      <c r="S89" s="263"/>
      <c r="T89" s="263"/>
      <c r="U89" s="263"/>
    </row>
    <row r="90" spans="2:21" ht="31.5">
      <c r="B90" s="262"/>
      <c r="C90" s="282">
        <v>8.02</v>
      </c>
      <c r="D90" s="283" t="s">
        <v>157</v>
      </c>
      <c r="E90" s="284" t="s">
        <v>156</v>
      </c>
      <c r="F90" s="526">
        <f>+VLOOKUP(C90,'MC 5'!U:V,2,FALSE)</f>
        <v>11</v>
      </c>
      <c r="G90" s="527">
        <f>+VLOOKUP(C90,'CAP 8-9'!D:R,15,FALSE)</f>
        <v>241930</v>
      </c>
      <c r="H90" s="285">
        <f t="shared" si="0"/>
        <v>2661230</v>
      </c>
      <c r="I90" s="264"/>
      <c r="K90" s="286" t="s">
        <v>251</v>
      </c>
      <c r="L90" s="286">
        <v>241930</v>
      </c>
      <c r="M90" s="286">
        <f t="shared" si="3"/>
        <v>0</v>
      </c>
      <c r="N90" s="350"/>
      <c r="O90" s="286"/>
      <c r="P90" s="287"/>
      <c r="Q90" s="272"/>
      <c r="R90" s="272"/>
      <c r="S90" s="263"/>
      <c r="T90" s="263"/>
      <c r="U90" s="263"/>
    </row>
    <row r="91" spans="2:21">
      <c r="B91" s="262"/>
      <c r="C91" s="282">
        <v>8.0299999999999994</v>
      </c>
      <c r="D91" s="283" t="s">
        <v>158</v>
      </c>
      <c r="E91" s="284" t="s">
        <v>156</v>
      </c>
      <c r="F91" s="526">
        <f>+VLOOKUP(C91,'MC 5'!U:V,2,FALSE)</f>
        <v>11</v>
      </c>
      <c r="G91" s="527">
        <f>+VLOOKUP(C91,'CAP 8-9'!D:R,15,FALSE)</f>
        <v>199044</v>
      </c>
      <c r="H91" s="285">
        <f t="shared" si="0"/>
        <v>2189484</v>
      </c>
      <c r="I91" s="264"/>
      <c r="K91" s="286" t="s">
        <v>252</v>
      </c>
      <c r="L91" s="286">
        <v>199044</v>
      </c>
      <c r="M91" s="286">
        <f t="shared" si="3"/>
        <v>0</v>
      </c>
      <c r="N91" s="350"/>
      <c r="O91" s="286"/>
      <c r="P91" s="287"/>
      <c r="Q91" s="272"/>
      <c r="R91" s="272"/>
      <c r="S91" s="263"/>
      <c r="T91" s="263"/>
      <c r="U91" s="263"/>
    </row>
    <row r="92" spans="2:21" ht="16.5" thickBot="1">
      <c r="B92" s="262"/>
      <c r="C92" s="282">
        <v>8.0399999999999991</v>
      </c>
      <c r="D92" s="283" t="s">
        <v>159</v>
      </c>
      <c r="E92" s="284" t="s">
        <v>156</v>
      </c>
      <c r="F92" s="526">
        <f>+VLOOKUP(C92,'MC 5'!U:V,2,FALSE)</f>
        <v>7</v>
      </c>
      <c r="G92" s="527">
        <f>+VLOOKUP(C92,'CAP 8-9'!D:R,15,FALSE)</f>
        <v>264192</v>
      </c>
      <c r="H92" s="285">
        <f t="shared" si="0"/>
        <v>1849344</v>
      </c>
      <c r="I92" s="264"/>
      <c r="K92" s="286" t="s">
        <v>253</v>
      </c>
      <c r="L92" s="286">
        <v>264192</v>
      </c>
      <c r="M92" s="286">
        <f t="shared" si="3"/>
        <v>0</v>
      </c>
      <c r="N92" s="350"/>
      <c r="O92" s="286"/>
      <c r="P92" s="287"/>
      <c r="Q92" s="272"/>
      <c r="R92" s="272"/>
      <c r="S92" s="263"/>
      <c r="T92" s="263"/>
      <c r="U92" s="263"/>
    </row>
    <row r="93" spans="2:21" ht="16.5" thickBot="1">
      <c r="B93" s="262"/>
      <c r="C93" s="337" t="s">
        <v>180</v>
      </c>
      <c r="D93" s="338"/>
      <c r="E93" s="338"/>
      <c r="F93" s="338"/>
      <c r="G93" s="339"/>
      <c r="H93" s="340">
        <f>+SUM(H89:H92)</f>
        <v>13590909</v>
      </c>
      <c r="I93" s="264"/>
      <c r="K93" s="286"/>
      <c r="L93" s="286"/>
      <c r="M93" s="286">
        <f t="shared" si="3"/>
        <v>0</v>
      </c>
      <c r="N93" s="350"/>
      <c r="O93" s="286"/>
      <c r="P93" s="287"/>
      <c r="Q93" s="272"/>
      <c r="R93" s="272"/>
      <c r="S93" s="263"/>
      <c r="T93" s="263"/>
      <c r="U93" s="263"/>
    </row>
    <row r="94" spans="2:21" ht="16.5" thickBot="1">
      <c r="B94" s="262"/>
      <c r="C94" s="332"/>
      <c r="D94" s="333"/>
      <c r="E94" s="334"/>
      <c r="F94" s="335"/>
      <c r="G94" s="341"/>
      <c r="H94" s="342"/>
      <c r="I94" s="264"/>
      <c r="K94" s="286"/>
      <c r="L94" s="286"/>
      <c r="M94" s="286">
        <f t="shared" si="3"/>
        <v>0</v>
      </c>
      <c r="N94" s="350"/>
      <c r="O94" s="286"/>
      <c r="P94" s="287"/>
      <c r="Q94" s="272"/>
      <c r="R94" s="272"/>
      <c r="S94" s="263"/>
      <c r="T94" s="263"/>
      <c r="U94" s="263"/>
    </row>
    <row r="95" spans="2:21" ht="16.5" thickBot="1">
      <c r="B95" s="262"/>
      <c r="C95" s="345">
        <v>9</v>
      </c>
      <c r="D95" s="346" t="s">
        <v>160</v>
      </c>
      <c r="E95" s="347"/>
      <c r="F95" s="347"/>
      <c r="G95" s="347"/>
      <c r="H95" s="348"/>
      <c r="I95" s="264"/>
      <c r="K95" s="286"/>
      <c r="L95" s="286"/>
      <c r="M95" s="286">
        <f t="shared" si="3"/>
        <v>0</v>
      </c>
      <c r="N95" s="350"/>
      <c r="O95" s="286"/>
      <c r="P95" s="287"/>
      <c r="Q95" s="272"/>
      <c r="R95" s="272"/>
      <c r="S95" s="263"/>
      <c r="T95" s="263"/>
      <c r="U95" s="263"/>
    </row>
    <row r="96" spans="2:21">
      <c r="B96" s="262"/>
      <c r="C96" s="282">
        <v>9.01</v>
      </c>
      <c r="D96" s="283" t="s">
        <v>161</v>
      </c>
      <c r="E96" s="284" t="s">
        <v>162</v>
      </c>
      <c r="F96" s="526">
        <f>+VLOOKUP(C96,'MC 5'!U:V,2,FALSE)</f>
        <v>38.24</v>
      </c>
      <c r="G96" s="527">
        <f>+VLOOKUP(C96,'CAP 8-9'!D:R,15,FALSE)</f>
        <v>442755</v>
      </c>
      <c r="H96" s="285">
        <f t="shared" si="0"/>
        <v>16930951.199999999</v>
      </c>
      <c r="I96" s="264"/>
      <c r="K96" s="286" t="s">
        <v>254</v>
      </c>
      <c r="L96" s="286">
        <v>427691</v>
      </c>
      <c r="M96" s="286">
        <f t="shared" si="3"/>
        <v>15064</v>
      </c>
      <c r="N96" s="350"/>
      <c r="O96" s="286"/>
      <c r="P96" s="287"/>
      <c r="Q96" s="272"/>
      <c r="R96" s="272"/>
      <c r="S96" s="263"/>
      <c r="T96" s="263"/>
      <c r="U96" s="263"/>
    </row>
    <row r="97" spans="2:21" ht="31.5">
      <c r="B97" s="262"/>
      <c r="C97" s="282">
        <v>9.02</v>
      </c>
      <c r="D97" s="283" t="s">
        <v>163</v>
      </c>
      <c r="E97" s="284" t="s">
        <v>162</v>
      </c>
      <c r="F97" s="526">
        <f>+VLOOKUP(C97,'MC 5'!U:V,2,FALSE)</f>
        <v>23.2</v>
      </c>
      <c r="G97" s="527">
        <f>+VLOOKUP(C97,'CAP 8-9'!D:R,15,FALSE)</f>
        <v>472611</v>
      </c>
      <c r="H97" s="285">
        <f t="shared" si="0"/>
        <v>10964575.199999999</v>
      </c>
      <c r="I97" s="264"/>
      <c r="K97" s="286" t="s">
        <v>255</v>
      </c>
      <c r="L97" s="286">
        <v>461393</v>
      </c>
      <c r="M97" s="286">
        <f t="shared" si="3"/>
        <v>11218</v>
      </c>
      <c r="N97" s="350"/>
      <c r="O97" s="286"/>
      <c r="P97" s="287"/>
      <c r="Q97" s="272"/>
      <c r="R97" s="272"/>
      <c r="S97" s="263"/>
      <c r="T97" s="263"/>
      <c r="U97" s="263"/>
    </row>
    <row r="98" spans="2:21" ht="32.25" thickBot="1">
      <c r="B98" s="262"/>
      <c r="C98" s="282">
        <v>9.0299999999999994</v>
      </c>
      <c r="D98" s="283" t="s">
        <v>367</v>
      </c>
      <c r="E98" s="284" t="s">
        <v>173</v>
      </c>
      <c r="F98" s="526">
        <f>+VLOOKUP(C98,'MC 5'!U:V,2,FALSE)</f>
        <v>40.9</v>
      </c>
      <c r="G98" s="527">
        <f>+VLOOKUP(C98,'CAP 8-9'!D:R,15,FALSE)</f>
        <v>78380</v>
      </c>
      <c r="H98" s="285">
        <f t="shared" si="0"/>
        <v>3205742</v>
      </c>
      <c r="I98" s="264"/>
      <c r="K98" s="286" t="s">
        <v>256</v>
      </c>
      <c r="L98" s="286">
        <v>62660</v>
      </c>
      <c r="M98" s="286">
        <f t="shared" si="3"/>
        <v>15720</v>
      </c>
      <c r="N98" s="350"/>
      <c r="O98" s="286"/>
      <c r="P98" s="287"/>
      <c r="Q98" s="272"/>
      <c r="R98" s="272"/>
      <c r="S98" s="263"/>
      <c r="T98" s="263"/>
      <c r="U98" s="263"/>
    </row>
    <row r="99" spans="2:21" ht="16.5" thickBot="1">
      <c r="B99" s="262"/>
      <c r="C99" s="337" t="s">
        <v>180</v>
      </c>
      <c r="D99" s="338"/>
      <c r="E99" s="338"/>
      <c r="F99" s="338"/>
      <c r="G99" s="339"/>
      <c r="H99" s="340">
        <f>+SUM(H96:H98)</f>
        <v>31101268.399999999</v>
      </c>
      <c r="I99" s="264"/>
      <c r="K99" s="286"/>
      <c r="L99" s="286"/>
      <c r="M99" s="350"/>
      <c r="N99" s="535">
        <f>+H105-H103</f>
        <v>834002729.54000008</v>
      </c>
      <c r="O99" s="286"/>
      <c r="P99" s="287"/>
      <c r="Q99" s="272"/>
      <c r="R99" s="272"/>
      <c r="S99" s="263"/>
      <c r="T99" s="263"/>
      <c r="U99" s="263"/>
    </row>
    <row r="100" spans="2:21" ht="16.5" thickBot="1">
      <c r="B100" s="262"/>
      <c r="C100" s="337"/>
      <c r="D100" s="338"/>
      <c r="E100" s="338"/>
      <c r="F100" s="338"/>
      <c r="G100" s="338"/>
      <c r="H100" s="381"/>
      <c r="I100" s="264"/>
      <c r="K100" s="286"/>
      <c r="L100" s="286"/>
      <c r="M100" s="350"/>
      <c r="N100" s="350"/>
      <c r="O100" s="286"/>
      <c r="P100" s="287"/>
      <c r="Q100" s="272"/>
      <c r="R100" s="272"/>
      <c r="S100" s="263"/>
      <c r="T100" s="263"/>
      <c r="U100" s="263"/>
    </row>
    <row r="101" spans="2:21" ht="16.5" thickBot="1">
      <c r="B101" s="262"/>
      <c r="C101" s="382">
        <v>10</v>
      </c>
      <c r="D101" s="338" t="s">
        <v>478</v>
      </c>
      <c r="E101" s="338"/>
      <c r="F101" s="338"/>
      <c r="G101" s="338"/>
      <c r="H101" s="381"/>
      <c r="I101" s="264"/>
      <c r="K101" s="286"/>
      <c r="L101" s="286"/>
      <c r="M101" s="350"/>
      <c r="N101" s="350"/>
      <c r="O101" s="286"/>
      <c r="P101" s="287"/>
      <c r="Q101" s="272"/>
      <c r="R101" s="272"/>
      <c r="S101" s="263"/>
      <c r="T101" s="263"/>
      <c r="U101" s="263"/>
    </row>
    <row r="102" spans="2:21" ht="32.25" thickBot="1">
      <c r="B102" s="262"/>
      <c r="C102" s="332">
        <v>10.01</v>
      </c>
      <c r="D102" s="330" t="s">
        <v>479</v>
      </c>
      <c r="E102" s="344" t="s">
        <v>370</v>
      </c>
      <c r="F102" s="526">
        <f>+VLOOKUP(C102,'MC 5'!U:V,2,FALSE)</f>
        <v>7</v>
      </c>
      <c r="G102" s="527">
        <f>+VLOOKUP(C102,'CAP 8-9'!D:R,15,FALSE)</f>
        <v>961043</v>
      </c>
      <c r="H102" s="285">
        <f>ROUND(G102*F102,2)</f>
        <v>6727301</v>
      </c>
      <c r="I102" s="264"/>
      <c r="K102" s="286" t="s">
        <v>257</v>
      </c>
      <c r="L102" s="286"/>
      <c r="M102" s="350">
        <f>+H102/1.33</f>
        <v>5058121.0526315784</v>
      </c>
      <c r="N102" s="350"/>
      <c r="O102" s="286"/>
      <c r="P102" s="287"/>
      <c r="Q102" s="272"/>
      <c r="R102" s="272"/>
      <c r="S102" s="263"/>
      <c r="T102" s="263"/>
      <c r="U102" s="263"/>
    </row>
    <row r="103" spans="2:21" s="291" customFormat="1" ht="16.5" thickBot="1">
      <c r="B103" s="288"/>
      <c r="C103" s="621" t="s">
        <v>180</v>
      </c>
      <c r="D103" s="622"/>
      <c r="E103" s="622"/>
      <c r="F103" s="622"/>
      <c r="G103" s="623"/>
      <c r="H103" s="464">
        <f>+SUM(H102)</f>
        <v>6727301</v>
      </c>
      <c r="I103" s="290"/>
      <c r="R103" s="292">
        <v>498000</v>
      </c>
    </row>
    <row r="104" spans="2:21" s="291" customFormat="1" ht="16.5" thickBot="1">
      <c r="B104" s="288"/>
      <c r="C104" s="293"/>
      <c r="D104" s="293"/>
      <c r="E104" s="293"/>
      <c r="F104" s="293"/>
      <c r="G104" s="293"/>
      <c r="H104" s="294"/>
      <c r="I104" s="290"/>
      <c r="K104" s="295">
        <f>+H105/1300000</f>
        <v>646.71540810769238</v>
      </c>
      <c r="L104" s="295"/>
      <c r="O104" s="534">
        <f>+H105</f>
        <v>840730030.54000008</v>
      </c>
    </row>
    <row r="105" spans="2:21" s="291" customFormat="1" ht="16.5" thickBot="1">
      <c r="B105" s="288"/>
      <c r="C105" s="296"/>
      <c r="D105" s="624" t="s">
        <v>181</v>
      </c>
      <c r="E105" s="625"/>
      <c r="F105" s="625"/>
      <c r="G105" s="626"/>
      <c r="H105" s="289">
        <f>+H99+H93+H85+H77+H66+H58+H47+H35+H27+H103</f>
        <v>840730030.54000008</v>
      </c>
      <c r="I105" s="290"/>
      <c r="K105" s="297">
        <f>+H105/1.33</f>
        <v>632127842.51127827</v>
      </c>
      <c r="L105" s="297"/>
      <c r="M105" s="487">
        <v>831128472.60000002</v>
      </c>
      <c r="N105" s="298"/>
      <c r="O105" s="297">
        <v>700000000</v>
      </c>
      <c r="P105" s="298"/>
      <c r="Q105" s="299">
        <v>58788236</v>
      </c>
      <c r="S105" s="300"/>
      <c r="T105" s="297"/>
    </row>
    <row r="106" spans="2:21" s="291" customFormat="1" ht="16.5" thickBot="1">
      <c r="B106" s="288"/>
      <c r="C106" s="296"/>
      <c r="D106" s="296"/>
      <c r="E106" s="296"/>
      <c r="F106" s="301"/>
      <c r="G106" s="302"/>
      <c r="H106" s="303"/>
      <c r="I106" s="290"/>
      <c r="Q106" s="299"/>
    </row>
    <row r="107" spans="2:21" s="291" customFormat="1">
      <c r="B107" s="288"/>
      <c r="C107" s="304"/>
      <c r="D107" s="627"/>
      <c r="E107" s="627"/>
      <c r="F107" s="627"/>
      <c r="G107" s="627"/>
      <c r="H107" s="628"/>
      <c r="I107" s="305"/>
      <c r="K107" s="297">
        <v>58793105</v>
      </c>
      <c r="L107" s="297"/>
      <c r="M107" s="298"/>
      <c r="N107" s="298"/>
      <c r="O107" s="297">
        <f>+O104-O105</f>
        <v>140730030.54000008</v>
      </c>
      <c r="P107" s="298">
        <v>182800880</v>
      </c>
      <c r="Q107" s="306">
        <f>+P107-O107</f>
        <v>42070849.459999919</v>
      </c>
      <c r="R107" s="306"/>
    </row>
    <row r="108" spans="2:21" s="291" customFormat="1">
      <c r="B108" s="288"/>
      <c r="C108" s="616" t="s">
        <v>182</v>
      </c>
      <c r="D108" s="617"/>
      <c r="E108" s="629" t="s">
        <v>183</v>
      </c>
      <c r="F108" s="629"/>
      <c r="G108" s="629"/>
      <c r="H108" s="307" t="s">
        <v>184</v>
      </c>
      <c r="I108" s="308"/>
      <c r="K108" s="297"/>
      <c r="L108" s="297"/>
      <c r="M108" s="297"/>
      <c r="N108" s="297"/>
      <c r="O108" s="297">
        <v>41947500</v>
      </c>
      <c r="P108" s="297"/>
      <c r="Q108" s="297"/>
      <c r="R108" s="306">
        <f>+Q107-O108</f>
        <v>123349.45999991894</v>
      </c>
    </row>
    <row r="109" spans="2:21" s="291" customFormat="1" ht="52.5" customHeight="1">
      <c r="B109" s="288"/>
      <c r="C109" s="616" t="s">
        <v>185</v>
      </c>
      <c r="D109" s="617"/>
      <c r="E109" s="612" t="s">
        <v>65</v>
      </c>
      <c r="F109" s="612"/>
      <c r="G109" s="309" t="s">
        <v>186</v>
      </c>
      <c r="H109" s="310">
        <v>0.24</v>
      </c>
      <c r="I109" s="308"/>
      <c r="K109" s="618"/>
      <c r="L109" s="618"/>
      <c r="M109" s="618"/>
      <c r="N109" s="618"/>
      <c r="O109" s="618"/>
      <c r="P109" s="618"/>
      <c r="Q109" s="618"/>
    </row>
    <row r="110" spans="2:21" s="291" customFormat="1">
      <c r="B110" s="288"/>
      <c r="C110" s="616" t="s">
        <v>187</v>
      </c>
      <c r="D110" s="617"/>
      <c r="E110" s="619" t="s">
        <v>188</v>
      </c>
      <c r="F110" s="619"/>
      <c r="G110" s="309" t="s">
        <v>189</v>
      </c>
      <c r="H110" s="310">
        <v>0.02</v>
      </c>
      <c r="I110" s="308"/>
      <c r="K110" s="618"/>
      <c r="L110" s="618"/>
      <c r="M110" s="618"/>
      <c r="N110" s="618"/>
      <c r="O110" s="618"/>
      <c r="P110" s="618"/>
      <c r="Q110" s="618"/>
    </row>
    <row r="111" spans="2:21" s="291" customFormat="1">
      <c r="B111" s="288"/>
      <c r="C111" s="311"/>
      <c r="D111" s="312"/>
      <c r="E111" s="612" t="s">
        <v>69</v>
      </c>
      <c r="F111" s="612"/>
      <c r="G111" s="309" t="s">
        <v>190</v>
      </c>
      <c r="H111" s="310">
        <v>7.0000000000000007E-2</v>
      </c>
      <c r="I111" s="290"/>
      <c r="K111" s="613" t="e">
        <f>+#REF!/3</f>
        <v>#REF!</v>
      </c>
      <c r="L111" s="613"/>
      <c r="M111" s="613"/>
      <c r="N111" s="613"/>
      <c r="O111" s="613"/>
      <c r="P111" s="613"/>
      <c r="Q111" s="613"/>
    </row>
    <row r="112" spans="2:21" ht="16.5" thickBot="1">
      <c r="B112" s="262"/>
      <c r="C112" s="313"/>
      <c r="D112" s="314"/>
      <c r="E112" s="614" t="s">
        <v>191</v>
      </c>
      <c r="F112" s="614"/>
      <c r="G112" s="315" t="s">
        <v>192</v>
      </c>
      <c r="H112" s="316">
        <v>0.33</v>
      </c>
      <c r="I112" s="264"/>
      <c r="K112" s="615">
        <f>+H105/1.33</f>
        <v>632127842.51127827</v>
      </c>
      <c r="L112" s="615"/>
      <c r="M112" s="615"/>
      <c r="N112" s="615"/>
      <c r="O112" s="615"/>
      <c r="P112" s="615"/>
      <c r="Q112" s="615"/>
      <c r="R112" s="317"/>
      <c r="S112" s="266"/>
    </row>
    <row r="113" spans="2:18">
      <c r="B113" s="262"/>
      <c r="C113" s="318"/>
      <c r="D113" s="318"/>
      <c r="E113" s="319"/>
      <c r="F113" s="319"/>
      <c r="G113" s="319"/>
      <c r="H113" s="319"/>
      <c r="I113" s="264"/>
      <c r="Q113" s="292">
        <f>+K112*0.02</f>
        <v>12642556.850225566</v>
      </c>
    </row>
    <row r="114" spans="2:18" ht="51" customHeight="1">
      <c r="B114" s="262"/>
      <c r="C114" s="318"/>
      <c r="D114" s="318"/>
      <c r="E114" s="319"/>
      <c r="F114" s="319"/>
      <c r="G114" s="319"/>
      <c r="H114" s="319"/>
      <c r="I114" s="264"/>
      <c r="P114" s="267">
        <f>+H105-P116</f>
        <v>770927616.73000002</v>
      </c>
    </row>
    <row r="115" spans="2:18">
      <c r="B115" s="262"/>
      <c r="C115" s="318" t="s">
        <v>51</v>
      </c>
      <c r="D115" s="320"/>
      <c r="E115" s="318"/>
      <c r="F115" s="321" t="s">
        <v>52</v>
      </c>
      <c r="G115" s="318" t="s">
        <v>193</v>
      </c>
      <c r="H115" s="318"/>
      <c r="I115" s="264"/>
      <c r="Q115" s="292">
        <v>-1646097.400000006</v>
      </c>
      <c r="R115" s="322">
        <f>+Q115-P114</f>
        <v>-772573714.13</v>
      </c>
    </row>
    <row r="116" spans="2:18">
      <c r="B116" s="262"/>
      <c r="C116" s="318"/>
      <c r="D116" s="318" t="s">
        <v>194</v>
      </c>
      <c r="E116" s="318"/>
      <c r="F116" s="318"/>
      <c r="G116" s="318" t="s">
        <v>195</v>
      </c>
      <c r="H116" s="318"/>
      <c r="I116" s="264"/>
      <c r="P116" s="258">
        <v>69802413.810000002</v>
      </c>
    </row>
    <row r="117" spans="2:18">
      <c r="B117" s="262"/>
      <c r="C117" s="318"/>
      <c r="D117" s="318" t="s">
        <v>196</v>
      </c>
      <c r="E117" s="318"/>
      <c r="F117" s="318"/>
      <c r="G117" s="318" t="s">
        <v>197</v>
      </c>
      <c r="H117" s="318"/>
      <c r="I117" s="264"/>
    </row>
    <row r="118" spans="2:18">
      <c r="B118" s="262"/>
      <c r="C118" s="318"/>
      <c r="D118" s="318" t="s">
        <v>198</v>
      </c>
      <c r="E118" s="318"/>
      <c r="F118" s="321"/>
      <c r="G118" s="323" t="s">
        <v>199</v>
      </c>
      <c r="H118" s="321"/>
      <c r="I118" s="264"/>
    </row>
    <row r="119" spans="2:18">
      <c r="B119" s="262"/>
      <c r="C119" s="318"/>
      <c r="D119" s="318"/>
      <c r="E119" s="319"/>
      <c r="I119" s="264"/>
    </row>
    <row r="120" spans="2:18">
      <c r="B120" s="262"/>
      <c r="C120" s="318"/>
      <c r="D120" s="318"/>
      <c r="E120" s="319"/>
      <c r="F120" s="319"/>
      <c r="G120" s="319"/>
      <c r="H120" s="319"/>
      <c r="I120" s="264"/>
    </row>
    <row r="121" spans="2:18" ht="16.5" thickBot="1">
      <c r="B121" s="324"/>
      <c r="C121" s="325"/>
      <c r="D121" s="326"/>
      <c r="E121" s="325"/>
      <c r="F121" s="325"/>
      <c r="G121" s="325"/>
      <c r="H121" s="325"/>
      <c r="I121" s="327"/>
    </row>
    <row r="122" spans="2:18" ht="16.5" thickTop="1">
      <c r="M122" s="507" t="str">
        <f>+K102</f>
        <v>62</v>
      </c>
    </row>
    <row r="128" spans="2:18">
      <c r="D128" s="328" t="s">
        <v>200</v>
      </c>
    </row>
    <row r="140" spans="6:17" ht="16.5" thickBot="1">
      <c r="F140" s="489">
        <v>152532810.61000001</v>
      </c>
      <c r="G140" s="490">
        <v>790944465.29999995</v>
      </c>
      <c r="H140" s="492">
        <f>+F140/G140</f>
        <v>0.19284895122459114</v>
      </c>
    </row>
    <row r="141" spans="6:17">
      <c r="F141" s="489">
        <v>230073168.24000001</v>
      </c>
      <c r="G141" s="491">
        <f>+H105-H103</f>
        <v>834002729.54000008</v>
      </c>
      <c r="H141" s="492">
        <f>+F141/G141</f>
        <v>0.27586620533831879</v>
      </c>
      <c r="K141" s="292"/>
      <c r="L141" s="292"/>
      <c r="M141" s="351"/>
      <c r="N141" s="351"/>
      <c r="O141" s="292"/>
      <c r="P141" s="292"/>
      <c r="Q141" s="329"/>
    </row>
    <row r="142" spans="6:17">
      <c r="G142" s="292"/>
      <c r="H142" s="292"/>
      <c r="K142" s="292"/>
      <c r="L142" s="292"/>
      <c r="M142" s="351"/>
      <c r="N142" s="351"/>
      <c r="O142" s="292"/>
      <c r="P142" s="292"/>
      <c r="Q142" s="329"/>
    </row>
    <row r="143" spans="6:17">
      <c r="G143" s="292"/>
      <c r="H143" s="292"/>
      <c r="K143" s="292"/>
      <c r="L143" s="292"/>
      <c r="M143" s="351"/>
      <c r="N143" s="351"/>
      <c r="O143" s="292"/>
      <c r="P143" s="292"/>
      <c r="Q143" s="329"/>
    </row>
    <row r="144" spans="6:17">
      <c r="G144" s="292"/>
      <c r="H144" s="492">
        <f>+H141-H140</f>
        <v>8.3017254113727651E-2</v>
      </c>
      <c r="K144" s="292"/>
      <c r="L144" s="292"/>
      <c r="M144" s="351"/>
      <c r="N144" s="351"/>
      <c r="O144" s="292"/>
      <c r="P144" s="292"/>
      <c r="Q144" s="329"/>
    </row>
    <row r="145" spans="7:17">
      <c r="G145" s="292"/>
      <c r="H145" s="292"/>
      <c r="K145" s="292"/>
      <c r="L145" s="292"/>
      <c r="M145" s="351"/>
      <c r="N145" s="351"/>
      <c r="O145" s="292"/>
      <c r="P145" s="292"/>
      <c r="Q145" s="329"/>
    </row>
    <row r="146" spans="7:17">
      <c r="G146" s="292"/>
      <c r="H146" s="292"/>
      <c r="K146" s="292"/>
      <c r="L146" s="292"/>
      <c r="M146" s="351"/>
      <c r="N146" s="351"/>
      <c r="O146" s="292"/>
      <c r="P146" s="292"/>
      <c r="Q146" s="329"/>
    </row>
    <row r="147" spans="7:17">
      <c r="G147" s="292"/>
      <c r="H147" s="292"/>
      <c r="K147" s="292"/>
      <c r="L147" s="292"/>
      <c r="M147" s="351"/>
      <c r="N147" s="351"/>
      <c r="O147" s="292"/>
      <c r="P147" s="292"/>
      <c r="Q147" s="329"/>
    </row>
    <row r="148" spans="7:17">
      <c r="G148" s="292"/>
      <c r="H148" s="292"/>
      <c r="K148" s="292"/>
      <c r="L148" s="292"/>
      <c r="M148" s="351"/>
      <c r="N148" s="351"/>
      <c r="O148" s="292"/>
      <c r="P148" s="292"/>
      <c r="Q148" s="329"/>
    </row>
    <row r="149" spans="7:17">
      <c r="G149" s="292"/>
      <c r="H149" s="292"/>
      <c r="K149" s="292"/>
      <c r="L149" s="292"/>
      <c r="M149" s="351"/>
      <c r="N149" s="351"/>
      <c r="O149" s="292"/>
      <c r="P149" s="292"/>
      <c r="Q149" s="329"/>
    </row>
    <row r="150" spans="7:17">
      <c r="G150" s="292"/>
      <c r="H150" s="292"/>
      <c r="K150" s="292"/>
      <c r="L150" s="292"/>
      <c r="M150" s="351"/>
      <c r="N150" s="351"/>
      <c r="O150" s="292"/>
      <c r="P150" s="292"/>
      <c r="Q150" s="329"/>
    </row>
    <row r="151" spans="7:17">
      <c r="G151" s="292"/>
      <c r="H151" s="292"/>
      <c r="K151" s="292"/>
      <c r="L151" s="292"/>
      <c r="M151" s="351"/>
      <c r="N151" s="351"/>
      <c r="O151" s="292"/>
      <c r="P151" s="292"/>
      <c r="Q151" s="329"/>
    </row>
    <row r="153" spans="7:17">
      <c r="K153" s="266"/>
      <c r="L153" s="266"/>
      <c r="O153" s="266"/>
      <c r="Q153" s="329"/>
    </row>
    <row r="154" spans="7:17">
      <c r="G154" s="292"/>
      <c r="H154" s="292"/>
    </row>
    <row r="155" spans="7:17">
      <c r="G155" s="292"/>
      <c r="H155" s="292"/>
    </row>
    <row r="156" spans="7:17">
      <c r="G156" s="292"/>
      <c r="H156" s="292"/>
    </row>
    <row r="157" spans="7:17">
      <c r="G157" s="292"/>
      <c r="H157" s="292"/>
    </row>
    <row r="158" spans="7:17">
      <c r="G158" s="292"/>
      <c r="H158" s="292"/>
    </row>
    <row r="159" spans="7:17">
      <c r="G159" s="292"/>
      <c r="H159" s="292"/>
    </row>
    <row r="160" spans="7:17">
      <c r="G160" s="292"/>
      <c r="H160" s="292"/>
    </row>
    <row r="161" spans="7:8">
      <c r="G161" s="292"/>
      <c r="H161" s="292"/>
    </row>
    <row r="162" spans="7:8">
      <c r="G162" s="292"/>
      <c r="H162" s="292"/>
    </row>
    <row r="163" spans="7:8">
      <c r="G163" s="292"/>
      <c r="H163" s="292"/>
    </row>
    <row r="164" spans="7:8">
      <c r="G164" s="292"/>
      <c r="H164" s="292"/>
    </row>
    <row r="165" spans="7:8">
      <c r="H165" s="266"/>
    </row>
  </sheetData>
  <mergeCells count="25">
    <mergeCell ref="C5:H5"/>
    <mergeCell ref="C6:H6"/>
    <mergeCell ref="C7:H7"/>
    <mergeCell ref="C8:C9"/>
    <mergeCell ref="D8:D9"/>
    <mergeCell ref="E8:E9"/>
    <mergeCell ref="F8:F9"/>
    <mergeCell ref="G8:G9"/>
    <mergeCell ref="H8:H9"/>
    <mergeCell ref="S9:T9"/>
    <mergeCell ref="C103:G103"/>
    <mergeCell ref="D105:G105"/>
    <mergeCell ref="D107:H107"/>
    <mergeCell ref="C108:D108"/>
    <mergeCell ref="E108:G108"/>
    <mergeCell ref="E111:F111"/>
    <mergeCell ref="K111:Q111"/>
    <mergeCell ref="E112:F112"/>
    <mergeCell ref="K112:Q112"/>
    <mergeCell ref="C109:D109"/>
    <mergeCell ref="E109:F109"/>
    <mergeCell ref="K109:Q109"/>
    <mergeCell ref="C110:D110"/>
    <mergeCell ref="E110:F110"/>
    <mergeCell ref="K110:Q110"/>
  </mergeCells>
  <phoneticPr fontId="28" type="noConversion"/>
  <conditionalFormatting sqref="P27:P38">
    <cfRule type="colorScale" priority="1">
      <colorScale>
        <cfvo type="min"/>
        <cfvo type="percentile" val="50"/>
        <cfvo type="max"/>
        <color rgb="FFF8696B"/>
        <color rgb="FFFFEB84"/>
        <color rgb="FF63BE7B"/>
      </colorScale>
    </cfRule>
  </conditionalFormatting>
  <pageMargins left="0.31496062992125984" right="0.31496062992125984" top="1.1417322834645669" bottom="0.55118110236220474" header="0.31496062992125984" footer="0.31496062992125984"/>
  <pageSetup scale="57" fitToHeight="0" orientation="portrait" horizontalDpi="1200" verticalDpi="1200" r:id="rId1"/>
  <headerFooter scaleWithDoc="0"/>
  <rowBreaks count="3" manualBreakCount="3">
    <brk id="36" max="9" man="1"/>
    <brk id="86" max="9" man="1"/>
    <brk id="122" max="9"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70E978-25AC-4F91-8473-D8887D5C4C4A}">
  <dimension ref="A1:R691"/>
  <sheetViews>
    <sheetView tabSelected="1" view="pageBreakPreview" topLeftCell="B640" zoomScale="70" zoomScaleNormal="100" zoomScaleSheetLayoutView="70" workbookViewId="0">
      <selection activeCell="S672" sqref="S672"/>
    </sheetView>
  </sheetViews>
  <sheetFormatPr baseColWidth="10" defaultRowHeight="15"/>
  <cols>
    <col min="1" max="1" width="15.42578125" customWidth="1"/>
    <col min="2" max="2" width="11.28515625" bestFit="1" customWidth="1"/>
    <col min="3" max="3" width="4.28515625" customWidth="1"/>
    <col min="4" max="4" width="13.7109375" bestFit="1" customWidth="1"/>
    <col min="7" max="7" width="6.42578125" hidden="1" customWidth="1"/>
    <col min="8" max="10" width="11.42578125" customWidth="1"/>
    <col min="11" max="11" width="15.5703125" customWidth="1"/>
    <col min="12" max="12" width="11.5703125" customWidth="1"/>
    <col min="13" max="13" width="15.140625" customWidth="1"/>
    <col min="14" max="15" width="11.5703125" bestFit="1" customWidth="1"/>
    <col min="16" max="16" width="21.28515625" customWidth="1"/>
    <col min="17" max="17" width="4.28515625" customWidth="1"/>
    <col min="18" max="18" width="18" customWidth="1"/>
  </cols>
  <sheetData>
    <row r="1" spans="1:18" ht="15.75" thickBot="1">
      <c r="A1" s="1"/>
      <c r="B1" s="2"/>
      <c r="C1" s="3"/>
      <c r="D1" s="4"/>
      <c r="E1" s="4"/>
      <c r="F1" s="4"/>
      <c r="G1" s="4"/>
      <c r="H1" s="4"/>
      <c r="I1" s="4"/>
      <c r="J1" s="4"/>
      <c r="K1" s="4"/>
      <c r="L1" s="4"/>
      <c r="M1" s="4"/>
      <c r="N1" s="4"/>
      <c r="O1" s="4"/>
      <c r="P1" s="4"/>
      <c r="Q1" s="4"/>
      <c r="R1" s="4"/>
    </row>
    <row r="2" spans="1:18" ht="15.75" thickTop="1">
      <c r="A2" s="1"/>
      <c r="B2" s="2"/>
      <c r="C2" s="5"/>
      <c r="D2" s="6"/>
      <c r="E2" s="6"/>
      <c r="F2" s="6"/>
      <c r="G2" s="6"/>
      <c r="H2" s="6"/>
      <c r="I2" s="6"/>
      <c r="J2" s="6"/>
      <c r="K2" s="6"/>
      <c r="L2" s="6"/>
      <c r="M2" s="6"/>
      <c r="N2" s="6"/>
      <c r="O2" s="6"/>
      <c r="P2" s="6"/>
      <c r="Q2" s="7"/>
      <c r="R2" s="4"/>
    </row>
    <row r="3" spans="1:18" ht="24">
      <c r="A3" s="1"/>
      <c r="B3" s="2"/>
      <c r="C3" s="8"/>
      <c r="D3" s="9" t="str">
        <f>+[239]INICIO!$C$8</f>
        <v>Análisis de Precios Unitarios- Secretaria de Planeación y Obras Publicas de Cubará, Boyacá.</v>
      </c>
      <c r="E3" s="10"/>
      <c r="F3" s="10"/>
      <c r="G3" s="10"/>
      <c r="H3" s="11"/>
      <c r="I3" s="12"/>
      <c r="J3" s="12"/>
      <c r="K3" s="12"/>
      <c r="L3" s="12"/>
      <c r="M3" s="12"/>
      <c r="N3" s="12"/>
      <c r="O3" s="12"/>
      <c r="P3" s="12"/>
      <c r="Q3" s="13"/>
      <c r="R3" s="4"/>
    </row>
    <row r="4" spans="1:18">
      <c r="A4" s="1"/>
      <c r="B4" s="2"/>
      <c r="C4" s="8"/>
      <c r="D4" s="14" t="s">
        <v>0</v>
      </c>
      <c r="E4" s="15" t="str">
        <f>+[239]INICIO!$C$7</f>
        <v>CCE-EICP-FM-14</v>
      </c>
      <c r="F4" s="16"/>
      <c r="G4" s="17" t="str">
        <f>+[239]INICIO!$B$6</f>
        <v>VERSIÓN</v>
      </c>
      <c r="H4" s="14">
        <f>+[239]INICIO!$C$6</f>
        <v>1</v>
      </c>
      <c r="I4" s="12"/>
      <c r="J4" s="12"/>
      <c r="K4" s="12"/>
      <c r="L4" s="12"/>
      <c r="M4" s="12"/>
      <c r="N4" s="12"/>
      <c r="O4" s="12"/>
      <c r="P4" s="12"/>
      <c r="Q4" s="13"/>
      <c r="R4" s="4"/>
    </row>
    <row r="5" spans="1:18">
      <c r="A5" s="1"/>
      <c r="B5" s="2"/>
      <c r="C5" s="8"/>
      <c r="D5" s="18"/>
      <c r="E5" s="19"/>
      <c r="F5" s="18"/>
      <c r="G5" s="19"/>
      <c r="H5" s="12"/>
      <c r="I5" s="12"/>
      <c r="J5" s="12"/>
      <c r="K5" s="12"/>
      <c r="L5" s="12"/>
      <c r="M5" s="12"/>
      <c r="N5" s="12"/>
      <c r="O5" s="12"/>
      <c r="P5" s="12"/>
      <c r="Q5" s="13"/>
      <c r="R5" s="4"/>
    </row>
    <row r="6" spans="1:18" ht="15.75" thickBot="1">
      <c r="A6" s="1"/>
      <c r="B6" s="2"/>
      <c r="C6" s="8"/>
      <c r="D6" s="20"/>
      <c r="E6" s="20"/>
      <c r="F6" s="20"/>
      <c r="G6" s="20"/>
      <c r="H6" s="20"/>
      <c r="I6" s="20"/>
      <c r="J6" s="20"/>
      <c r="K6" s="20"/>
      <c r="L6" s="20"/>
      <c r="M6" s="20"/>
      <c r="N6" s="20"/>
      <c r="O6" s="20"/>
      <c r="P6" s="20"/>
      <c r="Q6" s="13"/>
      <c r="R6" s="4"/>
    </row>
    <row r="7" spans="1:18">
      <c r="A7" s="1"/>
      <c r="B7" s="2"/>
      <c r="C7" s="8"/>
      <c r="D7" s="21"/>
      <c r="E7" s="22"/>
      <c r="F7" s="23"/>
      <c r="G7" s="23"/>
      <c r="H7" s="23"/>
      <c r="I7" s="23"/>
      <c r="J7" s="23"/>
      <c r="K7" s="23"/>
      <c r="L7" s="24"/>
      <c r="M7" s="25"/>
      <c r="N7" s="26"/>
      <c r="O7" s="26"/>
      <c r="P7" s="27"/>
      <c r="Q7" s="28"/>
      <c r="R7" s="4"/>
    </row>
    <row r="8" spans="1:18">
      <c r="A8" s="1"/>
      <c r="B8" s="2"/>
      <c r="C8" s="8"/>
      <c r="D8" s="29"/>
      <c r="E8" s="30" t="s">
        <v>1</v>
      </c>
      <c r="F8" s="31"/>
      <c r="G8" s="31"/>
      <c r="H8" s="31"/>
      <c r="I8" s="31"/>
      <c r="J8" s="31"/>
      <c r="K8" s="31"/>
      <c r="L8" s="32"/>
      <c r="M8" s="33"/>
      <c r="N8" s="34"/>
      <c r="O8" s="34"/>
      <c r="P8" s="35"/>
      <c r="Q8" s="28"/>
      <c r="R8" s="4"/>
    </row>
    <row r="9" spans="1:18">
      <c r="A9" s="1"/>
      <c r="B9" s="2"/>
      <c r="C9" s="8"/>
      <c r="D9" s="29"/>
      <c r="E9" s="36"/>
      <c r="F9" s="37"/>
      <c r="G9" s="37"/>
      <c r="H9" s="37"/>
      <c r="I9" s="37"/>
      <c r="J9" s="37"/>
      <c r="K9" s="37"/>
      <c r="L9" s="38"/>
      <c r="M9" s="39"/>
      <c r="N9" s="40"/>
      <c r="O9" s="41"/>
      <c r="P9" s="42"/>
      <c r="Q9" s="28"/>
      <c r="R9" s="4"/>
    </row>
    <row r="10" spans="1:18">
      <c r="A10" s="1"/>
      <c r="B10" s="2"/>
      <c r="C10" s="8"/>
      <c r="D10" s="29"/>
      <c r="E10" s="36"/>
      <c r="F10" s="37"/>
      <c r="G10" s="37"/>
      <c r="H10" s="37"/>
      <c r="I10" s="37"/>
      <c r="J10" s="37"/>
      <c r="K10" s="37"/>
      <c r="L10" s="38"/>
      <c r="M10" s="43" t="s">
        <v>2</v>
      </c>
      <c r="N10" s="44"/>
      <c r="O10" s="45">
        <f>+[239]INICIO!$C$6</f>
        <v>1</v>
      </c>
      <c r="P10" s="46"/>
      <c r="Q10" s="28"/>
      <c r="R10" s="4"/>
    </row>
    <row r="11" spans="1:18">
      <c r="A11" s="1"/>
      <c r="B11" s="2"/>
      <c r="C11" s="8"/>
      <c r="D11" s="29"/>
      <c r="E11" s="36"/>
      <c r="F11" s="37"/>
      <c r="G11" s="37"/>
      <c r="H11" s="37"/>
      <c r="I11" s="37"/>
      <c r="J11" s="37"/>
      <c r="K11" s="37"/>
      <c r="L11" s="38"/>
      <c r="M11" s="47"/>
      <c r="N11" s="48"/>
      <c r="O11" s="49"/>
      <c r="P11" s="50"/>
      <c r="Q11" s="51"/>
      <c r="R11" s="4"/>
    </row>
    <row r="12" spans="1:18">
      <c r="A12" s="1"/>
      <c r="B12" s="2"/>
      <c r="C12" s="8"/>
      <c r="D12" s="29"/>
      <c r="E12" s="52"/>
      <c r="F12" s="53"/>
      <c r="G12" s="53"/>
      <c r="H12" s="53"/>
      <c r="I12" s="53"/>
      <c r="J12" s="53"/>
      <c r="K12" s="53"/>
      <c r="L12" s="54"/>
      <c r="M12" s="39"/>
      <c r="N12" s="55"/>
      <c r="O12" s="55"/>
      <c r="P12" s="56"/>
      <c r="Q12" s="28"/>
      <c r="R12" s="4"/>
    </row>
    <row r="13" spans="1:18">
      <c r="A13" s="1"/>
      <c r="B13" s="2"/>
      <c r="C13" s="8"/>
      <c r="D13" s="29"/>
      <c r="E13" s="52"/>
      <c r="F13" s="53"/>
      <c r="G13" s="53"/>
      <c r="H13" s="53"/>
      <c r="I13" s="53"/>
      <c r="J13" s="53"/>
      <c r="K13" s="53"/>
      <c r="L13" s="54"/>
      <c r="M13" s="43" t="s">
        <v>3</v>
      </c>
      <c r="N13" s="43" t="str">
        <f>+VLOOKUP(D24,'PRESUPUESTO OFICIAL '!C:Q,9,FALSE)</f>
        <v>55</v>
      </c>
      <c r="O13" s="43" t="s">
        <v>4</v>
      </c>
      <c r="P13" s="508" t="str">
        <f>+'PRESUPUESTO OFICIAL '!$M$122</f>
        <v>62</v>
      </c>
      <c r="Q13" s="28"/>
      <c r="R13" s="4"/>
    </row>
    <row r="14" spans="1:18">
      <c r="A14" s="1"/>
      <c r="B14" s="2"/>
      <c r="C14" s="8"/>
      <c r="D14" s="29"/>
      <c r="E14" s="30" t="s">
        <v>5</v>
      </c>
      <c r="F14" s="31"/>
      <c r="G14" s="31"/>
      <c r="H14" s="31"/>
      <c r="I14" s="31"/>
      <c r="J14" s="31"/>
      <c r="K14" s="31"/>
      <c r="L14" s="32"/>
      <c r="M14" s="43"/>
      <c r="N14" s="57"/>
      <c r="O14" s="57"/>
      <c r="P14" s="58"/>
      <c r="Q14" s="28"/>
      <c r="R14" s="4"/>
    </row>
    <row r="15" spans="1:18" ht="15.75" thickBot="1">
      <c r="A15" s="1"/>
      <c r="B15" s="2"/>
      <c r="C15" s="8"/>
      <c r="D15" s="59"/>
      <c r="E15" s="60"/>
      <c r="F15" s="60"/>
      <c r="G15" s="60"/>
      <c r="H15" s="60"/>
      <c r="I15" s="60"/>
      <c r="J15" s="60"/>
      <c r="K15" s="60"/>
      <c r="L15" s="60"/>
      <c r="M15" s="60"/>
      <c r="N15" s="61"/>
      <c r="O15" s="61"/>
      <c r="P15" s="62"/>
      <c r="Q15" s="63"/>
      <c r="R15" s="4"/>
    </row>
    <row r="16" spans="1:18">
      <c r="A16" s="1"/>
      <c r="B16" s="2"/>
      <c r="C16" s="8"/>
      <c r="D16" s="64"/>
      <c r="E16" s="65"/>
      <c r="F16" s="65"/>
      <c r="G16" s="65"/>
      <c r="H16" s="65"/>
      <c r="I16" s="65"/>
      <c r="J16" s="65"/>
      <c r="K16" s="65"/>
      <c r="L16" s="65"/>
      <c r="M16" s="66" t="s">
        <v>6</v>
      </c>
      <c r="N16" s="66" t="s">
        <v>7</v>
      </c>
      <c r="O16" s="66" t="s">
        <v>8</v>
      </c>
      <c r="P16" s="67" t="s">
        <v>9</v>
      </c>
      <c r="Q16" s="51"/>
      <c r="R16" s="4"/>
    </row>
    <row r="17" spans="1:18">
      <c r="A17" s="1"/>
      <c r="B17" s="2"/>
      <c r="C17" s="8"/>
      <c r="D17" s="68"/>
      <c r="E17" s="69"/>
      <c r="F17" s="69"/>
      <c r="G17" s="69"/>
      <c r="H17" s="69"/>
      <c r="I17" s="69"/>
      <c r="J17" s="69"/>
      <c r="K17" s="69"/>
      <c r="L17" s="69"/>
      <c r="M17" s="70"/>
      <c r="N17" s="71">
        <f>+Hoja2!B$5</f>
        <v>5</v>
      </c>
      <c r="O17" s="71">
        <f>+Hoja2!C$5</f>
        <v>8</v>
      </c>
      <c r="P17" s="72">
        <f>+Hoja2!D$5</f>
        <v>2026</v>
      </c>
      <c r="Q17" s="73"/>
      <c r="R17" s="4"/>
    </row>
    <row r="18" spans="1:18">
      <c r="A18" s="1"/>
      <c r="B18" s="2"/>
      <c r="C18" s="8"/>
      <c r="D18" s="74"/>
      <c r="E18" s="37"/>
      <c r="F18" s="37"/>
      <c r="G18" s="37"/>
      <c r="H18" s="69"/>
      <c r="I18" s="69"/>
      <c r="J18" s="69"/>
      <c r="K18" s="20"/>
      <c r="L18" s="69"/>
      <c r="M18" s="75"/>
      <c r="N18" s="20"/>
      <c r="O18" s="20"/>
      <c r="P18" s="76"/>
      <c r="Q18" s="73"/>
      <c r="R18" s="4"/>
    </row>
    <row r="19" spans="1:18" ht="15.75" thickBot="1">
      <c r="A19" s="1"/>
      <c r="B19" s="2"/>
      <c r="C19" s="8"/>
      <c r="D19" s="77"/>
      <c r="E19" s="78"/>
      <c r="F19" s="78"/>
      <c r="G19" s="78"/>
      <c r="H19" s="78"/>
      <c r="I19" s="78"/>
      <c r="J19" s="78"/>
      <c r="K19" s="78"/>
      <c r="L19" s="78"/>
      <c r="M19" s="78"/>
      <c r="N19" s="78"/>
      <c r="O19" s="78"/>
      <c r="P19" s="79"/>
      <c r="Q19" s="13"/>
      <c r="R19" s="4"/>
    </row>
    <row r="20" spans="1:18" ht="15.75" thickBot="1">
      <c r="A20" s="1"/>
      <c r="B20" s="2"/>
      <c r="C20" s="8"/>
      <c r="D20" s="80"/>
      <c r="E20" s="81"/>
      <c r="F20" s="81"/>
      <c r="G20" s="81"/>
      <c r="H20" s="81"/>
      <c r="I20" s="81"/>
      <c r="J20" s="20"/>
      <c r="K20" s="20"/>
      <c r="L20" s="81"/>
      <c r="M20" s="81"/>
      <c r="N20" s="81"/>
      <c r="O20" s="81"/>
      <c r="P20" s="82"/>
      <c r="Q20" s="13"/>
      <c r="R20" s="4"/>
    </row>
    <row r="21" spans="1:18">
      <c r="A21" s="1"/>
      <c r="B21" s="2"/>
      <c r="C21" s="8"/>
      <c r="D21" s="83" t="s">
        <v>10</v>
      </c>
      <c r="E21" s="84"/>
      <c r="F21" s="84"/>
      <c r="G21" s="84"/>
      <c r="H21" s="84"/>
      <c r="I21" s="84"/>
      <c r="J21" s="84"/>
      <c r="K21" s="84"/>
      <c r="L21" s="84"/>
      <c r="M21" s="84"/>
      <c r="N21" s="84"/>
      <c r="O21" s="84"/>
      <c r="P21" s="85"/>
      <c r="Q21" s="86"/>
      <c r="R21" s="4"/>
    </row>
    <row r="22" spans="1:18" ht="15.75" thickBot="1">
      <c r="A22" s="1"/>
      <c r="B22" s="2"/>
      <c r="C22" s="8"/>
      <c r="D22" s="87"/>
      <c r="E22" s="20"/>
      <c r="F22" s="20"/>
      <c r="G22" s="20"/>
      <c r="H22" s="20"/>
      <c r="I22" s="20"/>
      <c r="J22" s="20"/>
      <c r="K22" s="20"/>
      <c r="L22" s="20"/>
      <c r="M22" s="20"/>
      <c r="N22" s="20"/>
      <c r="O22" s="20"/>
      <c r="P22" s="88"/>
      <c r="Q22" s="13"/>
      <c r="R22" s="4"/>
    </row>
    <row r="23" spans="1:18">
      <c r="A23" s="1" t="s">
        <v>11</v>
      </c>
      <c r="B23" s="2" t="s">
        <v>12</v>
      </c>
      <c r="C23" s="8"/>
      <c r="D23" s="89" t="s">
        <v>13</v>
      </c>
      <c r="E23" s="90" t="s">
        <v>14</v>
      </c>
      <c r="F23" s="90"/>
      <c r="G23" s="90"/>
      <c r="H23" s="90"/>
      <c r="I23" s="90"/>
      <c r="J23" s="90"/>
      <c r="K23" s="90"/>
      <c r="L23" s="90"/>
      <c r="M23" s="90"/>
      <c r="N23" s="91" t="s">
        <v>15</v>
      </c>
      <c r="O23" s="91"/>
      <c r="P23" s="92" t="s">
        <v>16</v>
      </c>
      <c r="Q23" s="93"/>
      <c r="R23" s="4"/>
    </row>
    <row r="24" spans="1:18" ht="15.75" thickBot="1">
      <c r="A24" s="1"/>
      <c r="B24" s="2"/>
      <c r="C24" s="8"/>
      <c r="D24" s="349">
        <f>+'PRESUPUESTO OFICIAL '!C89</f>
        <v>8.01</v>
      </c>
      <c r="E24" s="94" t="str">
        <f>+VLOOKUP(D24,'PRESUPUESTO OFICIAL '!C:H,2,FALSE)</f>
        <v>SUMINISTRO E INSTALACIÓN DE SANITARIO SENCILLO BLANCO</v>
      </c>
      <c r="F24" s="94"/>
      <c r="G24" s="94"/>
      <c r="H24" s="94"/>
      <c r="I24" s="94"/>
      <c r="J24" s="94"/>
      <c r="K24" s="94"/>
      <c r="L24" s="94"/>
      <c r="M24" s="94"/>
      <c r="N24" s="94" t="str">
        <f>+VLOOKUP(D24,'PRESUPUESTO OFICIAL '!C:H,3,FALSE)</f>
        <v>UND</v>
      </c>
      <c r="O24" s="95"/>
      <c r="P24" s="96">
        <f>+VLOOKUP(D24,'PRESUPUESTO OFICIAL '!C:H,4,FALSE)</f>
        <v>11</v>
      </c>
      <c r="Q24" s="97"/>
      <c r="R24" s="98">
        <f>+P76</f>
        <v>626441</v>
      </c>
    </row>
    <row r="25" spans="1:18" ht="15.75" thickBot="1">
      <c r="A25" s="1"/>
      <c r="B25" s="2"/>
      <c r="C25" s="8"/>
      <c r="D25" s="74" t="s">
        <v>17</v>
      </c>
      <c r="E25" s="37"/>
      <c r="F25" s="37"/>
      <c r="G25" s="37"/>
      <c r="H25" s="37"/>
      <c r="I25" s="37"/>
      <c r="J25" s="37"/>
      <c r="K25" s="37"/>
      <c r="L25" s="37"/>
      <c r="M25" s="37"/>
      <c r="N25" s="37"/>
      <c r="O25" s="37"/>
      <c r="P25" s="99"/>
      <c r="Q25" s="100"/>
      <c r="R25" s="4"/>
    </row>
    <row r="26" spans="1:18">
      <c r="A26" s="1"/>
      <c r="B26" s="2"/>
      <c r="C26" s="8"/>
      <c r="D26" s="101" t="s">
        <v>14</v>
      </c>
      <c r="E26" s="102"/>
      <c r="F26" s="102"/>
      <c r="G26" s="102"/>
      <c r="H26" s="103"/>
      <c r="I26" s="104" t="s">
        <v>18</v>
      </c>
      <c r="J26" s="102"/>
      <c r="K26" s="104" t="s">
        <v>19</v>
      </c>
      <c r="L26" s="105"/>
      <c r="M26" s="106" t="s">
        <v>20</v>
      </c>
      <c r="N26" s="104" t="s">
        <v>21</v>
      </c>
      <c r="O26" s="105"/>
      <c r="P26" s="107" t="s">
        <v>22</v>
      </c>
      <c r="Q26" s="108"/>
      <c r="R26" s="4"/>
    </row>
    <row r="27" spans="1:18">
      <c r="A27" s="1" t="e">
        <f>[239]INDICE!#REF!</f>
        <v>#REF!</v>
      </c>
      <c r="B27" s="2" t="s">
        <v>23</v>
      </c>
      <c r="C27" s="8"/>
      <c r="D27" s="109" t="str">
        <f>IFERROR(INDEX([239]EQUIPOS!B:B,MATCH(B27,[239]EQUIPOS!A:A,0)),"")</f>
        <v>HERRAMIENTA MENOR (% M.O)</v>
      </c>
      <c r="E27" s="110"/>
      <c r="F27" s="110"/>
      <c r="G27" s="110"/>
      <c r="H27" s="111"/>
      <c r="I27" s="112"/>
      <c r="J27" s="111"/>
      <c r="K27" s="113" t="str">
        <f>IFERROR(INDEX([239]EQUIPOS!C:C,MATCH(B27,[239]EQUIPOS!A:A,0)),"")</f>
        <v>%</v>
      </c>
      <c r="L27" s="114"/>
      <c r="M27" s="115">
        <f>IFERROR(IF(D27="HERRAMIENTA MENOR (% M.O)",P66,INDEX([239]EQUIPOS!D:D,MATCH(B27,[239]EQUIPOS!A:A,0))),"")</f>
        <v>101986.82</v>
      </c>
      <c r="N27" s="116">
        <v>10</v>
      </c>
      <c r="O27" s="117"/>
      <c r="P27" s="118">
        <f t="shared" ref="P27:P32" si="0">IFERROR(ROUND(IF(D27="HERRAMIENTA MENOR (% M.O)",N27%*M27,M27/N27),2)," ")</f>
        <v>10198.68</v>
      </c>
      <c r="Q27" s="119"/>
      <c r="R27" s="4"/>
    </row>
    <row r="28" spans="1:18">
      <c r="A28" s="1">
        <f>+$A$1691</f>
        <v>0</v>
      </c>
      <c r="B28" s="2" t="s">
        <v>342</v>
      </c>
      <c r="C28" s="8"/>
      <c r="D28" s="109" t="str">
        <f>IFERROR(INDEX([239]EQUIPOS!B:B,MATCH(B28,[239]EQUIPOS!A:A,0)),"")</f>
        <v>TALADRO</v>
      </c>
      <c r="E28" s="110"/>
      <c r="F28" s="110"/>
      <c r="G28" s="110"/>
      <c r="H28" s="111"/>
      <c r="I28" s="112"/>
      <c r="J28" s="111"/>
      <c r="K28" s="113" t="str">
        <f>IFERROR(INDEX([239]EQUIPOS!C:C,MATCH(B28,[239]EQUIPOS!A:A,0)),"")</f>
        <v>DIA</v>
      </c>
      <c r="L28" s="114"/>
      <c r="M28" s="115">
        <f>IFERROR(IF(D28="HERRAMIENTA MENOR (% M.O)",P67,INDEX([239]EQUIPOS!D:D,MATCH(B28,[239]EQUIPOS!A:A,0))),"")</f>
        <v>36968</v>
      </c>
      <c r="N28" s="116">
        <v>3.2</v>
      </c>
      <c r="O28" s="117"/>
      <c r="P28" s="118">
        <f t="shared" si="0"/>
        <v>11552.5</v>
      </c>
      <c r="Q28" s="119"/>
      <c r="R28" s="4"/>
    </row>
    <row r="29" spans="1:18">
      <c r="A29" s="1">
        <f t="shared" ref="A29:A67" si="1">+A28</f>
        <v>0</v>
      </c>
      <c r="B29" s="2"/>
      <c r="C29" s="8"/>
      <c r="D29" s="109" t="str">
        <f>IFERROR(INDEX([239]EQUIPOS!B:B,MATCH(B29,[239]EQUIPOS!A:A,0)),"")</f>
        <v/>
      </c>
      <c r="E29" s="110"/>
      <c r="F29" s="110"/>
      <c r="G29" s="110"/>
      <c r="H29" s="111"/>
      <c r="I29" s="120"/>
      <c r="J29" s="121"/>
      <c r="K29" s="113" t="str">
        <f>IFERROR(INDEX([239]EQUIPOS!C:C,MATCH(B29,[239]EQUIPOS!A:A,0)),"")</f>
        <v/>
      </c>
      <c r="L29" s="114"/>
      <c r="M29" s="115" t="str">
        <f>IFERROR(IF(D29="HERRAMIENTA MENOR (% M.O)",P68,INDEX([239]EQUIPOS!D:D,MATCH(B29,[239]EQUIPOS!A:A,0))),"")</f>
        <v/>
      </c>
      <c r="N29" s="116"/>
      <c r="O29" s="117"/>
      <c r="P29" s="118" t="str">
        <f t="shared" si="0"/>
        <v xml:space="preserve"> </v>
      </c>
      <c r="Q29" s="119"/>
      <c r="R29" s="4"/>
    </row>
    <row r="30" spans="1:18">
      <c r="A30" s="1">
        <f t="shared" si="1"/>
        <v>0</v>
      </c>
      <c r="B30" s="2"/>
      <c r="C30" s="8"/>
      <c r="D30" s="109" t="str">
        <f>IFERROR(INDEX([239]EQUIPOS!B:B,MATCH(B30,[239]EQUIPOS!A:A,0)),"")</f>
        <v/>
      </c>
      <c r="E30" s="110"/>
      <c r="F30" s="110"/>
      <c r="G30" s="110"/>
      <c r="H30" s="111"/>
      <c r="I30" s="120"/>
      <c r="J30" s="121"/>
      <c r="K30" s="113" t="str">
        <f>IFERROR(INDEX([239]EQUIPOS!C:C,MATCH(B30,[239]EQUIPOS!A:A,0)),"")</f>
        <v/>
      </c>
      <c r="L30" s="114"/>
      <c r="M30" s="115" t="str">
        <f>IFERROR(IF(D30="HERRAMIENTA MENOR (% M.O)",P69,INDEX([239]EQUIPOS!D:D,MATCH(B30,[239]EQUIPOS!A:A,0))),"")</f>
        <v/>
      </c>
      <c r="N30" s="116"/>
      <c r="O30" s="117"/>
      <c r="P30" s="118" t="str">
        <f t="shared" si="0"/>
        <v xml:space="preserve"> </v>
      </c>
      <c r="Q30" s="119"/>
      <c r="R30" s="4"/>
    </row>
    <row r="31" spans="1:18">
      <c r="A31" s="1">
        <f t="shared" si="1"/>
        <v>0</v>
      </c>
      <c r="B31" s="2"/>
      <c r="C31" s="8"/>
      <c r="D31" s="109" t="str">
        <f>IFERROR(INDEX([239]EQUIPOS!B:B,MATCH(B31,[239]EQUIPOS!A:A,0)),"")</f>
        <v/>
      </c>
      <c r="E31" s="110"/>
      <c r="F31" s="110"/>
      <c r="G31" s="110"/>
      <c r="H31" s="111"/>
      <c r="I31" s="112"/>
      <c r="J31" s="111"/>
      <c r="K31" s="113" t="str">
        <f>IFERROR(INDEX([239]EQUIPOS!C:C,MATCH(B31,[239]EQUIPOS!A:A,0)),"")</f>
        <v/>
      </c>
      <c r="L31" s="114"/>
      <c r="M31" s="115" t="str">
        <f>IFERROR(IF(D31="HERRAMIENTA MENOR (% M.O)",P70,INDEX([239]EQUIPOS!D:D,MATCH(B31,[239]EQUIPOS!A:A,0))),"")</f>
        <v/>
      </c>
      <c r="N31" s="116"/>
      <c r="O31" s="117"/>
      <c r="P31" s="118" t="str">
        <f t="shared" si="0"/>
        <v xml:space="preserve"> </v>
      </c>
      <c r="Q31" s="119"/>
      <c r="R31" s="4"/>
    </row>
    <row r="32" spans="1:18" ht="15.75" thickBot="1">
      <c r="A32" s="1">
        <f t="shared" si="1"/>
        <v>0</v>
      </c>
      <c r="B32" s="2"/>
      <c r="C32" s="8"/>
      <c r="D32" s="109" t="str">
        <f>IFERROR(INDEX([239]EQUIPOS!B:B,MATCH(B32,[239]EQUIPOS!A:A,0)),"")</f>
        <v/>
      </c>
      <c r="E32" s="78"/>
      <c r="F32" s="78"/>
      <c r="G32" s="78"/>
      <c r="H32" s="122"/>
      <c r="I32" s="123"/>
      <c r="J32" s="122"/>
      <c r="K32" s="113" t="str">
        <f>IFERROR(INDEX([239]EQUIPOS!C:C,MATCH(B32,[239]EQUIPOS!A:A,0)),"")</f>
        <v/>
      </c>
      <c r="L32" s="124"/>
      <c r="M32" s="115" t="str">
        <f>IFERROR(IF(D32="HERRAMIENTA MENOR (% M.O)",P71,INDEX([239]EQUIPOS!D:D,MATCH(B32,[239]EQUIPOS!A:A,0))),"")</f>
        <v/>
      </c>
      <c r="N32" s="125"/>
      <c r="O32" s="126"/>
      <c r="P32" s="127" t="str">
        <f t="shared" si="0"/>
        <v xml:space="preserve"> </v>
      </c>
      <c r="Q32" s="119"/>
      <c r="R32" s="4"/>
    </row>
    <row r="33" spans="1:18" ht="15.75" thickBot="1">
      <c r="A33" s="1">
        <f t="shared" si="1"/>
        <v>0</v>
      </c>
      <c r="B33" s="2"/>
      <c r="C33" s="8"/>
      <c r="D33" s="128" t="s">
        <v>24</v>
      </c>
      <c r="E33" s="129"/>
      <c r="F33" s="129"/>
      <c r="G33" s="129"/>
      <c r="H33" s="129"/>
      <c r="I33" s="129"/>
      <c r="J33" s="129"/>
      <c r="K33" s="129"/>
      <c r="L33" s="129"/>
      <c r="M33" s="129"/>
      <c r="N33" s="129"/>
      <c r="O33" s="130"/>
      <c r="P33" s="131">
        <f>SUM(P27:P32)</f>
        <v>21751.18</v>
      </c>
      <c r="Q33" s="132"/>
      <c r="R33" s="4"/>
    </row>
    <row r="34" spans="1:18" ht="15.75" thickBot="1">
      <c r="A34" s="1">
        <f t="shared" si="1"/>
        <v>0</v>
      </c>
      <c r="B34" s="2"/>
      <c r="C34" s="8"/>
      <c r="D34" s="74" t="s">
        <v>25</v>
      </c>
      <c r="E34" s="37"/>
      <c r="F34" s="37"/>
      <c r="G34" s="37"/>
      <c r="H34" s="37"/>
      <c r="I34" s="37"/>
      <c r="J34" s="37"/>
      <c r="K34" s="37"/>
      <c r="L34" s="37"/>
      <c r="M34" s="37"/>
      <c r="N34" s="37"/>
      <c r="O34" s="37"/>
      <c r="P34" s="99"/>
      <c r="Q34" s="100"/>
      <c r="R34" s="4"/>
    </row>
    <row r="35" spans="1:18">
      <c r="A35" s="1">
        <f t="shared" si="1"/>
        <v>0</v>
      </c>
      <c r="B35" s="2"/>
      <c r="C35" s="8"/>
      <c r="D35" s="101" t="s">
        <v>14</v>
      </c>
      <c r="E35" s="133"/>
      <c r="F35" s="133"/>
      <c r="G35" s="133"/>
      <c r="H35" s="133"/>
      <c r="I35" s="133"/>
      <c r="J35" s="133"/>
      <c r="K35" s="105"/>
      <c r="L35" s="134" t="s">
        <v>15</v>
      </c>
      <c r="M35" s="106" t="s">
        <v>16</v>
      </c>
      <c r="N35" s="104" t="s">
        <v>26</v>
      </c>
      <c r="O35" s="105"/>
      <c r="P35" s="107" t="s">
        <v>22</v>
      </c>
      <c r="Q35" s="108"/>
      <c r="R35" s="4"/>
    </row>
    <row r="36" spans="1:18">
      <c r="A36" s="1">
        <f t="shared" si="1"/>
        <v>0</v>
      </c>
      <c r="B36" s="2" t="s">
        <v>347</v>
      </c>
      <c r="C36" s="8"/>
      <c r="D36" s="109" t="str">
        <f>IFERROR(INDEX([239]MATERIALES!C:C,MATCH(B36,[239]MATERIALES!B:B,0)),"")</f>
        <v>SANITARIO SENCILLO BLANCO (INCLUYE ACCESORIOS DE CONEXIÓN)</v>
      </c>
      <c r="E36" s="135"/>
      <c r="F36" s="135"/>
      <c r="G36" s="135"/>
      <c r="H36" s="135"/>
      <c r="I36" s="135"/>
      <c r="J36" s="135"/>
      <c r="K36" s="136"/>
      <c r="L36" s="137" t="str">
        <f>IFERROR(INDEX([239]MATERIALES!D:D,MATCH(B36,[239]MATERIALES!B:B,0)),"")</f>
        <v>UND</v>
      </c>
      <c r="M36" s="138">
        <v>1</v>
      </c>
      <c r="N36" s="139">
        <f>IFERROR(INDEX([239]MATERIALES!P:P,MATCH(B36,[239]MATERIALES!B:B,0)),"")</f>
        <v>268216</v>
      </c>
      <c r="O36" s="140"/>
      <c r="P36" s="118">
        <f>IFERROR(ROUND(N36*M36,2),"")</f>
        <v>268216</v>
      </c>
      <c r="Q36" s="119"/>
      <c r="R36" s="4"/>
    </row>
    <row r="37" spans="1:18">
      <c r="A37" s="1">
        <f t="shared" si="1"/>
        <v>0</v>
      </c>
      <c r="B37" s="2" t="s">
        <v>348</v>
      </c>
      <c r="C37" s="8"/>
      <c r="D37" s="109" t="str">
        <f>IFERROR(INDEX([239]MATERIALES!C:C,MATCH(B37,[239]MATERIALES!B:B,0)),"")</f>
        <v>BRIDA FLEXIBLE PARA INSTALACIÓN DE SANITARIO</v>
      </c>
      <c r="E37" s="135"/>
      <c r="F37" s="135"/>
      <c r="G37" s="135"/>
      <c r="H37" s="135"/>
      <c r="I37" s="135"/>
      <c r="J37" s="135"/>
      <c r="K37" s="136"/>
      <c r="L37" s="137" t="str">
        <f>IFERROR(INDEX([239]MATERIALES!D:D,MATCH(B37,[239]MATERIALES!B:B,0)),"")</f>
        <v>UND</v>
      </c>
      <c r="M37" s="138">
        <v>1</v>
      </c>
      <c r="N37" s="139">
        <f>IFERROR(INDEX([239]MATERIALES!P:P,MATCH(B37,[239]MATERIALES!B:B,0)),"")</f>
        <v>55016</v>
      </c>
      <c r="O37" s="140"/>
      <c r="P37" s="118">
        <f>IFERROR(ROUND(N37*M37,2),"")</f>
        <v>55016</v>
      </c>
      <c r="Q37" s="119"/>
      <c r="R37" s="4"/>
    </row>
    <row r="38" spans="1:18">
      <c r="A38" s="1">
        <f t="shared" si="1"/>
        <v>0</v>
      </c>
      <c r="B38" s="2" t="s">
        <v>349</v>
      </c>
      <c r="C38" s="8"/>
      <c r="D38" s="109" t="str">
        <f>IFERROR(INDEX([239]MATERIALES!C:C,MATCH(B38,[239]MATERIALES!B:B,0)),"")</f>
        <v>SELLANTE POLIURETANO TIPO SIKA FLEX PRO 3WF O SIMILAR</v>
      </c>
      <c r="E38" s="110"/>
      <c r="F38" s="110"/>
      <c r="G38" s="110"/>
      <c r="H38" s="110"/>
      <c r="I38" s="110"/>
      <c r="J38" s="110"/>
      <c r="K38" s="111"/>
      <c r="L38" s="137" t="str">
        <f>IFERROR(INDEX([239]MATERIALES!D:D,MATCH(B38,[239]MATERIALES!B:B,0)),"")</f>
        <v>UND</v>
      </c>
      <c r="M38" s="138">
        <v>0.2</v>
      </c>
      <c r="N38" s="139">
        <f>IFERROR(INDEX([239]MATERIALES!P:P,MATCH(B38,[239]MATERIALES!B:B,0)),"")</f>
        <v>37509.339999999997</v>
      </c>
      <c r="O38" s="140"/>
      <c r="P38" s="118">
        <f>IFERROR(ROUND(N38*M38,2),"")</f>
        <v>7501.87</v>
      </c>
      <c r="Q38" s="119"/>
      <c r="R38" s="4"/>
    </row>
    <row r="39" spans="1:18">
      <c r="A39" s="1">
        <f t="shared" si="1"/>
        <v>0</v>
      </c>
      <c r="B39" s="2"/>
      <c r="C39" s="8"/>
      <c r="D39" s="109" t="str">
        <f>IFERROR(INDEX([239]MATERIALES!C:C,MATCH(B39,[239]MATERIALES!B:B,0)),"")</f>
        <v/>
      </c>
      <c r="E39" s="110"/>
      <c r="F39" s="110"/>
      <c r="G39" s="110"/>
      <c r="H39" s="110"/>
      <c r="I39" s="110"/>
      <c r="J39" s="110"/>
      <c r="K39" s="111"/>
      <c r="L39" s="137" t="str">
        <f>IFERROR(INDEX([239]MATERIALES!D:D,MATCH(B39,[239]MATERIALES!B:B,0)),"")</f>
        <v/>
      </c>
      <c r="M39" s="138"/>
      <c r="N39" s="139" t="str">
        <f>IFERROR(INDEX([239]MATERIALES!P:P,MATCH(B39,[239]MATERIALES!B:B,0)),"")</f>
        <v/>
      </c>
      <c r="O39" s="140"/>
      <c r="P39" s="118" t="str">
        <f>IFERROR(ROUND(N39*M39,2),"")</f>
        <v/>
      </c>
      <c r="Q39" s="119"/>
      <c r="R39" s="4"/>
    </row>
    <row r="40" spans="1:18">
      <c r="A40" s="1">
        <f t="shared" si="1"/>
        <v>0</v>
      </c>
      <c r="B40" s="2"/>
      <c r="C40" s="8"/>
      <c r="D40" s="109" t="str">
        <f>IFERROR(INDEX([239]MATERIALES!C:C,MATCH(B40,[239]MATERIALES!B:B,0)),"")</f>
        <v/>
      </c>
      <c r="E40" s="110"/>
      <c r="F40" s="110"/>
      <c r="G40" s="110"/>
      <c r="H40" s="110"/>
      <c r="I40" s="110"/>
      <c r="J40" s="110"/>
      <c r="K40" s="111"/>
      <c r="L40" s="137" t="str">
        <f>IFERROR(INDEX([239]MATERIALES!D:D,MATCH(B40,[239]MATERIALES!B:B,0)),"")</f>
        <v/>
      </c>
      <c r="M40" s="138"/>
      <c r="N40" s="139" t="str">
        <f>IFERROR(INDEX([239]MATERIALES!P:P,MATCH(B40,[239]MATERIALES!B:B,0)),"")</f>
        <v/>
      </c>
      <c r="O40" s="140"/>
      <c r="P40" s="118" t="str">
        <f t="shared" ref="P40:P49" si="2">IFERROR(ROUND(N40*M40,2),"")</f>
        <v/>
      </c>
      <c r="Q40" s="119"/>
      <c r="R40" s="4"/>
    </row>
    <row r="41" spans="1:18">
      <c r="A41" s="1">
        <f t="shared" si="1"/>
        <v>0</v>
      </c>
      <c r="B41" s="2"/>
      <c r="C41" s="8"/>
      <c r="D41" s="109" t="str">
        <f>IFERROR(INDEX([239]MATERIALES!C:C,MATCH(B41,[239]MATERIALES!B:B,0)),"")</f>
        <v/>
      </c>
      <c r="E41" s="110"/>
      <c r="F41" s="110"/>
      <c r="G41" s="110"/>
      <c r="H41" s="110"/>
      <c r="I41" s="110"/>
      <c r="J41" s="110"/>
      <c r="K41" s="111"/>
      <c r="L41" s="137" t="str">
        <f>IFERROR(INDEX([239]MATERIALES!D:D,MATCH(B41,[239]MATERIALES!B:B,0)),"")</f>
        <v/>
      </c>
      <c r="M41" s="138"/>
      <c r="N41" s="139" t="str">
        <f>IFERROR(INDEX([239]MATERIALES!P:P,MATCH(B41,[239]MATERIALES!B:B,0)),"")</f>
        <v/>
      </c>
      <c r="O41" s="140"/>
      <c r="P41" s="118" t="str">
        <f t="shared" si="2"/>
        <v/>
      </c>
      <c r="Q41" s="119"/>
      <c r="R41" s="4"/>
    </row>
    <row r="42" spans="1:18">
      <c r="A42" s="1">
        <f t="shared" si="1"/>
        <v>0</v>
      </c>
      <c r="B42" s="2"/>
      <c r="C42" s="8"/>
      <c r="D42" s="109" t="str">
        <f>IFERROR(INDEX([239]MATERIALES!C:C,MATCH(B42,[239]MATERIALES!B:B,0)),"")</f>
        <v/>
      </c>
      <c r="E42" s="110"/>
      <c r="F42" s="110"/>
      <c r="G42" s="110"/>
      <c r="H42" s="110"/>
      <c r="I42" s="110"/>
      <c r="J42" s="110"/>
      <c r="K42" s="111"/>
      <c r="L42" s="137" t="str">
        <f>IFERROR(INDEX([239]MATERIALES!D:D,MATCH(B42,[239]MATERIALES!B:B,0)),"")</f>
        <v/>
      </c>
      <c r="M42" s="138"/>
      <c r="N42" s="139" t="str">
        <f>IFERROR(INDEX([239]MATERIALES!P:P,MATCH(B42,[239]MATERIALES!B:B,0)),"")</f>
        <v/>
      </c>
      <c r="O42" s="140"/>
      <c r="P42" s="118" t="str">
        <f t="shared" si="2"/>
        <v/>
      </c>
      <c r="Q42" s="119"/>
      <c r="R42" s="4"/>
    </row>
    <row r="43" spans="1:18">
      <c r="A43" s="1">
        <f t="shared" si="1"/>
        <v>0</v>
      </c>
      <c r="B43" s="2"/>
      <c r="C43" s="8"/>
      <c r="D43" s="109" t="str">
        <f>IFERROR(INDEX([239]MATERIALES!C:C,MATCH(B43,[239]MATERIALES!B:B,0)),"")</f>
        <v/>
      </c>
      <c r="E43" s="110"/>
      <c r="F43" s="110"/>
      <c r="G43" s="110"/>
      <c r="H43" s="110"/>
      <c r="I43" s="110"/>
      <c r="J43" s="110"/>
      <c r="K43" s="111"/>
      <c r="L43" s="137" t="str">
        <f>IFERROR(INDEX([239]MATERIALES!D:D,MATCH(B43,[239]MATERIALES!B:B,0)),"")</f>
        <v/>
      </c>
      <c r="M43" s="138"/>
      <c r="N43" s="139" t="str">
        <f>IFERROR(INDEX([239]MATERIALES!P:P,MATCH(B43,[239]MATERIALES!B:B,0)),"")</f>
        <v/>
      </c>
      <c r="O43" s="140"/>
      <c r="P43" s="118" t="str">
        <f t="shared" si="2"/>
        <v/>
      </c>
      <c r="Q43" s="119"/>
      <c r="R43" s="4"/>
    </row>
    <row r="44" spans="1:18">
      <c r="A44" s="1">
        <f t="shared" si="1"/>
        <v>0</v>
      </c>
      <c r="B44" s="2"/>
      <c r="C44" s="8"/>
      <c r="D44" s="109" t="str">
        <f>IFERROR(INDEX([239]MATERIALES!C:C,MATCH(B44,[239]MATERIALES!B:B,0)),"")</f>
        <v/>
      </c>
      <c r="E44" s="110"/>
      <c r="F44" s="110"/>
      <c r="G44" s="110"/>
      <c r="H44" s="110"/>
      <c r="I44" s="110"/>
      <c r="J44" s="110"/>
      <c r="K44" s="111"/>
      <c r="L44" s="137" t="str">
        <f>IFERROR(INDEX([239]MATERIALES!D:D,MATCH(B44,[239]MATERIALES!B:B,0)),"")</f>
        <v/>
      </c>
      <c r="M44" s="138"/>
      <c r="N44" s="139" t="str">
        <f>IFERROR(INDEX([239]MATERIALES!P:P,MATCH(B44,[239]MATERIALES!B:B,0)),"")</f>
        <v/>
      </c>
      <c r="O44" s="140"/>
      <c r="P44" s="118" t="str">
        <f t="shared" si="2"/>
        <v/>
      </c>
      <c r="Q44" s="119"/>
      <c r="R44" s="4"/>
    </row>
    <row r="45" spans="1:18">
      <c r="A45" s="1">
        <f t="shared" si="1"/>
        <v>0</v>
      </c>
      <c r="B45" s="2"/>
      <c r="C45" s="8"/>
      <c r="D45" s="109" t="str">
        <f>IFERROR(INDEX([239]MATERIALES!C:C,MATCH(B45,[239]MATERIALES!B:B,0)),"")</f>
        <v/>
      </c>
      <c r="E45" s="110"/>
      <c r="F45" s="110"/>
      <c r="G45" s="110"/>
      <c r="H45" s="110"/>
      <c r="I45" s="110"/>
      <c r="J45" s="110"/>
      <c r="K45" s="111"/>
      <c r="L45" s="137" t="str">
        <f>IFERROR(INDEX([239]MATERIALES!D:D,MATCH(B45,[239]MATERIALES!B:B,0)),"")</f>
        <v/>
      </c>
      <c r="M45" s="138"/>
      <c r="N45" s="139" t="str">
        <f>IFERROR(INDEX([239]MATERIALES!P:P,MATCH(B45,[239]MATERIALES!B:B,0)),"")</f>
        <v/>
      </c>
      <c r="O45" s="140"/>
      <c r="P45" s="118" t="str">
        <f t="shared" si="2"/>
        <v/>
      </c>
      <c r="Q45" s="119"/>
      <c r="R45" s="4"/>
    </row>
    <row r="46" spans="1:18">
      <c r="A46" s="1">
        <f t="shared" si="1"/>
        <v>0</v>
      </c>
      <c r="B46" s="2"/>
      <c r="C46" s="8"/>
      <c r="D46" s="109" t="str">
        <f>IFERROR(INDEX([239]MATERIALES!C:C,MATCH(B46,[239]MATERIALES!B:B,0)),"")</f>
        <v/>
      </c>
      <c r="E46" s="110"/>
      <c r="F46" s="110"/>
      <c r="G46" s="110"/>
      <c r="H46" s="110"/>
      <c r="I46" s="110"/>
      <c r="J46" s="110"/>
      <c r="K46" s="111"/>
      <c r="L46" s="137" t="str">
        <f>IFERROR(INDEX([239]MATERIALES!D:D,MATCH(B46,[239]MATERIALES!B:B,0)),"")</f>
        <v/>
      </c>
      <c r="M46" s="138"/>
      <c r="N46" s="139" t="str">
        <f>IFERROR(INDEX([239]MATERIALES!P:P,MATCH(B46,[239]MATERIALES!B:B,0)),"")</f>
        <v/>
      </c>
      <c r="O46" s="140"/>
      <c r="P46" s="118" t="str">
        <f t="shared" si="2"/>
        <v/>
      </c>
      <c r="Q46" s="119"/>
      <c r="R46" s="4"/>
    </row>
    <row r="47" spans="1:18">
      <c r="A47" s="1">
        <f t="shared" si="1"/>
        <v>0</v>
      </c>
      <c r="B47" s="2"/>
      <c r="C47" s="8"/>
      <c r="D47" s="109" t="str">
        <f>IFERROR(INDEX([239]MATERIALES!C:C,MATCH(B47,[239]MATERIALES!B:B,0)),"")</f>
        <v/>
      </c>
      <c r="E47" s="110"/>
      <c r="F47" s="110"/>
      <c r="G47" s="110"/>
      <c r="H47" s="110"/>
      <c r="I47" s="110"/>
      <c r="J47" s="110"/>
      <c r="K47" s="111"/>
      <c r="L47" s="137" t="str">
        <f>IFERROR(INDEX([239]MATERIALES!D:D,MATCH(B47,[239]MATERIALES!B:B,0)),"")</f>
        <v/>
      </c>
      <c r="M47" s="138"/>
      <c r="N47" s="139" t="str">
        <f>IFERROR(INDEX([239]MATERIALES!P:P,MATCH(B47,[239]MATERIALES!B:B,0)),"")</f>
        <v/>
      </c>
      <c r="O47" s="140"/>
      <c r="P47" s="118" t="str">
        <f t="shared" si="2"/>
        <v/>
      </c>
      <c r="Q47" s="119"/>
      <c r="R47" s="4"/>
    </row>
    <row r="48" spans="1:18">
      <c r="A48" s="1">
        <f t="shared" si="1"/>
        <v>0</v>
      </c>
      <c r="B48" s="2"/>
      <c r="C48" s="8"/>
      <c r="D48" s="109" t="str">
        <f>IFERROR(INDEX([239]MATERIALES!C:C,MATCH(B48,[239]MATERIALES!B:B,0)),"")</f>
        <v/>
      </c>
      <c r="E48" s="110"/>
      <c r="F48" s="110"/>
      <c r="G48" s="110"/>
      <c r="H48" s="110"/>
      <c r="I48" s="110"/>
      <c r="J48" s="110"/>
      <c r="K48" s="111"/>
      <c r="L48" s="137" t="str">
        <f>IFERROR(INDEX([239]MATERIALES!D:D,MATCH(B48,[239]MATERIALES!B:B,0)),"")</f>
        <v/>
      </c>
      <c r="M48" s="138"/>
      <c r="N48" s="139" t="str">
        <f>IFERROR(INDEX([239]MATERIALES!P:P,MATCH(B48,[239]MATERIALES!B:B,0)),"")</f>
        <v/>
      </c>
      <c r="O48" s="140"/>
      <c r="P48" s="118" t="str">
        <f t="shared" si="2"/>
        <v/>
      </c>
      <c r="Q48" s="119"/>
      <c r="R48" s="4"/>
    </row>
    <row r="49" spans="1:18">
      <c r="A49" s="1">
        <f t="shared" si="1"/>
        <v>0</v>
      </c>
      <c r="B49" s="2"/>
      <c r="C49" s="8"/>
      <c r="D49" s="109" t="str">
        <f>IFERROR(INDEX([239]MATERIALES!C:C,MATCH(B49,[239]MATERIALES!B:B,0)),"")</f>
        <v/>
      </c>
      <c r="E49" s="110"/>
      <c r="F49" s="110"/>
      <c r="G49" s="110"/>
      <c r="H49" s="110"/>
      <c r="I49" s="110"/>
      <c r="J49" s="110"/>
      <c r="K49" s="111"/>
      <c r="L49" s="137" t="str">
        <f>IFERROR(INDEX([239]MATERIALES!D:D,MATCH(B49,[239]MATERIALES!B:B,0)),"")</f>
        <v/>
      </c>
      <c r="M49" s="138"/>
      <c r="N49" s="139" t="str">
        <f>IFERROR(INDEX([239]MATERIALES!P:P,MATCH(B49,[239]MATERIALES!B:B,0)),"")</f>
        <v/>
      </c>
      <c r="O49" s="140"/>
      <c r="P49" s="118" t="str">
        <f t="shared" si="2"/>
        <v/>
      </c>
      <c r="Q49" s="119"/>
      <c r="R49" s="4"/>
    </row>
    <row r="50" spans="1:18" ht="15.75" thickBot="1">
      <c r="A50" s="1">
        <f t="shared" si="1"/>
        <v>0</v>
      </c>
      <c r="B50" s="2"/>
      <c r="C50" s="8"/>
      <c r="D50" s="109" t="s">
        <v>28</v>
      </c>
      <c r="E50" s="110"/>
      <c r="F50" s="110"/>
      <c r="G50" s="110"/>
      <c r="H50" s="110"/>
      <c r="I50" s="110"/>
      <c r="J50" s="110"/>
      <c r="K50" s="111"/>
      <c r="L50" s="137" t="s">
        <v>29</v>
      </c>
      <c r="M50" s="138">
        <v>0.05</v>
      </c>
      <c r="N50" s="139">
        <f>SUM(P36:P49)</f>
        <v>330733.87</v>
      </c>
      <c r="O50" s="140"/>
      <c r="P50" s="118">
        <f>ROUND(N50*M50,2)</f>
        <v>16536.689999999999</v>
      </c>
      <c r="Q50" s="119"/>
      <c r="R50" s="4"/>
    </row>
    <row r="51" spans="1:18" ht="15.75" thickBot="1">
      <c r="A51" s="1">
        <f t="shared" si="1"/>
        <v>0</v>
      </c>
      <c r="B51" s="2"/>
      <c r="C51" s="8"/>
      <c r="D51" s="128" t="s">
        <v>24</v>
      </c>
      <c r="E51" s="129"/>
      <c r="F51" s="129"/>
      <c r="G51" s="129"/>
      <c r="H51" s="129"/>
      <c r="I51" s="129"/>
      <c r="J51" s="129"/>
      <c r="K51" s="129"/>
      <c r="L51" s="129"/>
      <c r="M51" s="129"/>
      <c r="N51" s="129"/>
      <c r="O51" s="130"/>
      <c r="P51" s="131">
        <f>SUM(P36:P50)</f>
        <v>347270.56</v>
      </c>
      <c r="Q51" s="119"/>
      <c r="R51" s="4"/>
    </row>
    <row r="52" spans="1:18" ht="15.75" thickBot="1">
      <c r="A52" s="1">
        <f t="shared" si="1"/>
        <v>0</v>
      </c>
      <c r="B52" s="2"/>
      <c r="C52" s="8"/>
      <c r="D52" s="74" t="s">
        <v>30</v>
      </c>
      <c r="E52" s="37"/>
      <c r="F52" s="37"/>
      <c r="G52" s="37"/>
      <c r="H52" s="37"/>
      <c r="I52" s="37"/>
      <c r="J52" s="37"/>
      <c r="K52" s="37"/>
      <c r="L52" s="37"/>
      <c r="M52" s="37"/>
      <c r="N52" s="37"/>
      <c r="O52" s="37"/>
      <c r="P52" s="99"/>
      <c r="Q52" s="100"/>
      <c r="R52" s="4"/>
    </row>
    <row r="53" spans="1:18">
      <c r="A53" s="1">
        <f t="shared" si="1"/>
        <v>0</v>
      </c>
      <c r="B53" s="2"/>
      <c r="C53" s="8"/>
      <c r="D53" s="101" t="s">
        <v>31</v>
      </c>
      <c r="E53" s="133"/>
      <c r="F53" s="133"/>
      <c r="G53" s="133"/>
      <c r="H53" s="133"/>
      <c r="I53" s="133"/>
      <c r="J53" s="133"/>
      <c r="K53" s="106" t="s">
        <v>32</v>
      </c>
      <c r="L53" s="141" t="s">
        <v>33</v>
      </c>
      <c r="M53" s="106" t="s">
        <v>34</v>
      </c>
      <c r="N53" s="104" t="s">
        <v>20</v>
      </c>
      <c r="O53" s="105"/>
      <c r="P53" s="107" t="s">
        <v>22</v>
      </c>
      <c r="Q53" s="108"/>
      <c r="R53" s="4"/>
    </row>
    <row r="54" spans="1:18">
      <c r="A54" s="1">
        <f t="shared" si="1"/>
        <v>0</v>
      </c>
      <c r="B54" s="2"/>
      <c r="C54" s="8"/>
      <c r="D54" s="142" t="str">
        <f>IFERROR(INDEX([239]TRANSPORTES!B:B,MATCH(B54,[239]TRANSPORTES!A:A,0)),"")</f>
        <v/>
      </c>
      <c r="E54" s="143"/>
      <c r="F54" s="143"/>
      <c r="G54" s="143"/>
      <c r="H54" s="143"/>
      <c r="I54" s="143"/>
      <c r="J54" s="143"/>
      <c r="K54" s="220"/>
      <c r="L54" s="145"/>
      <c r="M54" s="146" t="str">
        <f>IFERROR(INDEX([239]TRANSPORTES!C:C,MATCH(B54,[239]TRANSPORTES!A:A,0)),"")</f>
        <v/>
      </c>
      <c r="N54" s="139" t="str">
        <f>IFERROR(INDEX([239]TRANSPORTES!D:D,MATCH(B54,[239]TRANSPORTES!A:A,0)),"")</f>
        <v/>
      </c>
      <c r="O54" s="147"/>
      <c r="P54" s="148" t="str">
        <f>IFERROR(ROUND(K54*N54*L54,2),"")</f>
        <v/>
      </c>
      <c r="Q54" s="119"/>
      <c r="R54" s="4"/>
    </row>
    <row r="55" spans="1:18">
      <c r="A55" s="1">
        <f t="shared" si="1"/>
        <v>0</v>
      </c>
      <c r="B55" s="2"/>
      <c r="C55" s="8"/>
      <c r="D55" s="142" t="str">
        <f>IFERROR(INDEX([239]TRANSPORTES!B:B,MATCH(B55,[239]TRANSPORTES!A:A,0)),"")</f>
        <v/>
      </c>
      <c r="E55" s="143"/>
      <c r="F55" s="143"/>
      <c r="G55" s="143"/>
      <c r="H55" s="143"/>
      <c r="I55" s="143"/>
      <c r="J55" s="143"/>
      <c r="K55" s="144"/>
      <c r="L55" s="145"/>
      <c r="M55" s="146" t="str">
        <f>IFERROR(INDEX([239]TRANSPORTES!C:C,MATCH(B55,[239]TRANSPORTES!A:A,0)),"")</f>
        <v/>
      </c>
      <c r="N55" s="139" t="str">
        <f>IFERROR(INDEX([239]TRANSPORTES!D:D,MATCH(B55,[239]TRANSPORTES!A:A,0)),"")</f>
        <v/>
      </c>
      <c r="O55" s="147"/>
      <c r="P55" s="148" t="str">
        <f>IFERROR(ROUND(K55*N55*L55,2),"")</f>
        <v/>
      </c>
      <c r="Q55" s="119"/>
      <c r="R55" s="4"/>
    </row>
    <row r="56" spans="1:18">
      <c r="A56" s="1">
        <f t="shared" si="1"/>
        <v>0</v>
      </c>
      <c r="B56" s="2"/>
      <c r="C56" s="8"/>
      <c r="D56" s="142" t="str">
        <f>IFERROR(INDEX([239]TRANSPORTES!B:B,MATCH(B56,[239]TRANSPORTES!A:A,0)),"")</f>
        <v/>
      </c>
      <c r="E56" s="143"/>
      <c r="F56" s="143"/>
      <c r="G56" s="143"/>
      <c r="H56" s="143"/>
      <c r="I56" s="143"/>
      <c r="J56" s="143"/>
      <c r="K56" s="144"/>
      <c r="L56" s="145"/>
      <c r="M56" s="146" t="str">
        <f>IFERROR(INDEX([239]TRANSPORTES!C:C,MATCH(B56,[239]TRANSPORTES!A:A,0)),"")</f>
        <v/>
      </c>
      <c r="N56" s="139" t="str">
        <f>IFERROR(INDEX([239]TRANSPORTES!D:D,MATCH(B56,[239]TRANSPORTES!A:A,0)),"")</f>
        <v/>
      </c>
      <c r="O56" s="147"/>
      <c r="P56" s="148" t="str">
        <f>IFERROR(ROUND(K56*N56*L56,2),"")</f>
        <v/>
      </c>
      <c r="Q56" s="119"/>
      <c r="R56" s="4"/>
    </row>
    <row r="57" spans="1:18" ht="15.75" thickBot="1">
      <c r="A57" s="1">
        <f t="shared" si="1"/>
        <v>0</v>
      </c>
      <c r="B57" s="2"/>
      <c r="C57" s="8"/>
      <c r="D57" s="142" t="str">
        <f>IFERROR(INDEX([239]TRANSPORTES!B:B,MATCH(B57,[239]TRANSPORTES!A:A,0)),"")</f>
        <v/>
      </c>
      <c r="E57" s="143"/>
      <c r="F57" s="143"/>
      <c r="G57" s="143"/>
      <c r="H57" s="143"/>
      <c r="I57" s="143"/>
      <c r="J57" s="143"/>
      <c r="K57" s="149"/>
      <c r="L57" s="150"/>
      <c r="M57" s="146" t="str">
        <f>IFERROR(INDEX([239]TRANSPORTES!C:C,MATCH(B57,[239]TRANSPORTES!A:A,0)),"")</f>
        <v/>
      </c>
      <c r="N57" s="139" t="str">
        <f>IFERROR(INDEX([239]TRANSPORTES!D:D,MATCH(B57,[239]TRANSPORTES!A:A,0)),"")</f>
        <v/>
      </c>
      <c r="O57" s="147"/>
      <c r="P57" s="148" t="str">
        <f>IFERROR(ROUND(K57*N57*L57,2),"")</f>
        <v/>
      </c>
      <c r="Q57" s="119"/>
      <c r="R57" s="4"/>
    </row>
    <row r="58" spans="1:18" ht="15.75" thickBot="1">
      <c r="A58" s="1">
        <f t="shared" si="1"/>
        <v>0</v>
      </c>
      <c r="B58" s="2"/>
      <c r="C58" s="8"/>
      <c r="D58" s="128" t="s">
        <v>24</v>
      </c>
      <c r="E58" s="129"/>
      <c r="F58" s="129"/>
      <c r="G58" s="129"/>
      <c r="H58" s="129"/>
      <c r="I58" s="129"/>
      <c r="J58" s="129"/>
      <c r="K58" s="129"/>
      <c r="L58" s="129"/>
      <c r="M58" s="129"/>
      <c r="N58" s="129"/>
      <c r="O58" s="130"/>
      <c r="P58" s="151">
        <f>SUM(P54:P57)</f>
        <v>0</v>
      </c>
      <c r="Q58" s="132"/>
      <c r="R58" s="4"/>
    </row>
    <row r="59" spans="1:18" ht="15.75" thickBot="1">
      <c r="A59" s="1">
        <f t="shared" si="1"/>
        <v>0</v>
      </c>
      <c r="B59" s="2"/>
      <c r="C59" s="8"/>
      <c r="D59" s="74" t="s">
        <v>36</v>
      </c>
      <c r="E59" s="37"/>
      <c r="F59" s="37"/>
      <c r="G59" s="37"/>
      <c r="H59" s="37"/>
      <c r="I59" s="37"/>
      <c r="J59" s="37"/>
      <c r="K59" s="37"/>
      <c r="L59" s="37"/>
      <c r="M59" s="37"/>
      <c r="N59" s="37"/>
      <c r="O59" s="37"/>
      <c r="P59" s="99"/>
      <c r="Q59" s="100"/>
      <c r="R59" s="4"/>
    </row>
    <row r="60" spans="1:18" ht="30">
      <c r="A60" s="1">
        <f t="shared" si="1"/>
        <v>0</v>
      </c>
      <c r="B60" s="2"/>
      <c r="C60" s="8"/>
      <c r="D60" s="101" t="s">
        <v>37</v>
      </c>
      <c r="E60" s="133"/>
      <c r="F60" s="133"/>
      <c r="G60" s="133"/>
      <c r="H60" s="133"/>
      <c r="I60" s="133"/>
      <c r="J60" s="133"/>
      <c r="K60" s="106" t="s">
        <v>38</v>
      </c>
      <c r="L60" s="152" t="s">
        <v>39</v>
      </c>
      <c r="M60" s="153" t="s">
        <v>40</v>
      </c>
      <c r="N60" s="104" t="s">
        <v>21</v>
      </c>
      <c r="O60" s="105"/>
      <c r="P60" s="154" t="s">
        <v>22</v>
      </c>
      <c r="Q60" s="155"/>
      <c r="R60" s="4"/>
    </row>
    <row r="61" spans="1:18">
      <c r="A61" s="1">
        <f t="shared" si="1"/>
        <v>0</v>
      </c>
      <c r="B61" s="2" t="s">
        <v>41</v>
      </c>
      <c r="C61" s="8"/>
      <c r="D61" s="109" t="str">
        <f>IFERROR(INDEX('[239]MANO DE OBRA'!B:B,MATCH(B61,'[239]MANO DE OBRA'!A:A,0)),"")</f>
        <v>OFICIAL</v>
      </c>
      <c r="E61" s="110"/>
      <c r="F61" s="110"/>
      <c r="G61" s="110"/>
      <c r="H61" s="110"/>
      <c r="I61" s="110"/>
      <c r="J61" s="111"/>
      <c r="K61" s="156">
        <f>IFERROR(INDEX('[239]MANO DE OBRA'!D:D,MATCH(B61,'[239]MANO DE OBRA'!A:A,0)),"")</f>
        <v>95930</v>
      </c>
      <c r="L61" s="157">
        <f>+IF(D61&lt;&gt;"",'[239]FACTOR PRESTACIONAL'!$E$21," ")</f>
        <v>1.95</v>
      </c>
      <c r="M61" s="158">
        <f>IFERROR(K61*L61," ")</f>
        <v>187063.5</v>
      </c>
      <c r="N61" s="159">
        <v>3.2</v>
      </c>
      <c r="O61" s="160"/>
      <c r="P61" s="161">
        <f>IFERROR(ROUND(M61/N61,2)," ")</f>
        <v>58457.34</v>
      </c>
      <c r="Q61" s="162"/>
      <c r="R61" s="4"/>
    </row>
    <row r="62" spans="1:18">
      <c r="A62" s="1">
        <f t="shared" si="1"/>
        <v>0</v>
      </c>
      <c r="B62" s="2" t="s">
        <v>81</v>
      </c>
      <c r="C62" s="8"/>
      <c r="D62" s="109" t="str">
        <f>IFERROR(INDEX('[239]MANO DE OBRA'!B:B,MATCH(B62,'[239]MANO DE OBRA'!A:A,0)),"")</f>
        <v>AYUDANTE (1)</v>
      </c>
      <c r="E62" s="110"/>
      <c r="F62" s="110"/>
      <c r="G62" s="110"/>
      <c r="H62" s="110"/>
      <c r="I62" s="110"/>
      <c r="J62" s="111"/>
      <c r="K62" s="156">
        <f>IFERROR(INDEX('[239]MANO DE OBRA'!D:D,MATCH(B62,'[239]MANO DE OBRA'!A:A,0)),"")</f>
        <v>71433</v>
      </c>
      <c r="L62" s="157">
        <f>+IF(D62&lt;&gt;"",'[239]FACTOR PRESTACIONAL'!$E$21," ")</f>
        <v>1.95</v>
      </c>
      <c r="M62" s="158">
        <f>IFERROR(K62*L62," ")</f>
        <v>139294.35</v>
      </c>
      <c r="N62" s="159">
        <v>3.2</v>
      </c>
      <c r="O62" s="160"/>
      <c r="P62" s="161">
        <f>IFERROR(ROUND(M62/N62,2)," ")</f>
        <v>43529.48</v>
      </c>
      <c r="Q62" s="162"/>
      <c r="R62" s="4"/>
    </row>
    <row r="63" spans="1:18">
      <c r="A63" s="1">
        <f t="shared" si="1"/>
        <v>0</v>
      </c>
      <c r="B63" s="2"/>
      <c r="C63" s="8"/>
      <c r="D63" s="109" t="str">
        <f>IFERROR(INDEX('[239]MANO DE OBRA'!B:B,MATCH(B63,'[239]MANO DE OBRA'!A:A,0)),"")</f>
        <v/>
      </c>
      <c r="E63" s="110"/>
      <c r="F63" s="110"/>
      <c r="G63" s="110"/>
      <c r="H63" s="110"/>
      <c r="I63" s="110"/>
      <c r="J63" s="111"/>
      <c r="K63" s="156" t="str">
        <f>IFERROR(INDEX('[239]MANO DE OBRA'!D:D,MATCH(B63,'[239]MANO DE OBRA'!A:A,0)),"")</f>
        <v/>
      </c>
      <c r="L63" s="157" t="str">
        <f>+IF(D63&lt;&gt;"",'[239]FACTOR PRESTACIONAL'!$E$21," ")</f>
        <v xml:space="preserve"> </v>
      </c>
      <c r="M63" s="158" t="str">
        <f>IFERROR(K63*L63," ")</f>
        <v xml:space="preserve"> </v>
      </c>
      <c r="N63" s="159"/>
      <c r="O63" s="160"/>
      <c r="P63" s="161" t="str">
        <f>IFERROR(ROUND(M63/N63,2)," ")</f>
        <v xml:space="preserve"> </v>
      </c>
      <c r="Q63" s="162"/>
      <c r="R63" s="4"/>
    </row>
    <row r="64" spans="1:18">
      <c r="A64" s="1">
        <f t="shared" si="1"/>
        <v>0</v>
      </c>
      <c r="B64" s="2"/>
      <c r="C64" s="8"/>
      <c r="D64" s="109" t="str">
        <f>IFERROR(INDEX('[239]MANO DE OBRA'!B:B,MATCH(B64,'[239]MANO DE OBRA'!A:A,0)),"")</f>
        <v/>
      </c>
      <c r="E64" s="110"/>
      <c r="F64" s="110"/>
      <c r="G64" s="110"/>
      <c r="H64" s="110"/>
      <c r="I64" s="110"/>
      <c r="J64" s="111"/>
      <c r="K64" s="156" t="str">
        <f>IFERROR(INDEX('[239]MANO DE OBRA'!D:D,MATCH(B64,'[239]MANO DE OBRA'!A:A,0)),"")</f>
        <v/>
      </c>
      <c r="L64" s="157" t="str">
        <f>+IF(D64&lt;&gt;"",'[239]FACTOR PRESTACIONAL'!$E$21," ")</f>
        <v xml:space="preserve"> </v>
      </c>
      <c r="M64" s="158" t="str">
        <f>IFERROR(K64*L64," ")</f>
        <v xml:space="preserve"> </v>
      </c>
      <c r="N64" s="159"/>
      <c r="O64" s="160"/>
      <c r="P64" s="161" t="str">
        <f>IFERROR(ROUND(M64/N64,2)," ")</f>
        <v xml:space="preserve"> </v>
      </c>
      <c r="Q64" s="162"/>
      <c r="R64" s="4"/>
    </row>
    <row r="65" spans="1:18" ht="15.75" thickBot="1">
      <c r="A65" s="1">
        <f t="shared" si="1"/>
        <v>0</v>
      </c>
      <c r="B65" s="2"/>
      <c r="C65" s="8"/>
      <c r="D65" s="109" t="str">
        <f>IFERROR(INDEX('[239]MANO DE OBRA'!B:B,MATCH(B65,'[239]MANO DE OBRA'!A:A,0)),"")</f>
        <v/>
      </c>
      <c r="E65" s="110"/>
      <c r="F65" s="110"/>
      <c r="G65" s="110"/>
      <c r="H65" s="110"/>
      <c r="I65" s="110"/>
      <c r="J65" s="111"/>
      <c r="K65" s="156" t="str">
        <f>IFERROR(INDEX('[239]MANO DE OBRA'!D:D,MATCH(B65,'[239]MANO DE OBRA'!A:A,0)),"")</f>
        <v/>
      </c>
      <c r="L65" s="157" t="str">
        <f>+IF(D65&lt;&gt;"",'[239]FACTOR PRESTACIONAL'!$E$21," ")</f>
        <v xml:space="preserve"> </v>
      </c>
      <c r="M65" s="158" t="str">
        <f>IFERROR(K65*L65," ")</f>
        <v xml:space="preserve"> </v>
      </c>
      <c r="N65" s="159"/>
      <c r="O65" s="160"/>
      <c r="P65" s="161" t="str">
        <f>IFERROR(ROUND(M65/N65,2)," ")</f>
        <v xml:space="preserve"> </v>
      </c>
      <c r="Q65" s="119"/>
      <c r="R65" s="4"/>
    </row>
    <row r="66" spans="1:18" ht="15.75" thickBot="1">
      <c r="A66" s="1">
        <f t="shared" si="1"/>
        <v>0</v>
      </c>
      <c r="B66" s="2"/>
      <c r="C66" s="8"/>
      <c r="D66" s="128" t="s">
        <v>24</v>
      </c>
      <c r="E66" s="129"/>
      <c r="F66" s="129"/>
      <c r="G66" s="129"/>
      <c r="H66" s="129"/>
      <c r="I66" s="129"/>
      <c r="J66" s="129"/>
      <c r="K66" s="129"/>
      <c r="L66" s="129"/>
      <c r="M66" s="129"/>
      <c r="N66" s="129"/>
      <c r="O66" s="130"/>
      <c r="P66" s="131">
        <f>SUM(P61:P65)</f>
        <v>101986.82</v>
      </c>
      <c r="Q66" s="119"/>
      <c r="R66" s="4"/>
    </row>
    <row r="67" spans="1:18" ht="15.75" thickBot="1">
      <c r="A67" s="1">
        <f t="shared" si="1"/>
        <v>0</v>
      </c>
      <c r="B67" s="2"/>
      <c r="C67" s="8"/>
      <c r="D67" s="87"/>
      <c r="E67" s="20"/>
      <c r="F67" s="20"/>
      <c r="G67" s="20"/>
      <c r="H67" s="20"/>
      <c r="I67" s="20"/>
      <c r="J67" s="20"/>
      <c r="K67" s="20"/>
      <c r="L67" s="20"/>
      <c r="M67" s="20"/>
      <c r="N67" s="20"/>
      <c r="O67" s="20"/>
      <c r="P67" s="88"/>
      <c r="Q67" s="13"/>
      <c r="R67" s="4"/>
    </row>
    <row r="68" spans="1:18" ht="15.75" thickBot="1">
      <c r="A68" s="1"/>
      <c r="B68" s="2"/>
      <c r="C68" s="8"/>
      <c r="D68" s="163" t="s">
        <v>43</v>
      </c>
      <c r="E68" s="164"/>
      <c r="F68" s="164"/>
      <c r="G68" s="164"/>
      <c r="H68" s="164"/>
      <c r="I68" s="164"/>
      <c r="J68" s="164"/>
      <c r="K68" s="164"/>
      <c r="L68" s="164"/>
      <c r="M68" s="164"/>
      <c r="N68" s="164"/>
      <c r="O68" s="165"/>
      <c r="P68" s="166">
        <f>+P66+P58+P51+P33</f>
        <v>471008.56</v>
      </c>
      <c r="Q68" s="167"/>
      <c r="R68" s="168"/>
    </row>
    <row r="69" spans="1:18" ht="15.75" thickBot="1">
      <c r="A69" s="1"/>
      <c r="B69" s="2"/>
      <c r="C69" s="8"/>
      <c r="D69" s="169"/>
      <c r="E69" s="170"/>
      <c r="F69" s="170"/>
      <c r="G69" s="170"/>
      <c r="H69" s="170"/>
      <c r="I69" s="170"/>
      <c r="J69" s="170"/>
      <c r="K69" s="170"/>
      <c r="L69" s="170"/>
      <c r="M69" s="170"/>
      <c r="N69" s="170"/>
      <c r="O69" s="170"/>
      <c r="P69" s="171"/>
      <c r="Q69" s="100"/>
      <c r="R69" s="4"/>
    </row>
    <row r="70" spans="1:18">
      <c r="A70" s="1"/>
      <c r="B70" s="2"/>
      <c r="C70" s="8"/>
      <c r="D70" s="172" t="s">
        <v>73</v>
      </c>
      <c r="E70" s="173"/>
      <c r="F70" s="173"/>
      <c r="G70" s="173"/>
      <c r="H70" s="173"/>
      <c r="I70" s="173"/>
      <c r="J70" s="173"/>
      <c r="K70" s="141"/>
      <c r="L70" s="174"/>
      <c r="M70" s="153" t="s">
        <v>44</v>
      </c>
      <c r="N70" s="175" t="s">
        <v>45</v>
      </c>
      <c r="O70" s="176"/>
      <c r="P70" s="154"/>
      <c r="Q70" s="155"/>
      <c r="R70" s="4"/>
    </row>
    <row r="71" spans="1:18">
      <c r="A71" s="1"/>
      <c r="B71" s="2"/>
      <c r="C71" s="8"/>
      <c r="D71" s="109" t="s">
        <v>65</v>
      </c>
      <c r="E71" s="110"/>
      <c r="F71" s="110"/>
      <c r="G71" s="110"/>
      <c r="H71" s="110"/>
      <c r="I71" s="110"/>
      <c r="J71" s="110"/>
      <c r="K71" s="177"/>
      <c r="L71" s="178"/>
      <c r="M71" s="179">
        <f>+[239]INICIO!$F$10</f>
        <v>0.24</v>
      </c>
      <c r="N71" s="180">
        <f>ROUND(M71*P68,2)</f>
        <v>113042.05</v>
      </c>
      <c r="O71" s="181"/>
      <c r="P71" s="182"/>
      <c r="Q71" s="119"/>
      <c r="R71" s="4"/>
    </row>
    <row r="72" spans="1:18">
      <c r="A72" s="1"/>
      <c r="B72" s="2"/>
      <c r="C72" s="8"/>
      <c r="D72" s="183" t="s">
        <v>67</v>
      </c>
      <c r="E72" s="61"/>
      <c r="F72" s="61"/>
      <c r="G72" s="61"/>
      <c r="H72" s="61"/>
      <c r="I72" s="61"/>
      <c r="J72" s="61"/>
      <c r="K72" s="177"/>
      <c r="L72" s="178"/>
      <c r="M72" s="179">
        <f>+[239]INICIO!$F$11</f>
        <v>0.02</v>
      </c>
      <c r="N72" s="180">
        <f>ROUND(M72*P68,2)</f>
        <v>9420.17</v>
      </c>
      <c r="O72" s="181"/>
      <c r="P72" s="182"/>
      <c r="Q72" s="119"/>
      <c r="R72" s="4"/>
    </row>
    <row r="73" spans="1:18" ht="15.75" thickBot="1">
      <c r="A73" s="1"/>
      <c r="B73" s="2"/>
      <c r="C73" s="8"/>
      <c r="D73" s="77" t="s">
        <v>69</v>
      </c>
      <c r="E73" s="78"/>
      <c r="F73" s="78"/>
      <c r="G73" s="78"/>
      <c r="H73" s="78"/>
      <c r="I73" s="78"/>
      <c r="J73" s="78"/>
      <c r="K73" s="184"/>
      <c r="L73" s="185"/>
      <c r="M73" s="179">
        <f>+[239]INICIO!$F$12</f>
        <v>7.0000000000000007E-2</v>
      </c>
      <c r="N73" s="180">
        <f>ROUND(M73*P68,2)</f>
        <v>32970.6</v>
      </c>
      <c r="O73" s="181"/>
      <c r="P73" s="182"/>
      <c r="Q73" s="119"/>
      <c r="R73" s="4"/>
    </row>
    <row r="74" spans="1:18" ht="15.75" thickBot="1">
      <c r="A74" s="1"/>
      <c r="B74" s="2"/>
      <c r="C74" s="8"/>
      <c r="D74" s="128"/>
      <c r="E74" s="129"/>
      <c r="F74" s="129"/>
      <c r="G74" s="129"/>
      <c r="H74" s="129"/>
      <c r="I74" s="129"/>
      <c r="J74" s="129"/>
      <c r="K74" s="129"/>
      <c r="L74" s="129"/>
      <c r="M74" s="129"/>
      <c r="N74" s="129"/>
      <c r="O74" s="130"/>
      <c r="P74" s="131">
        <f>SUM(N71:N73)</f>
        <v>155432.82</v>
      </c>
      <c r="Q74" s="186"/>
      <c r="R74" s="4"/>
    </row>
    <row r="75" spans="1:18" ht="15.75" thickBot="1">
      <c r="A75" s="1"/>
      <c r="B75" s="2"/>
      <c r="C75" s="8"/>
      <c r="D75" s="87"/>
      <c r="E75" s="20"/>
      <c r="F75" s="20"/>
      <c r="G75" s="20"/>
      <c r="H75" s="20"/>
      <c r="I75" s="20"/>
      <c r="J75" s="20"/>
      <c r="K75" s="20"/>
      <c r="L75" s="20"/>
      <c r="M75" s="20"/>
      <c r="N75" s="20"/>
      <c r="O75" s="20"/>
      <c r="P75" s="88"/>
      <c r="Q75" s="13"/>
      <c r="R75" s="4"/>
    </row>
    <row r="76" spans="1:18" ht="15.75" thickBot="1">
      <c r="A76" s="1"/>
      <c r="B76" s="2"/>
      <c r="C76" s="8"/>
      <c r="D76" s="187" t="s">
        <v>46</v>
      </c>
      <c r="E76" s="188"/>
      <c r="F76" s="188"/>
      <c r="G76" s="188"/>
      <c r="H76" s="188"/>
      <c r="I76" s="188"/>
      <c r="J76" s="188"/>
      <c r="K76" s="188"/>
      <c r="L76" s="188"/>
      <c r="M76" s="188"/>
      <c r="N76" s="188"/>
      <c r="O76" s="189"/>
      <c r="P76" s="166">
        <f>ROUND(P74+P68,0)</f>
        <v>626441</v>
      </c>
      <c r="Q76" s="186"/>
      <c r="R76" s="4"/>
    </row>
    <row r="77" spans="1:18">
      <c r="A77" s="1"/>
      <c r="B77" s="2"/>
      <c r="C77" s="8"/>
      <c r="D77" s="80"/>
      <c r="E77" s="81"/>
      <c r="F77" s="81"/>
      <c r="G77" s="81"/>
      <c r="H77" s="81"/>
      <c r="I77" s="81"/>
      <c r="J77" s="81"/>
      <c r="K77" s="81"/>
      <c r="L77" s="81"/>
      <c r="M77" s="81"/>
      <c r="N77" s="81"/>
      <c r="O77" s="81"/>
      <c r="P77" s="82"/>
      <c r="Q77" s="13"/>
      <c r="R77" s="4"/>
    </row>
    <row r="78" spans="1:18">
      <c r="A78" s="1"/>
      <c r="B78" s="2"/>
      <c r="C78" s="8"/>
      <c r="D78" s="87"/>
      <c r="E78" s="20"/>
      <c r="F78" s="20"/>
      <c r="G78" s="20"/>
      <c r="H78" s="20"/>
      <c r="I78" s="20"/>
      <c r="J78" s="20"/>
      <c r="K78" s="20"/>
      <c r="L78" s="20"/>
      <c r="M78" s="20"/>
      <c r="N78" s="20"/>
      <c r="O78" s="20"/>
      <c r="P78" s="88"/>
      <c r="Q78" s="13"/>
      <c r="R78" s="4"/>
    </row>
    <row r="79" spans="1:18">
      <c r="A79" s="1"/>
      <c r="B79" s="2"/>
      <c r="C79" s="8"/>
      <c r="D79" s="87"/>
      <c r="E79" s="20"/>
      <c r="F79" s="20"/>
      <c r="G79" s="20"/>
      <c r="H79" s="20"/>
      <c r="I79" s="20"/>
      <c r="J79" s="20"/>
      <c r="K79" s="20"/>
      <c r="L79" s="20"/>
      <c r="M79" s="20"/>
      <c r="N79" s="20"/>
      <c r="O79" s="20"/>
      <c r="P79" s="88"/>
      <c r="Q79" s="13"/>
      <c r="R79" s="4"/>
    </row>
    <row r="80" spans="1:18">
      <c r="A80" s="1"/>
      <c r="B80" s="2"/>
      <c r="C80" s="8"/>
      <c r="D80" s="87"/>
      <c r="E80" s="20"/>
      <c r="F80" s="20"/>
      <c r="G80" s="20"/>
      <c r="H80" s="20"/>
      <c r="I80" s="20"/>
      <c r="J80" s="20"/>
      <c r="K80" s="20"/>
      <c r="L80" s="20"/>
      <c r="M80" s="20"/>
      <c r="N80" s="20"/>
      <c r="O80" s="20"/>
      <c r="P80" s="88"/>
      <c r="Q80" s="13"/>
      <c r="R80" s="4"/>
    </row>
    <row r="81" spans="1:18">
      <c r="A81" s="1"/>
      <c r="B81" s="2"/>
      <c r="C81" s="8"/>
      <c r="D81" s="219" t="str">
        <f>+[239]INICIO!$B$13</f>
        <v>Proyectó:</v>
      </c>
      <c r="E81" s="49"/>
      <c r="F81" s="49"/>
      <c r="G81" s="49"/>
      <c r="H81" s="49"/>
      <c r="I81" s="49"/>
      <c r="J81" s="49"/>
      <c r="K81" s="20"/>
      <c r="L81" s="69" t="str">
        <f>+[239]INICIO!$B$16</f>
        <v>Aprobó:</v>
      </c>
      <c r="M81" s="49"/>
      <c r="N81" s="49"/>
      <c r="O81" s="49"/>
      <c r="P81" s="88"/>
      <c r="Q81" s="13"/>
      <c r="R81" s="4"/>
    </row>
    <row r="82" spans="1:18">
      <c r="A82" s="1"/>
      <c r="B82" s="2"/>
      <c r="C82" s="8"/>
      <c r="D82" s="87"/>
      <c r="E82" s="20" t="str">
        <f>+Hoja2!C$13</f>
        <v>HELMER EDUARDO BECERRA SANTANDER</v>
      </c>
      <c r="F82" s="20"/>
      <c r="G82" s="20"/>
      <c r="H82" s="20"/>
      <c r="I82" s="20"/>
      <c r="J82" s="20"/>
      <c r="K82" s="20"/>
      <c r="L82" s="20"/>
      <c r="M82" s="20" t="str">
        <f>+Hoja2!$C$16</f>
        <v>JESÚS IVÁN QUIÑONES RUEDA</v>
      </c>
      <c r="N82" s="20"/>
      <c r="O82" s="20"/>
      <c r="P82" s="88"/>
      <c r="Q82" s="190"/>
      <c r="R82" s="4"/>
    </row>
    <row r="83" spans="1:18">
      <c r="A83" s="1"/>
      <c r="B83" s="2"/>
      <c r="C83" s="8"/>
      <c r="D83" s="87"/>
      <c r="E83" s="20" t="str">
        <f>+Hoja2!C$14</f>
        <v>APOYO SEC. DE PLANEACIÓN Y OBRAS PÚBLICAS</v>
      </c>
      <c r="F83" s="20"/>
      <c r="G83" s="20"/>
      <c r="H83" s="20"/>
      <c r="I83" s="20"/>
      <c r="J83" s="20"/>
      <c r="K83" s="20"/>
      <c r="L83" s="20"/>
      <c r="M83" s="20" t="str">
        <f>+Hoja2!$C$17</f>
        <v>SECRETARIO DE PLANEACIÓN Y OBRAS PUBLICAS</v>
      </c>
      <c r="N83" s="20"/>
      <c r="O83" s="20"/>
      <c r="P83" s="88"/>
      <c r="Q83" s="190"/>
      <c r="R83" s="4"/>
    </row>
    <row r="84" spans="1:18">
      <c r="A84" s="1"/>
      <c r="B84" s="2"/>
      <c r="C84" s="8"/>
      <c r="D84" s="68"/>
      <c r="E84" s="20" t="str">
        <f>+Hoja2!C$15</f>
        <v>123769-0701671 NTS</v>
      </c>
      <c r="F84" s="191"/>
      <c r="G84" s="191"/>
      <c r="H84" s="191"/>
      <c r="I84" s="20"/>
      <c r="J84" s="191"/>
      <c r="K84" s="191"/>
      <c r="L84" s="191"/>
      <c r="M84" s="192" t="str">
        <f>+Hoja2!C$18</f>
        <v>A21382020-1090480860</v>
      </c>
      <c r="N84" s="191"/>
      <c r="O84" s="191"/>
      <c r="P84" s="193"/>
      <c r="Q84" s="194"/>
      <c r="R84" s="4"/>
    </row>
    <row r="85" spans="1:18" ht="16.5" thickBot="1">
      <c r="A85" s="1"/>
      <c r="B85" s="2"/>
      <c r="C85" s="8"/>
      <c r="D85" s="195"/>
      <c r="E85" s="150"/>
      <c r="F85" s="150"/>
      <c r="G85" s="150"/>
      <c r="H85" s="150"/>
      <c r="I85" s="150"/>
      <c r="J85" s="150"/>
      <c r="K85" s="150"/>
      <c r="L85" s="150"/>
      <c r="M85" s="150"/>
      <c r="N85" s="150"/>
      <c r="O85" s="150"/>
      <c r="P85" s="196"/>
      <c r="Q85" s="197"/>
      <c r="R85" s="4"/>
    </row>
    <row r="86" spans="1:18" ht="15.75" thickBot="1">
      <c r="A86" s="1"/>
      <c r="B86" s="2"/>
      <c r="C86" s="198"/>
      <c r="D86" s="199"/>
      <c r="E86" s="199"/>
      <c r="F86" s="199"/>
      <c r="G86" s="199"/>
      <c r="H86" s="199"/>
      <c r="I86" s="199"/>
      <c r="J86" s="199"/>
      <c r="K86" s="199"/>
      <c r="L86" s="199"/>
      <c r="M86" s="199"/>
      <c r="N86" s="199"/>
      <c r="O86" s="199"/>
      <c r="P86" s="199"/>
      <c r="Q86" s="200"/>
      <c r="R86" s="4"/>
    </row>
    <row r="87" spans="1:18" ht="16.5" thickTop="1" thickBot="1">
      <c r="A87" s="1"/>
      <c r="B87" s="2"/>
      <c r="C87" s="3"/>
      <c r="D87" s="4"/>
      <c r="E87" s="4"/>
      <c r="F87" s="4"/>
      <c r="G87" s="4"/>
      <c r="H87" s="4"/>
      <c r="I87" s="4"/>
      <c r="J87" s="4"/>
      <c r="K87" s="4"/>
      <c r="L87" s="4"/>
      <c r="M87" s="4"/>
      <c r="N87" s="4"/>
      <c r="O87" s="4"/>
      <c r="P87" s="4"/>
      <c r="Q87" s="4"/>
      <c r="R87" s="4"/>
    </row>
    <row r="88" spans="1:18" ht="15.75" thickTop="1">
      <c r="A88" s="1"/>
      <c r="B88" s="2"/>
      <c r="C88" s="5"/>
      <c r="D88" s="6"/>
      <c r="E88" s="6"/>
      <c r="F88" s="6"/>
      <c r="G88" s="6"/>
      <c r="H88" s="6"/>
      <c r="I88" s="6"/>
      <c r="J88" s="6"/>
      <c r="K88" s="6"/>
      <c r="L88" s="6"/>
      <c r="M88" s="6"/>
      <c r="N88" s="6"/>
      <c r="O88" s="6"/>
      <c r="P88" s="6"/>
      <c r="Q88" s="7"/>
      <c r="R88" s="4"/>
    </row>
    <row r="89" spans="1:18" ht="24">
      <c r="A89" s="1"/>
      <c r="B89" s="2"/>
      <c r="C89" s="8"/>
      <c r="D89" s="9" t="str">
        <f>+[239]INICIO!$C$8</f>
        <v>Análisis de Precios Unitarios- Secretaria de Planeación y Obras Publicas de Cubará, Boyacá.</v>
      </c>
      <c r="E89" s="10"/>
      <c r="F89" s="10"/>
      <c r="G89" s="10"/>
      <c r="H89" s="11"/>
      <c r="I89" s="12"/>
      <c r="J89" s="12"/>
      <c r="K89" s="12"/>
      <c r="L89" s="12"/>
      <c r="M89" s="12"/>
      <c r="N89" s="12"/>
      <c r="O89" s="12"/>
      <c r="P89" s="12"/>
      <c r="Q89" s="13"/>
      <c r="R89" s="4"/>
    </row>
    <row r="90" spans="1:18">
      <c r="A90" s="1"/>
      <c r="B90" s="2"/>
      <c r="C90" s="8"/>
      <c r="D90" s="14" t="s">
        <v>0</v>
      </c>
      <c r="E90" s="15" t="str">
        <f>+[239]INICIO!$C$7</f>
        <v>CCE-EICP-FM-14</v>
      </c>
      <c r="F90" s="16"/>
      <c r="G90" s="17" t="str">
        <f>+[239]INICIO!$B$6</f>
        <v>VERSIÓN</v>
      </c>
      <c r="H90" s="14">
        <f>+[239]INICIO!$C$6</f>
        <v>1</v>
      </c>
      <c r="I90" s="12"/>
      <c r="J90" s="12"/>
      <c r="K90" s="12"/>
      <c r="L90" s="12"/>
      <c r="M90" s="12"/>
      <c r="N90" s="12"/>
      <c r="O90" s="12"/>
      <c r="P90" s="12"/>
      <c r="Q90" s="13"/>
      <c r="R90" s="4"/>
    </row>
    <row r="91" spans="1:18">
      <c r="A91" s="1"/>
      <c r="B91" s="2"/>
      <c r="C91" s="8"/>
      <c r="D91" s="18"/>
      <c r="E91" s="19"/>
      <c r="F91" s="18"/>
      <c r="G91" s="19"/>
      <c r="H91" s="12"/>
      <c r="I91" s="12"/>
      <c r="J91" s="12"/>
      <c r="K91" s="12"/>
      <c r="L91" s="12"/>
      <c r="M91" s="12"/>
      <c r="N91" s="12"/>
      <c r="O91" s="12"/>
      <c r="P91" s="12"/>
      <c r="Q91" s="13"/>
      <c r="R91" s="4"/>
    </row>
    <row r="92" spans="1:18" ht="15.75" thickBot="1">
      <c r="A92" s="1"/>
      <c r="B92" s="2"/>
      <c r="C92" s="8"/>
      <c r="D92" s="20"/>
      <c r="E92" s="20"/>
      <c r="F92" s="20"/>
      <c r="G92" s="20"/>
      <c r="H92" s="20"/>
      <c r="I92" s="20"/>
      <c r="J92" s="20"/>
      <c r="K92" s="20"/>
      <c r="L92" s="20"/>
      <c r="M92" s="20"/>
      <c r="N92" s="20"/>
      <c r="O92" s="20"/>
      <c r="P92" s="20"/>
      <c r="Q92" s="13"/>
      <c r="R92" s="4"/>
    </row>
    <row r="93" spans="1:18">
      <c r="A93" s="1"/>
      <c r="B93" s="2"/>
      <c r="C93" s="8"/>
      <c r="D93" s="21"/>
      <c r="E93" s="22"/>
      <c r="F93" s="23"/>
      <c r="G93" s="23"/>
      <c r="H93" s="23"/>
      <c r="I93" s="23"/>
      <c r="J93" s="23"/>
      <c r="K93" s="23"/>
      <c r="L93" s="24"/>
      <c r="M93" s="25"/>
      <c r="N93" s="26"/>
      <c r="O93" s="26"/>
      <c r="P93" s="27"/>
      <c r="Q93" s="28"/>
      <c r="R93" s="4"/>
    </row>
    <row r="94" spans="1:18">
      <c r="A94" s="1"/>
      <c r="B94" s="2"/>
      <c r="C94" s="8"/>
      <c r="D94" s="29"/>
      <c r="E94" s="30" t="s">
        <v>1</v>
      </c>
      <c r="F94" s="31"/>
      <c r="G94" s="31"/>
      <c r="H94" s="31"/>
      <c r="I94" s="31"/>
      <c r="J94" s="31"/>
      <c r="K94" s="31"/>
      <c r="L94" s="32"/>
      <c r="M94" s="33"/>
      <c r="N94" s="34"/>
      <c r="O94" s="34"/>
      <c r="P94" s="35"/>
      <c r="Q94" s="28"/>
      <c r="R94" s="4"/>
    </row>
    <row r="95" spans="1:18">
      <c r="A95" s="1"/>
      <c r="B95" s="2"/>
      <c r="C95" s="8"/>
      <c r="D95" s="29"/>
      <c r="E95" s="36"/>
      <c r="F95" s="37"/>
      <c r="G95" s="37"/>
      <c r="H95" s="37"/>
      <c r="I95" s="37"/>
      <c r="J95" s="37"/>
      <c r="K95" s="37"/>
      <c r="L95" s="38"/>
      <c r="M95" s="39"/>
      <c r="N95" s="40"/>
      <c r="O95" s="41"/>
      <c r="P95" s="42"/>
      <c r="Q95" s="28"/>
      <c r="R95" s="4"/>
    </row>
    <row r="96" spans="1:18">
      <c r="A96" s="1"/>
      <c r="B96" s="2"/>
      <c r="C96" s="8"/>
      <c r="D96" s="29"/>
      <c r="E96" s="36"/>
      <c r="F96" s="37"/>
      <c r="G96" s="37"/>
      <c r="H96" s="37"/>
      <c r="I96" s="37"/>
      <c r="J96" s="37"/>
      <c r="K96" s="37"/>
      <c r="L96" s="38"/>
      <c r="M96" s="43" t="s">
        <v>2</v>
      </c>
      <c r="N96" s="44"/>
      <c r="O96" s="45">
        <f>+[239]INICIO!$C$6</f>
        <v>1</v>
      </c>
      <c r="P96" s="46"/>
      <c r="Q96" s="28"/>
      <c r="R96" s="4"/>
    </row>
    <row r="97" spans="1:18">
      <c r="A97" s="1"/>
      <c r="B97" s="2"/>
      <c r="C97" s="8"/>
      <c r="D97" s="29"/>
      <c r="E97" s="36"/>
      <c r="F97" s="37"/>
      <c r="G97" s="37"/>
      <c r="H97" s="37"/>
      <c r="I97" s="37"/>
      <c r="J97" s="37"/>
      <c r="K97" s="37"/>
      <c r="L97" s="38"/>
      <c r="M97" s="47"/>
      <c r="N97" s="48"/>
      <c r="O97" s="49"/>
      <c r="P97" s="50"/>
      <c r="Q97" s="51"/>
      <c r="R97" s="4"/>
    </row>
    <row r="98" spans="1:18">
      <c r="A98" s="1"/>
      <c r="B98" s="2"/>
      <c r="C98" s="8"/>
      <c r="D98" s="29"/>
      <c r="E98" s="52"/>
      <c r="F98" s="53"/>
      <c r="G98" s="53"/>
      <c r="H98" s="53"/>
      <c r="I98" s="53"/>
      <c r="J98" s="53"/>
      <c r="K98" s="53"/>
      <c r="L98" s="54"/>
      <c r="M98" s="39"/>
      <c r="N98" s="55"/>
      <c r="O98" s="55"/>
      <c r="P98" s="56"/>
      <c r="Q98" s="28"/>
      <c r="R98" s="4"/>
    </row>
    <row r="99" spans="1:18">
      <c r="A99" s="1"/>
      <c r="B99" s="2"/>
      <c r="C99" s="8"/>
      <c r="D99" s="29"/>
      <c r="E99" s="52"/>
      <c r="F99" s="53"/>
      <c r="G99" s="53"/>
      <c r="H99" s="53"/>
      <c r="I99" s="53"/>
      <c r="J99" s="53"/>
      <c r="K99" s="53"/>
      <c r="L99" s="54"/>
      <c r="M99" s="43" t="s">
        <v>3</v>
      </c>
      <c r="N99" s="43" t="str">
        <f>+VLOOKUP(D110,'PRESUPUESTO OFICIAL '!C:Q,9,FALSE)</f>
        <v>56</v>
      </c>
      <c r="O99" s="43" t="s">
        <v>4</v>
      </c>
      <c r="P99" s="508" t="str">
        <f>+'PRESUPUESTO OFICIAL '!$M$122</f>
        <v>62</v>
      </c>
      <c r="Q99" s="28"/>
      <c r="R99" s="4"/>
    </row>
    <row r="100" spans="1:18">
      <c r="A100" s="1"/>
      <c r="B100" s="2"/>
      <c r="C100" s="8"/>
      <c r="D100" s="29"/>
      <c r="E100" s="30" t="s">
        <v>5</v>
      </c>
      <c r="F100" s="31"/>
      <c r="G100" s="31"/>
      <c r="H100" s="31"/>
      <c r="I100" s="31"/>
      <c r="J100" s="31"/>
      <c r="K100" s="31"/>
      <c r="L100" s="32"/>
      <c r="M100" s="43"/>
      <c r="N100" s="57"/>
      <c r="O100" s="57"/>
      <c r="P100" s="58"/>
      <c r="Q100" s="28"/>
      <c r="R100" s="4"/>
    </row>
    <row r="101" spans="1:18" ht="15.75" thickBot="1">
      <c r="A101" s="1"/>
      <c r="B101" s="2"/>
      <c r="C101" s="8"/>
      <c r="D101" s="59"/>
      <c r="E101" s="60"/>
      <c r="F101" s="60"/>
      <c r="G101" s="60"/>
      <c r="H101" s="60"/>
      <c r="I101" s="60"/>
      <c r="J101" s="60"/>
      <c r="K101" s="60"/>
      <c r="L101" s="60"/>
      <c r="M101" s="60"/>
      <c r="N101" s="61"/>
      <c r="O101" s="61"/>
      <c r="P101" s="62"/>
      <c r="Q101" s="63"/>
      <c r="R101" s="4"/>
    </row>
    <row r="102" spans="1:18">
      <c r="A102" s="1"/>
      <c r="B102" s="2"/>
      <c r="C102" s="8"/>
      <c r="D102" s="64"/>
      <c r="E102" s="65"/>
      <c r="F102" s="65"/>
      <c r="G102" s="65"/>
      <c r="H102" s="65"/>
      <c r="I102" s="65"/>
      <c r="J102" s="65"/>
      <c r="K102" s="65"/>
      <c r="L102" s="65"/>
      <c r="M102" s="66" t="s">
        <v>6</v>
      </c>
      <c r="N102" s="66" t="s">
        <v>7</v>
      </c>
      <c r="O102" s="66" t="s">
        <v>8</v>
      </c>
      <c r="P102" s="67" t="s">
        <v>9</v>
      </c>
      <c r="Q102" s="51"/>
      <c r="R102" s="4"/>
    </row>
    <row r="103" spans="1:18">
      <c r="A103" s="1"/>
      <c r="B103" s="2"/>
      <c r="C103" s="8"/>
      <c r="D103" s="68"/>
      <c r="E103" s="69"/>
      <c r="F103" s="69"/>
      <c r="G103" s="69"/>
      <c r="H103" s="69"/>
      <c r="I103" s="69"/>
      <c r="J103" s="69"/>
      <c r="K103" s="69"/>
      <c r="L103" s="69"/>
      <c r="M103" s="70"/>
      <c r="N103" s="71">
        <f>+Hoja2!B$5</f>
        <v>5</v>
      </c>
      <c r="O103" s="71">
        <f>+Hoja2!C$5</f>
        <v>8</v>
      </c>
      <c r="P103" s="72">
        <f>+Hoja2!D$5</f>
        <v>2026</v>
      </c>
      <c r="Q103" s="73"/>
      <c r="R103" s="4"/>
    </row>
    <row r="104" spans="1:18">
      <c r="A104" s="1"/>
      <c r="B104" s="2"/>
      <c r="C104" s="8"/>
      <c r="D104" s="74"/>
      <c r="E104" s="37"/>
      <c r="F104" s="37"/>
      <c r="G104" s="37"/>
      <c r="H104" s="69"/>
      <c r="I104" s="69"/>
      <c r="J104" s="69"/>
      <c r="K104" s="20"/>
      <c r="L104" s="69"/>
      <c r="M104" s="75"/>
      <c r="N104" s="20"/>
      <c r="O104" s="20"/>
      <c r="P104" s="76"/>
      <c r="Q104" s="73"/>
      <c r="R104" s="4"/>
    </row>
    <row r="105" spans="1:18" ht="15.75" thickBot="1">
      <c r="A105" s="1"/>
      <c r="B105" s="2"/>
      <c r="C105" s="8"/>
      <c r="D105" s="77"/>
      <c r="E105" s="78"/>
      <c r="F105" s="78"/>
      <c r="G105" s="78"/>
      <c r="H105" s="78"/>
      <c r="I105" s="78"/>
      <c r="J105" s="78"/>
      <c r="K105" s="78"/>
      <c r="L105" s="78"/>
      <c r="M105" s="78"/>
      <c r="N105" s="78"/>
      <c r="O105" s="78"/>
      <c r="P105" s="79"/>
      <c r="Q105" s="13"/>
      <c r="R105" s="4"/>
    </row>
    <row r="106" spans="1:18" ht="15.75" thickBot="1">
      <c r="A106" s="1"/>
      <c r="B106" s="2"/>
      <c r="C106" s="8"/>
      <c r="D106" s="80"/>
      <c r="E106" s="81"/>
      <c r="F106" s="81"/>
      <c r="G106" s="81"/>
      <c r="H106" s="81"/>
      <c r="I106" s="81"/>
      <c r="J106" s="20"/>
      <c r="K106" s="20"/>
      <c r="L106" s="81"/>
      <c r="M106" s="81"/>
      <c r="N106" s="81"/>
      <c r="O106" s="81"/>
      <c r="P106" s="82"/>
      <c r="Q106" s="13"/>
      <c r="R106" s="4"/>
    </row>
    <row r="107" spans="1:18">
      <c r="A107" s="1"/>
      <c r="B107" s="2"/>
      <c r="C107" s="8"/>
      <c r="D107" s="83" t="s">
        <v>10</v>
      </c>
      <c r="E107" s="84"/>
      <c r="F107" s="84"/>
      <c r="G107" s="84"/>
      <c r="H107" s="84"/>
      <c r="I107" s="84"/>
      <c r="J107" s="84"/>
      <c r="K107" s="84"/>
      <c r="L107" s="84"/>
      <c r="M107" s="84"/>
      <c r="N107" s="84"/>
      <c r="O107" s="84"/>
      <c r="P107" s="85"/>
      <c r="Q107" s="86"/>
      <c r="R107" s="4"/>
    </row>
    <row r="108" spans="1:18" ht="15.75" thickBot="1">
      <c r="A108" s="1"/>
      <c r="B108" s="2"/>
      <c r="C108" s="8"/>
      <c r="D108" s="87"/>
      <c r="E108" s="20"/>
      <c r="F108" s="20"/>
      <c r="G108" s="20"/>
      <c r="H108" s="20"/>
      <c r="I108" s="20"/>
      <c r="J108" s="20"/>
      <c r="K108" s="20"/>
      <c r="L108" s="20"/>
      <c r="M108" s="20"/>
      <c r="N108" s="20"/>
      <c r="O108" s="20"/>
      <c r="P108" s="88"/>
      <c r="Q108" s="13"/>
      <c r="R108" s="4"/>
    </row>
    <row r="109" spans="1:18">
      <c r="A109" s="1" t="s">
        <v>11</v>
      </c>
      <c r="B109" s="2" t="s">
        <v>12</v>
      </c>
      <c r="C109" s="8"/>
      <c r="D109" s="89" t="s">
        <v>13</v>
      </c>
      <c r="E109" s="90" t="s">
        <v>14</v>
      </c>
      <c r="F109" s="90"/>
      <c r="G109" s="90"/>
      <c r="H109" s="90"/>
      <c r="I109" s="90"/>
      <c r="J109" s="90"/>
      <c r="K109" s="90"/>
      <c r="L109" s="90"/>
      <c r="M109" s="90"/>
      <c r="N109" s="91" t="s">
        <v>15</v>
      </c>
      <c r="O109" s="91"/>
      <c r="P109" s="92" t="s">
        <v>16</v>
      </c>
      <c r="Q109" s="93"/>
      <c r="R109" s="4"/>
    </row>
    <row r="110" spans="1:18" s="373" customFormat="1" ht="29.25" thickBot="1">
      <c r="A110" s="365"/>
      <c r="B110" s="366"/>
      <c r="C110" s="367"/>
      <c r="D110" s="368">
        <f>+'PRESUPUESTO OFICIAL '!C90</f>
        <v>8.02</v>
      </c>
      <c r="E110" s="94" t="str">
        <f>+VLOOKUP(D110,'PRESUPUESTO OFICIAL '!C:H,2,FALSE)</f>
        <v>SUMINISTRO E INSTALACIÓN DE LAVAMANOS COLOR BLANCO DE COLGAR INCLUYE ELEMENTOS DE FIJACIÓN</v>
      </c>
      <c r="F110" s="94"/>
      <c r="G110" s="94"/>
      <c r="H110" s="94"/>
      <c r="I110" s="94"/>
      <c r="J110" s="94"/>
      <c r="K110" s="94"/>
      <c r="L110" s="94"/>
      <c r="M110" s="94"/>
      <c r="N110" s="94" t="str">
        <f>+VLOOKUP(D110,'PRESUPUESTO OFICIAL '!C:H,3,FALSE)</f>
        <v>UND</v>
      </c>
      <c r="O110" s="369"/>
      <c r="P110" s="370">
        <f>+VLOOKUP(D110,'PRESUPUESTO OFICIAL '!C:H,4,FALSE)</f>
        <v>11</v>
      </c>
      <c r="Q110" s="371"/>
      <c r="R110" s="372">
        <f>+P162</f>
        <v>241930</v>
      </c>
    </row>
    <row r="111" spans="1:18" ht="15.75" thickBot="1">
      <c r="A111" s="1"/>
      <c r="B111" s="2"/>
      <c r="C111" s="8"/>
      <c r="D111" s="74" t="s">
        <v>17</v>
      </c>
      <c r="E111" s="37"/>
      <c r="F111" s="37"/>
      <c r="G111" s="37"/>
      <c r="H111" s="37"/>
      <c r="I111" s="37"/>
      <c r="J111" s="37"/>
      <c r="K111" s="37"/>
      <c r="L111" s="37"/>
      <c r="M111" s="37"/>
      <c r="N111" s="37"/>
      <c r="O111" s="37"/>
      <c r="P111" s="99"/>
      <c r="Q111" s="100"/>
      <c r="R111" s="4"/>
    </row>
    <row r="112" spans="1:18">
      <c r="A112" s="1"/>
      <c r="B112" s="2"/>
      <c r="C112" s="8"/>
      <c r="D112" s="101" t="s">
        <v>14</v>
      </c>
      <c r="E112" s="102"/>
      <c r="F112" s="102"/>
      <c r="G112" s="102"/>
      <c r="H112" s="103"/>
      <c r="I112" s="104" t="s">
        <v>18</v>
      </c>
      <c r="J112" s="102"/>
      <c r="K112" s="104" t="s">
        <v>19</v>
      </c>
      <c r="L112" s="105"/>
      <c r="M112" s="106" t="s">
        <v>20</v>
      </c>
      <c r="N112" s="104" t="s">
        <v>21</v>
      </c>
      <c r="O112" s="105"/>
      <c r="P112" s="107" t="s">
        <v>22</v>
      </c>
      <c r="Q112" s="108"/>
      <c r="R112" s="4"/>
    </row>
    <row r="113" spans="1:18">
      <c r="A113" s="1" t="e">
        <f>[239]INDICE!#REF!</f>
        <v>#REF!</v>
      </c>
      <c r="B113" s="2" t="s">
        <v>23</v>
      </c>
      <c r="C113" s="8"/>
      <c r="D113" s="109" t="str">
        <f>IFERROR(INDEX([239]EQUIPOS!B:B,MATCH(B113,[239]EQUIPOS!A:A,0)),"")</f>
        <v>HERRAMIENTA MENOR (% M.O)</v>
      </c>
      <c r="E113" s="110"/>
      <c r="F113" s="110"/>
      <c r="G113" s="110"/>
      <c r="H113" s="111"/>
      <c r="I113" s="112"/>
      <c r="J113" s="111"/>
      <c r="K113" s="113" t="str">
        <f>IFERROR(INDEX([239]EQUIPOS!C:C,MATCH(B113,[239]EQUIPOS!A:A,0)),"")</f>
        <v>%</v>
      </c>
      <c r="L113" s="114"/>
      <c r="M113" s="115">
        <f>IFERROR(IF(D113="HERRAMIENTA MENOR (% M.O)",P152,INDEX([239]EQUIPOS!D:D,MATCH(B113,[239]EQUIPOS!A:A,0))),"")</f>
        <v>40794.729999999996</v>
      </c>
      <c r="N113" s="116">
        <v>10</v>
      </c>
      <c r="O113" s="117"/>
      <c r="P113" s="118">
        <f t="shared" ref="P113:P118" si="3">IFERROR(ROUND(IF(D113="HERRAMIENTA MENOR (% M.O)",N113%*M113,M113/N113),2)," ")</f>
        <v>4079.47</v>
      </c>
      <c r="Q113" s="119"/>
      <c r="R113" s="4"/>
    </row>
    <row r="114" spans="1:18">
      <c r="A114" s="1">
        <f>+$A$1691</f>
        <v>0</v>
      </c>
      <c r="B114" s="2" t="s">
        <v>342</v>
      </c>
      <c r="C114" s="8"/>
      <c r="D114" s="109" t="str">
        <f>IFERROR(INDEX([239]EQUIPOS!B:B,MATCH(B114,[239]EQUIPOS!A:A,0)),"")</f>
        <v>TALADRO</v>
      </c>
      <c r="E114" s="110"/>
      <c r="F114" s="110"/>
      <c r="G114" s="110"/>
      <c r="H114" s="111"/>
      <c r="I114" s="112"/>
      <c r="J114" s="111"/>
      <c r="K114" s="113" t="str">
        <f>IFERROR(INDEX([239]EQUIPOS!C:C,MATCH(B114,[239]EQUIPOS!A:A,0)),"")</f>
        <v>DIA</v>
      </c>
      <c r="L114" s="114"/>
      <c r="M114" s="115">
        <f>IFERROR(IF(D114="HERRAMIENTA MENOR (% M.O)",P153,INDEX([239]EQUIPOS!D:D,MATCH(B114,[239]EQUIPOS!A:A,0))),"")</f>
        <v>36968</v>
      </c>
      <c r="N114" s="116">
        <v>8</v>
      </c>
      <c r="O114" s="117"/>
      <c r="P114" s="118">
        <f t="shared" si="3"/>
        <v>4621</v>
      </c>
      <c r="Q114" s="119"/>
      <c r="R114" s="4"/>
    </row>
    <row r="115" spans="1:18">
      <c r="A115" s="1">
        <f t="shared" ref="A115:A153" si="4">+A114</f>
        <v>0</v>
      </c>
      <c r="B115" s="2"/>
      <c r="C115" s="8"/>
      <c r="D115" s="109" t="str">
        <f>IFERROR(INDEX([239]EQUIPOS!B:B,MATCH(B115,[239]EQUIPOS!A:A,0)),"")</f>
        <v/>
      </c>
      <c r="E115" s="110"/>
      <c r="F115" s="110"/>
      <c r="G115" s="110"/>
      <c r="H115" s="111"/>
      <c r="I115" s="120"/>
      <c r="J115" s="121"/>
      <c r="K115" s="113" t="str">
        <f>IFERROR(INDEX([239]EQUIPOS!C:C,MATCH(B115,[239]EQUIPOS!A:A,0)),"")</f>
        <v/>
      </c>
      <c r="L115" s="114"/>
      <c r="M115" s="115" t="str">
        <f>IFERROR(IF(D115="HERRAMIENTA MENOR (% M.O)",P154,INDEX([239]EQUIPOS!D:D,MATCH(B115,[239]EQUIPOS!A:A,0))),"")</f>
        <v/>
      </c>
      <c r="N115" s="116"/>
      <c r="O115" s="117"/>
      <c r="P115" s="118" t="str">
        <f t="shared" si="3"/>
        <v xml:space="preserve"> </v>
      </c>
      <c r="Q115" s="119"/>
      <c r="R115" s="4"/>
    </row>
    <row r="116" spans="1:18">
      <c r="A116" s="1">
        <f t="shared" si="4"/>
        <v>0</v>
      </c>
      <c r="B116" s="2"/>
      <c r="C116" s="8"/>
      <c r="D116" s="109" t="str">
        <f>IFERROR(INDEX([239]EQUIPOS!B:B,MATCH(B116,[239]EQUIPOS!A:A,0)),"")</f>
        <v/>
      </c>
      <c r="E116" s="110"/>
      <c r="F116" s="110"/>
      <c r="G116" s="110"/>
      <c r="H116" s="111"/>
      <c r="I116" s="120"/>
      <c r="J116" s="121"/>
      <c r="K116" s="113" t="str">
        <f>IFERROR(INDEX([239]EQUIPOS!C:C,MATCH(B116,[239]EQUIPOS!A:A,0)),"")</f>
        <v/>
      </c>
      <c r="L116" s="114"/>
      <c r="M116" s="115" t="str">
        <f>IFERROR(IF(D116="HERRAMIENTA MENOR (% M.O)",P155,INDEX([239]EQUIPOS!D:D,MATCH(B116,[239]EQUIPOS!A:A,0))),"")</f>
        <v/>
      </c>
      <c r="N116" s="116"/>
      <c r="O116" s="117"/>
      <c r="P116" s="118" t="str">
        <f t="shared" si="3"/>
        <v xml:space="preserve"> </v>
      </c>
      <c r="Q116" s="119"/>
      <c r="R116" s="4"/>
    </row>
    <row r="117" spans="1:18">
      <c r="A117" s="1">
        <f t="shared" si="4"/>
        <v>0</v>
      </c>
      <c r="B117" s="2"/>
      <c r="C117" s="8"/>
      <c r="D117" s="109" t="str">
        <f>IFERROR(INDEX([239]EQUIPOS!B:B,MATCH(B117,[239]EQUIPOS!A:A,0)),"")</f>
        <v/>
      </c>
      <c r="E117" s="110"/>
      <c r="F117" s="110"/>
      <c r="G117" s="110"/>
      <c r="H117" s="111"/>
      <c r="I117" s="112"/>
      <c r="J117" s="111"/>
      <c r="K117" s="113" t="str">
        <f>IFERROR(INDEX([239]EQUIPOS!C:C,MATCH(B117,[239]EQUIPOS!A:A,0)),"")</f>
        <v/>
      </c>
      <c r="L117" s="114"/>
      <c r="M117" s="115" t="str">
        <f>IFERROR(IF(D117="HERRAMIENTA MENOR (% M.O)",P156,INDEX([239]EQUIPOS!D:D,MATCH(B117,[239]EQUIPOS!A:A,0))),"")</f>
        <v/>
      </c>
      <c r="N117" s="116"/>
      <c r="O117" s="117"/>
      <c r="P117" s="118" t="str">
        <f t="shared" si="3"/>
        <v xml:space="preserve"> </v>
      </c>
      <c r="Q117" s="119"/>
      <c r="R117" s="4"/>
    </row>
    <row r="118" spans="1:18" ht="15.75" thickBot="1">
      <c r="A118" s="1">
        <f t="shared" si="4"/>
        <v>0</v>
      </c>
      <c r="B118" s="2"/>
      <c r="C118" s="8"/>
      <c r="D118" s="109" t="str">
        <f>IFERROR(INDEX([239]EQUIPOS!B:B,MATCH(B118,[239]EQUIPOS!A:A,0)),"")</f>
        <v/>
      </c>
      <c r="E118" s="78"/>
      <c r="F118" s="78"/>
      <c r="G118" s="78"/>
      <c r="H118" s="122"/>
      <c r="I118" s="123"/>
      <c r="J118" s="122"/>
      <c r="K118" s="113" t="str">
        <f>IFERROR(INDEX([239]EQUIPOS!C:C,MATCH(B118,[239]EQUIPOS!A:A,0)),"")</f>
        <v/>
      </c>
      <c r="L118" s="124"/>
      <c r="M118" s="115" t="str">
        <f>IFERROR(IF(D118="HERRAMIENTA MENOR (% M.O)",P157,INDEX([239]EQUIPOS!D:D,MATCH(B118,[239]EQUIPOS!A:A,0))),"")</f>
        <v/>
      </c>
      <c r="N118" s="125"/>
      <c r="O118" s="126"/>
      <c r="P118" s="127" t="str">
        <f t="shared" si="3"/>
        <v xml:space="preserve"> </v>
      </c>
      <c r="Q118" s="119"/>
      <c r="R118" s="4"/>
    </row>
    <row r="119" spans="1:18" ht="15.75" thickBot="1">
      <c r="A119" s="1">
        <f t="shared" si="4"/>
        <v>0</v>
      </c>
      <c r="B119" s="2"/>
      <c r="C119" s="8"/>
      <c r="D119" s="128" t="s">
        <v>24</v>
      </c>
      <c r="E119" s="129"/>
      <c r="F119" s="129"/>
      <c r="G119" s="129"/>
      <c r="H119" s="129"/>
      <c r="I119" s="129"/>
      <c r="J119" s="129"/>
      <c r="K119" s="129"/>
      <c r="L119" s="129"/>
      <c r="M119" s="129"/>
      <c r="N119" s="129"/>
      <c r="O119" s="130"/>
      <c r="P119" s="131">
        <f>SUM(P113:P118)</f>
        <v>8700.4699999999993</v>
      </c>
      <c r="Q119" s="132"/>
      <c r="R119" s="4"/>
    </row>
    <row r="120" spans="1:18" ht="15.75" thickBot="1">
      <c r="A120" s="1">
        <f t="shared" si="4"/>
        <v>0</v>
      </c>
      <c r="B120" s="2"/>
      <c r="C120" s="8"/>
      <c r="D120" s="74" t="s">
        <v>25</v>
      </c>
      <c r="E120" s="37"/>
      <c r="F120" s="37"/>
      <c r="G120" s="37"/>
      <c r="H120" s="37"/>
      <c r="I120" s="37"/>
      <c r="J120" s="37"/>
      <c r="K120" s="37"/>
      <c r="L120" s="37"/>
      <c r="M120" s="37"/>
      <c r="N120" s="37"/>
      <c r="O120" s="37"/>
      <c r="P120" s="99"/>
      <c r="Q120" s="100"/>
      <c r="R120" s="4"/>
    </row>
    <row r="121" spans="1:18">
      <c r="A121" s="1">
        <f t="shared" si="4"/>
        <v>0</v>
      </c>
      <c r="B121" s="2"/>
      <c r="C121" s="8"/>
      <c r="D121" s="101" t="s">
        <v>14</v>
      </c>
      <c r="E121" s="133"/>
      <c r="F121" s="133"/>
      <c r="G121" s="133"/>
      <c r="H121" s="133"/>
      <c r="I121" s="133"/>
      <c r="J121" s="133"/>
      <c r="K121" s="105"/>
      <c r="L121" s="134" t="s">
        <v>15</v>
      </c>
      <c r="M121" s="106" t="s">
        <v>16</v>
      </c>
      <c r="N121" s="104" t="s">
        <v>26</v>
      </c>
      <c r="O121" s="105"/>
      <c r="P121" s="107" t="s">
        <v>22</v>
      </c>
      <c r="Q121" s="108"/>
      <c r="R121" s="4"/>
    </row>
    <row r="122" spans="1:18">
      <c r="A122" s="1">
        <f t="shared" si="4"/>
        <v>0</v>
      </c>
      <c r="B122" s="2" t="s">
        <v>350</v>
      </c>
      <c r="C122" s="8"/>
      <c r="D122" s="109" t="str">
        <f>IFERROR(INDEX([239]MATERIALES!C:C,MATCH(B122,[239]MATERIALES!B:B,0)),"")</f>
        <v>LAVAMANOS BLANCO DE COLGAR. INCLUYE GRAPAS DE ANCLAJE</v>
      </c>
      <c r="E122" s="135"/>
      <c r="F122" s="135"/>
      <c r="G122" s="135"/>
      <c r="H122" s="135"/>
      <c r="I122" s="135"/>
      <c r="J122" s="135"/>
      <c r="K122" s="136"/>
      <c r="L122" s="137" t="str">
        <f>IFERROR(INDEX([239]MATERIALES!D:D,MATCH(B122,[239]MATERIALES!B:B,0)),"")</f>
        <v>UND</v>
      </c>
      <c r="M122" s="138">
        <v>1</v>
      </c>
      <c r="N122" s="139">
        <f>IFERROR(INDEX([239]MATERIALES!P:P,MATCH(B122,[239]MATERIALES!B:B,0)),"")</f>
        <v>118600</v>
      </c>
      <c r="O122" s="140"/>
      <c r="P122" s="118">
        <f>IFERROR(ROUND(N122*M122,2),"")</f>
        <v>118600</v>
      </c>
      <c r="Q122" s="119"/>
      <c r="R122" s="4"/>
    </row>
    <row r="123" spans="1:18">
      <c r="A123" s="1">
        <f t="shared" si="4"/>
        <v>0</v>
      </c>
      <c r="B123" s="2" t="s">
        <v>349</v>
      </c>
      <c r="C123" s="8"/>
      <c r="D123" s="109" t="str">
        <f>IFERROR(INDEX([239]MATERIALES!C:C,MATCH(B123,[239]MATERIALES!B:B,0)),"")</f>
        <v>SELLANTE POLIURETANO TIPO SIKA FLEX PRO 3WF O SIMILAR</v>
      </c>
      <c r="E123" s="135"/>
      <c r="F123" s="135"/>
      <c r="G123" s="135"/>
      <c r="H123" s="135"/>
      <c r="I123" s="135"/>
      <c r="J123" s="135"/>
      <c r="K123" s="136"/>
      <c r="L123" s="137" t="str">
        <f>IFERROR(INDEX([239]MATERIALES!D:D,MATCH(B123,[239]MATERIALES!B:B,0)),"")</f>
        <v>UND</v>
      </c>
      <c r="M123" s="138">
        <v>0.2</v>
      </c>
      <c r="N123" s="139">
        <f>IFERROR(INDEX([239]MATERIALES!P:P,MATCH(B123,[239]MATERIALES!B:B,0)),"")</f>
        <v>37509.339999999997</v>
      </c>
      <c r="O123" s="140"/>
      <c r="P123" s="118">
        <f>IFERROR(ROUND(N123*M123,2),"")</f>
        <v>7501.87</v>
      </c>
      <c r="Q123" s="119"/>
      <c r="R123" s="4"/>
    </row>
    <row r="124" spans="1:18">
      <c r="A124" s="1">
        <f t="shared" si="4"/>
        <v>0</v>
      </c>
      <c r="B124" s="2"/>
      <c r="C124" s="8"/>
      <c r="D124" s="109" t="str">
        <f>IFERROR(INDEX([239]MATERIALES!C:C,MATCH(B124,[239]MATERIALES!B:B,0)),"")</f>
        <v/>
      </c>
      <c r="E124" s="110"/>
      <c r="F124" s="110"/>
      <c r="G124" s="110"/>
      <c r="H124" s="110"/>
      <c r="I124" s="110"/>
      <c r="J124" s="110"/>
      <c r="K124" s="111"/>
      <c r="L124" s="137" t="str">
        <f>IFERROR(INDEX([239]MATERIALES!D:D,MATCH(B124,[239]MATERIALES!B:B,0)),"")</f>
        <v/>
      </c>
      <c r="M124" s="138"/>
      <c r="N124" s="139" t="str">
        <f>IFERROR(INDEX([239]MATERIALES!P:P,MATCH(B124,[239]MATERIALES!B:B,0)),"")</f>
        <v/>
      </c>
      <c r="O124" s="140"/>
      <c r="P124" s="118" t="str">
        <f>IFERROR(ROUND(N124*M124,2),"")</f>
        <v/>
      </c>
      <c r="Q124" s="119"/>
      <c r="R124" s="4"/>
    </row>
    <row r="125" spans="1:18">
      <c r="A125" s="1">
        <f t="shared" si="4"/>
        <v>0</v>
      </c>
      <c r="B125" s="2"/>
      <c r="C125" s="8"/>
      <c r="D125" s="109" t="str">
        <f>IFERROR(INDEX([239]MATERIALES!C:C,MATCH(B125,[239]MATERIALES!B:B,0)),"")</f>
        <v/>
      </c>
      <c r="E125" s="110"/>
      <c r="F125" s="110"/>
      <c r="G125" s="110"/>
      <c r="H125" s="110"/>
      <c r="I125" s="110"/>
      <c r="J125" s="110"/>
      <c r="K125" s="111"/>
      <c r="L125" s="137" t="str">
        <f>IFERROR(INDEX([239]MATERIALES!D:D,MATCH(B125,[239]MATERIALES!B:B,0)),"")</f>
        <v/>
      </c>
      <c r="M125" s="138"/>
      <c r="N125" s="139" t="str">
        <f>IFERROR(INDEX([239]MATERIALES!P:P,MATCH(B125,[239]MATERIALES!B:B,0)),"")</f>
        <v/>
      </c>
      <c r="O125" s="140"/>
      <c r="P125" s="118" t="str">
        <f>IFERROR(ROUND(N125*M125,2),"")</f>
        <v/>
      </c>
      <c r="Q125" s="119"/>
      <c r="R125" s="4"/>
    </row>
    <row r="126" spans="1:18">
      <c r="A126" s="1">
        <f t="shared" si="4"/>
        <v>0</v>
      </c>
      <c r="B126" s="2"/>
      <c r="C126" s="8"/>
      <c r="D126" s="109" t="str">
        <f>IFERROR(INDEX([239]MATERIALES!C:C,MATCH(B126,[239]MATERIALES!B:B,0)),"")</f>
        <v/>
      </c>
      <c r="E126" s="110"/>
      <c r="F126" s="110"/>
      <c r="G126" s="110"/>
      <c r="H126" s="110"/>
      <c r="I126" s="110"/>
      <c r="J126" s="110"/>
      <c r="K126" s="111"/>
      <c r="L126" s="137" t="str">
        <f>IFERROR(INDEX([239]MATERIALES!D:D,MATCH(B126,[239]MATERIALES!B:B,0)),"")</f>
        <v/>
      </c>
      <c r="M126" s="138"/>
      <c r="N126" s="139" t="str">
        <f>IFERROR(INDEX([239]MATERIALES!P:P,MATCH(B126,[239]MATERIALES!B:B,0)),"")</f>
        <v/>
      </c>
      <c r="O126" s="140"/>
      <c r="P126" s="118" t="str">
        <f t="shared" ref="P126:P135" si="5">IFERROR(ROUND(N126*M126,2),"")</f>
        <v/>
      </c>
      <c r="Q126" s="119"/>
      <c r="R126" s="4"/>
    </row>
    <row r="127" spans="1:18">
      <c r="A127" s="1">
        <f t="shared" si="4"/>
        <v>0</v>
      </c>
      <c r="B127" s="2"/>
      <c r="C127" s="8"/>
      <c r="D127" s="109" t="str">
        <f>IFERROR(INDEX([239]MATERIALES!C:C,MATCH(B127,[239]MATERIALES!B:B,0)),"")</f>
        <v/>
      </c>
      <c r="E127" s="110"/>
      <c r="F127" s="110"/>
      <c r="G127" s="110"/>
      <c r="H127" s="110"/>
      <c r="I127" s="110"/>
      <c r="J127" s="110"/>
      <c r="K127" s="111"/>
      <c r="L127" s="137" t="str">
        <f>IFERROR(INDEX([239]MATERIALES!D:D,MATCH(B127,[239]MATERIALES!B:B,0)),"")</f>
        <v/>
      </c>
      <c r="M127" s="138"/>
      <c r="N127" s="139" t="str">
        <f>IFERROR(INDEX([239]MATERIALES!P:P,MATCH(B127,[239]MATERIALES!B:B,0)),"")</f>
        <v/>
      </c>
      <c r="O127" s="140"/>
      <c r="P127" s="118" t="str">
        <f t="shared" si="5"/>
        <v/>
      </c>
      <c r="Q127" s="119"/>
      <c r="R127" s="4"/>
    </row>
    <row r="128" spans="1:18">
      <c r="A128" s="1">
        <f t="shared" si="4"/>
        <v>0</v>
      </c>
      <c r="B128" s="2"/>
      <c r="C128" s="8"/>
      <c r="D128" s="109" t="str">
        <f>IFERROR(INDEX([239]MATERIALES!C:C,MATCH(B128,[239]MATERIALES!B:B,0)),"")</f>
        <v/>
      </c>
      <c r="E128" s="110"/>
      <c r="F128" s="110"/>
      <c r="G128" s="110"/>
      <c r="H128" s="110"/>
      <c r="I128" s="110"/>
      <c r="J128" s="110"/>
      <c r="K128" s="111"/>
      <c r="L128" s="137" t="str">
        <f>IFERROR(INDEX([239]MATERIALES!D:D,MATCH(B128,[239]MATERIALES!B:B,0)),"")</f>
        <v/>
      </c>
      <c r="M128" s="138"/>
      <c r="N128" s="139" t="str">
        <f>IFERROR(INDEX([239]MATERIALES!P:P,MATCH(B128,[239]MATERIALES!B:B,0)),"")</f>
        <v/>
      </c>
      <c r="O128" s="140"/>
      <c r="P128" s="118" t="str">
        <f t="shared" si="5"/>
        <v/>
      </c>
      <c r="Q128" s="119"/>
      <c r="R128" s="4"/>
    </row>
    <row r="129" spans="1:18">
      <c r="A129" s="1">
        <f t="shared" si="4"/>
        <v>0</v>
      </c>
      <c r="B129" s="2"/>
      <c r="C129" s="8"/>
      <c r="D129" s="109" t="str">
        <f>IFERROR(INDEX([239]MATERIALES!C:C,MATCH(B129,[239]MATERIALES!B:B,0)),"")</f>
        <v/>
      </c>
      <c r="E129" s="110"/>
      <c r="F129" s="110"/>
      <c r="G129" s="110"/>
      <c r="H129" s="110"/>
      <c r="I129" s="110"/>
      <c r="J129" s="110"/>
      <c r="K129" s="111"/>
      <c r="L129" s="137" t="str">
        <f>IFERROR(INDEX([239]MATERIALES!D:D,MATCH(B129,[239]MATERIALES!B:B,0)),"")</f>
        <v/>
      </c>
      <c r="M129" s="138"/>
      <c r="N129" s="139" t="str">
        <f>IFERROR(INDEX([239]MATERIALES!P:P,MATCH(B129,[239]MATERIALES!B:B,0)),"")</f>
        <v/>
      </c>
      <c r="O129" s="140"/>
      <c r="P129" s="118" t="str">
        <f t="shared" si="5"/>
        <v/>
      </c>
      <c r="Q129" s="119"/>
      <c r="R129" s="4"/>
    </row>
    <row r="130" spans="1:18">
      <c r="A130" s="1">
        <f t="shared" si="4"/>
        <v>0</v>
      </c>
      <c r="B130" s="2"/>
      <c r="C130" s="8"/>
      <c r="D130" s="109" t="str">
        <f>IFERROR(INDEX([239]MATERIALES!C:C,MATCH(B130,[239]MATERIALES!B:B,0)),"")</f>
        <v/>
      </c>
      <c r="E130" s="110"/>
      <c r="F130" s="110"/>
      <c r="G130" s="110"/>
      <c r="H130" s="110"/>
      <c r="I130" s="110"/>
      <c r="J130" s="110"/>
      <c r="K130" s="111"/>
      <c r="L130" s="137" t="str">
        <f>IFERROR(INDEX([239]MATERIALES!D:D,MATCH(B130,[239]MATERIALES!B:B,0)),"")</f>
        <v/>
      </c>
      <c r="M130" s="138"/>
      <c r="N130" s="139" t="str">
        <f>IFERROR(INDEX([239]MATERIALES!P:P,MATCH(B130,[239]MATERIALES!B:B,0)),"")</f>
        <v/>
      </c>
      <c r="O130" s="140"/>
      <c r="P130" s="118" t="str">
        <f t="shared" si="5"/>
        <v/>
      </c>
      <c r="Q130" s="119"/>
      <c r="R130" s="4"/>
    </row>
    <row r="131" spans="1:18">
      <c r="A131" s="1">
        <f t="shared" si="4"/>
        <v>0</v>
      </c>
      <c r="B131" s="2"/>
      <c r="C131" s="8"/>
      <c r="D131" s="109" t="str">
        <f>IFERROR(INDEX([239]MATERIALES!C:C,MATCH(B131,[239]MATERIALES!B:B,0)),"")</f>
        <v/>
      </c>
      <c r="E131" s="110"/>
      <c r="F131" s="110"/>
      <c r="G131" s="110"/>
      <c r="H131" s="110"/>
      <c r="I131" s="110"/>
      <c r="J131" s="110"/>
      <c r="K131" s="111"/>
      <c r="L131" s="137" t="str">
        <f>IFERROR(INDEX([239]MATERIALES!D:D,MATCH(B131,[239]MATERIALES!B:B,0)),"")</f>
        <v/>
      </c>
      <c r="M131" s="138"/>
      <c r="N131" s="139" t="str">
        <f>IFERROR(INDEX([239]MATERIALES!P:P,MATCH(B131,[239]MATERIALES!B:B,0)),"")</f>
        <v/>
      </c>
      <c r="O131" s="140"/>
      <c r="P131" s="118" t="str">
        <f t="shared" si="5"/>
        <v/>
      </c>
      <c r="Q131" s="119"/>
      <c r="R131" s="4"/>
    </row>
    <row r="132" spans="1:18">
      <c r="A132" s="1">
        <f t="shared" si="4"/>
        <v>0</v>
      </c>
      <c r="B132" s="2"/>
      <c r="C132" s="8"/>
      <c r="D132" s="109" t="str">
        <f>IFERROR(INDEX([239]MATERIALES!C:C,MATCH(B132,[239]MATERIALES!B:B,0)),"")</f>
        <v/>
      </c>
      <c r="E132" s="110"/>
      <c r="F132" s="110"/>
      <c r="G132" s="110"/>
      <c r="H132" s="110"/>
      <c r="I132" s="110"/>
      <c r="J132" s="110"/>
      <c r="K132" s="111"/>
      <c r="L132" s="137" t="str">
        <f>IFERROR(INDEX([239]MATERIALES!D:D,MATCH(B132,[239]MATERIALES!B:B,0)),"")</f>
        <v/>
      </c>
      <c r="M132" s="138"/>
      <c r="N132" s="139" t="str">
        <f>IFERROR(INDEX([239]MATERIALES!P:P,MATCH(B132,[239]MATERIALES!B:B,0)),"")</f>
        <v/>
      </c>
      <c r="O132" s="140"/>
      <c r="P132" s="118" t="str">
        <f t="shared" si="5"/>
        <v/>
      </c>
      <c r="Q132" s="119"/>
      <c r="R132" s="4"/>
    </row>
    <row r="133" spans="1:18">
      <c r="A133" s="1">
        <f t="shared" si="4"/>
        <v>0</v>
      </c>
      <c r="B133" s="2"/>
      <c r="C133" s="8"/>
      <c r="D133" s="109" t="str">
        <f>IFERROR(INDEX([239]MATERIALES!C:C,MATCH(B133,[239]MATERIALES!B:B,0)),"")</f>
        <v/>
      </c>
      <c r="E133" s="110"/>
      <c r="F133" s="110"/>
      <c r="G133" s="110"/>
      <c r="H133" s="110"/>
      <c r="I133" s="110"/>
      <c r="J133" s="110"/>
      <c r="K133" s="111"/>
      <c r="L133" s="137" t="str">
        <f>IFERROR(INDEX([239]MATERIALES!D:D,MATCH(B133,[239]MATERIALES!B:B,0)),"")</f>
        <v/>
      </c>
      <c r="M133" s="138"/>
      <c r="N133" s="139" t="str">
        <f>IFERROR(INDEX([239]MATERIALES!P:P,MATCH(B133,[239]MATERIALES!B:B,0)),"")</f>
        <v/>
      </c>
      <c r="O133" s="140"/>
      <c r="P133" s="118" t="str">
        <f t="shared" si="5"/>
        <v/>
      </c>
      <c r="Q133" s="119"/>
      <c r="R133" s="4"/>
    </row>
    <row r="134" spans="1:18">
      <c r="A134" s="1">
        <f t="shared" si="4"/>
        <v>0</v>
      </c>
      <c r="B134" s="2"/>
      <c r="C134" s="8"/>
      <c r="D134" s="109" t="str">
        <f>IFERROR(INDEX([239]MATERIALES!C:C,MATCH(B134,[239]MATERIALES!B:B,0)),"")</f>
        <v/>
      </c>
      <c r="E134" s="110"/>
      <c r="F134" s="110"/>
      <c r="G134" s="110"/>
      <c r="H134" s="110"/>
      <c r="I134" s="110"/>
      <c r="J134" s="110"/>
      <c r="K134" s="111"/>
      <c r="L134" s="137" t="str">
        <f>IFERROR(INDEX([239]MATERIALES!D:D,MATCH(B134,[239]MATERIALES!B:B,0)),"")</f>
        <v/>
      </c>
      <c r="M134" s="138"/>
      <c r="N134" s="139" t="str">
        <f>IFERROR(INDEX([239]MATERIALES!P:P,MATCH(B134,[239]MATERIALES!B:B,0)),"")</f>
        <v/>
      </c>
      <c r="O134" s="140"/>
      <c r="P134" s="118" t="str">
        <f t="shared" si="5"/>
        <v/>
      </c>
      <c r="Q134" s="119"/>
      <c r="R134" s="4"/>
    </row>
    <row r="135" spans="1:18">
      <c r="A135" s="1">
        <f t="shared" si="4"/>
        <v>0</v>
      </c>
      <c r="B135" s="2"/>
      <c r="C135" s="8"/>
      <c r="D135" s="109" t="str">
        <f>IFERROR(INDEX([239]MATERIALES!C:C,MATCH(B135,[239]MATERIALES!B:B,0)),"")</f>
        <v/>
      </c>
      <c r="E135" s="110"/>
      <c r="F135" s="110"/>
      <c r="G135" s="110"/>
      <c r="H135" s="110"/>
      <c r="I135" s="110"/>
      <c r="J135" s="110"/>
      <c r="K135" s="111"/>
      <c r="L135" s="137" t="str">
        <f>IFERROR(INDEX([239]MATERIALES!D:D,MATCH(B135,[239]MATERIALES!B:B,0)),"")</f>
        <v/>
      </c>
      <c r="M135" s="138"/>
      <c r="N135" s="139" t="str">
        <f>IFERROR(INDEX([239]MATERIALES!P:P,MATCH(B135,[239]MATERIALES!B:B,0)),"")</f>
        <v/>
      </c>
      <c r="O135" s="140"/>
      <c r="P135" s="118" t="str">
        <f t="shared" si="5"/>
        <v/>
      </c>
      <c r="Q135" s="119"/>
      <c r="R135" s="4"/>
    </row>
    <row r="136" spans="1:18" ht="15.75" thickBot="1">
      <c r="A136" s="1">
        <f t="shared" si="4"/>
        <v>0</v>
      </c>
      <c r="B136" s="2"/>
      <c r="C136" s="8"/>
      <c r="D136" s="109" t="s">
        <v>28</v>
      </c>
      <c r="E136" s="110"/>
      <c r="F136" s="110"/>
      <c r="G136" s="110"/>
      <c r="H136" s="110"/>
      <c r="I136" s="110"/>
      <c r="J136" s="110"/>
      <c r="K136" s="111"/>
      <c r="L136" s="137" t="s">
        <v>29</v>
      </c>
      <c r="M136" s="138">
        <v>0.05</v>
      </c>
      <c r="N136" s="139">
        <f>SUM(P122:P135)</f>
        <v>126101.87</v>
      </c>
      <c r="O136" s="140"/>
      <c r="P136" s="118">
        <f>ROUND(N136*M136,2)</f>
        <v>6305.09</v>
      </c>
      <c r="Q136" s="119"/>
      <c r="R136" s="4"/>
    </row>
    <row r="137" spans="1:18" ht="15.75" thickBot="1">
      <c r="A137" s="1">
        <f t="shared" si="4"/>
        <v>0</v>
      </c>
      <c r="B137" s="2"/>
      <c r="C137" s="8"/>
      <c r="D137" s="128" t="s">
        <v>24</v>
      </c>
      <c r="E137" s="129"/>
      <c r="F137" s="129"/>
      <c r="G137" s="129"/>
      <c r="H137" s="129"/>
      <c r="I137" s="129"/>
      <c r="J137" s="129"/>
      <c r="K137" s="129"/>
      <c r="L137" s="129"/>
      <c r="M137" s="129"/>
      <c r="N137" s="129"/>
      <c r="O137" s="130"/>
      <c r="P137" s="131">
        <f>SUM(P122:P136)</f>
        <v>132406.96</v>
      </c>
      <c r="Q137" s="119"/>
      <c r="R137" s="4"/>
    </row>
    <row r="138" spans="1:18" ht="15.75" thickBot="1">
      <c r="A138" s="1">
        <f t="shared" si="4"/>
        <v>0</v>
      </c>
      <c r="B138" s="2"/>
      <c r="C138" s="8"/>
      <c r="D138" s="74" t="s">
        <v>30</v>
      </c>
      <c r="E138" s="37"/>
      <c r="F138" s="37"/>
      <c r="G138" s="37"/>
      <c r="H138" s="37"/>
      <c r="I138" s="37"/>
      <c r="J138" s="37"/>
      <c r="K138" s="37"/>
      <c r="L138" s="37"/>
      <c r="M138" s="37"/>
      <c r="N138" s="37"/>
      <c r="O138" s="37"/>
      <c r="P138" s="99"/>
      <c r="Q138" s="100"/>
      <c r="R138" s="4"/>
    </row>
    <row r="139" spans="1:18">
      <c r="A139" s="1">
        <f t="shared" si="4"/>
        <v>0</v>
      </c>
      <c r="B139" s="2"/>
      <c r="C139" s="8"/>
      <c r="D139" s="101" t="s">
        <v>31</v>
      </c>
      <c r="E139" s="133"/>
      <c r="F139" s="133"/>
      <c r="G139" s="133"/>
      <c r="H139" s="133"/>
      <c r="I139" s="133"/>
      <c r="J139" s="133"/>
      <c r="K139" s="106" t="s">
        <v>32</v>
      </c>
      <c r="L139" s="141" t="s">
        <v>33</v>
      </c>
      <c r="M139" s="106" t="s">
        <v>34</v>
      </c>
      <c r="N139" s="104" t="s">
        <v>20</v>
      </c>
      <c r="O139" s="105"/>
      <c r="P139" s="107" t="s">
        <v>22</v>
      </c>
      <c r="Q139" s="108"/>
      <c r="R139" s="4"/>
    </row>
    <row r="140" spans="1:18">
      <c r="A140" s="1">
        <f t="shared" si="4"/>
        <v>0</v>
      </c>
      <c r="B140" s="2"/>
      <c r="C140" s="8"/>
      <c r="D140" s="142" t="str">
        <f>IFERROR(INDEX([239]TRANSPORTES!B:B,MATCH(B140,[239]TRANSPORTES!A:A,0)),"")</f>
        <v/>
      </c>
      <c r="E140" s="143"/>
      <c r="F140" s="143"/>
      <c r="G140" s="143"/>
      <c r="H140" s="143"/>
      <c r="I140" s="143"/>
      <c r="J140" s="143"/>
      <c r="K140" s="220"/>
      <c r="L140" s="145"/>
      <c r="M140" s="146" t="str">
        <f>IFERROR(INDEX([239]TRANSPORTES!C:C,MATCH(B140,[239]TRANSPORTES!A:A,0)),"")</f>
        <v/>
      </c>
      <c r="N140" s="139" t="str">
        <f>IFERROR(INDEX([239]TRANSPORTES!D:D,MATCH(B140,[239]TRANSPORTES!A:A,0)),"")</f>
        <v/>
      </c>
      <c r="O140" s="147"/>
      <c r="P140" s="148" t="str">
        <f>IFERROR(ROUND(K140*N140*L140,2),"")</f>
        <v/>
      </c>
      <c r="Q140" s="119"/>
      <c r="R140" s="4"/>
    </row>
    <row r="141" spans="1:18">
      <c r="A141" s="1">
        <f t="shared" si="4"/>
        <v>0</v>
      </c>
      <c r="B141" s="2"/>
      <c r="C141" s="8"/>
      <c r="D141" s="142" t="str">
        <f>IFERROR(INDEX([239]TRANSPORTES!B:B,MATCH(B141,[239]TRANSPORTES!A:A,0)),"")</f>
        <v/>
      </c>
      <c r="E141" s="143"/>
      <c r="F141" s="143"/>
      <c r="G141" s="143"/>
      <c r="H141" s="143"/>
      <c r="I141" s="143"/>
      <c r="J141" s="143"/>
      <c r="K141" s="144"/>
      <c r="L141" s="145"/>
      <c r="M141" s="146" t="str">
        <f>IFERROR(INDEX([239]TRANSPORTES!C:C,MATCH(B141,[239]TRANSPORTES!A:A,0)),"")</f>
        <v/>
      </c>
      <c r="N141" s="139" t="str">
        <f>IFERROR(INDEX([239]TRANSPORTES!D:D,MATCH(B141,[239]TRANSPORTES!A:A,0)),"")</f>
        <v/>
      </c>
      <c r="O141" s="147"/>
      <c r="P141" s="148" t="str">
        <f>IFERROR(ROUND(K141*N141*L141,2),"")</f>
        <v/>
      </c>
      <c r="Q141" s="119"/>
      <c r="R141" s="4"/>
    </row>
    <row r="142" spans="1:18">
      <c r="A142" s="1">
        <f t="shared" si="4"/>
        <v>0</v>
      </c>
      <c r="B142" s="2"/>
      <c r="C142" s="8"/>
      <c r="D142" s="142" t="str">
        <f>IFERROR(INDEX([239]TRANSPORTES!B:B,MATCH(B142,[239]TRANSPORTES!A:A,0)),"")</f>
        <v/>
      </c>
      <c r="E142" s="143"/>
      <c r="F142" s="143"/>
      <c r="G142" s="143"/>
      <c r="H142" s="143"/>
      <c r="I142" s="143"/>
      <c r="J142" s="143"/>
      <c r="K142" s="144"/>
      <c r="L142" s="145"/>
      <c r="M142" s="146" t="str">
        <f>IFERROR(INDEX([239]TRANSPORTES!C:C,MATCH(B142,[239]TRANSPORTES!A:A,0)),"")</f>
        <v/>
      </c>
      <c r="N142" s="139" t="str">
        <f>IFERROR(INDEX([239]TRANSPORTES!D:D,MATCH(B142,[239]TRANSPORTES!A:A,0)),"")</f>
        <v/>
      </c>
      <c r="O142" s="147"/>
      <c r="P142" s="148" t="str">
        <f>IFERROR(ROUND(K142*N142*L142,2),"")</f>
        <v/>
      </c>
      <c r="Q142" s="119"/>
      <c r="R142" s="4"/>
    </row>
    <row r="143" spans="1:18" ht="15.75" thickBot="1">
      <c r="A143" s="1">
        <f t="shared" si="4"/>
        <v>0</v>
      </c>
      <c r="B143" s="2"/>
      <c r="C143" s="8"/>
      <c r="D143" s="142" t="str">
        <f>IFERROR(INDEX([239]TRANSPORTES!B:B,MATCH(B143,[239]TRANSPORTES!A:A,0)),"")</f>
        <v/>
      </c>
      <c r="E143" s="143"/>
      <c r="F143" s="143"/>
      <c r="G143" s="143"/>
      <c r="H143" s="143"/>
      <c r="I143" s="143"/>
      <c r="J143" s="143"/>
      <c r="K143" s="149"/>
      <c r="L143" s="150"/>
      <c r="M143" s="146" t="str">
        <f>IFERROR(INDEX([239]TRANSPORTES!C:C,MATCH(B143,[239]TRANSPORTES!A:A,0)),"")</f>
        <v/>
      </c>
      <c r="N143" s="139" t="str">
        <f>IFERROR(INDEX([239]TRANSPORTES!D:D,MATCH(B143,[239]TRANSPORTES!A:A,0)),"")</f>
        <v/>
      </c>
      <c r="O143" s="147"/>
      <c r="P143" s="148" t="str">
        <f>IFERROR(ROUND(K143*N143*L143,2),"")</f>
        <v/>
      </c>
      <c r="Q143" s="119"/>
      <c r="R143" s="4"/>
    </row>
    <row r="144" spans="1:18" ht="15.75" thickBot="1">
      <c r="A144" s="1">
        <f t="shared" si="4"/>
        <v>0</v>
      </c>
      <c r="B144" s="2"/>
      <c r="C144" s="8"/>
      <c r="D144" s="128" t="s">
        <v>24</v>
      </c>
      <c r="E144" s="129"/>
      <c r="F144" s="129"/>
      <c r="G144" s="129"/>
      <c r="H144" s="129"/>
      <c r="I144" s="129"/>
      <c r="J144" s="129"/>
      <c r="K144" s="129"/>
      <c r="L144" s="129"/>
      <c r="M144" s="129"/>
      <c r="N144" s="129"/>
      <c r="O144" s="130"/>
      <c r="P144" s="151">
        <f>SUM(P140:P143)</f>
        <v>0</v>
      </c>
      <c r="Q144" s="132"/>
      <c r="R144" s="4"/>
    </row>
    <row r="145" spans="1:18" ht="15.75" thickBot="1">
      <c r="A145" s="1">
        <f t="shared" si="4"/>
        <v>0</v>
      </c>
      <c r="B145" s="2"/>
      <c r="C145" s="8"/>
      <c r="D145" s="74" t="s">
        <v>36</v>
      </c>
      <c r="E145" s="37"/>
      <c r="F145" s="37"/>
      <c r="G145" s="37"/>
      <c r="H145" s="37"/>
      <c r="I145" s="37"/>
      <c r="J145" s="37"/>
      <c r="K145" s="37"/>
      <c r="L145" s="37"/>
      <c r="M145" s="37"/>
      <c r="N145" s="37"/>
      <c r="O145" s="37"/>
      <c r="P145" s="99"/>
      <c r="Q145" s="100"/>
      <c r="R145" s="4"/>
    </row>
    <row r="146" spans="1:18" ht="30">
      <c r="A146" s="1">
        <f t="shared" si="4"/>
        <v>0</v>
      </c>
      <c r="B146" s="2"/>
      <c r="C146" s="8"/>
      <c r="D146" s="101" t="s">
        <v>37</v>
      </c>
      <c r="E146" s="133"/>
      <c r="F146" s="133"/>
      <c r="G146" s="133"/>
      <c r="H146" s="133"/>
      <c r="I146" s="133"/>
      <c r="J146" s="133"/>
      <c r="K146" s="106" t="s">
        <v>38</v>
      </c>
      <c r="L146" s="152" t="s">
        <v>39</v>
      </c>
      <c r="M146" s="153" t="s">
        <v>40</v>
      </c>
      <c r="N146" s="104" t="s">
        <v>21</v>
      </c>
      <c r="O146" s="105"/>
      <c r="P146" s="154" t="s">
        <v>22</v>
      </c>
      <c r="Q146" s="155"/>
      <c r="R146" s="4"/>
    </row>
    <row r="147" spans="1:18">
      <c r="A147" s="1">
        <f t="shared" si="4"/>
        <v>0</v>
      </c>
      <c r="B147" s="2" t="s">
        <v>41</v>
      </c>
      <c r="C147" s="8"/>
      <c r="D147" s="109" t="str">
        <f>IFERROR(INDEX('[239]MANO DE OBRA'!B:B,MATCH(B147,'[239]MANO DE OBRA'!A:A,0)),"")</f>
        <v>OFICIAL</v>
      </c>
      <c r="E147" s="110"/>
      <c r="F147" s="110"/>
      <c r="G147" s="110"/>
      <c r="H147" s="110"/>
      <c r="I147" s="110"/>
      <c r="J147" s="111"/>
      <c r="K147" s="156">
        <f>IFERROR(INDEX('[239]MANO DE OBRA'!D:D,MATCH(B147,'[239]MANO DE OBRA'!A:A,0)),"")</f>
        <v>95930</v>
      </c>
      <c r="L147" s="157">
        <f>+IF(D147&lt;&gt;"",'[239]FACTOR PRESTACIONAL'!$E$21," ")</f>
        <v>1.95</v>
      </c>
      <c r="M147" s="158">
        <f>IFERROR(K147*L147," ")</f>
        <v>187063.5</v>
      </c>
      <c r="N147" s="159">
        <v>8</v>
      </c>
      <c r="O147" s="160"/>
      <c r="P147" s="161">
        <f>IFERROR(ROUND(M147/N147,2)," ")</f>
        <v>23382.94</v>
      </c>
      <c r="Q147" s="162"/>
      <c r="R147" s="4"/>
    </row>
    <row r="148" spans="1:18">
      <c r="A148" s="1">
        <f t="shared" si="4"/>
        <v>0</v>
      </c>
      <c r="B148" s="2" t="s">
        <v>81</v>
      </c>
      <c r="C148" s="8"/>
      <c r="D148" s="109" t="str">
        <f>IFERROR(INDEX('[239]MANO DE OBRA'!B:B,MATCH(B148,'[239]MANO DE OBRA'!A:A,0)),"")</f>
        <v>AYUDANTE (1)</v>
      </c>
      <c r="E148" s="110"/>
      <c r="F148" s="110"/>
      <c r="G148" s="110"/>
      <c r="H148" s="110"/>
      <c r="I148" s="110"/>
      <c r="J148" s="111"/>
      <c r="K148" s="156">
        <f>IFERROR(INDEX('[239]MANO DE OBRA'!D:D,MATCH(B148,'[239]MANO DE OBRA'!A:A,0)),"")</f>
        <v>71433</v>
      </c>
      <c r="L148" s="157">
        <f>+IF(D148&lt;&gt;"",'[239]FACTOR PRESTACIONAL'!$E$21," ")</f>
        <v>1.95</v>
      </c>
      <c r="M148" s="158">
        <f>IFERROR(K148*L148," ")</f>
        <v>139294.35</v>
      </c>
      <c r="N148" s="159">
        <v>8</v>
      </c>
      <c r="O148" s="160"/>
      <c r="P148" s="161">
        <f>IFERROR(ROUND(M148/N148,2)," ")</f>
        <v>17411.79</v>
      </c>
      <c r="Q148" s="162"/>
      <c r="R148" s="4"/>
    </row>
    <row r="149" spans="1:18">
      <c r="A149" s="1">
        <f t="shared" si="4"/>
        <v>0</v>
      </c>
      <c r="B149" s="2"/>
      <c r="C149" s="8"/>
      <c r="D149" s="109" t="str">
        <f>IFERROR(INDEX('[239]MANO DE OBRA'!B:B,MATCH(B149,'[239]MANO DE OBRA'!A:A,0)),"")</f>
        <v/>
      </c>
      <c r="E149" s="110"/>
      <c r="F149" s="110"/>
      <c r="G149" s="110"/>
      <c r="H149" s="110"/>
      <c r="I149" s="110"/>
      <c r="J149" s="111"/>
      <c r="K149" s="156" t="str">
        <f>IFERROR(INDEX('[239]MANO DE OBRA'!D:D,MATCH(B149,'[239]MANO DE OBRA'!A:A,0)),"")</f>
        <v/>
      </c>
      <c r="L149" s="157" t="str">
        <f>+IF(D149&lt;&gt;"",'[239]FACTOR PRESTACIONAL'!$E$21," ")</f>
        <v xml:space="preserve"> </v>
      </c>
      <c r="M149" s="158" t="str">
        <f>IFERROR(K149*L149," ")</f>
        <v xml:space="preserve"> </v>
      </c>
      <c r="N149" s="159"/>
      <c r="O149" s="160"/>
      <c r="P149" s="161" t="str">
        <f>IFERROR(ROUND(M149/N149,2)," ")</f>
        <v xml:space="preserve"> </v>
      </c>
      <c r="Q149" s="162"/>
      <c r="R149" s="4"/>
    </row>
    <row r="150" spans="1:18">
      <c r="A150" s="1">
        <f t="shared" si="4"/>
        <v>0</v>
      </c>
      <c r="B150" s="2"/>
      <c r="C150" s="8"/>
      <c r="D150" s="109" t="str">
        <f>IFERROR(INDEX('[239]MANO DE OBRA'!B:B,MATCH(B150,'[239]MANO DE OBRA'!A:A,0)),"")</f>
        <v/>
      </c>
      <c r="E150" s="110"/>
      <c r="F150" s="110"/>
      <c r="G150" s="110"/>
      <c r="H150" s="110"/>
      <c r="I150" s="110"/>
      <c r="J150" s="111"/>
      <c r="K150" s="156" t="str">
        <f>IFERROR(INDEX('[239]MANO DE OBRA'!D:D,MATCH(B150,'[239]MANO DE OBRA'!A:A,0)),"")</f>
        <v/>
      </c>
      <c r="L150" s="157" t="str">
        <f>+IF(D150&lt;&gt;"",'[239]FACTOR PRESTACIONAL'!$E$21," ")</f>
        <v xml:space="preserve"> </v>
      </c>
      <c r="M150" s="158" t="str">
        <f>IFERROR(K150*L150," ")</f>
        <v xml:space="preserve"> </v>
      </c>
      <c r="N150" s="159"/>
      <c r="O150" s="160"/>
      <c r="P150" s="161" t="str">
        <f>IFERROR(ROUND(M150/N150,2)," ")</f>
        <v xml:space="preserve"> </v>
      </c>
      <c r="Q150" s="162"/>
      <c r="R150" s="4"/>
    </row>
    <row r="151" spans="1:18" ht="15.75" thickBot="1">
      <c r="A151" s="1">
        <f t="shared" si="4"/>
        <v>0</v>
      </c>
      <c r="B151" s="2"/>
      <c r="C151" s="8"/>
      <c r="D151" s="109" t="str">
        <f>IFERROR(INDEX('[239]MANO DE OBRA'!B:B,MATCH(B151,'[239]MANO DE OBRA'!A:A,0)),"")</f>
        <v/>
      </c>
      <c r="E151" s="110"/>
      <c r="F151" s="110"/>
      <c r="G151" s="110"/>
      <c r="H151" s="110"/>
      <c r="I151" s="110"/>
      <c r="J151" s="111"/>
      <c r="K151" s="156" t="str">
        <f>IFERROR(INDEX('[239]MANO DE OBRA'!D:D,MATCH(B151,'[239]MANO DE OBRA'!A:A,0)),"")</f>
        <v/>
      </c>
      <c r="L151" s="157" t="str">
        <f>+IF(D151&lt;&gt;"",'[239]FACTOR PRESTACIONAL'!$E$21," ")</f>
        <v xml:space="preserve"> </v>
      </c>
      <c r="M151" s="158" t="str">
        <f>IFERROR(K151*L151," ")</f>
        <v xml:space="preserve"> </v>
      </c>
      <c r="N151" s="159"/>
      <c r="O151" s="160"/>
      <c r="P151" s="161" t="str">
        <f>IFERROR(ROUND(M151/N151,2)," ")</f>
        <v xml:space="preserve"> </v>
      </c>
      <c r="Q151" s="119"/>
      <c r="R151" s="4"/>
    </row>
    <row r="152" spans="1:18" ht="15.75" thickBot="1">
      <c r="A152" s="1">
        <f t="shared" si="4"/>
        <v>0</v>
      </c>
      <c r="B152" s="2"/>
      <c r="C152" s="8"/>
      <c r="D152" s="128" t="s">
        <v>24</v>
      </c>
      <c r="E152" s="129"/>
      <c r="F152" s="129"/>
      <c r="G152" s="129"/>
      <c r="H152" s="129"/>
      <c r="I152" s="129"/>
      <c r="J152" s="129"/>
      <c r="K152" s="129"/>
      <c r="L152" s="129"/>
      <c r="M152" s="129"/>
      <c r="N152" s="129"/>
      <c r="O152" s="130"/>
      <c r="P152" s="131">
        <f>SUM(P147:P151)</f>
        <v>40794.729999999996</v>
      </c>
      <c r="Q152" s="119"/>
      <c r="R152" s="4"/>
    </row>
    <row r="153" spans="1:18" ht="15.75" thickBot="1">
      <c r="A153" s="1">
        <f t="shared" si="4"/>
        <v>0</v>
      </c>
      <c r="B153" s="2"/>
      <c r="C153" s="8"/>
      <c r="D153" s="87"/>
      <c r="E153" s="20"/>
      <c r="F153" s="20"/>
      <c r="G153" s="20"/>
      <c r="H153" s="20"/>
      <c r="I153" s="20"/>
      <c r="J153" s="20"/>
      <c r="K153" s="20"/>
      <c r="L153" s="20"/>
      <c r="M153" s="20"/>
      <c r="N153" s="20"/>
      <c r="O153" s="20"/>
      <c r="P153" s="88"/>
      <c r="Q153" s="13"/>
      <c r="R153" s="4"/>
    </row>
    <row r="154" spans="1:18" ht="15.75" thickBot="1">
      <c r="A154" s="1"/>
      <c r="B154" s="2"/>
      <c r="C154" s="8"/>
      <c r="D154" s="163" t="s">
        <v>43</v>
      </c>
      <c r="E154" s="164"/>
      <c r="F154" s="164"/>
      <c r="G154" s="164"/>
      <c r="H154" s="164"/>
      <c r="I154" s="164"/>
      <c r="J154" s="164"/>
      <c r="K154" s="164"/>
      <c r="L154" s="164"/>
      <c r="M154" s="164"/>
      <c r="N154" s="164"/>
      <c r="O154" s="165"/>
      <c r="P154" s="166">
        <f>+P152+P144+P137+P119</f>
        <v>181902.16</v>
      </c>
      <c r="Q154" s="167"/>
      <c r="R154" s="168"/>
    </row>
    <row r="155" spans="1:18" ht="15.75" thickBot="1">
      <c r="A155" s="1"/>
      <c r="B155" s="2"/>
      <c r="C155" s="8"/>
      <c r="D155" s="169"/>
      <c r="E155" s="170"/>
      <c r="F155" s="170"/>
      <c r="G155" s="170"/>
      <c r="H155" s="170"/>
      <c r="I155" s="170"/>
      <c r="J155" s="170"/>
      <c r="K155" s="170"/>
      <c r="L155" s="170"/>
      <c r="M155" s="170"/>
      <c r="N155" s="170"/>
      <c r="O155" s="170"/>
      <c r="P155" s="171"/>
      <c r="Q155" s="100"/>
      <c r="R155" s="4"/>
    </row>
    <row r="156" spans="1:18">
      <c r="A156" s="1"/>
      <c r="B156" s="2"/>
      <c r="C156" s="8"/>
      <c r="D156" s="172" t="s">
        <v>73</v>
      </c>
      <c r="E156" s="173"/>
      <c r="F156" s="173"/>
      <c r="G156" s="173"/>
      <c r="H156" s="173"/>
      <c r="I156" s="173"/>
      <c r="J156" s="173"/>
      <c r="K156" s="141"/>
      <c r="L156" s="174"/>
      <c r="M156" s="153" t="s">
        <v>44</v>
      </c>
      <c r="N156" s="175" t="s">
        <v>45</v>
      </c>
      <c r="O156" s="176"/>
      <c r="P156" s="154"/>
      <c r="Q156" s="155"/>
      <c r="R156" s="4"/>
    </row>
    <row r="157" spans="1:18">
      <c r="A157" s="1"/>
      <c r="B157" s="2"/>
      <c r="C157" s="8"/>
      <c r="D157" s="109" t="s">
        <v>65</v>
      </c>
      <c r="E157" s="110"/>
      <c r="F157" s="110"/>
      <c r="G157" s="110"/>
      <c r="H157" s="110"/>
      <c r="I157" s="110"/>
      <c r="J157" s="110"/>
      <c r="K157" s="177"/>
      <c r="L157" s="178"/>
      <c r="M157" s="179">
        <f>+[239]INICIO!$F$10</f>
        <v>0.24</v>
      </c>
      <c r="N157" s="180">
        <f>ROUND(M157*P154,2)</f>
        <v>43656.52</v>
      </c>
      <c r="O157" s="181"/>
      <c r="P157" s="182"/>
      <c r="Q157" s="119"/>
      <c r="R157" s="4"/>
    </row>
    <row r="158" spans="1:18">
      <c r="A158" s="1"/>
      <c r="B158" s="2"/>
      <c r="C158" s="8"/>
      <c r="D158" s="183" t="s">
        <v>67</v>
      </c>
      <c r="E158" s="61"/>
      <c r="F158" s="61"/>
      <c r="G158" s="61"/>
      <c r="H158" s="61"/>
      <c r="I158" s="61"/>
      <c r="J158" s="61"/>
      <c r="K158" s="177"/>
      <c r="L158" s="178"/>
      <c r="M158" s="179">
        <f>+[239]INICIO!$F$11</f>
        <v>0.02</v>
      </c>
      <c r="N158" s="180">
        <f>ROUND(M158*P154,2)</f>
        <v>3638.04</v>
      </c>
      <c r="O158" s="181"/>
      <c r="P158" s="182"/>
      <c r="Q158" s="119"/>
      <c r="R158" s="4"/>
    </row>
    <row r="159" spans="1:18" ht="15.75" thickBot="1">
      <c r="A159" s="1"/>
      <c r="B159" s="2"/>
      <c r="C159" s="8"/>
      <c r="D159" s="77" t="s">
        <v>69</v>
      </c>
      <c r="E159" s="78"/>
      <c r="F159" s="78"/>
      <c r="G159" s="78"/>
      <c r="H159" s="78"/>
      <c r="I159" s="78"/>
      <c r="J159" s="78"/>
      <c r="K159" s="184"/>
      <c r="L159" s="185"/>
      <c r="M159" s="179">
        <f>+[239]INICIO!$F$12</f>
        <v>7.0000000000000007E-2</v>
      </c>
      <c r="N159" s="180">
        <f>ROUND(M159*P154,2)</f>
        <v>12733.15</v>
      </c>
      <c r="O159" s="181"/>
      <c r="P159" s="182"/>
      <c r="Q159" s="119"/>
      <c r="R159" s="4"/>
    </row>
    <row r="160" spans="1:18" ht="15.75" thickBot="1">
      <c r="A160" s="1"/>
      <c r="B160" s="2"/>
      <c r="C160" s="8"/>
      <c r="D160" s="128"/>
      <c r="E160" s="129"/>
      <c r="F160" s="129"/>
      <c r="G160" s="129"/>
      <c r="H160" s="129"/>
      <c r="I160" s="129"/>
      <c r="J160" s="129"/>
      <c r="K160" s="129"/>
      <c r="L160" s="129"/>
      <c r="M160" s="129"/>
      <c r="N160" s="129"/>
      <c r="O160" s="130"/>
      <c r="P160" s="131">
        <f>SUM(N157:N159)</f>
        <v>60027.71</v>
      </c>
      <c r="Q160" s="186"/>
      <c r="R160" s="4"/>
    </row>
    <row r="161" spans="1:18" ht="15.75" thickBot="1">
      <c r="A161" s="1"/>
      <c r="B161" s="2"/>
      <c r="C161" s="8"/>
      <c r="D161" s="87"/>
      <c r="E161" s="20"/>
      <c r="F161" s="20"/>
      <c r="G161" s="20"/>
      <c r="H161" s="20"/>
      <c r="I161" s="20"/>
      <c r="J161" s="20"/>
      <c r="K161" s="20"/>
      <c r="L161" s="20"/>
      <c r="M161" s="20"/>
      <c r="N161" s="20"/>
      <c r="O161" s="20"/>
      <c r="P161" s="88"/>
      <c r="Q161" s="13"/>
      <c r="R161" s="4"/>
    </row>
    <row r="162" spans="1:18" ht="15.75" thickBot="1">
      <c r="A162" s="1"/>
      <c r="B162" s="2"/>
      <c r="C162" s="8"/>
      <c r="D162" s="187" t="s">
        <v>46</v>
      </c>
      <c r="E162" s="188"/>
      <c r="F162" s="188"/>
      <c r="G162" s="188"/>
      <c r="H162" s="188"/>
      <c r="I162" s="188"/>
      <c r="J162" s="188"/>
      <c r="K162" s="188"/>
      <c r="L162" s="188"/>
      <c r="M162" s="188"/>
      <c r="N162" s="188"/>
      <c r="O162" s="189"/>
      <c r="P162" s="166">
        <f>ROUND(P160+P154,0)</f>
        <v>241930</v>
      </c>
      <c r="Q162" s="186"/>
      <c r="R162" s="4"/>
    </row>
    <row r="163" spans="1:18">
      <c r="A163" s="1"/>
      <c r="B163" s="2"/>
      <c r="C163" s="8"/>
      <c r="D163" s="80"/>
      <c r="E163" s="81"/>
      <c r="F163" s="81"/>
      <c r="G163" s="81"/>
      <c r="H163" s="81"/>
      <c r="I163" s="81"/>
      <c r="J163" s="81"/>
      <c r="K163" s="81"/>
      <c r="L163" s="81"/>
      <c r="M163" s="81"/>
      <c r="N163" s="81"/>
      <c r="O163" s="81"/>
      <c r="P163" s="82"/>
      <c r="Q163" s="13"/>
      <c r="R163" s="4"/>
    </row>
    <row r="164" spans="1:18">
      <c r="A164" s="1"/>
      <c r="B164" s="2"/>
      <c r="C164" s="8"/>
      <c r="D164" s="87"/>
      <c r="E164" s="20"/>
      <c r="F164" s="20"/>
      <c r="G164" s="20"/>
      <c r="H164" s="20"/>
      <c r="I164" s="20"/>
      <c r="J164" s="20"/>
      <c r="K164" s="20"/>
      <c r="L164" s="20"/>
      <c r="M164" s="20"/>
      <c r="N164" s="20"/>
      <c r="O164" s="20"/>
      <c r="P164" s="88"/>
      <c r="Q164" s="13"/>
      <c r="R164" s="4"/>
    </row>
    <row r="165" spans="1:18">
      <c r="A165" s="1"/>
      <c r="B165" s="2"/>
      <c r="C165" s="8"/>
      <c r="D165" s="87"/>
      <c r="E165" s="20"/>
      <c r="F165" s="20"/>
      <c r="G165" s="20"/>
      <c r="H165" s="20"/>
      <c r="I165" s="20"/>
      <c r="J165" s="20"/>
      <c r="K165" s="20"/>
      <c r="L165" s="20"/>
      <c r="M165" s="20"/>
      <c r="N165" s="20"/>
      <c r="O165" s="20"/>
      <c r="P165" s="88"/>
      <c r="Q165" s="13"/>
      <c r="R165" s="4"/>
    </row>
    <row r="166" spans="1:18">
      <c r="A166" s="1"/>
      <c r="B166" s="2"/>
      <c r="C166" s="8"/>
      <c r="D166" s="87"/>
      <c r="E166" s="20"/>
      <c r="F166" s="20"/>
      <c r="G166" s="20"/>
      <c r="H166" s="20"/>
      <c r="I166" s="20"/>
      <c r="J166" s="20"/>
      <c r="K166" s="20"/>
      <c r="L166" s="20"/>
      <c r="M166" s="20"/>
      <c r="N166" s="20"/>
      <c r="O166" s="20"/>
      <c r="P166" s="88"/>
      <c r="Q166" s="13"/>
      <c r="R166" s="4"/>
    </row>
    <row r="167" spans="1:18">
      <c r="A167" s="1"/>
      <c r="B167" s="2"/>
      <c r="C167" s="8"/>
      <c r="D167" s="219" t="str">
        <f>+[239]INICIO!$B$13</f>
        <v>Proyectó:</v>
      </c>
      <c r="E167" s="49"/>
      <c r="F167" s="49"/>
      <c r="G167" s="49"/>
      <c r="H167" s="49"/>
      <c r="I167" s="49"/>
      <c r="J167" s="49"/>
      <c r="K167" s="20"/>
      <c r="L167" s="69" t="str">
        <f>+[239]INICIO!$B$16</f>
        <v>Aprobó:</v>
      </c>
      <c r="M167" s="49"/>
      <c r="N167" s="49"/>
      <c r="O167" s="49"/>
      <c r="P167" s="88"/>
      <c r="Q167" s="13"/>
      <c r="R167" s="4"/>
    </row>
    <row r="168" spans="1:18">
      <c r="A168" s="1"/>
      <c r="B168" s="2"/>
      <c r="C168" s="8"/>
      <c r="D168" s="87"/>
      <c r="E168" s="20" t="str">
        <f>+Hoja2!C$13</f>
        <v>HELMER EDUARDO BECERRA SANTANDER</v>
      </c>
      <c r="F168" s="20"/>
      <c r="G168" s="20"/>
      <c r="H168" s="20"/>
      <c r="I168" s="20"/>
      <c r="J168" s="20"/>
      <c r="K168" s="20"/>
      <c r="L168" s="20"/>
      <c r="M168" s="20" t="str">
        <f>+Hoja2!$C$16</f>
        <v>JESÚS IVÁN QUIÑONES RUEDA</v>
      </c>
      <c r="N168" s="20"/>
      <c r="O168" s="20"/>
      <c r="P168" s="88"/>
      <c r="Q168" s="190"/>
      <c r="R168" s="4"/>
    </row>
    <row r="169" spans="1:18">
      <c r="A169" s="1"/>
      <c r="B169" s="2"/>
      <c r="C169" s="8"/>
      <c r="D169" s="87"/>
      <c r="E169" s="20" t="str">
        <f>+Hoja2!C$14</f>
        <v>APOYO SEC. DE PLANEACIÓN Y OBRAS PÚBLICAS</v>
      </c>
      <c r="F169" s="20"/>
      <c r="G169" s="20"/>
      <c r="H169" s="20"/>
      <c r="I169" s="20"/>
      <c r="J169" s="20"/>
      <c r="K169" s="20"/>
      <c r="L169" s="20"/>
      <c r="M169" s="20" t="str">
        <f>+Hoja2!$C$17</f>
        <v>SECRETARIO DE PLANEACIÓN Y OBRAS PUBLICAS</v>
      </c>
      <c r="N169" s="20"/>
      <c r="O169" s="20"/>
      <c r="P169" s="88"/>
      <c r="Q169" s="190"/>
      <c r="R169" s="4"/>
    </row>
    <row r="170" spans="1:18">
      <c r="A170" s="1"/>
      <c r="B170" s="2"/>
      <c r="C170" s="8"/>
      <c r="D170" s="68"/>
      <c r="E170" s="20" t="str">
        <f>+Hoja2!C$15</f>
        <v>123769-0701671 NTS</v>
      </c>
      <c r="F170" s="191"/>
      <c r="G170" s="191"/>
      <c r="H170" s="191"/>
      <c r="I170" s="20"/>
      <c r="J170" s="191"/>
      <c r="K170" s="191"/>
      <c r="L170" s="191"/>
      <c r="M170" s="192" t="str">
        <f>+Hoja2!C$18</f>
        <v>A21382020-1090480860</v>
      </c>
      <c r="N170" s="191"/>
      <c r="O170" s="191"/>
      <c r="P170" s="193"/>
      <c r="Q170" s="194"/>
      <c r="R170" s="4"/>
    </row>
    <row r="171" spans="1:18" ht="16.5" thickBot="1">
      <c r="A171" s="1"/>
      <c r="B171" s="2"/>
      <c r="C171" s="8"/>
      <c r="D171" s="195"/>
      <c r="E171" s="150"/>
      <c r="F171" s="150"/>
      <c r="G171" s="150"/>
      <c r="H171" s="150"/>
      <c r="I171" s="150"/>
      <c r="J171" s="150"/>
      <c r="K171" s="150"/>
      <c r="L171" s="150"/>
      <c r="M171" s="150"/>
      <c r="N171" s="150"/>
      <c r="O171" s="150"/>
      <c r="P171" s="196"/>
      <c r="Q171" s="197"/>
      <c r="R171" s="4"/>
    </row>
    <row r="172" spans="1:18" ht="15.75" thickBot="1">
      <c r="A172" s="1"/>
      <c r="B172" s="2"/>
      <c r="C172" s="198"/>
      <c r="D172" s="199"/>
      <c r="E172" s="199"/>
      <c r="F172" s="199"/>
      <c r="G172" s="199"/>
      <c r="H172" s="199"/>
      <c r="I172" s="199"/>
      <c r="J172" s="199"/>
      <c r="K172" s="199"/>
      <c r="L172" s="199"/>
      <c r="M172" s="199"/>
      <c r="N172" s="199"/>
      <c r="O172" s="199"/>
      <c r="P172" s="199"/>
      <c r="Q172" s="200"/>
      <c r="R172" s="4"/>
    </row>
    <row r="173" spans="1:18" ht="15.75" thickTop="1">
      <c r="A173" s="1"/>
      <c r="B173" s="2"/>
      <c r="C173" s="5"/>
      <c r="D173" s="6"/>
      <c r="E173" s="6"/>
      <c r="F173" s="6"/>
      <c r="G173" s="6"/>
      <c r="H173" s="6"/>
      <c r="I173" s="6"/>
      <c r="J173" s="6"/>
      <c r="K173" s="6"/>
      <c r="L173" s="6"/>
      <c r="M173" s="6"/>
      <c r="N173" s="6"/>
      <c r="O173" s="6"/>
      <c r="P173" s="6"/>
      <c r="Q173" s="7"/>
      <c r="R173" s="4"/>
    </row>
    <row r="174" spans="1:18" ht="24">
      <c r="A174" s="1"/>
      <c r="B174" s="2"/>
      <c r="C174" s="8"/>
      <c r="D174" s="9" t="str">
        <f>+[239]INICIO!$C$8</f>
        <v>Análisis de Precios Unitarios- Secretaria de Planeación y Obras Publicas de Cubará, Boyacá.</v>
      </c>
      <c r="E174" s="10"/>
      <c r="F174" s="10"/>
      <c r="G174" s="10"/>
      <c r="H174" s="11"/>
      <c r="I174" s="12"/>
      <c r="J174" s="12"/>
      <c r="K174" s="12"/>
      <c r="L174" s="12"/>
      <c r="M174" s="12"/>
      <c r="N174" s="12"/>
      <c r="O174" s="12"/>
      <c r="P174" s="12"/>
      <c r="Q174" s="13"/>
      <c r="R174" s="4"/>
    </row>
    <row r="175" spans="1:18">
      <c r="A175" s="1"/>
      <c r="B175" s="2"/>
      <c r="C175" s="8"/>
      <c r="D175" s="14" t="s">
        <v>0</v>
      </c>
      <c r="E175" s="15" t="str">
        <f>+[239]INICIO!$C$7</f>
        <v>CCE-EICP-FM-14</v>
      </c>
      <c r="F175" s="16"/>
      <c r="G175" s="17" t="str">
        <f>+[239]INICIO!$B$6</f>
        <v>VERSIÓN</v>
      </c>
      <c r="H175" s="14">
        <f>+[239]INICIO!$C$6</f>
        <v>1</v>
      </c>
      <c r="I175" s="12"/>
      <c r="J175" s="12"/>
      <c r="K175" s="12"/>
      <c r="L175" s="12"/>
      <c r="M175" s="12"/>
      <c r="N175" s="12"/>
      <c r="O175" s="12"/>
      <c r="P175" s="12"/>
      <c r="Q175" s="13"/>
      <c r="R175" s="4"/>
    </row>
    <row r="176" spans="1:18">
      <c r="A176" s="1"/>
      <c r="B176" s="2"/>
      <c r="C176" s="8"/>
      <c r="D176" s="18"/>
      <c r="E176" s="19"/>
      <c r="F176" s="18"/>
      <c r="G176" s="19"/>
      <c r="H176" s="12"/>
      <c r="I176" s="12"/>
      <c r="J176" s="12"/>
      <c r="K176" s="12"/>
      <c r="L176" s="12"/>
      <c r="M176" s="12"/>
      <c r="N176" s="12"/>
      <c r="O176" s="12"/>
      <c r="P176" s="12"/>
      <c r="Q176" s="13"/>
      <c r="R176" s="4"/>
    </row>
    <row r="177" spans="1:18" ht="15.75" thickBot="1">
      <c r="A177" s="1"/>
      <c r="B177" s="2"/>
      <c r="C177" s="8"/>
      <c r="D177" s="20"/>
      <c r="E177" s="20"/>
      <c r="F177" s="20"/>
      <c r="G177" s="20"/>
      <c r="H177" s="20"/>
      <c r="I177" s="20"/>
      <c r="J177" s="20"/>
      <c r="K177" s="20"/>
      <c r="L177" s="20"/>
      <c r="M177" s="20"/>
      <c r="N177" s="20"/>
      <c r="O177" s="20"/>
      <c r="P177" s="20"/>
      <c r="Q177" s="13"/>
      <c r="R177" s="4"/>
    </row>
    <row r="178" spans="1:18">
      <c r="A178" s="1"/>
      <c r="B178" s="2"/>
      <c r="C178" s="8"/>
      <c r="D178" s="21"/>
      <c r="E178" s="22"/>
      <c r="F178" s="23"/>
      <c r="G178" s="23"/>
      <c r="H178" s="23"/>
      <c r="I178" s="23"/>
      <c r="J178" s="23"/>
      <c r="K178" s="23"/>
      <c r="L178" s="24"/>
      <c r="M178" s="25"/>
      <c r="N178" s="26"/>
      <c r="O178" s="26"/>
      <c r="P178" s="27"/>
      <c r="Q178" s="28"/>
      <c r="R178" s="4"/>
    </row>
    <row r="179" spans="1:18">
      <c r="A179" s="1"/>
      <c r="B179" s="2"/>
      <c r="C179" s="8"/>
      <c r="D179" s="29"/>
      <c r="E179" s="30" t="s">
        <v>1</v>
      </c>
      <c r="F179" s="31"/>
      <c r="G179" s="31"/>
      <c r="H179" s="31"/>
      <c r="I179" s="31"/>
      <c r="J179" s="31"/>
      <c r="K179" s="31"/>
      <c r="L179" s="32"/>
      <c r="M179" s="33"/>
      <c r="N179" s="34"/>
      <c r="O179" s="34"/>
      <c r="P179" s="35"/>
      <c r="Q179" s="28"/>
      <c r="R179" s="4"/>
    </row>
    <row r="180" spans="1:18">
      <c r="A180" s="1"/>
      <c r="B180" s="2"/>
      <c r="C180" s="8"/>
      <c r="D180" s="29"/>
      <c r="E180" s="36"/>
      <c r="F180" s="37"/>
      <c r="G180" s="37"/>
      <c r="H180" s="37"/>
      <c r="I180" s="37"/>
      <c r="J180" s="37"/>
      <c r="K180" s="37"/>
      <c r="L180" s="38"/>
      <c r="M180" s="39"/>
      <c r="N180" s="40"/>
      <c r="O180" s="41"/>
      <c r="P180" s="42"/>
      <c r="Q180" s="28"/>
      <c r="R180" s="4"/>
    </row>
    <row r="181" spans="1:18">
      <c r="A181" s="1"/>
      <c r="B181" s="2"/>
      <c r="C181" s="8"/>
      <c r="D181" s="29"/>
      <c r="E181" s="36"/>
      <c r="F181" s="37"/>
      <c r="G181" s="37"/>
      <c r="H181" s="37"/>
      <c r="I181" s="37"/>
      <c r="J181" s="37"/>
      <c r="K181" s="37"/>
      <c r="L181" s="38"/>
      <c r="M181" s="43" t="s">
        <v>2</v>
      </c>
      <c r="N181" s="44"/>
      <c r="O181" s="45">
        <f>+[239]INICIO!$C$6</f>
        <v>1</v>
      </c>
      <c r="P181" s="46"/>
      <c r="Q181" s="28"/>
      <c r="R181" s="4"/>
    </row>
    <row r="182" spans="1:18">
      <c r="A182" s="1"/>
      <c r="B182" s="2"/>
      <c r="C182" s="8"/>
      <c r="D182" s="29"/>
      <c r="E182" s="36"/>
      <c r="F182" s="37"/>
      <c r="G182" s="37"/>
      <c r="H182" s="37"/>
      <c r="I182" s="37"/>
      <c r="J182" s="37"/>
      <c r="K182" s="37"/>
      <c r="L182" s="38"/>
      <c r="M182" s="47"/>
      <c r="N182" s="48"/>
      <c r="O182" s="49"/>
      <c r="P182" s="50"/>
      <c r="Q182" s="51"/>
      <c r="R182" s="4"/>
    </row>
    <row r="183" spans="1:18">
      <c r="A183" s="1"/>
      <c r="B183" s="2"/>
      <c r="C183" s="8"/>
      <c r="D183" s="29"/>
      <c r="E183" s="52"/>
      <c r="F183" s="53"/>
      <c r="G183" s="53"/>
      <c r="H183" s="53"/>
      <c r="I183" s="53"/>
      <c r="J183" s="53"/>
      <c r="K183" s="53"/>
      <c r="L183" s="54"/>
      <c r="M183" s="39"/>
      <c r="N183" s="55"/>
      <c r="O183" s="55"/>
      <c r="P183" s="56"/>
      <c r="Q183" s="28"/>
      <c r="R183" s="4"/>
    </row>
    <row r="184" spans="1:18">
      <c r="A184" s="1"/>
      <c r="B184" s="2"/>
      <c r="C184" s="8"/>
      <c r="D184" s="29"/>
      <c r="E184" s="52"/>
      <c r="F184" s="53"/>
      <c r="G184" s="53"/>
      <c r="H184" s="53"/>
      <c r="I184" s="53"/>
      <c r="J184" s="53"/>
      <c r="K184" s="53"/>
      <c r="L184" s="54"/>
      <c r="M184" s="43" t="s">
        <v>3</v>
      </c>
      <c r="N184" s="43" t="str">
        <f>+VLOOKUP(D195,'PRESUPUESTO OFICIAL '!C:Q,9,FALSE)</f>
        <v>57</v>
      </c>
      <c r="O184" s="43" t="s">
        <v>4</v>
      </c>
      <c r="P184" s="508" t="str">
        <f>+'PRESUPUESTO OFICIAL '!$M$122</f>
        <v>62</v>
      </c>
      <c r="Q184" s="28"/>
      <c r="R184" s="4"/>
    </row>
    <row r="185" spans="1:18">
      <c r="A185" s="1"/>
      <c r="B185" s="2"/>
      <c r="C185" s="8"/>
      <c r="D185" s="29"/>
      <c r="E185" s="30" t="s">
        <v>5</v>
      </c>
      <c r="F185" s="31"/>
      <c r="G185" s="31"/>
      <c r="H185" s="31"/>
      <c r="I185" s="31"/>
      <c r="J185" s="31"/>
      <c r="K185" s="31"/>
      <c r="L185" s="32"/>
      <c r="M185" s="43"/>
      <c r="N185" s="57"/>
      <c r="O185" s="57"/>
      <c r="P185" s="58"/>
      <c r="Q185" s="28"/>
      <c r="R185" s="4"/>
    </row>
    <row r="186" spans="1:18" ht="15.75" thickBot="1">
      <c r="A186" s="1"/>
      <c r="B186" s="2"/>
      <c r="C186" s="8"/>
      <c r="D186" s="59"/>
      <c r="E186" s="60"/>
      <c r="F186" s="60"/>
      <c r="G186" s="60"/>
      <c r="H186" s="60"/>
      <c r="I186" s="60"/>
      <c r="J186" s="60"/>
      <c r="K186" s="60"/>
      <c r="L186" s="60"/>
      <c r="M186" s="60"/>
      <c r="N186" s="61"/>
      <c r="O186" s="61"/>
      <c r="P186" s="62"/>
      <c r="Q186" s="63"/>
      <c r="R186" s="4"/>
    </row>
    <row r="187" spans="1:18">
      <c r="A187" s="1"/>
      <c r="B187" s="2"/>
      <c r="C187" s="8"/>
      <c r="D187" s="64"/>
      <c r="E187" s="65"/>
      <c r="F187" s="65"/>
      <c r="G187" s="65"/>
      <c r="H187" s="65"/>
      <c r="I187" s="65"/>
      <c r="J187" s="65"/>
      <c r="K187" s="65"/>
      <c r="L187" s="65"/>
      <c r="M187" s="66" t="s">
        <v>6</v>
      </c>
      <c r="N187" s="66" t="s">
        <v>7</v>
      </c>
      <c r="O187" s="66" t="s">
        <v>8</v>
      </c>
      <c r="P187" s="67" t="s">
        <v>9</v>
      </c>
      <c r="Q187" s="51"/>
      <c r="R187" s="4"/>
    </row>
    <row r="188" spans="1:18">
      <c r="A188" s="1"/>
      <c r="B188" s="2"/>
      <c r="C188" s="8"/>
      <c r="D188" s="68"/>
      <c r="E188" s="69"/>
      <c r="F188" s="69"/>
      <c r="G188" s="69"/>
      <c r="H188" s="69"/>
      <c r="I188" s="69"/>
      <c r="J188" s="69"/>
      <c r="K188" s="69"/>
      <c r="L188" s="69"/>
      <c r="M188" s="70"/>
      <c r="N188" s="71">
        <f>+Hoja2!B$5</f>
        <v>5</v>
      </c>
      <c r="O188" s="71">
        <f>+Hoja2!C$5</f>
        <v>8</v>
      </c>
      <c r="P188" s="72">
        <f>+Hoja2!D$5</f>
        <v>2026</v>
      </c>
      <c r="Q188" s="73"/>
      <c r="R188" s="4"/>
    </row>
    <row r="189" spans="1:18">
      <c r="A189" s="1"/>
      <c r="B189" s="2"/>
      <c r="C189" s="8"/>
      <c r="D189" s="74"/>
      <c r="E189" s="37"/>
      <c r="F189" s="37"/>
      <c r="G189" s="37"/>
      <c r="H189" s="69"/>
      <c r="I189" s="69"/>
      <c r="J189" s="69"/>
      <c r="K189" s="20"/>
      <c r="L189" s="69"/>
      <c r="M189" s="75"/>
      <c r="N189" s="20"/>
      <c r="O189" s="20"/>
      <c r="P189" s="76"/>
      <c r="Q189" s="73"/>
      <c r="R189" s="4"/>
    </row>
    <row r="190" spans="1:18" ht="15.75" thickBot="1">
      <c r="A190" s="1"/>
      <c r="B190" s="2"/>
      <c r="C190" s="8"/>
      <c r="D190" s="77"/>
      <c r="E190" s="78"/>
      <c r="F190" s="78"/>
      <c r="G190" s="78"/>
      <c r="H190" s="78"/>
      <c r="I190" s="78"/>
      <c r="J190" s="78"/>
      <c r="K190" s="78"/>
      <c r="L190" s="78"/>
      <c r="M190" s="78"/>
      <c r="N190" s="78"/>
      <c r="O190" s="78"/>
      <c r="P190" s="79"/>
      <c r="Q190" s="13"/>
      <c r="R190" s="4"/>
    </row>
    <row r="191" spans="1:18" ht="15.75" thickBot="1">
      <c r="A191" s="1"/>
      <c r="B191" s="2"/>
      <c r="C191" s="8"/>
      <c r="D191" s="80"/>
      <c r="E191" s="81"/>
      <c r="F191" s="81"/>
      <c r="G191" s="81"/>
      <c r="H191" s="81"/>
      <c r="I191" s="81"/>
      <c r="J191" s="20"/>
      <c r="K191" s="20"/>
      <c r="L191" s="81"/>
      <c r="M191" s="81"/>
      <c r="N191" s="81"/>
      <c r="O191" s="81"/>
      <c r="P191" s="82"/>
      <c r="Q191" s="13"/>
      <c r="R191" s="4"/>
    </row>
    <row r="192" spans="1:18">
      <c r="A192" s="1"/>
      <c r="B192" s="2"/>
      <c r="C192" s="8"/>
      <c r="D192" s="83" t="s">
        <v>10</v>
      </c>
      <c r="E192" s="84"/>
      <c r="F192" s="84"/>
      <c r="G192" s="84"/>
      <c r="H192" s="84"/>
      <c r="I192" s="84"/>
      <c r="J192" s="84"/>
      <c r="K192" s="84"/>
      <c r="L192" s="84"/>
      <c r="M192" s="84"/>
      <c r="N192" s="84"/>
      <c r="O192" s="84"/>
      <c r="P192" s="85"/>
      <c r="Q192" s="86"/>
      <c r="R192" s="4"/>
    </row>
    <row r="193" spans="1:18" ht="15.75" thickBot="1">
      <c r="A193" s="1"/>
      <c r="B193" s="2"/>
      <c r="C193" s="8"/>
      <c r="D193" s="87"/>
      <c r="E193" s="20"/>
      <c r="F193" s="20"/>
      <c r="G193" s="20"/>
      <c r="H193" s="20"/>
      <c r="I193" s="20"/>
      <c r="J193" s="20"/>
      <c r="K193" s="20"/>
      <c r="L193" s="20"/>
      <c r="M193" s="20"/>
      <c r="N193" s="20"/>
      <c r="O193" s="20"/>
      <c r="P193" s="88"/>
      <c r="Q193" s="13"/>
      <c r="R193" s="4"/>
    </row>
    <row r="194" spans="1:18">
      <c r="A194" s="1" t="s">
        <v>11</v>
      </c>
      <c r="B194" s="2" t="s">
        <v>12</v>
      </c>
      <c r="C194" s="8"/>
      <c r="D194" s="89" t="s">
        <v>13</v>
      </c>
      <c r="E194" s="90" t="s">
        <v>14</v>
      </c>
      <c r="F194" s="90"/>
      <c r="G194" s="90"/>
      <c r="H194" s="90"/>
      <c r="I194" s="90"/>
      <c r="J194" s="90"/>
      <c r="K194" s="90"/>
      <c r="L194" s="90"/>
      <c r="M194" s="90"/>
      <c r="N194" s="91" t="s">
        <v>15</v>
      </c>
      <c r="O194" s="91"/>
      <c r="P194" s="92" t="s">
        <v>16</v>
      </c>
      <c r="Q194" s="93"/>
      <c r="R194" s="4"/>
    </row>
    <row r="195" spans="1:18" ht="15.75" thickBot="1">
      <c r="A195" s="1"/>
      <c r="B195" s="2"/>
      <c r="C195" s="8"/>
      <c r="D195" s="349">
        <f>+'PRESUPUESTO OFICIAL '!C91</f>
        <v>8.0299999999999994</v>
      </c>
      <c r="E195" s="94" t="str">
        <f>+VLOOKUP(D195,'PRESUPUESTO OFICIAL '!C:H,2,FALSE)</f>
        <v>SUMINISTRO E INSTALACIÓN GRIFERÍA PARA DUCHA SENCILLA</v>
      </c>
      <c r="F195" s="94"/>
      <c r="G195" s="94"/>
      <c r="H195" s="94"/>
      <c r="I195" s="94"/>
      <c r="J195" s="94"/>
      <c r="K195" s="94"/>
      <c r="L195" s="94"/>
      <c r="M195" s="94"/>
      <c r="N195" s="94" t="str">
        <f>+VLOOKUP(D195,'PRESUPUESTO OFICIAL '!C:H,3,FALSE)</f>
        <v>UND</v>
      </c>
      <c r="O195" s="95"/>
      <c r="P195" s="96">
        <f>+VLOOKUP(D195,'PRESUPUESTO OFICIAL '!C:H,4,FALSE)</f>
        <v>11</v>
      </c>
      <c r="Q195" s="97"/>
      <c r="R195" s="98">
        <f>+P247</f>
        <v>199044</v>
      </c>
    </row>
    <row r="196" spans="1:18" ht="15.75" thickBot="1">
      <c r="A196" s="1"/>
      <c r="B196" s="2"/>
      <c r="C196" s="8"/>
      <c r="D196" s="74" t="s">
        <v>17</v>
      </c>
      <c r="E196" s="37"/>
      <c r="F196" s="37"/>
      <c r="G196" s="37"/>
      <c r="H196" s="37"/>
      <c r="I196" s="37"/>
      <c r="J196" s="37"/>
      <c r="K196" s="37"/>
      <c r="L196" s="37"/>
      <c r="M196" s="37"/>
      <c r="N196" s="37"/>
      <c r="O196" s="37"/>
      <c r="P196" s="99"/>
      <c r="Q196" s="100"/>
      <c r="R196" s="4"/>
    </row>
    <row r="197" spans="1:18">
      <c r="A197" s="1"/>
      <c r="B197" s="2"/>
      <c r="C197" s="8"/>
      <c r="D197" s="101" t="s">
        <v>14</v>
      </c>
      <c r="E197" s="102"/>
      <c r="F197" s="102"/>
      <c r="G197" s="102"/>
      <c r="H197" s="103"/>
      <c r="I197" s="104" t="s">
        <v>18</v>
      </c>
      <c r="J197" s="102"/>
      <c r="K197" s="104" t="s">
        <v>19</v>
      </c>
      <c r="L197" s="105"/>
      <c r="M197" s="106" t="s">
        <v>20</v>
      </c>
      <c r="N197" s="104" t="s">
        <v>21</v>
      </c>
      <c r="O197" s="105"/>
      <c r="P197" s="107" t="s">
        <v>22</v>
      </c>
      <c r="Q197" s="108"/>
      <c r="R197" s="4"/>
    </row>
    <row r="198" spans="1:18">
      <c r="A198" s="1" t="e">
        <f>[239]INDICE!#REF!</f>
        <v>#REF!</v>
      </c>
      <c r="B198" s="2" t="s">
        <v>23</v>
      </c>
      <c r="C198" s="8"/>
      <c r="D198" s="109" t="str">
        <f>IFERROR(INDEX([239]EQUIPOS!B:B,MATCH(B198,[239]EQUIPOS!A:A,0)),"")</f>
        <v>HERRAMIENTA MENOR (% M.O)</v>
      </c>
      <c r="E198" s="110"/>
      <c r="F198" s="110"/>
      <c r="G198" s="110"/>
      <c r="H198" s="111"/>
      <c r="I198" s="112"/>
      <c r="J198" s="111"/>
      <c r="K198" s="113" t="str">
        <f>IFERROR(INDEX([239]EQUIPOS!C:C,MATCH(B198,[239]EQUIPOS!A:A,0)),"")</f>
        <v>%</v>
      </c>
      <c r="L198" s="114"/>
      <c r="M198" s="115">
        <f>IFERROR(IF(D198="HERRAMIENTA MENOR (% M.O)",P237,INDEX([239]EQUIPOS!D:D,MATCH(B198,[239]EQUIPOS!A:A,0))),"")</f>
        <v>54392.979999999996</v>
      </c>
      <c r="N198" s="116">
        <v>10</v>
      </c>
      <c r="O198" s="117"/>
      <c r="P198" s="118">
        <f t="shared" ref="P198:P203" si="6">IFERROR(ROUND(IF(D198="HERRAMIENTA MENOR (% M.O)",N198%*M198,M198/N198),2)," ")</f>
        <v>5439.3</v>
      </c>
      <c r="Q198" s="119"/>
      <c r="R198" s="4"/>
    </row>
    <row r="199" spans="1:18">
      <c r="A199" s="1">
        <f>+$A$1691</f>
        <v>0</v>
      </c>
      <c r="B199" s="2"/>
      <c r="C199" s="8"/>
      <c r="D199" s="109" t="str">
        <f>IFERROR(INDEX([239]EQUIPOS!B:B,MATCH(B199,[239]EQUIPOS!A:A,0)),"")</f>
        <v/>
      </c>
      <c r="E199" s="110"/>
      <c r="F199" s="110"/>
      <c r="G199" s="110"/>
      <c r="H199" s="111"/>
      <c r="I199" s="112"/>
      <c r="J199" s="111"/>
      <c r="K199" s="113" t="str">
        <f>IFERROR(INDEX([239]EQUIPOS!C:C,MATCH(B199,[239]EQUIPOS!A:A,0)),"")</f>
        <v/>
      </c>
      <c r="L199" s="114"/>
      <c r="M199" s="115" t="str">
        <f>IFERROR(IF(D199="HERRAMIENTA MENOR (% M.O)",P238,INDEX([239]EQUIPOS!D:D,MATCH(B199,[239]EQUIPOS!A:A,0))),"")</f>
        <v/>
      </c>
      <c r="N199" s="116"/>
      <c r="O199" s="117"/>
      <c r="P199" s="118" t="str">
        <f t="shared" si="6"/>
        <v xml:space="preserve"> </v>
      </c>
      <c r="Q199" s="119"/>
      <c r="R199" s="4"/>
    </row>
    <row r="200" spans="1:18">
      <c r="A200" s="1">
        <f t="shared" ref="A200:A238" si="7">+A199</f>
        <v>0</v>
      </c>
      <c r="B200" s="2"/>
      <c r="C200" s="8"/>
      <c r="D200" s="109" t="str">
        <f>IFERROR(INDEX([239]EQUIPOS!B:B,MATCH(B200,[239]EQUIPOS!A:A,0)),"")</f>
        <v/>
      </c>
      <c r="E200" s="110"/>
      <c r="F200" s="110"/>
      <c r="G200" s="110"/>
      <c r="H200" s="111"/>
      <c r="I200" s="120"/>
      <c r="J200" s="121"/>
      <c r="K200" s="113" t="str">
        <f>IFERROR(INDEX([239]EQUIPOS!C:C,MATCH(B200,[239]EQUIPOS!A:A,0)),"")</f>
        <v/>
      </c>
      <c r="L200" s="114"/>
      <c r="M200" s="115" t="str">
        <f>IFERROR(IF(D200="HERRAMIENTA MENOR (% M.O)",P239,INDEX([239]EQUIPOS!D:D,MATCH(B200,[239]EQUIPOS!A:A,0))),"")</f>
        <v/>
      </c>
      <c r="N200" s="116"/>
      <c r="O200" s="117"/>
      <c r="P200" s="118" t="str">
        <f t="shared" si="6"/>
        <v xml:space="preserve"> </v>
      </c>
      <c r="Q200" s="119"/>
      <c r="R200" s="4"/>
    </row>
    <row r="201" spans="1:18">
      <c r="A201" s="1">
        <f t="shared" si="7"/>
        <v>0</v>
      </c>
      <c r="B201" s="2"/>
      <c r="C201" s="8"/>
      <c r="D201" s="109" t="str">
        <f>IFERROR(INDEX([239]EQUIPOS!B:B,MATCH(B201,[239]EQUIPOS!A:A,0)),"")</f>
        <v/>
      </c>
      <c r="E201" s="110"/>
      <c r="F201" s="110"/>
      <c r="G201" s="110"/>
      <c r="H201" s="111"/>
      <c r="I201" s="120"/>
      <c r="J201" s="121"/>
      <c r="K201" s="113" t="str">
        <f>IFERROR(INDEX([239]EQUIPOS!C:C,MATCH(B201,[239]EQUIPOS!A:A,0)),"")</f>
        <v/>
      </c>
      <c r="L201" s="114"/>
      <c r="M201" s="115" t="str">
        <f>IFERROR(IF(D201="HERRAMIENTA MENOR (% M.O)",P240,INDEX([239]EQUIPOS!D:D,MATCH(B201,[239]EQUIPOS!A:A,0))),"")</f>
        <v/>
      </c>
      <c r="N201" s="116"/>
      <c r="O201" s="117"/>
      <c r="P201" s="118" t="str">
        <f t="shared" si="6"/>
        <v xml:space="preserve"> </v>
      </c>
      <c r="Q201" s="119"/>
      <c r="R201" s="4"/>
    </row>
    <row r="202" spans="1:18">
      <c r="A202" s="1">
        <f t="shared" si="7"/>
        <v>0</v>
      </c>
      <c r="B202" s="2"/>
      <c r="C202" s="8"/>
      <c r="D202" s="109" t="str">
        <f>IFERROR(INDEX([239]EQUIPOS!B:B,MATCH(B202,[239]EQUIPOS!A:A,0)),"")</f>
        <v/>
      </c>
      <c r="E202" s="110"/>
      <c r="F202" s="110"/>
      <c r="G202" s="110"/>
      <c r="H202" s="111"/>
      <c r="I202" s="112"/>
      <c r="J202" s="111"/>
      <c r="K202" s="113" t="str">
        <f>IFERROR(INDEX([239]EQUIPOS!C:C,MATCH(B202,[239]EQUIPOS!A:A,0)),"")</f>
        <v/>
      </c>
      <c r="L202" s="114"/>
      <c r="M202" s="115" t="str">
        <f>IFERROR(IF(D202="HERRAMIENTA MENOR (% M.O)",P241,INDEX([239]EQUIPOS!D:D,MATCH(B202,[239]EQUIPOS!A:A,0))),"")</f>
        <v/>
      </c>
      <c r="N202" s="116"/>
      <c r="O202" s="117"/>
      <c r="P202" s="118" t="str">
        <f t="shared" si="6"/>
        <v xml:space="preserve"> </v>
      </c>
      <c r="Q202" s="119"/>
      <c r="R202" s="4"/>
    </row>
    <row r="203" spans="1:18" ht="15.75" thickBot="1">
      <c r="A203" s="1">
        <f t="shared" si="7"/>
        <v>0</v>
      </c>
      <c r="B203" s="2"/>
      <c r="C203" s="8"/>
      <c r="D203" s="109" t="str">
        <f>IFERROR(INDEX([239]EQUIPOS!B:B,MATCH(B203,[239]EQUIPOS!A:A,0)),"")</f>
        <v/>
      </c>
      <c r="E203" s="78"/>
      <c r="F203" s="78"/>
      <c r="G203" s="78"/>
      <c r="H203" s="122"/>
      <c r="I203" s="123"/>
      <c r="J203" s="122"/>
      <c r="K203" s="113" t="str">
        <f>IFERROR(INDEX([239]EQUIPOS!C:C,MATCH(B203,[239]EQUIPOS!A:A,0)),"")</f>
        <v/>
      </c>
      <c r="L203" s="124"/>
      <c r="M203" s="115" t="str">
        <f>IFERROR(IF(D203="HERRAMIENTA MENOR (% M.O)",P242,INDEX([239]EQUIPOS!D:D,MATCH(B203,[239]EQUIPOS!A:A,0))),"")</f>
        <v/>
      </c>
      <c r="N203" s="125"/>
      <c r="O203" s="126"/>
      <c r="P203" s="127" t="str">
        <f t="shared" si="6"/>
        <v xml:space="preserve"> </v>
      </c>
      <c r="Q203" s="119"/>
      <c r="R203" s="4"/>
    </row>
    <row r="204" spans="1:18" ht="15.75" thickBot="1">
      <c r="A204" s="1">
        <f t="shared" si="7"/>
        <v>0</v>
      </c>
      <c r="B204" s="2"/>
      <c r="C204" s="8"/>
      <c r="D204" s="128" t="s">
        <v>24</v>
      </c>
      <c r="E204" s="129"/>
      <c r="F204" s="129"/>
      <c r="G204" s="129"/>
      <c r="H204" s="129"/>
      <c r="I204" s="129"/>
      <c r="J204" s="129"/>
      <c r="K204" s="129"/>
      <c r="L204" s="129"/>
      <c r="M204" s="129"/>
      <c r="N204" s="129"/>
      <c r="O204" s="130"/>
      <c r="P204" s="131">
        <f>SUM(P198:P203)</f>
        <v>5439.3</v>
      </c>
      <c r="Q204" s="132"/>
      <c r="R204" s="4"/>
    </row>
    <row r="205" spans="1:18" ht="15.75" thickBot="1">
      <c r="A205" s="1">
        <f t="shared" si="7"/>
        <v>0</v>
      </c>
      <c r="B205" s="2"/>
      <c r="C205" s="8"/>
      <c r="D205" s="74" t="s">
        <v>25</v>
      </c>
      <c r="E205" s="37"/>
      <c r="F205" s="37"/>
      <c r="G205" s="37"/>
      <c r="H205" s="37"/>
      <c r="I205" s="37"/>
      <c r="J205" s="37"/>
      <c r="K205" s="37"/>
      <c r="L205" s="37"/>
      <c r="M205" s="37"/>
      <c r="N205" s="37"/>
      <c r="O205" s="37"/>
      <c r="P205" s="99"/>
      <c r="Q205" s="100"/>
      <c r="R205" s="4"/>
    </row>
    <row r="206" spans="1:18">
      <c r="A206" s="1">
        <f t="shared" si="7"/>
        <v>0</v>
      </c>
      <c r="B206" s="2"/>
      <c r="C206" s="8"/>
      <c r="D206" s="101" t="s">
        <v>14</v>
      </c>
      <c r="E206" s="133"/>
      <c r="F206" s="133"/>
      <c r="G206" s="133"/>
      <c r="H206" s="133"/>
      <c r="I206" s="133"/>
      <c r="J206" s="133"/>
      <c r="K206" s="105"/>
      <c r="L206" s="134" t="s">
        <v>15</v>
      </c>
      <c r="M206" s="106" t="s">
        <v>16</v>
      </c>
      <c r="N206" s="104" t="s">
        <v>26</v>
      </c>
      <c r="O206" s="105"/>
      <c r="P206" s="107" t="s">
        <v>22</v>
      </c>
      <c r="Q206" s="108"/>
      <c r="R206" s="4"/>
    </row>
    <row r="207" spans="1:18">
      <c r="A207" s="1">
        <f t="shared" si="7"/>
        <v>0</v>
      </c>
      <c r="B207" s="2" t="s">
        <v>351</v>
      </c>
      <c r="C207" s="8"/>
      <c r="D207" s="109" t="str">
        <f>IFERROR(INDEX([239]MATERIALES!C:C,MATCH(B207,[239]MATERIALES!B:B,0)),"")</f>
        <v>DUCHA CON LLAVE SENCILLA</v>
      </c>
      <c r="E207" s="135"/>
      <c r="F207" s="135"/>
      <c r="G207" s="135"/>
      <c r="H207" s="135"/>
      <c r="I207" s="135"/>
      <c r="J207" s="135"/>
      <c r="K207" s="136"/>
      <c r="L207" s="137" t="str">
        <f>IFERROR(INDEX([239]MATERIALES!D:D,MATCH(B207,[239]MATERIALES!B:B,0)),"")</f>
        <v>UND</v>
      </c>
      <c r="M207" s="138">
        <v>1</v>
      </c>
      <c r="N207" s="139">
        <f>IFERROR(INDEX([239]MATERIALES!P:P,MATCH(B207,[239]MATERIALES!B:B,0)),"")</f>
        <v>84090.58</v>
      </c>
      <c r="O207" s="140"/>
      <c r="P207" s="118">
        <f>IFERROR(ROUND(N207*M207,2),"")</f>
        <v>84090.58</v>
      </c>
      <c r="Q207" s="119"/>
      <c r="R207" s="4"/>
    </row>
    <row r="208" spans="1:18">
      <c r="A208" s="1">
        <f t="shared" si="7"/>
        <v>0</v>
      </c>
      <c r="B208" s="2" t="s">
        <v>296</v>
      </c>
      <c r="C208" s="8"/>
      <c r="D208" s="109" t="str">
        <f>IFERROR(INDEX([239]MATERIALES!C:C,MATCH(B208,[239]MATERIALES!B:B,0)),"")</f>
        <v>ADAPTADOR MACHO PVC DE 1/2"</v>
      </c>
      <c r="E208" s="135"/>
      <c r="F208" s="135"/>
      <c r="G208" s="135"/>
      <c r="H208" s="135"/>
      <c r="I208" s="135"/>
      <c r="J208" s="135"/>
      <c r="K208" s="136"/>
      <c r="L208" s="137" t="str">
        <f>IFERROR(INDEX([239]MATERIALES!D:D,MATCH(B208,[239]MATERIALES!B:B,0)),"")</f>
        <v>UND</v>
      </c>
      <c r="M208" s="138">
        <v>2</v>
      </c>
      <c r="N208" s="139">
        <f>IFERROR(INDEX([239]MATERIALES!P:P,MATCH(B208,[239]MATERIALES!B:B,0)),"")</f>
        <v>618.28</v>
      </c>
      <c r="O208" s="140"/>
      <c r="P208" s="118">
        <f>IFERROR(ROUND(N208*M208,2),"")</f>
        <v>1236.56</v>
      </c>
      <c r="Q208" s="119"/>
      <c r="R208" s="4"/>
    </row>
    <row r="209" spans="1:18">
      <c r="A209" s="1">
        <f t="shared" si="7"/>
        <v>0</v>
      </c>
      <c r="B209" s="2" t="s">
        <v>298</v>
      </c>
      <c r="C209" s="8"/>
      <c r="D209" s="109" t="str">
        <f>IFERROR(INDEX([239]MATERIALES!C:C,MATCH(B209,[239]MATERIALES!B:B,0)),"")</f>
        <v>CINTA TEFLÓN 10 m 1/2"</v>
      </c>
      <c r="E209" s="110"/>
      <c r="F209" s="110"/>
      <c r="G209" s="110"/>
      <c r="H209" s="110"/>
      <c r="I209" s="110"/>
      <c r="J209" s="110"/>
      <c r="K209" s="111"/>
      <c r="L209" s="137" t="str">
        <f>IFERROR(INDEX([239]MATERIALES!D:D,MATCH(B209,[239]MATERIALES!B:B,0)),"")</f>
        <v>RL</v>
      </c>
      <c r="M209" s="138">
        <v>0.1</v>
      </c>
      <c r="N209" s="139">
        <f>IFERROR(INDEX([239]MATERIALES!P:P,MATCH(B209,[239]MATERIALES!B:B,0)),"")</f>
        <v>2200</v>
      </c>
      <c r="O209" s="140"/>
      <c r="P209" s="118">
        <f>IFERROR(ROUND(N209*M209,2),"")</f>
        <v>220</v>
      </c>
      <c r="Q209" s="119"/>
      <c r="R209" s="4"/>
    </row>
    <row r="210" spans="1:18">
      <c r="A210" s="1">
        <f t="shared" si="7"/>
        <v>0</v>
      </c>
      <c r="B210" s="2"/>
      <c r="C210" s="8"/>
      <c r="D210" s="109" t="str">
        <f>IFERROR(INDEX([239]MATERIALES!C:C,MATCH(B210,[239]MATERIALES!B:B,0)),"")</f>
        <v/>
      </c>
      <c r="E210" s="110"/>
      <c r="F210" s="110"/>
      <c r="G210" s="110"/>
      <c r="H210" s="110"/>
      <c r="I210" s="110"/>
      <c r="J210" s="110"/>
      <c r="K210" s="111"/>
      <c r="L210" s="137" t="str">
        <f>IFERROR(INDEX([239]MATERIALES!D:D,MATCH(B210,[239]MATERIALES!B:B,0)),"")</f>
        <v/>
      </c>
      <c r="M210" s="138"/>
      <c r="N210" s="139" t="str">
        <f>IFERROR(INDEX([239]MATERIALES!P:P,MATCH(B210,[239]MATERIALES!B:B,0)),"")</f>
        <v/>
      </c>
      <c r="O210" s="140"/>
      <c r="P210" s="118" t="str">
        <f>IFERROR(ROUND(N210*M210,2),"")</f>
        <v/>
      </c>
      <c r="Q210" s="119"/>
      <c r="R210" s="4"/>
    </row>
    <row r="211" spans="1:18">
      <c r="A211" s="1">
        <f t="shared" si="7"/>
        <v>0</v>
      </c>
      <c r="B211" s="2"/>
      <c r="C211" s="8"/>
      <c r="D211" s="109" t="str">
        <f>IFERROR(INDEX([239]MATERIALES!C:C,MATCH(B211,[239]MATERIALES!B:B,0)),"")</f>
        <v/>
      </c>
      <c r="E211" s="110"/>
      <c r="F211" s="110"/>
      <c r="G211" s="110"/>
      <c r="H211" s="110"/>
      <c r="I211" s="110"/>
      <c r="J211" s="110"/>
      <c r="K211" s="111"/>
      <c r="L211" s="137" t="str">
        <f>IFERROR(INDEX([239]MATERIALES!D:D,MATCH(B211,[239]MATERIALES!B:B,0)),"")</f>
        <v/>
      </c>
      <c r="M211" s="138"/>
      <c r="N211" s="139" t="str">
        <f>IFERROR(INDEX([239]MATERIALES!P:P,MATCH(B211,[239]MATERIALES!B:B,0)),"")</f>
        <v/>
      </c>
      <c r="O211" s="140"/>
      <c r="P211" s="118" t="str">
        <f t="shared" ref="P211:P220" si="8">IFERROR(ROUND(N211*M211,2),"")</f>
        <v/>
      </c>
      <c r="Q211" s="119"/>
      <c r="R211" s="4"/>
    </row>
    <row r="212" spans="1:18">
      <c r="A212" s="1">
        <f t="shared" si="7"/>
        <v>0</v>
      </c>
      <c r="B212" s="2"/>
      <c r="C212" s="8"/>
      <c r="D212" s="109" t="str">
        <f>IFERROR(INDEX([239]MATERIALES!C:C,MATCH(B212,[239]MATERIALES!B:B,0)),"")</f>
        <v/>
      </c>
      <c r="E212" s="110"/>
      <c r="F212" s="110"/>
      <c r="G212" s="110"/>
      <c r="H212" s="110"/>
      <c r="I212" s="110"/>
      <c r="J212" s="110"/>
      <c r="K212" s="111"/>
      <c r="L212" s="137" t="str">
        <f>IFERROR(INDEX([239]MATERIALES!D:D,MATCH(B212,[239]MATERIALES!B:B,0)),"")</f>
        <v/>
      </c>
      <c r="M212" s="138"/>
      <c r="N212" s="139" t="str">
        <f>IFERROR(INDEX([239]MATERIALES!P:P,MATCH(B212,[239]MATERIALES!B:B,0)),"")</f>
        <v/>
      </c>
      <c r="O212" s="140"/>
      <c r="P212" s="118" t="str">
        <f t="shared" si="8"/>
        <v/>
      </c>
      <c r="Q212" s="119"/>
      <c r="R212" s="4"/>
    </row>
    <row r="213" spans="1:18">
      <c r="A213" s="1">
        <f t="shared" si="7"/>
        <v>0</v>
      </c>
      <c r="B213" s="2"/>
      <c r="C213" s="8"/>
      <c r="D213" s="109" t="str">
        <f>IFERROR(INDEX([239]MATERIALES!C:C,MATCH(B213,[239]MATERIALES!B:B,0)),"")</f>
        <v/>
      </c>
      <c r="E213" s="110"/>
      <c r="F213" s="110"/>
      <c r="G213" s="110"/>
      <c r="H213" s="110"/>
      <c r="I213" s="110"/>
      <c r="J213" s="110"/>
      <c r="K213" s="111"/>
      <c r="L213" s="137" t="str">
        <f>IFERROR(INDEX([239]MATERIALES!D:D,MATCH(B213,[239]MATERIALES!B:B,0)),"")</f>
        <v/>
      </c>
      <c r="M213" s="138"/>
      <c r="N213" s="139" t="str">
        <f>IFERROR(INDEX([239]MATERIALES!P:P,MATCH(B213,[239]MATERIALES!B:B,0)),"")</f>
        <v/>
      </c>
      <c r="O213" s="140"/>
      <c r="P213" s="118" t="str">
        <f t="shared" si="8"/>
        <v/>
      </c>
      <c r="Q213" s="119"/>
      <c r="R213" s="4"/>
    </row>
    <row r="214" spans="1:18">
      <c r="A214" s="1">
        <f t="shared" si="7"/>
        <v>0</v>
      </c>
      <c r="B214" s="2"/>
      <c r="C214" s="8"/>
      <c r="D214" s="109" t="str">
        <f>IFERROR(INDEX([239]MATERIALES!C:C,MATCH(B214,[239]MATERIALES!B:B,0)),"")</f>
        <v/>
      </c>
      <c r="E214" s="110"/>
      <c r="F214" s="110"/>
      <c r="G214" s="110"/>
      <c r="H214" s="110"/>
      <c r="I214" s="110"/>
      <c r="J214" s="110"/>
      <c r="K214" s="111"/>
      <c r="L214" s="137" t="str">
        <f>IFERROR(INDEX([239]MATERIALES!D:D,MATCH(B214,[239]MATERIALES!B:B,0)),"")</f>
        <v/>
      </c>
      <c r="M214" s="138"/>
      <c r="N214" s="139" t="str">
        <f>IFERROR(INDEX([239]MATERIALES!P:P,MATCH(B214,[239]MATERIALES!B:B,0)),"")</f>
        <v/>
      </c>
      <c r="O214" s="140"/>
      <c r="P214" s="118" t="str">
        <f t="shared" si="8"/>
        <v/>
      </c>
      <c r="Q214" s="119"/>
      <c r="R214" s="4"/>
    </row>
    <row r="215" spans="1:18">
      <c r="A215" s="1">
        <f t="shared" si="7"/>
        <v>0</v>
      </c>
      <c r="B215" s="2"/>
      <c r="C215" s="8"/>
      <c r="D215" s="109" t="str">
        <f>IFERROR(INDEX([239]MATERIALES!C:C,MATCH(B215,[239]MATERIALES!B:B,0)),"")</f>
        <v/>
      </c>
      <c r="E215" s="110"/>
      <c r="F215" s="110"/>
      <c r="G215" s="110"/>
      <c r="H215" s="110"/>
      <c r="I215" s="110"/>
      <c r="J215" s="110"/>
      <c r="K215" s="111"/>
      <c r="L215" s="137" t="str">
        <f>IFERROR(INDEX([239]MATERIALES!D:D,MATCH(B215,[239]MATERIALES!B:B,0)),"")</f>
        <v/>
      </c>
      <c r="M215" s="138"/>
      <c r="N215" s="139" t="str">
        <f>IFERROR(INDEX([239]MATERIALES!P:P,MATCH(B215,[239]MATERIALES!B:B,0)),"")</f>
        <v/>
      </c>
      <c r="O215" s="140"/>
      <c r="P215" s="118" t="str">
        <f t="shared" si="8"/>
        <v/>
      </c>
      <c r="Q215" s="119"/>
      <c r="R215" s="4"/>
    </row>
    <row r="216" spans="1:18">
      <c r="A216" s="1">
        <f t="shared" si="7"/>
        <v>0</v>
      </c>
      <c r="B216" s="2"/>
      <c r="C216" s="8"/>
      <c r="D216" s="109" t="str">
        <f>IFERROR(INDEX([239]MATERIALES!C:C,MATCH(B216,[239]MATERIALES!B:B,0)),"")</f>
        <v/>
      </c>
      <c r="E216" s="110"/>
      <c r="F216" s="110"/>
      <c r="G216" s="110"/>
      <c r="H216" s="110"/>
      <c r="I216" s="110"/>
      <c r="J216" s="110"/>
      <c r="K216" s="111"/>
      <c r="L216" s="137" t="str">
        <f>IFERROR(INDEX([239]MATERIALES!D:D,MATCH(B216,[239]MATERIALES!B:B,0)),"")</f>
        <v/>
      </c>
      <c r="M216" s="138"/>
      <c r="N216" s="139" t="str">
        <f>IFERROR(INDEX([239]MATERIALES!P:P,MATCH(B216,[239]MATERIALES!B:B,0)),"")</f>
        <v/>
      </c>
      <c r="O216" s="140"/>
      <c r="P216" s="118" t="str">
        <f t="shared" si="8"/>
        <v/>
      </c>
      <c r="Q216" s="119"/>
      <c r="R216" s="4"/>
    </row>
    <row r="217" spans="1:18">
      <c r="A217" s="1">
        <f t="shared" si="7"/>
        <v>0</v>
      </c>
      <c r="B217" s="2"/>
      <c r="C217" s="8"/>
      <c r="D217" s="109" t="str">
        <f>IFERROR(INDEX([239]MATERIALES!C:C,MATCH(B217,[239]MATERIALES!B:B,0)),"")</f>
        <v/>
      </c>
      <c r="E217" s="110"/>
      <c r="F217" s="110"/>
      <c r="G217" s="110"/>
      <c r="H217" s="110"/>
      <c r="I217" s="110"/>
      <c r="J217" s="110"/>
      <c r="K217" s="111"/>
      <c r="L217" s="137" t="str">
        <f>IFERROR(INDEX([239]MATERIALES!D:D,MATCH(B217,[239]MATERIALES!B:B,0)),"")</f>
        <v/>
      </c>
      <c r="M217" s="138"/>
      <c r="N217" s="139" t="str">
        <f>IFERROR(INDEX([239]MATERIALES!P:P,MATCH(B217,[239]MATERIALES!B:B,0)),"")</f>
        <v/>
      </c>
      <c r="O217" s="140"/>
      <c r="P217" s="118" t="str">
        <f t="shared" si="8"/>
        <v/>
      </c>
      <c r="Q217" s="119"/>
      <c r="R217" s="4"/>
    </row>
    <row r="218" spans="1:18">
      <c r="A218" s="1">
        <f t="shared" si="7"/>
        <v>0</v>
      </c>
      <c r="B218" s="2"/>
      <c r="C218" s="8"/>
      <c r="D218" s="109" t="str">
        <f>IFERROR(INDEX([239]MATERIALES!C:C,MATCH(B218,[239]MATERIALES!B:B,0)),"")</f>
        <v/>
      </c>
      <c r="E218" s="110"/>
      <c r="F218" s="110"/>
      <c r="G218" s="110"/>
      <c r="H218" s="110"/>
      <c r="I218" s="110"/>
      <c r="J218" s="110"/>
      <c r="K218" s="111"/>
      <c r="L218" s="137" t="str">
        <f>IFERROR(INDEX([239]MATERIALES!D:D,MATCH(B218,[239]MATERIALES!B:B,0)),"")</f>
        <v/>
      </c>
      <c r="M218" s="138"/>
      <c r="N218" s="139" t="str">
        <f>IFERROR(INDEX([239]MATERIALES!P:P,MATCH(B218,[239]MATERIALES!B:B,0)),"")</f>
        <v/>
      </c>
      <c r="O218" s="140"/>
      <c r="P218" s="118" t="str">
        <f t="shared" si="8"/>
        <v/>
      </c>
      <c r="Q218" s="119"/>
      <c r="R218" s="4"/>
    </row>
    <row r="219" spans="1:18">
      <c r="A219" s="1">
        <f t="shared" si="7"/>
        <v>0</v>
      </c>
      <c r="B219" s="2"/>
      <c r="C219" s="8"/>
      <c r="D219" s="109" t="str">
        <f>IFERROR(INDEX([239]MATERIALES!C:C,MATCH(B219,[239]MATERIALES!B:B,0)),"")</f>
        <v/>
      </c>
      <c r="E219" s="110"/>
      <c r="F219" s="110"/>
      <c r="G219" s="110"/>
      <c r="H219" s="110"/>
      <c r="I219" s="110"/>
      <c r="J219" s="110"/>
      <c r="K219" s="111"/>
      <c r="L219" s="137" t="str">
        <f>IFERROR(INDEX([239]MATERIALES!D:D,MATCH(B219,[239]MATERIALES!B:B,0)),"")</f>
        <v/>
      </c>
      <c r="M219" s="138"/>
      <c r="N219" s="139" t="str">
        <f>IFERROR(INDEX([239]MATERIALES!P:P,MATCH(B219,[239]MATERIALES!B:B,0)),"")</f>
        <v/>
      </c>
      <c r="O219" s="140"/>
      <c r="P219" s="118" t="str">
        <f t="shared" si="8"/>
        <v/>
      </c>
      <c r="Q219" s="119"/>
      <c r="R219" s="4"/>
    </row>
    <row r="220" spans="1:18">
      <c r="A220" s="1">
        <f t="shared" si="7"/>
        <v>0</v>
      </c>
      <c r="B220" s="2"/>
      <c r="C220" s="8"/>
      <c r="D220" s="109" t="str">
        <f>IFERROR(INDEX([239]MATERIALES!C:C,MATCH(B220,[239]MATERIALES!B:B,0)),"")</f>
        <v/>
      </c>
      <c r="E220" s="110"/>
      <c r="F220" s="110"/>
      <c r="G220" s="110"/>
      <c r="H220" s="110"/>
      <c r="I220" s="110"/>
      <c r="J220" s="110"/>
      <c r="K220" s="111"/>
      <c r="L220" s="137" t="str">
        <f>IFERROR(INDEX([239]MATERIALES!D:D,MATCH(B220,[239]MATERIALES!B:B,0)),"")</f>
        <v/>
      </c>
      <c r="M220" s="138"/>
      <c r="N220" s="139" t="str">
        <f>IFERROR(INDEX([239]MATERIALES!P:P,MATCH(B220,[239]MATERIALES!B:B,0)),"")</f>
        <v/>
      </c>
      <c r="O220" s="140"/>
      <c r="P220" s="118" t="str">
        <f t="shared" si="8"/>
        <v/>
      </c>
      <c r="Q220" s="119"/>
      <c r="R220" s="4"/>
    </row>
    <row r="221" spans="1:18" ht="15.75" thickBot="1">
      <c r="A221" s="1">
        <f t="shared" si="7"/>
        <v>0</v>
      </c>
      <c r="B221" s="2"/>
      <c r="C221" s="8"/>
      <c r="D221" s="109" t="s">
        <v>28</v>
      </c>
      <c r="E221" s="110"/>
      <c r="F221" s="110"/>
      <c r="G221" s="110"/>
      <c r="H221" s="110"/>
      <c r="I221" s="110"/>
      <c r="J221" s="110"/>
      <c r="K221" s="111"/>
      <c r="L221" s="137" t="s">
        <v>29</v>
      </c>
      <c r="M221" s="138">
        <v>0.05</v>
      </c>
      <c r="N221" s="139">
        <f>SUM(P207:P220)</f>
        <v>85547.14</v>
      </c>
      <c r="O221" s="140"/>
      <c r="P221" s="118">
        <f>ROUND(N221*M221,2)</f>
        <v>4277.3599999999997</v>
      </c>
      <c r="Q221" s="119"/>
      <c r="R221" s="4"/>
    </row>
    <row r="222" spans="1:18" ht="15.75" thickBot="1">
      <c r="A222" s="1">
        <f t="shared" si="7"/>
        <v>0</v>
      </c>
      <c r="B222" s="2"/>
      <c r="C222" s="8"/>
      <c r="D222" s="128" t="s">
        <v>24</v>
      </c>
      <c r="E222" s="129"/>
      <c r="F222" s="129"/>
      <c r="G222" s="129"/>
      <c r="H222" s="129"/>
      <c r="I222" s="129"/>
      <c r="J222" s="129"/>
      <c r="K222" s="129"/>
      <c r="L222" s="129"/>
      <c r="M222" s="129"/>
      <c r="N222" s="129"/>
      <c r="O222" s="130"/>
      <c r="P222" s="131">
        <f>SUM(P207:P221)</f>
        <v>89824.5</v>
      </c>
      <c r="Q222" s="119"/>
      <c r="R222" s="4"/>
    </row>
    <row r="223" spans="1:18" ht="15.75" thickBot="1">
      <c r="A223" s="1">
        <f t="shared" si="7"/>
        <v>0</v>
      </c>
      <c r="B223" s="2"/>
      <c r="C223" s="8"/>
      <c r="D223" s="74" t="s">
        <v>30</v>
      </c>
      <c r="E223" s="37"/>
      <c r="F223" s="37"/>
      <c r="G223" s="37"/>
      <c r="H223" s="37"/>
      <c r="I223" s="37"/>
      <c r="J223" s="37"/>
      <c r="K223" s="37"/>
      <c r="L223" s="37"/>
      <c r="M223" s="37"/>
      <c r="N223" s="37"/>
      <c r="O223" s="37"/>
      <c r="P223" s="99"/>
      <c r="Q223" s="100"/>
      <c r="R223" s="4"/>
    </row>
    <row r="224" spans="1:18">
      <c r="A224" s="1">
        <f t="shared" si="7"/>
        <v>0</v>
      </c>
      <c r="B224" s="2"/>
      <c r="C224" s="8"/>
      <c r="D224" s="101" t="s">
        <v>31</v>
      </c>
      <c r="E224" s="133"/>
      <c r="F224" s="133"/>
      <c r="G224" s="133"/>
      <c r="H224" s="133"/>
      <c r="I224" s="133"/>
      <c r="J224" s="133"/>
      <c r="K224" s="106" t="s">
        <v>32</v>
      </c>
      <c r="L224" s="141" t="s">
        <v>33</v>
      </c>
      <c r="M224" s="106" t="s">
        <v>34</v>
      </c>
      <c r="N224" s="104" t="s">
        <v>20</v>
      </c>
      <c r="O224" s="105"/>
      <c r="P224" s="107" t="s">
        <v>22</v>
      </c>
      <c r="Q224" s="108"/>
      <c r="R224" s="4"/>
    </row>
    <row r="225" spans="1:18">
      <c r="A225" s="1">
        <f t="shared" si="7"/>
        <v>0</v>
      </c>
      <c r="B225" s="2"/>
      <c r="C225" s="8"/>
      <c r="D225" s="142" t="str">
        <f>IFERROR(INDEX([239]TRANSPORTES!B:B,MATCH(B225,[239]TRANSPORTES!A:A,0)),"")</f>
        <v/>
      </c>
      <c r="E225" s="143"/>
      <c r="F225" s="143"/>
      <c r="G225" s="143"/>
      <c r="H225" s="143"/>
      <c r="I225" s="143"/>
      <c r="J225" s="143"/>
      <c r="K225" s="220"/>
      <c r="L225" s="145"/>
      <c r="M225" s="146" t="str">
        <f>IFERROR(INDEX([239]TRANSPORTES!C:C,MATCH(B225,[239]TRANSPORTES!A:A,0)),"")</f>
        <v/>
      </c>
      <c r="N225" s="139" t="str">
        <f>IFERROR(INDEX([239]TRANSPORTES!D:D,MATCH(B225,[239]TRANSPORTES!A:A,0)),"")</f>
        <v/>
      </c>
      <c r="O225" s="147"/>
      <c r="P225" s="148" t="str">
        <f>IFERROR(ROUND(K225*N225*L225,2),"")</f>
        <v/>
      </c>
      <c r="Q225" s="119"/>
      <c r="R225" s="4"/>
    </row>
    <row r="226" spans="1:18">
      <c r="A226" s="1">
        <f t="shared" si="7"/>
        <v>0</v>
      </c>
      <c r="B226" s="2"/>
      <c r="C226" s="8"/>
      <c r="D226" s="142" t="str">
        <f>IFERROR(INDEX([239]TRANSPORTES!B:B,MATCH(B226,[239]TRANSPORTES!A:A,0)),"")</f>
        <v/>
      </c>
      <c r="E226" s="143"/>
      <c r="F226" s="143"/>
      <c r="G226" s="143"/>
      <c r="H226" s="143"/>
      <c r="I226" s="143"/>
      <c r="J226" s="143"/>
      <c r="K226" s="144"/>
      <c r="L226" s="145"/>
      <c r="M226" s="146" t="str">
        <f>IFERROR(INDEX([239]TRANSPORTES!C:C,MATCH(B226,[239]TRANSPORTES!A:A,0)),"")</f>
        <v/>
      </c>
      <c r="N226" s="139" t="str">
        <f>IFERROR(INDEX([239]TRANSPORTES!D:D,MATCH(B226,[239]TRANSPORTES!A:A,0)),"")</f>
        <v/>
      </c>
      <c r="O226" s="147"/>
      <c r="P226" s="148" t="str">
        <f>IFERROR(ROUND(K226*N226*L226,2),"")</f>
        <v/>
      </c>
      <c r="Q226" s="119"/>
      <c r="R226" s="4"/>
    </row>
    <row r="227" spans="1:18">
      <c r="A227" s="1">
        <f t="shared" si="7"/>
        <v>0</v>
      </c>
      <c r="B227" s="2"/>
      <c r="C227" s="8"/>
      <c r="D227" s="142" t="str">
        <f>IFERROR(INDEX([239]TRANSPORTES!B:B,MATCH(B227,[239]TRANSPORTES!A:A,0)),"")</f>
        <v/>
      </c>
      <c r="E227" s="143"/>
      <c r="F227" s="143"/>
      <c r="G227" s="143"/>
      <c r="H227" s="143"/>
      <c r="I227" s="143"/>
      <c r="J227" s="143"/>
      <c r="K227" s="144"/>
      <c r="L227" s="145"/>
      <c r="M227" s="146" t="str">
        <f>IFERROR(INDEX([239]TRANSPORTES!C:C,MATCH(B227,[239]TRANSPORTES!A:A,0)),"")</f>
        <v/>
      </c>
      <c r="N227" s="139" t="str">
        <f>IFERROR(INDEX([239]TRANSPORTES!D:D,MATCH(B227,[239]TRANSPORTES!A:A,0)),"")</f>
        <v/>
      </c>
      <c r="O227" s="147"/>
      <c r="P227" s="148" t="str">
        <f>IFERROR(ROUND(K227*N227*L227,2),"")</f>
        <v/>
      </c>
      <c r="Q227" s="119"/>
      <c r="R227" s="4"/>
    </row>
    <row r="228" spans="1:18" ht="15.75" thickBot="1">
      <c r="A228" s="1">
        <f t="shared" si="7"/>
        <v>0</v>
      </c>
      <c r="B228" s="2"/>
      <c r="C228" s="8"/>
      <c r="D228" s="142" t="str">
        <f>IFERROR(INDEX([239]TRANSPORTES!B:B,MATCH(B228,[239]TRANSPORTES!A:A,0)),"")</f>
        <v/>
      </c>
      <c r="E228" s="143"/>
      <c r="F228" s="143"/>
      <c r="G228" s="143"/>
      <c r="H228" s="143"/>
      <c r="I228" s="143"/>
      <c r="J228" s="143"/>
      <c r="K228" s="149"/>
      <c r="L228" s="150"/>
      <c r="M228" s="146" t="str">
        <f>IFERROR(INDEX([239]TRANSPORTES!C:C,MATCH(B228,[239]TRANSPORTES!A:A,0)),"")</f>
        <v/>
      </c>
      <c r="N228" s="139" t="str">
        <f>IFERROR(INDEX([239]TRANSPORTES!D:D,MATCH(B228,[239]TRANSPORTES!A:A,0)),"")</f>
        <v/>
      </c>
      <c r="O228" s="147"/>
      <c r="P228" s="148" t="str">
        <f>IFERROR(ROUND(K228*N228*L228,2),"")</f>
        <v/>
      </c>
      <c r="Q228" s="119"/>
      <c r="R228" s="4"/>
    </row>
    <row r="229" spans="1:18" ht="15.75" thickBot="1">
      <c r="A229" s="1">
        <f t="shared" si="7"/>
        <v>0</v>
      </c>
      <c r="B229" s="2"/>
      <c r="C229" s="8"/>
      <c r="D229" s="128" t="s">
        <v>24</v>
      </c>
      <c r="E229" s="129"/>
      <c r="F229" s="129"/>
      <c r="G229" s="129"/>
      <c r="H229" s="129"/>
      <c r="I229" s="129"/>
      <c r="J229" s="129"/>
      <c r="K229" s="129"/>
      <c r="L229" s="129"/>
      <c r="M229" s="129"/>
      <c r="N229" s="129"/>
      <c r="O229" s="130"/>
      <c r="P229" s="151">
        <f>SUM(P225:P228)</f>
        <v>0</v>
      </c>
      <c r="Q229" s="132"/>
      <c r="R229" s="4"/>
    </row>
    <row r="230" spans="1:18" ht="15.75" thickBot="1">
      <c r="A230" s="1">
        <f t="shared" si="7"/>
        <v>0</v>
      </c>
      <c r="B230" s="2"/>
      <c r="C230" s="8"/>
      <c r="D230" s="74" t="s">
        <v>36</v>
      </c>
      <c r="E230" s="37"/>
      <c r="F230" s="37"/>
      <c r="G230" s="37"/>
      <c r="H230" s="37"/>
      <c r="I230" s="37"/>
      <c r="J230" s="37"/>
      <c r="K230" s="37"/>
      <c r="L230" s="37"/>
      <c r="M230" s="37"/>
      <c r="N230" s="37"/>
      <c r="O230" s="37"/>
      <c r="P230" s="99"/>
      <c r="Q230" s="100"/>
      <c r="R230" s="4"/>
    </row>
    <row r="231" spans="1:18" ht="30">
      <c r="A231" s="1">
        <f t="shared" si="7"/>
        <v>0</v>
      </c>
      <c r="B231" s="2"/>
      <c r="C231" s="8"/>
      <c r="D231" s="101" t="s">
        <v>37</v>
      </c>
      <c r="E231" s="133"/>
      <c r="F231" s="133"/>
      <c r="G231" s="133"/>
      <c r="H231" s="133"/>
      <c r="I231" s="133"/>
      <c r="J231" s="133"/>
      <c r="K231" s="106" t="s">
        <v>38</v>
      </c>
      <c r="L231" s="152" t="s">
        <v>39</v>
      </c>
      <c r="M231" s="153" t="s">
        <v>40</v>
      </c>
      <c r="N231" s="104" t="s">
        <v>21</v>
      </c>
      <c r="O231" s="105"/>
      <c r="P231" s="154" t="s">
        <v>22</v>
      </c>
      <c r="Q231" s="155"/>
      <c r="R231" s="4"/>
    </row>
    <row r="232" spans="1:18">
      <c r="A232" s="1">
        <f t="shared" si="7"/>
        <v>0</v>
      </c>
      <c r="B232" s="2" t="s">
        <v>41</v>
      </c>
      <c r="C232" s="8"/>
      <c r="D232" s="109" t="str">
        <f>IFERROR(INDEX('[239]MANO DE OBRA'!B:B,MATCH(B232,'[239]MANO DE OBRA'!A:A,0)),"")</f>
        <v>OFICIAL</v>
      </c>
      <c r="E232" s="110"/>
      <c r="F232" s="110"/>
      <c r="G232" s="110"/>
      <c r="H232" s="110"/>
      <c r="I232" s="110"/>
      <c r="J232" s="111"/>
      <c r="K232" s="156">
        <f>IFERROR(INDEX('[239]MANO DE OBRA'!D:D,MATCH(B232,'[239]MANO DE OBRA'!A:A,0)),"")</f>
        <v>95930</v>
      </c>
      <c r="L232" s="157">
        <f>+IF(D232&lt;&gt;"",'[239]FACTOR PRESTACIONAL'!$E$21," ")</f>
        <v>1.95</v>
      </c>
      <c r="M232" s="158">
        <f>IFERROR(K232*L232," ")</f>
        <v>187063.5</v>
      </c>
      <c r="N232" s="159">
        <v>6</v>
      </c>
      <c r="O232" s="160"/>
      <c r="P232" s="161">
        <f>IFERROR(ROUND(M232/N232,2)," ")</f>
        <v>31177.25</v>
      </c>
      <c r="Q232" s="162"/>
      <c r="R232" s="4"/>
    </row>
    <row r="233" spans="1:18">
      <c r="A233" s="1">
        <f t="shared" si="7"/>
        <v>0</v>
      </c>
      <c r="B233" s="2" t="s">
        <v>81</v>
      </c>
      <c r="C233" s="8"/>
      <c r="D233" s="109" t="str">
        <f>IFERROR(INDEX('[239]MANO DE OBRA'!B:B,MATCH(B233,'[239]MANO DE OBRA'!A:A,0)),"")</f>
        <v>AYUDANTE (1)</v>
      </c>
      <c r="E233" s="110"/>
      <c r="F233" s="110"/>
      <c r="G233" s="110"/>
      <c r="H233" s="110"/>
      <c r="I233" s="110"/>
      <c r="J233" s="111"/>
      <c r="K233" s="156">
        <f>IFERROR(INDEX('[239]MANO DE OBRA'!D:D,MATCH(B233,'[239]MANO DE OBRA'!A:A,0)),"")</f>
        <v>71433</v>
      </c>
      <c r="L233" s="157">
        <f>+IF(D233&lt;&gt;"",'[239]FACTOR PRESTACIONAL'!$E$21," ")</f>
        <v>1.95</v>
      </c>
      <c r="M233" s="158">
        <f>IFERROR(K233*L233," ")</f>
        <v>139294.35</v>
      </c>
      <c r="N233" s="159">
        <v>6</v>
      </c>
      <c r="O233" s="160"/>
      <c r="P233" s="161">
        <f>IFERROR(ROUND(M233/N233,2)," ")</f>
        <v>23215.73</v>
      </c>
      <c r="Q233" s="162"/>
      <c r="R233" s="4"/>
    </row>
    <row r="234" spans="1:18">
      <c r="A234" s="1">
        <f t="shared" si="7"/>
        <v>0</v>
      </c>
      <c r="B234" s="2"/>
      <c r="C234" s="8"/>
      <c r="D234" s="109" t="str">
        <f>IFERROR(INDEX('[239]MANO DE OBRA'!B:B,MATCH(B234,'[239]MANO DE OBRA'!A:A,0)),"")</f>
        <v/>
      </c>
      <c r="E234" s="110"/>
      <c r="F234" s="110"/>
      <c r="G234" s="110"/>
      <c r="H234" s="110"/>
      <c r="I234" s="110"/>
      <c r="J234" s="111"/>
      <c r="K234" s="156" t="str">
        <f>IFERROR(INDEX('[239]MANO DE OBRA'!D:D,MATCH(B234,'[239]MANO DE OBRA'!A:A,0)),"")</f>
        <v/>
      </c>
      <c r="L234" s="157" t="str">
        <f>+IF(D234&lt;&gt;"",'[239]FACTOR PRESTACIONAL'!$E$21," ")</f>
        <v xml:space="preserve"> </v>
      </c>
      <c r="M234" s="158" t="str">
        <f>IFERROR(K234*L234," ")</f>
        <v xml:space="preserve"> </v>
      </c>
      <c r="N234" s="159"/>
      <c r="O234" s="160"/>
      <c r="P234" s="161" t="str">
        <f>IFERROR(ROUND(M234/N234,2)," ")</f>
        <v xml:space="preserve"> </v>
      </c>
      <c r="Q234" s="162"/>
      <c r="R234" s="4"/>
    </row>
    <row r="235" spans="1:18">
      <c r="A235" s="1">
        <f t="shared" si="7"/>
        <v>0</v>
      </c>
      <c r="B235" s="2"/>
      <c r="C235" s="8"/>
      <c r="D235" s="109" t="str">
        <f>IFERROR(INDEX('[239]MANO DE OBRA'!B:B,MATCH(B235,'[239]MANO DE OBRA'!A:A,0)),"")</f>
        <v/>
      </c>
      <c r="E235" s="110"/>
      <c r="F235" s="110"/>
      <c r="G235" s="110"/>
      <c r="H235" s="110"/>
      <c r="I235" s="110"/>
      <c r="J235" s="111"/>
      <c r="K235" s="156" t="str">
        <f>IFERROR(INDEX('[239]MANO DE OBRA'!D:D,MATCH(B235,'[239]MANO DE OBRA'!A:A,0)),"")</f>
        <v/>
      </c>
      <c r="L235" s="157" t="str">
        <f>+IF(D235&lt;&gt;"",'[239]FACTOR PRESTACIONAL'!$E$21," ")</f>
        <v xml:space="preserve"> </v>
      </c>
      <c r="M235" s="158" t="str">
        <f>IFERROR(K235*L235," ")</f>
        <v xml:space="preserve"> </v>
      </c>
      <c r="N235" s="159"/>
      <c r="O235" s="160"/>
      <c r="P235" s="161" t="str">
        <f>IFERROR(ROUND(M235/N235,2)," ")</f>
        <v xml:space="preserve"> </v>
      </c>
      <c r="Q235" s="162"/>
      <c r="R235" s="4"/>
    </row>
    <row r="236" spans="1:18" ht="15.75" thickBot="1">
      <c r="A236" s="1">
        <f t="shared" si="7"/>
        <v>0</v>
      </c>
      <c r="B236" s="2"/>
      <c r="C236" s="8"/>
      <c r="D236" s="109" t="str">
        <f>IFERROR(INDEX('[239]MANO DE OBRA'!B:B,MATCH(B236,'[239]MANO DE OBRA'!A:A,0)),"")</f>
        <v/>
      </c>
      <c r="E236" s="110"/>
      <c r="F236" s="110"/>
      <c r="G236" s="110"/>
      <c r="H236" s="110"/>
      <c r="I236" s="110"/>
      <c r="J236" s="111"/>
      <c r="K236" s="156" t="str">
        <f>IFERROR(INDEX('[239]MANO DE OBRA'!D:D,MATCH(B236,'[239]MANO DE OBRA'!A:A,0)),"")</f>
        <v/>
      </c>
      <c r="L236" s="157" t="str">
        <f>+IF(D236&lt;&gt;"",'[239]FACTOR PRESTACIONAL'!$E$21," ")</f>
        <v xml:space="preserve"> </v>
      </c>
      <c r="M236" s="158" t="str">
        <f>IFERROR(K236*L236," ")</f>
        <v xml:space="preserve"> </v>
      </c>
      <c r="N236" s="159"/>
      <c r="O236" s="160"/>
      <c r="P236" s="161" t="str">
        <f>IFERROR(ROUND(M236/N236,2)," ")</f>
        <v xml:space="preserve"> </v>
      </c>
      <c r="Q236" s="119"/>
      <c r="R236" s="4"/>
    </row>
    <row r="237" spans="1:18" ht="15.75" thickBot="1">
      <c r="A237" s="1">
        <f t="shared" si="7"/>
        <v>0</v>
      </c>
      <c r="B237" s="2"/>
      <c r="C237" s="8"/>
      <c r="D237" s="128" t="s">
        <v>24</v>
      </c>
      <c r="E237" s="129"/>
      <c r="F237" s="129"/>
      <c r="G237" s="129"/>
      <c r="H237" s="129"/>
      <c r="I237" s="129"/>
      <c r="J237" s="129"/>
      <c r="K237" s="129"/>
      <c r="L237" s="129"/>
      <c r="M237" s="129"/>
      <c r="N237" s="129"/>
      <c r="O237" s="130"/>
      <c r="P237" s="131">
        <f>SUM(P232:P236)</f>
        <v>54392.979999999996</v>
      </c>
      <c r="Q237" s="119"/>
      <c r="R237" s="4"/>
    </row>
    <row r="238" spans="1:18" ht="15.75" thickBot="1">
      <c r="A238" s="1">
        <f t="shared" si="7"/>
        <v>0</v>
      </c>
      <c r="B238" s="2"/>
      <c r="C238" s="8"/>
      <c r="D238" s="87"/>
      <c r="E238" s="20"/>
      <c r="F238" s="20"/>
      <c r="G238" s="20"/>
      <c r="H238" s="20"/>
      <c r="I238" s="20"/>
      <c r="J238" s="20"/>
      <c r="K238" s="20"/>
      <c r="L238" s="20"/>
      <c r="M238" s="20"/>
      <c r="N238" s="20"/>
      <c r="O238" s="20"/>
      <c r="P238" s="88"/>
      <c r="Q238" s="13"/>
      <c r="R238" s="4"/>
    </row>
    <row r="239" spans="1:18" ht="15.75" thickBot="1">
      <c r="A239" s="1"/>
      <c r="B239" s="2"/>
      <c r="C239" s="8"/>
      <c r="D239" s="163" t="s">
        <v>43</v>
      </c>
      <c r="E239" s="164"/>
      <c r="F239" s="164"/>
      <c r="G239" s="164"/>
      <c r="H239" s="164"/>
      <c r="I239" s="164"/>
      <c r="J239" s="164"/>
      <c r="K239" s="164"/>
      <c r="L239" s="164"/>
      <c r="M239" s="164"/>
      <c r="N239" s="164"/>
      <c r="O239" s="165"/>
      <c r="P239" s="166">
        <f>+P237+P229+P222+P204</f>
        <v>149656.77999999997</v>
      </c>
      <c r="Q239" s="167"/>
      <c r="R239" s="168"/>
    </row>
    <row r="240" spans="1:18" ht="15.75" thickBot="1">
      <c r="A240" s="1"/>
      <c r="B240" s="2"/>
      <c r="C240" s="8"/>
      <c r="D240" s="169"/>
      <c r="E240" s="170"/>
      <c r="F240" s="170"/>
      <c r="G240" s="170"/>
      <c r="H240" s="170"/>
      <c r="I240" s="170"/>
      <c r="J240" s="170"/>
      <c r="K240" s="170"/>
      <c r="L240" s="170"/>
      <c r="M240" s="170"/>
      <c r="N240" s="170"/>
      <c r="O240" s="170"/>
      <c r="P240" s="171"/>
      <c r="Q240" s="100"/>
      <c r="R240" s="4"/>
    </row>
    <row r="241" spans="1:18">
      <c r="A241" s="1"/>
      <c r="B241" s="2"/>
      <c r="C241" s="8"/>
      <c r="D241" s="172" t="s">
        <v>73</v>
      </c>
      <c r="E241" s="173"/>
      <c r="F241" s="173"/>
      <c r="G241" s="173"/>
      <c r="H241" s="173"/>
      <c r="I241" s="173"/>
      <c r="J241" s="173"/>
      <c r="K241" s="141"/>
      <c r="L241" s="174"/>
      <c r="M241" s="153" t="s">
        <v>44</v>
      </c>
      <c r="N241" s="175" t="s">
        <v>45</v>
      </c>
      <c r="O241" s="176"/>
      <c r="P241" s="154"/>
      <c r="Q241" s="155"/>
      <c r="R241" s="4"/>
    </row>
    <row r="242" spans="1:18">
      <c r="A242" s="1"/>
      <c r="B242" s="2"/>
      <c r="C242" s="8"/>
      <c r="D242" s="109" t="s">
        <v>65</v>
      </c>
      <c r="E242" s="110"/>
      <c r="F242" s="110"/>
      <c r="G242" s="110"/>
      <c r="H242" s="110"/>
      <c r="I242" s="110"/>
      <c r="J242" s="110"/>
      <c r="K242" s="177"/>
      <c r="L242" s="178"/>
      <c r="M242" s="179">
        <f>+[239]INICIO!$F$10</f>
        <v>0.24</v>
      </c>
      <c r="N242" s="180">
        <f>ROUND(M242*P239,2)</f>
        <v>35917.629999999997</v>
      </c>
      <c r="O242" s="181"/>
      <c r="P242" s="182"/>
      <c r="Q242" s="119"/>
      <c r="R242" s="4"/>
    </row>
    <row r="243" spans="1:18">
      <c r="A243" s="1"/>
      <c r="B243" s="2"/>
      <c r="C243" s="8"/>
      <c r="D243" s="183" t="s">
        <v>67</v>
      </c>
      <c r="E243" s="61"/>
      <c r="F243" s="61"/>
      <c r="G243" s="61"/>
      <c r="H243" s="61"/>
      <c r="I243" s="61"/>
      <c r="J243" s="61"/>
      <c r="K243" s="177"/>
      <c r="L243" s="178"/>
      <c r="M243" s="179">
        <f>+[239]INICIO!$F$11</f>
        <v>0.02</v>
      </c>
      <c r="N243" s="180">
        <f>ROUND(M243*P239,2)</f>
        <v>2993.14</v>
      </c>
      <c r="O243" s="181"/>
      <c r="P243" s="182"/>
      <c r="Q243" s="119"/>
      <c r="R243" s="4"/>
    </row>
    <row r="244" spans="1:18" ht="15.75" thickBot="1">
      <c r="A244" s="1"/>
      <c r="B244" s="2"/>
      <c r="C244" s="8"/>
      <c r="D244" s="77" t="s">
        <v>69</v>
      </c>
      <c r="E244" s="78"/>
      <c r="F244" s="78"/>
      <c r="G244" s="78"/>
      <c r="H244" s="78"/>
      <c r="I244" s="78"/>
      <c r="J244" s="78"/>
      <c r="K244" s="184"/>
      <c r="L244" s="185"/>
      <c r="M244" s="179">
        <f>+[239]INICIO!$F$12</f>
        <v>7.0000000000000007E-2</v>
      </c>
      <c r="N244" s="180">
        <f>ROUND(M244*P239,2)</f>
        <v>10475.969999999999</v>
      </c>
      <c r="O244" s="181"/>
      <c r="P244" s="182"/>
      <c r="Q244" s="119"/>
      <c r="R244" s="4"/>
    </row>
    <row r="245" spans="1:18" ht="15.75" thickBot="1">
      <c r="A245" s="1"/>
      <c r="B245" s="2"/>
      <c r="C245" s="8"/>
      <c r="D245" s="128"/>
      <c r="E245" s="129"/>
      <c r="F245" s="129"/>
      <c r="G245" s="129"/>
      <c r="H245" s="129"/>
      <c r="I245" s="129"/>
      <c r="J245" s="129"/>
      <c r="K245" s="129"/>
      <c r="L245" s="129"/>
      <c r="M245" s="129"/>
      <c r="N245" s="129"/>
      <c r="O245" s="130"/>
      <c r="P245" s="131">
        <f>SUM(N242:N244)</f>
        <v>49386.74</v>
      </c>
      <c r="Q245" s="186"/>
      <c r="R245" s="4"/>
    </row>
    <row r="246" spans="1:18" ht="15.75" thickBot="1">
      <c r="A246" s="1"/>
      <c r="B246" s="2"/>
      <c r="C246" s="8"/>
      <c r="D246" s="87"/>
      <c r="E246" s="20"/>
      <c r="F246" s="20"/>
      <c r="G246" s="20"/>
      <c r="H246" s="20"/>
      <c r="I246" s="20"/>
      <c r="J246" s="20"/>
      <c r="K246" s="20"/>
      <c r="L246" s="20"/>
      <c r="M246" s="20"/>
      <c r="N246" s="20"/>
      <c r="O246" s="20"/>
      <c r="P246" s="88"/>
      <c r="Q246" s="13"/>
      <c r="R246" s="4"/>
    </row>
    <row r="247" spans="1:18" ht="15.75" thickBot="1">
      <c r="A247" s="1"/>
      <c r="B247" s="2"/>
      <c r="C247" s="8"/>
      <c r="D247" s="187" t="s">
        <v>46</v>
      </c>
      <c r="E247" s="188"/>
      <c r="F247" s="188"/>
      <c r="G247" s="188"/>
      <c r="H247" s="188"/>
      <c r="I247" s="188"/>
      <c r="J247" s="188"/>
      <c r="K247" s="188"/>
      <c r="L247" s="188"/>
      <c r="M247" s="188"/>
      <c r="N247" s="188"/>
      <c r="O247" s="189"/>
      <c r="P247" s="166">
        <f>ROUND(P245+P239,0)</f>
        <v>199044</v>
      </c>
      <c r="Q247" s="186"/>
      <c r="R247" s="4"/>
    </row>
    <row r="248" spans="1:18">
      <c r="A248" s="1"/>
      <c r="B248" s="2"/>
      <c r="C248" s="8"/>
      <c r="D248" s="80"/>
      <c r="E248" s="81"/>
      <c r="F248" s="81"/>
      <c r="G248" s="81"/>
      <c r="H248" s="81"/>
      <c r="I248" s="81"/>
      <c r="J248" s="81"/>
      <c r="K248" s="81"/>
      <c r="L248" s="81"/>
      <c r="M248" s="81"/>
      <c r="N248" s="81"/>
      <c r="O248" s="81"/>
      <c r="P248" s="82"/>
      <c r="Q248" s="13"/>
      <c r="R248" s="4"/>
    </row>
    <row r="249" spans="1:18">
      <c r="A249" s="1"/>
      <c r="B249" s="2"/>
      <c r="C249" s="8"/>
      <c r="D249" s="87"/>
      <c r="E249" s="20"/>
      <c r="F249" s="20"/>
      <c r="G249" s="20"/>
      <c r="H249" s="20"/>
      <c r="I249" s="20"/>
      <c r="J249" s="20"/>
      <c r="K249" s="20"/>
      <c r="L249" s="20"/>
      <c r="M249" s="20"/>
      <c r="N249" s="20"/>
      <c r="O249" s="20"/>
      <c r="P249" s="88"/>
      <c r="Q249" s="13"/>
      <c r="R249" s="4"/>
    </row>
    <row r="250" spans="1:18">
      <c r="A250" s="1"/>
      <c r="B250" s="2"/>
      <c r="C250" s="8"/>
      <c r="D250" s="87"/>
      <c r="E250" s="20"/>
      <c r="F250" s="20"/>
      <c r="G250" s="20"/>
      <c r="H250" s="20"/>
      <c r="I250" s="20"/>
      <c r="J250" s="20"/>
      <c r="K250" s="20"/>
      <c r="L250" s="20"/>
      <c r="M250" s="20"/>
      <c r="N250" s="20"/>
      <c r="O250" s="20"/>
      <c r="P250" s="88"/>
      <c r="Q250" s="13"/>
      <c r="R250" s="4"/>
    </row>
    <row r="251" spans="1:18">
      <c r="A251" s="1"/>
      <c r="B251" s="2"/>
      <c r="C251" s="8"/>
      <c r="D251" s="87"/>
      <c r="E251" s="20"/>
      <c r="F251" s="20"/>
      <c r="G251" s="20"/>
      <c r="H251" s="20"/>
      <c r="I251" s="20"/>
      <c r="J251" s="20"/>
      <c r="K251" s="20"/>
      <c r="L251" s="20"/>
      <c r="M251" s="20"/>
      <c r="N251" s="20"/>
      <c r="O251" s="20"/>
      <c r="P251" s="88"/>
      <c r="Q251" s="13"/>
      <c r="R251" s="4"/>
    </row>
    <row r="252" spans="1:18">
      <c r="A252" s="1"/>
      <c r="B252" s="2"/>
      <c r="C252" s="8"/>
      <c r="D252" s="219" t="str">
        <f>+[239]INICIO!$B$13</f>
        <v>Proyectó:</v>
      </c>
      <c r="E252" s="49"/>
      <c r="F252" s="49"/>
      <c r="G252" s="49"/>
      <c r="H252" s="49"/>
      <c r="I252" s="49"/>
      <c r="J252" s="49"/>
      <c r="K252" s="20"/>
      <c r="L252" s="69" t="str">
        <f>+[239]INICIO!$B$16</f>
        <v>Aprobó:</v>
      </c>
      <c r="M252" s="49"/>
      <c r="N252" s="49"/>
      <c r="O252" s="49"/>
      <c r="P252" s="88"/>
      <c r="Q252" s="13"/>
      <c r="R252" s="4"/>
    </row>
    <row r="253" spans="1:18">
      <c r="A253" s="1"/>
      <c r="B253" s="2"/>
      <c r="C253" s="8"/>
      <c r="D253" s="87"/>
      <c r="E253" s="20" t="str">
        <f>+Hoja2!C$13</f>
        <v>HELMER EDUARDO BECERRA SANTANDER</v>
      </c>
      <c r="F253" s="20"/>
      <c r="G253" s="20"/>
      <c r="H253" s="20"/>
      <c r="I253" s="20"/>
      <c r="J253" s="20"/>
      <c r="K253" s="20"/>
      <c r="L253" s="20"/>
      <c r="M253" s="20" t="str">
        <f>+Hoja2!$C$16</f>
        <v>JESÚS IVÁN QUIÑONES RUEDA</v>
      </c>
      <c r="N253" s="20"/>
      <c r="O253" s="20"/>
      <c r="P253" s="88"/>
      <c r="Q253" s="190"/>
      <c r="R253" s="4"/>
    </row>
    <row r="254" spans="1:18">
      <c r="A254" s="1"/>
      <c r="B254" s="2"/>
      <c r="C254" s="8"/>
      <c r="D254" s="87"/>
      <c r="E254" s="20" t="str">
        <f>+Hoja2!C$14</f>
        <v>APOYO SEC. DE PLANEACIÓN Y OBRAS PÚBLICAS</v>
      </c>
      <c r="F254" s="20"/>
      <c r="G254" s="20"/>
      <c r="H254" s="20"/>
      <c r="I254" s="20"/>
      <c r="J254" s="20"/>
      <c r="K254" s="20"/>
      <c r="L254" s="20"/>
      <c r="M254" s="20" t="str">
        <f>+Hoja2!$C$17</f>
        <v>SECRETARIO DE PLANEACIÓN Y OBRAS PUBLICAS</v>
      </c>
      <c r="N254" s="20"/>
      <c r="O254" s="20"/>
      <c r="P254" s="88"/>
      <c r="Q254" s="190"/>
      <c r="R254" s="4"/>
    </row>
    <row r="255" spans="1:18">
      <c r="A255" s="1"/>
      <c r="B255" s="2"/>
      <c r="C255" s="8"/>
      <c r="D255" s="68"/>
      <c r="E255" s="20" t="str">
        <f>+Hoja2!C$15</f>
        <v>123769-0701671 NTS</v>
      </c>
      <c r="F255" s="191"/>
      <c r="G255" s="191"/>
      <c r="H255" s="191"/>
      <c r="I255" s="20"/>
      <c r="J255" s="191"/>
      <c r="K255" s="191"/>
      <c r="L255" s="191"/>
      <c r="M255" s="192" t="str">
        <f>+Hoja2!C$18</f>
        <v>A21382020-1090480860</v>
      </c>
      <c r="N255" s="191"/>
      <c r="O255" s="191"/>
      <c r="P255" s="193"/>
      <c r="Q255" s="194"/>
      <c r="R255" s="4"/>
    </row>
    <row r="256" spans="1:18" ht="16.5" thickBot="1">
      <c r="A256" s="1"/>
      <c r="B256" s="2"/>
      <c r="C256" s="8"/>
      <c r="D256" s="195"/>
      <c r="E256" s="150"/>
      <c r="F256" s="150"/>
      <c r="G256" s="150"/>
      <c r="H256" s="150"/>
      <c r="I256" s="150"/>
      <c r="J256" s="150"/>
      <c r="K256" s="150"/>
      <c r="L256" s="150"/>
      <c r="M256" s="150"/>
      <c r="N256" s="150"/>
      <c r="O256" s="150"/>
      <c r="P256" s="196"/>
      <c r="Q256" s="197"/>
      <c r="R256" s="4"/>
    </row>
    <row r="257" spans="1:18" ht="15.75" thickBot="1">
      <c r="A257" s="1"/>
      <c r="B257" s="2"/>
      <c r="C257" s="198"/>
      <c r="D257" s="199"/>
      <c r="E257" s="199"/>
      <c r="F257" s="199"/>
      <c r="G257" s="199"/>
      <c r="H257" s="199"/>
      <c r="I257" s="199"/>
      <c r="J257" s="199"/>
      <c r="K257" s="199"/>
      <c r="L257" s="199"/>
      <c r="M257" s="199"/>
      <c r="N257" s="199"/>
      <c r="O257" s="199"/>
      <c r="P257" s="199"/>
      <c r="Q257" s="200"/>
      <c r="R257" s="4"/>
    </row>
    <row r="258" spans="1:18" ht="16.5" thickTop="1" thickBot="1"/>
    <row r="259" spans="1:18" ht="15.75" thickTop="1">
      <c r="A259" s="1"/>
      <c r="B259" s="2"/>
      <c r="C259" s="5"/>
      <c r="D259" s="6"/>
      <c r="E259" s="6"/>
      <c r="F259" s="6"/>
      <c r="G259" s="6"/>
      <c r="H259" s="6"/>
      <c r="I259" s="6"/>
      <c r="J259" s="6"/>
      <c r="K259" s="6"/>
      <c r="L259" s="6"/>
      <c r="M259" s="6"/>
      <c r="N259" s="6"/>
      <c r="O259" s="6"/>
      <c r="P259" s="6"/>
      <c r="Q259" s="7"/>
      <c r="R259" s="4"/>
    </row>
    <row r="260" spans="1:18" ht="24">
      <c r="A260" s="1"/>
      <c r="B260" s="2"/>
      <c r="C260" s="8"/>
      <c r="D260" s="9" t="str">
        <f>+[239]INICIO!$C$8</f>
        <v>Análisis de Precios Unitarios- Secretaria de Planeación y Obras Publicas de Cubará, Boyacá.</v>
      </c>
      <c r="E260" s="10"/>
      <c r="F260" s="10"/>
      <c r="G260" s="10"/>
      <c r="H260" s="11"/>
      <c r="I260" s="12"/>
      <c r="J260" s="12"/>
      <c r="K260" s="12"/>
      <c r="L260" s="12"/>
      <c r="M260" s="12"/>
      <c r="N260" s="12"/>
      <c r="O260" s="12"/>
      <c r="P260" s="12"/>
      <c r="Q260" s="13"/>
      <c r="R260" s="4"/>
    </row>
    <row r="261" spans="1:18">
      <c r="A261" s="1"/>
      <c r="B261" s="2"/>
      <c r="C261" s="8"/>
      <c r="D261" s="14" t="s">
        <v>0</v>
      </c>
      <c r="E261" s="15" t="str">
        <f>+[239]INICIO!$C$7</f>
        <v>CCE-EICP-FM-14</v>
      </c>
      <c r="F261" s="16"/>
      <c r="G261" s="17" t="str">
        <f>+[239]INICIO!$B$6</f>
        <v>VERSIÓN</v>
      </c>
      <c r="H261" s="14">
        <f>+[239]INICIO!$C$6</f>
        <v>1</v>
      </c>
      <c r="I261" s="12"/>
      <c r="J261" s="12"/>
      <c r="K261" s="12"/>
      <c r="L261" s="12"/>
      <c r="M261" s="12"/>
      <c r="N261" s="12"/>
      <c r="O261" s="12"/>
      <c r="P261" s="12"/>
      <c r="Q261" s="13"/>
      <c r="R261" s="4"/>
    </row>
    <row r="262" spans="1:18">
      <c r="A262" s="1"/>
      <c r="B262" s="2"/>
      <c r="C262" s="8"/>
      <c r="D262" s="18"/>
      <c r="E262" s="19"/>
      <c r="F262" s="18"/>
      <c r="G262" s="19"/>
      <c r="H262" s="12"/>
      <c r="I262" s="12"/>
      <c r="J262" s="12"/>
      <c r="K262" s="12"/>
      <c r="L262" s="12"/>
      <c r="M262" s="12"/>
      <c r="N262" s="12"/>
      <c r="O262" s="12"/>
      <c r="P262" s="12"/>
      <c r="Q262" s="13"/>
      <c r="R262" s="4"/>
    </row>
    <row r="263" spans="1:18" ht="15.75" thickBot="1">
      <c r="A263" s="1"/>
      <c r="B263" s="2"/>
      <c r="C263" s="8"/>
      <c r="D263" s="20"/>
      <c r="E263" s="20"/>
      <c r="F263" s="20"/>
      <c r="G263" s="20"/>
      <c r="H263" s="20"/>
      <c r="I263" s="20"/>
      <c r="J263" s="20"/>
      <c r="K263" s="20"/>
      <c r="L263" s="20"/>
      <c r="M263" s="20"/>
      <c r="N263" s="20"/>
      <c r="O263" s="20"/>
      <c r="P263" s="20"/>
      <c r="Q263" s="13"/>
      <c r="R263" s="4"/>
    </row>
    <row r="264" spans="1:18">
      <c r="A264" s="1"/>
      <c r="B264" s="2"/>
      <c r="C264" s="8"/>
      <c r="D264" s="21"/>
      <c r="E264" s="22"/>
      <c r="F264" s="23"/>
      <c r="G264" s="23"/>
      <c r="H264" s="23"/>
      <c r="I264" s="23"/>
      <c r="J264" s="23"/>
      <c r="K264" s="23"/>
      <c r="L264" s="24"/>
      <c r="M264" s="25"/>
      <c r="N264" s="26"/>
      <c r="O264" s="26"/>
      <c r="P264" s="27"/>
      <c r="Q264" s="28"/>
      <c r="R264" s="4"/>
    </row>
    <row r="265" spans="1:18">
      <c r="A265" s="1"/>
      <c r="B265" s="2"/>
      <c r="C265" s="8"/>
      <c r="D265" s="29"/>
      <c r="E265" s="30" t="s">
        <v>1</v>
      </c>
      <c r="F265" s="31"/>
      <c r="G265" s="31"/>
      <c r="H265" s="31"/>
      <c r="I265" s="31"/>
      <c r="J265" s="31"/>
      <c r="K265" s="31"/>
      <c r="L265" s="32"/>
      <c r="M265" s="33"/>
      <c r="N265" s="34"/>
      <c r="O265" s="34"/>
      <c r="P265" s="35"/>
      <c r="Q265" s="28"/>
      <c r="R265" s="4"/>
    </row>
    <row r="266" spans="1:18">
      <c r="A266" s="1"/>
      <c r="B266" s="2"/>
      <c r="C266" s="8"/>
      <c r="D266" s="29"/>
      <c r="E266" s="36"/>
      <c r="F266" s="37"/>
      <c r="G266" s="37"/>
      <c r="H266" s="37"/>
      <c r="I266" s="37"/>
      <c r="J266" s="37"/>
      <c r="K266" s="37"/>
      <c r="L266" s="38"/>
      <c r="M266" s="39"/>
      <c r="N266" s="40"/>
      <c r="O266" s="41"/>
      <c r="P266" s="42"/>
      <c r="Q266" s="28"/>
      <c r="R266" s="4"/>
    </row>
    <row r="267" spans="1:18">
      <c r="A267" s="1"/>
      <c r="B267" s="2"/>
      <c r="C267" s="8"/>
      <c r="D267" s="29"/>
      <c r="E267" s="36"/>
      <c r="F267" s="37"/>
      <c r="G267" s="37"/>
      <c r="H267" s="37"/>
      <c r="I267" s="37"/>
      <c r="J267" s="37"/>
      <c r="K267" s="37"/>
      <c r="L267" s="38"/>
      <c r="M267" s="43" t="s">
        <v>2</v>
      </c>
      <c r="N267" s="44"/>
      <c r="O267" s="45">
        <f>+[239]INICIO!$C$6</f>
        <v>1</v>
      </c>
      <c r="P267" s="46"/>
      <c r="Q267" s="28"/>
      <c r="R267" s="4"/>
    </row>
    <row r="268" spans="1:18">
      <c r="A268" s="1"/>
      <c r="B268" s="2"/>
      <c r="C268" s="8"/>
      <c r="D268" s="29"/>
      <c r="E268" s="36"/>
      <c r="F268" s="37"/>
      <c r="G268" s="37"/>
      <c r="H268" s="37"/>
      <c r="I268" s="37"/>
      <c r="J268" s="37"/>
      <c r="K268" s="37"/>
      <c r="L268" s="38"/>
      <c r="M268" s="47"/>
      <c r="N268" s="48"/>
      <c r="O268" s="49"/>
      <c r="P268" s="50"/>
      <c r="Q268" s="51"/>
      <c r="R268" s="4"/>
    </row>
    <row r="269" spans="1:18">
      <c r="A269" s="1"/>
      <c r="B269" s="2"/>
      <c r="C269" s="8"/>
      <c r="D269" s="29"/>
      <c r="E269" s="52"/>
      <c r="F269" s="53"/>
      <c r="G269" s="53"/>
      <c r="H269" s="53"/>
      <c r="I269" s="53"/>
      <c r="J269" s="53"/>
      <c r="K269" s="53"/>
      <c r="L269" s="54"/>
      <c r="M269" s="39"/>
      <c r="N269" s="55"/>
      <c r="O269" s="55"/>
      <c r="P269" s="56"/>
      <c r="Q269" s="28"/>
      <c r="R269" s="4"/>
    </row>
    <row r="270" spans="1:18">
      <c r="A270" s="1"/>
      <c r="B270" s="2"/>
      <c r="C270" s="8"/>
      <c r="D270" s="29"/>
      <c r="E270" s="52"/>
      <c r="F270" s="53"/>
      <c r="G270" s="53"/>
      <c r="H270" s="53"/>
      <c r="I270" s="53"/>
      <c r="J270" s="53"/>
      <c r="K270" s="53"/>
      <c r="L270" s="54"/>
      <c r="M270" s="43" t="s">
        <v>3</v>
      </c>
      <c r="N270" s="43" t="str">
        <f>+VLOOKUP(D281,'PRESUPUESTO OFICIAL '!C:Q,9,FALSE)</f>
        <v>58</v>
      </c>
      <c r="O270" s="43" t="s">
        <v>4</v>
      </c>
      <c r="P270" s="508" t="str">
        <f>+'PRESUPUESTO OFICIAL '!$M$122</f>
        <v>62</v>
      </c>
      <c r="Q270" s="28"/>
      <c r="R270" s="4"/>
    </row>
    <row r="271" spans="1:18">
      <c r="A271" s="1"/>
      <c r="B271" s="2"/>
      <c r="C271" s="8"/>
      <c r="D271" s="29"/>
      <c r="E271" s="30" t="s">
        <v>5</v>
      </c>
      <c r="F271" s="31"/>
      <c r="G271" s="31"/>
      <c r="H271" s="31"/>
      <c r="I271" s="31"/>
      <c r="J271" s="31"/>
      <c r="K271" s="31"/>
      <c r="L271" s="32"/>
      <c r="M271" s="43"/>
      <c r="N271" s="57"/>
      <c r="O271" s="57"/>
      <c r="P271" s="58"/>
      <c r="Q271" s="28"/>
      <c r="R271" s="4"/>
    </row>
    <row r="272" spans="1:18" ht="15.75" thickBot="1">
      <c r="A272" s="1"/>
      <c r="B272" s="2"/>
      <c r="C272" s="8"/>
      <c r="D272" s="59"/>
      <c r="E272" s="60"/>
      <c r="F272" s="60"/>
      <c r="G272" s="60"/>
      <c r="H272" s="60"/>
      <c r="I272" s="60"/>
      <c r="J272" s="60"/>
      <c r="K272" s="60"/>
      <c r="L272" s="60"/>
      <c r="M272" s="60"/>
      <c r="N272" s="61"/>
      <c r="O272" s="61"/>
      <c r="P272" s="62"/>
      <c r="Q272" s="63"/>
      <c r="R272" s="4"/>
    </row>
    <row r="273" spans="1:18">
      <c r="A273" s="1"/>
      <c r="B273" s="2"/>
      <c r="C273" s="8"/>
      <c r="D273" s="64"/>
      <c r="E273" s="65"/>
      <c r="F273" s="65"/>
      <c r="G273" s="65"/>
      <c r="H273" s="65"/>
      <c r="I273" s="65"/>
      <c r="J273" s="65"/>
      <c r="K273" s="65"/>
      <c r="L273" s="65"/>
      <c r="M273" s="66" t="s">
        <v>6</v>
      </c>
      <c r="N273" s="66" t="s">
        <v>7</v>
      </c>
      <c r="O273" s="66" t="s">
        <v>8</v>
      </c>
      <c r="P273" s="67" t="s">
        <v>9</v>
      </c>
      <c r="Q273" s="51"/>
      <c r="R273" s="4"/>
    </row>
    <row r="274" spans="1:18">
      <c r="A274" s="1"/>
      <c r="B274" s="2"/>
      <c r="C274" s="8"/>
      <c r="D274" s="68"/>
      <c r="E274" s="69"/>
      <c r="F274" s="69"/>
      <c r="G274" s="69"/>
      <c r="H274" s="69"/>
      <c r="I274" s="69"/>
      <c r="J274" s="69"/>
      <c r="K274" s="69"/>
      <c r="L274" s="69"/>
      <c r="M274" s="70"/>
      <c r="N274" s="71">
        <f>+Hoja2!B$5</f>
        <v>5</v>
      </c>
      <c r="O274" s="71">
        <f>+Hoja2!C$5</f>
        <v>8</v>
      </c>
      <c r="P274" s="72">
        <f>+Hoja2!D$5</f>
        <v>2026</v>
      </c>
      <c r="Q274" s="73"/>
      <c r="R274" s="4"/>
    </row>
    <row r="275" spans="1:18">
      <c r="A275" s="1"/>
      <c r="B275" s="2"/>
      <c r="C275" s="8"/>
      <c r="D275" s="74"/>
      <c r="E275" s="37"/>
      <c r="F275" s="37"/>
      <c r="G275" s="37"/>
      <c r="H275" s="69"/>
      <c r="I275" s="69"/>
      <c r="J275" s="69"/>
      <c r="K275" s="20"/>
      <c r="L275" s="69"/>
      <c r="M275" s="75"/>
      <c r="N275" s="20"/>
      <c r="O275" s="20"/>
      <c r="P275" s="76"/>
      <c r="Q275" s="73"/>
      <c r="R275" s="4"/>
    </row>
    <row r="276" spans="1:18" ht="15.75" thickBot="1">
      <c r="A276" s="1"/>
      <c r="B276" s="2"/>
      <c r="C276" s="8"/>
      <c r="D276" s="77"/>
      <c r="E276" s="78"/>
      <c r="F276" s="78"/>
      <c r="G276" s="78"/>
      <c r="H276" s="78"/>
      <c r="I276" s="78"/>
      <c r="J276" s="78"/>
      <c r="K276" s="78"/>
      <c r="L276" s="78"/>
      <c r="M276" s="78"/>
      <c r="N276" s="78"/>
      <c r="O276" s="78"/>
      <c r="P276" s="79"/>
      <c r="Q276" s="13"/>
      <c r="R276" s="4"/>
    </row>
    <row r="277" spans="1:18" ht="15.75" thickBot="1">
      <c r="A277" s="1"/>
      <c r="B277" s="2"/>
      <c r="C277" s="8"/>
      <c r="D277" s="80"/>
      <c r="E277" s="81"/>
      <c r="F277" s="81"/>
      <c r="G277" s="81"/>
      <c r="H277" s="81"/>
      <c r="I277" s="81"/>
      <c r="J277" s="20"/>
      <c r="K277" s="20"/>
      <c r="L277" s="81"/>
      <c r="M277" s="81"/>
      <c r="N277" s="81"/>
      <c r="O277" s="81"/>
      <c r="P277" s="82"/>
      <c r="Q277" s="13"/>
      <c r="R277" s="4"/>
    </row>
    <row r="278" spans="1:18">
      <c r="A278" s="1"/>
      <c r="B278" s="2"/>
      <c r="C278" s="8"/>
      <c r="D278" s="83" t="s">
        <v>10</v>
      </c>
      <c r="E278" s="84"/>
      <c r="F278" s="84"/>
      <c r="G278" s="84"/>
      <c r="H278" s="84"/>
      <c r="I278" s="84"/>
      <c r="J278" s="84"/>
      <c r="K278" s="84"/>
      <c r="L278" s="84"/>
      <c r="M278" s="84"/>
      <c r="N278" s="84"/>
      <c r="O278" s="84"/>
      <c r="P278" s="85"/>
      <c r="Q278" s="86"/>
      <c r="R278" s="4"/>
    </row>
    <row r="279" spans="1:18" ht="15.75" thickBot="1">
      <c r="A279" s="1"/>
      <c r="B279" s="2"/>
      <c r="C279" s="8"/>
      <c r="D279" s="87"/>
      <c r="E279" s="20"/>
      <c r="F279" s="20"/>
      <c r="G279" s="20"/>
      <c r="H279" s="20"/>
      <c r="I279" s="20"/>
      <c r="J279" s="20"/>
      <c r="K279" s="20"/>
      <c r="L279" s="20"/>
      <c r="M279" s="20"/>
      <c r="N279" s="20"/>
      <c r="O279" s="20"/>
      <c r="P279" s="88"/>
      <c r="Q279" s="13"/>
      <c r="R279" s="4"/>
    </row>
    <row r="280" spans="1:18">
      <c r="A280" s="1" t="s">
        <v>11</v>
      </c>
      <c r="B280" s="2" t="s">
        <v>12</v>
      </c>
      <c r="C280" s="8"/>
      <c r="D280" s="89" t="s">
        <v>13</v>
      </c>
      <c r="E280" s="90" t="s">
        <v>14</v>
      </c>
      <c r="F280" s="90"/>
      <c r="G280" s="90"/>
      <c r="H280" s="90"/>
      <c r="I280" s="90"/>
      <c r="J280" s="90"/>
      <c r="K280" s="90"/>
      <c r="L280" s="90"/>
      <c r="M280" s="90"/>
      <c r="N280" s="91" t="s">
        <v>15</v>
      </c>
      <c r="O280" s="91"/>
      <c r="P280" s="92" t="s">
        <v>16</v>
      </c>
      <c r="Q280" s="93"/>
      <c r="R280" s="4"/>
    </row>
    <row r="281" spans="1:18" ht="15.75" thickBot="1">
      <c r="A281" s="1"/>
      <c r="B281" s="2"/>
      <c r="C281" s="8"/>
      <c r="D281" s="349">
        <f>+'PRESUPUESTO OFICIAL '!C92</f>
        <v>8.0399999999999991</v>
      </c>
      <c r="E281" s="94" t="str">
        <f>+VLOOKUP(D281,'PRESUPUESTO OFICIAL '!C:H,2,FALSE)</f>
        <v>SUMINISTRO E INSTALACIÓN LAVAPLATOS ACERO INOXIDABLE 0.6 X 0.40 M</v>
      </c>
      <c r="F281" s="94"/>
      <c r="G281" s="94"/>
      <c r="H281" s="94"/>
      <c r="I281" s="94"/>
      <c r="J281" s="94"/>
      <c r="K281" s="94"/>
      <c r="L281" s="94"/>
      <c r="M281" s="94"/>
      <c r="N281" s="94" t="str">
        <f>+VLOOKUP(D281,'PRESUPUESTO OFICIAL '!C:H,3,FALSE)</f>
        <v>UND</v>
      </c>
      <c r="O281" s="95"/>
      <c r="P281" s="96">
        <f>+VLOOKUP(D281,'PRESUPUESTO OFICIAL '!C:H,4,FALSE)</f>
        <v>7</v>
      </c>
      <c r="Q281" s="97"/>
      <c r="R281" s="98">
        <f>+P333</f>
        <v>264192</v>
      </c>
    </row>
    <row r="282" spans="1:18" ht="15.75" thickBot="1">
      <c r="A282" s="1"/>
      <c r="B282" s="2"/>
      <c r="C282" s="8"/>
      <c r="D282" s="74" t="s">
        <v>17</v>
      </c>
      <c r="E282" s="37"/>
      <c r="F282" s="37"/>
      <c r="G282" s="37"/>
      <c r="H282" s="37"/>
      <c r="I282" s="37"/>
      <c r="J282" s="37"/>
      <c r="K282" s="37"/>
      <c r="L282" s="37"/>
      <c r="M282" s="37"/>
      <c r="N282" s="37"/>
      <c r="O282" s="37"/>
      <c r="P282" s="99"/>
      <c r="Q282" s="100"/>
      <c r="R282" s="4"/>
    </row>
    <row r="283" spans="1:18">
      <c r="A283" s="1"/>
      <c r="B283" s="2"/>
      <c r="C283" s="8"/>
      <c r="D283" s="101" t="s">
        <v>14</v>
      </c>
      <c r="E283" s="102"/>
      <c r="F283" s="102"/>
      <c r="G283" s="102"/>
      <c r="H283" s="103"/>
      <c r="I283" s="104" t="s">
        <v>18</v>
      </c>
      <c r="J283" s="102"/>
      <c r="K283" s="104" t="s">
        <v>19</v>
      </c>
      <c r="L283" s="105"/>
      <c r="M283" s="106" t="s">
        <v>20</v>
      </c>
      <c r="N283" s="104" t="s">
        <v>21</v>
      </c>
      <c r="O283" s="105"/>
      <c r="P283" s="107" t="s">
        <v>22</v>
      </c>
      <c r="Q283" s="108"/>
      <c r="R283" s="4"/>
    </row>
    <row r="284" spans="1:18">
      <c r="A284" s="1" t="e">
        <f>[239]INDICE!#REF!</f>
        <v>#REF!</v>
      </c>
      <c r="B284" s="2" t="s">
        <v>23</v>
      </c>
      <c r="C284" s="8"/>
      <c r="D284" s="109" t="str">
        <f>IFERROR(INDEX([239]EQUIPOS!B:B,MATCH(B284,[239]EQUIPOS!A:A,0)),"")</f>
        <v>HERRAMIENTA MENOR (% M.O)</v>
      </c>
      <c r="E284" s="110"/>
      <c r="F284" s="110"/>
      <c r="G284" s="110"/>
      <c r="H284" s="111"/>
      <c r="I284" s="112"/>
      <c r="J284" s="111"/>
      <c r="K284" s="113" t="str">
        <f>IFERROR(INDEX([239]EQUIPOS!C:C,MATCH(B284,[239]EQUIPOS!A:A,0)),"")</f>
        <v>%</v>
      </c>
      <c r="L284" s="114"/>
      <c r="M284" s="115">
        <f>IFERROR(IF(D284="HERRAMIENTA MENOR (% M.O)",P323,INDEX([239]EQUIPOS!D:D,MATCH(B284,[239]EQUIPOS!A:A,0))),"")</f>
        <v>65271.569999999992</v>
      </c>
      <c r="N284" s="116">
        <v>10</v>
      </c>
      <c r="O284" s="117"/>
      <c r="P284" s="118">
        <f t="shared" ref="P284:P289" si="9">IFERROR(ROUND(IF(D284="HERRAMIENTA MENOR (% M.O)",N284%*M284,M284/N284),2)," ")</f>
        <v>6527.16</v>
      </c>
      <c r="Q284" s="119"/>
      <c r="R284" s="4"/>
    </row>
    <row r="285" spans="1:18">
      <c r="A285" s="1">
        <f>+$A$1691</f>
        <v>0</v>
      </c>
      <c r="B285" s="2"/>
      <c r="C285" s="8"/>
      <c r="D285" s="109" t="str">
        <f>IFERROR(INDEX([239]EQUIPOS!B:B,MATCH(B285,[239]EQUIPOS!A:A,0)),"")</f>
        <v/>
      </c>
      <c r="E285" s="110"/>
      <c r="F285" s="110"/>
      <c r="G285" s="110"/>
      <c r="H285" s="111"/>
      <c r="I285" s="112"/>
      <c r="J285" s="111"/>
      <c r="K285" s="113" t="str">
        <f>IFERROR(INDEX([239]EQUIPOS!C:C,MATCH(B285,[239]EQUIPOS!A:A,0)),"")</f>
        <v/>
      </c>
      <c r="L285" s="114"/>
      <c r="M285" s="115" t="str">
        <f>IFERROR(IF(D285="HERRAMIENTA MENOR (% M.O)",P324,INDEX([239]EQUIPOS!D:D,MATCH(B285,[239]EQUIPOS!A:A,0))),"")</f>
        <v/>
      </c>
      <c r="N285" s="116"/>
      <c r="O285" s="117"/>
      <c r="P285" s="118" t="str">
        <f t="shared" si="9"/>
        <v xml:space="preserve"> </v>
      </c>
      <c r="Q285" s="119"/>
      <c r="R285" s="4"/>
    </row>
    <row r="286" spans="1:18">
      <c r="A286" s="1">
        <f t="shared" ref="A286:A324" si="10">+A285</f>
        <v>0</v>
      </c>
      <c r="B286" s="2"/>
      <c r="C286" s="8"/>
      <c r="D286" s="109" t="str">
        <f>IFERROR(INDEX([239]EQUIPOS!B:B,MATCH(B286,[239]EQUIPOS!A:A,0)),"")</f>
        <v/>
      </c>
      <c r="E286" s="110"/>
      <c r="F286" s="110"/>
      <c r="G286" s="110"/>
      <c r="H286" s="111"/>
      <c r="I286" s="120"/>
      <c r="J286" s="121"/>
      <c r="K286" s="113" t="str">
        <f>IFERROR(INDEX([239]EQUIPOS!C:C,MATCH(B286,[239]EQUIPOS!A:A,0)),"")</f>
        <v/>
      </c>
      <c r="L286" s="114"/>
      <c r="M286" s="115" t="str">
        <f>IFERROR(IF(D286="HERRAMIENTA MENOR (% M.O)",P325,INDEX([239]EQUIPOS!D:D,MATCH(B286,[239]EQUIPOS!A:A,0))),"")</f>
        <v/>
      </c>
      <c r="N286" s="116"/>
      <c r="O286" s="117"/>
      <c r="P286" s="118" t="str">
        <f t="shared" si="9"/>
        <v xml:space="preserve"> </v>
      </c>
      <c r="Q286" s="119"/>
      <c r="R286" s="4"/>
    </row>
    <row r="287" spans="1:18">
      <c r="A287" s="1">
        <f t="shared" si="10"/>
        <v>0</v>
      </c>
      <c r="B287" s="2"/>
      <c r="C287" s="8"/>
      <c r="D287" s="109" t="str">
        <f>IFERROR(INDEX([239]EQUIPOS!B:B,MATCH(B287,[239]EQUIPOS!A:A,0)),"")</f>
        <v/>
      </c>
      <c r="E287" s="110"/>
      <c r="F287" s="110"/>
      <c r="G287" s="110"/>
      <c r="H287" s="111"/>
      <c r="I287" s="120"/>
      <c r="J287" s="121"/>
      <c r="K287" s="113" t="str">
        <f>IFERROR(INDEX([239]EQUIPOS!C:C,MATCH(B287,[239]EQUIPOS!A:A,0)),"")</f>
        <v/>
      </c>
      <c r="L287" s="114"/>
      <c r="M287" s="115" t="str">
        <f>IFERROR(IF(D287="HERRAMIENTA MENOR (% M.O)",P326,INDEX([239]EQUIPOS!D:D,MATCH(B287,[239]EQUIPOS!A:A,0))),"")</f>
        <v/>
      </c>
      <c r="N287" s="116"/>
      <c r="O287" s="117"/>
      <c r="P287" s="118" t="str">
        <f t="shared" si="9"/>
        <v xml:space="preserve"> </v>
      </c>
      <c r="Q287" s="119"/>
      <c r="R287" s="4"/>
    </row>
    <row r="288" spans="1:18">
      <c r="A288" s="1">
        <f t="shared" si="10"/>
        <v>0</v>
      </c>
      <c r="B288" s="2"/>
      <c r="C288" s="8"/>
      <c r="D288" s="109" t="str">
        <f>IFERROR(INDEX([239]EQUIPOS!B:B,MATCH(B288,[239]EQUIPOS!A:A,0)),"")</f>
        <v/>
      </c>
      <c r="E288" s="110"/>
      <c r="F288" s="110"/>
      <c r="G288" s="110"/>
      <c r="H288" s="111"/>
      <c r="I288" s="112"/>
      <c r="J288" s="111"/>
      <c r="K288" s="113" t="str">
        <f>IFERROR(INDEX([239]EQUIPOS!C:C,MATCH(B288,[239]EQUIPOS!A:A,0)),"")</f>
        <v/>
      </c>
      <c r="L288" s="114"/>
      <c r="M288" s="115" t="str">
        <f>IFERROR(IF(D288="HERRAMIENTA MENOR (% M.O)",P327,INDEX([239]EQUIPOS!D:D,MATCH(B288,[239]EQUIPOS!A:A,0))),"")</f>
        <v/>
      </c>
      <c r="N288" s="116"/>
      <c r="O288" s="117"/>
      <c r="P288" s="118" t="str">
        <f t="shared" si="9"/>
        <v xml:space="preserve"> </v>
      </c>
      <c r="Q288" s="119"/>
      <c r="R288" s="4"/>
    </row>
    <row r="289" spans="1:18" ht="15.75" thickBot="1">
      <c r="A289" s="1">
        <f t="shared" si="10"/>
        <v>0</v>
      </c>
      <c r="B289" s="2"/>
      <c r="C289" s="8"/>
      <c r="D289" s="109" t="str">
        <f>IFERROR(INDEX([239]EQUIPOS!B:B,MATCH(B289,[239]EQUIPOS!A:A,0)),"")</f>
        <v/>
      </c>
      <c r="E289" s="78"/>
      <c r="F289" s="78"/>
      <c r="G289" s="78"/>
      <c r="H289" s="122"/>
      <c r="I289" s="123"/>
      <c r="J289" s="122"/>
      <c r="K289" s="113" t="str">
        <f>IFERROR(INDEX([239]EQUIPOS!C:C,MATCH(B289,[239]EQUIPOS!A:A,0)),"")</f>
        <v/>
      </c>
      <c r="L289" s="124"/>
      <c r="M289" s="115" t="str">
        <f>IFERROR(IF(D289="HERRAMIENTA MENOR (% M.O)",P328,INDEX([239]EQUIPOS!D:D,MATCH(B289,[239]EQUIPOS!A:A,0))),"")</f>
        <v/>
      </c>
      <c r="N289" s="125"/>
      <c r="O289" s="126"/>
      <c r="P289" s="127" t="str">
        <f t="shared" si="9"/>
        <v xml:space="preserve"> </v>
      </c>
      <c r="Q289" s="119"/>
      <c r="R289" s="4"/>
    </row>
    <row r="290" spans="1:18" ht="15.75" thickBot="1">
      <c r="A290" s="1">
        <f t="shared" si="10"/>
        <v>0</v>
      </c>
      <c r="B290" s="2"/>
      <c r="C290" s="8"/>
      <c r="D290" s="128" t="s">
        <v>24</v>
      </c>
      <c r="E290" s="129"/>
      <c r="F290" s="129"/>
      <c r="G290" s="129"/>
      <c r="H290" s="129"/>
      <c r="I290" s="129"/>
      <c r="J290" s="129"/>
      <c r="K290" s="129"/>
      <c r="L290" s="129"/>
      <c r="M290" s="129"/>
      <c r="N290" s="129"/>
      <c r="O290" s="130"/>
      <c r="P290" s="131">
        <f>SUM(P284:P289)</f>
        <v>6527.16</v>
      </c>
      <c r="Q290" s="132"/>
      <c r="R290" s="4"/>
    </row>
    <row r="291" spans="1:18" ht="15.75" thickBot="1">
      <c r="A291" s="1">
        <f t="shared" si="10"/>
        <v>0</v>
      </c>
      <c r="B291" s="2"/>
      <c r="C291" s="8"/>
      <c r="D291" s="74" t="s">
        <v>25</v>
      </c>
      <c r="E291" s="37"/>
      <c r="F291" s="37"/>
      <c r="G291" s="37"/>
      <c r="H291" s="37"/>
      <c r="I291" s="37"/>
      <c r="J291" s="37"/>
      <c r="K291" s="37"/>
      <c r="L291" s="37"/>
      <c r="M291" s="37"/>
      <c r="N291" s="37"/>
      <c r="O291" s="37"/>
      <c r="P291" s="99"/>
      <c r="Q291" s="100"/>
      <c r="R291" s="4"/>
    </row>
    <row r="292" spans="1:18">
      <c r="A292" s="1">
        <f t="shared" si="10"/>
        <v>0</v>
      </c>
      <c r="B292" s="2"/>
      <c r="C292" s="8"/>
      <c r="D292" s="101" t="s">
        <v>14</v>
      </c>
      <c r="E292" s="133"/>
      <c r="F292" s="133"/>
      <c r="G292" s="133"/>
      <c r="H292" s="133"/>
      <c r="I292" s="133"/>
      <c r="J292" s="133"/>
      <c r="K292" s="105"/>
      <c r="L292" s="134" t="s">
        <v>15</v>
      </c>
      <c r="M292" s="106" t="s">
        <v>16</v>
      </c>
      <c r="N292" s="104" t="s">
        <v>26</v>
      </c>
      <c r="O292" s="105"/>
      <c r="P292" s="107" t="s">
        <v>22</v>
      </c>
      <c r="Q292" s="108"/>
      <c r="R292" s="4"/>
    </row>
    <row r="293" spans="1:18">
      <c r="A293" s="1">
        <f t="shared" si="10"/>
        <v>0</v>
      </c>
      <c r="B293" s="2" t="s">
        <v>352</v>
      </c>
      <c r="C293" s="8"/>
      <c r="D293" s="109" t="str">
        <f>IFERROR(INDEX([239]MATERIALES!C:C,MATCH(B293,[239]MATERIALES!B:B,0)),"")</f>
        <v>LAVAPLATOS ACERO INOXIDABLE 0.6 X 0.40 M</v>
      </c>
      <c r="E293" s="135"/>
      <c r="F293" s="135"/>
      <c r="G293" s="135"/>
      <c r="H293" s="135"/>
      <c r="I293" s="135"/>
      <c r="J293" s="135"/>
      <c r="K293" s="136"/>
      <c r="L293" s="137" t="str">
        <f>IFERROR(INDEX([239]MATERIALES!D:D,MATCH(B293,[239]MATERIALES!B:B,0)),"")</f>
        <v>UND</v>
      </c>
      <c r="M293" s="138">
        <v>1</v>
      </c>
      <c r="N293" s="139">
        <f>IFERROR(INDEX([239]MATERIALES!P:P,MATCH(B293,[239]MATERIALES!B:B,0)),"")</f>
        <v>113300</v>
      </c>
      <c r="O293" s="140"/>
      <c r="P293" s="118">
        <f>IFERROR(ROUND(N293*M293,2),"")</f>
        <v>113300</v>
      </c>
      <c r="Q293" s="119"/>
      <c r="R293" s="4"/>
    </row>
    <row r="294" spans="1:18">
      <c r="A294" s="1">
        <f t="shared" si="10"/>
        <v>0</v>
      </c>
      <c r="B294" s="2" t="s">
        <v>349</v>
      </c>
      <c r="C294" s="8"/>
      <c r="D294" s="109" t="str">
        <f>IFERROR(INDEX([239]MATERIALES!C:C,MATCH(B294,[239]MATERIALES!B:B,0)),"")</f>
        <v>SELLANTE POLIURETANO TIPO SIKA FLEX PRO 3WF O SIMILAR</v>
      </c>
      <c r="E294" s="135"/>
      <c r="F294" s="135"/>
      <c r="G294" s="135"/>
      <c r="H294" s="135"/>
      <c r="I294" s="135"/>
      <c r="J294" s="135"/>
      <c r="K294" s="136"/>
      <c r="L294" s="137" t="str">
        <f>IFERROR(INDEX([239]MATERIALES!D:D,MATCH(B294,[239]MATERIALES!B:B,0)),"")</f>
        <v>UND</v>
      </c>
      <c r="M294" s="138">
        <v>0.2</v>
      </c>
      <c r="N294" s="139">
        <f>IFERROR(INDEX([239]MATERIALES!P:P,MATCH(B294,[239]MATERIALES!B:B,0)),"")</f>
        <v>37509.339999999997</v>
      </c>
      <c r="O294" s="140"/>
      <c r="P294" s="118">
        <f>IFERROR(ROUND(N294*M294,2),"")</f>
        <v>7501.87</v>
      </c>
      <c r="Q294" s="119"/>
      <c r="R294" s="4"/>
    </row>
    <row r="295" spans="1:18">
      <c r="A295" s="1">
        <f t="shared" si="10"/>
        <v>0</v>
      </c>
      <c r="B295" s="2"/>
      <c r="C295" s="8"/>
      <c r="D295" s="109" t="str">
        <f>IFERROR(INDEX([239]MATERIALES!C:C,MATCH(B295,[239]MATERIALES!B:B,0)),"")</f>
        <v/>
      </c>
      <c r="E295" s="110"/>
      <c r="F295" s="110"/>
      <c r="G295" s="110"/>
      <c r="H295" s="110"/>
      <c r="I295" s="110"/>
      <c r="J295" s="110"/>
      <c r="K295" s="111"/>
      <c r="L295" s="137" t="str">
        <f>IFERROR(INDEX([239]MATERIALES!D:D,MATCH(B295,[239]MATERIALES!B:B,0)),"")</f>
        <v/>
      </c>
      <c r="M295" s="138"/>
      <c r="N295" s="139" t="str">
        <f>IFERROR(INDEX([239]MATERIALES!P:P,MATCH(B295,[239]MATERIALES!B:B,0)),"")</f>
        <v/>
      </c>
      <c r="O295" s="140"/>
      <c r="P295" s="118" t="str">
        <f>IFERROR(ROUND(N295*M295,2),"")</f>
        <v/>
      </c>
      <c r="Q295" s="119"/>
      <c r="R295" s="4"/>
    </row>
    <row r="296" spans="1:18">
      <c r="A296" s="1">
        <f t="shared" si="10"/>
        <v>0</v>
      </c>
      <c r="B296" s="2"/>
      <c r="C296" s="8"/>
      <c r="D296" s="109" t="str">
        <f>IFERROR(INDEX([239]MATERIALES!C:C,MATCH(B296,[239]MATERIALES!B:B,0)),"")</f>
        <v/>
      </c>
      <c r="E296" s="110"/>
      <c r="F296" s="110"/>
      <c r="G296" s="110"/>
      <c r="H296" s="110"/>
      <c r="I296" s="110"/>
      <c r="J296" s="110"/>
      <c r="K296" s="111"/>
      <c r="L296" s="137" t="str">
        <f>IFERROR(INDEX([239]MATERIALES!D:D,MATCH(B296,[239]MATERIALES!B:B,0)),"")</f>
        <v/>
      </c>
      <c r="M296" s="138"/>
      <c r="N296" s="139" t="str">
        <f>IFERROR(INDEX([239]MATERIALES!P:P,MATCH(B296,[239]MATERIALES!B:B,0)),"")</f>
        <v/>
      </c>
      <c r="O296" s="140"/>
      <c r="P296" s="118" t="str">
        <f>IFERROR(ROUND(N296*M296,2),"")</f>
        <v/>
      </c>
      <c r="Q296" s="119"/>
      <c r="R296" s="4"/>
    </row>
    <row r="297" spans="1:18">
      <c r="A297" s="1">
        <f t="shared" si="10"/>
        <v>0</v>
      </c>
      <c r="B297" s="2"/>
      <c r="C297" s="8"/>
      <c r="D297" s="109" t="str">
        <f>IFERROR(INDEX([239]MATERIALES!C:C,MATCH(B297,[239]MATERIALES!B:B,0)),"")</f>
        <v/>
      </c>
      <c r="E297" s="110"/>
      <c r="F297" s="110"/>
      <c r="G297" s="110"/>
      <c r="H297" s="110"/>
      <c r="I297" s="110"/>
      <c r="J297" s="110"/>
      <c r="K297" s="111"/>
      <c r="L297" s="137" t="str">
        <f>IFERROR(INDEX([239]MATERIALES!D:D,MATCH(B297,[239]MATERIALES!B:B,0)),"")</f>
        <v/>
      </c>
      <c r="M297" s="138"/>
      <c r="N297" s="139" t="str">
        <f>IFERROR(INDEX([239]MATERIALES!P:P,MATCH(B297,[239]MATERIALES!B:B,0)),"")</f>
        <v/>
      </c>
      <c r="O297" s="140"/>
      <c r="P297" s="118" t="str">
        <f t="shared" ref="P297:P306" si="11">IFERROR(ROUND(N297*M297,2),"")</f>
        <v/>
      </c>
      <c r="Q297" s="119"/>
      <c r="R297" s="4"/>
    </row>
    <row r="298" spans="1:18">
      <c r="A298" s="1">
        <f t="shared" si="10"/>
        <v>0</v>
      </c>
      <c r="B298" s="2"/>
      <c r="C298" s="8"/>
      <c r="D298" s="109" t="str">
        <f>IFERROR(INDEX([239]MATERIALES!C:C,MATCH(B298,[239]MATERIALES!B:B,0)),"")</f>
        <v/>
      </c>
      <c r="E298" s="110"/>
      <c r="F298" s="110"/>
      <c r="G298" s="110"/>
      <c r="H298" s="110"/>
      <c r="I298" s="110"/>
      <c r="J298" s="110"/>
      <c r="K298" s="111"/>
      <c r="L298" s="137" t="str">
        <f>IFERROR(INDEX([239]MATERIALES!D:D,MATCH(B298,[239]MATERIALES!B:B,0)),"")</f>
        <v/>
      </c>
      <c r="M298" s="138"/>
      <c r="N298" s="139" t="str">
        <f>IFERROR(INDEX([239]MATERIALES!P:P,MATCH(B298,[239]MATERIALES!B:B,0)),"")</f>
        <v/>
      </c>
      <c r="O298" s="140"/>
      <c r="P298" s="118" t="str">
        <f t="shared" si="11"/>
        <v/>
      </c>
      <c r="Q298" s="119"/>
      <c r="R298" s="4"/>
    </row>
    <row r="299" spans="1:18">
      <c r="A299" s="1">
        <f t="shared" si="10"/>
        <v>0</v>
      </c>
      <c r="B299" s="2"/>
      <c r="C299" s="8"/>
      <c r="D299" s="109" t="str">
        <f>IFERROR(INDEX([239]MATERIALES!C:C,MATCH(B299,[239]MATERIALES!B:B,0)),"")</f>
        <v/>
      </c>
      <c r="E299" s="110"/>
      <c r="F299" s="110"/>
      <c r="G299" s="110"/>
      <c r="H299" s="110"/>
      <c r="I299" s="110"/>
      <c r="J299" s="110"/>
      <c r="K299" s="111"/>
      <c r="L299" s="137" t="str">
        <f>IFERROR(INDEX([239]MATERIALES!D:D,MATCH(B299,[239]MATERIALES!B:B,0)),"")</f>
        <v/>
      </c>
      <c r="M299" s="138"/>
      <c r="N299" s="139" t="str">
        <f>IFERROR(INDEX([239]MATERIALES!P:P,MATCH(B299,[239]MATERIALES!B:B,0)),"")</f>
        <v/>
      </c>
      <c r="O299" s="140"/>
      <c r="P299" s="118" t="str">
        <f t="shared" si="11"/>
        <v/>
      </c>
      <c r="Q299" s="119"/>
      <c r="R299" s="4"/>
    </row>
    <row r="300" spans="1:18">
      <c r="A300" s="1">
        <f t="shared" si="10"/>
        <v>0</v>
      </c>
      <c r="B300" s="2"/>
      <c r="C300" s="8"/>
      <c r="D300" s="109" t="str">
        <f>IFERROR(INDEX([239]MATERIALES!C:C,MATCH(B300,[239]MATERIALES!B:B,0)),"")</f>
        <v/>
      </c>
      <c r="E300" s="110"/>
      <c r="F300" s="110"/>
      <c r="G300" s="110"/>
      <c r="H300" s="110"/>
      <c r="I300" s="110"/>
      <c r="J300" s="110"/>
      <c r="K300" s="111"/>
      <c r="L300" s="137" t="str">
        <f>IFERROR(INDEX([239]MATERIALES!D:D,MATCH(B300,[239]MATERIALES!B:B,0)),"")</f>
        <v/>
      </c>
      <c r="M300" s="138"/>
      <c r="N300" s="139" t="str">
        <f>IFERROR(INDEX([239]MATERIALES!P:P,MATCH(B300,[239]MATERIALES!B:B,0)),"")</f>
        <v/>
      </c>
      <c r="O300" s="140"/>
      <c r="P300" s="118" t="str">
        <f t="shared" si="11"/>
        <v/>
      </c>
      <c r="Q300" s="119"/>
      <c r="R300" s="4"/>
    </row>
    <row r="301" spans="1:18">
      <c r="A301" s="1">
        <f t="shared" si="10"/>
        <v>0</v>
      </c>
      <c r="B301" s="2"/>
      <c r="C301" s="8"/>
      <c r="D301" s="109" t="str">
        <f>IFERROR(INDEX([239]MATERIALES!C:C,MATCH(B301,[239]MATERIALES!B:B,0)),"")</f>
        <v/>
      </c>
      <c r="E301" s="110"/>
      <c r="F301" s="110"/>
      <c r="G301" s="110"/>
      <c r="H301" s="110"/>
      <c r="I301" s="110"/>
      <c r="J301" s="110"/>
      <c r="K301" s="111"/>
      <c r="L301" s="137" t="str">
        <f>IFERROR(INDEX([239]MATERIALES!D:D,MATCH(B301,[239]MATERIALES!B:B,0)),"")</f>
        <v/>
      </c>
      <c r="M301" s="138"/>
      <c r="N301" s="139" t="str">
        <f>IFERROR(INDEX([239]MATERIALES!P:P,MATCH(B301,[239]MATERIALES!B:B,0)),"")</f>
        <v/>
      </c>
      <c r="O301" s="140"/>
      <c r="P301" s="118" t="str">
        <f t="shared" si="11"/>
        <v/>
      </c>
      <c r="Q301" s="119"/>
      <c r="R301" s="4"/>
    </row>
    <row r="302" spans="1:18">
      <c r="A302" s="1">
        <f t="shared" si="10"/>
        <v>0</v>
      </c>
      <c r="B302" s="2"/>
      <c r="C302" s="8"/>
      <c r="D302" s="109" t="str">
        <f>IFERROR(INDEX([239]MATERIALES!C:C,MATCH(B302,[239]MATERIALES!B:B,0)),"")</f>
        <v/>
      </c>
      <c r="E302" s="110"/>
      <c r="F302" s="110"/>
      <c r="G302" s="110"/>
      <c r="H302" s="110"/>
      <c r="I302" s="110"/>
      <c r="J302" s="110"/>
      <c r="K302" s="111"/>
      <c r="L302" s="137" t="str">
        <f>IFERROR(INDEX([239]MATERIALES!D:D,MATCH(B302,[239]MATERIALES!B:B,0)),"")</f>
        <v/>
      </c>
      <c r="M302" s="138"/>
      <c r="N302" s="139" t="str">
        <f>IFERROR(INDEX([239]MATERIALES!P:P,MATCH(B302,[239]MATERIALES!B:B,0)),"")</f>
        <v/>
      </c>
      <c r="O302" s="140"/>
      <c r="P302" s="118" t="str">
        <f t="shared" si="11"/>
        <v/>
      </c>
      <c r="Q302" s="119"/>
      <c r="R302" s="4"/>
    </row>
    <row r="303" spans="1:18">
      <c r="A303" s="1">
        <f t="shared" si="10"/>
        <v>0</v>
      </c>
      <c r="B303" s="2"/>
      <c r="C303" s="8"/>
      <c r="D303" s="109" t="str">
        <f>IFERROR(INDEX([239]MATERIALES!C:C,MATCH(B303,[239]MATERIALES!B:B,0)),"")</f>
        <v/>
      </c>
      <c r="E303" s="110"/>
      <c r="F303" s="110"/>
      <c r="G303" s="110"/>
      <c r="H303" s="110"/>
      <c r="I303" s="110"/>
      <c r="J303" s="110"/>
      <c r="K303" s="111"/>
      <c r="L303" s="137" t="str">
        <f>IFERROR(INDEX([239]MATERIALES!D:D,MATCH(B303,[239]MATERIALES!B:B,0)),"")</f>
        <v/>
      </c>
      <c r="M303" s="138"/>
      <c r="N303" s="139" t="str">
        <f>IFERROR(INDEX([239]MATERIALES!P:P,MATCH(B303,[239]MATERIALES!B:B,0)),"")</f>
        <v/>
      </c>
      <c r="O303" s="140"/>
      <c r="P303" s="118" t="str">
        <f t="shared" si="11"/>
        <v/>
      </c>
      <c r="Q303" s="119"/>
      <c r="R303" s="4"/>
    </row>
    <row r="304" spans="1:18">
      <c r="A304" s="1">
        <f t="shared" si="10"/>
        <v>0</v>
      </c>
      <c r="B304" s="2"/>
      <c r="C304" s="8"/>
      <c r="D304" s="109" t="str">
        <f>IFERROR(INDEX([239]MATERIALES!C:C,MATCH(B304,[239]MATERIALES!B:B,0)),"")</f>
        <v/>
      </c>
      <c r="E304" s="110"/>
      <c r="F304" s="110"/>
      <c r="G304" s="110"/>
      <c r="H304" s="110"/>
      <c r="I304" s="110"/>
      <c r="J304" s="110"/>
      <c r="K304" s="111"/>
      <c r="L304" s="137" t="str">
        <f>IFERROR(INDEX([239]MATERIALES!D:D,MATCH(B304,[239]MATERIALES!B:B,0)),"")</f>
        <v/>
      </c>
      <c r="M304" s="138"/>
      <c r="N304" s="139" t="str">
        <f>IFERROR(INDEX([239]MATERIALES!P:P,MATCH(B304,[239]MATERIALES!B:B,0)),"")</f>
        <v/>
      </c>
      <c r="O304" s="140"/>
      <c r="P304" s="118" t="str">
        <f t="shared" si="11"/>
        <v/>
      </c>
      <c r="Q304" s="119"/>
      <c r="R304" s="4"/>
    </row>
    <row r="305" spans="1:18">
      <c r="A305" s="1">
        <f t="shared" si="10"/>
        <v>0</v>
      </c>
      <c r="B305" s="2"/>
      <c r="C305" s="8"/>
      <c r="D305" s="109" t="str">
        <f>IFERROR(INDEX([239]MATERIALES!C:C,MATCH(B305,[239]MATERIALES!B:B,0)),"")</f>
        <v/>
      </c>
      <c r="E305" s="110"/>
      <c r="F305" s="110"/>
      <c r="G305" s="110"/>
      <c r="H305" s="110"/>
      <c r="I305" s="110"/>
      <c r="J305" s="110"/>
      <c r="K305" s="111"/>
      <c r="L305" s="137" t="str">
        <f>IFERROR(INDEX([239]MATERIALES!D:D,MATCH(B305,[239]MATERIALES!B:B,0)),"")</f>
        <v/>
      </c>
      <c r="M305" s="138"/>
      <c r="N305" s="139" t="str">
        <f>IFERROR(INDEX([239]MATERIALES!P:P,MATCH(B305,[239]MATERIALES!B:B,0)),"")</f>
        <v/>
      </c>
      <c r="O305" s="140"/>
      <c r="P305" s="118" t="str">
        <f t="shared" si="11"/>
        <v/>
      </c>
      <c r="Q305" s="119"/>
      <c r="R305" s="4"/>
    </row>
    <row r="306" spans="1:18">
      <c r="A306" s="1">
        <f t="shared" si="10"/>
        <v>0</v>
      </c>
      <c r="B306" s="2"/>
      <c r="C306" s="8"/>
      <c r="D306" s="109" t="str">
        <f>IFERROR(INDEX([239]MATERIALES!C:C,MATCH(B306,[239]MATERIALES!B:B,0)),"")</f>
        <v/>
      </c>
      <c r="E306" s="110"/>
      <c r="F306" s="110"/>
      <c r="G306" s="110"/>
      <c r="H306" s="110"/>
      <c r="I306" s="110"/>
      <c r="J306" s="110"/>
      <c r="K306" s="111"/>
      <c r="L306" s="137" t="str">
        <f>IFERROR(INDEX([239]MATERIALES!D:D,MATCH(B306,[239]MATERIALES!B:B,0)),"")</f>
        <v/>
      </c>
      <c r="M306" s="138"/>
      <c r="N306" s="139" t="str">
        <f>IFERROR(INDEX([239]MATERIALES!P:P,MATCH(B306,[239]MATERIALES!B:B,0)),"")</f>
        <v/>
      </c>
      <c r="O306" s="140"/>
      <c r="P306" s="118" t="str">
        <f t="shared" si="11"/>
        <v/>
      </c>
      <c r="Q306" s="119"/>
      <c r="R306" s="4"/>
    </row>
    <row r="307" spans="1:18" ht="15.75" thickBot="1">
      <c r="A307" s="1">
        <f t="shared" si="10"/>
        <v>0</v>
      </c>
      <c r="B307" s="2"/>
      <c r="C307" s="8"/>
      <c r="D307" s="109" t="s">
        <v>28</v>
      </c>
      <c r="E307" s="110"/>
      <c r="F307" s="110"/>
      <c r="G307" s="110"/>
      <c r="H307" s="110"/>
      <c r="I307" s="110"/>
      <c r="J307" s="110"/>
      <c r="K307" s="111"/>
      <c r="L307" s="137" t="s">
        <v>29</v>
      </c>
      <c r="M307" s="138">
        <v>0.05</v>
      </c>
      <c r="N307" s="139">
        <f>SUM(P293:P306)</f>
        <v>120801.87</v>
      </c>
      <c r="O307" s="140"/>
      <c r="P307" s="118">
        <f>ROUND(N307*M307,2)</f>
        <v>6040.09</v>
      </c>
      <c r="Q307" s="119"/>
      <c r="R307" s="4"/>
    </row>
    <row r="308" spans="1:18" ht="15.75" thickBot="1">
      <c r="A308" s="1">
        <f t="shared" si="10"/>
        <v>0</v>
      </c>
      <c r="B308" s="2"/>
      <c r="C308" s="8"/>
      <c r="D308" s="128" t="s">
        <v>24</v>
      </c>
      <c r="E308" s="129"/>
      <c r="F308" s="129"/>
      <c r="G308" s="129"/>
      <c r="H308" s="129"/>
      <c r="I308" s="129"/>
      <c r="J308" s="129"/>
      <c r="K308" s="129"/>
      <c r="L308" s="129"/>
      <c r="M308" s="129"/>
      <c r="N308" s="129"/>
      <c r="O308" s="130"/>
      <c r="P308" s="131">
        <f>SUM(P293:P307)</f>
        <v>126841.95999999999</v>
      </c>
      <c r="Q308" s="119"/>
      <c r="R308" s="4"/>
    </row>
    <row r="309" spans="1:18" ht="15.75" thickBot="1">
      <c r="A309" s="1">
        <f t="shared" si="10"/>
        <v>0</v>
      </c>
      <c r="B309" s="2"/>
      <c r="C309" s="8"/>
      <c r="D309" s="74" t="s">
        <v>30</v>
      </c>
      <c r="E309" s="37"/>
      <c r="F309" s="37"/>
      <c r="G309" s="37"/>
      <c r="H309" s="37"/>
      <c r="I309" s="37"/>
      <c r="J309" s="37"/>
      <c r="K309" s="37"/>
      <c r="L309" s="37"/>
      <c r="M309" s="37"/>
      <c r="N309" s="37"/>
      <c r="O309" s="37"/>
      <c r="P309" s="99"/>
      <c r="Q309" s="100"/>
      <c r="R309" s="4"/>
    </row>
    <row r="310" spans="1:18">
      <c r="A310" s="1">
        <f t="shared" si="10"/>
        <v>0</v>
      </c>
      <c r="B310" s="2"/>
      <c r="C310" s="8"/>
      <c r="D310" s="101" t="s">
        <v>31</v>
      </c>
      <c r="E310" s="133"/>
      <c r="F310" s="133"/>
      <c r="G310" s="133"/>
      <c r="H310" s="133"/>
      <c r="I310" s="133"/>
      <c r="J310" s="133"/>
      <c r="K310" s="106" t="s">
        <v>32</v>
      </c>
      <c r="L310" s="141" t="s">
        <v>33</v>
      </c>
      <c r="M310" s="106" t="s">
        <v>34</v>
      </c>
      <c r="N310" s="104" t="s">
        <v>20</v>
      </c>
      <c r="O310" s="105"/>
      <c r="P310" s="107" t="s">
        <v>22</v>
      </c>
      <c r="Q310" s="108"/>
      <c r="R310" s="4"/>
    </row>
    <row r="311" spans="1:18">
      <c r="A311" s="1">
        <f t="shared" si="10"/>
        <v>0</v>
      </c>
      <c r="B311" s="2"/>
      <c r="C311" s="8"/>
      <c r="D311" s="142" t="str">
        <f>IFERROR(INDEX([239]TRANSPORTES!B:B,MATCH(B311,[239]TRANSPORTES!A:A,0)),"")</f>
        <v/>
      </c>
      <c r="E311" s="143"/>
      <c r="F311" s="143"/>
      <c r="G311" s="143"/>
      <c r="H311" s="143"/>
      <c r="I311" s="143"/>
      <c r="J311" s="143"/>
      <c r="K311" s="220"/>
      <c r="L311" s="145"/>
      <c r="M311" s="146" t="str">
        <f>IFERROR(INDEX([239]TRANSPORTES!C:C,MATCH(B311,[239]TRANSPORTES!A:A,0)),"")</f>
        <v/>
      </c>
      <c r="N311" s="139" t="str">
        <f>IFERROR(INDEX([239]TRANSPORTES!D:D,MATCH(B311,[239]TRANSPORTES!A:A,0)),"")</f>
        <v/>
      </c>
      <c r="O311" s="147"/>
      <c r="P311" s="148" t="str">
        <f>IFERROR(ROUND(K311*N311*L311,2),"")</f>
        <v/>
      </c>
      <c r="Q311" s="119"/>
      <c r="R311" s="4"/>
    </row>
    <row r="312" spans="1:18">
      <c r="A312" s="1">
        <f t="shared" si="10"/>
        <v>0</v>
      </c>
      <c r="B312" s="2"/>
      <c r="C312" s="8"/>
      <c r="D312" s="142" t="str">
        <f>IFERROR(INDEX([239]TRANSPORTES!B:B,MATCH(B312,[239]TRANSPORTES!A:A,0)),"")</f>
        <v/>
      </c>
      <c r="E312" s="143"/>
      <c r="F312" s="143"/>
      <c r="G312" s="143"/>
      <c r="H312" s="143"/>
      <c r="I312" s="143"/>
      <c r="J312" s="143"/>
      <c r="K312" s="144"/>
      <c r="L312" s="145"/>
      <c r="M312" s="146" t="str">
        <f>IFERROR(INDEX([239]TRANSPORTES!C:C,MATCH(B312,[239]TRANSPORTES!A:A,0)),"")</f>
        <v/>
      </c>
      <c r="N312" s="139" t="str">
        <f>IFERROR(INDEX([239]TRANSPORTES!D:D,MATCH(B312,[239]TRANSPORTES!A:A,0)),"")</f>
        <v/>
      </c>
      <c r="O312" s="147"/>
      <c r="P312" s="148" t="str">
        <f>IFERROR(ROUND(K312*N312*L312,2),"")</f>
        <v/>
      </c>
      <c r="Q312" s="119"/>
      <c r="R312" s="4"/>
    </row>
    <row r="313" spans="1:18">
      <c r="A313" s="1">
        <f t="shared" si="10"/>
        <v>0</v>
      </c>
      <c r="B313" s="2"/>
      <c r="C313" s="8"/>
      <c r="D313" s="142" t="str">
        <f>IFERROR(INDEX([239]TRANSPORTES!B:B,MATCH(B313,[239]TRANSPORTES!A:A,0)),"")</f>
        <v/>
      </c>
      <c r="E313" s="143"/>
      <c r="F313" s="143"/>
      <c r="G313" s="143"/>
      <c r="H313" s="143"/>
      <c r="I313" s="143"/>
      <c r="J313" s="143"/>
      <c r="K313" s="144"/>
      <c r="L313" s="145"/>
      <c r="M313" s="146" t="str">
        <f>IFERROR(INDEX([239]TRANSPORTES!C:C,MATCH(B313,[239]TRANSPORTES!A:A,0)),"")</f>
        <v/>
      </c>
      <c r="N313" s="139" t="str">
        <f>IFERROR(INDEX([239]TRANSPORTES!D:D,MATCH(B313,[239]TRANSPORTES!A:A,0)),"")</f>
        <v/>
      </c>
      <c r="O313" s="147"/>
      <c r="P313" s="148" t="str">
        <f>IFERROR(ROUND(K313*N313*L313,2),"")</f>
        <v/>
      </c>
      <c r="Q313" s="119"/>
      <c r="R313" s="4"/>
    </row>
    <row r="314" spans="1:18" ht="15.75" thickBot="1">
      <c r="A314" s="1">
        <f t="shared" si="10"/>
        <v>0</v>
      </c>
      <c r="B314" s="2"/>
      <c r="C314" s="8"/>
      <c r="D314" s="142" t="str">
        <f>IFERROR(INDEX([239]TRANSPORTES!B:B,MATCH(B314,[239]TRANSPORTES!A:A,0)),"")</f>
        <v/>
      </c>
      <c r="E314" s="143"/>
      <c r="F314" s="143"/>
      <c r="G314" s="143"/>
      <c r="H314" s="143"/>
      <c r="I314" s="143"/>
      <c r="J314" s="143"/>
      <c r="K314" s="149"/>
      <c r="L314" s="150"/>
      <c r="M314" s="146" t="str">
        <f>IFERROR(INDEX([239]TRANSPORTES!C:C,MATCH(B314,[239]TRANSPORTES!A:A,0)),"")</f>
        <v/>
      </c>
      <c r="N314" s="139" t="str">
        <f>IFERROR(INDEX([239]TRANSPORTES!D:D,MATCH(B314,[239]TRANSPORTES!A:A,0)),"")</f>
        <v/>
      </c>
      <c r="O314" s="147"/>
      <c r="P314" s="148" t="str">
        <f>IFERROR(ROUND(K314*N314*L314,2),"")</f>
        <v/>
      </c>
      <c r="Q314" s="119"/>
      <c r="R314" s="4"/>
    </row>
    <row r="315" spans="1:18" ht="15.75" thickBot="1">
      <c r="A315" s="1">
        <f t="shared" si="10"/>
        <v>0</v>
      </c>
      <c r="B315" s="2"/>
      <c r="C315" s="8"/>
      <c r="D315" s="128" t="s">
        <v>24</v>
      </c>
      <c r="E315" s="129"/>
      <c r="F315" s="129"/>
      <c r="G315" s="129"/>
      <c r="H315" s="129"/>
      <c r="I315" s="129"/>
      <c r="J315" s="129"/>
      <c r="K315" s="129"/>
      <c r="L315" s="129"/>
      <c r="M315" s="129"/>
      <c r="N315" s="129"/>
      <c r="O315" s="130"/>
      <c r="P315" s="151">
        <f>SUM(P311:P314)</f>
        <v>0</v>
      </c>
      <c r="Q315" s="132"/>
      <c r="R315" s="4"/>
    </row>
    <row r="316" spans="1:18" ht="15.75" thickBot="1">
      <c r="A316" s="1">
        <f t="shared" si="10"/>
        <v>0</v>
      </c>
      <c r="B316" s="2"/>
      <c r="C316" s="8"/>
      <c r="D316" s="74" t="s">
        <v>36</v>
      </c>
      <c r="E316" s="37"/>
      <c r="F316" s="37"/>
      <c r="G316" s="37"/>
      <c r="H316" s="37"/>
      <c r="I316" s="37"/>
      <c r="J316" s="37"/>
      <c r="K316" s="37"/>
      <c r="L316" s="37"/>
      <c r="M316" s="37"/>
      <c r="N316" s="37"/>
      <c r="O316" s="37"/>
      <c r="P316" s="99"/>
      <c r="Q316" s="100"/>
      <c r="R316" s="4"/>
    </row>
    <row r="317" spans="1:18" ht="30">
      <c r="A317" s="1">
        <f t="shared" si="10"/>
        <v>0</v>
      </c>
      <c r="B317" s="2"/>
      <c r="C317" s="8"/>
      <c r="D317" s="101" t="s">
        <v>37</v>
      </c>
      <c r="E317" s="133"/>
      <c r="F317" s="133"/>
      <c r="G317" s="133"/>
      <c r="H317" s="133"/>
      <c r="I317" s="133"/>
      <c r="J317" s="133"/>
      <c r="K317" s="106" t="s">
        <v>38</v>
      </c>
      <c r="L317" s="152" t="s">
        <v>39</v>
      </c>
      <c r="M317" s="153" t="s">
        <v>40</v>
      </c>
      <c r="N317" s="104" t="s">
        <v>21</v>
      </c>
      <c r="O317" s="105"/>
      <c r="P317" s="154" t="s">
        <v>22</v>
      </c>
      <c r="Q317" s="155"/>
      <c r="R317" s="4"/>
    </row>
    <row r="318" spans="1:18">
      <c r="A318" s="1">
        <f t="shared" si="10"/>
        <v>0</v>
      </c>
      <c r="B318" s="2" t="s">
        <v>41</v>
      </c>
      <c r="C318" s="8"/>
      <c r="D318" s="109" t="str">
        <f>IFERROR(INDEX('[239]MANO DE OBRA'!B:B,MATCH(B318,'[239]MANO DE OBRA'!A:A,0)),"")</f>
        <v>OFICIAL</v>
      </c>
      <c r="E318" s="110"/>
      <c r="F318" s="110"/>
      <c r="G318" s="110"/>
      <c r="H318" s="110"/>
      <c r="I318" s="110"/>
      <c r="J318" s="111"/>
      <c r="K318" s="156">
        <f>IFERROR(INDEX('[239]MANO DE OBRA'!D:D,MATCH(B318,'[239]MANO DE OBRA'!A:A,0)),"")</f>
        <v>95930</v>
      </c>
      <c r="L318" s="157">
        <f>+IF(D318&lt;&gt;"",'[239]FACTOR PRESTACIONAL'!$E$21," ")</f>
        <v>1.95</v>
      </c>
      <c r="M318" s="158">
        <f>IFERROR(K318*L318," ")</f>
        <v>187063.5</v>
      </c>
      <c r="N318" s="159">
        <v>5</v>
      </c>
      <c r="O318" s="160"/>
      <c r="P318" s="161">
        <f>IFERROR(ROUND(M318/N318,2)," ")</f>
        <v>37412.699999999997</v>
      </c>
      <c r="Q318" s="162"/>
      <c r="R318" s="4"/>
    </row>
    <row r="319" spans="1:18">
      <c r="A319" s="1">
        <f t="shared" si="10"/>
        <v>0</v>
      </c>
      <c r="B319" s="2" t="s">
        <v>81</v>
      </c>
      <c r="C319" s="8"/>
      <c r="D319" s="109" t="str">
        <f>IFERROR(INDEX('[239]MANO DE OBRA'!B:B,MATCH(B319,'[239]MANO DE OBRA'!A:A,0)),"")</f>
        <v>AYUDANTE (1)</v>
      </c>
      <c r="E319" s="110"/>
      <c r="F319" s="110"/>
      <c r="G319" s="110"/>
      <c r="H319" s="110"/>
      <c r="I319" s="110"/>
      <c r="J319" s="111"/>
      <c r="K319" s="156">
        <f>IFERROR(INDEX('[239]MANO DE OBRA'!D:D,MATCH(B319,'[239]MANO DE OBRA'!A:A,0)),"")</f>
        <v>71433</v>
      </c>
      <c r="L319" s="157">
        <f>+IF(D319&lt;&gt;"",'[239]FACTOR PRESTACIONAL'!$E$21," ")</f>
        <v>1.95</v>
      </c>
      <c r="M319" s="158">
        <f>IFERROR(K319*L319," ")</f>
        <v>139294.35</v>
      </c>
      <c r="N319" s="159">
        <v>5</v>
      </c>
      <c r="O319" s="160"/>
      <c r="P319" s="161">
        <f>IFERROR(ROUND(M319/N319,2)," ")</f>
        <v>27858.87</v>
      </c>
      <c r="Q319" s="162"/>
      <c r="R319" s="4"/>
    </row>
    <row r="320" spans="1:18">
      <c r="A320" s="1">
        <f t="shared" si="10"/>
        <v>0</v>
      </c>
      <c r="B320" s="2"/>
      <c r="C320" s="8"/>
      <c r="D320" s="109" t="str">
        <f>IFERROR(INDEX('[239]MANO DE OBRA'!B:B,MATCH(B320,'[239]MANO DE OBRA'!A:A,0)),"")</f>
        <v/>
      </c>
      <c r="E320" s="110"/>
      <c r="F320" s="110"/>
      <c r="G320" s="110"/>
      <c r="H320" s="110"/>
      <c r="I320" s="110"/>
      <c r="J320" s="111"/>
      <c r="K320" s="156" t="str">
        <f>IFERROR(INDEX('[239]MANO DE OBRA'!D:D,MATCH(B320,'[239]MANO DE OBRA'!A:A,0)),"")</f>
        <v/>
      </c>
      <c r="L320" s="157" t="str">
        <f>+IF(D320&lt;&gt;"",'[239]FACTOR PRESTACIONAL'!$E$21," ")</f>
        <v xml:space="preserve"> </v>
      </c>
      <c r="M320" s="158" t="str">
        <f>IFERROR(K320*L320," ")</f>
        <v xml:space="preserve"> </v>
      </c>
      <c r="N320" s="159"/>
      <c r="O320" s="160"/>
      <c r="P320" s="161" t="str">
        <f>IFERROR(ROUND(M320/N320,2)," ")</f>
        <v xml:space="preserve"> </v>
      </c>
      <c r="Q320" s="162"/>
      <c r="R320" s="4"/>
    </row>
    <row r="321" spans="1:18">
      <c r="A321" s="1">
        <f t="shared" si="10"/>
        <v>0</v>
      </c>
      <c r="B321" s="2"/>
      <c r="C321" s="8"/>
      <c r="D321" s="109" t="str">
        <f>IFERROR(INDEX('[239]MANO DE OBRA'!B:B,MATCH(B321,'[239]MANO DE OBRA'!A:A,0)),"")</f>
        <v/>
      </c>
      <c r="E321" s="110"/>
      <c r="F321" s="110"/>
      <c r="G321" s="110"/>
      <c r="H321" s="110"/>
      <c r="I321" s="110"/>
      <c r="J321" s="111"/>
      <c r="K321" s="156" t="str">
        <f>IFERROR(INDEX('[239]MANO DE OBRA'!D:D,MATCH(B321,'[239]MANO DE OBRA'!A:A,0)),"")</f>
        <v/>
      </c>
      <c r="L321" s="157" t="str">
        <f>+IF(D321&lt;&gt;"",'[239]FACTOR PRESTACIONAL'!$E$21," ")</f>
        <v xml:space="preserve"> </v>
      </c>
      <c r="M321" s="158" t="str">
        <f>IFERROR(K321*L321," ")</f>
        <v xml:space="preserve"> </v>
      </c>
      <c r="N321" s="159"/>
      <c r="O321" s="160"/>
      <c r="P321" s="161" t="str">
        <f>IFERROR(ROUND(M321/N321,2)," ")</f>
        <v xml:space="preserve"> </v>
      </c>
      <c r="Q321" s="162"/>
      <c r="R321" s="4"/>
    </row>
    <row r="322" spans="1:18" ht="15.75" thickBot="1">
      <c r="A322" s="1">
        <f t="shared" si="10"/>
        <v>0</v>
      </c>
      <c r="B322" s="2"/>
      <c r="C322" s="8"/>
      <c r="D322" s="109" t="str">
        <f>IFERROR(INDEX('[239]MANO DE OBRA'!B:B,MATCH(B322,'[239]MANO DE OBRA'!A:A,0)),"")</f>
        <v/>
      </c>
      <c r="E322" s="110"/>
      <c r="F322" s="110"/>
      <c r="G322" s="110"/>
      <c r="H322" s="110"/>
      <c r="I322" s="110"/>
      <c r="J322" s="111"/>
      <c r="K322" s="156" t="str">
        <f>IFERROR(INDEX('[239]MANO DE OBRA'!D:D,MATCH(B322,'[239]MANO DE OBRA'!A:A,0)),"")</f>
        <v/>
      </c>
      <c r="L322" s="157" t="str">
        <f>+IF(D322&lt;&gt;"",'[239]FACTOR PRESTACIONAL'!$E$21," ")</f>
        <v xml:space="preserve"> </v>
      </c>
      <c r="M322" s="158" t="str">
        <f>IFERROR(K322*L322," ")</f>
        <v xml:space="preserve"> </v>
      </c>
      <c r="N322" s="159"/>
      <c r="O322" s="160"/>
      <c r="P322" s="161" t="str">
        <f>IFERROR(ROUND(M322/N322,2)," ")</f>
        <v xml:space="preserve"> </v>
      </c>
      <c r="Q322" s="119"/>
      <c r="R322" s="4"/>
    </row>
    <row r="323" spans="1:18" ht="15.75" thickBot="1">
      <c r="A323" s="1">
        <f t="shared" si="10"/>
        <v>0</v>
      </c>
      <c r="B323" s="2"/>
      <c r="C323" s="8"/>
      <c r="D323" s="128" t="s">
        <v>24</v>
      </c>
      <c r="E323" s="129"/>
      <c r="F323" s="129"/>
      <c r="G323" s="129"/>
      <c r="H323" s="129"/>
      <c r="I323" s="129"/>
      <c r="J323" s="129"/>
      <c r="K323" s="129"/>
      <c r="L323" s="129"/>
      <c r="M323" s="129"/>
      <c r="N323" s="129"/>
      <c r="O323" s="130"/>
      <c r="P323" s="131">
        <f>SUM(P318:P322)</f>
        <v>65271.569999999992</v>
      </c>
      <c r="Q323" s="119"/>
      <c r="R323" s="4"/>
    </row>
    <row r="324" spans="1:18" ht="15.75" thickBot="1">
      <c r="A324" s="1">
        <f t="shared" si="10"/>
        <v>0</v>
      </c>
      <c r="B324" s="2"/>
      <c r="C324" s="8"/>
      <c r="D324" s="87"/>
      <c r="E324" s="20"/>
      <c r="F324" s="20"/>
      <c r="G324" s="20"/>
      <c r="H324" s="20"/>
      <c r="I324" s="20"/>
      <c r="J324" s="20"/>
      <c r="K324" s="20"/>
      <c r="L324" s="20"/>
      <c r="M324" s="20"/>
      <c r="N324" s="20"/>
      <c r="O324" s="20"/>
      <c r="P324" s="88"/>
      <c r="Q324" s="13"/>
      <c r="R324" s="4"/>
    </row>
    <row r="325" spans="1:18" ht="15.75" thickBot="1">
      <c r="A325" s="1"/>
      <c r="B325" s="2"/>
      <c r="C325" s="8"/>
      <c r="D325" s="163" t="s">
        <v>43</v>
      </c>
      <c r="E325" s="164"/>
      <c r="F325" s="164"/>
      <c r="G325" s="164"/>
      <c r="H325" s="164"/>
      <c r="I325" s="164"/>
      <c r="J325" s="164"/>
      <c r="K325" s="164"/>
      <c r="L325" s="164"/>
      <c r="M325" s="164"/>
      <c r="N325" s="164"/>
      <c r="O325" s="165"/>
      <c r="P325" s="166">
        <f>+P323+P315+P308+P290</f>
        <v>198640.68999999997</v>
      </c>
      <c r="Q325" s="167"/>
      <c r="R325" s="168"/>
    </row>
    <row r="326" spans="1:18" ht="15.75" thickBot="1">
      <c r="A326" s="1"/>
      <c r="B326" s="2"/>
      <c r="C326" s="8"/>
      <c r="D326" s="169"/>
      <c r="E326" s="170"/>
      <c r="F326" s="170"/>
      <c r="G326" s="170"/>
      <c r="H326" s="170"/>
      <c r="I326" s="170"/>
      <c r="J326" s="170"/>
      <c r="K326" s="170"/>
      <c r="L326" s="170"/>
      <c r="M326" s="170"/>
      <c r="N326" s="170"/>
      <c r="O326" s="170"/>
      <c r="P326" s="171"/>
      <c r="Q326" s="100"/>
      <c r="R326" s="4"/>
    </row>
    <row r="327" spans="1:18">
      <c r="A327" s="1"/>
      <c r="B327" s="2"/>
      <c r="C327" s="8"/>
      <c r="D327" s="172" t="s">
        <v>73</v>
      </c>
      <c r="E327" s="173"/>
      <c r="F327" s="173"/>
      <c r="G327" s="173"/>
      <c r="H327" s="173"/>
      <c r="I327" s="173"/>
      <c r="J327" s="173"/>
      <c r="K327" s="141"/>
      <c r="L327" s="174"/>
      <c r="M327" s="153" t="s">
        <v>44</v>
      </c>
      <c r="N327" s="175" t="s">
        <v>45</v>
      </c>
      <c r="O327" s="176"/>
      <c r="P327" s="154"/>
      <c r="Q327" s="155"/>
      <c r="R327" s="4"/>
    </row>
    <row r="328" spans="1:18">
      <c r="A328" s="1"/>
      <c r="B328" s="2"/>
      <c r="C328" s="8"/>
      <c r="D328" s="109" t="s">
        <v>65</v>
      </c>
      <c r="E328" s="110"/>
      <c r="F328" s="110"/>
      <c r="G328" s="110"/>
      <c r="H328" s="110"/>
      <c r="I328" s="110"/>
      <c r="J328" s="110"/>
      <c r="K328" s="177"/>
      <c r="L328" s="178"/>
      <c r="M328" s="179">
        <f>+[239]INICIO!$F$10</f>
        <v>0.24</v>
      </c>
      <c r="N328" s="180">
        <f>ROUND(M328*P325,2)</f>
        <v>47673.77</v>
      </c>
      <c r="O328" s="181"/>
      <c r="P328" s="182"/>
      <c r="Q328" s="119"/>
      <c r="R328" s="4"/>
    </row>
    <row r="329" spans="1:18">
      <c r="A329" s="1"/>
      <c r="B329" s="2"/>
      <c r="C329" s="8"/>
      <c r="D329" s="183" t="s">
        <v>67</v>
      </c>
      <c r="E329" s="61"/>
      <c r="F329" s="61"/>
      <c r="G329" s="61"/>
      <c r="H329" s="61"/>
      <c r="I329" s="61"/>
      <c r="J329" s="61"/>
      <c r="K329" s="177"/>
      <c r="L329" s="178"/>
      <c r="M329" s="179">
        <f>+[239]INICIO!$F$11</f>
        <v>0.02</v>
      </c>
      <c r="N329" s="180">
        <f>ROUND(M329*P325,2)</f>
        <v>3972.81</v>
      </c>
      <c r="O329" s="181"/>
      <c r="P329" s="182"/>
      <c r="Q329" s="119"/>
      <c r="R329" s="4"/>
    </row>
    <row r="330" spans="1:18" ht="15.75" thickBot="1">
      <c r="A330" s="1"/>
      <c r="B330" s="2"/>
      <c r="C330" s="8"/>
      <c r="D330" s="77" t="s">
        <v>69</v>
      </c>
      <c r="E330" s="78"/>
      <c r="F330" s="78"/>
      <c r="G330" s="78"/>
      <c r="H330" s="78"/>
      <c r="I330" s="78"/>
      <c r="J330" s="78"/>
      <c r="K330" s="184"/>
      <c r="L330" s="185"/>
      <c r="M330" s="179">
        <f>+[239]INICIO!$F$12</f>
        <v>7.0000000000000007E-2</v>
      </c>
      <c r="N330" s="180">
        <f>ROUND(M330*P325,2)</f>
        <v>13904.85</v>
      </c>
      <c r="O330" s="181"/>
      <c r="P330" s="182"/>
      <c r="Q330" s="119"/>
      <c r="R330" s="4"/>
    </row>
    <row r="331" spans="1:18" ht="15.75" thickBot="1">
      <c r="A331" s="1"/>
      <c r="B331" s="2"/>
      <c r="C331" s="8"/>
      <c r="D331" s="128"/>
      <c r="E331" s="129"/>
      <c r="F331" s="129"/>
      <c r="G331" s="129"/>
      <c r="H331" s="129"/>
      <c r="I331" s="129"/>
      <c r="J331" s="129"/>
      <c r="K331" s="129"/>
      <c r="L331" s="129"/>
      <c r="M331" s="129"/>
      <c r="N331" s="129"/>
      <c r="O331" s="130"/>
      <c r="P331" s="131">
        <f>SUM(N328:N330)</f>
        <v>65551.429999999993</v>
      </c>
      <c r="Q331" s="186"/>
      <c r="R331" s="4"/>
    </row>
    <row r="332" spans="1:18" ht="15.75" thickBot="1">
      <c r="A332" s="1"/>
      <c r="B332" s="2"/>
      <c r="C332" s="8"/>
      <c r="D332" s="87"/>
      <c r="E332" s="20"/>
      <c r="F332" s="20"/>
      <c r="G332" s="20"/>
      <c r="H332" s="20"/>
      <c r="I332" s="20"/>
      <c r="J332" s="20"/>
      <c r="K332" s="20"/>
      <c r="L332" s="20"/>
      <c r="M332" s="20"/>
      <c r="N332" s="20"/>
      <c r="O332" s="20"/>
      <c r="P332" s="88"/>
      <c r="Q332" s="13"/>
      <c r="R332" s="4"/>
    </row>
    <row r="333" spans="1:18" ht="15.75" thickBot="1">
      <c r="A333" s="1"/>
      <c r="B333" s="2"/>
      <c r="C333" s="8"/>
      <c r="D333" s="187" t="s">
        <v>46</v>
      </c>
      <c r="E333" s="188"/>
      <c r="F333" s="188"/>
      <c r="G333" s="188"/>
      <c r="H333" s="188"/>
      <c r="I333" s="188"/>
      <c r="J333" s="188"/>
      <c r="K333" s="188"/>
      <c r="L333" s="188"/>
      <c r="M333" s="188"/>
      <c r="N333" s="188"/>
      <c r="O333" s="189"/>
      <c r="P333" s="166">
        <f>ROUND(P331+P325,0)</f>
        <v>264192</v>
      </c>
      <c r="Q333" s="186"/>
      <c r="R333" s="4"/>
    </row>
    <row r="334" spans="1:18">
      <c r="A334" s="1"/>
      <c r="B334" s="2"/>
      <c r="C334" s="8"/>
      <c r="D334" s="80"/>
      <c r="E334" s="81"/>
      <c r="F334" s="81"/>
      <c r="G334" s="81"/>
      <c r="H334" s="81"/>
      <c r="I334" s="81"/>
      <c r="J334" s="81"/>
      <c r="K334" s="81"/>
      <c r="L334" s="81"/>
      <c r="M334" s="81"/>
      <c r="N334" s="81"/>
      <c r="O334" s="81"/>
      <c r="P334" s="82"/>
      <c r="Q334" s="13"/>
      <c r="R334" s="4"/>
    </row>
    <row r="335" spans="1:18">
      <c r="A335" s="1"/>
      <c r="B335" s="2"/>
      <c r="C335" s="8"/>
      <c r="D335" s="87"/>
      <c r="E335" s="20"/>
      <c r="F335" s="20"/>
      <c r="G335" s="20"/>
      <c r="H335" s="20"/>
      <c r="I335" s="20"/>
      <c r="J335" s="20"/>
      <c r="K335" s="20"/>
      <c r="L335" s="20"/>
      <c r="M335" s="20"/>
      <c r="N335" s="20"/>
      <c r="O335" s="20"/>
      <c r="P335" s="88"/>
      <c r="Q335" s="13"/>
      <c r="R335" s="4"/>
    </row>
    <row r="336" spans="1:18">
      <c r="A336" s="1"/>
      <c r="B336" s="2"/>
      <c r="C336" s="8"/>
      <c r="D336" s="87"/>
      <c r="E336" s="20"/>
      <c r="F336" s="20"/>
      <c r="G336" s="20"/>
      <c r="H336" s="20"/>
      <c r="I336" s="20"/>
      <c r="J336" s="20"/>
      <c r="K336" s="20"/>
      <c r="L336" s="20"/>
      <c r="M336" s="20"/>
      <c r="N336" s="20"/>
      <c r="O336" s="20"/>
      <c r="P336" s="88"/>
      <c r="Q336" s="13"/>
      <c r="R336" s="4"/>
    </row>
    <row r="337" spans="1:18">
      <c r="A337" s="1"/>
      <c r="B337" s="2"/>
      <c r="C337" s="8"/>
      <c r="D337" s="87"/>
      <c r="E337" s="20"/>
      <c r="F337" s="20"/>
      <c r="G337" s="20"/>
      <c r="H337" s="20"/>
      <c r="I337" s="20"/>
      <c r="J337" s="20"/>
      <c r="K337" s="20"/>
      <c r="L337" s="20"/>
      <c r="M337" s="20"/>
      <c r="N337" s="20"/>
      <c r="O337" s="20"/>
      <c r="P337" s="88"/>
      <c r="Q337" s="13"/>
      <c r="R337" s="4"/>
    </row>
    <row r="338" spans="1:18">
      <c r="A338" s="1"/>
      <c r="B338" s="2"/>
      <c r="C338" s="8"/>
      <c r="D338" s="219" t="str">
        <f>+[239]INICIO!$B$13</f>
        <v>Proyectó:</v>
      </c>
      <c r="E338" s="49"/>
      <c r="F338" s="49"/>
      <c r="G338" s="49"/>
      <c r="H338" s="49"/>
      <c r="I338" s="49"/>
      <c r="J338" s="49"/>
      <c r="K338" s="20"/>
      <c r="L338" s="69" t="str">
        <f>+[239]INICIO!$B$16</f>
        <v>Aprobó:</v>
      </c>
      <c r="M338" s="49"/>
      <c r="N338" s="49"/>
      <c r="O338" s="49"/>
      <c r="P338" s="88"/>
      <c r="Q338" s="13"/>
      <c r="R338" s="4"/>
    </row>
    <row r="339" spans="1:18">
      <c r="A339" s="1"/>
      <c r="B339" s="2"/>
      <c r="C339" s="8"/>
      <c r="D339" s="87"/>
      <c r="E339" s="20" t="str">
        <f>+Hoja2!C$13</f>
        <v>HELMER EDUARDO BECERRA SANTANDER</v>
      </c>
      <c r="F339" s="20"/>
      <c r="G339" s="20"/>
      <c r="H339" s="20"/>
      <c r="I339" s="20"/>
      <c r="J339" s="20"/>
      <c r="K339" s="20"/>
      <c r="L339" s="20"/>
      <c r="M339" s="20" t="str">
        <f>+Hoja2!$C$16</f>
        <v>JESÚS IVÁN QUIÑONES RUEDA</v>
      </c>
      <c r="N339" s="20"/>
      <c r="O339" s="20"/>
      <c r="P339" s="88"/>
      <c r="Q339" s="190"/>
      <c r="R339" s="4"/>
    </row>
    <row r="340" spans="1:18">
      <c r="A340" s="1"/>
      <c r="B340" s="2"/>
      <c r="C340" s="8"/>
      <c r="D340" s="87"/>
      <c r="E340" s="20" t="str">
        <f>+Hoja2!C$14</f>
        <v>APOYO SEC. DE PLANEACIÓN Y OBRAS PÚBLICAS</v>
      </c>
      <c r="F340" s="20"/>
      <c r="G340" s="20"/>
      <c r="H340" s="20"/>
      <c r="I340" s="20"/>
      <c r="J340" s="20"/>
      <c r="K340" s="20"/>
      <c r="L340" s="20"/>
      <c r="M340" s="20" t="str">
        <f>+Hoja2!$C$17</f>
        <v>SECRETARIO DE PLANEACIÓN Y OBRAS PUBLICAS</v>
      </c>
      <c r="N340" s="20"/>
      <c r="O340" s="20"/>
      <c r="P340" s="88"/>
      <c r="Q340" s="190"/>
      <c r="R340" s="4"/>
    </row>
    <row r="341" spans="1:18">
      <c r="A341" s="1"/>
      <c r="B341" s="2"/>
      <c r="C341" s="8"/>
      <c r="D341" s="68"/>
      <c r="E341" s="20" t="str">
        <f>+Hoja2!C$15</f>
        <v>123769-0701671 NTS</v>
      </c>
      <c r="F341" s="191"/>
      <c r="G341" s="191"/>
      <c r="H341" s="191"/>
      <c r="I341" s="20"/>
      <c r="J341" s="191"/>
      <c r="K341" s="191"/>
      <c r="L341" s="191"/>
      <c r="M341" s="192" t="str">
        <f>+Hoja2!C$18</f>
        <v>A21382020-1090480860</v>
      </c>
      <c r="N341" s="191"/>
      <c r="O341" s="191"/>
      <c r="P341" s="193"/>
      <c r="Q341" s="194"/>
      <c r="R341" s="4"/>
    </row>
    <row r="342" spans="1:18" ht="16.5" thickBot="1">
      <c r="A342" s="1"/>
      <c r="B342" s="2"/>
      <c r="C342" s="8"/>
      <c r="D342" s="195"/>
      <c r="E342" s="150"/>
      <c r="F342" s="150"/>
      <c r="G342" s="150"/>
      <c r="H342" s="150"/>
      <c r="I342" s="150"/>
      <c r="J342" s="150"/>
      <c r="K342" s="150"/>
      <c r="L342" s="150"/>
      <c r="M342" s="150"/>
      <c r="N342" s="150"/>
      <c r="O342" s="150"/>
      <c r="P342" s="196"/>
      <c r="Q342" s="197"/>
      <c r="R342" s="4"/>
    </row>
    <row r="343" spans="1:18" ht="15.75" thickBot="1">
      <c r="A343" s="1"/>
      <c r="B343" s="2"/>
      <c r="C343" s="198"/>
      <c r="D343" s="199"/>
      <c r="E343" s="199"/>
      <c r="F343" s="199"/>
      <c r="G343" s="199"/>
      <c r="H343" s="199"/>
      <c r="I343" s="199"/>
      <c r="J343" s="199"/>
      <c r="K343" s="199"/>
      <c r="L343" s="199"/>
      <c r="M343" s="199"/>
      <c r="N343" s="199"/>
      <c r="O343" s="199"/>
      <c r="P343" s="199"/>
      <c r="Q343" s="200"/>
      <c r="R343" s="4"/>
    </row>
    <row r="344" spans="1:18" ht="15.75" thickTop="1"/>
    <row r="345" spans="1:18" ht="15.75" thickBot="1"/>
    <row r="346" spans="1:18" ht="15.75" thickTop="1">
      <c r="A346" s="1"/>
      <c r="B346" s="2"/>
      <c r="C346" s="5"/>
      <c r="D346" s="6"/>
      <c r="E346" s="6"/>
      <c r="F346" s="6"/>
      <c r="G346" s="6"/>
      <c r="H346" s="6"/>
      <c r="I346" s="6"/>
      <c r="J346" s="6"/>
      <c r="K346" s="6"/>
      <c r="L346" s="6"/>
      <c r="M346" s="6"/>
      <c r="N346" s="6"/>
      <c r="O346" s="6"/>
      <c r="P346" s="6"/>
      <c r="Q346" s="7"/>
      <c r="R346" s="4"/>
    </row>
    <row r="347" spans="1:18" ht="24">
      <c r="A347" s="1"/>
      <c r="B347" s="2"/>
      <c r="C347" s="8"/>
      <c r="D347" s="9" t="str">
        <f>+[239]INICIO!$C$8</f>
        <v>Análisis de Precios Unitarios- Secretaria de Planeación y Obras Publicas de Cubará, Boyacá.</v>
      </c>
      <c r="E347" s="10"/>
      <c r="F347" s="10"/>
      <c r="G347" s="10"/>
      <c r="H347" s="11"/>
      <c r="I347" s="12"/>
      <c r="J347" s="12"/>
      <c r="K347" s="12"/>
      <c r="L347" s="12"/>
      <c r="M347" s="12"/>
      <c r="N347" s="12"/>
      <c r="O347" s="12"/>
      <c r="P347" s="12"/>
      <c r="Q347" s="13"/>
      <c r="R347" s="4"/>
    </row>
    <row r="348" spans="1:18">
      <c r="A348" s="1"/>
      <c r="B348" s="2"/>
      <c r="C348" s="8"/>
      <c r="D348" s="14" t="s">
        <v>0</v>
      </c>
      <c r="E348" s="15" t="str">
        <f>+[239]INICIO!$C$7</f>
        <v>CCE-EICP-FM-14</v>
      </c>
      <c r="F348" s="16"/>
      <c r="G348" s="17" t="str">
        <f>+[239]INICIO!$B$6</f>
        <v>VERSIÓN</v>
      </c>
      <c r="H348" s="14">
        <f>+[239]INICIO!$C$6</f>
        <v>1</v>
      </c>
      <c r="I348" s="12"/>
      <c r="J348" s="12"/>
      <c r="K348" s="12"/>
      <c r="L348" s="12"/>
      <c r="M348" s="12"/>
      <c r="N348" s="12"/>
      <c r="O348" s="12"/>
      <c r="P348" s="12"/>
      <c r="Q348" s="13"/>
      <c r="R348" s="4"/>
    </row>
    <row r="349" spans="1:18">
      <c r="A349" s="1"/>
      <c r="B349" s="2"/>
      <c r="C349" s="8"/>
      <c r="D349" s="18"/>
      <c r="E349" s="19"/>
      <c r="F349" s="18"/>
      <c r="G349" s="19"/>
      <c r="H349" s="12"/>
      <c r="I349" s="12"/>
      <c r="J349" s="12"/>
      <c r="K349" s="12"/>
      <c r="L349" s="12"/>
      <c r="M349" s="12"/>
      <c r="N349" s="12"/>
      <c r="O349" s="12"/>
      <c r="P349" s="12"/>
      <c r="Q349" s="13"/>
      <c r="R349" s="4"/>
    </row>
    <row r="350" spans="1:18" ht="15.75" thickBot="1">
      <c r="A350" s="1"/>
      <c r="B350" s="2"/>
      <c r="C350" s="8"/>
      <c r="D350" s="20"/>
      <c r="E350" s="20"/>
      <c r="F350" s="20"/>
      <c r="G350" s="20"/>
      <c r="H350" s="20"/>
      <c r="I350" s="20"/>
      <c r="J350" s="20"/>
      <c r="K350" s="20"/>
      <c r="L350" s="20"/>
      <c r="M350" s="20"/>
      <c r="N350" s="20"/>
      <c r="O350" s="20"/>
      <c r="P350" s="20"/>
      <c r="Q350" s="13"/>
      <c r="R350" s="4"/>
    </row>
    <row r="351" spans="1:18">
      <c r="A351" s="1"/>
      <c r="B351" s="2"/>
      <c r="C351" s="8"/>
      <c r="D351" s="21"/>
      <c r="E351" s="22"/>
      <c r="F351" s="23"/>
      <c r="G351" s="23"/>
      <c r="H351" s="23"/>
      <c r="I351" s="23"/>
      <c r="J351" s="23"/>
      <c r="K351" s="23"/>
      <c r="L351" s="24"/>
      <c r="M351" s="25"/>
      <c r="N351" s="26"/>
      <c r="O351" s="26"/>
      <c r="P351" s="27"/>
      <c r="Q351" s="28"/>
      <c r="R351" s="4"/>
    </row>
    <row r="352" spans="1:18">
      <c r="A352" s="1"/>
      <c r="B352" s="2"/>
      <c r="C352" s="8"/>
      <c r="D352" s="29"/>
      <c r="E352" s="30" t="s">
        <v>1</v>
      </c>
      <c r="F352" s="31"/>
      <c r="G352" s="31"/>
      <c r="H352" s="31"/>
      <c r="I352" s="31"/>
      <c r="J352" s="31"/>
      <c r="K352" s="31"/>
      <c r="L352" s="32"/>
      <c r="M352" s="33"/>
      <c r="N352" s="34"/>
      <c r="O352" s="34"/>
      <c r="P352" s="35"/>
      <c r="Q352" s="28"/>
      <c r="R352" s="4"/>
    </row>
    <row r="353" spans="1:18">
      <c r="A353" s="1"/>
      <c r="B353" s="2"/>
      <c r="C353" s="8"/>
      <c r="D353" s="29"/>
      <c r="E353" s="36"/>
      <c r="F353" s="37"/>
      <c r="G353" s="37"/>
      <c r="H353" s="37"/>
      <c r="I353" s="37"/>
      <c r="J353" s="37"/>
      <c r="K353" s="37"/>
      <c r="L353" s="38"/>
      <c r="M353" s="39"/>
      <c r="N353" s="40"/>
      <c r="O353" s="41"/>
      <c r="P353" s="42"/>
      <c r="Q353" s="28"/>
      <c r="R353" s="4"/>
    </row>
    <row r="354" spans="1:18">
      <c r="A354" s="1"/>
      <c r="B354" s="2"/>
      <c r="C354" s="8"/>
      <c r="D354" s="29"/>
      <c r="E354" s="36"/>
      <c r="F354" s="37"/>
      <c r="G354" s="37"/>
      <c r="H354" s="37"/>
      <c r="I354" s="37"/>
      <c r="J354" s="37"/>
      <c r="K354" s="37"/>
      <c r="L354" s="38"/>
      <c r="M354" s="43" t="s">
        <v>2</v>
      </c>
      <c r="N354" s="44"/>
      <c r="O354" s="45">
        <f>+[239]INICIO!$C$6</f>
        <v>1</v>
      </c>
      <c r="P354" s="46"/>
      <c r="Q354" s="28"/>
      <c r="R354" s="4"/>
    </row>
    <row r="355" spans="1:18">
      <c r="A355" s="1"/>
      <c r="B355" s="2"/>
      <c r="C355" s="8"/>
      <c r="D355" s="29"/>
      <c r="E355" s="36"/>
      <c r="F355" s="37"/>
      <c r="G355" s="37"/>
      <c r="H355" s="37"/>
      <c r="I355" s="37"/>
      <c r="J355" s="37"/>
      <c r="K355" s="37"/>
      <c r="L355" s="38"/>
      <c r="M355" s="47"/>
      <c r="N355" s="48"/>
      <c r="O355" s="49"/>
      <c r="P355" s="50"/>
      <c r="Q355" s="51"/>
      <c r="R355" s="4"/>
    </row>
    <row r="356" spans="1:18">
      <c r="A356" s="1"/>
      <c r="B356" s="2"/>
      <c r="C356" s="8"/>
      <c r="D356" s="29"/>
      <c r="E356" s="52"/>
      <c r="F356" s="53"/>
      <c r="G356" s="53"/>
      <c r="H356" s="53"/>
      <c r="I356" s="53"/>
      <c r="J356" s="53"/>
      <c r="K356" s="53"/>
      <c r="L356" s="54"/>
      <c r="M356" s="39"/>
      <c r="N356" s="55"/>
      <c r="O356" s="55"/>
      <c r="P356" s="56"/>
      <c r="Q356" s="28"/>
      <c r="R356" s="4"/>
    </row>
    <row r="357" spans="1:18">
      <c r="A357" s="1"/>
      <c r="B357" s="2"/>
      <c r="C357" s="8"/>
      <c r="D357" s="29"/>
      <c r="E357" s="52"/>
      <c r="F357" s="53"/>
      <c r="G357" s="53"/>
      <c r="H357" s="53"/>
      <c r="I357" s="53"/>
      <c r="J357" s="53"/>
      <c r="K357" s="53"/>
      <c r="L357" s="54"/>
      <c r="M357" s="43" t="s">
        <v>3</v>
      </c>
      <c r="N357" s="43" t="str">
        <f>+VLOOKUP(D368,'PRESUPUESTO OFICIAL '!C:Q,9,FALSE)</f>
        <v>59</v>
      </c>
      <c r="O357" s="43" t="s">
        <v>4</v>
      </c>
      <c r="P357" s="508" t="str">
        <f>+'PRESUPUESTO OFICIAL '!$M$122</f>
        <v>62</v>
      </c>
      <c r="Q357" s="28"/>
      <c r="R357" s="4"/>
    </row>
    <row r="358" spans="1:18">
      <c r="A358" s="1"/>
      <c r="B358" s="2"/>
      <c r="C358" s="8"/>
      <c r="D358" s="29"/>
      <c r="E358" s="30" t="s">
        <v>5</v>
      </c>
      <c r="F358" s="31"/>
      <c r="G358" s="31"/>
      <c r="H358" s="31"/>
      <c r="I358" s="31"/>
      <c r="J358" s="31"/>
      <c r="K358" s="31"/>
      <c r="L358" s="32"/>
      <c r="M358" s="43"/>
      <c r="N358" s="57"/>
      <c r="O358" s="57"/>
      <c r="P358" s="58"/>
      <c r="Q358" s="28"/>
      <c r="R358" s="4"/>
    </row>
    <row r="359" spans="1:18" ht="15.75" thickBot="1">
      <c r="A359" s="1"/>
      <c r="B359" s="2"/>
      <c r="C359" s="8"/>
      <c r="D359" s="59"/>
      <c r="E359" s="60"/>
      <c r="F359" s="60"/>
      <c r="G359" s="60"/>
      <c r="H359" s="60"/>
      <c r="I359" s="60"/>
      <c r="J359" s="60"/>
      <c r="K359" s="60"/>
      <c r="L359" s="60"/>
      <c r="M359" s="60"/>
      <c r="N359" s="61"/>
      <c r="O359" s="61"/>
      <c r="P359" s="62"/>
      <c r="Q359" s="63"/>
      <c r="R359" s="4"/>
    </row>
    <row r="360" spans="1:18">
      <c r="A360" s="1"/>
      <c r="B360" s="2"/>
      <c r="C360" s="8"/>
      <c r="D360" s="64"/>
      <c r="E360" s="65"/>
      <c r="F360" s="65"/>
      <c r="G360" s="65"/>
      <c r="H360" s="65"/>
      <c r="I360" s="65"/>
      <c r="J360" s="65"/>
      <c r="K360" s="65"/>
      <c r="L360" s="65"/>
      <c r="M360" s="66" t="s">
        <v>6</v>
      </c>
      <c r="N360" s="66" t="s">
        <v>7</v>
      </c>
      <c r="O360" s="66" t="s">
        <v>8</v>
      </c>
      <c r="P360" s="67" t="s">
        <v>9</v>
      </c>
      <c r="Q360" s="51"/>
      <c r="R360" s="4"/>
    </row>
    <row r="361" spans="1:18">
      <c r="A361" s="1"/>
      <c r="B361" s="2"/>
      <c r="C361" s="8"/>
      <c r="D361" s="68"/>
      <c r="E361" s="69"/>
      <c r="F361" s="69"/>
      <c r="G361" s="69"/>
      <c r="H361" s="69"/>
      <c r="I361" s="69"/>
      <c r="J361" s="69"/>
      <c r="K361" s="69"/>
      <c r="L361" s="69"/>
      <c r="M361" s="70"/>
      <c r="N361" s="71">
        <f>+Hoja2!B$5</f>
        <v>5</v>
      </c>
      <c r="O361" s="71">
        <f>+Hoja2!C$5</f>
        <v>8</v>
      </c>
      <c r="P361" s="72">
        <f>+Hoja2!D$5</f>
        <v>2026</v>
      </c>
      <c r="Q361" s="73"/>
      <c r="R361" s="4"/>
    </row>
    <row r="362" spans="1:18">
      <c r="A362" s="1"/>
      <c r="B362" s="2"/>
      <c r="C362" s="8"/>
      <c r="D362" s="74"/>
      <c r="E362" s="37"/>
      <c r="F362" s="37"/>
      <c r="G362" s="37"/>
      <c r="H362" s="69"/>
      <c r="I362" s="69"/>
      <c r="J362" s="69"/>
      <c r="K362" s="20"/>
      <c r="L362" s="69"/>
      <c r="M362" s="75"/>
      <c r="N362" s="20"/>
      <c r="O362" s="20"/>
      <c r="P362" s="76"/>
      <c r="Q362" s="73"/>
      <c r="R362" s="4"/>
    </row>
    <row r="363" spans="1:18" ht="15.75" thickBot="1">
      <c r="A363" s="1"/>
      <c r="B363" s="2"/>
      <c r="C363" s="8"/>
      <c r="D363" s="77"/>
      <c r="E363" s="78"/>
      <c r="F363" s="78"/>
      <c r="G363" s="78"/>
      <c r="H363" s="78"/>
      <c r="I363" s="78"/>
      <c r="J363" s="78"/>
      <c r="K363" s="78"/>
      <c r="L363" s="78"/>
      <c r="M363" s="78"/>
      <c r="N363" s="78"/>
      <c r="O363" s="78"/>
      <c r="P363" s="79"/>
      <c r="Q363" s="13"/>
      <c r="R363" s="4"/>
    </row>
    <row r="364" spans="1:18" ht="15.75" thickBot="1">
      <c r="A364" s="1"/>
      <c r="B364" s="2"/>
      <c r="C364" s="8"/>
      <c r="D364" s="80"/>
      <c r="E364" s="81"/>
      <c r="F364" s="81"/>
      <c r="G364" s="81"/>
      <c r="H364" s="81"/>
      <c r="I364" s="81"/>
      <c r="J364" s="20"/>
      <c r="K364" s="20"/>
      <c r="L364" s="81"/>
      <c r="M364" s="81"/>
      <c r="N364" s="81"/>
      <c r="O364" s="81"/>
      <c r="P364" s="82"/>
      <c r="Q364" s="13"/>
      <c r="R364" s="4"/>
    </row>
    <row r="365" spans="1:18">
      <c r="A365" s="1"/>
      <c r="B365" s="2"/>
      <c r="C365" s="8"/>
      <c r="D365" s="83" t="s">
        <v>10</v>
      </c>
      <c r="E365" s="84"/>
      <c r="F365" s="84"/>
      <c r="G365" s="84"/>
      <c r="H365" s="84"/>
      <c r="I365" s="84"/>
      <c r="J365" s="84"/>
      <c r="K365" s="84"/>
      <c r="L365" s="84"/>
      <c r="M365" s="84"/>
      <c r="N365" s="84"/>
      <c r="O365" s="84"/>
      <c r="P365" s="85"/>
      <c r="Q365" s="86"/>
      <c r="R365" s="4"/>
    </row>
    <row r="366" spans="1:18" ht="15.75" thickBot="1">
      <c r="A366" s="1"/>
      <c r="B366" s="2"/>
      <c r="C366" s="8"/>
      <c r="D366" s="87"/>
      <c r="E366" s="20"/>
      <c r="F366" s="20"/>
      <c r="G366" s="20"/>
      <c r="H366" s="20"/>
      <c r="I366" s="20"/>
      <c r="J366" s="20"/>
      <c r="K366" s="20"/>
      <c r="L366" s="20"/>
      <c r="M366" s="20"/>
      <c r="N366" s="20"/>
      <c r="O366" s="20"/>
      <c r="P366" s="88"/>
      <c r="Q366" s="13"/>
      <c r="R366" s="4"/>
    </row>
    <row r="367" spans="1:18">
      <c r="A367" s="1" t="s">
        <v>11</v>
      </c>
      <c r="B367" s="2" t="s">
        <v>12</v>
      </c>
      <c r="C367" s="8"/>
      <c r="D367" s="89" t="s">
        <v>13</v>
      </c>
      <c r="E367" s="90" t="s">
        <v>14</v>
      </c>
      <c r="F367" s="90"/>
      <c r="G367" s="90"/>
      <c r="H367" s="90"/>
      <c r="I367" s="90"/>
      <c r="J367" s="90"/>
      <c r="K367" s="90"/>
      <c r="L367" s="90"/>
      <c r="M367" s="90"/>
      <c r="N367" s="91" t="s">
        <v>15</v>
      </c>
      <c r="O367" s="91"/>
      <c r="P367" s="92" t="s">
        <v>16</v>
      </c>
      <c r="Q367" s="93"/>
      <c r="R367" s="4"/>
    </row>
    <row r="368" spans="1:18" ht="15.75" thickBot="1">
      <c r="A368" s="1"/>
      <c r="B368" s="2"/>
      <c r="C368" s="8"/>
      <c r="D368" s="349">
        <f>+'PRESUPUESTO OFICIAL '!C96</f>
        <v>9.01</v>
      </c>
      <c r="E368" s="94" t="str">
        <f>+VLOOKUP(D368,'PRESUPUESTO OFICIAL '!C:H,2,FALSE)</f>
        <v>SUMINISTRO E INSTALACIÓN DE PUERTA EN LÁMINA CAL. 18.</v>
      </c>
      <c r="F368" s="94"/>
      <c r="G368" s="94"/>
      <c r="H368" s="94"/>
      <c r="I368" s="94"/>
      <c r="J368" s="94"/>
      <c r="K368" s="94"/>
      <c r="L368" s="94"/>
      <c r="M368" s="94"/>
      <c r="N368" s="94" t="str">
        <f>+VLOOKUP(D368,'PRESUPUESTO OFICIAL '!C:H,3,FALSE)</f>
        <v>M2</v>
      </c>
      <c r="O368" s="95"/>
      <c r="P368" s="96">
        <f>+VLOOKUP(D368,'PRESUPUESTO OFICIAL '!C:H,4,FALSE)</f>
        <v>38.24</v>
      </c>
      <c r="Q368" s="97"/>
      <c r="R368" s="98">
        <f>+P420</f>
        <v>442755</v>
      </c>
    </row>
    <row r="369" spans="1:18" ht="15.75" thickBot="1">
      <c r="A369" s="1"/>
      <c r="B369" s="2"/>
      <c r="C369" s="8"/>
      <c r="D369" s="74" t="s">
        <v>17</v>
      </c>
      <c r="E369" s="37"/>
      <c r="F369" s="37"/>
      <c r="G369" s="37"/>
      <c r="H369" s="37"/>
      <c r="I369" s="37"/>
      <c r="J369" s="37"/>
      <c r="K369" s="37"/>
      <c r="L369" s="37"/>
      <c r="M369" s="37"/>
      <c r="N369" s="37"/>
      <c r="O369" s="37"/>
      <c r="P369" s="99"/>
      <c r="Q369" s="100"/>
      <c r="R369" s="4"/>
    </row>
    <row r="370" spans="1:18">
      <c r="A370" s="1"/>
      <c r="B370" s="2"/>
      <c r="C370" s="8"/>
      <c r="D370" s="101" t="s">
        <v>14</v>
      </c>
      <c r="E370" s="102"/>
      <c r="F370" s="102"/>
      <c r="G370" s="102"/>
      <c r="H370" s="103"/>
      <c r="I370" s="104" t="s">
        <v>18</v>
      </c>
      <c r="J370" s="102"/>
      <c r="K370" s="104" t="s">
        <v>19</v>
      </c>
      <c r="L370" s="105"/>
      <c r="M370" s="106" t="s">
        <v>20</v>
      </c>
      <c r="N370" s="104" t="s">
        <v>21</v>
      </c>
      <c r="O370" s="105"/>
      <c r="P370" s="107" t="s">
        <v>22</v>
      </c>
      <c r="Q370" s="108"/>
      <c r="R370" s="4"/>
    </row>
    <row r="371" spans="1:18">
      <c r="A371" s="1" t="e">
        <f>[239]INDICE!#REF!</f>
        <v>#REF!</v>
      </c>
      <c r="B371" s="2" t="s">
        <v>23</v>
      </c>
      <c r="C371" s="8"/>
      <c r="D371" s="109" t="str">
        <f>IFERROR(INDEX([240]EQUIPOS!B:B,MATCH(B371,[240]EQUIPOS!A:A,0)),"")</f>
        <v>HERRAMIENTA MENOR (% M.O)</v>
      </c>
      <c r="E371" s="110"/>
      <c r="F371" s="110"/>
      <c r="G371" s="110"/>
      <c r="H371" s="111"/>
      <c r="I371" s="112"/>
      <c r="J371" s="111"/>
      <c r="K371" s="113" t="str">
        <f>IFERROR(INDEX([240]EQUIPOS!C:C,MATCH(B371,[240]EQUIPOS!A:A,0)),"")</f>
        <v>%</v>
      </c>
      <c r="L371" s="114"/>
      <c r="M371" s="115">
        <f>IFERROR(IF(D371="HERRAMIENTA MENOR (% M.O)",P410,INDEX([240]EQUIPOS!D:D,MATCH(B371,[240]EQUIPOS!A:A,0))),"")</f>
        <v>114215.96</v>
      </c>
      <c r="N371" s="116">
        <v>10</v>
      </c>
      <c r="O371" s="117"/>
      <c r="P371" s="118">
        <f t="shared" ref="P371:P376" si="12">IFERROR(ROUND(IF(D371="HERRAMIENTA MENOR (% M.O)",N371%*M371,M371/N371),2)," ")</f>
        <v>11421.6</v>
      </c>
      <c r="Q371" s="119"/>
      <c r="R371" s="4"/>
    </row>
    <row r="372" spans="1:18">
      <c r="A372" s="1">
        <f>+$A$1691</f>
        <v>0</v>
      </c>
      <c r="B372" s="2" t="s">
        <v>264</v>
      </c>
      <c r="C372" s="8"/>
      <c r="D372" s="109" t="str">
        <f>IFERROR(INDEX([240]EQUIPOS!B:B,MATCH(B372,[240]EQUIPOS!A:A,0)),"")</f>
        <v>PULIDORA</v>
      </c>
      <c r="E372" s="110"/>
      <c r="F372" s="110"/>
      <c r="G372" s="110"/>
      <c r="H372" s="111"/>
      <c r="I372" s="112"/>
      <c r="J372" s="111"/>
      <c r="K372" s="113" t="str">
        <f>IFERROR(INDEX([240]EQUIPOS!C:C,MATCH(B372,[240]EQUIPOS!A:A,0)),"")</f>
        <v>DIA</v>
      </c>
      <c r="L372" s="114"/>
      <c r="M372" s="115">
        <f>IFERROR(IF(D372="HERRAMIENTA MENOR (% M.O)",P411,INDEX([240]EQUIPOS!D:D,MATCH(B372,[240]EQUIPOS!A:A,0))),"")</f>
        <v>45000</v>
      </c>
      <c r="N372" s="116">
        <v>14.28</v>
      </c>
      <c r="O372" s="117"/>
      <c r="P372" s="118">
        <f t="shared" si="12"/>
        <v>3151.26</v>
      </c>
      <c r="Q372" s="119"/>
      <c r="R372" s="4"/>
    </row>
    <row r="373" spans="1:18">
      <c r="A373" s="1">
        <f t="shared" ref="A373:A411" si="13">+A372</f>
        <v>0</v>
      </c>
      <c r="B373" s="2" t="s">
        <v>342</v>
      </c>
      <c r="C373" s="8"/>
      <c r="D373" s="109" t="str">
        <f>IFERROR(INDEX([240]EQUIPOS!B:B,MATCH(B373,[240]EQUIPOS!A:A,0)),"")</f>
        <v>TALADRO</v>
      </c>
      <c r="E373" s="110"/>
      <c r="F373" s="110"/>
      <c r="G373" s="110"/>
      <c r="H373" s="111"/>
      <c r="I373" s="120"/>
      <c r="J373" s="121"/>
      <c r="K373" s="113" t="str">
        <f>IFERROR(INDEX([240]EQUIPOS!C:C,MATCH(B373,[240]EQUIPOS!A:A,0)),"")</f>
        <v>DIA</v>
      </c>
      <c r="L373" s="114"/>
      <c r="M373" s="115">
        <f>IFERROR(IF(D373="HERRAMIENTA MENOR (% M.O)",P412,INDEX([240]EQUIPOS!D:D,MATCH(B373,[240]EQUIPOS!A:A,0))),"")</f>
        <v>36968</v>
      </c>
      <c r="N373" s="116">
        <v>40</v>
      </c>
      <c r="O373" s="117"/>
      <c r="P373" s="118">
        <f t="shared" si="12"/>
        <v>924.2</v>
      </c>
      <c r="Q373" s="119"/>
      <c r="R373" s="4"/>
    </row>
    <row r="374" spans="1:18">
      <c r="A374" s="1">
        <f t="shared" si="13"/>
        <v>0</v>
      </c>
      <c r="B374" s="2" t="s">
        <v>278</v>
      </c>
      <c r="C374" s="8"/>
      <c r="D374" s="109" t="str">
        <f>IFERROR(INDEX([240]EQUIPOS!B:B,MATCH(B374,[240]EQUIPOS!A:A,0)),"")</f>
        <v>EQUIPO DE SOLDADURA</v>
      </c>
      <c r="E374" s="110"/>
      <c r="F374" s="110"/>
      <c r="G374" s="110"/>
      <c r="H374" s="111"/>
      <c r="I374" s="120"/>
      <c r="J374" s="121"/>
      <c r="K374" s="113" t="str">
        <f>IFERROR(INDEX([240]EQUIPOS!C:C,MATCH(B374,[240]EQUIPOS!A:A,0)),"")</f>
        <v>DIA</v>
      </c>
      <c r="L374" s="114"/>
      <c r="M374" s="115">
        <f>IFERROR(IF(D374="HERRAMIENTA MENOR (% M.O)",P413,INDEX([240]EQUIPOS!D:D,MATCH(B374,[240]EQUIPOS!A:A,0))),"")</f>
        <v>80000</v>
      </c>
      <c r="N374" s="116">
        <v>8</v>
      </c>
      <c r="O374" s="117"/>
      <c r="P374" s="118">
        <f t="shared" si="12"/>
        <v>10000</v>
      </c>
      <c r="Q374" s="119"/>
      <c r="R374" s="4"/>
    </row>
    <row r="375" spans="1:18">
      <c r="A375" s="1">
        <f t="shared" si="13"/>
        <v>0</v>
      </c>
      <c r="B375" s="2" t="s">
        <v>339</v>
      </c>
      <c r="C375" s="8"/>
      <c r="D375" s="109" t="str">
        <f>IFERROR(INDEX([240]EQUIPOS!B:B,MATCH(B375,[240]EQUIPOS!A:A,0)),"")</f>
        <v>COMPRESOR DE PINTURA</v>
      </c>
      <c r="E375" s="110"/>
      <c r="F375" s="110"/>
      <c r="G375" s="110"/>
      <c r="H375" s="111"/>
      <c r="I375" s="112"/>
      <c r="J375" s="111"/>
      <c r="K375" s="113" t="str">
        <f>IFERROR(INDEX([240]EQUIPOS!C:C,MATCH(B375,[240]EQUIPOS!A:A,0)),"")</f>
        <v>DIA</v>
      </c>
      <c r="L375" s="114"/>
      <c r="M375" s="115">
        <f>IFERROR(IF(D375="HERRAMIENTA MENOR (% M.O)",P414,INDEX([240]EQUIPOS!D:D,MATCH(B375,[240]EQUIPOS!A:A,0))),"")</f>
        <v>90792</v>
      </c>
      <c r="N375" s="116">
        <v>53.33</v>
      </c>
      <c r="O375" s="117"/>
      <c r="P375" s="118">
        <f t="shared" si="12"/>
        <v>1702.46</v>
      </c>
      <c r="Q375" s="119"/>
      <c r="R375" s="4"/>
    </row>
    <row r="376" spans="1:18" ht="15.75" thickBot="1">
      <c r="A376" s="1">
        <f t="shared" si="13"/>
        <v>0</v>
      </c>
      <c r="B376" s="2"/>
      <c r="C376" s="8"/>
      <c r="D376" s="109" t="str">
        <f>IFERROR(INDEX([240]EQUIPOS!B:B,MATCH(B376,[240]EQUIPOS!A:A,0)),"")</f>
        <v/>
      </c>
      <c r="E376" s="78"/>
      <c r="F376" s="78"/>
      <c r="G376" s="78"/>
      <c r="H376" s="122"/>
      <c r="I376" s="123"/>
      <c r="J376" s="122"/>
      <c r="K376" s="113" t="str">
        <f>IFERROR(INDEX([240]EQUIPOS!C:C,MATCH(B376,[240]EQUIPOS!A:A,0)),"")</f>
        <v/>
      </c>
      <c r="L376" s="124"/>
      <c r="M376" s="115" t="str">
        <f>IFERROR(IF(D376="HERRAMIENTA MENOR (% M.O)",P415,INDEX([240]EQUIPOS!D:D,MATCH(B376,[240]EQUIPOS!A:A,0))),"")</f>
        <v/>
      </c>
      <c r="N376" s="125"/>
      <c r="O376" s="126"/>
      <c r="P376" s="127" t="str">
        <f t="shared" si="12"/>
        <v xml:space="preserve"> </v>
      </c>
      <c r="Q376" s="119"/>
      <c r="R376" s="4"/>
    </row>
    <row r="377" spans="1:18" ht="15.75" thickBot="1">
      <c r="A377" s="1">
        <f t="shared" si="13"/>
        <v>0</v>
      </c>
      <c r="B377" s="2"/>
      <c r="C377" s="8"/>
      <c r="D377" s="128" t="s">
        <v>24</v>
      </c>
      <c r="E377" s="129"/>
      <c r="F377" s="129"/>
      <c r="G377" s="129"/>
      <c r="H377" s="129"/>
      <c r="I377" s="129"/>
      <c r="J377" s="129"/>
      <c r="K377" s="129"/>
      <c r="L377" s="129"/>
      <c r="M377" s="129"/>
      <c r="N377" s="129"/>
      <c r="O377" s="130"/>
      <c r="P377" s="131">
        <f>SUM(P371:P376)</f>
        <v>27199.52</v>
      </c>
      <c r="Q377" s="132"/>
      <c r="R377" s="4"/>
    </row>
    <row r="378" spans="1:18" ht="15.75" thickBot="1">
      <c r="A378" s="1">
        <f t="shared" si="13"/>
        <v>0</v>
      </c>
      <c r="B378" s="2"/>
      <c r="C378" s="8"/>
      <c r="D378" s="74" t="s">
        <v>25</v>
      </c>
      <c r="E378" s="37"/>
      <c r="F378" s="37"/>
      <c r="G378" s="37"/>
      <c r="H378" s="37"/>
      <c r="I378" s="37"/>
      <c r="J378" s="37"/>
      <c r="K378" s="37"/>
      <c r="L378" s="37"/>
      <c r="M378" s="37"/>
      <c r="N378" s="37"/>
      <c r="O378" s="37"/>
      <c r="P378" s="99"/>
      <c r="Q378" s="100"/>
      <c r="R378" s="4"/>
    </row>
    <row r="379" spans="1:18">
      <c r="A379" s="1">
        <f t="shared" si="13"/>
        <v>0</v>
      </c>
      <c r="B379" s="2"/>
      <c r="C379" s="8"/>
      <c r="D379" s="101" t="s">
        <v>14</v>
      </c>
      <c r="E379" s="133"/>
      <c r="F379" s="133"/>
      <c r="G379" s="133"/>
      <c r="H379" s="133"/>
      <c r="I379" s="133"/>
      <c r="J379" s="133"/>
      <c r="K379" s="105"/>
      <c r="L379" s="134" t="s">
        <v>15</v>
      </c>
      <c r="M379" s="106" t="s">
        <v>16</v>
      </c>
      <c r="N379" s="104" t="s">
        <v>26</v>
      </c>
      <c r="O379" s="105"/>
      <c r="P379" s="107" t="s">
        <v>22</v>
      </c>
      <c r="Q379" s="108"/>
      <c r="R379" s="4"/>
    </row>
    <row r="380" spans="1:18">
      <c r="A380" s="1">
        <f t="shared" si="13"/>
        <v>0</v>
      </c>
      <c r="B380" s="2" t="s">
        <v>353</v>
      </c>
      <c r="C380" s="8"/>
      <c r="D380" s="109" t="str">
        <f>IFERROR(INDEX([240]MATERIALES!C:C,MATCH(B380,[240]MATERIALES!B:B,0)),"")</f>
        <v>LAMINA COLL ROLLED CAL 18 (0,85mm) 1x2 m</v>
      </c>
      <c r="E380" s="135"/>
      <c r="F380" s="135"/>
      <c r="G380" s="135"/>
      <c r="H380" s="135"/>
      <c r="I380" s="135"/>
      <c r="J380" s="135"/>
      <c r="K380" s="136"/>
      <c r="L380" s="137" t="str">
        <f>IFERROR(INDEX([240]MATERIALES!D:D,MATCH(B380,[240]MATERIALES!B:B,0)),"")</f>
        <v>UND</v>
      </c>
      <c r="M380" s="138">
        <v>0.7</v>
      </c>
      <c r="N380" s="139">
        <f>IFERROR(INDEX([240]MATERIALES!P:P,MATCH(B380,[240]MATERIALES!B:B,0)),"")</f>
        <v>126500</v>
      </c>
      <c r="O380" s="140"/>
      <c r="P380" s="118">
        <f>IFERROR(ROUND(N380*M380,2),"")</f>
        <v>88550</v>
      </c>
      <c r="Q380" s="119"/>
      <c r="R380" s="4"/>
    </row>
    <row r="381" spans="1:18">
      <c r="A381" s="1">
        <f t="shared" si="13"/>
        <v>0</v>
      </c>
      <c r="B381" s="2" t="s">
        <v>354</v>
      </c>
      <c r="C381" s="8"/>
      <c r="D381" s="109" t="str">
        <f>IFERROR(INDEX([240]MATERIALES!C:C,MATCH(B381,[240]MATERIALES!B:B,0)),"")</f>
        <v>PERFIL M225 DE 10 cm CAL. 18</v>
      </c>
      <c r="E381" s="135"/>
      <c r="F381" s="135"/>
      <c r="G381" s="135"/>
      <c r="H381" s="135"/>
      <c r="I381" s="135"/>
      <c r="J381" s="135"/>
      <c r="K381" s="136"/>
      <c r="L381" s="137" t="str">
        <f>IFERROR(INDEX([240]MATERIALES!D:D,MATCH(B381,[240]MATERIALES!B:B,0)),"")</f>
        <v>M</v>
      </c>
      <c r="M381" s="138">
        <v>0.05</v>
      </c>
      <c r="N381" s="139">
        <f>IFERROR(INDEX([240]MATERIALES!P:P,MATCH(B381,[240]MATERIALES!B:B,0)),"")</f>
        <v>15750</v>
      </c>
      <c r="O381" s="140"/>
      <c r="P381" s="118">
        <f>IFERROR(ROUND(N381*M381,2),"")</f>
        <v>787.5</v>
      </c>
      <c r="Q381" s="119"/>
      <c r="R381" s="4"/>
    </row>
    <row r="382" spans="1:18">
      <c r="A382" s="1">
        <f t="shared" si="13"/>
        <v>0</v>
      </c>
      <c r="B382" s="2" t="s">
        <v>355</v>
      </c>
      <c r="C382" s="8"/>
      <c r="D382" s="109" t="str">
        <f>IFERROR(INDEX([240]MATERIALES!C:C,MATCH(B382,[240]MATERIALES!B:B,0)),"")</f>
        <v>TUBO CUADRADO 1" x 1" CAL.18</v>
      </c>
      <c r="E382" s="110"/>
      <c r="F382" s="110"/>
      <c r="G382" s="110"/>
      <c r="H382" s="110"/>
      <c r="I382" s="110"/>
      <c r="J382" s="110"/>
      <c r="K382" s="111"/>
      <c r="L382" s="137" t="str">
        <f>IFERROR(INDEX([240]MATERIALES!D:D,MATCH(B382,[240]MATERIALES!B:B,0)),"")</f>
        <v>M</v>
      </c>
      <c r="M382" s="138">
        <v>3</v>
      </c>
      <c r="N382" s="139">
        <f>IFERROR(INDEX([240]MATERIALES!P:P,MATCH(B382,[240]MATERIALES!B:B,0)),"")</f>
        <v>7350</v>
      </c>
      <c r="O382" s="140"/>
      <c r="P382" s="118">
        <f>IFERROR(ROUND(N382*M382,2),"")</f>
        <v>22050</v>
      </c>
      <c r="Q382" s="119"/>
      <c r="R382" s="4"/>
    </row>
    <row r="383" spans="1:18">
      <c r="A383" s="1">
        <f t="shared" si="13"/>
        <v>0</v>
      </c>
      <c r="B383" s="2" t="s">
        <v>356</v>
      </c>
      <c r="C383" s="8"/>
      <c r="D383" s="109" t="str">
        <f>IFERROR(INDEX([240]MATERIALES!C:C,MATCH(B383,[240]MATERIALES!B:B,0)),"")</f>
        <v>BISAGRA COMÚN 3"</v>
      </c>
      <c r="E383" s="110"/>
      <c r="F383" s="110"/>
      <c r="G383" s="110"/>
      <c r="H383" s="110"/>
      <c r="I383" s="110"/>
      <c r="J383" s="110"/>
      <c r="K383" s="111"/>
      <c r="L383" s="137" t="str">
        <f>IFERROR(INDEX([240]MATERIALES!D:D,MATCH(B383,[240]MATERIALES!B:B,0)),"")</f>
        <v>UND</v>
      </c>
      <c r="M383" s="138">
        <v>1.5</v>
      </c>
      <c r="N383" s="139">
        <f>IFERROR(INDEX([240]MATERIALES!P:P,MATCH(B383,[240]MATERIALES!B:B,0)),"")</f>
        <v>3622.32</v>
      </c>
      <c r="O383" s="140"/>
      <c r="P383" s="118">
        <f>IFERROR(ROUND(N383*M383,2),"")</f>
        <v>5433.48</v>
      </c>
      <c r="Q383" s="119"/>
      <c r="R383" s="4"/>
    </row>
    <row r="384" spans="1:18">
      <c r="A384" s="1">
        <f t="shared" si="13"/>
        <v>0</v>
      </c>
      <c r="B384" s="2" t="s">
        <v>357</v>
      </c>
      <c r="C384" s="8"/>
      <c r="D384" s="109" t="str">
        <f>IFERROR(INDEX([240]MATERIALES!C:C,MATCH(B384,[240]MATERIALES!B:B,0)),"")</f>
        <v>PASADOR MANUAL ROBUSTO METALICO 2 1/2" (6,30 cm) TOP FORGE PF0208</v>
      </c>
      <c r="E384" s="110"/>
      <c r="F384" s="110"/>
      <c r="G384" s="110"/>
      <c r="H384" s="110"/>
      <c r="I384" s="110"/>
      <c r="J384" s="110"/>
      <c r="K384" s="111"/>
      <c r="L384" s="137" t="str">
        <f>IFERROR(INDEX([240]MATERIALES!D:D,MATCH(B384,[240]MATERIALES!B:B,0)),"")</f>
        <v>UND</v>
      </c>
      <c r="M384" s="138">
        <v>0.5</v>
      </c>
      <c r="N384" s="139">
        <f>IFERROR(INDEX([240]MATERIALES!P:P,MATCH(B384,[240]MATERIALES!B:B,0)),"")</f>
        <v>10000</v>
      </c>
      <c r="O384" s="140"/>
      <c r="P384" s="118">
        <f t="shared" ref="P384:P393" si="14">IFERROR(ROUND(N384*M384,2),"")</f>
        <v>5000</v>
      </c>
      <c r="Q384" s="119"/>
      <c r="R384" s="4"/>
    </row>
    <row r="385" spans="1:18">
      <c r="A385" s="1">
        <f t="shared" si="13"/>
        <v>0</v>
      </c>
      <c r="B385" s="2" t="s">
        <v>358</v>
      </c>
      <c r="C385" s="8"/>
      <c r="D385" s="109" t="str">
        <f>IFERROR(INDEX([240]MATERIALES!C:C,MATCH(B385,[240]MATERIALES!B:B,0)),"")</f>
        <v>MASILLA PLÁSTICA  PANEL TEC X CUÑETE (27 KG)</v>
      </c>
      <c r="E385" s="110"/>
      <c r="F385" s="110"/>
      <c r="G385" s="110"/>
      <c r="H385" s="110"/>
      <c r="I385" s="110"/>
      <c r="J385" s="110"/>
      <c r="K385" s="111"/>
      <c r="L385" s="137" t="str">
        <f>IFERROR(INDEX([240]MATERIALES!D:D,MATCH(B385,[240]MATERIALES!B:B,0)),"")</f>
        <v>UND</v>
      </c>
      <c r="M385" s="352">
        <v>5.5E-2</v>
      </c>
      <c r="N385" s="139">
        <f>IFERROR(INDEX([240]MATERIALES!P:P,MATCH(B385,[240]MATERIALES!B:B,0)),"")</f>
        <v>67738.66</v>
      </c>
      <c r="O385" s="140"/>
      <c r="P385" s="118">
        <f t="shared" si="14"/>
        <v>3725.63</v>
      </c>
      <c r="Q385" s="119"/>
      <c r="R385" s="4"/>
    </row>
    <row r="386" spans="1:18">
      <c r="A386" s="1">
        <f t="shared" si="13"/>
        <v>0</v>
      </c>
      <c r="B386" s="2" t="s">
        <v>280</v>
      </c>
      <c r="C386" s="8"/>
      <c r="D386" s="109" t="str">
        <f>IFERROR(INDEX([240]MATERIALES!C:C,MATCH(B386,[240]MATERIALES!B:B,0)),"")</f>
        <v>SOLDADURA ELÉCTRICA 6013</v>
      </c>
      <c r="E386" s="110"/>
      <c r="F386" s="110"/>
      <c r="G386" s="110"/>
      <c r="H386" s="110"/>
      <c r="I386" s="110"/>
      <c r="J386" s="110"/>
      <c r="K386" s="111"/>
      <c r="L386" s="137" t="str">
        <f>IFERROR(INDEX([240]MATERIALES!D:D,MATCH(B386,[240]MATERIALES!B:B,0)),"")</f>
        <v>KG</v>
      </c>
      <c r="M386" s="138">
        <v>0.7</v>
      </c>
      <c r="N386" s="139">
        <f>IFERROR(INDEX([240]MATERIALES!P:P,MATCH(B386,[240]MATERIALES!B:B,0)),"")</f>
        <v>27600</v>
      </c>
      <c r="O386" s="140"/>
      <c r="P386" s="118">
        <f t="shared" si="14"/>
        <v>19320</v>
      </c>
      <c r="Q386" s="119"/>
      <c r="R386" s="4"/>
    </row>
    <row r="387" spans="1:18">
      <c r="A387" s="1">
        <f t="shared" si="13"/>
        <v>0</v>
      </c>
      <c r="B387" s="2" t="s">
        <v>281</v>
      </c>
      <c r="C387" s="8"/>
      <c r="D387" s="109" t="str">
        <f>IFERROR(INDEX([240]MATERIALES!C:C,MATCH(B387,[240]MATERIALES!B:B,0)),"")</f>
        <v>DISCO CORTE DE METAL 7"</v>
      </c>
      <c r="E387" s="110"/>
      <c r="F387" s="110"/>
      <c r="G387" s="110"/>
      <c r="H387" s="110"/>
      <c r="I387" s="110"/>
      <c r="J387" s="110"/>
      <c r="K387" s="111"/>
      <c r="L387" s="137" t="str">
        <f>IFERROR(INDEX([240]MATERIALES!D:D,MATCH(B387,[240]MATERIALES!B:B,0)),"")</f>
        <v>UND</v>
      </c>
      <c r="M387" s="138">
        <v>0.3</v>
      </c>
      <c r="N387" s="139">
        <f>IFERROR(INDEX([240]MATERIALES!P:P,MATCH(B387,[240]MATERIALES!B:B,0)),"")</f>
        <v>9200</v>
      </c>
      <c r="O387" s="140"/>
      <c r="P387" s="118">
        <f t="shared" si="14"/>
        <v>2760</v>
      </c>
      <c r="Q387" s="119"/>
      <c r="R387" s="4"/>
    </row>
    <row r="388" spans="1:18">
      <c r="A388" s="1">
        <f t="shared" si="13"/>
        <v>0</v>
      </c>
      <c r="B388" s="2" t="s">
        <v>359</v>
      </c>
      <c r="C388" s="8"/>
      <c r="D388" s="109" t="str">
        <f>IFERROR(INDEX([240]MATERIALES!C:C,MATCH(B388,[240]MATERIALES!B:B,0)),"")</f>
        <v>ANTICORROSIVO PRIMER</v>
      </c>
      <c r="E388" s="110"/>
      <c r="F388" s="110"/>
      <c r="G388" s="110"/>
      <c r="H388" s="110"/>
      <c r="I388" s="110"/>
      <c r="J388" s="110"/>
      <c r="K388" s="111"/>
      <c r="L388" s="137" t="str">
        <f>IFERROR(INDEX([240]MATERIALES!D:D,MATCH(B388,[240]MATERIALES!B:B,0)),"")</f>
        <v>GAL</v>
      </c>
      <c r="M388" s="138">
        <v>0.1</v>
      </c>
      <c r="N388" s="139">
        <f>IFERROR(INDEX([240]MATERIALES!P:P,MATCH(B388,[240]MATERIALES!B:B,0)),"")</f>
        <v>142916.28</v>
      </c>
      <c r="O388" s="140"/>
      <c r="P388" s="118">
        <f t="shared" si="14"/>
        <v>14291.63</v>
      </c>
      <c r="Q388" s="119"/>
      <c r="R388" s="4"/>
    </row>
    <row r="389" spans="1:18">
      <c r="A389" s="1">
        <f t="shared" si="13"/>
        <v>0</v>
      </c>
      <c r="B389" s="2" t="s">
        <v>284</v>
      </c>
      <c r="C389" s="8"/>
      <c r="D389" s="109" t="str">
        <f>IFERROR(INDEX([240]MATERIALES!C:C,MATCH(B389,[240]MATERIALES!B:B,0)),"")</f>
        <v>PINTURA ESMALTE SINTÉTICO TIPO I</v>
      </c>
      <c r="E389" s="110"/>
      <c r="F389" s="110"/>
      <c r="G389" s="110"/>
      <c r="H389" s="110"/>
      <c r="I389" s="110"/>
      <c r="J389" s="110"/>
      <c r="K389" s="111"/>
      <c r="L389" s="137" t="str">
        <f>IFERROR(INDEX([240]MATERIALES!D:D,MATCH(B389,[240]MATERIALES!B:B,0)),"")</f>
        <v>GAL</v>
      </c>
      <c r="M389" s="138">
        <v>0.1</v>
      </c>
      <c r="N389" s="139">
        <f>IFERROR(INDEX([240]MATERIALES!P:P,MATCH(B389,[240]MATERIALES!B:B,0)),"")</f>
        <v>96598.66</v>
      </c>
      <c r="O389" s="140"/>
      <c r="P389" s="118">
        <f t="shared" si="14"/>
        <v>9659.8700000000008</v>
      </c>
      <c r="Q389" s="119"/>
      <c r="R389" s="4"/>
    </row>
    <row r="390" spans="1:18">
      <c r="A390" s="1">
        <f t="shared" si="13"/>
        <v>0</v>
      </c>
      <c r="B390" s="2" t="s">
        <v>360</v>
      </c>
      <c r="C390" s="8"/>
      <c r="D390" s="109" t="str">
        <f>IFERROR(INDEX([240]MATERIALES!C:C,MATCH(B390,[240]MATERIALES!B:B,0)),"")</f>
        <v>MORTERO 1:3</v>
      </c>
      <c r="E390" s="110"/>
      <c r="F390" s="110"/>
      <c r="G390" s="110"/>
      <c r="H390" s="110"/>
      <c r="I390" s="110"/>
      <c r="J390" s="110"/>
      <c r="K390" s="111"/>
      <c r="L390" s="137" t="str">
        <f>IFERROR(INDEX([240]MATERIALES!D:D,MATCH(B390,[240]MATERIALES!B:B,0)),"")</f>
        <v>M3</v>
      </c>
      <c r="M390" s="352">
        <v>1.4999999999999999E-2</v>
      </c>
      <c r="N390" s="139">
        <f>IFERROR(INDEX([240]MATERIALES!P:P,MATCH(B390,[240]MATERIALES!B:B,0)),"")</f>
        <v>719116.57</v>
      </c>
      <c r="O390" s="140"/>
      <c r="P390" s="118">
        <f t="shared" si="14"/>
        <v>10786.75</v>
      </c>
      <c r="Q390" s="119"/>
      <c r="R390" s="4"/>
    </row>
    <row r="391" spans="1:18">
      <c r="A391" s="1">
        <f t="shared" si="13"/>
        <v>0</v>
      </c>
      <c r="B391" s="2"/>
      <c r="C391" s="8"/>
      <c r="D391" s="109" t="str">
        <f>IFERROR(INDEX([240]MATERIALES!C:C,MATCH(B391,[240]MATERIALES!B:B,0)),"")</f>
        <v/>
      </c>
      <c r="E391" s="110"/>
      <c r="F391" s="110"/>
      <c r="G391" s="110"/>
      <c r="H391" s="110"/>
      <c r="I391" s="110"/>
      <c r="J391" s="110"/>
      <c r="K391" s="111"/>
      <c r="L391" s="137" t="str">
        <f>IFERROR(INDEX([240]MATERIALES!D:D,MATCH(B391,[240]MATERIALES!B:B,0)),"")</f>
        <v/>
      </c>
      <c r="M391" s="138"/>
      <c r="N391" s="139" t="str">
        <f>IFERROR(INDEX([240]MATERIALES!P:P,MATCH(B391,[240]MATERIALES!B:B,0)),"")</f>
        <v/>
      </c>
      <c r="O391" s="140"/>
      <c r="P391" s="118" t="str">
        <f t="shared" si="14"/>
        <v/>
      </c>
      <c r="Q391" s="119"/>
      <c r="R391" s="4"/>
    </row>
    <row r="392" spans="1:18">
      <c r="A392" s="1">
        <f t="shared" si="13"/>
        <v>0</v>
      </c>
      <c r="B392" s="2"/>
      <c r="C392" s="8"/>
      <c r="D392" s="109" t="str">
        <f>IFERROR(INDEX([240]MATERIALES!C:C,MATCH(B392,[240]MATERIALES!B:B,0)),"")</f>
        <v/>
      </c>
      <c r="E392" s="110"/>
      <c r="F392" s="110"/>
      <c r="G392" s="110"/>
      <c r="H392" s="110"/>
      <c r="I392" s="110"/>
      <c r="J392" s="110"/>
      <c r="K392" s="111"/>
      <c r="L392" s="137" t="str">
        <f>IFERROR(INDEX([240]MATERIALES!D:D,MATCH(B392,[240]MATERIALES!B:B,0)),"")</f>
        <v/>
      </c>
      <c r="M392" s="138"/>
      <c r="N392" s="139" t="str">
        <f>IFERROR(INDEX([240]MATERIALES!P:P,MATCH(B392,[240]MATERIALES!B:B,0)),"")</f>
        <v/>
      </c>
      <c r="O392" s="140"/>
      <c r="P392" s="118" t="str">
        <f t="shared" si="14"/>
        <v/>
      </c>
      <c r="Q392" s="119"/>
      <c r="R392" s="4"/>
    </row>
    <row r="393" spans="1:18">
      <c r="A393" s="1">
        <f t="shared" si="13"/>
        <v>0</v>
      </c>
      <c r="B393" s="2"/>
      <c r="C393" s="8"/>
      <c r="D393" s="109" t="str">
        <f>IFERROR(INDEX([240]MATERIALES!C:C,MATCH(B393,[240]MATERIALES!B:B,0)),"")</f>
        <v/>
      </c>
      <c r="E393" s="110"/>
      <c r="F393" s="110"/>
      <c r="G393" s="110"/>
      <c r="H393" s="110"/>
      <c r="I393" s="110"/>
      <c r="J393" s="110"/>
      <c r="K393" s="111"/>
      <c r="L393" s="137" t="str">
        <f>IFERROR(INDEX([240]MATERIALES!D:D,MATCH(B393,[240]MATERIALES!B:B,0)),"")</f>
        <v/>
      </c>
      <c r="M393" s="138"/>
      <c r="N393" s="139" t="str">
        <f>IFERROR(INDEX([240]MATERIALES!P:P,MATCH(B393,[240]MATERIALES!B:B,0)),"")</f>
        <v/>
      </c>
      <c r="O393" s="140"/>
      <c r="P393" s="118" t="str">
        <f t="shared" si="14"/>
        <v/>
      </c>
      <c r="Q393" s="119"/>
      <c r="R393" s="4"/>
    </row>
    <row r="394" spans="1:18" ht="15.75" thickBot="1">
      <c r="A394" s="1">
        <f t="shared" si="13"/>
        <v>0</v>
      </c>
      <c r="B394" s="2"/>
      <c r="C394" s="8"/>
      <c r="D394" s="109" t="s">
        <v>28</v>
      </c>
      <c r="E394" s="110"/>
      <c r="F394" s="110"/>
      <c r="G394" s="110"/>
      <c r="H394" s="110"/>
      <c r="I394" s="110"/>
      <c r="J394" s="110"/>
      <c r="K394" s="111"/>
      <c r="L394" s="137" t="s">
        <v>29</v>
      </c>
      <c r="M394" s="138">
        <v>0.05</v>
      </c>
      <c r="N394" s="139">
        <f>SUM(P380:P393)</f>
        <v>182364.86</v>
      </c>
      <c r="O394" s="140"/>
      <c r="P394" s="118">
        <f>ROUND(N394*M394,2)</f>
        <v>9118.24</v>
      </c>
      <c r="Q394" s="119"/>
      <c r="R394" s="4"/>
    </row>
    <row r="395" spans="1:18" ht="15.75" thickBot="1">
      <c r="A395" s="1">
        <f t="shared" si="13"/>
        <v>0</v>
      </c>
      <c r="B395" s="2"/>
      <c r="C395" s="8"/>
      <c r="D395" s="128" t="s">
        <v>24</v>
      </c>
      <c r="E395" s="129"/>
      <c r="F395" s="129"/>
      <c r="G395" s="129"/>
      <c r="H395" s="129"/>
      <c r="I395" s="129"/>
      <c r="J395" s="129"/>
      <c r="K395" s="129"/>
      <c r="L395" s="129"/>
      <c r="M395" s="129"/>
      <c r="N395" s="129"/>
      <c r="O395" s="130"/>
      <c r="P395" s="131">
        <f>SUM(P380:P394)</f>
        <v>191483.09999999998</v>
      </c>
      <c r="Q395" s="119"/>
      <c r="R395" s="4"/>
    </row>
    <row r="396" spans="1:18" ht="15.75" thickBot="1">
      <c r="A396" s="1">
        <f t="shared" si="13"/>
        <v>0</v>
      </c>
      <c r="B396" s="2"/>
      <c r="C396" s="8"/>
      <c r="D396" s="74" t="s">
        <v>30</v>
      </c>
      <c r="E396" s="37"/>
      <c r="F396" s="37"/>
      <c r="G396" s="37"/>
      <c r="H396" s="37"/>
      <c r="I396" s="37"/>
      <c r="J396" s="37"/>
      <c r="K396" s="37"/>
      <c r="L396" s="37"/>
      <c r="M396" s="37"/>
      <c r="N396" s="37"/>
      <c r="O396" s="37"/>
      <c r="P396" s="99"/>
      <c r="Q396" s="100"/>
      <c r="R396" s="4"/>
    </row>
    <row r="397" spans="1:18">
      <c r="A397" s="1">
        <f t="shared" si="13"/>
        <v>0</v>
      </c>
      <c r="B397" s="2"/>
      <c r="C397" s="8"/>
      <c r="D397" s="101" t="s">
        <v>31</v>
      </c>
      <c r="E397" s="133"/>
      <c r="F397" s="133"/>
      <c r="G397" s="133"/>
      <c r="H397" s="133"/>
      <c r="I397" s="133"/>
      <c r="J397" s="133"/>
      <c r="K397" s="106" t="s">
        <v>32</v>
      </c>
      <c r="L397" s="141" t="s">
        <v>33</v>
      </c>
      <c r="M397" s="106" t="s">
        <v>34</v>
      </c>
      <c r="N397" s="104" t="s">
        <v>20</v>
      </c>
      <c r="O397" s="105"/>
      <c r="P397" s="107" t="s">
        <v>22</v>
      </c>
      <c r="Q397" s="108"/>
      <c r="R397" s="4"/>
    </row>
    <row r="398" spans="1:18">
      <c r="A398" s="1">
        <f t="shared" si="13"/>
        <v>0</v>
      </c>
      <c r="B398" s="2"/>
      <c r="C398" s="8"/>
      <c r="D398" s="142" t="str">
        <f>IFERROR(INDEX([240]TRANSPORTES!B:B,MATCH(B398,[240]TRANSPORTES!A:A,0)),"")</f>
        <v/>
      </c>
      <c r="E398" s="143"/>
      <c r="F398" s="143"/>
      <c r="G398" s="143"/>
      <c r="H398" s="143"/>
      <c r="I398" s="143"/>
      <c r="J398" s="143"/>
      <c r="K398" s="220"/>
      <c r="L398" s="145"/>
      <c r="M398" s="146" t="str">
        <f>IFERROR(INDEX([240]TRANSPORTES!C:C,MATCH(B398,[240]TRANSPORTES!A:A,0)),"")</f>
        <v/>
      </c>
      <c r="N398" s="139" t="str">
        <f>IFERROR(INDEX([240]TRANSPORTES!D:D,MATCH(B398,[240]TRANSPORTES!A:A,0)),"")</f>
        <v/>
      </c>
      <c r="O398" s="147"/>
      <c r="P398" s="148" t="str">
        <f>IFERROR(ROUND(K398*N398*L398,2),"")</f>
        <v/>
      </c>
      <c r="Q398" s="119"/>
      <c r="R398" s="4"/>
    </row>
    <row r="399" spans="1:18">
      <c r="A399" s="1">
        <f t="shared" si="13"/>
        <v>0</v>
      </c>
      <c r="B399" s="2"/>
      <c r="C399" s="8"/>
      <c r="D399" s="142" t="str">
        <f>IFERROR(INDEX([240]TRANSPORTES!B:B,MATCH(B399,[240]TRANSPORTES!A:A,0)),"")</f>
        <v/>
      </c>
      <c r="E399" s="143"/>
      <c r="F399" s="143"/>
      <c r="G399" s="143"/>
      <c r="H399" s="143"/>
      <c r="I399" s="143"/>
      <c r="J399" s="143"/>
      <c r="K399" s="144"/>
      <c r="L399" s="145"/>
      <c r="M399" s="146" t="str">
        <f>IFERROR(INDEX([240]TRANSPORTES!C:C,MATCH(B399,[240]TRANSPORTES!A:A,0)),"")</f>
        <v/>
      </c>
      <c r="N399" s="139" t="str">
        <f>IFERROR(INDEX([240]TRANSPORTES!D:D,MATCH(B399,[240]TRANSPORTES!A:A,0)),"")</f>
        <v/>
      </c>
      <c r="O399" s="147"/>
      <c r="P399" s="148" t="str">
        <f>IFERROR(ROUND(K399*N399*L399,2),"")</f>
        <v/>
      </c>
      <c r="Q399" s="119"/>
      <c r="R399" s="4"/>
    </row>
    <row r="400" spans="1:18">
      <c r="A400" s="1">
        <f t="shared" si="13"/>
        <v>0</v>
      </c>
      <c r="B400" s="2"/>
      <c r="C400" s="8"/>
      <c r="D400" s="142" t="str">
        <f>IFERROR(INDEX([240]TRANSPORTES!B:B,MATCH(B400,[240]TRANSPORTES!A:A,0)),"")</f>
        <v/>
      </c>
      <c r="E400" s="143"/>
      <c r="F400" s="143"/>
      <c r="G400" s="143"/>
      <c r="H400" s="143"/>
      <c r="I400" s="143"/>
      <c r="J400" s="143"/>
      <c r="K400" s="144"/>
      <c r="L400" s="145"/>
      <c r="M400" s="146" t="str">
        <f>IFERROR(INDEX([240]TRANSPORTES!C:C,MATCH(B400,[240]TRANSPORTES!A:A,0)),"")</f>
        <v/>
      </c>
      <c r="N400" s="139" t="str">
        <f>IFERROR(INDEX([240]TRANSPORTES!D:D,MATCH(B400,[240]TRANSPORTES!A:A,0)),"")</f>
        <v/>
      </c>
      <c r="O400" s="147"/>
      <c r="P400" s="148" t="str">
        <f>IFERROR(ROUND(K400*N400*L400,2),"")</f>
        <v/>
      </c>
      <c r="Q400" s="119"/>
      <c r="R400" s="4"/>
    </row>
    <row r="401" spans="1:18" ht="15.75" thickBot="1">
      <c r="A401" s="1">
        <f t="shared" si="13"/>
        <v>0</v>
      </c>
      <c r="B401" s="2"/>
      <c r="C401" s="8"/>
      <c r="D401" s="142" t="str">
        <f>IFERROR(INDEX([240]TRANSPORTES!B:B,MATCH(B401,[240]TRANSPORTES!A:A,0)),"")</f>
        <v/>
      </c>
      <c r="E401" s="143"/>
      <c r="F401" s="143"/>
      <c r="G401" s="143"/>
      <c r="H401" s="143"/>
      <c r="I401" s="143"/>
      <c r="J401" s="143"/>
      <c r="K401" s="149"/>
      <c r="L401" s="150"/>
      <c r="M401" s="146" t="str">
        <f>IFERROR(INDEX([240]TRANSPORTES!C:C,MATCH(B401,[240]TRANSPORTES!A:A,0)),"")</f>
        <v/>
      </c>
      <c r="N401" s="139" t="str">
        <f>IFERROR(INDEX([240]TRANSPORTES!D:D,MATCH(B401,[240]TRANSPORTES!A:A,0)),"")</f>
        <v/>
      </c>
      <c r="O401" s="147"/>
      <c r="P401" s="148" t="str">
        <f>IFERROR(ROUND(K401*N401*L401,2),"")</f>
        <v/>
      </c>
      <c r="Q401" s="119"/>
      <c r="R401" s="4"/>
    </row>
    <row r="402" spans="1:18" ht="15.75" thickBot="1">
      <c r="A402" s="1">
        <f t="shared" si="13"/>
        <v>0</v>
      </c>
      <c r="B402" s="2"/>
      <c r="C402" s="8"/>
      <c r="D402" s="128" t="s">
        <v>24</v>
      </c>
      <c r="E402" s="129"/>
      <c r="F402" s="129"/>
      <c r="G402" s="129"/>
      <c r="H402" s="129"/>
      <c r="I402" s="129"/>
      <c r="J402" s="129"/>
      <c r="K402" s="129"/>
      <c r="L402" s="129"/>
      <c r="M402" s="129"/>
      <c r="N402" s="129"/>
      <c r="O402" s="130"/>
      <c r="P402" s="151">
        <f>SUM(P398:P401)</f>
        <v>0</v>
      </c>
      <c r="Q402" s="132"/>
      <c r="R402" s="4"/>
    </row>
    <row r="403" spans="1:18" ht="15.75" thickBot="1">
      <c r="A403" s="1">
        <f t="shared" si="13"/>
        <v>0</v>
      </c>
      <c r="B403" s="2"/>
      <c r="C403" s="8"/>
      <c r="D403" s="74" t="s">
        <v>36</v>
      </c>
      <c r="E403" s="37"/>
      <c r="F403" s="37"/>
      <c r="G403" s="37"/>
      <c r="H403" s="37"/>
      <c r="I403" s="37"/>
      <c r="J403" s="37"/>
      <c r="K403" s="37"/>
      <c r="L403" s="37"/>
      <c r="M403" s="37"/>
      <c r="N403" s="37"/>
      <c r="O403" s="37"/>
      <c r="P403" s="99"/>
      <c r="Q403" s="100"/>
      <c r="R403" s="4"/>
    </row>
    <row r="404" spans="1:18" ht="30">
      <c r="A404" s="1">
        <f t="shared" si="13"/>
        <v>0</v>
      </c>
      <c r="B404" s="2"/>
      <c r="C404" s="8"/>
      <c r="D404" s="101" t="s">
        <v>37</v>
      </c>
      <c r="E404" s="133"/>
      <c r="F404" s="133"/>
      <c r="G404" s="133"/>
      <c r="H404" s="133"/>
      <c r="I404" s="133"/>
      <c r="J404" s="133"/>
      <c r="K404" s="106" t="s">
        <v>38</v>
      </c>
      <c r="L404" s="152" t="s">
        <v>39</v>
      </c>
      <c r="M404" s="153" t="s">
        <v>40</v>
      </c>
      <c r="N404" s="104" t="s">
        <v>21</v>
      </c>
      <c r="O404" s="105"/>
      <c r="P404" s="154" t="s">
        <v>22</v>
      </c>
      <c r="Q404" s="155"/>
      <c r="R404" s="4"/>
    </row>
    <row r="405" spans="1:18">
      <c r="A405" s="1">
        <f t="shared" si="13"/>
        <v>0</v>
      </c>
      <c r="B405" s="2" t="s">
        <v>285</v>
      </c>
      <c r="C405" s="8"/>
      <c r="D405" s="109" t="str">
        <f>IFERROR(INDEX('[240]MANO DE OBRA'!B:B,MATCH(B405,'[240]MANO DE OBRA'!A:A,0)),"")</f>
        <v>SOLDADOR</v>
      </c>
      <c r="E405" s="110"/>
      <c r="F405" s="110"/>
      <c r="G405" s="110"/>
      <c r="H405" s="110"/>
      <c r="I405" s="110"/>
      <c r="J405" s="111"/>
      <c r="K405" s="156">
        <f>IFERROR(INDEX('[240]MANO DE OBRA'!D:D,MATCH(B405,'[240]MANO DE OBRA'!A:A,0)),"")</f>
        <v>133570</v>
      </c>
      <c r="L405" s="157">
        <f>+IF(D405&lt;&gt;"",'[240]FACTOR PRESTACIONAL'!$E$21," ")</f>
        <v>1.95</v>
      </c>
      <c r="M405" s="158">
        <f>IFERROR(K405*L405," ")</f>
        <v>260461.5</v>
      </c>
      <c r="N405" s="159">
        <v>3.5</v>
      </c>
      <c r="O405" s="160"/>
      <c r="P405" s="161">
        <f>IFERROR(ROUND(M405/N405,2)," ")</f>
        <v>74417.570000000007</v>
      </c>
      <c r="Q405" s="162"/>
      <c r="R405" s="4"/>
    </row>
    <row r="406" spans="1:18">
      <c r="A406" s="1">
        <f t="shared" si="13"/>
        <v>0</v>
      </c>
      <c r="B406" s="2" t="s">
        <v>81</v>
      </c>
      <c r="C406" s="8"/>
      <c r="D406" s="109" t="str">
        <f>IFERROR(INDEX('[240]MANO DE OBRA'!B:B,MATCH(B406,'[240]MANO DE OBRA'!A:A,0)),"")</f>
        <v>AYUDANTE (1)</v>
      </c>
      <c r="E406" s="110"/>
      <c r="F406" s="110"/>
      <c r="G406" s="110"/>
      <c r="H406" s="110"/>
      <c r="I406" s="110"/>
      <c r="J406" s="111"/>
      <c r="K406" s="156">
        <f>IFERROR(INDEX('[240]MANO DE OBRA'!D:D,MATCH(B406,'[240]MANO DE OBRA'!A:A,0)),"")</f>
        <v>71433</v>
      </c>
      <c r="L406" s="157">
        <f>+IF(D406&lt;&gt;"",'[240]FACTOR PRESTACIONAL'!$E$21," ")</f>
        <v>1.95</v>
      </c>
      <c r="M406" s="158">
        <f>IFERROR(K406*L406," ")</f>
        <v>139294.35</v>
      </c>
      <c r="N406" s="159">
        <v>3.5</v>
      </c>
      <c r="O406" s="160"/>
      <c r="P406" s="161">
        <f>IFERROR(ROUND(M406/N406,2)," ")</f>
        <v>39798.39</v>
      </c>
      <c r="Q406" s="162"/>
      <c r="R406" s="4"/>
    </row>
    <row r="407" spans="1:18">
      <c r="A407" s="1">
        <f t="shared" si="13"/>
        <v>0</v>
      </c>
      <c r="B407" s="2"/>
      <c r="C407" s="8"/>
      <c r="D407" s="109" t="str">
        <f>IFERROR(INDEX('[240]MANO DE OBRA'!B:B,MATCH(B407,'[240]MANO DE OBRA'!A:A,0)),"")</f>
        <v/>
      </c>
      <c r="E407" s="110"/>
      <c r="F407" s="110"/>
      <c r="G407" s="110"/>
      <c r="H407" s="110"/>
      <c r="I407" s="110"/>
      <c r="J407" s="111"/>
      <c r="K407" s="156" t="str">
        <f>IFERROR(INDEX('[240]MANO DE OBRA'!D:D,MATCH(B407,'[240]MANO DE OBRA'!A:A,0)),"")</f>
        <v/>
      </c>
      <c r="L407" s="157" t="str">
        <f>+IF(D407&lt;&gt;"",'[240]FACTOR PRESTACIONAL'!$E$21," ")</f>
        <v xml:space="preserve"> </v>
      </c>
      <c r="M407" s="158" t="str">
        <f>IFERROR(K407*L407," ")</f>
        <v xml:space="preserve"> </v>
      </c>
      <c r="N407" s="159"/>
      <c r="O407" s="160"/>
      <c r="P407" s="161" t="str">
        <f>IFERROR(ROUND(M407/N407,2)," ")</f>
        <v xml:space="preserve"> </v>
      </c>
      <c r="Q407" s="162"/>
      <c r="R407" s="4"/>
    </row>
    <row r="408" spans="1:18">
      <c r="A408" s="1">
        <f t="shared" si="13"/>
        <v>0</v>
      </c>
      <c r="B408" s="2"/>
      <c r="C408" s="8"/>
      <c r="D408" s="109" t="str">
        <f>IFERROR(INDEX('[240]MANO DE OBRA'!B:B,MATCH(B408,'[240]MANO DE OBRA'!A:A,0)),"")</f>
        <v/>
      </c>
      <c r="E408" s="110"/>
      <c r="F408" s="110"/>
      <c r="G408" s="110"/>
      <c r="H408" s="110"/>
      <c r="I408" s="110"/>
      <c r="J408" s="111"/>
      <c r="K408" s="156" t="str">
        <f>IFERROR(INDEX('[240]MANO DE OBRA'!D:D,MATCH(B408,'[240]MANO DE OBRA'!A:A,0)),"")</f>
        <v/>
      </c>
      <c r="L408" s="157" t="str">
        <f>+IF(D408&lt;&gt;"",'[240]FACTOR PRESTACIONAL'!$E$21," ")</f>
        <v xml:space="preserve"> </v>
      </c>
      <c r="M408" s="158" t="str">
        <f>IFERROR(K408*L408," ")</f>
        <v xml:space="preserve"> </v>
      </c>
      <c r="N408" s="159"/>
      <c r="O408" s="160"/>
      <c r="P408" s="161" t="str">
        <f>IFERROR(ROUND(M408/N408,2)," ")</f>
        <v xml:space="preserve"> </v>
      </c>
      <c r="Q408" s="162"/>
      <c r="R408" s="4"/>
    </row>
    <row r="409" spans="1:18" ht="15.75" thickBot="1">
      <c r="A409" s="1">
        <f t="shared" si="13"/>
        <v>0</v>
      </c>
      <c r="B409" s="2"/>
      <c r="C409" s="8"/>
      <c r="D409" s="109" t="str">
        <f>IFERROR(INDEX('[240]MANO DE OBRA'!B:B,MATCH(B409,'[240]MANO DE OBRA'!A:A,0)),"")</f>
        <v/>
      </c>
      <c r="E409" s="110"/>
      <c r="F409" s="110"/>
      <c r="G409" s="110"/>
      <c r="H409" s="110"/>
      <c r="I409" s="110"/>
      <c r="J409" s="111"/>
      <c r="K409" s="156" t="str">
        <f>IFERROR(INDEX('[240]MANO DE OBRA'!D:D,MATCH(B409,'[240]MANO DE OBRA'!A:A,0)),"")</f>
        <v/>
      </c>
      <c r="L409" s="157" t="str">
        <f>+IF(D409&lt;&gt;"",'[240]FACTOR PRESTACIONAL'!$E$21," ")</f>
        <v xml:space="preserve"> </v>
      </c>
      <c r="M409" s="158" t="str">
        <f>IFERROR(K409*L409," ")</f>
        <v xml:space="preserve"> </v>
      </c>
      <c r="N409" s="159"/>
      <c r="O409" s="160"/>
      <c r="P409" s="161" t="str">
        <f>IFERROR(ROUND(M409/N409,2)," ")</f>
        <v xml:space="preserve"> </v>
      </c>
      <c r="Q409" s="119"/>
      <c r="R409" s="4"/>
    </row>
    <row r="410" spans="1:18" ht="15.75" thickBot="1">
      <c r="A410" s="1">
        <f t="shared" si="13"/>
        <v>0</v>
      </c>
      <c r="B410" s="2"/>
      <c r="C410" s="8"/>
      <c r="D410" s="128" t="s">
        <v>24</v>
      </c>
      <c r="E410" s="129"/>
      <c r="F410" s="129"/>
      <c r="G410" s="129"/>
      <c r="H410" s="129"/>
      <c r="I410" s="129"/>
      <c r="J410" s="129"/>
      <c r="K410" s="129"/>
      <c r="L410" s="129"/>
      <c r="M410" s="129"/>
      <c r="N410" s="129"/>
      <c r="O410" s="130"/>
      <c r="P410" s="131">
        <f>SUM(P405:P409)</f>
        <v>114215.96</v>
      </c>
      <c r="Q410" s="119"/>
      <c r="R410" s="4"/>
    </row>
    <row r="411" spans="1:18" ht="15.75" thickBot="1">
      <c r="A411" s="1">
        <f t="shared" si="13"/>
        <v>0</v>
      </c>
      <c r="B411" s="2"/>
      <c r="C411" s="8"/>
      <c r="D411" s="87"/>
      <c r="E411" s="20"/>
      <c r="F411" s="20"/>
      <c r="G411" s="20"/>
      <c r="H411" s="20"/>
      <c r="I411" s="20"/>
      <c r="J411" s="20"/>
      <c r="K411" s="20"/>
      <c r="L411" s="20"/>
      <c r="M411" s="20"/>
      <c r="N411" s="20"/>
      <c r="O411" s="20"/>
      <c r="P411" s="88"/>
      <c r="Q411" s="13"/>
      <c r="R411" s="4"/>
    </row>
    <row r="412" spans="1:18" ht="15.75" thickBot="1">
      <c r="A412" s="1"/>
      <c r="B412" s="2"/>
      <c r="C412" s="8"/>
      <c r="D412" s="163" t="s">
        <v>43</v>
      </c>
      <c r="E412" s="164"/>
      <c r="F412" s="164"/>
      <c r="G412" s="164"/>
      <c r="H412" s="164"/>
      <c r="I412" s="164"/>
      <c r="J412" s="164"/>
      <c r="K412" s="164"/>
      <c r="L412" s="164"/>
      <c r="M412" s="164"/>
      <c r="N412" s="164"/>
      <c r="O412" s="165"/>
      <c r="P412" s="166">
        <f>+P410+P402+P395+P377</f>
        <v>332898.58</v>
      </c>
      <c r="Q412" s="167"/>
      <c r="R412" s="168"/>
    </row>
    <row r="413" spans="1:18" ht="15.75" thickBot="1">
      <c r="A413" s="1"/>
      <c r="B413" s="2"/>
      <c r="C413" s="8"/>
      <c r="D413" s="169"/>
      <c r="E413" s="170"/>
      <c r="F413" s="170"/>
      <c r="G413" s="170"/>
      <c r="H413" s="170"/>
      <c r="I413" s="170"/>
      <c r="J413" s="170"/>
      <c r="K413" s="170"/>
      <c r="L413" s="170"/>
      <c r="M413" s="170"/>
      <c r="N413" s="170"/>
      <c r="O413" s="170"/>
      <c r="P413" s="171"/>
      <c r="Q413" s="100"/>
      <c r="R413" s="4"/>
    </row>
    <row r="414" spans="1:18">
      <c r="A414" s="1"/>
      <c r="B414" s="2"/>
      <c r="C414" s="8"/>
      <c r="D414" s="172" t="s">
        <v>73</v>
      </c>
      <c r="E414" s="173"/>
      <c r="F414" s="173"/>
      <c r="G414" s="173"/>
      <c r="H414" s="173"/>
      <c r="I414" s="173"/>
      <c r="J414" s="173"/>
      <c r="K414" s="141"/>
      <c r="L414" s="174"/>
      <c r="M414" s="153" t="s">
        <v>44</v>
      </c>
      <c r="N414" s="175" t="s">
        <v>45</v>
      </c>
      <c r="O414" s="176"/>
      <c r="P414" s="154"/>
      <c r="Q414" s="155"/>
      <c r="R414" s="4"/>
    </row>
    <row r="415" spans="1:18">
      <c r="A415" s="1"/>
      <c r="B415" s="2"/>
      <c r="C415" s="8"/>
      <c r="D415" s="109" t="s">
        <v>65</v>
      </c>
      <c r="E415" s="110"/>
      <c r="F415" s="110"/>
      <c r="G415" s="110"/>
      <c r="H415" s="110"/>
      <c r="I415" s="110"/>
      <c r="J415" s="110"/>
      <c r="K415" s="177"/>
      <c r="L415" s="178"/>
      <c r="M415" s="179">
        <f>+[239]INICIO!$F$10</f>
        <v>0.24</v>
      </c>
      <c r="N415" s="180">
        <f>ROUND(M415*P412,2)</f>
        <v>79895.66</v>
      </c>
      <c r="O415" s="181"/>
      <c r="P415" s="182"/>
      <c r="Q415" s="119"/>
      <c r="R415" s="4"/>
    </row>
    <row r="416" spans="1:18">
      <c r="A416" s="1"/>
      <c r="B416" s="2"/>
      <c r="C416" s="8"/>
      <c r="D416" s="183" t="s">
        <v>67</v>
      </c>
      <c r="E416" s="61"/>
      <c r="F416" s="61"/>
      <c r="G416" s="61"/>
      <c r="H416" s="61"/>
      <c r="I416" s="61"/>
      <c r="J416" s="61"/>
      <c r="K416" s="177"/>
      <c r="L416" s="178"/>
      <c r="M416" s="179">
        <f>+[239]INICIO!$F$11</f>
        <v>0.02</v>
      </c>
      <c r="N416" s="180">
        <f>ROUND(M416*P412,2)</f>
        <v>6657.97</v>
      </c>
      <c r="O416" s="181"/>
      <c r="P416" s="182"/>
      <c r="Q416" s="119"/>
      <c r="R416" s="4"/>
    </row>
    <row r="417" spans="1:18" ht="15.75" thickBot="1">
      <c r="A417" s="1"/>
      <c r="B417" s="2"/>
      <c r="C417" s="8"/>
      <c r="D417" s="77" t="s">
        <v>69</v>
      </c>
      <c r="E417" s="78"/>
      <c r="F417" s="78"/>
      <c r="G417" s="78"/>
      <c r="H417" s="78"/>
      <c r="I417" s="78"/>
      <c r="J417" s="78"/>
      <c r="K417" s="184"/>
      <c r="L417" s="185"/>
      <c r="M417" s="179">
        <f>+[239]INICIO!$F$12</f>
        <v>7.0000000000000007E-2</v>
      </c>
      <c r="N417" s="180">
        <f>ROUND(M417*P412,2)</f>
        <v>23302.9</v>
      </c>
      <c r="O417" s="181"/>
      <c r="P417" s="182"/>
      <c r="Q417" s="119"/>
      <c r="R417" s="4"/>
    </row>
    <row r="418" spans="1:18" ht="15.75" thickBot="1">
      <c r="A418" s="1"/>
      <c r="B418" s="2"/>
      <c r="C418" s="8"/>
      <c r="D418" s="128"/>
      <c r="E418" s="129"/>
      <c r="F418" s="129"/>
      <c r="G418" s="129"/>
      <c r="H418" s="129"/>
      <c r="I418" s="129"/>
      <c r="J418" s="129"/>
      <c r="K418" s="129"/>
      <c r="L418" s="129"/>
      <c r="M418" s="129"/>
      <c r="N418" s="129"/>
      <c r="O418" s="130"/>
      <c r="P418" s="131">
        <f>SUM(N415:N417)</f>
        <v>109856.53</v>
      </c>
      <c r="Q418" s="186"/>
      <c r="R418" s="4"/>
    </row>
    <row r="419" spans="1:18" ht="15.75" thickBot="1">
      <c r="A419" s="1"/>
      <c r="B419" s="2"/>
      <c r="C419" s="8"/>
      <c r="D419" s="87"/>
      <c r="E419" s="20"/>
      <c r="F419" s="20"/>
      <c r="G419" s="20"/>
      <c r="H419" s="20"/>
      <c r="I419" s="20"/>
      <c r="J419" s="20"/>
      <c r="K419" s="20"/>
      <c r="L419" s="20"/>
      <c r="M419" s="20"/>
      <c r="N419" s="20"/>
      <c r="O419" s="20"/>
      <c r="P419" s="88"/>
      <c r="Q419" s="13"/>
      <c r="R419" s="4"/>
    </row>
    <row r="420" spans="1:18" ht="15.75" thickBot="1">
      <c r="A420" s="1"/>
      <c r="B420" s="2"/>
      <c r="C420" s="8"/>
      <c r="D420" s="187" t="s">
        <v>46</v>
      </c>
      <c r="E420" s="188"/>
      <c r="F420" s="188"/>
      <c r="G420" s="188"/>
      <c r="H420" s="188"/>
      <c r="I420" s="188"/>
      <c r="J420" s="188"/>
      <c r="K420" s="188"/>
      <c r="L420" s="188"/>
      <c r="M420" s="188"/>
      <c r="N420" s="188"/>
      <c r="O420" s="189"/>
      <c r="P420" s="166">
        <f>ROUND(P418+P412,0)</f>
        <v>442755</v>
      </c>
      <c r="Q420" s="186"/>
      <c r="R420" s="4"/>
    </row>
    <row r="421" spans="1:18">
      <c r="A421" s="1"/>
      <c r="B421" s="2"/>
      <c r="C421" s="8"/>
      <c r="D421" s="80"/>
      <c r="E421" s="81"/>
      <c r="F421" s="81"/>
      <c r="G421" s="81"/>
      <c r="H421" s="81"/>
      <c r="I421" s="81"/>
      <c r="J421" s="81"/>
      <c r="K421" s="81"/>
      <c r="L421" s="81"/>
      <c r="M421" s="81"/>
      <c r="N421" s="81"/>
      <c r="O421" s="81"/>
      <c r="P421" s="82"/>
      <c r="Q421" s="13"/>
      <c r="R421" s="4"/>
    </row>
    <row r="422" spans="1:18">
      <c r="A422" s="1"/>
      <c r="B422" s="2"/>
      <c r="C422" s="8"/>
      <c r="D422" s="87"/>
      <c r="E422" s="20"/>
      <c r="F422" s="20"/>
      <c r="G422" s="20"/>
      <c r="H422" s="20"/>
      <c r="I422" s="20"/>
      <c r="J422" s="20"/>
      <c r="K422" s="20"/>
      <c r="L422" s="20"/>
      <c r="M422" s="20"/>
      <c r="N422" s="20"/>
      <c r="O422" s="20"/>
      <c r="P422" s="88"/>
      <c r="Q422" s="13"/>
      <c r="R422" s="4"/>
    </row>
    <row r="423" spans="1:18">
      <c r="A423" s="1"/>
      <c r="B423" s="2"/>
      <c r="C423" s="8"/>
      <c r="D423" s="87"/>
      <c r="E423" s="20"/>
      <c r="F423" s="20"/>
      <c r="G423" s="20"/>
      <c r="H423" s="20"/>
      <c r="I423" s="20"/>
      <c r="J423" s="20"/>
      <c r="K423" s="20"/>
      <c r="L423" s="20"/>
      <c r="M423" s="20"/>
      <c r="N423" s="20"/>
      <c r="O423" s="20"/>
      <c r="P423" s="88"/>
      <c r="Q423" s="13"/>
      <c r="R423" s="4"/>
    </row>
    <row r="424" spans="1:18">
      <c r="A424" s="1"/>
      <c r="B424" s="2"/>
      <c r="C424" s="8"/>
      <c r="D424" s="87"/>
      <c r="E424" s="20"/>
      <c r="F424" s="20"/>
      <c r="G424" s="20"/>
      <c r="H424" s="20"/>
      <c r="I424" s="20"/>
      <c r="J424" s="20"/>
      <c r="K424" s="20"/>
      <c r="L424" s="20"/>
      <c r="M424" s="20"/>
      <c r="N424" s="20"/>
      <c r="O424" s="20"/>
      <c r="P424" s="88"/>
      <c r="Q424" s="13"/>
      <c r="R424" s="4"/>
    </row>
    <row r="425" spans="1:18">
      <c r="A425" s="1"/>
      <c r="B425" s="2"/>
      <c r="C425" s="8"/>
      <c r="D425" s="219" t="str">
        <f>+[239]INICIO!$B$13</f>
        <v>Proyectó:</v>
      </c>
      <c r="E425" s="49"/>
      <c r="F425" s="49"/>
      <c r="G425" s="49"/>
      <c r="H425" s="49"/>
      <c r="I425" s="49"/>
      <c r="J425" s="49"/>
      <c r="K425" s="20"/>
      <c r="L425" s="69" t="str">
        <f>+[239]INICIO!$B$16</f>
        <v>Aprobó:</v>
      </c>
      <c r="M425" s="49"/>
      <c r="N425" s="49"/>
      <c r="O425" s="49"/>
      <c r="P425" s="88"/>
      <c r="Q425" s="13"/>
      <c r="R425" s="4"/>
    </row>
    <row r="426" spans="1:18">
      <c r="A426" s="1"/>
      <c r="B426" s="2"/>
      <c r="C426" s="8"/>
      <c r="D426" s="87"/>
      <c r="E426" s="20" t="str">
        <f>+Hoja2!C$13</f>
        <v>HELMER EDUARDO BECERRA SANTANDER</v>
      </c>
      <c r="F426" s="20"/>
      <c r="G426" s="20"/>
      <c r="H426" s="20"/>
      <c r="I426" s="20"/>
      <c r="J426" s="20"/>
      <c r="K426" s="20"/>
      <c r="L426" s="20"/>
      <c r="M426" s="20" t="str">
        <f>+Hoja2!$C$16</f>
        <v>JESÚS IVÁN QUIÑONES RUEDA</v>
      </c>
      <c r="N426" s="20"/>
      <c r="O426" s="20"/>
      <c r="P426" s="88"/>
      <c r="Q426" s="190"/>
      <c r="R426" s="4"/>
    </row>
    <row r="427" spans="1:18">
      <c r="A427" s="1"/>
      <c r="B427" s="2"/>
      <c r="C427" s="8"/>
      <c r="D427" s="87"/>
      <c r="E427" s="20" t="str">
        <f>+Hoja2!C$14</f>
        <v>APOYO SEC. DE PLANEACIÓN Y OBRAS PÚBLICAS</v>
      </c>
      <c r="F427" s="20"/>
      <c r="G427" s="20"/>
      <c r="H427" s="20"/>
      <c r="I427" s="20"/>
      <c r="J427" s="20"/>
      <c r="K427" s="20"/>
      <c r="L427" s="20"/>
      <c r="M427" s="20" t="str">
        <f>+Hoja2!$C$17</f>
        <v>SECRETARIO DE PLANEACIÓN Y OBRAS PUBLICAS</v>
      </c>
      <c r="N427" s="20"/>
      <c r="O427" s="20"/>
      <c r="P427" s="88"/>
      <c r="Q427" s="190"/>
      <c r="R427" s="4"/>
    </row>
    <row r="428" spans="1:18">
      <c r="A428" s="1"/>
      <c r="B428" s="2"/>
      <c r="C428" s="8"/>
      <c r="D428" s="68"/>
      <c r="E428" s="20" t="str">
        <f>+Hoja2!C$15</f>
        <v>123769-0701671 NTS</v>
      </c>
      <c r="F428" s="191"/>
      <c r="G428" s="191"/>
      <c r="H428" s="191"/>
      <c r="I428" s="20"/>
      <c r="J428" s="191"/>
      <c r="K428" s="191"/>
      <c r="L428" s="191"/>
      <c r="M428" s="192" t="str">
        <f>+Hoja2!C$18</f>
        <v>A21382020-1090480860</v>
      </c>
      <c r="N428" s="191"/>
      <c r="O428" s="191"/>
      <c r="P428" s="193"/>
      <c r="Q428" s="194"/>
      <c r="R428" s="4"/>
    </row>
    <row r="429" spans="1:18" ht="16.5" thickBot="1">
      <c r="A429" s="1"/>
      <c r="B429" s="2"/>
      <c r="C429" s="8"/>
      <c r="D429" s="195"/>
      <c r="E429" s="150"/>
      <c r="F429" s="150"/>
      <c r="G429" s="150"/>
      <c r="H429" s="150"/>
      <c r="I429" s="150"/>
      <c r="J429" s="150"/>
      <c r="K429" s="150"/>
      <c r="L429" s="150"/>
      <c r="M429" s="150"/>
      <c r="N429" s="150"/>
      <c r="O429" s="150"/>
      <c r="P429" s="196"/>
      <c r="Q429" s="197"/>
      <c r="R429" s="4"/>
    </row>
    <row r="430" spans="1:18" ht="15.75" thickBot="1">
      <c r="A430" s="1"/>
      <c r="B430" s="2"/>
      <c r="C430" s="198"/>
      <c r="D430" s="199"/>
      <c r="E430" s="199"/>
      <c r="F430" s="199"/>
      <c r="G430" s="199"/>
      <c r="H430" s="199"/>
      <c r="I430" s="199"/>
      <c r="J430" s="199"/>
      <c r="K430" s="199"/>
      <c r="L430" s="199"/>
      <c r="M430" s="199"/>
      <c r="N430" s="199"/>
      <c r="O430" s="199"/>
      <c r="P430" s="199"/>
      <c r="Q430" s="200"/>
      <c r="R430" s="4"/>
    </row>
    <row r="431" spans="1:18" ht="16.5" thickTop="1" thickBot="1">
      <c r="A431" s="1"/>
      <c r="B431" s="2"/>
      <c r="C431" s="3"/>
      <c r="D431" s="4"/>
      <c r="E431" s="4"/>
      <c r="F431" s="4"/>
      <c r="G431" s="4"/>
      <c r="H431" s="4"/>
      <c r="I431" s="4"/>
      <c r="J431" s="4"/>
      <c r="K431" s="4"/>
      <c r="L431" s="4"/>
      <c r="M431" s="4"/>
      <c r="N431" s="4"/>
      <c r="O431" s="4"/>
      <c r="P431" s="4"/>
      <c r="Q431" s="4"/>
      <c r="R431" s="4"/>
    </row>
    <row r="432" spans="1:18" ht="15.75" thickTop="1">
      <c r="A432" s="1"/>
      <c r="B432" s="2"/>
      <c r="C432" s="5"/>
      <c r="D432" s="6"/>
      <c r="E432" s="6"/>
      <c r="F432" s="6"/>
      <c r="G432" s="6"/>
      <c r="H432" s="6"/>
      <c r="I432" s="6"/>
      <c r="J432" s="6"/>
      <c r="K432" s="6"/>
      <c r="L432" s="6"/>
      <c r="M432" s="6"/>
      <c r="N432" s="6"/>
      <c r="O432" s="6"/>
      <c r="P432" s="6"/>
      <c r="Q432" s="7"/>
      <c r="R432" s="4"/>
    </row>
    <row r="433" spans="1:18" ht="24">
      <c r="A433" s="1"/>
      <c r="B433" s="2"/>
      <c r="C433" s="8"/>
      <c r="D433" s="9" t="str">
        <f>+[239]INICIO!$C$8</f>
        <v>Análisis de Precios Unitarios- Secretaria de Planeación y Obras Publicas de Cubará, Boyacá.</v>
      </c>
      <c r="E433" s="10"/>
      <c r="F433" s="10"/>
      <c r="G433" s="10"/>
      <c r="H433" s="11"/>
      <c r="I433" s="12"/>
      <c r="J433" s="12"/>
      <c r="K433" s="12"/>
      <c r="L433" s="12"/>
      <c r="M433" s="12"/>
      <c r="N433" s="12"/>
      <c r="O433" s="12"/>
      <c r="P433" s="12"/>
      <c r="Q433" s="13"/>
      <c r="R433" s="4"/>
    </row>
    <row r="434" spans="1:18">
      <c r="A434" s="1"/>
      <c r="B434" s="2"/>
      <c r="C434" s="8"/>
      <c r="D434" s="14" t="s">
        <v>0</v>
      </c>
      <c r="E434" s="15" t="str">
        <f>+[239]INICIO!$C$7</f>
        <v>CCE-EICP-FM-14</v>
      </c>
      <c r="F434" s="16"/>
      <c r="G434" s="17" t="str">
        <f>+[239]INICIO!$B$6</f>
        <v>VERSIÓN</v>
      </c>
      <c r="H434" s="14">
        <f>+[239]INICIO!$C$6</f>
        <v>1</v>
      </c>
      <c r="I434" s="12"/>
      <c r="J434" s="12"/>
      <c r="K434" s="12"/>
      <c r="L434" s="12"/>
      <c r="M434" s="12"/>
      <c r="N434" s="12"/>
      <c r="O434" s="12"/>
      <c r="P434" s="12"/>
      <c r="Q434" s="13"/>
      <c r="R434" s="4"/>
    </row>
    <row r="435" spans="1:18">
      <c r="A435" s="1"/>
      <c r="B435" s="2"/>
      <c r="C435" s="8"/>
      <c r="D435" s="18"/>
      <c r="E435" s="19"/>
      <c r="F435" s="18"/>
      <c r="G435" s="19"/>
      <c r="H435" s="12"/>
      <c r="I435" s="12"/>
      <c r="J435" s="12"/>
      <c r="K435" s="12"/>
      <c r="L435" s="12"/>
      <c r="M435" s="12"/>
      <c r="N435" s="12"/>
      <c r="O435" s="12"/>
      <c r="P435" s="12"/>
      <c r="Q435" s="13"/>
      <c r="R435" s="4"/>
    </row>
    <row r="436" spans="1:18" ht="15.75" thickBot="1">
      <c r="A436" s="1"/>
      <c r="B436" s="2"/>
      <c r="C436" s="8"/>
      <c r="D436" s="20"/>
      <c r="E436" s="20"/>
      <c r="F436" s="20"/>
      <c r="G436" s="20"/>
      <c r="H436" s="20"/>
      <c r="I436" s="20"/>
      <c r="J436" s="20"/>
      <c r="K436" s="20"/>
      <c r="L436" s="20"/>
      <c r="M436" s="20"/>
      <c r="N436" s="20"/>
      <c r="O436" s="20"/>
      <c r="P436" s="20"/>
      <c r="Q436" s="13"/>
      <c r="R436" s="4"/>
    </row>
    <row r="437" spans="1:18">
      <c r="A437" s="1"/>
      <c r="B437" s="2"/>
      <c r="C437" s="8"/>
      <c r="D437" s="21"/>
      <c r="E437" s="22"/>
      <c r="F437" s="23"/>
      <c r="G437" s="23"/>
      <c r="H437" s="23"/>
      <c r="I437" s="23"/>
      <c r="J437" s="23"/>
      <c r="K437" s="23"/>
      <c r="L437" s="24"/>
      <c r="M437" s="25"/>
      <c r="N437" s="26"/>
      <c r="O437" s="26"/>
      <c r="P437" s="27"/>
      <c r="Q437" s="28"/>
      <c r="R437" s="4"/>
    </row>
    <row r="438" spans="1:18">
      <c r="A438" s="1"/>
      <c r="B438" s="2"/>
      <c r="C438" s="8"/>
      <c r="D438" s="29"/>
      <c r="E438" s="30" t="s">
        <v>1</v>
      </c>
      <c r="F438" s="31"/>
      <c r="G438" s="31"/>
      <c r="H438" s="31"/>
      <c r="I438" s="31"/>
      <c r="J438" s="31"/>
      <c r="K438" s="31"/>
      <c r="L438" s="32"/>
      <c r="M438" s="33"/>
      <c r="N438" s="34"/>
      <c r="O438" s="34"/>
      <c r="P438" s="35"/>
      <c r="Q438" s="28"/>
      <c r="R438" s="4"/>
    </row>
    <row r="439" spans="1:18">
      <c r="A439" s="1"/>
      <c r="B439" s="2"/>
      <c r="C439" s="8"/>
      <c r="D439" s="29"/>
      <c r="E439" s="36"/>
      <c r="F439" s="37"/>
      <c r="G439" s="37"/>
      <c r="H439" s="37"/>
      <c r="I439" s="37"/>
      <c r="J439" s="37"/>
      <c r="K439" s="37"/>
      <c r="L439" s="38"/>
      <c r="M439" s="39"/>
      <c r="N439" s="40"/>
      <c r="O439" s="41"/>
      <c r="P439" s="42"/>
      <c r="Q439" s="28"/>
      <c r="R439" s="4"/>
    </row>
    <row r="440" spans="1:18">
      <c r="A440" s="1"/>
      <c r="B440" s="2"/>
      <c r="C440" s="8"/>
      <c r="D440" s="29"/>
      <c r="E440" s="36"/>
      <c r="F440" s="37"/>
      <c r="G440" s="37"/>
      <c r="H440" s="37"/>
      <c r="I440" s="37"/>
      <c r="J440" s="37"/>
      <c r="K440" s="37"/>
      <c r="L440" s="38"/>
      <c r="M440" s="43" t="s">
        <v>2</v>
      </c>
      <c r="N440" s="44"/>
      <c r="O440" s="45">
        <f>+[239]INICIO!$C$6</f>
        <v>1</v>
      </c>
      <c r="P440" s="46"/>
      <c r="Q440" s="28"/>
      <c r="R440" s="4"/>
    </row>
    <row r="441" spans="1:18">
      <c r="A441" s="1"/>
      <c r="B441" s="2"/>
      <c r="C441" s="8"/>
      <c r="D441" s="29"/>
      <c r="E441" s="36"/>
      <c r="F441" s="37"/>
      <c r="G441" s="37"/>
      <c r="H441" s="37"/>
      <c r="I441" s="37"/>
      <c r="J441" s="37"/>
      <c r="K441" s="37"/>
      <c r="L441" s="38"/>
      <c r="M441" s="47"/>
      <c r="N441" s="48"/>
      <c r="O441" s="49"/>
      <c r="P441" s="50"/>
      <c r="Q441" s="51"/>
      <c r="R441" s="4"/>
    </row>
    <row r="442" spans="1:18">
      <c r="A442" s="1"/>
      <c r="B442" s="2"/>
      <c r="C442" s="8"/>
      <c r="D442" s="29"/>
      <c r="E442" s="52"/>
      <c r="F442" s="53"/>
      <c r="G442" s="53"/>
      <c r="H442" s="53"/>
      <c r="I442" s="53"/>
      <c r="J442" s="53"/>
      <c r="K442" s="53"/>
      <c r="L442" s="54"/>
      <c r="M442" s="39"/>
      <c r="N442" s="55"/>
      <c r="O442" s="55"/>
      <c r="P442" s="56"/>
      <c r="Q442" s="28"/>
      <c r="R442" s="4"/>
    </row>
    <row r="443" spans="1:18">
      <c r="A443" s="1"/>
      <c r="B443" s="2"/>
      <c r="C443" s="8"/>
      <c r="D443" s="29"/>
      <c r="E443" s="52"/>
      <c r="F443" s="53"/>
      <c r="G443" s="53"/>
      <c r="H443" s="53"/>
      <c r="I443" s="53"/>
      <c r="J443" s="53"/>
      <c r="K443" s="53"/>
      <c r="L443" s="54"/>
      <c r="M443" s="43" t="s">
        <v>3</v>
      </c>
      <c r="N443" s="43" t="str">
        <f>+VLOOKUP(D454,'PRESUPUESTO OFICIAL '!C:Q,9,FALSE)</f>
        <v>60</v>
      </c>
      <c r="O443" s="43" t="s">
        <v>4</v>
      </c>
      <c r="P443" s="508" t="str">
        <f>+'PRESUPUESTO OFICIAL '!$M$122</f>
        <v>62</v>
      </c>
      <c r="Q443" s="28"/>
      <c r="R443" s="4"/>
    </row>
    <row r="444" spans="1:18">
      <c r="A444" s="1"/>
      <c r="B444" s="2"/>
      <c r="C444" s="8"/>
      <c r="D444" s="29"/>
      <c r="E444" s="30" t="s">
        <v>5</v>
      </c>
      <c r="F444" s="31"/>
      <c r="G444" s="31"/>
      <c r="H444" s="31"/>
      <c r="I444" s="31"/>
      <c r="J444" s="31"/>
      <c r="K444" s="31"/>
      <c r="L444" s="32"/>
      <c r="M444" s="43"/>
      <c r="N444" s="57"/>
      <c r="O444" s="57"/>
      <c r="P444" s="58"/>
      <c r="Q444" s="28"/>
      <c r="R444" s="4"/>
    </row>
    <row r="445" spans="1:18" ht="15.75" thickBot="1">
      <c r="A445" s="1"/>
      <c r="B445" s="2"/>
      <c r="C445" s="8"/>
      <c r="D445" s="59"/>
      <c r="E445" s="60"/>
      <c r="F445" s="60"/>
      <c r="G445" s="60"/>
      <c r="H445" s="60"/>
      <c r="I445" s="60"/>
      <c r="J445" s="60"/>
      <c r="K445" s="60"/>
      <c r="L445" s="60"/>
      <c r="M445" s="60"/>
      <c r="N445" s="61"/>
      <c r="O445" s="61"/>
      <c r="P445" s="62"/>
      <c r="Q445" s="63"/>
      <c r="R445" s="4"/>
    </row>
    <row r="446" spans="1:18">
      <c r="A446" s="1"/>
      <c r="B446" s="2"/>
      <c r="C446" s="8"/>
      <c r="D446" s="64"/>
      <c r="E446" s="65"/>
      <c r="F446" s="65"/>
      <c r="G446" s="65"/>
      <c r="H446" s="65"/>
      <c r="I446" s="65"/>
      <c r="J446" s="65"/>
      <c r="K446" s="65"/>
      <c r="L446" s="65"/>
      <c r="M446" s="66" t="s">
        <v>6</v>
      </c>
      <c r="N446" s="66" t="s">
        <v>7</v>
      </c>
      <c r="O446" s="66" t="s">
        <v>8</v>
      </c>
      <c r="P446" s="67" t="s">
        <v>9</v>
      </c>
      <c r="Q446" s="51"/>
      <c r="R446" s="4"/>
    </row>
    <row r="447" spans="1:18">
      <c r="A447" s="1"/>
      <c r="B447" s="2"/>
      <c r="C447" s="8"/>
      <c r="D447" s="68"/>
      <c r="E447" s="69"/>
      <c r="F447" s="69"/>
      <c r="G447" s="69"/>
      <c r="H447" s="69"/>
      <c r="I447" s="69"/>
      <c r="J447" s="69"/>
      <c r="K447" s="69"/>
      <c r="L447" s="69"/>
      <c r="M447" s="70"/>
      <c r="N447" s="71">
        <f>+Hoja2!B$5</f>
        <v>5</v>
      </c>
      <c r="O447" s="71">
        <f>+Hoja2!C$5</f>
        <v>8</v>
      </c>
      <c r="P447" s="72">
        <f>+Hoja2!D$5</f>
        <v>2026</v>
      </c>
      <c r="Q447" s="73"/>
      <c r="R447" s="4"/>
    </row>
    <row r="448" spans="1:18">
      <c r="A448" s="1"/>
      <c r="B448" s="2"/>
      <c r="C448" s="8"/>
      <c r="D448" s="74"/>
      <c r="E448" s="37"/>
      <c r="F448" s="37"/>
      <c r="G448" s="37"/>
      <c r="H448" s="69"/>
      <c r="I448" s="69"/>
      <c r="J448" s="69"/>
      <c r="K448" s="20"/>
      <c r="L448" s="69"/>
      <c r="M448" s="75"/>
      <c r="N448" s="20"/>
      <c r="O448" s="20"/>
      <c r="P448" s="76"/>
      <c r="Q448" s="73"/>
      <c r="R448" s="4"/>
    </row>
    <row r="449" spans="1:18" ht="15.75" thickBot="1">
      <c r="A449" s="1"/>
      <c r="B449" s="2"/>
      <c r="C449" s="8"/>
      <c r="D449" s="77"/>
      <c r="E449" s="78"/>
      <c r="F449" s="78"/>
      <c r="G449" s="78"/>
      <c r="H449" s="78"/>
      <c r="I449" s="78"/>
      <c r="J449" s="78"/>
      <c r="K449" s="78"/>
      <c r="L449" s="78"/>
      <c r="M449" s="78"/>
      <c r="N449" s="78"/>
      <c r="O449" s="78"/>
      <c r="P449" s="79"/>
      <c r="Q449" s="13"/>
      <c r="R449" s="4"/>
    </row>
    <row r="450" spans="1:18" ht="15.75" thickBot="1">
      <c r="A450" s="1"/>
      <c r="B450" s="2"/>
      <c r="C450" s="8"/>
      <c r="D450" s="80"/>
      <c r="E450" s="81"/>
      <c r="F450" s="81"/>
      <c r="G450" s="81"/>
      <c r="H450" s="81"/>
      <c r="I450" s="81"/>
      <c r="J450" s="20"/>
      <c r="K450" s="20"/>
      <c r="L450" s="81"/>
      <c r="M450" s="81"/>
      <c r="N450" s="81"/>
      <c r="O450" s="81"/>
      <c r="P450" s="82"/>
      <c r="Q450" s="13"/>
      <c r="R450" s="4"/>
    </row>
    <row r="451" spans="1:18">
      <c r="A451" s="1"/>
      <c r="B451" s="2"/>
      <c r="C451" s="8"/>
      <c r="D451" s="83" t="s">
        <v>10</v>
      </c>
      <c r="E451" s="84"/>
      <c r="F451" s="84"/>
      <c r="G451" s="84"/>
      <c r="H451" s="84"/>
      <c r="I451" s="84"/>
      <c r="J451" s="84"/>
      <c r="K451" s="84"/>
      <c r="L451" s="84"/>
      <c r="M451" s="84"/>
      <c r="N451" s="84"/>
      <c r="O451" s="84"/>
      <c r="P451" s="85"/>
      <c r="Q451" s="86"/>
      <c r="R451" s="4"/>
    </row>
    <row r="452" spans="1:18" ht="15.75" thickBot="1">
      <c r="A452" s="1"/>
      <c r="B452" s="2"/>
      <c r="C452" s="8"/>
      <c r="D452" s="87"/>
      <c r="E452" s="20"/>
      <c r="F452" s="20"/>
      <c r="G452" s="20"/>
      <c r="H452" s="20"/>
      <c r="I452" s="20"/>
      <c r="J452" s="20"/>
      <c r="K452" s="20"/>
      <c r="L452" s="20"/>
      <c r="M452" s="20"/>
      <c r="N452" s="20"/>
      <c r="O452" s="20"/>
      <c r="P452" s="88"/>
      <c r="Q452" s="13"/>
      <c r="R452" s="4"/>
    </row>
    <row r="453" spans="1:18">
      <c r="A453" s="1" t="s">
        <v>11</v>
      </c>
      <c r="B453" s="2" t="s">
        <v>12</v>
      </c>
      <c r="C453" s="8"/>
      <c r="D453" s="89" t="s">
        <v>13</v>
      </c>
      <c r="E453" s="90" t="s">
        <v>14</v>
      </c>
      <c r="F453" s="90"/>
      <c r="G453" s="90"/>
      <c r="H453" s="90"/>
      <c r="I453" s="90"/>
      <c r="J453" s="90"/>
      <c r="K453" s="90"/>
      <c r="L453" s="90"/>
      <c r="M453" s="90"/>
      <c r="N453" s="91" t="s">
        <v>15</v>
      </c>
      <c r="O453" s="91"/>
      <c r="P453" s="92" t="s">
        <v>16</v>
      </c>
      <c r="Q453" s="93"/>
      <c r="R453" s="4"/>
    </row>
    <row r="454" spans="1:18" ht="29.25" thickBot="1">
      <c r="A454" s="1"/>
      <c r="B454" s="2"/>
      <c r="C454" s="8"/>
      <c r="D454" s="349">
        <f>+'PRESUPUESTO OFICIAL '!C97</f>
        <v>9.02</v>
      </c>
      <c r="E454" s="94" t="str">
        <f>+VLOOKUP(D454,'PRESUPUESTO OFICIAL '!C:H,2,FALSE)</f>
        <v>SUMINISTRO E INSTALACIÓN DE VENTANA EN LÁMINA COLD ROLLED CAL.18 CON VIDRIO. (INCLUYE ANTICORROSIVO).</v>
      </c>
      <c r="F454" s="94"/>
      <c r="G454" s="94"/>
      <c r="H454" s="94"/>
      <c r="I454" s="94"/>
      <c r="J454" s="94"/>
      <c r="K454" s="94"/>
      <c r="L454" s="94"/>
      <c r="M454" s="94"/>
      <c r="N454" s="94" t="str">
        <f>+VLOOKUP(D454,'PRESUPUESTO OFICIAL '!C:H,3,FALSE)</f>
        <v>M2</v>
      </c>
      <c r="O454" s="95"/>
      <c r="P454" s="96">
        <f>+VLOOKUP(D454,'PRESUPUESTO OFICIAL '!C:H,4,FALSE)</f>
        <v>23.2</v>
      </c>
      <c r="Q454" s="97"/>
      <c r="R454" s="98">
        <f>+P506</f>
        <v>472611</v>
      </c>
    </row>
    <row r="455" spans="1:18" ht="15.75" thickBot="1">
      <c r="A455" s="1"/>
      <c r="B455" s="2"/>
      <c r="C455" s="8"/>
      <c r="D455" s="74" t="s">
        <v>17</v>
      </c>
      <c r="E455" s="37"/>
      <c r="F455" s="37"/>
      <c r="G455" s="37"/>
      <c r="H455" s="37"/>
      <c r="I455" s="37"/>
      <c r="J455" s="37"/>
      <c r="K455" s="37"/>
      <c r="L455" s="37"/>
      <c r="M455" s="37"/>
      <c r="N455" s="37"/>
      <c r="O455" s="37"/>
      <c r="P455" s="99"/>
      <c r="Q455" s="100"/>
      <c r="R455" s="4"/>
    </row>
    <row r="456" spans="1:18">
      <c r="A456" s="1"/>
      <c r="B456" s="2"/>
      <c r="C456" s="8"/>
      <c r="D456" s="101" t="s">
        <v>14</v>
      </c>
      <c r="E456" s="102"/>
      <c r="F456" s="102"/>
      <c r="G456" s="102"/>
      <c r="H456" s="103"/>
      <c r="I456" s="104" t="s">
        <v>18</v>
      </c>
      <c r="J456" s="102"/>
      <c r="K456" s="104" t="s">
        <v>19</v>
      </c>
      <c r="L456" s="105"/>
      <c r="M456" s="106" t="s">
        <v>20</v>
      </c>
      <c r="N456" s="104" t="s">
        <v>21</v>
      </c>
      <c r="O456" s="105"/>
      <c r="P456" s="107" t="s">
        <v>22</v>
      </c>
      <c r="Q456" s="108"/>
      <c r="R456" s="4"/>
    </row>
    <row r="457" spans="1:18">
      <c r="A457" s="1" t="s">
        <v>261</v>
      </c>
      <c r="B457" s="2" t="s">
        <v>23</v>
      </c>
      <c r="C457" s="8"/>
      <c r="D457" s="109" t="str">
        <f>IFERROR(INDEX([239]EQUIPOS!B:B,MATCH(B457,[239]EQUIPOS!A:A,0)),"")</f>
        <v>HERRAMIENTA MENOR (% M.O)</v>
      </c>
      <c r="E457" s="110"/>
      <c r="F457" s="110"/>
      <c r="G457" s="110"/>
      <c r="H457" s="111"/>
      <c r="I457" s="112"/>
      <c r="J457" s="111"/>
      <c r="K457" s="113" t="str">
        <f>IFERROR(INDEX([239]EQUIPOS!C:C,MATCH(B457,[239]EQUIPOS!A:A,0)),"")</f>
        <v>%</v>
      </c>
      <c r="L457" s="114"/>
      <c r="M457" s="115">
        <f>IFERROR(IF(D457="HERRAMIENTA MENOR (% M.O)",P496,INDEX([239]EQUIPOS!D:D,MATCH(B457,[239]EQUIPOS!A:A,0))),"")</f>
        <v>117363.87</v>
      </c>
      <c r="N457" s="116">
        <v>10</v>
      </c>
      <c r="O457" s="117"/>
      <c r="P457" s="118">
        <f t="shared" ref="P457:P462" si="15">IFERROR(ROUND(IF(D457="HERRAMIENTA MENOR (% M.O)",N457%*M457,M457/N457),2)," ")</f>
        <v>11736.39</v>
      </c>
      <c r="Q457" s="119"/>
      <c r="R457" s="4"/>
    </row>
    <row r="458" spans="1:18">
      <c r="A458" s="1">
        <f>+$A$1691</f>
        <v>0</v>
      </c>
      <c r="B458" s="2" t="s">
        <v>342</v>
      </c>
      <c r="C458" s="8"/>
      <c r="D458" s="109" t="str">
        <f>IFERROR(INDEX([239]EQUIPOS!B:B,MATCH(B458,[239]EQUIPOS!A:A,0)),"")</f>
        <v>TALADRO</v>
      </c>
      <c r="E458" s="110"/>
      <c r="F458" s="110"/>
      <c r="G458" s="110"/>
      <c r="H458" s="111"/>
      <c r="I458" s="112"/>
      <c r="J458" s="111"/>
      <c r="K458" s="113" t="str">
        <f>IFERROR(INDEX([239]EQUIPOS!C:C,MATCH(B458,[239]EQUIPOS!A:A,0)),"")</f>
        <v>DIA</v>
      </c>
      <c r="L458" s="114"/>
      <c r="M458" s="115">
        <f>IFERROR(IF(D458="HERRAMIENTA MENOR (% M.O)",P497,INDEX([239]EQUIPOS!D:D,MATCH(B458,[239]EQUIPOS!A:A,0))),"")</f>
        <v>36968</v>
      </c>
      <c r="N458" s="116">
        <v>266.67</v>
      </c>
      <c r="O458" s="117"/>
      <c r="P458" s="118">
        <f t="shared" si="15"/>
        <v>138.63</v>
      </c>
      <c r="Q458" s="119"/>
      <c r="R458" s="4"/>
    </row>
    <row r="459" spans="1:18">
      <c r="A459" s="1">
        <f t="shared" ref="A459:A497" si="16">+A458</f>
        <v>0</v>
      </c>
      <c r="B459" s="2" t="s">
        <v>278</v>
      </c>
      <c r="C459" s="8"/>
      <c r="D459" s="109" t="str">
        <f>IFERROR(INDEX([239]EQUIPOS!B:B,MATCH(B459,[239]EQUIPOS!A:A,0)),"")</f>
        <v>EQUIPO DE SOLDADURA</v>
      </c>
      <c r="E459" s="110"/>
      <c r="F459" s="110"/>
      <c r="G459" s="110"/>
      <c r="H459" s="111"/>
      <c r="I459" s="120"/>
      <c r="J459" s="121"/>
      <c r="K459" s="113" t="str">
        <f>IFERROR(INDEX([239]EQUIPOS!C:C,MATCH(B459,[239]EQUIPOS!A:A,0)),"")</f>
        <v>DIA</v>
      </c>
      <c r="L459" s="114"/>
      <c r="M459" s="115">
        <f>IFERROR(IF(D459="HERRAMIENTA MENOR (% M.O)",P498,INDEX([239]EQUIPOS!D:D,MATCH(B459,[239]EQUIPOS!A:A,0))),"")</f>
        <v>80000</v>
      </c>
      <c r="N459" s="116">
        <v>266.67</v>
      </c>
      <c r="O459" s="117"/>
      <c r="P459" s="118">
        <f t="shared" si="15"/>
        <v>300</v>
      </c>
      <c r="Q459" s="119"/>
      <c r="R459" s="4"/>
    </row>
    <row r="460" spans="1:18">
      <c r="A460" s="1"/>
      <c r="B460" s="2" t="s">
        <v>339</v>
      </c>
      <c r="C460" s="8"/>
      <c r="D460" s="109" t="str">
        <f>IFERROR(INDEX([239]EQUIPOS!B:B,MATCH(B460,[239]EQUIPOS!A:A,0)),"")</f>
        <v>COMPRESOR DE PINTURA</v>
      </c>
      <c r="E460" s="110"/>
      <c r="F460" s="110"/>
      <c r="G460" s="110"/>
      <c r="H460" s="111"/>
      <c r="I460" s="120"/>
      <c r="J460" s="121"/>
      <c r="K460" s="113" t="str">
        <f>IFERROR(INDEX([239]EQUIPOS!C:C,MATCH(B460,[239]EQUIPOS!A:A,0)),"")</f>
        <v>DIA</v>
      </c>
      <c r="L460" s="114"/>
      <c r="M460" s="115">
        <f>IFERROR(IF(D460="HERRAMIENTA MENOR (% M.O)",P499,INDEX([239]EQUIPOS!D:D,MATCH(B460,[239]EQUIPOS!A:A,0))),"")</f>
        <v>90792</v>
      </c>
      <c r="N460" s="116">
        <v>160</v>
      </c>
      <c r="O460" s="117"/>
      <c r="P460" s="118">
        <f t="shared" si="15"/>
        <v>567.45000000000005</v>
      </c>
      <c r="Q460" s="119"/>
      <c r="R460" s="4"/>
    </row>
    <row r="461" spans="1:18">
      <c r="A461" s="1"/>
      <c r="B461" s="2"/>
      <c r="C461" s="8"/>
      <c r="D461" s="109" t="str">
        <f>IFERROR(INDEX([239]EQUIPOS!B:B,MATCH(B461,[239]EQUIPOS!A:A,0)),"")</f>
        <v/>
      </c>
      <c r="E461" s="110"/>
      <c r="F461" s="110"/>
      <c r="G461" s="110"/>
      <c r="H461" s="111"/>
      <c r="I461" s="112"/>
      <c r="J461" s="111"/>
      <c r="K461" s="113" t="str">
        <f>IFERROR(INDEX([239]EQUIPOS!C:C,MATCH(B461,[239]EQUIPOS!A:A,0)),"")</f>
        <v/>
      </c>
      <c r="L461" s="114"/>
      <c r="M461" s="115" t="str">
        <f>IFERROR(IF(D461="HERRAMIENTA MENOR (% M.O)",P500,INDEX([239]EQUIPOS!D:D,MATCH(B461,[239]EQUIPOS!A:A,0))),"")</f>
        <v/>
      </c>
      <c r="N461" s="116"/>
      <c r="O461" s="117"/>
      <c r="P461" s="118" t="str">
        <f t="shared" si="15"/>
        <v xml:space="preserve"> </v>
      </c>
      <c r="Q461" s="119"/>
      <c r="R461" s="4"/>
    </row>
    <row r="462" spans="1:18" ht="15.75" thickBot="1">
      <c r="A462" s="1"/>
      <c r="B462" s="2"/>
      <c r="C462" s="8"/>
      <c r="D462" s="109" t="str">
        <f>IFERROR(INDEX([239]EQUIPOS!B:B,MATCH(B462,[239]EQUIPOS!A:A,0)),"")</f>
        <v/>
      </c>
      <c r="E462" s="78"/>
      <c r="F462" s="78"/>
      <c r="G462" s="78"/>
      <c r="H462" s="122"/>
      <c r="I462" s="123"/>
      <c r="J462" s="122"/>
      <c r="K462" s="113" t="str">
        <f>IFERROR(INDEX([239]EQUIPOS!C:C,MATCH(B462,[239]EQUIPOS!A:A,0)),"")</f>
        <v/>
      </c>
      <c r="L462" s="124"/>
      <c r="M462" s="115" t="str">
        <f>IFERROR(IF(D462="HERRAMIENTA MENOR (% M.O)",P501,INDEX([239]EQUIPOS!D:D,MATCH(B462,[239]EQUIPOS!A:A,0))),"")</f>
        <v/>
      </c>
      <c r="N462" s="125"/>
      <c r="O462" s="126"/>
      <c r="P462" s="127" t="str">
        <f t="shared" si="15"/>
        <v xml:space="preserve"> </v>
      </c>
      <c r="Q462" s="119"/>
      <c r="R462" s="4"/>
    </row>
    <row r="463" spans="1:18" ht="15.75" thickBot="1">
      <c r="A463" s="1"/>
      <c r="B463" s="2"/>
      <c r="C463" s="8"/>
      <c r="D463" s="128" t="s">
        <v>24</v>
      </c>
      <c r="E463" s="129"/>
      <c r="F463" s="129"/>
      <c r="G463" s="129"/>
      <c r="H463" s="129"/>
      <c r="I463" s="129"/>
      <c r="J463" s="129"/>
      <c r="K463" s="129"/>
      <c r="L463" s="129"/>
      <c r="M463" s="129"/>
      <c r="N463" s="129"/>
      <c r="O463" s="130"/>
      <c r="P463" s="131">
        <f>SUM(P457:P462)</f>
        <v>12742.47</v>
      </c>
      <c r="Q463" s="132"/>
      <c r="R463" s="4"/>
    </row>
    <row r="464" spans="1:18" ht="15.75" thickBot="1">
      <c r="A464" s="1"/>
      <c r="B464" s="2"/>
      <c r="C464" s="8"/>
      <c r="D464" s="74" t="s">
        <v>25</v>
      </c>
      <c r="E464" s="37"/>
      <c r="F464" s="37"/>
      <c r="G464" s="37"/>
      <c r="H464" s="37"/>
      <c r="I464" s="37"/>
      <c r="J464" s="37"/>
      <c r="K464" s="37"/>
      <c r="L464" s="37"/>
      <c r="M464" s="37"/>
      <c r="N464" s="37"/>
      <c r="O464" s="37"/>
      <c r="P464" s="99"/>
      <c r="Q464" s="100"/>
      <c r="R464" s="4"/>
    </row>
    <row r="465" spans="1:18">
      <c r="A465" s="1"/>
      <c r="B465" s="2"/>
      <c r="C465" s="8"/>
      <c r="D465" s="101" t="s">
        <v>14</v>
      </c>
      <c r="E465" s="133"/>
      <c r="F465" s="133"/>
      <c r="G465" s="133"/>
      <c r="H465" s="133"/>
      <c r="I465" s="133"/>
      <c r="J465" s="133"/>
      <c r="K465" s="105"/>
      <c r="L465" s="134" t="s">
        <v>15</v>
      </c>
      <c r="M465" s="106" t="s">
        <v>16</v>
      </c>
      <c r="N465" s="104" t="s">
        <v>26</v>
      </c>
      <c r="O465" s="105"/>
      <c r="P465" s="107" t="s">
        <v>22</v>
      </c>
      <c r="Q465" s="108"/>
      <c r="R465" s="4"/>
    </row>
    <row r="466" spans="1:18">
      <c r="A466" s="1"/>
      <c r="B466" s="2" t="s">
        <v>361</v>
      </c>
      <c r="C466" s="8"/>
      <c r="D466" s="109" t="str">
        <f>IFERROR(INDEX([239]MATERIALES!C:C,MATCH(B466,[239]MATERIALES!B:B,0)),"")</f>
        <v>ANGULO 3/4" X 1/8"</v>
      </c>
      <c r="E466" s="135"/>
      <c r="F466" s="135"/>
      <c r="G466" s="135"/>
      <c r="H466" s="135"/>
      <c r="I466" s="135"/>
      <c r="J466" s="135"/>
      <c r="K466" s="136"/>
      <c r="L466" s="137" t="str">
        <f>IFERROR(INDEX([239]MATERIALES!D:D,MATCH(B466,[239]MATERIALES!B:B,0)),"")</f>
        <v>M</v>
      </c>
      <c r="M466" s="138">
        <v>2</v>
      </c>
      <c r="N466" s="139">
        <f>IFERROR(INDEX([239]MATERIALES!P:P,MATCH(B466,[239]MATERIALES!B:B,0)),"")</f>
        <v>4241.67</v>
      </c>
      <c r="O466" s="140"/>
      <c r="P466" s="118">
        <f>IFERROR(ROUND(N466*M466,2),"")</f>
        <v>8483.34</v>
      </c>
      <c r="Q466" s="119"/>
      <c r="R466" s="4"/>
    </row>
    <row r="467" spans="1:18">
      <c r="A467" s="1">
        <f t="shared" si="16"/>
        <v>0</v>
      </c>
      <c r="B467" s="2" t="s">
        <v>353</v>
      </c>
      <c r="C467" s="8"/>
      <c r="D467" s="109" t="str">
        <f>IFERROR(INDEX([239]MATERIALES!C:C,MATCH(B467,[239]MATERIALES!B:B,0)),"")</f>
        <v>LAMINA COLL ROLLED CAL 18 (0,85mm) 1x2 m</v>
      </c>
      <c r="E467" s="135"/>
      <c r="F467" s="135"/>
      <c r="G467" s="135"/>
      <c r="H467" s="135"/>
      <c r="I467" s="135"/>
      <c r="J467" s="135"/>
      <c r="K467" s="136"/>
      <c r="L467" s="137" t="str">
        <f>IFERROR(INDEX([239]MATERIALES!D:D,MATCH(B467,[239]MATERIALES!B:B,0)),"")</f>
        <v>UND</v>
      </c>
      <c r="M467" s="138">
        <v>0.4</v>
      </c>
      <c r="N467" s="139">
        <f>IFERROR(INDEX([239]MATERIALES!P:P,MATCH(B467,[239]MATERIALES!B:B,0)),"")</f>
        <v>123750</v>
      </c>
      <c r="O467" s="140"/>
      <c r="P467" s="118">
        <f>IFERROR(ROUND(N467*M467,2),"")</f>
        <v>49500</v>
      </c>
      <c r="Q467" s="119"/>
      <c r="R467" s="4"/>
    </row>
    <row r="468" spans="1:18">
      <c r="A468" s="1">
        <f t="shared" si="16"/>
        <v>0</v>
      </c>
      <c r="B468" s="2" t="s">
        <v>362</v>
      </c>
      <c r="C468" s="8"/>
      <c r="D468" s="109" t="str">
        <f>IFERROR(INDEX([239]MATERIALES!C:C,MATCH(B468,[239]MATERIALES!B:B,0)),"")</f>
        <v>BISAGRA COMÚN 2"</v>
      </c>
      <c r="E468" s="110"/>
      <c r="F468" s="110"/>
      <c r="G468" s="110"/>
      <c r="H468" s="110"/>
      <c r="I468" s="110"/>
      <c r="J468" s="110"/>
      <c r="K468" s="111"/>
      <c r="L468" s="137" t="str">
        <f>IFERROR(INDEX([239]MATERIALES!D:D,MATCH(B468,[239]MATERIALES!B:B,0)),"")</f>
        <v>UND</v>
      </c>
      <c r="M468" s="138">
        <v>2</v>
      </c>
      <c r="N468" s="139">
        <f>IFERROR(INDEX([239]MATERIALES!P:P,MATCH(B468,[239]MATERIALES!B:B,0)),"")</f>
        <v>3850</v>
      </c>
      <c r="O468" s="140"/>
      <c r="P468" s="118">
        <f>IFERROR(ROUND(N468*M468,2),"")</f>
        <v>7700</v>
      </c>
      <c r="Q468" s="119"/>
      <c r="R468" s="4"/>
    </row>
    <row r="469" spans="1:18">
      <c r="A469" s="1">
        <f t="shared" si="16"/>
        <v>0</v>
      </c>
      <c r="B469" s="2" t="s">
        <v>363</v>
      </c>
      <c r="C469" s="8"/>
      <c r="D469" s="109" t="str">
        <f>IFERROR(INDEX([239]MATERIALES!C:C,MATCH(B469,[239]MATERIALES!B:B,0)),"")</f>
        <v>MANIJA PARA VENTANA</v>
      </c>
      <c r="E469" s="110"/>
      <c r="F469" s="110"/>
      <c r="G469" s="110"/>
      <c r="H469" s="110"/>
      <c r="I469" s="110"/>
      <c r="J469" s="110"/>
      <c r="K469" s="111"/>
      <c r="L469" s="137" t="str">
        <f>IFERROR(INDEX([239]MATERIALES!D:D,MATCH(B469,[239]MATERIALES!B:B,0)),"")</f>
        <v>UND</v>
      </c>
      <c r="M469" s="138">
        <v>1</v>
      </c>
      <c r="N469" s="139">
        <f>IFERROR(INDEX([239]MATERIALES!P:P,MATCH(B469,[239]MATERIALES!B:B,0)),"")</f>
        <v>9350</v>
      </c>
      <c r="O469" s="140"/>
      <c r="P469" s="118">
        <f>IFERROR(ROUND(N469*M469,2),"")</f>
        <v>9350</v>
      </c>
      <c r="Q469" s="119"/>
      <c r="R469" s="4"/>
    </row>
    <row r="470" spans="1:18">
      <c r="A470" s="1">
        <f t="shared" si="16"/>
        <v>0</v>
      </c>
      <c r="B470" s="2" t="s">
        <v>364</v>
      </c>
      <c r="C470" s="8"/>
      <c r="D470" s="109" t="str">
        <f>IFERROR(INDEX([239]MATERIALES!C:C,MATCH(B470,[239]MATERIALES!B:B,0)),"")</f>
        <v>VIDRIO INCOLORO DE 5 MM.</v>
      </c>
      <c r="E470" s="110"/>
      <c r="F470" s="110"/>
      <c r="G470" s="110"/>
      <c r="H470" s="110"/>
      <c r="I470" s="110"/>
      <c r="J470" s="110"/>
      <c r="K470" s="111"/>
      <c r="L470" s="137" t="str">
        <f>IFERROR(INDEX([239]MATERIALES!D:D,MATCH(B470,[239]MATERIALES!B:B,0)),"")</f>
        <v>M2</v>
      </c>
      <c r="M470" s="138">
        <v>1</v>
      </c>
      <c r="N470" s="139">
        <f>IFERROR(INDEX([239]MATERIALES!P:P,MATCH(B470,[239]MATERIALES!B:B,0)),"")</f>
        <v>83200</v>
      </c>
      <c r="O470" s="140"/>
      <c r="P470" s="118">
        <f t="shared" ref="P470:P479" si="17">IFERROR(ROUND(N470*M470,2),"")</f>
        <v>83200</v>
      </c>
      <c r="Q470" s="119"/>
      <c r="R470" s="4"/>
    </row>
    <row r="471" spans="1:18">
      <c r="A471" s="1">
        <f t="shared" si="16"/>
        <v>0</v>
      </c>
      <c r="B471" s="2" t="s">
        <v>359</v>
      </c>
      <c r="C471" s="8"/>
      <c r="D471" s="109" t="str">
        <f>IFERROR(INDEX([239]MATERIALES!C:C,MATCH(B471,[239]MATERIALES!B:B,0)),"")</f>
        <v>ANTICORROSIVO PRIMER</v>
      </c>
      <c r="E471" s="110"/>
      <c r="F471" s="110"/>
      <c r="G471" s="110"/>
      <c r="H471" s="110"/>
      <c r="I471" s="110"/>
      <c r="J471" s="110"/>
      <c r="K471" s="111"/>
      <c r="L471" s="137" t="str">
        <f>IFERROR(INDEX([239]MATERIALES!D:D,MATCH(B471,[239]MATERIALES!B:B,0)),"")</f>
        <v>GAL</v>
      </c>
      <c r="M471" s="138">
        <v>0.23</v>
      </c>
      <c r="N471" s="139">
        <f>IFERROR(INDEX([239]MATERIALES!P:P,MATCH(B471,[239]MATERIALES!B:B,0)),"")</f>
        <v>178200</v>
      </c>
      <c r="O471" s="140"/>
      <c r="P471" s="118">
        <f t="shared" si="17"/>
        <v>40986</v>
      </c>
      <c r="Q471" s="119"/>
      <c r="R471" s="4"/>
    </row>
    <row r="472" spans="1:18">
      <c r="A472" s="1">
        <f t="shared" si="16"/>
        <v>0</v>
      </c>
      <c r="B472" s="2" t="s">
        <v>284</v>
      </c>
      <c r="C472" s="8"/>
      <c r="D472" s="109" t="str">
        <f>IFERROR(INDEX([239]MATERIALES!C:C,MATCH(B472,[239]MATERIALES!B:B,0)),"")</f>
        <v>PINTURA ESMALTE SINTÉTICO TIPO I</v>
      </c>
      <c r="E472" s="110"/>
      <c r="F472" s="110"/>
      <c r="G472" s="110"/>
      <c r="H472" s="110"/>
      <c r="I472" s="110"/>
      <c r="J472" s="110"/>
      <c r="K472" s="111"/>
      <c r="L472" s="137" t="str">
        <f>IFERROR(INDEX([239]MATERIALES!D:D,MATCH(B472,[239]MATERIALES!B:B,0)),"")</f>
        <v>GAL</v>
      </c>
      <c r="M472" s="138">
        <v>0.1</v>
      </c>
      <c r="N472" s="139">
        <f>IFERROR(INDEX([239]MATERIALES!P:P,MATCH(B472,[239]MATERIALES!B:B,0)),"")</f>
        <v>96598.66</v>
      </c>
      <c r="O472" s="140"/>
      <c r="P472" s="118">
        <f t="shared" si="17"/>
        <v>9659.8700000000008</v>
      </c>
      <c r="Q472" s="119"/>
      <c r="R472" s="4"/>
    </row>
    <row r="473" spans="1:18">
      <c r="A473" s="1">
        <f t="shared" si="16"/>
        <v>0</v>
      </c>
      <c r="B473" s="2" t="s">
        <v>280</v>
      </c>
      <c r="C473" s="8"/>
      <c r="D473" s="109" t="str">
        <f>IFERROR(INDEX([239]MATERIALES!C:C,MATCH(B473,[239]MATERIALES!B:B,0)),"")</f>
        <v>SOLDADURA ELÉCTRICA 6013</v>
      </c>
      <c r="E473" s="110"/>
      <c r="F473" s="110"/>
      <c r="G473" s="110"/>
      <c r="H473" s="110"/>
      <c r="I473" s="110"/>
      <c r="J473" s="110"/>
      <c r="K473" s="111"/>
      <c r="L473" s="137" t="str">
        <f>IFERROR(INDEX([239]MATERIALES!D:D,MATCH(B473,[239]MATERIALES!B:B,0)),"")</f>
        <v>KG</v>
      </c>
      <c r="M473" s="138">
        <v>0.16</v>
      </c>
      <c r="N473" s="139">
        <f>IFERROR(INDEX([239]MATERIALES!P:P,MATCH(B473,[239]MATERIALES!B:B,0)),"")</f>
        <v>23035.3</v>
      </c>
      <c r="O473" s="140"/>
      <c r="P473" s="118">
        <f t="shared" si="17"/>
        <v>3685.65</v>
      </c>
      <c r="Q473" s="119"/>
      <c r="R473" s="4"/>
    </row>
    <row r="474" spans="1:18">
      <c r="A474" s="1">
        <f t="shared" si="16"/>
        <v>0</v>
      </c>
      <c r="B474" s="2" t="s">
        <v>281</v>
      </c>
      <c r="C474" s="8"/>
      <c r="D474" s="109" t="str">
        <f>IFERROR(INDEX([239]MATERIALES!C:C,MATCH(B474,[239]MATERIALES!B:B,0)),"")</f>
        <v>DISCO CORTE DE METAL 7"</v>
      </c>
      <c r="E474" s="110"/>
      <c r="F474" s="110"/>
      <c r="G474" s="110"/>
      <c r="H474" s="110"/>
      <c r="I474" s="110"/>
      <c r="J474" s="110"/>
      <c r="K474" s="111"/>
      <c r="L474" s="137" t="str">
        <f>IFERROR(INDEX([239]MATERIALES!D:D,MATCH(B474,[239]MATERIALES!B:B,0)),"")</f>
        <v>UND</v>
      </c>
      <c r="M474" s="138">
        <v>0.2</v>
      </c>
      <c r="N474" s="139">
        <f>IFERROR(INDEX([239]MATERIALES!P:P,MATCH(B474,[239]MATERIALES!B:B,0)),"")</f>
        <v>9750</v>
      </c>
      <c r="O474" s="140"/>
      <c r="P474" s="118">
        <f t="shared" si="17"/>
        <v>1950</v>
      </c>
      <c r="Q474" s="119"/>
      <c r="R474" s="4"/>
    </row>
    <row r="475" spans="1:18">
      <c r="A475" s="1">
        <f t="shared" si="16"/>
        <v>0</v>
      </c>
      <c r="B475" s="2"/>
      <c r="C475" s="8"/>
      <c r="D475" s="109" t="str">
        <f>IFERROR(INDEX([239]MATERIALES!C:C,MATCH(B475,[239]MATERIALES!B:B,0)),"")</f>
        <v/>
      </c>
      <c r="E475" s="110"/>
      <c r="F475" s="110"/>
      <c r="G475" s="110"/>
      <c r="H475" s="110"/>
      <c r="I475" s="110"/>
      <c r="J475" s="110"/>
      <c r="K475" s="111"/>
      <c r="L475" s="137" t="str">
        <f>IFERROR(INDEX([239]MATERIALES!D:D,MATCH(B475,[239]MATERIALES!B:B,0)),"")</f>
        <v/>
      </c>
      <c r="M475" s="138"/>
      <c r="N475" s="139" t="str">
        <f>IFERROR(INDEX([239]MATERIALES!P:P,MATCH(B475,[239]MATERIALES!B:B,0)),"")</f>
        <v/>
      </c>
      <c r="O475" s="140"/>
      <c r="P475" s="118" t="str">
        <f t="shared" si="17"/>
        <v/>
      </c>
      <c r="Q475" s="119"/>
      <c r="R475" s="4"/>
    </row>
    <row r="476" spans="1:18">
      <c r="A476" s="1">
        <f t="shared" si="16"/>
        <v>0</v>
      </c>
      <c r="B476" s="2"/>
      <c r="C476" s="8"/>
      <c r="D476" s="109" t="str">
        <f>IFERROR(INDEX([239]MATERIALES!C:C,MATCH(B476,[239]MATERIALES!B:B,0)),"")</f>
        <v/>
      </c>
      <c r="E476" s="110"/>
      <c r="F476" s="110"/>
      <c r="G476" s="110"/>
      <c r="H476" s="110"/>
      <c r="I476" s="110"/>
      <c r="J476" s="110"/>
      <c r="K476" s="111"/>
      <c r="L476" s="137" t="str">
        <f>IFERROR(INDEX([239]MATERIALES!D:D,MATCH(B476,[239]MATERIALES!B:B,0)),"")</f>
        <v/>
      </c>
      <c r="M476" s="138"/>
      <c r="N476" s="139" t="str">
        <f>IFERROR(INDEX([239]MATERIALES!P:P,MATCH(B476,[239]MATERIALES!B:B,0)),"")</f>
        <v/>
      </c>
      <c r="O476" s="140"/>
      <c r="P476" s="118" t="str">
        <f t="shared" si="17"/>
        <v/>
      </c>
      <c r="Q476" s="119"/>
      <c r="R476" s="4"/>
    </row>
    <row r="477" spans="1:18">
      <c r="A477" s="1">
        <f t="shared" si="16"/>
        <v>0</v>
      </c>
      <c r="B477" s="2"/>
      <c r="C477" s="8"/>
      <c r="D477" s="109" t="str">
        <f>IFERROR(INDEX([239]MATERIALES!C:C,MATCH(B477,[239]MATERIALES!B:B,0)),"")</f>
        <v/>
      </c>
      <c r="E477" s="110"/>
      <c r="F477" s="110"/>
      <c r="G477" s="110"/>
      <c r="H477" s="110"/>
      <c r="I477" s="110"/>
      <c r="J477" s="110"/>
      <c r="K477" s="111"/>
      <c r="L477" s="137" t="str">
        <f>IFERROR(INDEX([239]MATERIALES!D:D,MATCH(B477,[239]MATERIALES!B:B,0)),"")</f>
        <v/>
      </c>
      <c r="M477" s="138"/>
      <c r="N477" s="139" t="str">
        <f>IFERROR(INDEX([239]MATERIALES!P:P,MATCH(B477,[239]MATERIALES!B:B,0)),"")</f>
        <v/>
      </c>
      <c r="O477" s="140"/>
      <c r="P477" s="118" t="str">
        <f t="shared" si="17"/>
        <v/>
      </c>
      <c r="Q477" s="119"/>
      <c r="R477" s="4"/>
    </row>
    <row r="478" spans="1:18">
      <c r="A478" s="1">
        <f t="shared" si="16"/>
        <v>0</v>
      </c>
      <c r="B478" s="2"/>
      <c r="C478" s="8"/>
      <c r="D478" s="109" t="str">
        <f>IFERROR(INDEX([239]MATERIALES!C:C,MATCH(B478,[239]MATERIALES!B:B,0)),"")</f>
        <v/>
      </c>
      <c r="E478" s="110"/>
      <c r="F478" s="110"/>
      <c r="G478" s="110"/>
      <c r="H478" s="110"/>
      <c r="I478" s="110"/>
      <c r="J478" s="110"/>
      <c r="K478" s="111"/>
      <c r="L478" s="137" t="str">
        <f>IFERROR(INDEX([239]MATERIALES!D:D,MATCH(B478,[239]MATERIALES!B:B,0)),"")</f>
        <v/>
      </c>
      <c r="M478" s="138"/>
      <c r="N478" s="139" t="str">
        <f>IFERROR(INDEX([239]MATERIALES!P:P,MATCH(B478,[239]MATERIALES!B:B,0)),"")</f>
        <v/>
      </c>
      <c r="O478" s="140"/>
      <c r="P478" s="118" t="str">
        <f t="shared" si="17"/>
        <v/>
      </c>
      <c r="Q478" s="119"/>
      <c r="R478" s="4"/>
    </row>
    <row r="479" spans="1:18">
      <c r="A479" s="1">
        <f t="shared" si="16"/>
        <v>0</v>
      </c>
      <c r="B479" s="2"/>
      <c r="C479" s="8"/>
      <c r="D479" s="109" t="str">
        <f>IFERROR(INDEX([239]MATERIALES!C:C,MATCH(B479,[239]MATERIALES!B:B,0)),"")</f>
        <v/>
      </c>
      <c r="E479" s="110"/>
      <c r="F479" s="110"/>
      <c r="G479" s="110"/>
      <c r="H479" s="110"/>
      <c r="I479" s="110"/>
      <c r="J479" s="110"/>
      <c r="K479" s="111"/>
      <c r="L479" s="137" t="str">
        <f>IFERROR(INDEX([239]MATERIALES!D:D,MATCH(B479,[239]MATERIALES!B:B,0)),"")</f>
        <v/>
      </c>
      <c r="M479" s="138"/>
      <c r="N479" s="139" t="str">
        <f>IFERROR(INDEX([239]MATERIALES!P:P,MATCH(B479,[239]MATERIALES!B:B,0)),"")</f>
        <v/>
      </c>
      <c r="O479" s="140"/>
      <c r="P479" s="118" t="str">
        <f t="shared" si="17"/>
        <v/>
      </c>
      <c r="Q479" s="119"/>
      <c r="R479" s="4"/>
    </row>
    <row r="480" spans="1:18" ht="15.75" thickBot="1">
      <c r="A480" s="1">
        <f t="shared" si="16"/>
        <v>0</v>
      </c>
      <c r="B480" s="2"/>
      <c r="C480" s="8"/>
      <c r="D480" s="109" t="s">
        <v>28</v>
      </c>
      <c r="E480" s="110"/>
      <c r="F480" s="110"/>
      <c r="G480" s="110"/>
      <c r="H480" s="110"/>
      <c r="I480" s="110"/>
      <c r="J480" s="110"/>
      <c r="K480" s="111"/>
      <c r="L480" s="137" t="s">
        <v>29</v>
      </c>
      <c r="M480" s="138">
        <v>0.05</v>
      </c>
      <c r="N480" s="139">
        <f>SUM(P466:P479)</f>
        <v>214514.86</v>
      </c>
      <c r="O480" s="140"/>
      <c r="P480" s="118">
        <f>ROUND(N480*M480,2)</f>
        <v>10725.74</v>
      </c>
      <c r="Q480" s="119"/>
      <c r="R480" s="4"/>
    </row>
    <row r="481" spans="1:18" ht="15.75" thickBot="1">
      <c r="A481" s="1">
        <f t="shared" si="16"/>
        <v>0</v>
      </c>
      <c r="B481" s="2"/>
      <c r="C481" s="8"/>
      <c r="D481" s="128" t="s">
        <v>24</v>
      </c>
      <c r="E481" s="129"/>
      <c r="F481" s="129"/>
      <c r="G481" s="129"/>
      <c r="H481" s="129"/>
      <c r="I481" s="129"/>
      <c r="J481" s="129"/>
      <c r="K481" s="129"/>
      <c r="L481" s="129"/>
      <c r="M481" s="129"/>
      <c r="N481" s="129"/>
      <c r="O481" s="130"/>
      <c r="P481" s="131">
        <f>SUM(P466:P480)</f>
        <v>225240.59999999998</v>
      </c>
      <c r="Q481" s="119"/>
      <c r="R481" s="4"/>
    </row>
    <row r="482" spans="1:18" ht="15.75" thickBot="1">
      <c r="A482" s="1">
        <f t="shared" si="16"/>
        <v>0</v>
      </c>
      <c r="B482" s="2"/>
      <c r="C482" s="8"/>
      <c r="D482" s="74" t="s">
        <v>30</v>
      </c>
      <c r="E482" s="37"/>
      <c r="F482" s="37"/>
      <c r="G482" s="37"/>
      <c r="H482" s="37"/>
      <c r="I482" s="37"/>
      <c r="J482" s="37"/>
      <c r="K482" s="37"/>
      <c r="L482" s="37"/>
      <c r="M482" s="37"/>
      <c r="N482" s="37"/>
      <c r="O482" s="37"/>
      <c r="P482" s="99"/>
      <c r="Q482" s="100"/>
      <c r="R482" s="4"/>
    </row>
    <row r="483" spans="1:18">
      <c r="A483" s="1">
        <f t="shared" si="16"/>
        <v>0</v>
      </c>
      <c r="B483" s="2"/>
      <c r="C483" s="8"/>
      <c r="D483" s="101" t="s">
        <v>31</v>
      </c>
      <c r="E483" s="133"/>
      <c r="F483" s="133"/>
      <c r="G483" s="133"/>
      <c r="H483" s="133"/>
      <c r="I483" s="133"/>
      <c r="J483" s="133"/>
      <c r="K483" s="106" t="s">
        <v>32</v>
      </c>
      <c r="L483" s="141" t="s">
        <v>33</v>
      </c>
      <c r="M483" s="106" t="s">
        <v>34</v>
      </c>
      <c r="N483" s="104" t="s">
        <v>20</v>
      </c>
      <c r="O483" s="105"/>
      <c r="P483" s="107" t="s">
        <v>22</v>
      </c>
      <c r="Q483" s="108"/>
      <c r="R483" s="4"/>
    </row>
    <row r="484" spans="1:18">
      <c r="A484" s="1">
        <f t="shared" si="16"/>
        <v>0</v>
      </c>
      <c r="B484" s="2"/>
      <c r="C484" s="8"/>
      <c r="D484" s="142" t="str">
        <f>IFERROR(INDEX([239]TRANSPORTES!B:B,MATCH(B484,[239]TRANSPORTES!A:A,0)),"")</f>
        <v/>
      </c>
      <c r="E484" s="143"/>
      <c r="F484" s="143"/>
      <c r="G484" s="143"/>
      <c r="H484" s="143"/>
      <c r="I484" s="143"/>
      <c r="J484" s="143"/>
      <c r="K484" s="220"/>
      <c r="L484" s="145"/>
      <c r="M484" s="146" t="str">
        <f>IFERROR(INDEX([239]TRANSPORTES!C:C,MATCH(B484,[239]TRANSPORTES!A:A,0)),"")</f>
        <v/>
      </c>
      <c r="N484" s="139" t="str">
        <f>IFERROR(INDEX([239]TRANSPORTES!D:D,MATCH(B484,[239]TRANSPORTES!A:A,0)),"")</f>
        <v/>
      </c>
      <c r="O484" s="147"/>
      <c r="P484" s="148" t="str">
        <f>IFERROR(ROUND(K484*N484*L484,2),"")</f>
        <v/>
      </c>
      <c r="Q484" s="119"/>
      <c r="R484" s="4"/>
    </row>
    <row r="485" spans="1:18">
      <c r="A485" s="1">
        <f t="shared" si="16"/>
        <v>0</v>
      </c>
      <c r="B485" s="2"/>
      <c r="C485" s="8"/>
      <c r="D485" s="142" t="str">
        <f>IFERROR(INDEX([239]TRANSPORTES!B:B,MATCH(B485,[239]TRANSPORTES!A:A,0)),"")</f>
        <v/>
      </c>
      <c r="E485" s="143"/>
      <c r="F485" s="143"/>
      <c r="G485" s="143"/>
      <c r="H485" s="143"/>
      <c r="I485" s="143"/>
      <c r="J485" s="143"/>
      <c r="K485" s="144"/>
      <c r="L485" s="145"/>
      <c r="M485" s="146" t="str">
        <f>IFERROR(INDEX([239]TRANSPORTES!C:C,MATCH(B485,[239]TRANSPORTES!A:A,0)),"")</f>
        <v/>
      </c>
      <c r="N485" s="139" t="str">
        <f>IFERROR(INDEX([239]TRANSPORTES!D:D,MATCH(B485,[239]TRANSPORTES!A:A,0)),"")</f>
        <v/>
      </c>
      <c r="O485" s="147"/>
      <c r="P485" s="148" t="str">
        <f>IFERROR(ROUND(K485*N485*L485,2),"")</f>
        <v/>
      </c>
      <c r="Q485" s="119"/>
      <c r="R485" s="4"/>
    </row>
    <row r="486" spans="1:18">
      <c r="A486" s="1">
        <f t="shared" si="16"/>
        <v>0</v>
      </c>
      <c r="B486" s="2"/>
      <c r="C486" s="8"/>
      <c r="D486" s="142" t="str">
        <f>IFERROR(INDEX([239]TRANSPORTES!B:B,MATCH(B486,[239]TRANSPORTES!A:A,0)),"")</f>
        <v/>
      </c>
      <c r="E486" s="143"/>
      <c r="F486" s="143"/>
      <c r="G486" s="143"/>
      <c r="H486" s="143"/>
      <c r="I486" s="143"/>
      <c r="J486" s="143"/>
      <c r="K486" s="144"/>
      <c r="L486" s="145"/>
      <c r="M486" s="146" t="str">
        <f>IFERROR(INDEX([239]TRANSPORTES!C:C,MATCH(B486,[239]TRANSPORTES!A:A,0)),"")</f>
        <v/>
      </c>
      <c r="N486" s="139" t="str">
        <f>IFERROR(INDEX([239]TRANSPORTES!D:D,MATCH(B486,[239]TRANSPORTES!A:A,0)),"")</f>
        <v/>
      </c>
      <c r="O486" s="147"/>
      <c r="P486" s="148" t="str">
        <f>IFERROR(ROUND(K486*N486*L486,2),"")</f>
        <v/>
      </c>
      <c r="Q486" s="119"/>
      <c r="R486" s="4"/>
    </row>
    <row r="487" spans="1:18" ht="15.75" thickBot="1">
      <c r="A487" s="1">
        <f t="shared" si="16"/>
        <v>0</v>
      </c>
      <c r="B487" s="2"/>
      <c r="C487" s="8"/>
      <c r="D487" s="142" t="str">
        <f>IFERROR(INDEX([239]TRANSPORTES!B:B,MATCH(B487,[239]TRANSPORTES!A:A,0)),"")</f>
        <v/>
      </c>
      <c r="E487" s="143"/>
      <c r="F487" s="143"/>
      <c r="G487" s="143"/>
      <c r="H487" s="143"/>
      <c r="I487" s="143"/>
      <c r="J487" s="143"/>
      <c r="K487" s="149"/>
      <c r="L487" s="150"/>
      <c r="M487" s="146" t="str">
        <f>IFERROR(INDEX([239]TRANSPORTES!C:C,MATCH(B487,[239]TRANSPORTES!A:A,0)),"")</f>
        <v/>
      </c>
      <c r="N487" s="139" t="str">
        <f>IFERROR(INDEX([239]TRANSPORTES!D:D,MATCH(B487,[239]TRANSPORTES!A:A,0)),"")</f>
        <v/>
      </c>
      <c r="O487" s="147"/>
      <c r="P487" s="148" t="str">
        <f>IFERROR(ROUND(K487*N487*L487,2),"")</f>
        <v/>
      </c>
      <c r="Q487" s="119"/>
      <c r="R487" s="4"/>
    </row>
    <row r="488" spans="1:18" ht="15.75" thickBot="1">
      <c r="A488" s="1">
        <f t="shared" si="16"/>
        <v>0</v>
      </c>
      <c r="B488" s="2"/>
      <c r="C488" s="8"/>
      <c r="D488" s="128" t="s">
        <v>24</v>
      </c>
      <c r="E488" s="129"/>
      <c r="F488" s="129"/>
      <c r="G488" s="129"/>
      <c r="H488" s="129"/>
      <c r="I488" s="129"/>
      <c r="J488" s="129"/>
      <c r="K488" s="129"/>
      <c r="L488" s="129"/>
      <c r="M488" s="129"/>
      <c r="N488" s="129"/>
      <c r="O488" s="130"/>
      <c r="P488" s="151">
        <f>SUM(P484:P487)</f>
        <v>0</v>
      </c>
      <c r="Q488" s="132"/>
      <c r="R488" s="4"/>
    </row>
    <row r="489" spans="1:18" ht="15.75" thickBot="1">
      <c r="A489" s="1">
        <f t="shared" si="16"/>
        <v>0</v>
      </c>
      <c r="B489" s="2"/>
      <c r="C489" s="8"/>
      <c r="D489" s="74" t="s">
        <v>36</v>
      </c>
      <c r="E489" s="37"/>
      <c r="F489" s="37"/>
      <c r="G489" s="37"/>
      <c r="H489" s="37"/>
      <c r="I489" s="37"/>
      <c r="J489" s="37"/>
      <c r="K489" s="37"/>
      <c r="L489" s="37"/>
      <c r="M489" s="37"/>
      <c r="N489" s="37"/>
      <c r="O489" s="37"/>
      <c r="P489" s="99"/>
      <c r="Q489" s="100"/>
      <c r="R489" s="4"/>
    </row>
    <row r="490" spans="1:18" ht="30">
      <c r="A490" s="1">
        <f t="shared" si="16"/>
        <v>0</v>
      </c>
      <c r="B490" s="2"/>
      <c r="C490" s="8"/>
      <c r="D490" s="101" t="s">
        <v>37</v>
      </c>
      <c r="E490" s="133"/>
      <c r="F490" s="133"/>
      <c r="G490" s="133"/>
      <c r="H490" s="133"/>
      <c r="I490" s="133"/>
      <c r="J490" s="133"/>
      <c r="K490" s="106" t="s">
        <v>38</v>
      </c>
      <c r="L490" s="152" t="s">
        <v>39</v>
      </c>
      <c r="M490" s="153" t="s">
        <v>40</v>
      </c>
      <c r="N490" s="104" t="s">
        <v>21</v>
      </c>
      <c r="O490" s="105"/>
      <c r="P490" s="154" t="s">
        <v>22</v>
      </c>
      <c r="Q490" s="155"/>
      <c r="R490" s="4"/>
    </row>
    <row r="491" spans="1:18">
      <c r="A491" s="1">
        <f t="shared" si="16"/>
        <v>0</v>
      </c>
      <c r="B491" s="2" t="s">
        <v>41</v>
      </c>
      <c r="C491" s="8"/>
      <c r="D491" s="109" t="str">
        <f>IFERROR(INDEX('[239]MANO DE OBRA'!B:B,MATCH(B491,'[239]MANO DE OBRA'!A:A,0)),"")</f>
        <v>OFICIAL</v>
      </c>
      <c r="E491" s="110"/>
      <c r="F491" s="110"/>
      <c r="G491" s="110"/>
      <c r="H491" s="110"/>
      <c r="I491" s="110"/>
      <c r="J491" s="111"/>
      <c r="K491" s="156">
        <f>IFERROR(INDEX('[239]MANO DE OBRA'!D:D,MATCH(B491,'[239]MANO DE OBRA'!A:A,0)),"")</f>
        <v>95930</v>
      </c>
      <c r="L491" s="157">
        <f>+IF(D491&lt;&gt;"",'[239]FACTOR PRESTACIONAL'!$E$21," ")</f>
        <v>1.95</v>
      </c>
      <c r="M491" s="158">
        <f>IFERROR(K491*L491," ")</f>
        <v>187063.5</v>
      </c>
      <c r="N491" s="159">
        <v>5</v>
      </c>
      <c r="O491" s="160"/>
      <c r="P491" s="161">
        <f>IFERROR(ROUND(M491/N491,2)," ")</f>
        <v>37412.699999999997</v>
      </c>
      <c r="Q491" s="162"/>
      <c r="R491" s="4"/>
    </row>
    <row r="492" spans="1:18">
      <c r="A492" s="1">
        <f t="shared" si="16"/>
        <v>0</v>
      </c>
      <c r="B492" s="2" t="s">
        <v>285</v>
      </c>
      <c r="C492" s="8"/>
      <c r="D492" s="109" t="str">
        <f>IFERROR(INDEX('[239]MANO DE OBRA'!B:B,MATCH(B492,'[239]MANO DE OBRA'!A:A,0)),"")</f>
        <v>SOLDADOR</v>
      </c>
      <c r="E492" s="110"/>
      <c r="F492" s="110"/>
      <c r="G492" s="110"/>
      <c r="H492" s="110"/>
      <c r="I492" s="110"/>
      <c r="J492" s="111"/>
      <c r="K492" s="156">
        <f>IFERROR(INDEX('[239]MANO DE OBRA'!D:D,MATCH(B492,'[239]MANO DE OBRA'!A:A,0)),"")</f>
        <v>133570</v>
      </c>
      <c r="L492" s="157">
        <f>+IF(D492&lt;&gt;"",'[239]FACTOR PRESTACIONAL'!$E$21," ")</f>
        <v>1.95</v>
      </c>
      <c r="M492" s="158">
        <f>IFERROR(K492*L492," ")</f>
        <v>260461.5</v>
      </c>
      <c r="N492" s="159">
        <v>5</v>
      </c>
      <c r="O492" s="160"/>
      <c r="P492" s="161">
        <f>IFERROR(ROUND(M492/N492,2)," ")</f>
        <v>52092.3</v>
      </c>
      <c r="Q492" s="162"/>
      <c r="R492" s="4"/>
    </row>
    <row r="493" spans="1:18">
      <c r="A493" s="1">
        <f t="shared" si="16"/>
        <v>0</v>
      </c>
      <c r="B493" s="2" t="s">
        <v>81</v>
      </c>
      <c r="C493" s="8"/>
      <c r="D493" s="109" t="str">
        <f>IFERROR(INDEX('[239]MANO DE OBRA'!B:B,MATCH(B493,'[239]MANO DE OBRA'!A:A,0)),"")</f>
        <v>AYUDANTE (1)</v>
      </c>
      <c r="E493" s="110"/>
      <c r="F493" s="110"/>
      <c r="G493" s="110"/>
      <c r="H493" s="110"/>
      <c r="I493" s="110"/>
      <c r="J493" s="111"/>
      <c r="K493" s="156">
        <f>IFERROR(INDEX('[239]MANO DE OBRA'!D:D,MATCH(B493,'[239]MANO DE OBRA'!A:A,0)),"")</f>
        <v>71433</v>
      </c>
      <c r="L493" s="157">
        <f>+IF(D493&lt;&gt;"",'[239]FACTOR PRESTACIONAL'!$E$21," ")</f>
        <v>1.95</v>
      </c>
      <c r="M493" s="158">
        <f>IFERROR(K493*L493," ")</f>
        <v>139294.35</v>
      </c>
      <c r="N493" s="159">
        <v>5</v>
      </c>
      <c r="O493" s="160"/>
      <c r="P493" s="161">
        <f>IFERROR(ROUND(M493/N493,2)," ")</f>
        <v>27858.87</v>
      </c>
      <c r="Q493" s="162"/>
      <c r="R493" s="4"/>
    </row>
    <row r="494" spans="1:18">
      <c r="A494" s="1">
        <f t="shared" si="16"/>
        <v>0</v>
      </c>
      <c r="B494" s="2"/>
      <c r="C494" s="8"/>
      <c r="D494" s="109" t="str">
        <f>IFERROR(INDEX('[239]MANO DE OBRA'!B:B,MATCH(B494,'[239]MANO DE OBRA'!A:A,0)),"")</f>
        <v/>
      </c>
      <c r="E494" s="110"/>
      <c r="F494" s="110"/>
      <c r="G494" s="110"/>
      <c r="H494" s="110"/>
      <c r="I494" s="110"/>
      <c r="J494" s="111"/>
      <c r="K494" s="156" t="str">
        <f>IFERROR(INDEX('[239]MANO DE OBRA'!D:D,MATCH(B494,'[239]MANO DE OBRA'!A:A,0)),"")</f>
        <v/>
      </c>
      <c r="L494" s="157" t="str">
        <f>+IF(D494&lt;&gt;"",'[239]FACTOR PRESTACIONAL'!$E$21," ")</f>
        <v xml:space="preserve"> </v>
      </c>
      <c r="M494" s="158" t="str">
        <f>IFERROR(K494*L494," ")</f>
        <v xml:space="preserve"> </v>
      </c>
      <c r="N494" s="159"/>
      <c r="O494" s="160"/>
      <c r="P494" s="161" t="str">
        <f>IFERROR(ROUND(M494/N494,2)," ")</f>
        <v xml:space="preserve"> </v>
      </c>
      <c r="Q494" s="162"/>
      <c r="R494" s="4"/>
    </row>
    <row r="495" spans="1:18" ht="15.75" thickBot="1">
      <c r="A495" s="1">
        <f t="shared" si="16"/>
        <v>0</v>
      </c>
      <c r="B495" s="2"/>
      <c r="C495" s="8"/>
      <c r="D495" s="109" t="str">
        <f>IFERROR(INDEX('[239]MANO DE OBRA'!B:B,MATCH(B495,'[239]MANO DE OBRA'!A:A,0)),"")</f>
        <v/>
      </c>
      <c r="E495" s="110"/>
      <c r="F495" s="110"/>
      <c r="G495" s="110"/>
      <c r="H495" s="110"/>
      <c r="I495" s="110"/>
      <c r="J495" s="111"/>
      <c r="K495" s="156" t="str">
        <f>IFERROR(INDEX('[239]MANO DE OBRA'!D:D,MATCH(B495,'[239]MANO DE OBRA'!A:A,0)),"")</f>
        <v/>
      </c>
      <c r="L495" s="157" t="str">
        <f>+IF(D495&lt;&gt;"",'[239]FACTOR PRESTACIONAL'!$E$21," ")</f>
        <v xml:space="preserve"> </v>
      </c>
      <c r="M495" s="158" t="str">
        <f>IFERROR(K495*L495," ")</f>
        <v xml:space="preserve"> </v>
      </c>
      <c r="N495" s="159"/>
      <c r="O495" s="160"/>
      <c r="P495" s="161" t="str">
        <f>IFERROR(ROUND(M495/N495,2)," ")</f>
        <v xml:space="preserve"> </v>
      </c>
      <c r="Q495" s="119"/>
      <c r="R495" s="4"/>
    </row>
    <row r="496" spans="1:18" ht="15.75" thickBot="1">
      <c r="A496" s="1">
        <f t="shared" si="16"/>
        <v>0</v>
      </c>
      <c r="B496" s="2"/>
      <c r="C496" s="8"/>
      <c r="D496" s="128" t="s">
        <v>24</v>
      </c>
      <c r="E496" s="129"/>
      <c r="F496" s="129"/>
      <c r="G496" s="129"/>
      <c r="H496" s="129"/>
      <c r="I496" s="129"/>
      <c r="J496" s="129"/>
      <c r="K496" s="129"/>
      <c r="L496" s="129"/>
      <c r="M496" s="129"/>
      <c r="N496" s="129"/>
      <c r="O496" s="130"/>
      <c r="P496" s="131">
        <f>SUM(P491:P495)</f>
        <v>117363.87</v>
      </c>
      <c r="Q496" s="119"/>
      <c r="R496" s="4"/>
    </row>
    <row r="497" spans="1:18" ht="15.75" thickBot="1">
      <c r="A497" s="1">
        <f t="shared" si="16"/>
        <v>0</v>
      </c>
      <c r="B497" s="2"/>
      <c r="C497" s="8"/>
      <c r="D497" s="87"/>
      <c r="E497" s="20"/>
      <c r="F497" s="20"/>
      <c r="G497" s="20"/>
      <c r="H497" s="20"/>
      <c r="I497" s="20"/>
      <c r="J497" s="20"/>
      <c r="K497" s="20"/>
      <c r="L497" s="20"/>
      <c r="M497" s="20"/>
      <c r="N497" s="20"/>
      <c r="O497" s="20"/>
      <c r="P497" s="88"/>
      <c r="Q497" s="13"/>
      <c r="R497" s="4"/>
    </row>
    <row r="498" spans="1:18" ht="15.75" thickBot="1">
      <c r="A498" s="1"/>
      <c r="B498" s="2"/>
      <c r="C498" s="8"/>
      <c r="D498" s="163" t="s">
        <v>43</v>
      </c>
      <c r="E498" s="164"/>
      <c r="F498" s="164"/>
      <c r="G498" s="164"/>
      <c r="H498" s="164"/>
      <c r="I498" s="164"/>
      <c r="J498" s="164"/>
      <c r="K498" s="164"/>
      <c r="L498" s="164"/>
      <c r="M498" s="164"/>
      <c r="N498" s="164"/>
      <c r="O498" s="165"/>
      <c r="P498" s="166">
        <f>+P496+P488+P481+P463</f>
        <v>355346.93999999994</v>
      </c>
      <c r="Q498" s="167"/>
      <c r="R498" s="168"/>
    </row>
    <row r="499" spans="1:18" ht="15.75" thickBot="1">
      <c r="A499" s="1"/>
      <c r="B499" s="2"/>
      <c r="C499" s="8"/>
      <c r="D499" s="169"/>
      <c r="E499" s="170"/>
      <c r="F499" s="170"/>
      <c r="G499" s="170"/>
      <c r="H499" s="170"/>
      <c r="I499" s="170"/>
      <c r="J499" s="170"/>
      <c r="K499" s="170"/>
      <c r="L499" s="170"/>
      <c r="M499" s="170"/>
      <c r="N499" s="170"/>
      <c r="O499" s="170"/>
      <c r="P499" s="171"/>
      <c r="Q499" s="100"/>
      <c r="R499" s="4"/>
    </row>
    <row r="500" spans="1:18">
      <c r="A500" s="1"/>
      <c r="B500" s="2"/>
      <c r="C500" s="8"/>
      <c r="D500" s="172" t="s">
        <v>73</v>
      </c>
      <c r="E500" s="173"/>
      <c r="F500" s="173"/>
      <c r="G500" s="173"/>
      <c r="H500" s="173"/>
      <c r="I500" s="173"/>
      <c r="J500" s="173"/>
      <c r="K500" s="141"/>
      <c r="L500" s="174"/>
      <c r="M500" s="153" t="s">
        <v>44</v>
      </c>
      <c r="N500" s="175" t="s">
        <v>45</v>
      </c>
      <c r="O500" s="176"/>
      <c r="P500" s="154"/>
      <c r="Q500" s="155"/>
      <c r="R500" s="4"/>
    </row>
    <row r="501" spans="1:18">
      <c r="A501" s="1"/>
      <c r="B501" s="2"/>
      <c r="C501" s="8"/>
      <c r="D501" s="109" t="s">
        <v>65</v>
      </c>
      <c r="E501" s="110"/>
      <c r="F501" s="110"/>
      <c r="G501" s="110"/>
      <c r="H501" s="110"/>
      <c r="I501" s="110"/>
      <c r="J501" s="110"/>
      <c r="K501" s="177"/>
      <c r="L501" s="178"/>
      <c r="M501" s="179">
        <f>+[239]INICIO!$F$10</f>
        <v>0.24</v>
      </c>
      <c r="N501" s="180">
        <f>ROUND(M501*P498,2)</f>
        <v>85283.27</v>
      </c>
      <c r="O501" s="181"/>
      <c r="P501" s="182"/>
      <c r="Q501" s="119"/>
      <c r="R501" s="4"/>
    </row>
    <row r="502" spans="1:18">
      <c r="A502" s="1"/>
      <c r="B502" s="2"/>
      <c r="C502" s="8"/>
      <c r="D502" s="183" t="s">
        <v>67</v>
      </c>
      <c r="E502" s="61"/>
      <c r="F502" s="61"/>
      <c r="G502" s="61"/>
      <c r="H502" s="61"/>
      <c r="I502" s="61"/>
      <c r="J502" s="61"/>
      <c r="K502" s="177"/>
      <c r="L502" s="178"/>
      <c r="M502" s="179">
        <f>+[239]INICIO!$F$11</f>
        <v>0.02</v>
      </c>
      <c r="N502" s="180">
        <f>ROUND(M502*P498,2)</f>
        <v>7106.94</v>
      </c>
      <c r="O502" s="181"/>
      <c r="P502" s="182"/>
      <c r="Q502" s="119"/>
      <c r="R502" s="4"/>
    </row>
    <row r="503" spans="1:18" ht="15.75" thickBot="1">
      <c r="A503" s="1"/>
      <c r="B503" s="2"/>
      <c r="C503" s="8"/>
      <c r="D503" s="77" t="s">
        <v>69</v>
      </c>
      <c r="E503" s="78"/>
      <c r="F503" s="78"/>
      <c r="G503" s="78"/>
      <c r="H503" s="78"/>
      <c r="I503" s="78"/>
      <c r="J503" s="78"/>
      <c r="K503" s="184"/>
      <c r="L503" s="185"/>
      <c r="M503" s="179">
        <f>+[239]INICIO!$F$12</f>
        <v>7.0000000000000007E-2</v>
      </c>
      <c r="N503" s="180">
        <f>ROUND(M503*P498,2)</f>
        <v>24874.29</v>
      </c>
      <c r="O503" s="181"/>
      <c r="P503" s="182"/>
      <c r="Q503" s="119"/>
      <c r="R503" s="4"/>
    </row>
    <row r="504" spans="1:18" ht="15.75" thickBot="1">
      <c r="A504" s="1"/>
      <c r="B504" s="2"/>
      <c r="C504" s="8"/>
      <c r="D504" s="128"/>
      <c r="E504" s="129"/>
      <c r="F504" s="129"/>
      <c r="G504" s="129"/>
      <c r="H504" s="129"/>
      <c r="I504" s="129"/>
      <c r="J504" s="129"/>
      <c r="K504" s="129"/>
      <c r="L504" s="129"/>
      <c r="M504" s="129"/>
      <c r="N504" s="129"/>
      <c r="O504" s="130"/>
      <c r="P504" s="131">
        <f>SUM(N501:N503)</f>
        <v>117264.5</v>
      </c>
      <c r="Q504" s="186"/>
      <c r="R504" s="4"/>
    </row>
    <row r="505" spans="1:18" ht="15.75" thickBot="1">
      <c r="A505" s="1"/>
      <c r="B505" s="2"/>
      <c r="C505" s="8"/>
      <c r="D505" s="87"/>
      <c r="E505" s="20"/>
      <c r="F505" s="20"/>
      <c r="G505" s="20"/>
      <c r="H505" s="20"/>
      <c r="I505" s="20"/>
      <c r="J505" s="20"/>
      <c r="K505" s="20"/>
      <c r="L505" s="20"/>
      <c r="M505" s="20"/>
      <c r="N505" s="20"/>
      <c r="O505" s="20"/>
      <c r="P505" s="88"/>
      <c r="Q505" s="13"/>
      <c r="R505" s="4"/>
    </row>
    <row r="506" spans="1:18" ht="15.75" thickBot="1">
      <c r="A506" s="1"/>
      <c r="B506" s="2"/>
      <c r="C506" s="8"/>
      <c r="D506" s="187" t="s">
        <v>46</v>
      </c>
      <c r="E506" s="188"/>
      <c r="F506" s="188"/>
      <c r="G506" s="188"/>
      <c r="H506" s="188"/>
      <c r="I506" s="188"/>
      <c r="J506" s="188"/>
      <c r="K506" s="188"/>
      <c r="L506" s="188"/>
      <c r="M506" s="188"/>
      <c r="N506" s="188"/>
      <c r="O506" s="189"/>
      <c r="P506" s="166">
        <f>ROUND(P504+P498,0)</f>
        <v>472611</v>
      </c>
      <c r="Q506" s="186"/>
      <c r="R506" s="4"/>
    </row>
    <row r="507" spans="1:18">
      <c r="A507" s="1"/>
      <c r="B507" s="2"/>
      <c r="C507" s="8"/>
      <c r="D507" s="80"/>
      <c r="E507" s="81"/>
      <c r="F507" s="81"/>
      <c r="G507" s="81"/>
      <c r="H507" s="81"/>
      <c r="I507" s="81"/>
      <c r="J507" s="81"/>
      <c r="K507" s="81"/>
      <c r="L507" s="81"/>
      <c r="M507" s="81"/>
      <c r="N507" s="81"/>
      <c r="O507" s="81"/>
      <c r="P507" s="82"/>
      <c r="Q507" s="13"/>
      <c r="R507" s="4"/>
    </row>
    <row r="508" spans="1:18">
      <c r="A508" s="1"/>
      <c r="B508" s="2"/>
      <c r="C508" s="8"/>
      <c r="D508" s="87"/>
      <c r="E508" s="20"/>
      <c r="F508" s="20"/>
      <c r="G508" s="20"/>
      <c r="H508" s="20"/>
      <c r="I508" s="20"/>
      <c r="J508" s="20"/>
      <c r="K508" s="20"/>
      <c r="L508" s="20"/>
      <c r="M508" s="20"/>
      <c r="N508" s="20"/>
      <c r="O508" s="20"/>
      <c r="P508" s="88"/>
      <c r="Q508" s="13"/>
      <c r="R508" s="4"/>
    </row>
    <row r="509" spans="1:18">
      <c r="A509" s="1"/>
      <c r="B509" s="2"/>
      <c r="C509" s="8"/>
      <c r="D509" s="87"/>
      <c r="E509" s="20"/>
      <c r="F509" s="20"/>
      <c r="G509" s="20"/>
      <c r="H509" s="20"/>
      <c r="I509" s="20"/>
      <c r="J509" s="20"/>
      <c r="K509" s="20"/>
      <c r="L509" s="20"/>
      <c r="M509" s="20"/>
      <c r="N509" s="20"/>
      <c r="O509" s="20"/>
      <c r="P509" s="88"/>
      <c r="Q509" s="13"/>
      <c r="R509" s="4"/>
    </row>
    <row r="510" spans="1:18">
      <c r="A510" s="1"/>
      <c r="B510" s="2"/>
      <c r="C510" s="8"/>
      <c r="D510" s="87"/>
      <c r="E510" s="20"/>
      <c r="F510" s="20"/>
      <c r="G510" s="20"/>
      <c r="H510" s="20"/>
      <c r="I510" s="20"/>
      <c r="J510" s="20"/>
      <c r="K510" s="20"/>
      <c r="L510" s="20"/>
      <c r="M510" s="20"/>
      <c r="N510" s="20"/>
      <c r="O510" s="20"/>
      <c r="P510" s="88"/>
      <c r="Q510" s="13"/>
      <c r="R510" s="4"/>
    </row>
    <row r="511" spans="1:18">
      <c r="A511" s="1"/>
      <c r="B511" s="2"/>
      <c r="C511" s="8"/>
      <c r="D511" s="219" t="str">
        <f>+[239]INICIO!$B$13</f>
        <v>Proyectó:</v>
      </c>
      <c r="E511" s="49"/>
      <c r="F511" s="49"/>
      <c r="G511" s="49"/>
      <c r="H511" s="49"/>
      <c r="I511" s="49"/>
      <c r="J511" s="49"/>
      <c r="K511" s="20"/>
      <c r="L511" s="69" t="str">
        <f>+[239]INICIO!$B$16</f>
        <v>Aprobó:</v>
      </c>
      <c r="M511" s="49"/>
      <c r="N511" s="49"/>
      <c r="O511" s="49"/>
      <c r="P511" s="88"/>
      <c r="Q511" s="13"/>
      <c r="R511" s="4"/>
    </row>
    <row r="512" spans="1:18">
      <c r="A512" s="1"/>
      <c r="B512" s="2"/>
      <c r="C512" s="8"/>
      <c r="D512" s="87"/>
      <c r="E512" s="20" t="str">
        <f>+Hoja2!C$13</f>
        <v>HELMER EDUARDO BECERRA SANTANDER</v>
      </c>
      <c r="F512" s="20"/>
      <c r="G512" s="20"/>
      <c r="H512" s="20"/>
      <c r="I512" s="20"/>
      <c r="J512" s="20"/>
      <c r="K512" s="20"/>
      <c r="L512" s="20"/>
      <c r="M512" s="20" t="str">
        <f>+Hoja2!$C$16</f>
        <v>JESÚS IVÁN QUIÑONES RUEDA</v>
      </c>
      <c r="N512" s="20"/>
      <c r="O512" s="20"/>
      <c r="P512" s="88"/>
      <c r="Q512" s="190"/>
      <c r="R512" s="4"/>
    </row>
    <row r="513" spans="1:18">
      <c r="A513" s="1"/>
      <c r="B513" s="2"/>
      <c r="C513" s="8"/>
      <c r="D513" s="87"/>
      <c r="E513" s="20" t="str">
        <f>+Hoja2!C$14</f>
        <v>APOYO SEC. DE PLANEACIÓN Y OBRAS PÚBLICAS</v>
      </c>
      <c r="F513" s="20"/>
      <c r="G513" s="20"/>
      <c r="H513" s="20"/>
      <c r="I513" s="20"/>
      <c r="J513" s="20"/>
      <c r="K513" s="20"/>
      <c r="L513" s="20"/>
      <c r="M513" s="20" t="str">
        <f>+Hoja2!$C$17</f>
        <v>SECRETARIO DE PLANEACIÓN Y OBRAS PUBLICAS</v>
      </c>
      <c r="N513" s="20"/>
      <c r="O513" s="20"/>
      <c r="P513" s="88"/>
      <c r="Q513" s="190"/>
      <c r="R513" s="4"/>
    </row>
    <row r="514" spans="1:18">
      <c r="A514" s="1"/>
      <c r="B514" s="2"/>
      <c r="C514" s="8"/>
      <c r="D514" s="68"/>
      <c r="E514" s="20" t="str">
        <f>+Hoja2!C$15</f>
        <v>123769-0701671 NTS</v>
      </c>
      <c r="F514" s="191"/>
      <c r="G514" s="191"/>
      <c r="H514" s="191"/>
      <c r="I514" s="20"/>
      <c r="J514" s="191"/>
      <c r="K514" s="191"/>
      <c r="L514" s="191"/>
      <c r="M514" s="192" t="str">
        <f>+Hoja2!C$18</f>
        <v>A21382020-1090480860</v>
      </c>
      <c r="N514" s="191"/>
      <c r="O514" s="191"/>
      <c r="P514" s="193"/>
      <c r="Q514" s="194"/>
      <c r="R514" s="4"/>
    </row>
    <row r="515" spans="1:18" ht="16.5" thickBot="1">
      <c r="A515" s="1"/>
      <c r="B515" s="2"/>
      <c r="C515" s="8"/>
      <c r="D515" s="195"/>
      <c r="E515" s="150"/>
      <c r="F515" s="150"/>
      <c r="G515" s="150"/>
      <c r="H515" s="150"/>
      <c r="I515" s="150"/>
      <c r="J515" s="150"/>
      <c r="K515" s="150"/>
      <c r="L515" s="150"/>
      <c r="M515" s="150"/>
      <c r="N515" s="150"/>
      <c r="O515" s="150"/>
      <c r="P515" s="196"/>
      <c r="Q515" s="197"/>
      <c r="R515" s="4"/>
    </row>
    <row r="516" spans="1:18" ht="15.75" thickBot="1">
      <c r="A516" s="1"/>
      <c r="B516" s="2"/>
      <c r="C516" s="198"/>
      <c r="D516" s="199"/>
      <c r="E516" s="199"/>
      <c r="F516" s="199"/>
      <c r="G516" s="199"/>
      <c r="H516" s="199"/>
      <c r="I516" s="199"/>
      <c r="J516" s="199"/>
      <c r="K516" s="199"/>
      <c r="L516" s="199"/>
      <c r="M516" s="199"/>
      <c r="N516" s="199"/>
      <c r="O516" s="199"/>
      <c r="P516" s="199"/>
      <c r="Q516" s="200"/>
      <c r="R516" s="4"/>
    </row>
    <row r="517" spans="1:18" ht="15.75" thickTop="1">
      <c r="A517" s="1"/>
      <c r="B517" s="2"/>
      <c r="C517" s="3"/>
      <c r="D517" s="4"/>
      <c r="E517" s="4"/>
      <c r="F517" s="4"/>
      <c r="G517" s="4"/>
      <c r="H517" s="4"/>
      <c r="I517" s="4"/>
      <c r="J517" s="4"/>
      <c r="K517" s="4"/>
      <c r="L517" s="4"/>
      <c r="M517" s="4"/>
      <c r="N517" s="4"/>
      <c r="O517" s="4"/>
      <c r="P517" s="4"/>
      <c r="Q517" s="4"/>
      <c r="R517" s="4"/>
    </row>
    <row r="518" spans="1:18" ht="15.75" thickBot="1">
      <c r="A518" s="1"/>
      <c r="B518" s="2"/>
      <c r="C518" s="198"/>
      <c r="D518" s="199"/>
      <c r="E518" s="199"/>
      <c r="F518" s="199"/>
      <c r="G518" s="199"/>
      <c r="H518" s="199"/>
      <c r="I518" s="199"/>
      <c r="J518" s="199"/>
      <c r="K518" s="199"/>
      <c r="L518" s="199"/>
      <c r="M518" s="199"/>
      <c r="N518" s="199"/>
      <c r="O518" s="199"/>
      <c r="P518" s="199"/>
      <c r="Q518" s="200"/>
      <c r="R518" s="4"/>
    </row>
    <row r="519" spans="1:18" ht="15.75" thickTop="1">
      <c r="A519" s="1"/>
      <c r="B519" s="2"/>
      <c r="C519" s="5"/>
      <c r="D519" s="6"/>
      <c r="E519" s="6"/>
      <c r="F519" s="6"/>
      <c r="G519" s="6"/>
      <c r="H519" s="6"/>
      <c r="I519" s="6"/>
      <c r="J519" s="6"/>
      <c r="K519" s="6"/>
      <c r="L519" s="6"/>
      <c r="M519" s="6"/>
      <c r="N519" s="6"/>
      <c r="O519" s="6"/>
      <c r="P519" s="6"/>
      <c r="Q519" s="7"/>
      <c r="R519" s="4"/>
    </row>
    <row r="520" spans="1:18" ht="24">
      <c r="A520" s="1"/>
      <c r="B520" s="2"/>
      <c r="C520" s="8"/>
      <c r="D520" s="9" t="str">
        <f>+[239]INICIO!$C$8</f>
        <v>Análisis de Precios Unitarios- Secretaria de Planeación y Obras Publicas de Cubará, Boyacá.</v>
      </c>
      <c r="E520" s="10"/>
      <c r="F520" s="10"/>
      <c r="G520" s="10"/>
      <c r="H520" s="11"/>
      <c r="I520" s="12"/>
      <c r="J520" s="12"/>
      <c r="K520" s="12"/>
      <c r="L520" s="12"/>
      <c r="M520" s="12"/>
      <c r="N520" s="12"/>
      <c r="O520" s="12"/>
      <c r="P520" s="12"/>
      <c r="Q520" s="13"/>
      <c r="R520" s="4"/>
    </row>
    <row r="521" spans="1:18">
      <c r="A521" s="1"/>
      <c r="B521" s="2"/>
      <c r="C521" s="8"/>
      <c r="D521" s="14" t="s">
        <v>0</v>
      </c>
      <c r="E521" s="15" t="str">
        <f>+[239]INICIO!$C$7</f>
        <v>CCE-EICP-FM-14</v>
      </c>
      <c r="F521" s="16"/>
      <c r="G521" s="17" t="str">
        <f>+[239]INICIO!$B$6</f>
        <v>VERSIÓN</v>
      </c>
      <c r="H521" s="14">
        <f>+[239]INICIO!$C$6</f>
        <v>1</v>
      </c>
      <c r="I521" s="12"/>
      <c r="J521" s="12"/>
      <c r="K521" s="12"/>
      <c r="L521" s="12"/>
      <c r="M521" s="12"/>
      <c r="N521" s="12"/>
      <c r="O521" s="12"/>
      <c r="P521" s="12"/>
      <c r="Q521" s="13"/>
      <c r="R521" s="4"/>
    </row>
    <row r="522" spans="1:18">
      <c r="A522" s="1"/>
      <c r="B522" s="2"/>
      <c r="C522" s="8"/>
      <c r="D522" s="18"/>
      <c r="E522" s="19"/>
      <c r="F522" s="18"/>
      <c r="G522" s="19"/>
      <c r="H522" s="12"/>
      <c r="I522" s="12"/>
      <c r="J522" s="12"/>
      <c r="K522" s="12"/>
      <c r="L522" s="12"/>
      <c r="M522" s="12"/>
      <c r="N522" s="12"/>
      <c r="O522" s="12"/>
      <c r="P522" s="12"/>
      <c r="Q522" s="13"/>
      <c r="R522" s="4"/>
    </row>
    <row r="523" spans="1:18" ht="15.75" thickBot="1">
      <c r="A523" s="1"/>
      <c r="B523" s="2"/>
      <c r="C523" s="8"/>
      <c r="D523" s="20"/>
      <c r="E523" s="20"/>
      <c r="F523" s="20"/>
      <c r="G523" s="20"/>
      <c r="H523" s="20"/>
      <c r="I523" s="20"/>
      <c r="J523" s="20"/>
      <c r="K523" s="20"/>
      <c r="L523" s="20"/>
      <c r="M523" s="20"/>
      <c r="N523" s="20"/>
      <c r="O523" s="20"/>
      <c r="P523" s="20"/>
      <c r="Q523" s="13"/>
      <c r="R523" s="4"/>
    </row>
    <row r="524" spans="1:18">
      <c r="A524" s="1"/>
      <c r="B524" s="2"/>
      <c r="C524" s="8"/>
      <c r="D524" s="21"/>
      <c r="E524" s="22"/>
      <c r="F524" s="23"/>
      <c r="G524" s="23"/>
      <c r="H524" s="23"/>
      <c r="I524" s="23"/>
      <c r="J524" s="23"/>
      <c r="K524" s="23"/>
      <c r="L524" s="24"/>
      <c r="M524" s="25"/>
      <c r="N524" s="26"/>
      <c r="O524" s="26"/>
      <c r="P524" s="27"/>
      <c r="Q524" s="28"/>
      <c r="R524" s="4"/>
    </row>
    <row r="525" spans="1:18">
      <c r="A525" s="1"/>
      <c r="B525" s="2"/>
      <c r="C525" s="8"/>
      <c r="D525" s="29"/>
      <c r="E525" s="30" t="s">
        <v>1</v>
      </c>
      <c r="F525" s="31"/>
      <c r="G525" s="31"/>
      <c r="H525" s="31"/>
      <c r="I525" s="31"/>
      <c r="J525" s="31"/>
      <c r="K525" s="31"/>
      <c r="L525" s="32"/>
      <c r="M525" s="33"/>
      <c r="N525" s="34"/>
      <c r="O525" s="34"/>
      <c r="P525" s="35"/>
      <c r="Q525" s="28"/>
      <c r="R525" s="4"/>
    </row>
    <row r="526" spans="1:18">
      <c r="A526" s="1"/>
      <c r="B526" s="2"/>
      <c r="C526" s="8"/>
      <c r="D526" s="29"/>
      <c r="E526" s="36"/>
      <c r="F526" s="37"/>
      <c r="G526" s="37"/>
      <c r="H526" s="37"/>
      <c r="I526" s="37"/>
      <c r="J526" s="37"/>
      <c r="K526" s="37"/>
      <c r="L526" s="38"/>
      <c r="M526" s="39"/>
      <c r="N526" s="40"/>
      <c r="O526" s="41"/>
      <c r="P526" s="42"/>
      <c r="Q526" s="28"/>
      <c r="R526" s="4"/>
    </row>
    <row r="527" spans="1:18">
      <c r="A527" s="1"/>
      <c r="B527" s="2"/>
      <c r="C527" s="8"/>
      <c r="D527" s="29"/>
      <c r="E527" s="36"/>
      <c r="F527" s="37"/>
      <c r="G527" s="37"/>
      <c r="H527" s="37"/>
      <c r="I527" s="37"/>
      <c r="J527" s="37"/>
      <c r="K527" s="37"/>
      <c r="L527" s="38"/>
      <c r="M527" s="43" t="s">
        <v>2</v>
      </c>
      <c r="N527" s="44"/>
      <c r="O527" s="45">
        <f>+[239]INICIO!$C$6</f>
        <v>1</v>
      </c>
      <c r="P527" s="46"/>
      <c r="Q527" s="28"/>
      <c r="R527" s="4"/>
    </row>
    <row r="528" spans="1:18">
      <c r="A528" s="1"/>
      <c r="B528" s="2"/>
      <c r="C528" s="8"/>
      <c r="D528" s="29"/>
      <c r="E528" s="36"/>
      <c r="F528" s="37"/>
      <c r="G528" s="37"/>
      <c r="H528" s="37"/>
      <c r="I528" s="37"/>
      <c r="J528" s="37"/>
      <c r="K528" s="37"/>
      <c r="L528" s="38"/>
      <c r="M528" s="47"/>
      <c r="N528" s="48"/>
      <c r="O528" s="49"/>
      <c r="P528" s="50"/>
      <c r="Q528" s="51"/>
      <c r="R528" s="4"/>
    </row>
    <row r="529" spans="1:18">
      <c r="A529" s="1"/>
      <c r="B529" s="2"/>
      <c r="C529" s="8"/>
      <c r="D529" s="29"/>
      <c r="E529" s="52"/>
      <c r="F529" s="53"/>
      <c r="G529" s="53"/>
      <c r="H529" s="53"/>
      <c r="I529" s="53"/>
      <c r="J529" s="53"/>
      <c r="K529" s="53"/>
      <c r="L529" s="54"/>
      <c r="M529" s="39"/>
      <c r="N529" s="55"/>
      <c r="O529" s="55"/>
      <c r="P529" s="56"/>
      <c r="Q529" s="28"/>
      <c r="R529" s="4"/>
    </row>
    <row r="530" spans="1:18">
      <c r="A530" s="1"/>
      <c r="B530" s="2"/>
      <c r="C530" s="8"/>
      <c r="D530" s="29"/>
      <c r="E530" s="52"/>
      <c r="F530" s="53"/>
      <c r="G530" s="53"/>
      <c r="H530" s="53"/>
      <c r="I530" s="53"/>
      <c r="J530" s="53"/>
      <c r="K530" s="53"/>
      <c r="L530" s="54"/>
      <c r="M530" s="43" t="s">
        <v>3</v>
      </c>
      <c r="N530" s="43" t="str">
        <f>+VLOOKUP(D541,'PRESUPUESTO OFICIAL '!C:Q,9,FALSE)</f>
        <v>61</v>
      </c>
      <c r="O530" s="43" t="s">
        <v>4</v>
      </c>
      <c r="P530" s="508" t="str">
        <f>+'PRESUPUESTO OFICIAL '!$M$122</f>
        <v>62</v>
      </c>
      <c r="Q530" s="28"/>
      <c r="R530" s="4"/>
    </row>
    <row r="531" spans="1:18">
      <c r="A531" s="1"/>
      <c r="B531" s="2"/>
      <c r="C531" s="8"/>
      <c r="D531" s="29"/>
      <c r="E531" s="30" t="s">
        <v>5</v>
      </c>
      <c r="F531" s="31"/>
      <c r="G531" s="31"/>
      <c r="H531" s="31"/>
      <c r="I531" s="31"/>
      <c r="J531" s="31"/>
      <c r="K531" s="31"/>
      <c r="L531" s="32"/>
      <c r="M531" s="43"/>
      <c r="N531" s="57"/>
      <c r="O531" s="57"/>
      <c r="P531" s="58"/>
      <c r="Q531" s="28"/>
      <c r="R531" s="4"/>
    </row>
    <row r="532" spans="1:18" ht="15.75" thickBot="1">
      <c r="A532" s="1"/>
      <c r="B532" s="2"/>
      <c r="C532" s="8"/>
      <c r="D532" s="59"/>
      <c r="E532" s="60"/>
      <c r="F532" s="60"/>
      <c r="G532" s="60"/>
      <c r="H532" s="60"/>
      <c r="I532" s="60"/>
      <c r="J532" s="60"/>
      <c r="K532" s="60"/>
      <c r="L532" s="60"/>
      <c r="M532" s="60"/>
      <c r="N532" s="61"/>
      <c r="O532" s="61"/>
      <c r="P532" s="62"/>
      <c r="Q532" s="63"/>
      <c r="R532" s="4"/>
    </row>
    <row r="533" spans="1:18">
      <c r="A533" s="1"/>
      <c r="B533" s="2"/>
      <c r="C533" s="8"/>
      <c r="D533" s="64"/>
      <c r="E533" s="65"/>
      <c r="F533" s="65"/>
      <c r="G533" s="65"/>
      <c r="H533" s="65"/>
      <c r="I533" s="65"/>
      <c r="J533" s="65"/>
      <c r="K533" s="65"/>
      <c r="L533" s="65"/>
      <c r="M533" s="66" t="s">
        <v>6</v>
      </c>
      <c r="N533" s="66" t="s">
        <v>7</v>
      </c>
      <c r="O533" s="66" t="s">
        <v>8</v>
      </c>
      <c r="P533" s="67" t="s">
        <v>9</v>
      </c>
      <c r="Q533" s="51"/>
      <c r="R533" s="4"/>
    </row>
    <row r="534" spans="1:18">
      <c r="A534" s="1"/>
      <c r="B534" s="2"/>
      <c r="C534" s="8"/>
      <c r="D534" s="68"/>
      <c r="E534" s="69"/>
      <c r="F534" s="69"/>
      <c r="G534" s="69"/>
      <c r="H534" s="69"/>
      <c r="I534" s="69"/>
      <c r="J534" s="69"/>
      <c r="K534" s="69"/>
      <c r="L534" s="69"/>
      <c r="M534" s="70"/>
      <c r="N534" s="71">
        <f>+Hoja2!B$5</f>
        <v>5</v>
      </c>
      <c r="O534" s="71">
        <f>+Hoja2!C$5</f>
        <v>8</v>
      </c>
      <c r="P534" s="72">
        <f>+Hoja2!D$5</f>
        <v>2026</v>
      </c>
      <c r="Q534" s="73"/>
      <c r="R534" s="4"/>
    </row>
    <row r="535" spans="1:18">
      <c r="A535" s="1"/>
      <c r="B535" s="2"/>
      <c r="C535" s="8"/>
      <c r="D535" s="74"/>
      <c r="E535" s="37"/>
      <c r="F535" s="37"/>
      <c r="G535" s="37"/>
      <c r="H535" s="69"/>
      <c r="I535" s="69"/>
      <c r="J535" s="69"/>
      <c r="K535" s="20"/>
      <c r="L535" s="69"/>
      <c r="M535" s="75"/>
      <c r="N535" s="20"/>
      <c r="O535" s="20"/>
      <c r="P535" s="76"/>
      <c r="Q535" s="73"/>
      <c r="R535" s="4"/>
    </row>
    <row r="536" spans="1:18" ht="15.75" thickBot="1">
      <c r="A536" s="1"/>
      <c r="B536" s="2"/>
      <c r="C536" s="8"/>
      <c r="D536" s="77"/>
      <c r="E536" s="78"/>
      <c r="F536" s="78"/>
      <c r="G536" s="78"/>
      <c r="H536" s="78"/>
      <c r="I536" s="78"/>
      <c r="J536" s="78"/>
      <c r="K536" s="78"/>
      <c r="L536" s="78"/>
      <c r="M536" s="78"/>
      <c r="N536" s="78"/>
      <c r="O536" s="78"/>
      <c r="P536" s="79"/>
      <c r="Q536" s="13"/>
      <c r="R536" s="4"/>
    </row>
    <row r="537" spans="1:18" ht="15.75" thickBot="1">
      <c r="A537" s="1"/>
      <c r="B537" s="2"/>
      <c r="C537" s="8"/>
      <c r="D537" s="80"/>
      <c r="E537" s="81"/>
      <c r="F537" s="81"/>
      <c r="G537" s="81"/>
      <c r="H537" s="81"/>
      <c r="I537" s="81"/>
      <c r="J537" s="20"/>
      <c r="K537" s="20"/>
      <c r="L537" s="81"/>
      <c r="M537" s="81"/>
      <c r="N537" s="81"/>
      <c r="O537" s="81"/>
      <c r="P537" s="82"/>
      <c r="Q537" s="13"/>
      <c r="R537" s="4"/>
    </row>
    <row r="538" spans="1:18">
      <c r="A538" s="1"/>
      <c r="B538" s="2"/>
      <c r="C538" s="8"/>
      <c r="D538" s="83" t="s">
        <v>10</v>
      </c>
      <c r="E538" s="84"/>
      <c r="F538" s="84"/>
      <c r="G538" s="84"/>
      <c r="H538" s="84"/>
      <c r="I538" s="84"/>
      <c r="J538" s="84"/>
      <c r="K538" s="84"/>
      <c r="L538" s="84"/>
      <c r="M538" s="84"/>
      <c r="N538" s="84"/>
      <c r="O538" s="84"/>
      <c r="P538" s="85"/>
      <c r="Q538" s="86"/>
      <c r="R538" s="4"/>
    </row>
    <row r="539" spans="1:18" ht="15.75" thickBot="1">
      <c r="A539" s="1"/>
      <c r="B539" s="2"/>
      <c r="C539" s="8"/>
      <c r="D539" s="87"/>
      <c r="E539" s="20"/>
      <c r="F539" s="20"/>
      <c r="G539" s="20"/>
      <c r="H539" s="20"/>
      <c r="I539" s="20"/>
      <c r="J539" s="20"/>
      <c r="K539" s="20"/>
      <c r="L539" s="20"/>
      <c r="M539" s="20"/>
      <c r="N539" s="20"/>
      <c r="O539" s="20"/>
      <c r="P539" s="88"/>
      <c r="Q539" s="13"/>
      <c r="R539" s="4"/>
    </row>
    <row r="540" spans="1:18">
      <c r="A540" s="1" t="s">
        <v>11</v>
      </c>
      <c r="B540" s="2" t="s">
        <v>12</v>
      </c>
      <c r="C540" s="8"/>
      <c r="D540" s="89" t="s">
        <v>13</v>
      </c>
      <c r="E540" s="90" t="s">
        <v>14</v>
      </c>
      <c r="F540" s="90"/>
      <c r="G540" s="90"/>
      <c r="H540" s="90"/>
      <c r="I540" s="90"/>
      <c r="J540" s="90"/>
      <c r="K540" s="90"/>
      <c r="L540" s="90"/>
      <c r="M540" s="90"/>
      <c r="N540" s="91" t="s">
        <v>15</v>
      </c>
      <c r="O540" s="91"/>
      <c r="P540" s="92" t="s">
        <v>16</v>
      </c>
      <c r="Q540" s="93"/>
      <c r="R540" s="4"/>
    </row>
    <row r="541" spans="1:18" ht="29.25" thickBot="1">
      <c r="A541" s="1"/>
      <c r="B541" s="2"/>
      <c r="C541" s="8"/>
      <c r="D541" s="349">
        <f>+'PRESUPUESTO OFICIAL '!C98</f>
        <v>9.0299999999999994</v>
      </c>
      <c r="E541" s="94" t="str">
        <f>+VLOOKUP(D541,'PRESUPUESTO OFICIAL '!C:H,2,FALSE)</f>
        <v>SUMINISTRO E INSTALACIÓN DE CANAL EN LÁMINA GALVANIZADA CAL.20 DESARROLLO HASTA 0.60 M</v>
      </c>
      <c r="F541" s="94"/>
      <c r="G541" s="94"/>
      <c r="H541" s="94"/>
      <c r="I541" s="94"/>
      <c r="J541" s="94"/>
      <c r="K541" s="94"/>
      <c r="L541" s="94"/>
      <c r="M541" s="94"/>
      <c r="N541" s="94" t="str">
        <f>+VLOOKUP(D541,'PRESUPUESTO OFICIAL '!C:H,3,FALSE)</f>
        <v>M</v>
      </c>
      <c r="O541" s="95"/>
      <c r="P541" s="96">
        <f>+VLOOKUP(D541,'PRESUPUESTO OFICIAL '!C:H,4,FALSE)</f>
        <v>40.9</v>
      </c>
      <c r="Q541" s="97"/>
      <c r="R541" s="98">
        <f>+P593</f>
        <v>78380</v>
      </c>
    </row>
    <row r="542" spans="1:18" ht="15.75" thickBot="1">
      <c r="A542" s="1"/>
      <c r="B542" s="2"/>
      <c r="C542" s="8"/>
      <c r="D542" s="74"/>
      <c r="E542" s="37"/>
      <c r="F542" s="37"/>
      <c r="G542" s="37"/>
      <c r="H542" s="37"/>
      <c r="I542" s="37"/>
      <c r="J542" s="37"/>
      <c r="K542" s="37"/>
      <c r="L542" s="37"/>
      <c r="M542" s="37"/>
      <c r="N542" s="37"/>
      <c r="O542" s="37"/>
      <c r="P542" s="99"/>
      <c r="Q542" s="100"/>
      <c r="R542" s="4"/>
    </row>
    <row r="543" spans="1:18">
      <c r="A543" s="1"/>
      <c r="B543" s="2"/>
      <c r="C543" s="8"/>
      <c r="D543" s="101" t="s">
        <v>14</v>
      </c>
      <c r="E543" s="102"/>
      <c r="F543" s="102"/>
      <c r="G543" s="102"/>
      <c r="H543" s="103"/>
      <c r="I543" s="104" t="s">
        <v>18</v>
      </c>
      <c r="J543" s="102"/>
      <c r="K543" s="104" t="s">
        <v>19</v>
      </c>
      <c r="L543" s="105"/>
      <c r="M543" s="106" t="s">
        <v>20</v>
      </c>
      <c r="N543" s="104" t="s">
        <v>21</v>
      </c>
      <c r="O543" s="105"/>
      <c r="P543" s="107" t="s">
        <v>22</v>
      </c>
      <c r="Q543" s="108"/>
      <c r="R543" s="4"/>
    </row>
    <row r="544" spans="1:18">
      <c r="A544" s="1" t="e">
        <f>[239]INDICE!#REF!</f>
        <v>#REF!</v>
      </c>
      <c r="B544" s="2" t="s">
        <v>23</v>
      </c>
      <c r="C544" s="8"/>
      <c r="D544" s="109" t="str">
        <f>IFERROR(INDEX([239]EQUIPOS!B:B,MATCH(B544,[239]EQUIPOS!A:A,0)),"")</f>
        <v>HERRAMIENTA MENOR (% M.O)</v>
      </c>
      <c r="E544" s="110"/>
      <c r="F544" s="110"/>
      <c r="G544" s="110"/>
      <c r="H544" s="111"/>
      <c r="I544" s="112"/>
      <c r="J544" s="111"/>
      <c r="K544" s="113" t="str">
        <f>IFERROR(INDEX([239]EQUIPOS!C:C,MATCH(B544,[239]EQUIPOS!A:A,0)),"")</f>
        <v>%</v>
      </c>
      <c r="L544" s="114"/>
      <c r="M544" s="115">
        <f>IFERROR(IF(D544="HERRAMIENTA MENOR (% M.O)",P583,INDEX([239]EQUIPOS!D:D,MATCH(B544,[239]EQUIPOS!A:A,0))),"")</f>
        <v>13054.310000000001</v>
      </c>
      <c r="N544" s="116">
        <v>10</v>
      </c>
      <c r="O544" s="117"/>
      <c r="P544" s="118">
        <f t="shared" ref="P544:P549" si="18">IFERROR(ROUND(IF(D544="HERRAMIENTA MENOR (% M.O)",N544%*M544,M544/N544),2)," ")</f>
        <v>1305.43</v>
      </c>
      <c r="Q544" s="119"/>
      <c r="R544" s="4"/>
    </row>
    <row r="545" spans="1:18">
      <c r="A545" s="1">
        <f>+$A$1691</f>
        <v>0</v>
      </c>
      <c r="B545" s="2" t="s">
        <v>264</v>
      </c>
      <c r="C545" s="8"/>
      <c r="D545" s="109" t="str">
        <f>IFERROR(INDEX([239]EQUIPOS!B:B,MATCH(B545,[239]EQUIPOS!A:A,0)),"")</f>
        <v>PULIDORA</v>
      </c>
      <c r="E545" s="110"/>
      <c r="F545" s="110"/>
      <c r="G545" s="110"/>
      <c r="H545" s="111"/>
      <c r="I545" s="112"/>
      <c r="J545" s="111"/>
      <c r="K545" s="113" t="str">
        <f>IFERROR(INDEX([239]EQUIPOS!C:C,MATCH(B545,[239]EQUIPOS!A:A,0)),"")</f>
        <v>DIA</v>
      </c>
      <c r="L545" s="114"/>
      <c r="M545" s="115">
        <f>IFERROR(IF(D545="HERRAMIENTA MENOR (% M.O)",P584,INDEX([239]EQUIPOS!D:D,MATCH(B545,[239]EQUIPOS!A:A,0))),"")</f>
        <v>45000</v>
      </c>
      <c r="N545" s="116">
        <f>+N578</f>
        <v>25</v>
      </c>
      <c r="O545" s="117"/>
      <c r="P545" s="118">
        <f t="shared" si="18"/>
        <v>1800</v>
      </c>
      <c r="Q545" s="119"/>
      <c r="R545" s="4"/>
    </row>
    <row r="546" spans="1:18">
      <c r="A546" s="1">
        <f t="shared" ref="A546:A584" si="19">+A545</f>
        <v>0</v>
      </c>
      <c r="B546" s="2" t="s">
        <v>278</v>
      </c>
      <c r="C546" s="8"/>
      <c r="D546" s="109" t="str">
        <f>IFERROR(INDEX([239]EQUIPOS!B:B,MATCH(B546,[239]EQUIPOS!A:A,0)),"")</f>
        <v>EQUIPO DE SOLDADURA</v>
      </c>
      <c r="E546" s="110"/>
      <c r="F546" s="110"/>
      <c r="G546" s="110"/>
      <c r="H546" s="111"/>
      <c r="I546" s="120"/>
      <c r="J546" s="121"/>
      <c r="K546" s="113" t="str">
        <f>IFERROR(INDEX([239]EQUIPOS!C:C,MATCH(B546,[239]EQUIPOS!A:A,0)),"")</f>
        <v>DIA</v>
      </c>
      <c r="L546" s="114"/>
      <c r="M546" s="115">
        <f>IFERROR(IF(D546="HERRAMIENTA MENOR (% M.O)",P585,INDEX([239]EQUIPOS!D:D,MATCH(B546,[239]EQUIPOS!A:A,0))),"")</f>
        <v>80000</v>
      </c>
      <c r="N546" s="116">
        <f>+N578</f>
        <v>25</v>
      </c>
      <c r="O546" s="117"/>
      <c r="P546" s="118">
        <f t="shared" si="18"/>
        <v>3200</v>
      </c>
      <c r="Q546" s="119"/>
      <c r="R546" s="4"/>
    </row>
    <row r="547" spans="1:18">
      <c r="A547" s="1">
        <f t="shared" si="19"/>
        <v>0</v>
      </c>
      <c r="B547" s="2" t="s">
        <v>258</v>
      </c>
      <c r="C547" s="8"/>
      <c r="D547" s="109" t="str">
        <f>IFERROR(INDEX([239]EQUIPOS!B:B,MATCH(B547,[239]EQUIPOS!A:A,0)),"")</f>
        <v>SECCIÓN DE ANDAMIO (02)</v>
      </c>
      <c r="E547" s="110"/>
      <c r="F547" s="110"/>
      <c r="G547" s="110"/>
      <c r="H547" s="111"/>
      <c r="I547" s="120"/>
      <c r="J547" s="121"/>
      <c r="K547" s="113" t="str">
        <f>IFERROR(INDEX([239]EQUIPOS!C:C,MATCH(B547,[239]EQUIPOS!A:A,0)),"")</f>
        <v>DIA</v>
      </c>
      <c r="L547" s="114"/>
      <c r="M547" s="115">
        <f>IFERROR(IF(D547="HERRAMIENTA MENOR (% M.O)",P586,INDEX([239]EQUIPOS!D:D,MATCH(B547,[239]EQUIPOS!A:A,0))),"")</f>
        <v>6000</v>
      </c>
      <c r="N547" s="116">
        <f>+N578</f>
        <v>25</v>
      </c>
      <c r="O547" s="117"/>
      <c r="P547" s="118">
        <f t="shared" si="18"/>
        <v>240</v>
      </c>
      <c r="Q547" s="119"/>
      <c r="R547" s="4"/>
    </row>
    <row r="548" spans="1:18">
      <c r="A548" s="1">
        <f t="shared" si="19"/>
        <v>0</v>
      </c>
      <c r="B548" s="2"/>
      <c r="C548" s="8"/>
      <c r="D548" s="109" t="str">
        <f>IFERROR(INDEX([239]EQUIPOS!B:B,MATCH(B548,[239]EQUIPOS!A:A,0)),"")</f>
        <v/>
      </c>
      <c r="E548" s="110"/>
      <c r="F548" s="110"/>
      <c r="G548" s="110"/>
      <c r="H548" s="111"/>
      <c r="I548" s="112"/>
      <c r="J548" s="111"/>
      <c r="K548" s="113" t="str">
        <f>IFERROR(INDEX([239]EQUIPOS!C:C,MATCH(B548,[239]EQUIPOS!A:A,0)),"")</f>
        <v/>
      </c>
      <c r="L548" s="114"/>
      <c r="M548" s="115" t="str">
        <f>IFERROR(IF(D548="HERRAMIENTA MENOR (% M.O)",P587,INDEX([239]EQUIPOS!D:D,MATCH(B548,[239]EQUIPOS!A:A,0))),"")</f>
        <v/>
      </c>
      <c r="N548" s="116"/>
      <c r="O548" s="117"/>
      <c r="P548" s="118" t="str">
        <f t="shared" si="18"/>
        <v xml:space="preserve"> </v>
      </c>
      <c r="Q548" s="119"/>
      <c r="R548" s="4"/>
    </row>
    <row r="549" spans="1:18" ht="15.75" thickBot="1">
      <c r="A549" s="1">
        <f t="shared" si="19"/>
        <v>0</v>
      </c>
      <c r="B549" s="2"/>
      <c r="C549" s="8"/>
      <c r="D549" s="109" t="str">
        <f>IFERROR(INDEX([239]EQUIPOS!B:B,MATCH(B549,[239]EQUIPOS!A:A,0)),"")</f>
        <v/>
      </c>
      <c r="E549" s="78"/>
      <c r="F549" s="78"/>
      <c r="G549" s="78"/>
      <c r="H549" s="122"/>
      <c r="I549" s="123"/>
      <c r="J549" s="122"/>
      <c r="K549" s="113" t="str">
        <f>IFERROR(INDEX([239]EQUIPOS!C:C,MATCH(B549,[239]EQUIPOS!A:A,0)),"")</f>
        <v/>
      </c>
      <c r="L549" s="124"/>
      <c r="M549" s="115" t="str">
        <f>IFERROR(IF(D549="HERRAMIENTA MENOR (% M.O)",P588,INDEX([239]EQUIPOS!D:D,MATCH(B549,[239]EQUIPOS!A:A,0))),"")</f>
        <v/>
      </c>
      <c r="N549" s="125"/>
      <c r="O549" s="126"/>
      <c r="P549" s="127" t="str">
        <f t="shared" si="18"/>
        <v xml:space="preserve"> </v>
      </c>
      <c r="Q549" s="119"/>
      <c r="R549" s="4"/>
    </row>
    <row r="550" spans="1:18" ht="15.75" thickBot="1">
      <c r="A550" s="1">
        <f t="shared" si="19"/>
        <v>0</v>
      </c>
      <c r="B550" s="2"/>
      <c r="C550" s="8"/>
      <c r="D550" s="128" t="s">
        <v>24</v>
      </c>
      <c r="E550" s="129"/>
      <c r="F550" s="129"/>
      <c r="G550" s="129"/>
      <c r="H550" s="129"/>
      <c r="I550" s="129"/>
      <c r="J550" s="129"/>
      <c r="K550" s="129"/>
      <c r="L550" s="129"/>
      <c r="M550" s="129"/>
      <c r="N550" s="129"/>
      <c r="O550" s="130"/>
      <c r="P550" s="131">
        <f>SUM(P544:P549)</f>
        <v>6545.43</v>
      </c>
      <c r="Q550" s="132"/>
      <c r="R550" s="4"/>
    </row>
    <row r="551" spans="1:18" ht="15.75" thickBot="1">
      <c r="A551" s="1">
        <f t="shared" si="19"/>
        <v>0</v>
      </c>
      <c r="B551" s="2"/>
      <c r="C551" s="8"/>
      <c r="D551" s="74" t="s">
        <v>25</v>
      </c>
      <c r="E551" s="37"/>
      <c r="F551" s="37"/>
      <c r="G551" s="37"/>
      <c r="H551" s="37"/>
      <c r="I551" s="37"/>
      <c r="J551" s="37"/>
      <c r="K551" s="37"/>
      <c r="L551" s="37"/>
      <c r="M551" s="37"/>
      <c r="N551" s="37"/>
      <c r="O551" s="37"/>
      <c r="P551" s="99"/>
      <c r="Q551" s="100"/>
      <c r="R551" s="4"/>
    </row>
    <row r="552" spans="1:18">
      <c r="A552" s="1">
        <f t="shared" si="19"/>
        <v>0</v>
      </c>
      <c r="B552" s="2"/>
      <c r="C552" s="8"/>
      <c r="D552" s="101" t="s">
        <v>14</v>
      </c>
      <c r="E552" s="133"/>
      <c r="F552" s="133"/>
      <c r="G552" s="133"/>
      <c r="H552" s="133"/>
      <c r="I552" s="133"/>
      <c r="J552" s="133"/>
      <c r="K552" s="105"/>
      <c r="L552" s="134" t="s">
        <v>15</v>
      </c>
      <c r="M552" s="106" t="s">
        <v>16</v>
      </c>
      <c r="N552" s="104" t="s">
        <v>26</v>
      </c>
      <c r="O552" s="105"/>
      <c r="P552" s="107" t="s">
        <v>22</v>
      </c>
      <c r="Q552" s="108"/>
      <c r="R552" s="4"/>
    </row>
    <row r="553" spans="1:18">
      <c r="A553" s="1">
        <f t="shared" si="19"/>
        <v>0</v>
      </c>
      <c r="B553" s="2" t="s">
        <v>365</v>
      </c>
      <c r="C553" s="8"/>
      <c r="D553" s="109" t="str">
        <f>IFERROR(INDEX([239]MATERIALES!C:C,MATCH(B553,[239]MATERIALES!B:B,0)),"")</f>
        <v>CANAL GALVANIZADA CAL. 20, PREFABRICADA SEGÚN DISEÑO</v>
      </c>
      <c r="E553" s="135"/>
      <c r="F553" s="135"/>
      <c r="G553" s="135"/>
      <c r="H553" s="135"/>
      <c r="I553" s="135"/>
      <c r="J553" s="135"/>
      <c r="K553" s="136"/>
      <c r="L553" s="137" t="str">
        <f>IFERROR(INDEX([239]MATERIALES!D:D,MATCH(B553,[239]MATERIALES!B:B,0)),"")</f>
        <v>M</v>
      </c>
      <c r="M553" s="138">
        <v>1</v>
      </c>
      <c r="N553" s="139">
        <f>32353*1.14</f>
        <v>36882.42</v>
      </c>
      <c r="O553" s="140"/>
      <c r="P553" s="118">
        <f>IFERROR(ROUND(N553*M553,2),"")</f>
        <v>36882.42</v>
      </c>
      <c r="Q553" s="119"/>
      <c r="R553" s="4"/>
    </row>
    <row r="554" spans="1:18">
      <c r="A554" s="1">
        <f t="shared" si="19"/>
        <v>0</v>
      </c>
      <c r="B554" s="2" t="s">
        <v>366</v>
      </c>
      <c r="C554" s="8"/>
      <c r="D554" s="109" t="str">
        <f>IFERROR(INDEX([239]MATERIALES!C:C,MATCH(B554,[239]MATERIALES!B:B,0)),"")</f>
        <v>SOLDADURA DE ESTAÑO</v>
      </c>
      <c r="E554" s="135"/>
      <c r="F554" s="135"/>
      <c r="G554" s="135"/>
      <c r="H554" s="135"/>
      <c r="I554" s="135"/>
      <c r="J554" s="135"/>
      <c r="K554" s="136"/>
      <c r="L554" s="137" t="str">
        <f>IFERROR(INDEX([239]MATERIALES!D:D,MATCH(B554,[239]MATERIALES!B:B,0)),"")</f>
        <v>KG</v>
      </c>
      <c r="M554" s="138">
        <v>0.15</v>
      </c>
      <c r="N554" s="139">
        <f>IFERROR(INDEX([239]MATERIALES!P:P,MATCH(B554,[239]MATERIALES!B:B,0)),"")</f>
        <v>3850</v>
      </c>
      <c r="O554" s="140"/>
      <c r="P554" s="118">
        <f>IFERROR(ROUND(N554*M554,2),"")</f>
        <v>577.5</v>
      </c>
      <c r="Q554" s="119"/>
      <c r="R554" s="4"/>
    </row>
    <row r="555" spans="1:18">
      <c r="A555" s="1">
        <f t="shared" si="19"/>
        <v>0</v>
      </c>
      <c r="B555" s="2"/>
      <c r="C555" s="8"/>
      <c r="D555" s="109" t="str">
        <f>IFERROR(INDEX([239]MATERIALES!C:C,MATCH(B555,[239]MATERIALES!B:B,0)),"")</f>
        <v/>
      </c>
      <c r="E555" s="110"/>
      <c r="F555" s="110"/>
      <c r="G555" s="110"/>
      <c r="H555" s="110"/>
      <c r="I555" s="110"/>
      <c r="J555" s="110"/>
      <c r="K555" s="111"/>
      <c r="L555" s="137" t="str">
        <f>IFERROR(INDEX([239]MATERIALES!D:D,MATCH(B555,[239]MATERIALES!B:B,0)),"")</f>
        <v/>
      </c>
      <c r="M555" s="138"/>
      <c r="N555" s="139" t="str">
        <f>IFERROR(INDEX([239]MATERIALES!P:P,MATCH(B555,[239]MATERIALES!B:B,0)),"")</f>
        <v/>
      </c>
      <c r="O555" s="140"/>
      <c r="P555" s="118" t="str">
        <f>IFERROR(ROUND(N555*M555,2),"")</f>
        <v/>
      </c>
      <c r="Q555" s="119"/>
      <c r="R555" s="4"/>
    </row>
    <row r="556" spans="1:18">
      <c r="A556" s="1">
        <f t="shared" si="19"/>
        <v>0</v>
      </c>
      <c r="B556" s="2"/>
      <c r="C556" s="8"/>
      <c r="D556" s="109" t="str">
        <f>IFERROR(INDEX([239]MATERIALES!C:C,MATCH(B556,[239]MATERIALES!B:B,0)),"")</f>
        <v/>
      </c>
      <c r="E556" s="110"/>
      <c r="F556" s="110"/>
      <c r="G556" s="110"/>
      <c r="H556" s="110"/>
      <c r="I556" s="110"/>
      <c r="J556" s="110"/>
      <c r="K556" s="111"/>
      <c r="L556" s="137" t="str">
        <f>IFERROR(INDEX([239]MATERIALES!D:D,MATCH(B556,[239]MATERIALES!B:B,0)),"")</f>
        <v/>
      </c>
      <c r="M556" s="138"/>
      <c r="N556" s="139" t="str">
        <f>IFERROR(INDEX([239]MATERIALES!P:P,MATCH(B556,[239]MATERIALES!B:B,0)),"")</f>
        <v/>
      </c>
      <c r="O556" s="140"/>
      <c r="P556" s="118" t="str">
        <f>IFERROR(ROUND(N556*M556,2),"")</f>
        <v/>
      </c>
      <c r="Q556" s="119"/>
      <c r="R556" s="4"/>
    </row>
    <row r="557" spans="1:18">
      <c r="A557" s="1">
        <f t="shared" si="19"/>
        <v>0</v>
      </c>
      <c r="B557" s="2"/>
      <c r="C557" s="8"/>
      <c r="D557" s="109" t="str">
        <f>IFERROR(INDEX([239]MATERIALES!C:C,MATCH(B557,[239]MATERIALES!B:B,0)),"")</f>
        <v/>
      </c>
      <c r="E557" s="110"/>
      <c r="F557" s="110"/>
      <c r="G557" s="110"/>
      <c r="H557" s="110"/>
      <c r="I557" s="110"/>
      <c r="J557" s="110"/>
      <c r="K557" s="111"/>
      <c r="L557" s="137" t="str">
        <f>IFERROR(INDEX([239]MATERIALES!D:D,MATCH(B557,[239]MATERIALES!B:B,0)),"")</f>
        <v/>
      </c>
      <c r="M557" s="138"/>
      <c r="N557" s="139" t="str">
        <f>IFERROR(INDEX([239]MATERIALES!P:P,MATCH(B557,[239]MATERIALES!B:B,0)),"")</f>
        <v/>
      </c>
      <c r="O557" s="140"/>
      <c r="P557" s="118" t="str">
        <f t="shared" ref="P557:P566" si="20">IFERROR(ROUND(N557*M557,2),"")</f>
        <v/>
      </c>
      <c r="Q557" s="119"/>
      <c r="R557" s="4"/>
    </row>
    <row r="558" spans="1:18">
      <c r="A558" s="1">
        <f t="shared" si="19"/>
        <v>0</v>
      </c>
      <c r="B558" s="2"/>
      <c r="C558" s="8"/>
      <c r="D558" s="109" t="str">
        <f>IFERROR(INDEX([239]MATERIALES!C:C,MATCH(B558,[239]MATERIALES!B:B,0)),"")</f>
        <v/>
      </c>
      <c r="E558" s="110"/>
      <c r="F558" s="110"/>
      <c r="G558" s="110"/>
      <c r="H558" s="110"/>
      <c r="I558" s="110"/>
      <c r="J558" s="110"/>
      <c r="K558" s="111"/>
      <c r="L558" s="137" t="str">
        <f>IFERROR(INDEX([239]MATERIALES!D:D,MATCH(B558,[239]MATERIALES!B:B,0)),"")</f>
        <v/>
      </c>
      <c r="M558" s="138"/>
      <c r="N558" s="139" t="str">
        <f>IFERROR(INDEX([239]MATERIALES!P:P,MATCH(B558,[239]MATERIALES!B:B,0)),"")</f>
        <v/>
      </c>
      <c r="O558" s="140"/>
      <c r="P558" s="118" t="str">
        <f t="shared" si="20"/>
        <v/>
      </c>
      <c r="Q558" s="119"/>
      <c r="R558" s="4"/>
    </row>
    <row r="559" spans="1:18">
      <c r="A559" s="1">
        <f t="shared" si="19"/>
        <v>0</v>
      </c>
      <c r="B559" s="2"/>
      <c r="C559" s="8"/>
      <c r="D559" s="109" t="str">
        <f>IFERROR(INDEX([239]MATERIALES!C:C,MATCH(B559,[239]MATERIALES!B:B,0)),"")</f>
        <v/>
      </c>
      <c r="E559" s="110"/>
      <c r="F559" s="110"/>
      <c r="G559" s="110"/>
      <c r="H559" s="110"/>
      <c r="I559" s="110"/>
      <c r="J559" s="110"/>
      <c r="K559" s="111"/>
      <c r="L559" s="137" t="str">
        <f>IFERROR(INDEX([239]MATERIALES!D:D,MATCH(B559,[239]MATERIALES!B:B,0)),"")</f>
        <v/>
      </c>
      <c r="M559" s="138"/>
      <c r="N559" s="139" t="str">
        <f>IFERROR(INDEX([239]MATERIALES!P:P,MATCH(B559,[239]MATERIALES!B:B,0)),"")</f>
        <v/>
      </c>
      <c r="O559" s="140"/>
      <c r="P559" s="118" t="str">
        <f t="shared" si="20"/>
        <v/>
      </c>
      <c r="Q559" s="119"/>
      <c r="R559" s="4"/>
    </row>
    <row r="560" spans="1:18">
      <c r="A560" s="1">
        <f t="shared" si="19"/>
        <v>0</v>
      </c>
      <c r="B560" s="2"/>
      <c r="C560" s="8"/>
      <c r="D560" s="109" t="str">
        <f>IFERROR(INDEX([239]MATERIALES!C:C,MATCH(B560,[239]MATERIALES!B:B,0)),"")</f>
        <v/>
      </c>
      <c r="E560" s="110"/>
      <c r="F560" s="110"/>
      <c r="G560" s="110"/>
      <c r="H560" s="110"/>
      <c r="I560" s="110"/>
      <c r="J560" s="110"/>
      <c r="K560" s="111"/>
      <c r="L560" s="137" t="str">
        <f>IFERROR(INDEX([239]MATERIALES!D:D,MATCH(B560,[239]MATERIALES!B:B,0)),"")</f>
        <v/>
      </c>
      <c r="M560" s="138"/>
      <c r="N560" s="139" t="str">
        <f>IFERROR(INDEX([239]MATERIALES!P:P,MATCH(B560,[239]MATERIALES!B:B,0)),"")</f>
        <v/>
      </c>
      <c r="O560" s="140"/>
      <c r="P560" s="118" t="str">
        <f t="shared" si="20"/>
        <v/>
      </c>
      <c r="Q560" s="119"/>
      <c r="R560" s="4"/>
    </row>
    <row r="561" spans="1:18">
      <c r="A561" s="1">
        <f t="shared" si="19"/>
        <v>0</v>
      </c>
      <c r="B561" s="2"/>
      <c r="C561" s="8"/>
      <c r="D561" s="109" t="str">
        <f>IFERROR(INDEX([239]MATERIALES!C:C,MATCH(B561,[239]MATERIALES!B:B,0)),"")</f>
        <v/>
      </c>
      <c r="E561" s="110"/>
      <c r="F561" s="110"/>
      <c r="G561" s="110"/>
      <c r="H561" s="110"/>
      <c r="I561" s="110"/>
      <c r="J561" s="110"/>
      <c r="K561" s="111"/>
      <c r="L561" s="137" t="str">
        <f>IFERROR(INDEX([239]MATERIALES!D:D,MATCH(B561,[239]MATERIALES!B:B,0)),"")</f>
        <v/>
      </c>
      <c r="M561" s="138"/>
      <c r="N561" s="139" t="str">
        <f>IFERROR(INDEX([239]MATERIALES!P:P,MATCH(B561,[239]MATERIALES!B:B,0)),"")</f>
        <v/>
      </c>
      <c r="O561" s="140"/>
      <c r="P561" s="118" t="str">
        <f t="shared" si="20"/>
        <v/>
      </c>
      <c r="Q561" s="119"/>
      <c r="R561" s="4"/>
    </row>
    <row r="562" spans="1:18">
      <c r="A562" s="1">
        <f t="shared" si="19"/>
        <v>0</v>
      </c>
      <c r="B562" s="2"/>
      <c r="C562" s="8"/>
      <c r="D562" s="109" t="str">
        <f>IFERROR(INDEX([239]MATERIALES!C:C,MATCH(B562,[239]MATERIALES!B:B,0)),"")</f>
        <v/>
      </c>
      <c r="E562" s="110"/>
      <c r="F562" s="110"/>
      <c r="G562" s="110"/>
      <c r="H562" s="110"/>
      <c r="I562" s="110"/>
      <c r="J562" s="110"/>
      <c r="K562" s="111"/>
      <c r="L562" s="137" t="str">
        <f>IFERROR(INDEX([239]MATERIALES!D:D,MATCH(B562,[239]MATERIALES!B:B,0)),"")</f>
        <v/>
      </c>
      <c r="M562" s="138"/>
      <c r="N562" s="139" t="str">
        <f>IFERROR(INDEX([239]MATERIALES!P:P,MATCH(B562,[239]MATERIALES!B:B,0)),"")</f>
        <v/>
      </c>
      <c r="O562" s="140"/>
      <c r="P562" s="118" t="str">
        <f t="shared" si="20"/>
        <v/>
      </c>
      <c r="Q562" s="119"/>
      <c r="R562" s="4"/>
    </row>
    <row r="563" spans="1:18">
      <c r="A563" s="1">
        <f t="shared" si="19"/>
        <v>0</v>
      </c>
      <c r="B563" s="2"/>
      <c r="C563" s="8"/>
      <c r="D563" s="109" t="str">
        <f>IFERROR(INDEX([239]MATERIALES!C:C,MATCH(B563,[239]MATERIALES!B:B,0)),"")</f>
        <v/>
      </c>
      <c r="E563" s="110"/>
      <c r="F563" s="110"/>
      <c r="G563" s="110"/>
      <c r="H563" s="110"/>
      <c r="I563" s="110"/>
      <c r="J563" s="110"/>
      <c r="K563" s="111"/>
      <c r="L563" s="137" t="str">
        <f>IFERROR(INDEX([239]MATERIALES!D:D,MATCH(B563,[239]MATERIALES!B:B,0)),"")</f>
        <v/>
      </c>
      <c r="M563" s="138"/>
      <c r="N563" s="139" t="str">
        <f>IFERROR(INDEX([239]MATERIALES!P:P,MATCH(B563,[239]MATERIALES!B:B,0)),"")</f>
        <v/>
      </c>
      <c r="O563" s="140"/>
      <c r="P563" s="118" t="str">
        <f t="shared" si="20"/>
        <v/>
      </c>
      <c r="Q563" s="119"/>
      <c r="R563" s="4"/>
    </row>
    <row r="564" spans="1:18">
      <c r="A564" s="1">
        <f t="shared" si="19"/>
        <v>0</v>
      </c>
      <c r="B564" s="2"/>
      <c r="C564" s="8"/>
      <c r="D564" s="109" t="str">
        <f>IFERROR(INDEX([239]MATERIALES!C:C,MATCH(B564,[239]MATERIALES!B:B,0)),"")</f>
        <v/>
      </c>
      <c r="E564" s="110"/>
      <c r="F564" s="110"/>
      <c r="G564" s="110"/>
      <c r="H564" s="110"/>
      <c r="I564" s="110"/>
      <c r="J564" s="110"/>
      <c r="K564" s="111"/>
      <c r="L564" s="137" t="str">
        <f>IFERROR(INDEX([239]MATERIALES!D:D,MATCH(B564,[239]MATERIALES!B:B,0)),"")</f>
        <v/>
      </c>
      <c r="M564" s="138"/>
      <c r="N564" s="139" t="str">
        <f>IFERROR(INDEX([239]MATERIALES!P:P,MATCH(B564,[239]MATERIALES!B:B,0)),"")</f>
        <v/>
      </c>
      <c r="O564" s="140"/>
      <c r="P564" s="118" t="str">
        <f t="shared" si="20"/>
        <v/>
      </c>
      <c r="Q564" s="119"/>
      <c r="R564" s="4"/>
    </row>
    <row r="565" spans="1:18">
      <c r="A565" s="1">
        <f t="shared" si="19"/>
        <v>0</v>
      </c>
      <c r="B565" s="2"/>
      <c r="C565" s="8"/>
      <c r="D565" s="109" t="str">
        <f>IFERROR(INDEX([239]MATERIALES!C:C,MATCH(B565,[239]MATERIALES!B:B,0)),"")</f>
        <v/>
      </c>
      <c r="E565" s="110"/>
      <c r="F565" s="110"/>
      <c r="G565" s="110"/>
      <c r="H565" s="110"/>
      <c r="I565" s="110"/>
      <c r="J565" s="110"/>
      <c r="K565" s="111"/>
      <c r="L565" s="137" t="str">
        <f>IFERROR(INDEX([239]MATERIALES!D:D,MATCH(B565,[239]MATERIALES!B:B,0)),"")</f>
        <v/>
      </c>
      <c r="M565" s="138"/>
      <c r="N565" s="139" t="str">
        <f>IFERROR(INDEX([239]MATERIALES!P:P,MATCH(B565,[239]MATERIALES!B:B,0)),"")</f>
        <v/>
      </c>
      <c r="O565" s="140"/>
      <c r="P565" s="118" t="str">
        <f t="shared" si="20"/>
        <v/>
      </c>
      <c r="Q565" s="119"/>
      <c r="R565" s="4"/>
    </row>
    <row r="566" spans="1:18">
      <c r="A566" s="1">
        <f t="shared" si="19"/>
        <v>0</v>
      </c>
      <c r="B566" s="2"/>
      <c r="C566" s="8"/>
      <c r="D566" s="109" t="str">
        <f>IFERROR(INDEX([239]MATERIALES!C:C,MATCH(B566,[239]MATERIALES!B:B,0)),"")</f>
        <v/>
      </c>
      <c r="E566" s="110"/>
      <c r="F566" s="110"/>
      <c r="G566" s="110"/>
      <c r="H566" s="110"/>
      <c r="I566" s="110"/>
      <c r="J566" s="110"/>
      <c r="K566" s="111"/>
      <c r="L566" s="137" t="str">
        <f>IFERROR(INDEX([239]MATERIALES!D:D,MATCH(B566,[239]MATERIALES!B:B,0)),"")</f>
        <v/>
      </c>
      <c r="M566" s="138"/>
      <c r="N566" s="139" t="str">
        <f>IFERROR(INDEX([239]MATERIALES!P:P,MATCH(B566,[239]MATERIALES!B:B,0)),"")</f>
        <v/>
      </c>
      <c r="O566" s="140"/>
      <c r="P566" s="118" t="str">
        <f t="shared" si="20"/>
        <v/>
      </c>
      <c r="Q566" s="119"/>
      <c r="R566" s="4"/>
    </row>
    <row r="567" spans="1:18" ht="15.75" thickBot="1">
      <c r="A567" s="1">
        <f t="shared" si="19"/>
        <v>0</v>
      </c>
      <c r="B567" s="2"/>
      <c r="C567" s="8"/>
      <c r="D567" s="109" t="s">
        <v>28</v>
      </c>
      <c r="E567" s="110"/>
      <c r="F567" s="110"/>
      <c r="G567" s="110"/>
      <c r="H567" s="110"/>
      <c r="I567" s="110"/>
      <c r="J567" s="110"/>
      <c r="K567" s="111"/>
      <c r="L567" s="137" t="s">
        <v>29</v>
      </c>
      <c r="M567" s="138">
        <v>0.05</v>
      </c>
      <c r="N567" s="139">
        <f>SUM(P553:P566)</f>
        <v>37459.919999999998</v>
      </c>
      <c r="O567" s="140"/>
      <c r="P567" s="118">
        <f>ROUND(N567*M567,2)</f>
        <v>1873</v>
      </c>
      <c r="Q567" s="119"/>
      <c r="R567" s="4"/>
    </row>
    <row r="568" spans="1:18" ht="15.75" thickBot="1">
      <c r="A568" s="1">
        <f t="shared" si="19"/>
        <v>0</v>
      </c>
      <c r="B568" s="2"/>
      <c r="C568" s="8"/>
      <c r="D568" s="128" t="s">
        <v>24</v>
      </c>
      <c r="E568" s="129"/>
      <c r="F568" s="129"/>
      <c r="G568" s="129"/>
      <c r="H568" s="129"/>
      <c r="I568" s="129"/>
      <c r="J568" s="129"/>
      <c r="K568" s="129"/>
      <c r="L568" s="129"/>
      <c r="M568" s="129"/>
      <c r="N568" s="129"/>
      <c r="O568" s="130"/>
      <c r="P568" s="131">
        <f>SUM(P553:P567)</f>
        <v>39332.92</v>
      </c>
      <c r="Q568" s="119"/>
      <c r="R568" s="4"/>
    </row>
    <row r="569" spans="1:18" ht="15.75" thickBot="1">
      <c r="A569" s="1">
        <f t="shared" si="19"/>
        <v>0</v>
      </c>
      <c r="B569" s="2"/>
      <c r="C569" s="8"/>
      <c r="D569" s="74" t="s">
        <v>30</v>
      </c>
      <c r="E569" s="37"/>
      <c r="F569" s="37"/>
      <c r="G569" s="37"/>
      <c r="H569" s="37"/>
      <c r="I569" s="37"/>
      <c r="J569" s="37"/>
      <c r="K569" s="37"/>
      <c r="L569" s="37"/>
      <c r="M569" s="37"/>
      <c r="N569" s="37"/>
      <c r="O569" s="37"/>
      <c r="P569" s="99"/>
      <c r="Q569" s="100"/>
      <c r="R569" s="4"/>
    </row>
    <row r="570" spans="1:18">
      <c r="A570" s="1">
        <f t="shared" si="19"/>
        <v>0</v>
      </c>
      <c r="B570" s="2"/>
      <c r="C570" s="8"/>
      <c r="D570" s="101" t="s">
        <v>31</v>
      </c>
      <c r="E570" s="133"/>
      <c r="F570" s="133"/>
      <c r="G570" s="133"/>
      <c r="H570" s="133"/>
      <c r="I570" s="133"/>
      <c r="J570" s="133"/>
      <c r="K570" s="106" t="s">
        <v>32</v>
      </c>
      <c r="L570" s="141" t="s">
        <v>33</v>
      </c>
      <c r="M570" s="106" t="s">
        <v>34</v>
      </c>
      <c r="N570" s="104" t="s">
        <v>20</v>
      </c>
      <c r="O570" s="105"/>
      <c r="P570" s="107" t="s">
        <v>22</v>
      </c>
      <c r="Q570" s="108"/>
      <c r="R570" s="4"/>
    </row>
    <row r="571" spans="1:18">
      <c r="A571" s="1">
        <f t="shared" si="19"/>
        <v>0</v>
      </c>
      <c r="B571" s="2"/>
      <c r="C571" s="8"/>
      <c r="D571" s="142" t="str">
        <f>IFERROR(INDEX([239]TRANSPORTES!B:B,MATCH(B571,[239]TRANSPORTES!A:A,0)),"")</f>
        <v/>
      </c>
      <c r="E571" s="143"/>
      <c r="F571" s="143"/>
      <c r="G571" s="143"/>
      <c r="H571" s="143"/>
      <c r="I571" s="143"/>
      <c r="J571" s="143"/>
      <c r="K571" s="220"/>
      <c r="L571" s="145"/>
      <c r="M571" s="146" t="str">
        <f>IFERROR(INDEX([239]TRANSPORTES!C:C,MATCH(B571,[239]TRANSPORTES!A:A,0)),"")</f>
        <v/>
      </c>
      <c r="N571" s="139" t="str">
        <f>IFERROR(INDEX([239]TRANSPORTES!D:D,MATCH(B571,[239]TRANSPORTES!A:A,0)),"")</f>
        <v/>
      </c>
      <c r="O571" s="147"/>
      <c r="P571" s="148" t="str">
        <f>IFERROR(ROUND(K571*N571*L571,2),"")</f>
        <v/>
      </c>
      <c r="Q571" s="119"/>
      <c r="R571" s="4"/>
    </row>
    <row r="572" spans="1:18">
      <c r="A572" s="1">
        <f t="shared" si="19"/>
        <v>0</v>
      </c>
      <c r="B572" s="2"/>
      <c r="C572" s="8"/>
      <c r="D572" s="142" t="str">
        <f>IFERROR(INDEX([239]TRANSPORTES!B:B,MATCH(B572,[239]TRANSPORTES!A:A,0)),"")</f>
        <v/>
      </c>
      <c r="E572" s="143"/>
      <c r="F572" s="143"/>
      <c r="G572" s="143"/>
      <c r="H572" s="143"/>
      <c r="I572" s="143"/>
      <c r="J572" s="143"/>
      <c r="K572" s="144"/>
      <c r="L572" s="145"/>
      <c r="M572" s="146" t="str">
        <f>IFERROR(INDEX([239]TRANSPORTES!C:C,MATCH(B572,[239]TRANSPORTES!A:A,0)),"")</f>
        <v/>
      </c>
      <c r="N572" s="139" t="str">
        <f>IFERROR(INDEX([239]TRANSPORTES!D:D,MATCH(B572,[239]TRANSPORTES!A:A,0)),"")</f>
        <v/>
      </c>
      <c r="O572" s="147"/>
      <c r="P572" s="148" t="str">
        <f>IFERROR(ROUND(K572*N572*L572,2),"")</f>
        <v/>
      </c>
      <c r="Q572" s="119"/>
      <c r="R572" s="4"/>
    </row>
    <row r="573" spans="1:18">
      <c r="A573" s="1">
        <f t="shared" si="19"/>
        <v>0</v>
      </c>
      <c r="B573" s="2"/>
      <c r="C573" s="8"/>
      <c r="D573" s="142" t="str">
        <f>IFERROR(INDEX([239]TRANSPORTES!B:B,MATCH(B573,[239]TRANSPORTES!A:A,0)),"")</f>
        <v/>
      </c>
      <c r="E573" s="143"/>
      <c r="F573" s="143"/>
      <c r="G573" s="143"/>
      <c r="H573" s="143"/>
      <c r="I573" s="143"/>
      <c r="J573" s="143"/>
      <c r="K573" s="144"/>
      <c r="L573" s="145"/>
      <c r="M573" s="146" t="str">
        <f>IFERROR(INDEX([239]TRANSPORTES!C:C,MATCH(B573,[239]TRANSPORTES!A:A,0)),"")</f>
        <v/>
      </c>
      <c r="N573" s="139" t="str">
        <f>IFERROR(INDEX([239]TRANSPORTES!D:D,MATCH(B573,[239]TRANSPORTES!A:A,0)),"")</f>
        <v/>
      </c>
      <c r="O573" s="147"/>
      <c r="P573" s="148" t="str">
        <f>IFERROR(ROUND(K573*N573*L573,2),"")</f>
        <v/>
      </c>
      <c r="Q573" s="119"/>
      <c r="R573" s="4"/>
    </row>
    <row r="574" spans="1:18" ht="15.75" thickBot="1">
      <c r="A574" s="1">
        <f t="shared" si="19"/>
        <v>0</v>
      </c>
      <c r="B574" s="2"/>
      <c r="C574" s="8"/>
      <c r="D574" s="142" t="str">
        <f>IFERROR(INDEX([239]TRANSPORTES!B:B,MATCH(B574,[239]TRANSPORTES!A:A,0)),"")</f>
        <v/>
      </c>
      <c r="E574" s="143"/>
      <c r="F574" s="143"/>
      <c r="G574" s="143"/>
      <c r="H574" s="143"/>
      <c r="I574" s="143"/>
      <c r="J574" s="143"/>
      <c r="K574" s="149"/>
      <c r="L574" s="150"/>
      <c r="M574" s="146" t="str">
        <f>IFERROR(INDEX([239]TRANSPORTES!C:C,MATCH(B574,[239]TRANSPORTES!A:A,0)),"")</f>
        <v/>
      </c>
      <c r="N574" s="139" t="str">
        <f>IFERROR(INDEX([239]TRANSPORTES!D:D,MATCH(B574,[239]TRANSPORTES!A:A,0)),"")</f>
        <v/>
      </c>
      <c r="O574" s="147"/>
      <c r="P574" s="148" t="str">
        <f>IFERROR(ROUND(K574*N574*L574,2),"")</f>
        <v/>
      </c>
      <c r="Q574" s="119"/>
      <c r="R574" s="4"/>
    </row>
    <row r="575" spans="1:18" ht="15.75" thickBot="1">
      <c r="A575" s="1">
        <f t="shared" si="19"/>
        <v>0</v>
      </c>
      <c r="B575" s="2"/>
      <c r="C575" s="8"/>
      <c r="D575" s="128" t="s">
        <v>24</v>
      </c>
      <c r="E575" s="129"/>
      <c r="F575" s="129"/>
      <c r="G575" s="129"/>
      <c r="H575" s="129"/>
      <c r="I575" s="129"/>
      <c r="J575" s="129"/>
      <c r="K575" s="129"/>
      <c r="L575" s="129"/>
      <c r="M575" s="129"/>
      <c r="N575" s="129"/>
      <c r="O575" s="130"/>
      <c r="P575" s="151">
        <f>SUM(P571:P574)</f>
        <v>0</v>
      </c>
      <c r="Q575" s="132"/>
      <c r="R575" s="4"/>
    </row>
    <row r="576" spans="1:18" ht="15.75" thickBot="1">
      <c r="A576" s="1">
        <f t="shared" si="19"/>
        <v>0</v>
      </c>
      <c r="B576" s="2"/>
      <c r="C576" s="8"/>
      <c r="D576" s="74" t="s">
        <v>36</v>
      </c>
      <c r="E576" s="37"/>
      <c r="F576" s="37"/>
      <c r="G576" s="37"/>
      <c r="H576" s="37"/>
      <c r="I576" s="37"/>
      <c r="J576" s="37"/>
      <c r="K576" s="37"/>
      <c r="L576" s="37"/>
      <c r="M576" s="37"/>
      <c r="N576" s="37"/>
      <c r="O576" s="37"/>
      <c r="P576" s="99"/>
      <c r="Q576" s="100"/>
      <c r="R576" s="4"/>
    </row>
    <row r="577" spans="1:18" ht="30">
      <c r="A577" s="1">
        <f t="shared" si="19"/>
        <v>0</v>
      </c>
      <c r="B577" s="2"/>
      <c r="C577" s="8"/>
      <c r="D577" s="101" t="s">
        <v>37</v>
      </c>
      <c r="E577" s="133"/>
      <c r="F577" s="133"/>
      <c r="G577" s="133"/>
      <c r="H577" s="133"/>
      <c r="I577" s="133"/>
      <c r="J577" s="133"/>
      <c r="K577" s="106" t="s">
        <v>38</v>
      </c>
      <c r="L577" s="152" t="s">
        <v>39</v>
      </c>
      <c r="M577" s="153" t="s">
        <v>40</v>
      </c>
      <c r="N577" s="104" t="s">
        <v>21</v>
      </c>
      <c r="O577" s="105"/>
      <c r="P577" s="154" t="s">
        <v>22</v>
      </c>
      <c r="Q577" s="155"/>
      <c r="R577" s="4"/>
    </row>
    <row r="578" spans="1:18">
      <c r="A578" s="1">
        <f t="shared" si="19"/>
        <v>0</v>
      </c>
      <c r="B578" s="2" t="s">
        <v>41</v>
      </c>
      <c r="C578" s="8"/>
      <c r="D578" s="109" t="str">
        <f>IFERROR(INDEX('[239]MANO DE OBRA'!B:B,MATCH(B578,'[239]MANO DE OBRA'!A:A,0)),"")</f>
        <v>OFICIAL</v>
      </c>
      <c r="E578" s="110"/>
      <c r="F578" s="110"/>
      <c r="G578" s="110"/>
      <c r="H578" s="110"/>
      <c r="I578" s="110"/>
      <c r="J578" s="111"/>
      <c r="K578" s="156">
        <f>IFERROR(INDEX('[239]MANO DE OBRA'!D:D,MATCH(B578,'[239]MANO DE OBRA'!A:A,0)),"")</f>
        <v>95930</v>
      </c>
      <c r="L578" s="157">
        <f>+IF(D578&lt;&gt;"",'[239]FACTOR PRESTACIONAL'!$E$21," ")</f>
        <v>1.95</v>
      </c>
      <c r="M578" s="158">
        <f>IFERROR(K578*L578," ")</f>
        <v>187063.5</v>
      </c>
      <c r="N578" s="159">
        <v>25</v>
      </c>
      <c r="O578" s="160"/>
      <c r="P578" s="161">
        <f>IFERROR(ROUND(M578/N578,2)," ")</f>
        <v>7482.54</v>
      </c>
      <c r="Q578" s="162"/>
      <c r="R578" s="4"/>
    </row>
    <row r="579" spans="1:18">
      <c r="A579" s="1">
        <f t="shared" si="19"/>
        <v>0</v>
      </c>
      <c r="B579" s="2" t="s">
        <v>81</v>
      </c>
      <c r="C579" s="8"/>
      <c r="D579" s="109" t="str">
        <f>IFERROR(INDEX('[239]MANO DE OBRA'!B:B,MATCH(B579,'[239]MANO DE OBRA'!A:A,0)),"")</f>
        <v>AYUDANTE (1)</v>
      </c>
      <c r="E579" s="110"/>
      <c r="F579" s="110"/>
      <c r="G579" s="110"/>
      <c r="H579" s="110"/>
      <c r="I579" s="110"/>
      <c r="J579" s="111"/>
      <c r="K579" s="156">
        <f>IFERROR(INDEX('[239]MANO DE OBRA'!D:D,MATCH(B579,'[239]MANO DE OBRA'!A:A,0)),"")</f>
        <v>71433</v>
      </c>
      <c r="L579" s="157">
        <f>+IF(D579&lt;&gt;"",'[239]FACTOR PRESTACIONAL'!$E$21," ")</f>
        <v>1.95</v>
      </c>
      <c r="M579" s="158">
        <f>IFERROR(K579*L579," ")</f>
        <v>139294.35</v>
      </c>
      <c r="N579" s="159">
        <v>25</v>
      </c>
      <c r="O579" s="160"/>
      <c r="P579" s="161">
        <f>IFERROR(ROUND(M579/N579,2)," ")</f>
        <v>5571.77</v>
      </c>
      <c r="Q579" s="162"/>
      <c r="R579" s="4"/>
    </row>
    <row r="580" spans="1:18">
      <c r="A580" s="1">
        <f t="shared" si="19"/>
        <v>0</v>
      </c>
      <c r="B580" s="2"/>
      <c r="C580" s="8"/>
      <c r="D580" s="109" t="str">
        <f>IFERROR(INDEX('[239]MANO DE OBRA'!B:B,MATCH(B580,'[239]MANO DE OBRA'!A:A,0)),"")</f>
        <v/>
      </c>
      <c r="E580" s="110"/>
      <c r="F580" s="110"/>
      <c r="G580" s="110"/>
      <c r="H580" s="110"/>
      <c r="I580" s="110"/>
      <c r="J580" s="111"/>
      <c r="K580" s="156" t="str">
        <f>IFERROR(INDEX('[239]MANO DE OBRA'!D:D,MATCH(B580,'[239]MANO DE OBRA'!A:A,0)),"")</f>
        <v/>
      </c>
      <c r="L580" s="157" t="str">
        <f>+IF(D580&lt;&gt;"",'[239]FACTOR PRESTACIONAL'!$E$21," ")</f>
        <v xml:space="preserve"> </v>
      </c>
      <c r="M580" s="158" t="str">
        <f>IFERROR(K580*L580," ")</f>
        <v xml:space="preserve"> </v>
      </c>
      <c r="N580" s="159"/>
      <c r="O580" s="160"/>
      <c r="P580" s="161" t="str">
        <f>IFERROR(ROUND(M580/N580,2)," ")</f>
        <v xml:space="preserve"> </v>
      </c>
      <c r="Q580" s="162"/>
      <c r="R580" s="4"/>
    </row>
    <row r="581" spans="1:18">
      <c r="A581" s="1">
        <f t="shared" si="19"/>
        <v>0</v>
      </c>
      <c r="B581" s="2"/>
      <c r="C581" s="8"/>
      <c r="D581" s="109" t="str">
        <f>IFERROR(INDEX('[239]MANO DE OBRA'!B:B,MATCH(B581,'[239]MANO DE OBRA'!A:A,0)),"")</f>
        <v/>
      </c>
      <c r="E581" s="110"/>
      <c r="F581" s="110"/>
      <c r="G581" s="110"/>
      <c r="H581" s="110"/>
      <c r="I581" s="110"/>
      <c r="J581" s="111"/>
      <c r="K581" s="156" t="str">
        <f>IFERROR(INDEX('[239]MANO DE OBRA'!D:D,MATCH(B581,'[239]MANO DE OBRA'!A:A,0)),"")</f>
        <v/>
      </c>
      <c r="L581" s="157" t="str">
        <f>+IF(D581&lt;&gt;"",'[239]FACTOR PRESTACIONAL'!$E$21," ")</f>
        <v xml:space="preserve"> </v>
      </c>
      <c r="M581" s="158" t="str">
        <f>IFERROR(K581*L581," ")</f>
        <v xml:space="preserve"> </v>
      </c>
      <c r="N581" s="159"/>
      <c r="O581" s="160"/>
      <c r="P581" s="161" t="str">
        <f>IFERROR(ROUND(M581/N581,2)," ")</f>
        <v xml:space="preserve"> </v>
      </c>
      <c r="Q581" s="162"/>
      <c r="R581" s="4"/>
    </row>
    <row r="582" spans="1:18" ht="15.75" thickBot="1">
      <c r="A582" s="1">
        <f t="shared" si="19"/>
        <v>0</v>
      </c>
      <c r="B582" s="2"/>
      <c r="C582" s="8"/>
      <c r="D582" s="109" t="str">
        <f>IFERROR(INDEX('[239]MANO DE OBRA'!B:B,MATCH(B582,'[239]MANO DE OBRA'!A:A,0)),"")</f>
        <v/>
      </c>
      <c r="E582" s="110"/>
      <c r="F582" s="110"/>
      <c r="G582" s="110"/>
      <c r="H582" s="110"/>
      <c r="I582" s="110"/>
      <c r="J582" s="111"/>
      <c r="K582" s="156" t="str">
        <f>IFERROR(INDEX('[239]MANO DE OBRA'!D:D,MATCH(B582,'[239]MANO DE OBRA'!A:A,0)),"")</f>
        <v/>
      </c>
      <c r="L582" s="157" t="str">
        <f>+IF(D582&lt;&gt;"",'[239]FACTOR PRESTACIONAL'!$E$21," ")</f>
        <v xml:space="preserve"> </v>
      </c>
      <c r="M582" s="158" t="str">
        <f>IFERROR(K582*L582," ")</f>
        <v xml:space="preserve"> </v>
      </c>
      <c r="N582" s="159"/>
      <c r="O582" s="160"/>
      <c r="P582" s="161" t="str">
        <f>IFERROR(ROUND(M582/N582,2)," ")</f>
        <v xml:space="preserve"> </v>
      </c>
      <c r="Q582" s="119"/>
      <c r="R582" s="4"/>
    </row>
    <row r="583" spans="1:18" ht="15.75" thickBot="1">
      <c r="A583" s="1">
        <f t="shared" si="19"/>
        <v>0</v>
      </c>
      <c r="B583" s="2"/>
      <c r="C583" s="8"/>
      <c r="D583" s="128" t="s">
        <v>24</v>
      </c>
      <c r="E583" s="129"/>
      <c r="F583" s="129"/>
      <c r="G583" s="129"/>
      <c r="H583" s="129"/>
      <c r="I583" s="129"/>
      <c r="J583" s="129"/>
      <c r="K583" s="129"/>
      <c r="L583" s="129"/>
      <c r="M583" s="129"/>
      <c r="N583" s="129"/>
      <c r="O583" s="130"/>
      <c r="P583" s="131">
        <f>SUM(P578:P582)</f>
        <v>13054.310000000001</v>
      </c>
      <c r="Q583" s="119"/>
      <c r="R583" s="4"/>
    </row>
    <row r="584" spans="1:18" ht="15.75" thickBot="1">
      <c r="A584" s="1">
        <f t="shared" si="19"/>
        <v>0</v>
      </c>
      <c r="B584" s="2"/>
      <c r="C584" s="8"/>
      <c r="D584" s="87"/>
      <c r="E584" s="20"/>
      <c r="F584" s="20"/>
      <c r="G584" s="20"/>
      <c r="H584" s="20"/>
      <c r="I584" s="20"/>
      <c r="J584" s="20"/>
      <c r="K584" s="20"/>
      <c r="L584" s="20"/>
      <c r="M584" s="20"/>
      <c r="N584" s="20"/>
      <c r="O584" s="20"/>
      <c r="P584" s="88"/>
      <c r="Q584" s="13"/>
      <c r="R584" s="4"/>
    </row>
    <row r="585" spans="1:18" ht="15.75" thickBot="1">
      <c r="A585" s="1"/>
      <c r="B585" s="2"/>
      <c r="C585" s="8"/>
      <c r="D585" s="163" t="s">
        <v>43</v>
      </c>
      <c r="E585" s="164"/>
      <c r="F585" s="164"/>
      <c r="G585" s="164"/>
      <c r="H585" s="164"/>
      <c r="I585" s="164"/>
      <c r="J585" s="164"/>
      <c r="K585" s="164"/>
      <c r="L585" s="164"/>
      <c r="M585" s="164"/>
      <c r="N585" s="164"/>
      <c r="O585" s="165"/>
      <c r="P585" s="166">
        <f>+P583+P575+P568+P550</f>
        <v>58932.659999999996</v>
      </c>
      <c r="Q585" s="167"/>
      <c r="R585" s="168"/>
    </row>
    <row r="586" spans="1:18" ht="15.75" thickBot="1">
      <c r="A586" s="1"/>
      <c r="B586" s="2"/>
      <c r="C586" s="8"/>
      <c r="D586" s="169"/>
      <c r="E586" s="170"/>
      <c r="F586" s="170"/>
      <c r="G586" s="170"/>
      <c r="H586" s="170"/>
      <c r="I586" s="170"/>
      <c r="J586" s="170"/>
      <c r="K586" s="170"/>
      <c r="L586" s="170"/>
      <c r="M586" s="170"/>
      <c r="N586" s="170"/>
      <c r="O586" s="170"/>
      <c r="P586" s="171"/>
      <c r="Q586" s="100"/>
      <c r="R586" s="4"/>
    </row>
    <row r="587" spans="1:18">
      <c r="A587" s="1"/>
      <c r="B587" s="2"/>
      <c r="C587" s="8"/>
      <c r="D587" s="172" t="s">
        <v>73</v>
      </c>
      <c r="E587" s="173"/>
      <c r="F587" s="173"/>
      <c r="G587" s="173"/>
      <c r="H587" s="173"/>
      <c r="I587" s="173"/>
      <c r="J587" s="173"/>
      <c r="K587" s="141"/>
      <c r="L587" s="174"/>
      <c r="M587" s="153" t="s">
        <v>44</v>
      </c>
      <c r="N587" s="175" t="s">
        <v>45</v>
      </c>
      <c r="O587" s="176"/>
      <c r="P587" s="154"/>
      <c r="Q587" s="155"/>
      <c r="R587" s="4"/>
    </row>
    <row r="588" spans="1:18">
      <c r="A588" s="1"/>
      <c r="B588" s="2"/>
      <c r="C588" s="8"/>
      <c r="D588" s="109" t="s">
        <v>65</v>
      </c>
      <c r="E588" s="110"/>
      <c r="F588" s="110"/>
      <c r="G588" s="110"/>
      <c r="H588" s="110"/>
      <c r="I588" s="110"/>
      <c r="J588" s="110"/>
      <c r="K588" s="177"/>
      <c r="L588" s="178"/>
      <c r="M588" s="179">
        <f>+[239]INICIO!$F$10</f>
        <v>0.24</v>
      </c>
      <c r="N588" s="180">
        <f>ROUND(M588*P585,2)</f>
        <v>14143.84</v>
      </c>
      <c r="O588" s="181"/>
      <c r="P588" s="182"/>
      <c r="Q588" s="119"/>
      <c r="R588" s="4"/>
    </row>
    <row r="589" spans="1:18">
      <c r="A589" s="1"/>
      <c r="B589" s="2"/>
      <c r="C589" s="8"/>
      <c r="D589" s="183" t="s">
        <v>67</v>
      </c>
      <c r="E589" s="61"/>
      <c r="F589" s="61"/>
      <c r="G589" s="61"/>
      <c r="H589" s="61"/>
      <c r="I589" s="61"/>
      <c r="J589" s="61"/>
      <c r="K589" s="177"/>
      <c r="L589" s="178"/>
      <c r="M589" s="179">
        <f>+[239]INICIO!$F$11</f>
        <v>0.02</v>
      </c>
      <c r="N589" s="180">
        <f>ROUND(M589*P585,2)</f>
        <v>1178.6500000000001</v>
      </c>
      <c r="O589" s="181"/>
      <c r="P589" s="182"/>
      <c r="Q589" s="119"/>
      <c r="R589" s="4"/>
    </row>
    <row r="590" spans="1:18" ht="15.75" thickBot="1">
      <c r="A590" s="1"/>
      <c r="B590" s="2"/>
      <c r="C590" s="8"/>
      <c r="D590" s="77" t="s">
        <v>69</v>
      </c>
      <c r="E590" s="78"/>
      <c r="F590" s="78"/>
      <c r="G590" s="78"/>
      <c r="H590" s="78"/>
      <c r="I590" s="78"/>
      <c r="J590" s="78"/>
      <c r="K590" s="184"/>
      <c r="L590" s="185"/>
      <c r="M590" s="179">
        <f>+[239]INICIO!$F$12</f>
        <v>7.0000000000000007E-2</v>
      </c>
      <c r="N590" s="180">
        <f>ROUND(M590*P585,2)</f>
        <v>4125.29</v>
      </c>
      <c r="O590" s="181"/>
      <c r="P590" s="182"/>
      <c r="Q590" s="119"/>
      <c r="R590" s="4"/>
    </row>
    <row r="591" spans="1:18" ht="15.75" thickBot="1">
      <c r="A591" s="1"/>
      <c r="B591" s="2"/>
      <c r="C591" s="8"/>
      <c r="D591" s="128"/>
      <c r="E591" s="129"/>
      <c r="F591" s="129"/>
      <c r="G591" s="129"/>
      <c r="H591" s="129"/>
      <c r="I591" s="129"/>
      <c r="J591" s="129"/>
      <c r="K591" s="129"/>
      <c r="L591" s="129"/>
      <c r="M591" s="129"/>
      <c r="N591" s="129"/>
      <c r="O591" s="130"/>
      <c r="P591" s="131">
        <f>SUM(N588:N590)</f>
        <v>19447.78</v>
      </c>
      <c r="Q591" s="186"/>
      <c r="R591" s="4"/>
    </row>
    <row r="592" spans="1:18" ht="15.75" thickBot="1">
      <c r="A592" s="1"/>
      <c r="B592" s="2"/>
      <c r="C592" s="8"/>
      <c r="D592" s="87"/>
      <c r="E592" s="20"/>
      <c r="F592" s="20"/>
      <c r="G592" s="20"/>
      <c r="H592" s="20"/>
      <c r="I592" s="20"/>
      <c r="J592" s="20"/>
      <c r="K592" s="20"/>
      <c r="L592" s="20"/>
      <c r="M592" s="20"/>
      <c r="N592" s="20"/>
      <c r="O592" s="20"/>
      <c r="P592" s="88"/>
      <c r="Q592" s="13"/>
      <c r="R592" s="4"/>
    </row>
    <row r="593" spans="1:18" ht="15.75" thickBot="1">
      <c r="A593" s="1"/>
      <c r="B593" s="2"/>
      <c r="C593" s="8"/>
      <c r="D593" s="187" t="s">
        <v>46</v>
      </c>
      <c r="E593" s="188"/>
      <c r="F593" s="188"/>
      <c r="G593" s="188"/>
      <c r="H593" s="188"/>
      <c r="I593" s="188"/>
      <c r="J593" s="188"/>
      <c r="K593" s="188"/>
      <c r="L593" s="188"/>
      <c r="M593" s="188"/>
      <c r="N593" s="188"/>
      <c r="O593" s="189"/>
      <c r="P593" s="166">
        <f>ROUND(P591+P585,0)</f>
        <v>78380</v>
      </c>
      <c r="Q593" s="186"/>
      <c r="R593" s="4"/>
    </row>
    <row r="594" spans="1:18">
      <c r="A594" s="1"/>
      <c r="B594" s="2"/>
      <c r="C594" s="8"/>
      <c r="D594" s="80"/>
      <c r="E594" s="81"/>
      <c r="F594" s="81"/>
      <c r="G594" s="81"/>
      <c r="H594" s="81"/>
      <c r="I594" s="81"/>
      <c r="J594" s="81"/>
      <c r="K594" s="81"/>
      <c r="L594" s="81"/>
      <c r="M594" s="81"/>
      <c r="N594" s="81"/>
      <c r="O594" s="81"/>
      <c r="P594" s="82"/>
      <c r="Q594" s="13"/>
      <c r="R594" s="4"/>
    </row>
    <row r="595" spans="1:18">
      <c r="A595" s="1"/>
      <c r="B595" s="2"/>
      <c r="C595" s="8"/>
      <c r="D595" s="87"/>
      <c r="E595" s="20"/>
      <c r="F595" s="20"/>
      <c r="G595" s="20"/>
      <c r="H595" s="20"/>
      <c r="I595" s="20"/>
      <c r="J595" s="20"/>
      <c r="K595" s="20"/>
      <c r="L595" s="20"/>
      <c r="M595" s="20"/>
      <c r="N595" s="20"/>
      <c r="O595" s="20"/>
      <c r="P595" s="88"/>
      <c r="Q595" s="13"/>
      <c r="R595" s="4"/>
    </row>
    <row r="596" spans="1:18">
      <c r="A596" s="1"/>
      <c r="B596" s="2"/>
      <c r="C596" s="8"/>
      <c r="D596" s="87"/>
      <c r="E596" s="20"/>
      <c r="F596" s="20"/>
      <c r="G596" s="20"/>
      <c r="H596" s="20"/>
      <c r="I596" s="20"/>
      <c r="J596" s="20"/>
      <c r="K596" s="20"/>
      <c r="L596" s="20"/>
      <c r="M596" s="20"/>
      <c r="N596" s="20"/>
      <c r="O596" s="20"/>
      <c r="P596" s="88"/>
      <c r="Q596" s="13"/>
      <c r="R596" s="4"/>
    </row>
    <row r="597" spans="1:18">
      <c r="A597" s="1"/>
      <c r="B597" s="2"/>
      <c r="C597" s="8"/>
      <c r="D597" s="87"/>
      <c r="E597" s="20"/>
      <c r="F597" s="20"/>
      <c r="G597" s="20"/>
      <c r="H597" s="20"/>
      <c r="I597" s="20"/>
      <c r="J597" s="20"/>
      <c r="K597" s="20"/>
      <c r="L597" s="20"/>
      <c r="M597" s="20"/>
      <c r="N597" s="20"/>
      <c r="O597" s="20"/>
      <c r="P597" s="88"/>
      <c r="Q597" s="13"/>
      <c r="R597" s="4"/>
    </row>
    <row r="598" spans="1:18">
      <c r="A598" s="1"/>
      <c r="B598" s="2"/>
      <c r="C598" s="8"/>
      <c r="D598" s="219" t="str">
        <f>+[239]INICIO!$B$13</f>
        <v>Proyectó:</v>
      </c>
      <c r="E598" s="49"/>
      <c r="F598" s="49"/>
      <c r="G598" s="49"/>
      <c r="H598" s="49"/>
      <c r="I598" s="49"/>
      <c r="J598" s="49"/>
      <c r="K598" s="20"/>
      <c r="L598" s="69" t="str">
        <f>+[239]INICIO!$B$16</f>
        <v>Aprobó:</v>
      </c>
      <c r="M598" s="49"/>
      <c r="N598" s="49"/>
      <c r="O598" s="49"/>
      <c r="P598" s="88"/>
      <c r="Q598" s="13"/>
      <c r="R598" s="4"/>
    </row>
    <row r="599" spans="1:18">
      <c r="A599" s="1"/>
      <c r="B599" s="2"/>
      <c r="C599" s="8"/>
      <c r="D599" s="87"/>
      <c r="E599" s="20" t="str">
        <f>+Hoja2!C$13</f>
        <v>HELMER EDUARDO BECERRA SANTANDER</v>
      </c>
      <c r="F599" s="20"/>
      <c r="G599" s="20"/>
      <c r="H599" s="20"/>
      <c r="I599" s="20"/>
      <c r="J599" s="20"/>
      <c r="K599" s="20"/>
      <c r="L599" s="20"/>
      <c r="M599" s="20" t="str">
        <f>+Hoja2!$C$16</f>
        <v>JESÚS IVÁN QUIÑONES RUEDA</v>
      </c>
      <c r="N599" s="20"/>
      <c r="O599" s="20"/>
      <c r="P599" s="88"/>
      <c r="Q599" s="190"/>
      <c r="R599" s="4"/>
    </row>
    <row r="600" spans="1:18">
      <c r="A600" s="1"/>
      <c r="B600" s="2"/>
      <c r="C600" s="8"/>
      <c r="D600" s="87"/>
      <c r="E600" s="20" t="str">
        <f>+Hoja2!C$14</f>
        <v>APOYO SEC. DE PLANEACIÓN Y OBRAS PÚBLICAS</v>
      </c>
      <c r="F600" s="20"/>
      <c r="G600" s="20"/>
      <c r="H600" s="20"/>
      <c r="I600" s="20"/>
      <c r="J600" s="20"/>
      <c r="K600" s="20"/>
      <c r="L600" s="20"/>
      <c r="M600" s="20" t="str">
        <f>+Hoja2!$C$17</f>
        <v>SECRETARIO DE PLANEACIÓN Y OBRAS PUBLICAS</v>
      </c>
      <c r="N600" s="20"/>
      <c r="O600" s="20"/>
      <c r="P600" s="88"/>
      <c r="Q600" s="190"/>
      <c r="R600" s="4"/>
    </row>
    <row r="601" spans="1:18">
      <c r="A601" s="1"/>
      <c r="B601" s="2"/>
      <c r="C601" s="8"/>
      <c r="D601" s="68"/>
      <c r="E601" s="20" t="str">
        <f>+Hoja2!C$15</f>
        <v>123769-0701671 NTS</v>
      </c>
      <c r="F601" s="191"/>
      <c r="G601" s="191"/>
      <c r="H601" s="191"/>
      <c r="I601" s="20"/>
      <c r="J601" s="191"/>
      <c r="K601" s="191"/>
      <c r="L601" s="191"/>
      <c r="M601" s="192" t="str">
        <f>+Hoja2!C$18</f>
        <v>A21382020-1090480860</v>
      </c>
      <c r="N601" s="191"/>
      <c r="O601" s="191"/>
      <c r="P601" s="193"/>
      <c r="Q601" s="194"/>
      <c r="R601" s="4"/>
    </row>
    <row r="602" spans="1:18" ht="16.5" thickBot="1">
      <c r="A602" s="1"/>
      <c r="B602" s="2"/>
      <c r="C602" s="8"/>
      <c r="D602" s="195"/>
      <c r="E602" s="150"/>
      <c r="F602" s="150"/>
      <c r="G602" s="150"/>
      <c r="H602" s="150"/>
      <c r="I602" s="150"/>
      <c r="J602" s="150"/>
      <c r="K602" s="150"/>
      <c r="L602" s="150"/>
      <c r="M602" s="150"/>
      <c r="N602" s="150"/>
      <c r="O602" s="150"/>
      <c r="P602" s="196"/>
      <c r="Q602" s="197"/>
      <c r="R602" s="4"/>
    </row>
    <row r="603" spans="1:18" ht="15.75" thickBot="1">
      <c r="A603" s="1"/>
      <c r="B603" s="2"/>
      <c r="C603" s="198"/>
      <c r="D603" s="199"/>
      <c r="E603" s="199"/>
      <c r="F603" s="199"/>
      <c r="G603" s="199"/>
      <c r="H603" s="199"/>
      <c r="I603" s="199"/>
      <c r="J603" s="199"/>
      <c r="K603" s="199"/>
      <c r="L603" s="199"/>
      <c r="M603" s="199"/>
      <c r="N603" s="199"/>
      <c r="O603" s="199"/>
      <c r="P603" s="199"/>
      <c r="Q603" s="200"/>
      <c r="R603" s="4"/>
    </row>
    <row r="604" spans="1:18" ht="15.75" thickTop="1">
      <c r="A604" s="1"/>
      <c r="B604" s="2"/>
      <c r="C604" s="361"/>
      <c r="D604" s="12"/>
      <c r="E604" s="12"/>
      <c r="F604" s="12"/>
      <c r="G604" s="12"/>
      <c r="H604" s="12"/>
      <c r="I604" s="12"/>
      <c r="J604" s="12"/>
      <c r="K604" s="12"/>
      <c r="L604" s="12"/>
      <c r="M604" s="12"/>
      <c r="N604" s="12"/>
      <c r="O604" s="12"/>
      <c r="P604" s="12"/>
      <c r="Q604" s="362"/>
      <c r="R604" s="4"/>
    </row>
    <row r="605" spans="1:18" ht="15.75" thickBot="1"/>
    <row r="606" spans="1:18" ht="15.75" thickTop="1">
      <c r="A606" s="1"/>
      <c r="B606" s="2"/>
      <c r="C606" s="5"/>
      <c r="D606" s="6"/>
      <c r="E606" s="6"/>
      <c r="F606" s="6"/>
      <c r="G606" s="6"/>
      <c r="H606" s="6"/>
      <c r="I606" s="6"/>
      <c r="J606" s="6"/>
      <c r="K606" s="6"/>
      <c r="L606" s="6"/>
      <c r="M606" s="6"/>
      <c r="N606" s="6"/>
      <c r="O606" s="6"/>
      <c r="P606" s="6"/>
      <c r="Q606" s="7"/>
      <c r="R606" s="4"/>
    </row>
    <row r="607" spans="1:18" ht="24">
      <c r="A607" s="1"/>
      <c r="B607" s="2"/>
      <c r="C607" s="8"/>
      <c r="D607" s="9" t="str">
        <f>+[239]INICIO!$C$8</f>
        <v>Análisis de Precios Unitarios- Secretaria de Planeación y Obras Publicas de Cubará, Boyacá.</v>
      </c>
      <c r="E607" s="10"/>
      <c r="F607" s="10"/>
      <c r="G607" s="10"/>
      <c r="H607" s="11"/>
      <c r="I607" s="12"/>
      <c r="J607" s="12"/>
      <c r="K607" s="12"/>
      <c r="L607" s="12"/>
      <c r="M607" s="12"/>
      <c r="N607" s="12"/>
      <c r="O607" s="12"/>
      <c r="P607" s="12"/>
      <c r="Q607" s="13"/>
      <c r="R607" s="4"/>
    </row>
    <row r="608" spans="1:18">
      <c r="A608" s="1"/>
      <c r="B608" s="2"/>
      <c r="C608" s="8"/>
      <c r="D608" s="14" t="s">
        <v>0</v>
      </c>
      <c r="E608" s="15" t="str">
        <f>+[239]INICIO!$C$7</f>
        <v>CCE-EICP-FM-14</v>
      </c>
      <c r="F608" s="16"/>
      <c r="G608" s="17" t="str">
        <f>+[239]INICIO!$B$6</f>
        <v>VERSIÓN</v>
      </c>
      <c r="H608" s="14">
        <f>+[239]INICIO!$C$6</f>
        <v>1</v>
      </c>
      <c r="I608" s="12"/>
      <c r="J608" s="12"/>
      <c r="K608" s="12"/>
      <c r="L608" s="12"/>
      <c r="M608" s="12"/>
      <c r="N608" s="12"/>
      <c r="O608" s="12"/>
      <c r="P608" s="12"/>
      <c r="Q608" s="13"/>
      <c r="R608" s="4"/>
    </row>
    <row r="609" spans="1:18">
      <c r="A609" s="1"/>
      <c r="B609" s="2"/>
      <c r="C609" s="8"/>
      <c r="D609" s="18"/>
      <c r="E609" s="19"/>
      <c r="F609" s="18"/>
      <c r="G609" s="19"/>
      <c r="H609" s="12"/>
      <c r="I609" s="12"/>
      <c r="J609" s="12"/>
      <c r="K609" s="12"/>
      <c r="L609" s="12"/>
      <c r="M609" s="12"/>
      <c r="N609" s="12"/>
      <c r="O609" s="12"/>
      <c r="P609" s="12"/>
      <c r="Q609" s="13"/>
      <c r="R609" s="4"/>
    </row>
    <row r="610" spans="1:18" ht="15.75" thickBot="1">
      <c r="A610" s="1"/>
      <c r="B610" s="2"/>
      <c r="C610" s="8"/>
      <c r="D610" s="20"/>
      <c r="E610" s="20"/>
      <c r="F610" s="20"/>
      <c r="G610" s="20"/>
      <c r="H610" s="20"/>
      <c r="I610" s="20"/>
      <c r="J610" s="20"/>
      <c r="K610" s="20"/>
      <c r="L610" s="20"/>
      <c r="M610" s="20"/>
      <c r="N610" s="20"/>
      <c r="O610" s="20"/>
      <c r="P610" s="20"/>
      <c r="Q610" s="13"/>
      <c r="R610" s="4"/>
    </row>
    <row r="611" spans="1:18">
      <c r="A611" s="1"/>
      <c r="B611" s="2"/>
      <c r="C611" s="8"/>
      <c r="D611" s="21"/>
      <c r="E611" s="22"/>
      <c r="F611" s="23"/>
      <c r="G611" s="23"/>
      <c r="H611" s="23"/>
      <c r="I611" s="23"/>
      <c r="J611" s="23"/>
      <c r="K611" s="23"/>
      <c r="L611" s="24"/>
      <c r="M611" s="25"/>
      <c r="N611" s="26"/>
      <c r="O611" s="26"/>
      <c r="P611" s="27"/>
      <c r="Q611" s="28"/>
      <c r="R611" s="4"/>
    </row>
    <row r="612" spans="1:18">
      <c r="A612" s="1"/>
      <c r="B612" s="2"/>
      <c r="C612" s="8"/>
      <c r="D612" s="29"/>
      <c r="E612" s="30" t="s">
        <v>1</v>
      </c>
      <c r="F612" s="31"/>
      <c r="G612" s="31"/>
      <c r="H612" s="31"/>
      <c r="I612" s="31"/>
      <c r="J612" s="31"/>
      <c r="K612" s="31"/>
      <c r="L612" s="32"/>
      <c r="M612" s="33"/>
      <c r="N612" s="34"/>
      <c r="O612" s="34"/>
      <c r="P612" s="35"/>
      <c r="Q612" s="28"/>
      <c r="R612" s="4"/>
    </row>
    <row r="613" spans="1:18">
      <c r="A613" s="1"/>
      <c r="B613" s="2"/>
      <c r="C613" s="8"/>
      <c r="D613" s="29"/>
      <c r="E613" s="36"/>
      <c r="F613" s="37"/>
      <c r="G613" s="37"/>
      <c r="H613" s="37"/>
      <c r="I613" s="37"/>
      <c r="J613" s="37"/>
      <c r="K613" s="37"/>
      <c r="L613" s="38"/>
      <c r="M613" s="39"/>
      <c r="N613" s="40"/>
      <c r="O613" s="41"/>
      <c r="P613" s="42"/>
      <c r="Q613" s="28"/>
      <c r="R613" s="4"/>
    </row>
    <row r="614" spans="1:18">
      <c r="A614" s="1"/>
      <c r="B614" s="2"/>
      <c r="C614" s="8"/>
      <c r="D614" s="29"/>
      <c r="E614" s="36"/>
      <c r="F614" s="37"/>
      <c r="G614" s="37"/>
      <c r="H614" s="37"/>
      <c r="I614" s="37"/>
      <c r="J614" s="37"/>
      <c r="K614" s="37"/>
      <c r="L614" s="38"/>
      <c r="M614" s="43" t="s">
        <v>2</v>
      </c>
      <c r="N614" s="44"/>
      <c r="O614" s="45">
        <f>+[239]INICIO!$C$6</f>
        <v>1</v>
      </c>
      <c r="P614" s="46"/>
      <c r="Q614" s="28"/>
      <c r="R614" s="4"/>
    </row>
    <row r="615" spans="1:18">
      <c r="A615" s="1"/>
      <c r="B615" s="2"/>
      <c r="C615" s="8"/>
      <c r="D615" s="29"/>
      <c r="E615" s="36"/>
      <c r="F615" s="37"/>
      <c r="G615" s="37"/>
      <c r="H615" s="37"/>
      <c r="I615" s="37"/>
      <c r="J615" s="37"/>
      <c r="K615" s="37"/>
      <c r="L615" s="38"/>
      <c r="M615" s="47"/>
      <c r="N615" s="48"/>
      <c r="O615" s="49"/>
      <c r="P615" s="50"/>
      <c r="Q615" s="51"/>
      <c r="R615" s="4"/>
    </row>
    <row r="616" spans="1:18">
      <c r="A616" s="1"/>
      <c r="B616" s="2"/>
      <c r="C616" s="8"/>
      <c r="D616" s="29"/>
      <c r="E616" s="52"/>
      <c r="F616" s="53"/>
      <c r="G616" s="53"/>
      <c r="H616" s="53"/>
      <c r="I616" s="53"/>
      <c r="J616" s="53"/>
      <c r="K616" s="53"/>
      <c r="L616" s="54"/>
      <c r="M616" s="39"/>
      <c r="N616" s="55"/>
      <c r="O616" s="55"/>
      <c r="P616" s="56"/>
      <c r="Q616" s="28"/>
      <c r="R616" s="4"/>
    </row>
    <row r="617" spans="1:18">
      <c r="A617" s="1"/>
      <c r="B617" s="2"/>
      <c r="C617" s="8"/>
      <c r="D617" s="29"/>
      <c r="E617" s="52"/>
      <c r="F617" s="53"/>
      <c r="G617" s="53"/>
      <c r="H617" s="53"/>
      <c r="I617" s="53"/>
      <c r="J617" s="53"/>
      <c r="K617" s="53"/>
      <c r="L617" s="54"/>
      <c r="M617" s="43" t="s">
        <v>3</v>
      </c>
      <c r="N617" s="43" t="str">
        <f>+VLOOKUP(D628,'PRESUPUESTO OFICIAL '!C:Q,9,FALSE)</f>
        <v>62</v>
      </c>
      <c r="O617" s="43" t="s">
        <v>4</v>
      </c>
      <c r="P617" s="508" t="str">
        <f>+'PRESUPUESTO OFICIAL '!$M$122</f>
        <v>62</v>
      </c>
      <c r="Q617" s="28"/>
      <c r="R617" s="4"/>
    </row>
    <row r="618" spans="1:18">
      <c r="A618" s="1"/>
      <c r="B618" s="2"/>
      <c r="C618" s="8"/>
      <c r="D618" s="29"/>
      <c r="E618" s="30" t="s">
        <v>5</v>
      </c>
      <c r="F618" s="31"/>
      <c r="G618" s="31"/>
      <c r="H618" s="31"/>
      <c r="I618" s="31"/>
      <c r="J618" s="31"/>
      <c r="K618" s="31"/>
      <c r="L618" s="32"/>
      <c r="M618" s="43"/>
      <c r="N618" s="57"/>
      <c r="O618" s="57"/>
      <c r="P618" s="58"/>
      <c r="Q618" s="28"/>
      <c r="R618" s="4"/>
    </row>
    <row r="619" spans="1:18" ht="15.75" thickBot="1">
      <c r="A619" s="1"/>
      <c r="B619" s="2"/>
      <c r="C619" s="8"/>
      <c r="D619" s="59"/>
      <c r="E619" s="60"/>
      <c r="F619" s="60"/>
      <c r="G619" s="60"/>
      <c r="H619" s="60"/>
      <c r="I619" s="60"/>
      <c r="J619" s="60"/>
      <c r="K619" s="60"/>
      <c r="L619" s="60"/>
      <c r="M619" s="60"/>
      <c r="N619" s="61"/>
      <c r="O619" s="61"/>
      <c r="P619" s="62"/>
      <c r="Q619" s="63"/>
      <c r="R619" s="4"/>
    </row>
    <row r="620" spans="1:18">
      <c r="A620" s="1"/>
      <c r="B620" s="2"/>
      <c r="C620" s="8"/>
      <c r="D620" s="64"/>
      <c r="E620" s="65"/>
      <c r="F620" s="65"/>
      <c r="G620" s="65"/>
      <c r="H620" s="65"/>
      <c r="I620" s="65"/>
      <c r="J620" s="65"/>
      <c r="K620" s="65"/>
      <c r="L620" s="65"/>
      <c r="M620" s="66" t="s">
        <v>6</v>
      </c>
      <c r="N620" s="66" t="s">
        <v>7</v>
      </c>
      <c r="O620" s="66" t="s">
        <v>8</v>
      </c>
      <c r="P620" s="67" t="s">
        <v>9</v>
      </c>
      <c r="Q620" s="51"/>
      <c r="R620" s="4"/>
    </row>
    <row r="621" spans="1:18">
      <c r="A621" s="1"/>
      <c r="B621" s="2"/>
      <c r="C621" s="8"/>
      <c r="D621" s="68"/>
      <c r="E621" s="69"/>
      <c r="F621" s="69"/>
      <c r="G621" s="69"/>
      <c r="H621" s="69"/>
      <c r="I621" s="69"/>
      <c r="J621" s="69"/>
      <c r="K621" s="69"/>
      <c r="L621" s="69"/>
      <c r="M621" s="70"/>
      <c r="N621" s="71">
        <f>+Hoja2!B$5</f>
        <v>5</v>
      </c>
      <c r="O621" s="71">
        <f>+Hoja2!C$5</f>
        <v>8</v>
      </c>
      <c r="P621" s="72">
        <f>+Hoja2!D$5</f>
        <v>2026</v>
      </c>
      <c r="Q621" s="73"/>
      <c r="R621" s="4"/>
    </row>
    <row r="622" spans="1:18">
      <c r="A622" s="1"/>
      <c r="B622" s="2"/>
      <c r="C622" s="8"/>
      <c r="D622" s="74"/>
      <c r="E622" s="37"/>
      <c r="F622" s="37"/>
      <c r="G622" s="37"/>
      <c r="H622" s="69"/>
      <c r="I622" s="69"/>
      <c r="J622" s="69"/>
      <c r="K622" s="20"/>
      <c r="L622" s="69"/>
      <c r="M622" s="75"/>
      <c r="N622" s="20"/>
      <c r="O622" s="20"/>
      <c r="P622" s="76"/>
      <c r="Q622" s="73"/>
      <c r="R622" s="4"/>
    </row>
    <row r="623" spans="1:18" ht="15.75" thickBot="1">
      <c r="A623" s="1"/>
      <c r="B623" s="2"/>
      <c r="C623" s="8"/>
      <c r="D623" s="77"/>
      <c r="E623" s="78"/>
      <c r="F623" s="78"/>
      <c r="G623" s="78"/>
      <c r="H623" s="78"/>
      <c r="I623" s="78"/>
      <c r="J623" s="78"/>
      <c r="K623" s="78"/>
      <c r="L623" s="78"/>
      <c r="M623" s="78"/>
      <c r="N623" s="78"/>
      <c r="O623" s="78"/>
      <c r="P623" s="79"/>
      <c r="Q623" s="13"/>
      <c r="R623" s="4"/>
    </row>
    <row r="624" spans="1:18" ht="15.75" thickBot="1">
      <c r="A624" s="1"/>
      <c r="B624" s="2"/>
      <c r="C624" s="8"/>
      <c r="D624" s="80"/>
      <c r="E624" s="81"/>
      <c r="F624" s="81"/>
      <c r="G624" s="81"/>
      <c r="H624" s="81"/>
      <c r="I624" s="81"/>
      <c r="J624" s="20"/>
      <c r="K624" s="20"/>
      <c r="L624" s="81"/>
      <c r="M624" s="81"/>
      <c r="N624" s="81"/>
      <c r="O624" s="81"/>
      <c r="P624" s="82"/>
      <c r="Q624" s="13"/>
      <c r="R624" s="4"/>
    </row>
    <row r="625" spans="1:18">
      <c r="A625" s="1"/>
      <c r="B625" s="2"/>
      <c r="C625" s="8"/>
      <c r="D625" s="83" t="s">
        <v>10</v>
      </c>
      <c r="E625" s="84"/>
      <c r="F625" s="84"/>
      <c r="G625" s="84"/>
      <c r="H625" s="84"/>
      <c r="I625" s="84"/>
      <c r="J625" s="84"/>
      <c r="K625" s="84"/>
      <c r="L625" s="84"/>
      <c r="M625" s="84"/>
      <c r="N625" s="84"/>
      <c r="O625" s="84"/>
      <c r="P625" s="85"/>
      <c r="Q625" s="86"/>
      <c r="R625" s="4"/>
    </row>
    <row r="626" spans="1:18" ht="15.75" thickBot="1">
      <c r="A626" s="1"/>
      <c r="B626" s="2"/>
      <c r="C626" s="8"/>
      <c r="D626" s="87"/>
      <c r="E626" s="20"/>
      <c r="F626" s="20"/>
      <c r="G626" s="20"/>
      <c r="H626" s="20"/>
      <c r="I626" s="20"/>
      <c r="J626" s="20"/>
      <c r="K626" s="20"/>
      <c r="L626" s="20"/>
      <c r="M626" s="20"/>
      <c r="N626" s="20"/>
      <c r="O626" s="20"/>
      <c r="P626" s="88"/>
      <c r="Q626" s="13"/>
      <c r="R626" s="4"/>
    </row>
    <row r="627" spans="1:18">
      <c r="A627" s="1" t="s">
        <v>11</v>
      </c>
      <c r="B627" s="2" t="s">
        <v>12</v>
      </c>
      <c r="C627" s="8"/>
      <c r="D627" s="89" t="s">
        <v>13</v>
      </c>
      <c r="E627" s="90" t="s">
        <v>14</v>
      </c>
      <c r="F627" s="90"/>
      <c r="G627" s="90"/>
      <c r="H627" s="90"/>
      <c r="I627" s="90"/>
      <c r="J627" s="90"/>
      <c r="K627" s="90"/>
      <c r="L627" s="90"/>
      <c r="M627" s="90"/>
      <c r="N627" s="91" t="s">
        <v>15</v>
      </c>
      <c r="O627" s="91"/>
      <c r="P627" s="92" t="s">
        <v>16</v>
      </c>
      <c r="Q627" s="93"/>
      <c r="R627" s="4"/>
    </row>
    <row r="628" spans="1:18" ht="38.25" customHeight="1" thickBot="1">
      <c r="A628" s="1"/>
      <c r="B628" s="2"/>
      <c r="C628" s="8"/>
      <c r="D628" s="349">
        <f>+'PRESUPUESTO OFICIAL '!C102</f>
        <v>10.01</v>
      </c>
      <c r="E628" s="94" t="str">
        <f>+VLOOKUP(D628,'PRESUPUESTO OFICIAL '!C:H,2,FALSE)</f>
        <v>TRANSPORTE EN CAMIÓN CON CAPACIDAD DE CARGA DE 3.5 TON (INCLUYE CARGUE Y DESCARGUE).</v>
      </c>
      <c r="F628" s="94"/>
      <c r="G628" s="94"/>
      <c r="H628" s="94"/>
      <c r="I628" s="94"/>
      <c r="J628" s="94"/>
      <c r="K628" s="94"/>
      <c r="L628" s="94"/>
      <c r="M628" s="94"/>
      <c r="N628" s="94" t="str">
        <f>+VLOOKUP(D628,'PRESUPUESTO OFICIAL '!C:H,3,FALSE)</f>
        <v>DIA</v>
      </c>
      <c r="O628" s="95"/>
      <c r="P628" s="96">
        <f>+VLOOKUP(D628,'PRESUPUESTO OFICIAL '!C:H,4,FALSE)</f>
        <v>7</v>
      </c>
      <c r="Q628" s="97"/>
      <c r="R628" s="98">
        <f>+P680</f>
        <v>961043</v>
      </c>
    </row>
    <row r="629" spans="1:18" ht="15.75" thickBot="1">
      <c r="A629" s="1"/>
      <c r="B629" s="2"/>
      <c r="C629" s="8"/>
      <c r="D629" s="74" t="s">
        <v>17</v>
      </c>
      <c r="E629" s="37"/>
      <c r="F629" s="37"/>
      <c r="G629" s="37"/>
      <c r="H629" s="37"/>
      <c r="I629" s="37"/>
      <c r="J629" s="37"/>
      <c r="K629" s="37"/>
      <c r="L629" s="37"/>
      <c r="M629" s="37"/>
      <c r="N629" s="37"/>
      <c r="O629" s="37"/>
      <c r="P629" s="99"/>
      <c r="Q629" s="100"/>
      <c r="R629" s="4"/>
    </row>
    <row r="630" spans="1:18">
      <c r="A630" s="1"/>
      <c r="B630" s="2"/>
      <c r="C630" s="8"/>
      <c r="D630" s="101" t="s">
        <v>14</v>
      </c>
      <c r="E630" s="102"/>
      <c r="F630" s="102"/>
      <c r="G630" s="102"/>
      <c r="H630" s="103"/>
      <c r="I630" s="104" t="s">
        <v>18</v>
      </c>
      <c r="J630" s="102"/>
      <c r="K630" s="104" t="s">
        <v>19</v>
      </c>
      <c r="L630" s="105"/>
      <c r="M630" s="106" t="s">
        <v>20</v>
      </c>
      <c r="N630" s="104" t="s">
        <v>21</v>
      </c>
      <c r="O630" s="105"/>
      <c r="P630" s="107" t="s">
        <v>22</v>
      </c>
      <c r="Q630" s="108"/>
      <c r="R630" s="4"/>
    </row>
    <row r="631" spans="1:18">
      <c r="A631" s="1" t="e">
        <f>[239]INDICE!#REF!</f>
        <v>#REF!</v>
      </c>
      <c r="B631" s="2"/>
      <c r="C631" s="8"/>
      <c r="D631" s="109" t="s">
        <v>368</v>
      </c>
      <c r="E631" s="110"/>
      <c r="F631" s="110"/>
      <c r="G631" s="110"/>
      <c r="H631" s="111"/>
      <c r="I631" s="112"/>
      <c r="J631" s="111"/>
      <c r="K631" s="113" t="s">
        <v>369</v>
      </c>
      <c r="L631" s="114"/>
      <c r="M631" s="115">
        <f>55500*8</f>
        <v>444000</v>
      </c>
      <c r="N631" s="116">
        <v>1</v>
      </c>
      <c r="O631" s="117"/>
      <c r="P631" s="118">
        <f>+M631/N631</f>
        <v>444000</v>
      </c>
      <c r="Q631" s="119"/>
      <c r="R631" s="4"/>
    </row>
    <row r="632" spans="1:18">
      <c r="A632" s="1">
        <f>+$A$2680</f>
        <v>0</v>
      </c>
      <c r="B632" s="2"/>
      <c r="C632" s="8"/>
      <c r="D632" s="109"/>
      <c r="E632" s="110"/>
      <c r="F632" s="110"/>
      <c r="G632" s="110"/>
      <c r="H632" s="111"/>
      <c r="I632" s="112"/>
      <c r="J632" s="111"/>
      <c r="K632" s="113"/>
      <c r="L632" s="114"/>
      <c r="M632" s="115"/>
      <c r="N632" s="116"/>
      <c r="O632" s="117"/>
      <c r="P632" s="118"/>
      <c r="Q632" s="119"/>
      <c r="R632" s="4"/>
    </row>
    <row r="633" spans="1:18">
      <c r="A633" s="1">
        <f t="shared" ref="A633:A671" si="21">+A632</f>
        <v>0</v>
      </c>
      <c r="B633" s="2"/>
      <c r="C633" s="8"/>
      <c r="D633" s="109"/>
      <c r="E633" s="110"/>
      <c r="F633" s="110"/>
      <c r="G633" s="110"/>
      <c r="H633" s="111"/>
      <c r="I633" s="120"/>
      <c r="J633" s="121"/>
      <c r="K633" s="113"/>
      <c r="L633" s="114"/>
      <c r="M633" s="115"/>
      <c r="N633" s="116"/>
      <c r="O633" s="117"/>
      <c r="P633" s="118"/>
      <c r="Q633" s="119"/>
      <c r="R633" s="4"/>
    </row>
    <row r="634" spans="1:18">
      <c r="A634" s="1">
        <f t="shared" si="21"/>
        <v>0</v>
      </c>
      <c r="B634" s="2"/>
      <c r="C634" s="8"/>
      <c r="D634" s="109" t="str">
        <f>IFERROR(INDEX([239]EQUIPOS!B:B,MATCH(B634,[239]EQUIPOS!A:A,0)),"")</f>
        <v/>
      </c>
      <c r="E634" s="110"/>
      <c r="F634" s="110"/>
      <c r="G634" s="110"/>
      <c r="H634" s="111"/>
      <c r="I634" s="120"/>
      <c r="J634" s="121"/>
      <c r="K634" s="113" t="str">
        <f>IFERROR(INDEX([239]EQUIPOS!C:C,MATCH(B634,[239]EQUIPOS!A:A,0)),"")</f>
        <v/>
      </c>
      <c r="L634" s="114"/>
      <c r="M634" s="115" t="str">
        <f>IFERROR(IF(D634="HERRAMIENTA MENOR (% M.O)",P673,INDEX([239]EQUIPOS!D:D,MATCH(B634,[239]EQUIPOS!A:A,0))),"")</f>
        <v/>
      </c>
      <c r="N634" s="116"/>
      <c r="O634" s="117"/>
      <c r="P634" s="118" t="str">
        <f>IFERROR(ROUND(IF(D634="HERRAMIENTA MENOR (% M.O)",N634%*M634,M634/N634),2)," ")</f>
        <v xml:space="preserve"> </v>
      </c>
      <c r="Q634" s="119"/>
      <c r="R634" s="4"/>
    </row>
    <row r="635" spans="1:18">
      <c r="A635" s="1">
        <f t="shared" si="21"/>
        <v>0</v>
      </c>
      <c r="B635" s="2"/>
      <c r="C635" s="8"/>
      <c r="D635" s="109" t="str">
        <f>IFERROR(INDEX([239]EQUIPOS!B:B,MATCH(B635,[239]EQUIPOS!A:A,0)),"")</f>
        <v/>
      </c>
      <c r="E635" s="110"/>
      <c r="F635" s="110"/>
      <c r="G635" s="110"/>
      <c r="H635" s="111"/>
      <c r="I635" s="112"/>
      <c r="J635" s="111"/>
      <c r="K635" s="113" t="str">
        <f>IFERROR(INDEX([239]EQUIPOS!C:C,MATCH(B635,[239]EQUIPOS!A:A,0)),"")</f>
        <v/>
      </c>
      <c r="L635" s="114"/>
      <c r="M635" s="115" t="str">
        <f>IFERROR(IF(D635="HERRAMIENTA MENOR (% M.O)",P674,INDEX([239]EQUIPOS!D:D,MATCH(B635,[239]EQUIPOS!A:A,0))),"")</f>
        <v/>
      </c>
      <c r="N635" s="116"/>
      <c r="O635" s="117"/>
      <c r="P635" s="118" t="str">
        <f>IFERROR(ROUND(IF(D635="HERRAMIENTA MENOR (% M.O)",N635%*M635,M635/N635),2)," ")</f>
        <v xml:space="preserve"> </v>
      </c>
      <c r="Q635" s="119"/>
      <c r="R635" s="4"/>
    </row>
    <row r="636" spans="1:18" ht="15.75" thickBot="1">
      <c r="A636" s="1">
        <f t="shared" si="21"/>
        <v>0</v>
      </c>
      <c r="B636" s="2"/>
      <c r="C636" s="8"/>
      <c r="D636" s="109" t="str">
        <f>IFERROR(INDEX([239]EQUIPOS!B:B,MATCH(B636,[239]EQUIPOS!A:A,0)),"")</f>
        <v/>
      </c>
      <c r="E636" s="78"/>
      <c r="F636" s="78"/>
      <c r="G636" s="78"/>
      <c r="H636" s="122"/>
      <c r="I636" s="123"/>
      <c r="J636" s="122"/>
      <c r="K636" s="113" t="str">
        <f>IFERROR(INDEX([239]EQUIPOS!C:C,MATCH(B636,[239]EQUIPOS!A:A,0)),"")</f>
        <v/>
      </c>
      <c r="L636" s="124"/>
      <c r="M636" s="115" t="str">
        <f>IFERROR(IF(D636="HERRAMIENTA MENOR (% M.O)",P675,INDEX([239]EQUIPOS!D:D,MATCH(B636,[239]EQUIPOS!A:A,0))),"")</f>
        <v/>
      </c>
      <c r="N636" s="125"/>
      <c r="O636" s="126"/>
      <c r="P636" s="127" t="str">
        <f>IFERROR(ROUND(IF(D636="HERRAMIENTA MENOR (% M.O)",N636%*M636,M636/N636),2)," ")</f>
        <v xml:space="preserve"> </v>
      </c>
      <c r="Q636" s="119"/>
      <c r="R636" s="4"/>
    </row>
    <row r="637" spans="1:18" ht="15.75" thickBot="1">
      <c r="A637" s="1">
        <f t="shared" si="21"/>
        <v>0</v>
      </c>
      <c r="B637" s="2"/>
      <c r="C637" s="8"/>
      <c r="D637" s="128" t="s">
        <v>24</v>
      </c>
      <c r="E637" s="129"/>
      <c r="F637" s="129"/>
      <c r="G637" s="129"/>
      <c r="H637" s="129"/>
      <c r="I637" s="129"/>
      <c r="J637" s="129"/>
      <c r="K637" s="129"/>
      <c r="L637" s="129"/>
      <c r="M637" s="129"/>
      <c r="N637" s="129"/>
      <c r="O637" s="130"/>
      <c r="P637" s="131">
        <f>SUM(P631:P636)</f>
        <v>444000</v>
      </c>
      <c r="Q637" s="132"/>
      <c r="R637" s="4"/>
    </row>
    <row r="638" spans="1:18" ht="15.75" thickBot="1">
      <c r="A638" s="1">
        <f t="shared" si="21"/>
        <v>0</v>
      </c>
      <c r="B638" s="2"/>
      <c r="C638" s="8"/>
      <c r="D638" s="74" t="s">
        <v>25</v>
      </c>
      <c r="E638" s="37"/>
      <c r="F638" s="37"/>
      <c r="G638" s="37"/>
      <c r="H638" s="37"/>
      <c r="I638" s="37"/>
      <c r="J638" s="37"/>
      <c r="K638" s="37"/>
      <c r="L638" s="37"/>
      <c r="M638" s="37"/>
      <c r="N638" s="37"/>
      <c r="O638" s="37"/>
      <c r="P638" s="99"/>
      <c r="Q638" s="100"/>
      <c r="R638" s="4"/>
    </row>
    <row r="639" spans="1:18">
      <c r="A639" s="1">
        <f t="shared" si="21"/>
        <v>0</v>
      </c>
      <c r="B639" s="2"/>
      <c r="C639" s="8"/>
      <c r="D639" s="101" t="s">
        <v>14</v>
      </c>
      <c r="E639" s="133"/>
      <c r="F639" s="133"/>
      <c r="G639" s="133"/>
      <c r="H639" s="133"/>
      <c r="I639" s="133"/>
      <c r="J639" s="133"/>
      <c r="K639" s="105"/>
      <c r="L639" s="134" t="s">
        <v>15</v>
      </c>
      <c r="M639" s="106" t="s">
        <v>16</v>
      </c>
      <c r="N639" s="104" t="s">
        <v>26</v>
      </c>
      <c r="O639" s="105"/>
      <c r="P639" s="107" t="s">
        <v>22</v>
      </c>
      <c r="Q639" s="108"/>
      <c r="R639" s="4"/>
    </row>
    <row r="640" spans="1:18">
      <c r="A640" s="1">
        <f t="shared" si="21"/>
        <v>0</v>
      </c>
      <c r="B640" s="2"/>
      <c r="C640" s="8"/>
      <c r="D640" s="109"/>
      <c r="E640" s="135"/>
      <c r="F640" s="135"/>
      <c r="G640" s="135"/>
      <c r="H640" s="135"/>
      <c r="I640" s="135"/>
      <c r="J640" s="135"/>
      <c r="K640" s="136"/>
      <c r="L640" s="137"/>
      <c r="M640" s="138"/>
      <c r="N640" s="139"/>
      <c r="O640" s="140"/>
      <c r="P640" s="118"/>
      <c r="Q640" s="119"/>
      <c r="R640" s="4"/>
    </row>
    <row r="641" spans="1:18">
      <c r="A641" s="1">
        <f t="shared" si="21"/>
        <v>0</v>
      </c>
      <c r="B641" s="2"/>
      <c r="C641" s="8"/>
      <c r="D641" s="109"/>
      <c r="E641" s="135"/>
      <c r="F641" s="135"/>
      <c r="G641" s="135"/>
      <c r="H641" s="135"/>
      <c r="I641" s="135"/>
      <c r="J641" s="135"/>
      <c r="K641" s="136"/>
      <c r="L641" s="137"/>
      <c r="M641" s="138"/>
      <c r="N641" s="139"/>
      <c r="O641" s="140"/>
      <c r="P641" s="118"/>
      <c r="Q641" s="119"/>
      <c r="R641" s="4"/>
    </row>
    <row r="642" spans="1:18">
      <c r="A642" s="1">
        <f t="shared" si="21"/>
        <v>0</v>
      </c>
      <c r="B642" s="2"/>
      <c r="C642" s="8"/>
      <c r="D642" s="109"/>
      <c r="E642" s="110"/>
      <c r="F642" s="110"/>
      <c r="G642" s="110"/>
      <c r="H642" s="110"/>
      <c r="I642" s="110"/>
      <c r="J642" s="110"/>
      <c r="K642" s="111"/>
      <c r="L642" s="137"/>
      <c r="M642" s="138"/>
      <c r="N642" s="139"/>
      <c r="O642" s="140"/>
      <c r="P642" s="118"/>
      <c r="Q642" s="119"/>
      <c r="R642" s="4"/>
    </row>
    <row r="643" spans="1:18">
      <c r="A643" s="1">
        <f t="shared" si="21"/>
        <v>0</v>
      </c>
      <c r="B643" s="2"/>
      <c r="C643" s="8"/>
      <c r="D643" s="109"/>
      <c r="E643" s="110"/>
      <c r="F643" s="110"/>
      <c r="G643" s="110"/>
      <c r="H643" s="110"/>
      <c r="I643" s="110"/>
      <c r="J643" s="110"/>
      <c r="K643" s="111"/>
      <c r="L643" s="137"/>
      <c r="M643" s="138"/>
      <c r="N643" s="139"/>
      <c r="O643" s="140"/>
      <c r="P643" s="118"/>
      <c r="Q643" s="119"/>
      <c r="R643" s="4"/>
    </row>
    <row r="644" spans="1:18">
      <c r="A644" s="1">
        <f t="shared" si="21"/>
        <v>0</v>
      </c>
      <c r="B644" s="2"/>
      <c r="C644" s="8"/>
      <c r="D644" s="109" t="str">
        <f>IFERROR(INDEX([239]MATERIALES!C:C,MATCH(B644,[239]MATERIALES!B:B,0)),"")</f>
        <v/>
      </c>
      <c r="E644" s="110"/>
      <c r="F644" s="110"/>
      <c r="G644" s="110"/>
      <c r="H644" s="110"/>
      <c r="I644" s="110"/>
      <c r="J644" s="110"/>
      <c r="K644" s="111"/>
      <c r="L644" s="137" t="str">
        <f>IFERROR(INDEX([239]MATERIALES!D:D,MATCH(B644,[239]MATERIALES!B:B,0)),"")</f>
        <v/>
      </c>
      <c r="M644" s="138"/>
      <c r="N644" s="139" t="str">
        <f>IFERROR(INDEX([239]MATERIALES!P:P,MATCH(B644,[239]MATERIALES!B:B,0)),"")</f>
        <v/>
      </c>
      <c r="O644" s="140"/>
      <c r="P644" s="118" t="str">
        <f t="shared" ref="P644:P653" si="22">IFERROR(ROUND(N644*M644,2),"")</f>
        <v/>
      </c>
      <c r="Q644" s="119"/>
      <c r="R644" s="4"/>
    </row>
    <row r="645" spans="1:18">
      <c r="A645" s="1">
        <f t="shared" si="21"/>
        <v>0</v>
      </c>
      <c r="B645" s="2"/>
      <c r="C645" s="8"/>
      <c r="D645" s="109" t="str">
        <f>IFERROR(INDEX([239]MATERIALES!C:C,MATCH(B645,[239]MATERIALES!B:B,0)),"")</f>
        <v/>
      </c>
      <c r="E645" s="110"/>
      <c r="F645" s="110"/>
      <c r="G645" s="110"/>
      <c r="H645" s="110"/>
      <c r="I645" s="110"/>
      <c r="J645" s="110"/>
      <c r="K645" s="111"/>
      <c r="L645" s="137" t="str">
        <f>IFERROR(INDEX([239]MATERIALES!D:D,MATCH(B645,[239]MATERIALES!B:B,0)),"")</f>
        <v/>
      </c>
      <c r="M645" s="138"/>
      <c r="N645" s="139" t="str">
        <f>IFERROR(INDEX([239]MATERIALES!P:P,MATCH(B645,[239]MATERIALES!B:B,0)),"")</f>
        <v/>
      </c>
      <c r="O645" s="140"/>
      <c r="P645" s="118" t="str">
        <f t="shared" si="22"/>
        <v/>
      </c>
      <c r="Q645" s="119"/>
      <c r="R645" s="4"/>
    </row>
    <row r="646" spans="1:18">
      <c r="A646" s="1">
        <f t="shared" si="21"/>
        <v>0</v>
      </c>
      <c r="B646" s="2"/>
      <c r="C646" s="8"/>
      <c r="D646" s="109" t="str">
        <f>IFERROR(INDEX([239]MATERIALES!C:C,MATCH(B646,[239]MATERIALES!B:B,0)),"")</f>
        <v/>
      </c>
      <c r="E646" s="110"/>
      <c r="F646" s="110"/>
      <c r="G646" s="110"/>
      <c r="H646" s="110"/>
      <c r="I646" s="110"/>
      <c r="J646" s="110"/>
      <c r="K646" s="111"/>
      <c r="L646" s="137" t="str">
        <f>IFERROR(INDEX([239]MATERIALES!D:D,MATCH(B646,[239]MATERIALES!B:B,0)),"")</f>
        <v/>
      </c>
      <c r="M646" s="138"/>
      <c r="N646" s="139" t="str">
        <f>IFERROR(INDEX([239]MATERIALES!P:P,MATCH(B646,[239]MATERIALES!B:B,0)),"")</f>
        <v/>
      </c>
      <c r="O646" s="140"/>
      <c r="P646" s="118" t="str">
        <f t="shared" si="22"/>
        <v/>
      </c>
      <c r="Q646" s="119"/>
      <c r="R646" s="4"/>
    </row>
    <row r="647" spans="1:18">
      <c r="A647" s="1">
        <f t="shared" si="21"/>
        <v>0</v>
      </c>
      <c r="B647" s="2"/>
      <c r="C647" s="8"/>
      <c r="D647" s="109" t="str">
        <f>IFERROR(INDEX([239]MATERIALES!C:C,MATCH(B647,[239]MATERIALES!B:B,0)),"")</f>
        <v/>
      </c>
      <c r="E647" s="110"/>
      <c r="F647" s="110"/>
      <c r="G647" s="110"/>
      <c r="H647" s="110"/>
      <c r="I647" s="110"/>
      <c r="J647" s="110"/>
      <c r="K647" s="111"/>
      <c r="L647" s="137" t="str">
        <f>IFERROR(INDEX([239]MATERIALES!D:D,MATCH(B647,[239]MATERIALES!B:B,0)),"")</f>
        <v/>
      </c>
      <c r="M647" s="138"/>
      <c r="N647" s="139" t="str">
        <f>IFERROR(INDEX([239]MATERIALES!P:P,MATCH(B647,[239]MATERIALES!B:B,0)),"")</f>
        <v/>
      </c>
      <c r="O647" s="140"/>
      <c r="P647" s="118" t="str">
        <f t="shared" si="22"/>
        <v/>
      </c>
      <c r="Q647" s="119"/>
      <c r="R647" s="4"/>
    </row>
    <row r="648" spans="1:18">
      <c r="A648" s="1">
        <f t="shared" si="21"/>
        <v>0</v>
      </c>
      <c r="B648" s="2"/>
      <c r="C648" s="8"/>
      <c r="D648" s="109" t="str">
        <f>IFERROR(INDEX([239]MATERIALES!C:C,MATCH(B648,[239]MATERIALES!B:B,0)),"")</f>
        <v/>
      </c>
      <c r="E648" s="110"/>
      <c r="F648" s="110"/>
      <c r="G648" s="110"/>
      <c r="H648" s="110"/>
      <c r="I648" s="110"/>
      <c r="J648" s="110"/>
      <c r="K648" s="111"/>
      <c r="L648" s="137" t="str">
        <f>IFERROR(INDEX([239]MATERIALES!D:D,MATCH(B648,[239]MATERIALES!B:B,0)),"")</f>
        <v/>
      </c>
      <c r="M648" s="138"/>
      <c r="N648" s="139" t="str">
        <f>IFERROR(INDEX([239]MATERIALES!P:P,MATCH(B648,[239]MATERIALES!B:B,0)),"")</f>
        <v/>
      </c>
      <c r="O648" s="140"/>
      <c r="P648" s="118" t="str">
        <f t="shared" si="22"/>
        <v/>
      </c>
      <c r="Q648" s="119"/>
      <c r="R648" s="4"/>
    </row>
    <row r="649" spans="1:18">
      <c r="A649" s="1">
        <f t="shared" si="21"/>
        <v>0</v>
      </c>
      <c r="B649" s="2"/>
      <c r="C649" s="8"/>
      <c r="D649" s="109" t="str">
        <f>IFERROR(INDEX([239]MATERIALES!C:C,MATCH(B649,[239]MATERIALES!B:B,0)),"")</f>
        <v/>
      </c>
      <c r="E649" s="110"/>
      <c r="F649" s="110"/>
      <c r="G649" s="110"/>
      <c r="H649" s="110"/>
      <c r="I649" s="110"/>
      <c r="J649" s="110"/>
      <c r="K649" s="111"/>
      <c r="L649" s="137" t="str">
        <f>IFERROR(INDEX([239]MATERIALES!D:D,MATCH(B649,[239]MATERIALES!B:B,0)),"")</f>
        <v/>
      </c>
      <c r="M649" s="138"/>
      <c r="N649" s="139" t="str">
        <f>IFERROR(INDEX([239]MATERIALES!P:P,MATCH(B649,[239]MATERIALES!B:B,0)),"")</f>
        <v/>
      </c>
      <c r="O649" s="140"/>
      <c r="P649" s="118" t="str">
        <f t="shared" si="22"/>
        <v/>
      </c>
      <c r="Q649" s="119"/>
      <c r="R649" s="4"/>
    </row>
    <row r="650" spans="1:18">
      <c r="A650" s="1">
        <f t="shared" si="21"/>
        <v>0</v>
      </c>
      <c r="B650" s="2"/>
      <c r="C650" s="8"/>
      <c r="D650" s="109" t="str">
        <f>IFERROR(INDEX([239]MATERIALES!C:C,MATCH(B650,[239]MATERIALES!B:B,0)),"")</f>
        <v/>
      </c>
      <c r="E650" s="110"/>
      <c r="F650" s="110"/>
      <c r="G650" s="110"/>
      <c r="H650" s="110"/>
      <c r="I650" s="110"/>
      <c r="J650" s="110"/>
      <c r="K650" s="111"/>
      <c r="L650" s="137" t="str">
        <f>IFERROR(INDEX([239]MATERIALES!D:D,MATCH(B650,[239]MATERIALES!B:B,0)),"")</f>
        <v/>
      </c>
      <c r="M650" s="138"/>
      <c r="N650" s="139" t="str">
        <f>IFERROR(INDEX([239]MATERIALES!P:P,MATCH(B650,[239]MATERIALES!B:B,0)),"")</f>
        <v/>
      </c>
      <c r="O650" s="140"/>
      <c r="P650" s="118" t="str">
        <f t="shared" si="22"/>
        <v/>
      </c>
      <c r="Q650" s="119"/>
      <c r="R650" s="4"/>
    </row>
    <row r="651" spans="1:18">
      <c r="A651" s="1">
        <f t="shared" si="21"/>
        <v>0</v>
      </c>
      <c r="B651" s="2"/>
      <c r="C651" s="8"/>
      <c r="D651" s="109" t="str">
        <f>IFERROR(INDEX([239]MATERIALES!C:C,MATCH(B651,[239]MATERIALES!B:B,0)),"")</f>
        <v/>
      </c>
      <c r="E651" s="110"/>
      <c r="F651" s="110"/>
      <c r="G651" s="110"/>
      <c r="H651" s="110"/>
      <c r="I651" s="110"/>
      <c r="J651" s="110"/>
      <c r="K651" s="111"/>
      <c r="L651" s="137" t="str">
        <f>IFERROR(INDEX([239]MATERIALES!D:D,MATCH(B651,[239]MATERIALES!B:B,0)),"")</f>
        <v/>
      </c>
      <c r="M651" s="138"/>
      <c r="N651" s="139" t="str">
        <f>IFERROR(INDEX([239]MATERIALES!P:P,MATCH(B651,[239]MATERIALES!B:B,0)),"")</f>
        <v/>
      </c>
      <c r="O651" s="140"/>
      <c r="P651" s="118" t="str">
        <f t="shared" si="22"/>
        <v/>
      </c>
      <c r="Q651" s="119"/>
      <c r="R651" s="4"/>
    </row>
    <row r="652" spans="1:18">
      <c r="A652" s="1">
        <f t="shared" si="21"/>
        <v>0</v>
      </c>
      <c r="B652" s="2"/>
      <c r="C652" s="8"/>
      <c r="D652" s="109" t="str">
        <f>IFERROR(INDEX([239]MATERIALES!C:C,MATCH(B652,[239]MATERIALES!B:B,0)),"")</f>
        <v/>
      </c>
      <c r="E652" s="110"/>
      <c r="F652" s="110"/>
      <c r="G652" s="110"/>
      <c r="H652" s="110"/>
      <c r="I652" s="110"/>
      <c r="J652" s="110"/>
      <c r="K652" s="111"/>
      <c r="L652" s="137" t="str">
        <f>IFERROR(INDEX([239]MATERIALES!D:D,MATCH(B652,[239]MATERIALES!B:B,0)),"")</f>
        <v/>
      </c>
      <c r="M652" s="138"/>
      <c r="N652" s="139" t="str">
        <f>IFERROR(INDEX([239]MATERIALES!P:P,MATCH(B652,[239]MATERIALES!B:B,0)),"")</f>
        <v/>
      </c>
      <c r="O652" s="140"/>
      <c r="P652" s="118" t="str">
        <f t="shared" si="22"/>
        <v/>
      </c>
      <c r="Q652" s="119"/>
      <c r="R652" s="4"/>
    </row>
    <row r="653" spans="1:18">
      <c r="A653" s="1">
        <f t="shared" si="21"/>
        <v>0</v>
      </c>
      <c r="B653" s="2"/>
      <c r="C653" s="8"/>
      <c r="D653" s="109" t="str">
        <f>IFERROR(INDEX([239]MATERIALES!C:C,MATCH(B653,[239]MATERIALES!B:B,0)),"")</f>
        <v/>
      </c>
      <c r="E653" s="110"/>
      <c r="F653" s="110"/>
      <c r="G653" s="110"/>
      <c r="H653" s="110"/>
      <c r="I653" s="110"/>
      <c r="J653" s="110"/>
      <c r="K653" s="111"/>
      <c r="L653" s="137" t="str">
        <f>IFERROR(INDEX([239]MATERIALES!D:D,MATCH(B653,[239]MATERIALES!B:B,0)),"")</f>
        <v/>
      </c>
      <c r="M653" s="138"/>
      <c r="N653" s="139" t="str">
        <f>IFERROR(INDEX([239]MATERIALES!P:P,MATCH(B653,[239]MATERIALES!B:B,0)),"")</f>
        <v/>
      </c>
      <c r="O653" s="140"/>
      <c r="P653" s="118" t="str">
        <f t="shared" si="22"/>
        <v/>
      </c>
      <c r="Q653" s="119"/>
      <c r="R653" s="4"/>
    </row>
    <row r="654" spans="1:18" ht="15.75" thickBot="1">
      <c r="A654" s="1">
        <f t="shared" si="21"/>
        <v>0</v>
      </c>
      <c r="B654" s="2"/>
      <c r="C654" s="8"/>
      <c r="D654" s="109" t="s">
        <v>28</v>
      </c>
      <c r="E654" s="110"/>
      <c r="F654" s="110"/>
      <c r="G654" s="110"/>
      <c r="H654" s="110"/>
      <c r="I654" s="110"/>
      <c r="J654" s="110"/>
      <c r="K654" s="111"/>
      <c r="L654" s="137" t="s">
        <v>29</v>
      </c>
      <c r="M654" s="138">
        <v>0.05</v>
      </c>
      <c r="N654" s="139">
        <f>SUM(P640:P653)</f>
        <v>0</v>
      </c>
      <c r="O654" s="140"/>
      <c r="P654" s="118">
        <f>ROUND(N654*M654,2)</f>
        <v>0</v>
      </c>
      <c r="Q654" s="119"/>
      <c r="R654" s="4"/>
    </row>
    <row r="655" spans="1:18" ht="15.75" thickBot="1">
      <c r="A655" s="1">
        <f t="shared" si="21"/>
        <v>0</v>
      </c>
      <c r="B655" s="2"/>
      <c r="C655" s="8"/>
      <c r="D655" s="128" t="s">
        <v>24</v>
      </c>
      <c r="E655" s="129"/>
      <c r="F655" s="129"/>
      <c r="G655" s="129"/>
      <c r="H655" s="129"/>
      <c r="I655" s="129"/>
      <c r="J655" s="129"/>
      <c r="K655" s="129"/>
      <c r="L655" s="129"/>
      <c r="M655" s="129"/>
      <c r="N655" s="129"/>
      <c r="O655" s="130"/>
      <c r="P655" s="131">
        <f>SUM(P640:P654)</f>
        <v>0</v>
      </c>
      <c r="Q655" s="119"/>
      <c r="R655" s="4"/>
    </row>
    <row r="656" spans="1:18" ht="15.75" thickBot="1">
      <c r="A656" s="1">
        <f t="shared" si="21"/>
        <v>0</v>
      </c>
      <c r="B656" s="2"/>
      <c r="C656" s="8"/>
      <c r="D656" s="74" t="s">
        <v>30</v>
      </c>
      <c r="E656" s="37"/>
      <c r="F656" s="37"/>
      <c r="G656" s="37"/>
      <c r="H656" s="37"/>
      <c r="I656" s="37"/>
      <c r="J656" s="37"/>
      <c r="K656" s="37"/>
      <c r="L656" s="37"/>
      <c r="M656" s="37"/>
      <c r="N656" s="37"/>
      <c r="O656" s="37"/>
      <c r="P656" s="99"/>
      <c r="Q656" s="100"/>
      <c r="R656" s="4"/>
    </row>
    <row r="657" spans="1:18">
      <c r="A657" s="1">
        <f t="shared" si="21"/>
        <v>0</v>
      </c>
      <c r="B657" s="2"/>
      <c r="C657" s="8"/>
      <c r="D657" s="101" t="s">
        <v>31</v>
      </c>
      <c r="E657" s="133"/>
      <c r="F657" s="133"/>
      <c r="G657" s="133"/>
      <c r="H657" s="133"/>
      <c r="I657" s="133"/>
      <c r="J657" s="133"/>
      <c r="K657" s="106" t="s">
        <v>32</v>
      </c>
      <c r="L657" s="141" t="s">
        <v>33</v>
      </c>
      <c r="M657" s="106" t="s">
        <v>34</v>
      </c>
      <c r="N657" s="104" t="s">
        <v>20</v>
      </c>
      <c r="O657" s="105"/>
      <c r="P657" s="107" t="s">
        <v>22</v>
      </c>
      <c r="Q657" s="108"/>
      <c r="R657" s="4"/>
    </row>
    <row r="658" spans="1:18">
      <c r="A658" s="1">
        <f t="shared" si="21"/>
        <v>0</v>
      </c>
      <c r="B658" s="2"/>
      <c r="C658" s="8"/>
      <c r="D658" s="142" t="str">
        <f>IFERROR(INDEX([239]TRANSPORTES!B:B,MATCH(B658,[239]TRANSPORTES!A:A,0)),"")</f>
        <v/>
      </c>
      <c r="E658" s="143"/>
      <c r="F658" s="143"/>
      <c r="G658" s="143"/>
      <c r="H658" s="143"/>
      <c r="I658" s="143"/>
      <c r="J658" s="143"/>
      <c r="K658" s="220"/>
      <c r="L658" s="145"/>
      <c r="M658" s="146" t="str">
        <f>IFERROR(INDEX([239]TRANSPORTES!C:C,MATCH(B658,[239]TRANSPORTES!A:A,0)),"")</f>
        <v/>
      </c>
      <c r="N658" s="139" t="str">
        <f>IFERROR(INDEX([239]TRANSPORTES!D:D,MATCH(B658,[239]TRANSPORTES!A:A,0)),"")</f>
        <v/>
      </c>
      <c r="O658" s="147"/>
      <c r="P658" s="148" t="str">
        <f>IFERROR(ROUND(K658*N658*L658,2),"")</f>
        <v/>
      </c>
      <c r="Q658" s="119"/>
      <c r="R658" s="4"/>
    </row>
    <row r="659" spans="1:18">
      <c r="A659" s="1">
        <f t="shared" si="21"/>
        <v>0</v>
      </c>
      <c r="B659" s="2"/>
      <c r="C659" s="8"/>
      <c r="D659" s="142" t="str">
        <f>IFERROR(INDEX([239]TRANSPORTES!B:B,MATCH(B659,[239]TRANSPORTES!A:A,0)),"")</f>
        <v/>
      </c>
      <c r="E659" s="143"/>
      <c r="F659" s="143"/>
      <c r="G659" s="143"/>
      <c r="H659" s="143"/>
      <c r="I659" s="143"/>
      <c r="J659" s="143"/>
      <c r="K659" s="144"/>
      <c r="L659" s="145"/>
      <c r="M659" s="146" t="str">
        <f>IFERROR(INDEX([239]TRANSPORTES!C:C,MATCH(B659,[239]TRANSPORTES!A:A,0)),"")</f>
        <v/>
      </c>
      <c r="N659" s="139" t="str">
        <f>IFERROR(INDEX([239]TRANSPORTES!D:D,MATCH(B659,[239]TRANSPORTES!A:A,0)),"")</f>
        <v/>
      </c>
      <c r="O659" s="147"/>
      <c r="P659" s="148" t="str">
        <f>IFERROR(ROUND(K659*N659*L659,2),"")</f>
        <v/>
      </c>
      <c r="Q659" s="119"/>
      <c r="R659" s="4"/>
    </row>
    <row r="660" spans="1:18">
      <c r="A660" s="1">
        <f t="shared" si="21"/>
        <v>0</v>
      </c>
      <c r="B660" s="2"/>
      <c r="C660" s="8"/>
      <c r="D660" s="142" t="str">
        <f>IFERROR(INDEX([239]TRANSPORTES!B:B,MATCH(B660,[239]TRANSPORTES!A:A,0)),"")</f>
        <v/>
      </c>
      <c r="E660" s="143"/>
      <c r="F660" s="143"/>
      <c r="G660" s="143"/>
      <c r="H660" s="143"/>
      <c r="I660" s="143"/>
      <c r="J660" s="143"/>
      <c r="K660" s="144"/>
      <c r="L660" s="145"/>
      <c r="M660" s="146" t="str">
        <f>IFERROR(INDEX([239]TRANSPORTES!C:C,MATCH(B660,[239]TRANSPORTES!A:A,0)),"")</f>
        <v/>
      </c>
      <c r="N660" s="139" t="str">
        <f>IFERROR(INDEX([239]TRANSPORTES!D:D,MATCH(B660,[239]TRANSPORTES!A:A,0)),"")</f>
        <v/>
      </c>
      <c r="O660" s="147"/>
      <c r="P660" s="148" t="str">
        <f>IFERROR(ROUND(K660*N660*L660,2),"")</f>
        <v/>
      </c>
      <c r="Q660" s="119"/>
      <c r="R660" s="4"/>
    </row>
    <row r="661" spans="1:18" ht="15.75" thickBot="1">
      <c r="A661" s="1">
        <f t="shared" si="21"/>
        <v>0</v>
      </c>
      <c r="B661" s="2"/>
      <c r="C661" s="8"/>
      <c r="D661" s="142" t="str">
        <f>IFERROR(INDEX([239]TRANSPORTES!B:B,MATCH(B661,[239]TRANSPORTES!A:A,0)),"")</f>
        <v/>
      </c>
      <c r="E661" s="143"/>
      <c r="F661" s="143"/>
      <c r="G661" s="143"/>
      <c r="H661" s="143"/>
      <c r="I661" s="143"/>
      <c r="J661" s="143"/>
      <c r="K661" s="149"/>
      <c r="L661" s="150"/>
      <c r="M661" s="146" t="str">
        <f>IFERROR(INDEX([239]TRANSPORTES!C:C,MATCH(B661,[239]TRANSPORTES!A:A,0)),"")</f>
        <v/>
      </c>
      <c r="N661" s="139" t="str">
        <f>IFERROR(INDEX([239]TRANSPORTES!D:D,MATCH(B661,[239]TRANSPORTES!A:A,0)),"")</f>
        <v/>
      </c>
      <c r="O661" s="147"/>
      <c r="P661" s="148" t="str">
        <f>IFERROR(ROUND(K661*N661*L661,2),"")</f>
        <v/>
      </c>
      <c r="Q661" s="119"/>
      <c r="R661" s="4"/>
    </row>
    <row r="662" spans="1:18" ht="15.75" thickBot="1">
      <c r="A662" s="1">
        <f t="shared" si="21"/>
        <v>0</v>
      </c>
      <c r="B662" s="2"/>
      <c r="C662" s="8"/>
      <c r="D662" s="128" t="s">
        <v>24</v>
      </c>
      <c r="E662" s="129"/>
      <c r="F662" s="129"/>
      <c r="G662" s="129"/>
      <c r="H662" s="129"/>
      <c r="I662" s="129"/>
      <c r="J662" s="129"/>
      <c r="K662" s="129"/>
      <c r="L662" s="129"/>
      <c r="M662" s="129"/>
      <c r="N662" s="129"/>
      <c r="O662" s="130"/>
      <c r="P662" s="151">
        <f>SUM(P658:P661)</f>
        <v>0</v>
      </c>
      <c r="Q662" s="132"/>
      <c r="R662" s="4"/>
    </row>
    <row r="663" spans="1:18" ht="15.75" thickBot="1">
      <c r="A663" s="1">
        <f t="shared" si="21"/>
        <v>0</v>
      </c>
      <c r="B663" s="2"/>
      <c r="C663" s="8"/>
      <c r="D663" s="74" t="s">
        <v>36</v>
      </c>
      <c r="E663" s="37"/>
      <c r="F663" s="37"/>
      <c r="G663" s="37"/>
      <c r="H663" s="37"/>
      <c r="I663" s="37"/>
      <c r="J663" s="37"/>
      <c r="K663" s="37"/>
      <c r="L663" s="37"/>
      <c r="M663" s="37"/>
      <c r="N663" s="37"/>
      <c r="O663" s="37"/>
      <c r="P663" s="99"/>
      <c r="Q663" s="100"/>
      <c r="R663" s="4"/>
    </row>
    <row r="664" spans="1:18" ht="30">
      <c r="A664" s="1">
        <f t="shared" si="21"/>
        <v>0</v>
      </c>
      <c r="B664" s="2"/>
      <c r="C664" s="8"/>
      <c r="D664" s="101" t="s">
        <v>37</v>
      </c>
      <c r="E664" s="133"/>
      <c r="F664" s="133"/>
      <c r="G664" s="133"/>
      <c r="H664" s="133"/>
      <c r="I664" s="133"/>
      <c r="J664" s="133"/>
      <c r="K664" s="106" t="s">
        <v>38</v>
      </c>
      <c r="L664" s="152" t="s">
        <v>39</v>
      </c>
      <c r="M664" s="153" t="s">
        <v>40</v>
      </c>
      <c r="N664" s="104" t="s">
        <v>21</v>
      </c>
      <c r="O664" s="105"/>
      <c r="P664" s="154" t="s">
        <v>22</v>
      </c>
      <c r="Q664" s="155"/>
      <c r="R664" s="4"/>
    </row>
    <row r="665" spans="1:18">
      <c r="A665" s="1">
        <f t="shared" si="21"/>
        <v>0</v>
      </c>
      <c r="B665" s="2" t="s">
        <v>42</v>
      </c>
      <c r="C665" s="8"/>
      <c r="D665" s="109" t="str">
        <f>IFERROR(INDEX('[239]MANO DE OBRA'!B:B,MATCH(B665,'[239]MANO DE OBRA'!A:A,0)),"")</f>
        <v>AYUDANTE (2)</v>
      </c>
      <c r="E665" s="110"/>
      <c r="F665" s="110"/>
      <c r="G665" s="110"/>
      <c r="H665" s="110"/>
      <c r="I665" s="110"/>
      <c r="J665" s="111"/>
      <c r="K665" s="156">
        <f>IFERROR(INDEX('[239]MANO DE OBRA'!D:D,MATCH(B665,'[239]MANO DE OBRA'!A:A,0)),"")</f>
        <v>142866</v>
      </c>
      <c r="L665" s="157">
        <f>+IF(D665&lt;&gt;"",'[239]FACTOR PRESTACIONAL'!$E$21," ")</f>
        <v>1.95</v>
      </c>
      <c r="M665" s="158">
        <f>IFERROR(K665*L665," ")</f>
        <v>278588.7</v>
      </c>
      <c r="N665" s="159">
        <v>1</v>
      </c>
      <c r="O665" s="160"/>
      <c r="P665" s="161">
        <f>IFERROR(ROUND(M665/N665,2)," ")</f>
        <v>278588.7</v>
      </c>
      <c r="Q665" s="162"/>
      <c r="R665" s="4"/>
    </row>
    <row r="666" spans="1:18">
      <c r="A666" s="1">
        <f t="shared" si="21"/>
        <v>0</v>
      </c>
      <c r="B666" s="2"/>
      <c r="C666" s="8"/>
      <c r="D666" s="109" t="str">
        <f>IFERROR(INDEX('[239]MANO DE OBRA'!B:B,MATCH(B666,'[239]MANO DE OBRA'!A:A,0)),"")</f>
        <v/>
      </c>
      <c r="E666" s="110"/>
      <c r="F666" s="110"/>
      <c r="G666" s="110"/>
      <c r="H666" s="110"/>
      <c r="I666" s="110"/>
      <c r="J666" s="111"/>
      <c r="K666" s="156" t="str">
        <f>IFERROR(INDEX('[239]MANO DE OBRA'!D:D,MATCH(B666,'[239]MANO DE OBRA'!A:A,0)),"")</f>
        <v/>
      </c>
      <c r="L666" s="157" t="str">
        <f>+IF(D666&lt;&gt;"",'[239]FACTOR PRESTACIONAL'!$E$21," ")</f>
        <v xml:space="preserve"> </v>
      </c>
      <c r="M666" s="158" t="str">
        <f>IFERROR(K666*L666," ")</f>
        <v xml:space="preserve"> </v>
      </c>
      <c r="N666" s="159"/>
      <c r="O666" s="160"/>
      <c r="P666" s="161" t="str">
        <f>IFERROR(ROUND(M666/N666,2)," ")</f>
        <v xml:space="preserve"> </v>
      </c>
      <c r="Q666" s="162"/>
      <c r="R666" s="4"/>
    </row>
    <row r="667" spans="1:18">
      <c r="A667" s="1">
        <f t="shared" si="21"/>
        <v>0</v>
      </c>
      <c r="B667" s="2"/>
      <c r="C667" s="8"/>
      <c r="D667" s="109" t="str">
        <f>IFERROR(INDEX('[239]MANO DE OBRA'!B:B,MATCH(B667,'[239]MANO DE OBRA'!A:A,0)),"")</f>
        <v/>
      </c>
      <c r="E667" s="110"/>
      <c r="F667" s="110"/>
      <c r="G667" s="110"/>
      <c r="H667" s="110"/>
      <c r="I667" s="110"/>
      <c r="J667" s="111"/>
      <c r="K667" s="156" t="str">
        <f>IFERROR(INDEX('[239]MANO DE OBRA'!D:D,MATCH(B667,'[239]MANO DE OBRA'!A:A,0)),"")</f>
        <v/>
      </c>
      <c r="L667" s="157" t="str">
        <f>+IF(D667&lt;&gt;"",'[239]FACTOR PRESTACIONAL'!$E$21," ")</f>
        <v xml:space="preserve"> </v>
      </c>
      <c r="M667" s="158" t="str">
        <f>IFERROR(K667*L667," ")</f>
        <v xml:space="preserve"> </v>
      </c>
      <c r="N667" s="159"/>
      <c r="O667" s="160"/>
      <c r="P667" s="161" t="str">
        <f>IFERROR(ROUND(M667/N667,2)," ")</f>
        <v xml:space="preserve"> </v>
      </c>
      <c r="Q667" s="162"/>
      <c r="R667" s="4"/>
    </row>
    <row r="668" spans="1:18">
      <c r="A668" s="1">
        <f t="shared" si="21"/>
        <v>0</v>
      </c>
      <c r="B668" s="2"/>
      <c r="C668" s="8"/>
      <c r="D668" s="109" t="str">
        <f>IFERROR(INDEX('[239]MANO DE OBRA'!B:B,MATCH(B668,'[239]MANO DE OBRA'!A:A,0)),"")</f>
        <v/>
      </c>
      <c r="E668" s="110"/>
      <c r="F668" s="110"/>
      <c r="G668" s="110"/>
      <c r="H668" s="110"/>
      <c r="I668" s="110"/>
      <c r="J668" s="111"/>
      <c r="K668" s="156" t="str">
        <f>IFERROR(INDEX('[239]MANO DE OBRA'!D:D,MATCH(B668,'[239]MANO DE OBRA'!A:A,0)),"")</f>
        <v/>
      </c>
      <c r="L668" s="157" t="str">
        <f>+IF(D668&lt;&gt;"",'[239]FACTOR PRESTACIONAL'!$E$21," ")</f>
        <v xml:space="preserve"> </v>
      </c>
      <c r="M668" s="158" t="str">
        <f>IFERROR(K668*L668," ")</f>
        <v xml:space="preserve"> </v>
      </c>
      <c r="N668" s="159"/>
      <c r="O668" s="160"/>
      <c r="P668" s="161" t="str">
        <f>IFERROR(ROUND(M668/N668,2)," ")</f>
        <v xml:space="preserve"> </v>
      </c>
      <c r="Q668" s="162"/>
      <c r="R668" s="4"/>
    </row>
    <row r="669" spans="1:18" ht="15.75" thickBot="1">
      <c r="A669" s="1">
        <f t="shared" si="21"/>
        <v>0</v>
      </c>
      <c r="B669" s="2"/>
      <c r="C669" s="8"/>
      <c r="D669" s="109" t="str">
        <f>IFERROR(INDEX('[239]MANO DE OBRA'!B:B,MATCH(B669,'[239]MANO DE OBRA'!A:A,0)),"")</f>
        <v/>
      </c>
      <c r="E669" s="110"/>
      <c r="F669" s="110"/>
      <c r="G669" s="110"/>
      <c r="H669" s="110"/>
      <c r="I669" s="110"/>
      <c r="J669" s="111"/>
      <c r="K669" s="156" t="str">
        <f>IFERROR(INDEX('[239]MANO DE OBRA'!D:D,MATCH(B669,'[239]MANO DE OBRA'!A:A,0)),"")</f>
        <v/>
      </c>
      <c r="L669" s="157" t="str">
        <f>+IF(D669&lt;&gt;"",'[239]FACTOR PRESTACIONAL'!$E$21," ")</f>
        <v xml:space="preserve"> </v>
      </c>
      <c r="M669" s="158" t="str">
        <f>IFERROR(K669*L669," ")</f>
        <v xml:space="preserve"> </v>
      </c>
      <c r="N669" s="159"/>
      <c r="O669" s="160"/>
      <c r="P669" s="161" t="str">
        <f>IFERROR(ROUND(M669/N669,2)," ")</f>
        <v xml:space="preserve"> </v>
      </c>
      <c r="Q669" s="119"/>
      <c r="R669" s="4"/>
    </row>
    <row r="670" spans="1:18" ht="15.75" thickBot="1">
      <c r="A670" s="1">
        <f t="shared" si="21"/>
        <v>0</v>
      </c>
      <c r="B670" s="2"/>
      <c r="C670" s="8"/>
      <c r="D670" s="128" t="s">
        <v>24</v>
      </c>
      <c r="E670" s="129"/>
      <c r="F670" s="129"/>
      <c r="G670" s="129"/>
      <c r="H670" s="129"/>
      <c r="I670" s="129"/>
      <c r="J670" s="129"/>
      <c r="K670" s="129"/>
      <c r="L670" s="129"/>
      <c r="M670" s="129"/>
      <c r="N670" s="129"/>
      <c r="O670" s="130"/>
      <c r="P670" s="131">
        <f>SUM(P665:P669)</f>
        <v>278588.7</v>
      </c>
      <c r="Q670" s="119"/>
      <c r="R670" s="4"/>
    </row>
    <row r="671" spans="1:18" ht="15.75" thickBot="1">
      <c r="A671" s="1">
        <f t="shared" si="21"/>
        <v>0</v>
      </c>
      <c r="B671" s="2"/>
      <c r="C671" s="8"/>
      <c r="D671" s="87"/>
      <c r="E671" s="20"/>
      <c r="F671" s="20"/>
      <c r="G671" s="20"/>
      <c r="H671" s="20"/>
      <c r="I671" s="20"/>
      <c r="J671" s="20"/>
      <c r="K671" s="20"/>
      <c r="L671" s="20"/>
      <c r="M671" s="20"/>
      <c r="N671" s="20"/>
      <c r="O671" s="20"/>
      <c r="P671" s="88"/>
      <c r="Q671" s="13"/>
      <c r="R671" s="4"/>
    </row>
    <row r="672" spans="1:18" ht="15.75" thickBot="1">
      <c r="A672" s="1"/>
      <c r="B672" s="2"/>
      <c r="C672" s="8"/>
      <c r="D672" s="163" t="s">
        <v>43</v>
      </c>
      <c r="E672" s="164"/>
      <c r="F672" s="164"/>
      <c r="G672" s="164"/>
      <c r="H672" s="164"/>
      <c r="I672" s="164"/>
      <c r="J672" s="164"/>
      <c r="K672" s="164"/>
      <c r="L672" s="164"/>
      <c r="M672" s="164"/>
      <c r="N672" s="164"/>
      <c r="O672" s="165"/>
      <c r="P672" s="166">
        <f>+P670+P662+P655+P637</f>
        <v>722588.7</v>
      </c>
      <c r="Q672" s="167"/>
      <c r="R672" s="168"/>
    </row>
    <row r="673" spans="1:18" ht="15.75" thickBot="1">
      <c r="A673" s="1"/>
      <c r="B673" s="2"/>
      <c r="C673" s="8"/>
      <c r="D673" s="169"/>
      <c r="E673" s="170"/>
      <c r="F673" s="170"/>
      <c r="G673" s="170"/>
      <c r="H673" s="170"/>
      <c r="I673" s="170"/>
      <c r="J673" s="170"/>
      <c r="K673" s="170"/>
      <c r="L673" s="170"/>
      <c r="M673" s="170"/>
      <c r="N673" s="170"/>
      <c r="O673" s="170"/>
      <c r="P673" s="171"/>
      <c r="Q673" s="100"/>
      <c r="R673" s="4"/>
    </row>
    <row r="674" spans="1:18">
      <c r="A674" s="1"/>
      <c r="B674" s="2"/>
      <c r="C674" s="8"/>
      <c r="D674" s="172" t="s">
        <v>73</v>
      </c>
      <c r="E674" s="173"/>
      <c r="F674" s="173"/>
      <c r="G674" s="173"/>
      <c r="H674" s="173"/>
      <c r="I674" s="173"/>
      <c r="J674" s="173"/>
      <c r="K674" s="141"/>
      <c r="L674" s="174"/>
      <c r="M674" s="153" t="s">
        <v>44</v>
      </c>
      <c r="N674" s="175" t="s">
        <v>45</v>
      </c>
      <c r="O674" s="176"/>
      <c r="P674" s="154"/>
      <c r="Q674" s="155"/>
      <c r="R674" s="4"/>
    </row>
    <row r="675" spans="1:18">
      <c r="A675" s="1"/>
      <c r="B675" s="2"/>
      <c r="C675" s="8"/>
      <c r="D675" s="109" t="s">
        <v>65</v>
      </c>
      <c r="E675" s="110"/>
      <c r="F675" s="110"/>
      <c r="G675" s="110"/>
      <c r="H675" s="110"/>
      <c r="I675" s="110"/>
      <c r="J675" s="110"/>
      <c r="K675" s="177"/>
      <c r="L675" s="178"/>
      <c r="M675" s="179">
        <f>+[239]INICIO!$F$10</f>
        <v>0.24</v>
      </c>
      <c r="N675" s="180">
        <f>ROUND(M675*P672,2)</f>
        <v>173421.29</v>
      </c>
      <c r="O675" s="181"/>
      <c r="P675" s="182"/>
      <c r="Q675" s="119"/>
      <c r="R675" s="4"/>
    </row>
    <row r="676" spans="1:18">
      <c r="A676" s="1"/>
      <c r="B676" s="2"/>
      <c r="C676" s="8"/>
      <c r="D676" s="183" t="s">
        <v>67</v>
      </c>
      <c r="E676" s="61"/>
      <c r="F676" s="61"/>
      <c r="G676" s="61"/>
      <c r="H676" s="61"/>
      <c r="I676" s="61"/>
      <c r="J676" s="61"/>
      <c r="K676" s="177"/>
      <c r="L676" s="178"/>
      <c r="M676" s="179">
        <f>+[239]INICIO!$F$11</f>
        <v>0.02</v>
      </c>
      <c r="N676" s="180">
        <f>ROUND(M676*P672,2)</f>
        <v>14451.77</v>
      </c>
      <c r="O676" s="181"/>
      <c r="P676" s="182"/>
      <c r="Q676" s="119"/>
      <c r="R676" s="4"/>
    </row>
    <row r="677" spans="1:18" ht="15.75" thickBot="1">
      <c r="A677" s="1"/>
      <c r="B677" s="2"/>
      <c r="C677" s="8"/>
      <c r="D677" s="77" t="s">
        <v>69</v>
      </c>
      <c r="E677" s="78"/>
      <c r="F677" s="78"/>
      <c r="G677" s="78"/>
      <c r="H677" s="78"/>
      <c r="I677" s="78"/>
      <c r="J677" s="78"/>
      <c r="K677" s="184"/>
      <c r="L677" s="185"/>
      <c r="M677" s="179">
        <f>+[239]INICIO!$F$12</f>
        <v>7.0000000000000007E-2</v>
      </c>
      <c r="N677" s="180">
        <f>ROUND(M677*P672,2)</f>
        <v>50581.21</v>
      </c>
      <c r="O677" s="181"/>
      <c r="P677" s="182"/>
      <c r="Q677" s="119"/>
      <c r="R677" s="4"/>
    </row>
    <row r="678" spans="1:18" ht="15.75" thickBot="1">
      <c r="A678" s="1"/>
      <c r="B678" s="2"/>
      <c r="C678" s="8"/>
      <c r="D678" s="128"/>
      <c r="E678" s="129"/>
      <c r="F678" s="129"/>
      <c r="G678" s="129"/>
      <c r="H678" s="129"/>
      <c r="I678" s="129"/>
      <c r="J678" s="129"/>
      <c r="K678" s="129"/>
      <c r="L678" s="129"/>
      <c r="M678" s="129"/>
      <c r="N678" s="129"/>
      <c r="O678" s="130"/>
      <c r="P678" s="131">
        <f>SUM(N675:N677)</f>
        <v>238454.27</v>
      </c>
      <c r="Q678" s="186"/>
      <c r="R678" s="4"/>
    </row>
    <row r="679" spans="1:18" ht="15.75" thickBot="1">
      <c r="A679" s="1"/>
      <c r="B679" s="2"/>
      <c r="C679" s="8"/>
      <c r="D679" s="87"/>
      <c r="E679" s="20"/>
      <c r="F679" s="20"/>
      <c r="G679" s="20"/>
      <c r="H679" s="20"/>
      <c r="I679" s="20"/>
      <c r="J679" s="20"/>
      <c r="K679" s="20"/>
      <c r="L679" s="20"/>
      <c r="M679" s="20"/>
      <c r="N679" s="20"/>
      <c r="O679" s="20"/>
      <c r="P679" s="88"/>
      <c r="Q679" s="13"/>
      <c r="R679" s="4"/>
    </row>
    <row r="680" spans="1:18" ht="15.75" thickBot="1">
      <c r="A680" s="1"/>
      <c r="B680" s="2"/>
      <c r="C680" s="8"/>
      <c r="D680" s="187" t="s">
        <v>46</v>
      </c>
      <c r="E680" s="188"/>
      <c r="F680" s="188"/>
      <c r="G680" s="188"/>
      <c r="H680" s="188"/>
      <c r="I680" s="188"/>
      <c r="J680" s="188"/>
      <c r="K680" s="188"/>
      <c r="L680" s="188"/>
      <c r="M680" s="188"/>
      <c r="N680" s="188"/>
      <c r="O680" s="189"/>
      <c r="P680" s="166">
        <f>ROUND(P678+P672,0)</f>
        <v>961043</v>
      </c>
      <c r="Q680" s="186"/>
      <c r="R680" s="4"/>
    </row>
    <row r="681" spans="1:18">
      <c r="A681" s="1"/>
      <c r="B681" s="2"/>
      <c r="C681" s="8"/>
      <c r="D681" s="80"/>
      <c r="E681" s="81"/>
      <c r="F681" s="81"/>
      <c r="G681" s="81"/>
      <c r="H681" s="81"/>
      <c r="I681" s="81"/>
      <c r="J681" s="81"/>
      <c r="K681" s="81"/>
      <c r="L681" s="81"/>
      <c r="M681" s="81"/>
      <c r="N681" s="81"/>
      <c r="O681" s="81"/>
      <c r="P681" s="82"/>
      <c r="Q681" s="13"/>
      <c r="R681" s="4"/>
    </row>
    <row r="682" spans="1:18">
      <c r="A682" s="1"/>
      <c r="B682" s="2"/>
      <c r="C682" s="8"/>
      <c r="D682" s="87"/>
      <c r="E682" s="20"/>
      <c r="F682" s="20"/>
      <c r="G682" s="20"/>
      <c r="H682" s="20"/>
      <c r="I682" s="20"/>
      <c r="J682" s="20"/>
      <c r="K682" s="20"/>
      <c r="L682" s="20"/>
      <c r="M682" s="20"/>
      <c r="N682" s="20"/>
      <c r="O682" s="20"/>
      <c r="P682" s="88"/>
      <c r="Q682" s="13"/>
      <c r="R682" s="4"/>
    </row>
    <row r="683" spans="1:18">
      <c r="A683" s="1"/>
      <c r="B683" s="2"/>
      <c r="C683" s="8"/>
      <c r="D683" s="87"/>
      <c r="E683" s="20"/>
      <c r="F683" s="20"/>
      <c r="G683" s="20"/>
      <c r="H683" s="20"/>
      <c r="I683" s="20"/>
      <c r="J683" s="20"/>
      <c r="K683" s="20"/>
      <c r="L683" s="20"/>
      <c r="M683" s="20"/>
      <c r="N683" s="20"/>
      <c r="O683" s="20"/>
      <c r="P683" s="88"/>
      <c r="Q683" s="13"/>
      <c r="R683" s="4"/>
    </row>
    <row r="684" spans="1:18">
      <c r="A684" s="1"/>
      <c r="B684" s="2"/>
      <c r="C684" s="8"/>
      <c r="D684" s="87"/>
      <c r="E684" s="20"/>
      <c r="F684" s="20"/>
      <c r="G684" s="20"/>
      <c r="H684" s="20"/>
      <c r="I684" s="20"/>
      <c r="J684" s="20"/>
      <c r="K684" s="20"/>
      <c r="L684" s="20"/>
      <c r="M684" s="20"/>
      <c r="N684" s="20"/>
      <c r="O684" s="20"/>
      <c r="P684" s="88"/>
      <c r="Q684" s="13"/>
      <c r="R684" s="4"/>
    </row>
    <row r="685" spans="1:18">
      <c r="A685" s="1"/>
      <c r="B685" s="2"/>
      <c r="C685" s="8"/>
      <c r="D685" s="219" t="str">
        <f>+[239]INICIO!$B$13</f>
        <v>Proyectó:</v>
      </c>
      <c r="E685" s="49"/>
      <c r="F685" s="49"/>
      <c r="G685" s="49"/>
      <c r="H685" s="49"/>
      <c r="I685" s="49"/>
      <c r="J685" s="49"/>
      <c r="K685" s="20"/>
      <c r="L685" s="69" t="str">
        <f>+[239]INICIO!$B$16</f>
        <v>Aprobó:</v>
      </c>
      <c r="M685" s="49"/>
      <c r="N685" s="49"/>
      <c r="O685" s="49"/>
      <c r="P685" s="88"/>
      <c r="Q685" s="13"/>
      <c r="R685" s="4"/>
    </row>
    <row r="686" spans="1:18">
      <c r="A686" s="1"/>
      <c r="B686" s="2"/>
      <c r="C686" s="8"/>
      <c r="D686" s="87"/>
      <c r="E686" s="20" t="str">
        <f>+Hoja2!C$13</f>
        <v>HELMER EDUARDO BECERRA SANTANDER</v>
      </c>
      <c r="F686" s="20"/>
      <c r="G686" s="20"/>
      <c r="H686" s="20"/>
      <c r="I686" s="20"/>
      <c r="J686" s="20"/>
      <c r="K686" s="20"/>
      <c r="L686" s="20"/>
      <c r="M686" s="20" t="str">
        <f>+Hoja2!$C$16</f>
        <v>JESÚS IVÁN QUIÑONES RUEDA</v>
      </c>
      <c r="N686" s="20"/>
      <c r="O686" s="20"/>
      <c r="P686" s="88"/>
      <c r="Q686" s="190"/>
      <c r="R686" s="4"/>
    </row>
    <row r="687" spans="1:18">
      <c r="A687" s="1"/>
      <c r="B687" s="2"/>
      <c r="C687" s="8"/>
      <c r="D687" s="87"/>
      <c r="E687" s="20" t="str">
        <f>+Hoja2!C$14</f>
        <v>APOYO SEC. DE PLANEACIÓN Y OBRAS PÚBLICAS</v>
      </c>
      <c r="F687" s="20"/>
      <c r="G687" s="20"/>
      <c r="H687" s="20"/>
      <c r="I687" s="20"/>
      <c r="J687" s="20"/>
      <c r="K687" s="20"/>
      <c r="L687" s="20"/>
      <c r="M687" s="20" t="str">
        <f>+Hoja2!$C$17</f>
        <v>SECRETARIO DE PLANEACIÓN Y OBRAS PUBLICAS</v>
      </c>
      <c r="N687" s="20"/>
      <c r="O687" s="20"/>
      <c r="P687" s="88"/>
      <c r="Q687" s="190"/>
      <c r="R687" s="4"/>
    </row>
    <row r="688" spans="1:18">
      <c r="A688" s="1"/>
      <c r="B688" s="2"/>
      <c r="C688" s="8"/>
      <c r="D688" s="68"/>
      <c r="E688" s="20" t="str">
        <f>+Hoja2!C$15</f>
        <v>123769-0701671 NTS</v>
      </c>
      <c r="F688" s="191"/>
      <c r="G688" s="191"/>
      <c r="H688" s="191"/>
      <c r="I688" s="20"/>
      <c r="J688" s="191"/>
      <c r="K688" s="191"/>
      <c r="L688" s="191"/>
      <c r="M688" s="192" t="str">
        <f>+Hoja2!C$18</f>
        <v>A21382020-1090480860</v>
      </c>
      <c r="N688" s="191"/>
      <c r="O688" s="191"/>
      <c r="P688" s="193"/>
      <c r="Q688" s="194"/>
      <c r="R688" s="4"/>
    </row>
    <row r="689" spans="1:18" ht="16.5" thickBot="1">
      <c r="A689" s="1"/>
      <c r="B689" s="2"/>
      <c r="C689" s="8"/>
      <c r="D689" s="195"/>
      <c r="E689" s="150"/>
      <c r="F689" s="150"/>
      <c r="G689" s="150"/>
      <c r="H689" s="150"/>
      <c r="I689" s="150"/>
      <c r="J689" s="150"/>
      <c r="K689" s="150"/>
      <c r="L689" s="150"/>
      <c r="M689" s="150"/>
      <c r="N689" s="150"/>
      <c r="O689" s="150"/>
      <c r="P689" s="196"/>
      <c r="Q689" s="197"/>
      <c r="R689" s="4"/>
    </row>
    <row r="690" spans="1:18" ht="15.75" thickBot="1">
      <c r="A690" s="1"/>
      <c r="B690" s="2"/>
      <c r="C690" s="198"/>
      <c r="D690" s="199"/>
      <c r="E690" s="199"/>
      <c r="F690" s="199"/>
      <c r="G690" s="199"/>
      <c r="H690" s="199"/>
      <c r="I690" s="199"/>
      <c r="J690" s="199"/>
      <c r="K690" s="199"/>
      <c r="L690" s="199"/>
      <c r="M690" s="199"/>
      <c r="N690" s="199"/>
      <c r="O690" s="199"/>
      <c r="P690" s="199"/>
      <c r="Q690" s="200"/>
      <c r="R690" s="4"/>
    </row>
    <row r="691" spans="1:18" ht="15.75" thickTop="1"/>
  </sheetData>
  <pageMargins left="0.7" right="0.7" top="0.75" bottom="0.75" header="0.3" footer="0.3"/>
  <pageSetup scale="49" orientation="portrait" r:id="rId1"/>
  <rowBreaks count="7" manualBreakCount="7">
    <brk id="86" min="2" max="16" man="1"/>
    <brk id="172" min="2" max="16" man="1"/>
    <brk id="257" min="2" max="16" man="1"/>
    <brk id="344" min="2" max="16" man="1"/>
    <brk id="431" min="2" max="16" man="1"/>
    <brk id="517" min="2" max="16" man="1"/>
    <brk id="604" min="2" max="16" man="1"/>
  </rowBreaks>
  <colBreaks count="1" manualBreakCount="1">
    <brk id="17" max="85" man="1"/>
  </col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A738D8-B4B4-4AAF-B00F-13F3220B375F}">
  <dimension ref="A1:V1297"/>
  <sheetViews>
    <sheetView view="pageBreakPreview" topLeftCell="B1" zoomScale="70" zoomScaleNormal="100" zoomScaleSheetLayoutView="70" workbookViewId="0">
      <selection activeCell="U37" sqref="U37"/>
    </sheetView>
  </sheetViews>
  <sheetFormatPr baseColWidth="10" defaultRowHeight="15"/>
  <cols>
    <col min="1" max="1" width="15.42578125" customWidth="1"/>
    <col min="2" max="2" width="11.28515625" bestFit="1" customWidth="1"/>
    <col min="3" max="3" width="4.28515625" customWidth="1"/>
    <col min="4" max="4" width="13.7109375" bestFit="1" customWidth="1"/>
    <col min="7" max="7" width="6.42578125" hidden="1" customWidth="1"/>
    <col min="8" max="10" width="11.42578125" customWidth="1"/>
    <col min="11" max="11" width="15.5703125" customWidth="1"/>
    <col min="12" max="12" width="11.5703125" customWidth="1"/>
    <col min="13" max="13" width="15.140625" customWidth="1"/>
    <col min="14" max="15" width="11.5703125" bestFit="1" customWidth="1"/>
    <col min="16" max="16" width="21.28515625" customWidth="1"/>
    <col min="17" max="17" width="4.28515625" customWidth="1"/>
    <col min="18" max="18" width="18" customWidth="1"/>
    <col min="19" max="19" width="16.28515625" customWidth="1"/>
    <col min="20" max="20" width="17.28515625" customWidth="1"/>
  </cols>
  <sheetData>
    <row r="1" spans="1:18" ht="15.75" thickBot="1">
      <c r="A1" s="1"/>
      <c r="B1" s="2"/>
      <c r="C1" s="3"/>
      <c r="D1" s="4"/>
      <c r="E1" s="4"/>
      <c r="F1" s="4"/>
      <c r="G1" s="4"/>
      <c r="H1" s="4"/>
      <c r="I1" s="4"/>
      <c r="J1" s="4"/>
      <c r="K1" s="4"/>
      <c r="L1" s="4"/>
      <c r="M1" s="4"/>
      <c r="N1" s="4"/>
      <c r="O1" s="4"/>
      <c r="P1" s="4"/>
      <c r="Q1" s="4"/>
      <c r="R1" s="4"/>
    </row>
    <row r="2" spans="1:18" ht="15.75" thickTop="1">
      <c r="A2" s="1"/>
      <c r="B2" s="2"/>
      <c r="C2" s="5"/>
      <c r="D2" s="6"/>
      <c r="E2" s="6"/>
      <c r="F2" s="6"/>
      <c r="G2" s="6"/>
      <c r="H2" s="6"/>
      <c r="I2" s="6"/>
      <c r="J2" s="6"/>
      <c r="K2" s="6"/>
      <c r="L2" s="6"/>
      <c r="M2" s="6"/>
      <c r="N2" s="6"/>
      <c r="O2" s="6"/>
      <c r="P2" s="6"/>
      <c r="Q2" s="7"/>
      <c r="R2" s="4"/>
    </row>
    <row r="3" spans="1:18" ht="24">
      <c r="A3" s="1"/>
      <c r="B3" s="2"/>
      <c r="C3" s="8"/>
      <c r="D3" s="9" t="str">
        <f>+[239]INICIO!$C$8</f>
        <v>Análisis de Precios Unitarios- Secretaria de Planeación y Obras Publicas de Cubará, Boyacá.</v>
      </c>
      <c r="E3" s="10"/>
      <c r="F3" s="10"/>
      <c r="G3" s="10"/>
      <c r="H3" s="11"/>
      <c r="I3" s="12"/>
      <c r="J3" s="12"/>
      <c r="K3" s="12"/>
      <c r="L3" s="12"/>
      <c r="M3" s="12"/>
      <c r="N3" s="12"/>
      <c r="O3" s="12"/>
      <c r="P3" s="12"/>
      <c r="Q3" s="13"/>
      <c r="R3" s="4"/>
    </row>
    <row r="4" spans="1:18">
      <c r="A4" s="1"/>
      <c r="B4" s="2"/>
      <c r="C4" s="8"/>
      <c r="D4" s="14" t="s">
        <v>0</v>
      </c>
      <c r="E4" s="15" t="str">
        <f>+[239]INICIO!$C$7</f>
        <v>CCE-EICP-FM-14</v>
      </c>
      <c r="F4" s="16"/>
      <c r="G4" s="17" t="str">
        <f>+[239]INICIO!$B$6</f>
        <v>VERSIÓN</v>
      </c>
      <c r="H4" s="14">
        <f>+[239]INICIO!$C$6</f>
        <v>1</v>
      </c>
      <c r="I4" s="12"/>
      <c r="J4" s="12"/>
      <c r="K4" s="12"/>
      <c r="L4" s="12"/>
      <c r="M4" s="12"/>
      <c r="N4" s="12"/>
      <c r="O4" s="12"/>
      <c r="P4" s="12"/>
      <c r="Q4" s="13"/>
      <c r="R4" s="4"/>
    </row>
    <row r="5" spans="1:18">
      <c r="A5" s="1"/>
      <c r="B5" s="2"/>
      <c r="C5" s="8"/>
      <c r="D5" s="18"/>
      <c r="E5" s="19"/>
      <c r="F5" s="18"/>
      <c r="G5" s="19"/>
      <c r="H5" s="12"/>
      <c r="I5" s="12"/>
      <c r="J5" s="12"/>
      <c r="K5" s="12"/>
      <c r="L5" s="12"/>
      <c r="M5" s="12"/>
      <c r="N5" s="12"/>
      <c r="O5" s="12"/>
      <c r="P5" s="12"/>
      <c r="Q5" s="13"/>
      <c r="R5" s="4"/>
    </row>
    <row r="6" spans="1:18" ht="15.75" thickBot="1">
      <c r="A6" s="1"/>
      <c r="B6" s="2"/>
      <c r="C6" s="8"/>
      <c r="D6" s="20"/>
      <c r="E6" s="20"/>
      <c r="F6" s="20"/>
      <c r="G6" s="20"/>
      <c r="H6" s="20"/>
      <c r="I6" s="20"/>
      <c r="J6" s="20"/>
      <c r="K6" s="20"/>
      <c r="L6" s="20"/>
      <c r="M6" s="20"/>
      <c r="N6" s="20"/>
      <c r="O6" s="20"/>
      <c r="P6" s="20"/>
      <c r="Q6" s="13"/>
      <c r="R6" s="4"/>
    </row>
    <row r="7" spans="1:18">
      <c r="A7" s="1"/>
      <c r="B7" s="2"/>
      <c r="C7" s="8"/>
      <c r="D7" s="21"/>
      <c r="E7" s="22"/>
      <c r="F7" s="23"/>
      <c r="G7" s="23"/>
      <c r="H7" s="23"/>
      <c r="I7" s="23"/>
      <c r="J7" s="23"/>
      <c r="K7" s="23"/>
      <c r="L7" s="24"/>
      <c r="M7" s="25"/>
      <c r="N7" s="26"/>
      <c r="O7" s="26"/>
      <c r="P7" s="27"/>
      <c r="Q7" s="28"/>
      <c r="R7" s="4"/>
    </row>
    <row r="8" spans="1:18">
      <c r="A8" s="1"/>
      <c r="B8" s="2"/>
      <c r="C8" s="8"/>
      <c r="D8" s="29"/>
      <c r="E8" s="30" t="s">
        <v>1</v>
      </c>
      <c r="F8" s="31"/>
      <c r="G8" s="31"/>
      <c r="H8" s="31"/>
      <c r="I8" s="31"/>
      <c r="J8" s="31"/>
      <c r="K8" s="31"/>
      <c r="L8" s="32"/>
      <c r="M8" s="33"/>
      <c r="N8" s="34"/>
      <c r="O8" s="34"/>
      <c r="P8" s="35"/>
      <c r="Q8" s="28"/>
      <c r="R8" s="4"/>
    </row>
    <row r="9" spans="1:18">
      <c r="A9" s="1"/>
      <c r="B9" s="2"/>
      <c r="C9" s="8"/>
      <c r="D9" s="29"/>
      <c r="E9" s="36"/>
      <c r="F9" s="37"/>
      <c r="G9" s="37"/>
      <c r="H9" s="37"/>
      <c r="I9" s="37"/>
      <c r="J9" s="37"/>
      <c r="K9" s="37"/>
      <c r="L9" s="38"/>
      <c r="M9" s="39"/>
      <c r="N9" s="40"/>
      <c r="O9" s="41"/>
      <c r="P9" s="42"/>
      <c r="Q9" s="28"/>
      <c r="R9" s="4"/>
    </row>
    <row r="10" spans="1:18">
      <c r="A10" s="1"/>
      <c r="B10" s="2"/>
      <c r="C10" s="8"/>
      <c r="D10" s="29"/>
      <c r="E10" s="36"/>
      <c r="F10" s="37"/>
      <c r="G10" s="37"/>
      <c r="H10" s="37"/>
      <c r="I10" s="37"/>
      <c r="J10" s="37"/>
      <c r="K10" s="37"/>
      <c r="L10" s="38"/>
      <c r="M10" s="43" t="s">
        <v>2</v>
      </c>
      <c r="N10" s="44"/>
      <c r="O10" s="45">
        <f>+[239]INICIO!$C$6</f>
        <v>1</v>
      </c>
      <c r="P10" s="46"/>
      <c r="Q10" s="28"/>
      <c r="R10" s="4"/>
    </row>
    <row r="11" spans="1:18">
      <c r="A11" s="1"/>
      <c r="B11" s="2"/>
      <c r="C11" s="8"/>
      <c r="D11" s="29"/>
      <c r="E11" s="36"/>
      <c r="F11" s="37"/>
      <c r="G11" s="37"/>
      <c r="H11" s="37"/>
      <c r="I11" s="37"/>
      <c r="J11" s="37"/>
      <c r="K11" s="37"/>
      <c r="L11" s="38"/>
      <c r="M11" s="47"/>
      <c r="N11" s="48"/>
      <c r="O11" s="49"/>
      <c r="P11" s="50"/>
      <c r="Q11" s="51"/>
      <c r="R11" s="4"/>
    </row>
    <row r="12" spans="1:18">
      <c r="A12" s="1"/>
      <c r="B12" s="2"/>
      <c r="C12" s="8"/>
      <c r="D12" s="29"/>
      <c r="E12" s="52"/>
      <c r="F12" s="53"/>
      <c r="G12" s="53"/>
      <c r="H12" s="53"/>
      <c r="I12" s="53"/>
      <c r="J12" s="53"/>
      <c r="K12" s="53"/>
      <c r="L12" s="54"/>
      <c r="M12" s="39"/>
      <c r="N12" s="55"/>
      <c r="O12" s="55"/>
      <c r="P12" s="56"/>
      <c r="Q12" s="28"/>
      <c r="R12" s="4"/>
    </row>
    <row r="13" spans="1:18">
      <c r="A13" s="1"/>
      <c r="B13" s="2"/>
      <c r="C13" s="8"/>
      <c r="D13" s="29"/>
      <c r="E13" s="52"/>
      <c r="F13" s="53"/>
      <c r="G13" s="53"/>
      <c r="H13" s="53"/>
      <c r="I13" s="53"/>
      <c r="J13" s="53"/>
      <c r="K13" s="53"/>
      <c r="L13" s="54"/>
      <c r="M13" s="43" t="s">
        <v>3</v>
      </c>
      <c r="N13" s="43" t="str">
        <f>+VLOOKUP(D24,'PRESUPUESTO OFICIAL '!C:Q,9,FALSE)</f>
        <v>1</v>
      </c>
      <c r="O13" s="43" t="s">
        <v>4</v>
      </c>
      <c r="P13" s="508" t="str">
        <f>+'PRESUPUESTO OFICIAL '!$M$122</f>
        <v>62</v>
      </c>
      <c r="Q13" s="28"/>
      <c r="R13" s="4"/>
    </row>
    <row r="14" spans="1:18">
      <c r="A14" s="1"/>
      <c r="B14" s="2"/>
      <c r="C14" s="8"/>
      <c r="D14" s="29"/>
      <c r="E14" s="30" t="s">
        <v>5</v>
      </c>
      <c r="F14" s="31"/>
      <c r="G14" s="31"/>
      <c r="H14" s="31"/>
      <c r="I14" s="31"/>
      <c r="J14" s="31"/>
      <c r="K14" s="31"/>
      <c r="L14" s="32"/>
      <c r="M14" s="43"/>
      <c r="N14" s="57"/>
      <c r="O14" s="57"/>
      <c r="P14" s="58"/>
      <c r="Q14" s="28"/>
      <c r="R14" s="4"/>
    </row>
    <row r="15" spans="1:18" ht="15.75" thickBot="1">
      <c r="A15" s="1"/>
      <c r="B15" s="2"/>
      <c r="C15" s="8"/>
      <c r="D15" s="59"/>
      <c r="E15" s="60"/>
      <c r="F15" s="60"/>
      <c r="G15" s="60"/>
      <c r="H15" s="60"/>
      <c r="I15" s="60"/>
      <c r="J15" s="60"/>
      <c r="K15" s="60"/>
      <c r="L15" s="60"/>
      <c r="M15" s="60"/>
      <c r="N15" s="61"/>
      <c r="O15" s="61"/>
      <c r="P15" s="62"/>
      <c r="Q15" s="63"/>
      <c r="R15" s="4"/>
    </row>
    <row r="16" spans="1:18">
      <c r="A16" s="1"/>
      <c r="B16" s="2"/>
      <c r="C16" s="8"/>
      <c r="D16" s="64"/>
      <c r="E16" s="65"/>
      <c r="F16" s="65"/>
      <c r="G16" s="65"/>
      <c r="H16" s="65"/>
      <c r="I16" s="65"/>
      <c r="J16" s="65"/>
      <c r="K16" s="65"/>
      <c r="L16" s="65"/>
      <c r="M16" s="66" t="s">
        <v>6</v>
      </c>
      <c r="N16" s="66" t="s">
        <v>7</v>
      </c>
      <c r="O16" s="66" t="s">
        <v>8</v>
      </c>
      <c r="P16" s="67" t="s">
        <v>9</v>
      </c>
      <c r="Q16" s="51"/>
      <c r="R16" s="4"/>
    </row>
    <row r="17" spans="1:18">
      <c r="A17" s="1"/>
      <c r="B17" s="2"/>
      <c r="C17" s="8"/>
      <c r="D17" s="68"/>
      <c r="E17" s="69"/>
      <c r="F17" s="69"/>
      <c r="G17" s="69"/>
      <c r="H17" s="69"/>
      <c r="I17" s="69"/>
      <c r="J17" s="69"/>
      <c r="K17" s="69"/>
      <c r="L17" s="69"/>
      <c r="M17" s="70"/>
      <c r="N17" s="71">
        <f>+Hoja2!B$5</f>
        <v>5</v>
      </c>
      <c r="O17" s="71">
        <f>+Hoja2!C$5</f>
        <v>8</v>
      </c>
      <c r="P17" s="72">
        <f>+Hoja2!D$5</f>
        <v>2026</v>
      </c>
      <c r="Q17" s="73"/>
      <c r="R17" s="4"/>
    </row>
    <row r="18" spans="1:18">
      <c r="A18" s="1"/>
      <c r="B18" s="2"/>
      <c r="C18" s="8"/>
      <c r="D18" s="74"/>
      <c r="E18" s="37"/>
      <c r="F18" s="37"/>
      <c r="G18" s="37"/>
      <c r="H18" s="69"/>
      <c r="I18" s="69"/>
      <c r="J18" s="69"/>
      <c r="K18" s="20"/>
      <c r="L18" s="69"/>
      <c r="M18" s="75"/>
      <c r="N18" s="20"/>
      <c r="O18" s="20"/>
      <c r="P18" s="76"/>
      <c r="Q18" s="73"/>
      <c r="R18" s="4"/>
    </row>
    <row r="19" spans="1:18" ht="15.75" thickBot="1">
      <c r="A19" s="1"/>
      <c r="B19" s="2"/>
      <c r="C19" s="8"/>
      <c r="D19" s="77"/>
      <c r="E19" s="78"/>
      <c r="F19" s="78"/>
      <c r="G19" s="78"/>
      <c r="H19" s="78"/>
      <c r="I19" s="78"/>
      <c r="J19" s="78"/>
      <c r="K19" s="78"/>
      <c r="L19" s="78"/>
      <c r="M19" s="78"/>
      <c r="N19" s="78"/>
      <c r="O19" s="78"/>
      <c r="P19" s="79"/>
      <c r="Q19" s="13"/>
      <c r="R19" s="4"/>
    </row>
    <row r="20" spans="1:18" ht="15.75" thickBot="1">
      <c r="A20" s="1"/>
      <c r="B20" s="2"/>
      <c r="C20" s="8"/>
      <c r="D20" s="80"/>
      <c r="E20" s="81"/>
      <c r="F20" s="81"/>
      <c r="G20" s="81"/>
      <c r="H20" s="81"/>
      <c r="I20" s="81"/>
      <c r="J20" s="20"/>
      <c r="K20" s="20"/>
      <c r="L20" s="81"/>
      <c r="M20" s="81"/>
      <c r="N20" s="81"/>
      <c r="O20" s="81"/>
      <c r="P20" s="82"/>
      <c r="Q20" s="13"/>
      <c r="R20" s="4"/>
    </row>
    <row r="21" spans="1:18">
      <c r="A21" s="1"/>
      <c r="B21" s="2"/>
      <c r="C21" s="8"/>
      <c r="D21" s="83" t="s">
        <v>10</v>
      </c>
      <c r="E21" s="84"/>
      <c r="F21" s="84"/>
      <c r="G21" s="84"/>
      <c r="H21" s="84"/>
      <c r="I21" s="84"/>
      <c r="J21" s="84"/>
      <c r="K21" s="84"/>
      <c r="L21" s="84"/>
      <c r="M21" s="84"/>
      <c r="N21" s="84"/>
      <c r="O21" s="84"/>
      <c r="P21" s="85"/>
      <c r="Q21" s="86"/>
      <c r="R21" s="4"/>
    </row>
    <row r="22" spans="1:18" ht="15.75" thickBot="1">
      <c r="A22" s="1"/>
      <c r="B22" s="2"/>
      <c r="C22" s="8"/>
      <c r="D22" s="87"/>
      <c r="E22" s="20"/>
      <c r="F22" s="20"/>
      <c r="G22" s="20"/>
      <c r="H22" s="20"/>
      <c r="I22" s="20"/>
      <c r="J22" s="20"/>
      <c r="K22" s="20"/>
      <c r="L22" s="20"/>
      <c r="M22" s="20"/>
      <c r="N22" s="20"/>
      <c r="O22" s="20"/>
      <c r="P22" s="88"/>
      <c r="Q22" s="13"/>
      <c r="R22" s="4"/>
    </row>
    <row r="23" spans="1:18">
      <c r="A23" s="1" t="s">
        <v>11</v>
      </c>
      <c r="B23" s="2" t="s">
        <v>12</v>
      </c>
      <c r="C23" s="8"/>
      <c r="D23" s="89" t="s">
        <v>13</v>
      </c>
      <c r="E23" s="90" t="s">
        <v>14</v>
      </c>
      <c r="F23" s="90"/>
      <c r="G23" s="90"/>
      <c r="H23" s="90"/>
      <c r="I23" s="90"/>
      <c r="J23" s="90"/>
      <c r="K23" s="90"/>
      <c r="L23" s="90"/>
      <c r="M23" s="90"/>
      <c r="N23" s="91" t="s">
        <v>15</v>
      </c>
      <c r="O23" s="91"/>
      <c r="P23" s="92" t="s">
        <v>16</v>
      </c>
      <c r="Q23" s="93"/>
      <c r="R23" s="4"/>
    </row>
    <row r="24" spans="1:18" ht="29.25" thickBot="1">
      <c r="A24" s="1"/>
      <c r="B24" s="2"/>
      <c r="C24" s="8"/>
      <c r="D24" s="349">
        <f>+'PRESUPUESTO OFICIAL '!C12</f>
        <v>1.01</v>
      </c>
      <c r="E24" s="94" t="str">
        <f>+VLOOKUP(D24,'PRESUPUESTO OFICIAL '!C:H,2,FALSE)</f>
        <v>LOCALIZACIÓN Y REPLANTEO DE OBRA ARQUITECTÓNICA (NO INCLUYE COMISIÓN TOPOGRÁFICA)</v>
      </c>
      <c r="F24" s="94"/>
      <c r="G24" s="94"/>
      <c r="H24" s="94"/>
      <c r="I24" s="94"/>
      <c r="J24" s="94"/>
      <c r="K24" s="94"/>
      <c r="L24" s="94"/>
      <c r="M24" s="94"/>
      <c r="N24" s="94" t="str">
        <f>+VLOOKUP(D24,'PRESUPUESTO OFICIAL '!C:H,3,FALSE)</f>
        <v>M2</v>
      </c>
      <c r="O24" s="95"/>
      <c r="P24" s="96">
        <f>+VLOOKUP(D24,'PRESUPUESTO OFICIAL '!C:H,4,FALSE)</f>
        <v>1318.48</v>
      </c>
      <c r="Q24" s="97"/>
      <c r="R24" s="98">
        <f>+P76</f>
        <v>5949</v>
      </c>
    </row>
    <row r="25" spans="1:18" ht="15.75" thickBot="1">
      <c r="A25" s="1"/>
      <c r="B25" s="2"/>
      <c r="C25" s="8"/>
      <c r="D25" s="74" t="s">
        <v>17</v>
      </c>
      <c r="E25" s="37"/>
      <c r="F25" s="37"/>
      <c r="G25" s="37"/>
      <c r="H25" s="37"/>
      <c r="I25" s="37"/>
      <c r="J25" s="37"/>
      <c r="K25" s="37"/>
      <c r="L25" s="37"/>
      <c r="M25" s="37"/>
      <c r="N25" s="37"/>
      <c r="O25" s="37"/>
      <c r="P25" s="99"/>
      <c r="Q25" s="100"/>
      <c r="R25" s="4"/>
    </row>
    <row r="26" spans="1:18">
      <c r="A26" s="1"/>
      <c r="B26" s="2"/>
      <c r="C26" s="8"/>
      <c r="D26" s="101" t="s">
        <v>14</v>
      </c>
      <c r="E26" s="102"/>
      <c r="F26" s="102"/>
      <c r="G26" s="102"/>
      <c r="H26" s="103"/>
      <c r="I26" s="104" t="s">
        <v>18</v>
      </c>
      <c r="J26" s="102"/>
      <c r="K26" s="104" t="s">
        <v>19</v>
      </c>
      <c r="L26" s="105"/>
      <c r="M26" s="106" t="s">
        <v>20</v>
      </c>
      <c r="N26" s="104" t="s">
        <v>21</v>
      </c>
      <c r="O26" s="105"/>
      <c r="P26" s="107" t="s">
        <v>22</v>
      </c>
      <c r="Q26" s="108"/>
      <c r="R26" s="4"/>
    </row>
    <row r="27" spans="1:18">
      <c r="A27" s="1" t="e">
        <f>[239]INDICE!#REF!</f>
        <v>#REF!</v>
      </c>
      <c r="B27" s="2" t="s">
        <v>23</v>
      </c>
      <c r="C27" s="8"/>
      <c r="D27" s="109" t="str">
        <f>IFERROR(INDEX([239]EQUIPOS!B:B,MATCH(B27,[239]EQUIPOS!A:A,0)),"")</f>
        <v>HERRAMIENTA MENOR (% M.O)</v>
      </c>
      <c r="E27" s="110"/>
      <c r="F27" s="110"/>
      <c r="G27" s="110"/>
      <c r="H27" s="111"/>
      <c r="I27" s="112"/>
      <c r="J27" s="111"/>
      <c r="K27" s="113" t="str">
        <f>IFERROR(INDEX([239]EQUIPOS!C:C,MATCH(B27,[239]EQUIPOS!A:A,0)),"")</f>
        <v>%</v>
      </c>
      <c r="L27" s="114"/>
      <c r="M27" s="115">
        <f>IFERROR(IF(D27="HERRAMIENTA MENOR (% M.O)",P66,INDEX([239]EQUIPOS!D:D,MATCH(B27,[239]EQUIPOS!A:A,0))),"")</f>
        <v>2855.78</v>
      </c>
      <c r="N27" s="116">
        <v>10</v>
      </c>
      <c r="O27" s="117"/>
      <c r="P27" s="118">
        <f t="shared" ref="P27:P32" si="0">IFERROR(ROUND(IF(D27="HERRAMIENTA MENOR (% M.O)",N27%*M27,M27/N27),2)," ")</f>
        <v>285.58</v>
      </c>
      <c r="Q27" s="119"/>
      <c r="R27" s="4"/>
    </row>
    <row r="28" spans="1:18">
      <c r="A28" s="1">
        <f>+$A$2341</f>
        <v>0</v>
      </c>
      <c r="B28" s="2"/>
      <c r="C28" s="8"/>
      <c r="D28" s="109" t="str">
        <f>IFERROR(INDEX([239]EQUIPOS!B:B,MATCH(B28,[239]EQUIPOS!A:A,0)),"")</f>
        <v/>
      </c>
      <c r="E28" s="110"/>
      <c r="F28" s="110"/>
      <c r="G28" s="110"/>
      <c r="H28" s="111"/>
      <c r="I28" s="112"/>
      <c r="J28" s="111"/>
      <c r="K28" s="113" t="str">
        <f>IFERROR(INDEX([239]EQUIPOS!C:C,MATCH(B28,[239]EQUIPOS!A:A,0)),"")</f>
        <v/>
      </c>
      <c r="L28" s="114"/>
      <c r="M28" s="115" t="str">
        <f>IFERROR(IF(D28="HERRAMIENTA MENOR (% M.O)",P67,INDEX([239]EQUIPOS!D:D,MATCH(B28,[239]EQUIPOS!A:A,0))),"")</f>
        <v/>
      </c>
      <c r="N28" s="116"/>
      <c r="O28" s="117"/>
      <c r="P28" s="118" t="str">
        <f t="shared" si="0"/>
        <v xml:space="preserve"> </v>
      </c>
      <c r="Q28" s="119"/>
      <c r="R28" s="4"/>
    </row>
    <row r="29" spans="1:18">
      <c r="A29" s="1">
        <f t="shared" ref="A29:A67" si="1">+A28</f>
        <v>0</v>
      </c>
      <c r="B29" s="2"/>
      <c r="C29" s="8"/>
      <c r="D29" s="109" t="str">
        <f>IFERROR(INDEX([239]EQUIPOS!B:B,MATCH(B29,[239]EQUIPOS!A:A,0)),"")</f>
        <v/>
      </c>
      <c r="E29" s="110"/>
      <c r="F29" s="110"/>
      <c r="G29" s="110"/>
      <c r="H29" s="111"/>
      <c r="I29" s="120"/>
      <c r="J29" s="121"/>
      <c r="K29" s="113" t="str">
        <f>IFERROR(INDEX([239]EQUIPOS!C:C,MATCH(B29,[239]EQUIPOS!A:A,0)),"")</f>
        <v/>
      </c>
      <c r="L29" s="114"/>
      <c r="M29" s="115" t="str">
        <f>IFERROR(IF(D29="HERRAMIENTA MENOR (% M.O)",P68,INDEX([239]EQUIPOS!D:D,MATCH(B29,[239]EQUIPOS!A:A,0))),"")</f>
        <v/>
      </c>
      <c r="N29" s="116"/>
      <c r="O29" s="117"/>
      <c r="P29" s="118" t="str">
        <f t="shared" si="0"/>
        <v xml:space="preserve"> </v>
      </c>
      <c r="Q29" s="119"/>
      <c r="R29" s="4"/>
    </row>
    <row r="30" spans="1:18">
      <c r="A30" s="1">
        <f t="shared" si="1"/>
        <v>0</v>
      </c>
      <c r="B30" s="2"/>
      <c r="C30" s="8"/>
      <c r="D30" s="109" t="str">
        <f>IFERROR(INDEX([239]EQUIPOS!B:B,MATCH(B30,[239]EQUIPOS!A:A,0)),"")</f>
        <v/>
      </c>
      <c r="E30" s="110"/>
      <c r="F30" s="110"/>
      <c r="G30" s="110"/>
      <c r="H30" s="111"/>
      <c r="I30" s="120"/>
      <c r="J30" s="121"/>
      <c r="K30" s="113" t="str">
        <f>IFERROR(INDEX([239]EQUIPOS!C:C,MATCH(B30,[239]EQUIPOS!A:A,0)),"")</f>
        <v/>
      </c>
      <c r="L30" s="114"/>
      <c r="M30" s="115" t="str">
        <f>IFERROR(IF(D30="HERRAMIENTA MENOR (% M.O)",P69,INDEX([239]EQUIPOS!D:D,MATCH(B30,[239]EQUIPOS!A:A,0))),"")</f>
        <v/>
      </c>
      <c r="N30" s="116"/>
      <c r="O30" s="117"/>
      <c r="P30" s="118" t="str">
        <f t="shared" si="0"/>
        <v xml:space="preserve"> </v>
      </c>
      <c r="Q30" s="119"/>
      <c r="R30" s="4"/>
    </row>
    <row r="31" spans="1:18">
      <c r="A31" s="1">
        <f t="shared" si="1"/>
        <v>0</v>
      </c>
      <c r="B31" s="2"/>
      <c r="C31" s="8"/>
      <c r="D31" s="109" t="str">
        <f>IFERROR(INDEX([239]EQUIPOS!B:B,MATCH(B31,[239]EQUIPOS!A:A,0)),"")</f>
        <v/>
      </c>
      <c r="E31" s="110"/>
      <c r="F31" s="110"/>
      <c r="G31" s="110"/>
      <c r="H31" s="111"/>
      <c r="I31" s="112"/>
      <c r="J31" s="111"/>
      <c r="K31" s="113" t="str">
        <f>IFERROR(INDEX([239]EQUIPOS!C:C,MATCH(B31,[239]EQUIPOS!A:A,0)),"")</f>
        <v/>
      </c>
      <c r="L31" s="114"/>
      <c r="M31" s="115" t="str">
        <f>IFERROR(IF(D31="HERRAMIENTA MENOR (% M.O)",P70,INDEX([239]EQUIPOS!D:D,MATCH(B31,[239]EQUIPOS!A:A,0))),"")</f>
        <v/>
      </c>
      <c r="N31" s="116"/>
      <c r="O31" s="117"/>
      <c r="P31" s="118" t="str">
        <f t="shared" si="0"/>
        <v xml:space="preserve"> </v>
      </c>
      <c r="Q31" s="119"/>
      <c r="R31" s="4"/>
    </row>
    <row r="32" spans="1:18" ht="15.75" thickBot="1">
      <c r="A32" s="1">
        <f t="shared" si="1"/>
        <v>0</v>
      </c>
      <c r="B32" s="2"/>
      <c r="C32" s="8"/>
      <c r="D32" s="109" t="str">
        <f>IFERROR(INDEX([239]EQUIPOS!B:B,MATCH(B32,[239]EQUIPOS!A:A,0)),"")</f>
        <v/>
      </c>
      <c r="E32" s="78"/>
      <c r="F32" s="78"/>
      <c r="G32" s="78"/>
      <c r="H32" s="122"/>
      <c r="I32" s="123"/>
      <c r="J32" s="122"/>
      <c r="K32" s="113" t="str">
        <f>IFERROR(INDEX([239]EQUIPOS!C:C,MATCH(B32,[239]EQUIPOS!A:A,0)),"")</f>
        <v/>
      </c>
      <c r="L32" s="124"/>
      <c r="M32" s="115" t="str">
        <f>IFERROR(IF(D32="HERRAMIENTA MENOR (% M.O)",P71,INDEX([239]EQUIPOS!D:D,MATCH(B32,[239]EQUIPOS!A:A,0))),"")</f>
        <v/>
      </c>
      <c r="N32" s="125"/>
      <c r="O32" s="126"/>
      <c r="P32" s="127" t="str">
        <f t="shared" si="0"/>
        <v xml:space="preserve"> </v>
      </c>
      <c r="Q32" s="119"/>
      <c r="R32" s="4"/>
    </row>
    <row r="33" spans="1:18" ht="15.75" thickBot="1">
      <c r="A33" s="1">
        <f t="shared" si="1"/>
        <v>0</v>
      </c>
      <c r="B33" s="2"/>
      <c r="C33" s="8"/>
      <c r="D33" s="128" t="s">
        <v>24</v>
      </c>
      <c r="E33" s="129"/>
      <c r="F33" s="129"/>
      <c r="G33" s="129"/>
      <c r="H33" s="129"/>
      <c r="I33" s="129"/>
      <c r="J33" s="129"/>
      <c r="K33" s="129"/>
      <c r="L33" s="129"/>
      <c r="M33" s="129"/>
      <c r="N33" s="129"/>
      <c r="O33" s="130"/>
      <c r="P33" s="131">
        <f>SUM(P27:P32)</f>
        <v>285.58</v>
      </c>
      <c r="Q33" s="132"/>
      <c r="R33" s="4"/>
    </row>
    <row r="34" spans="1:18" ht="15.75" thickBot="1">
      <c r="A34" s="1">
        <f t="shared" si="1"/>
        <v>0</v>
      </c>
      <c r="B34" s="2"/>
      <c r="C34" s="8"/>
      <c r="D34" s="74" t="s">
        <v>25</v>
      </c>
      <c r="E34" s="37"/>
      <c r="F34" s="37"/>
      <c r="G34" s="37"/>
      <c r="H34" s="37"/>
      <c r="I34" s="37"/>
      <c r="J34" s="37"/>
      <c r="K34" s="37"/>
      <c r="L34" s="37"/>
      <c r="M34" s="37"/>
      <c r="N34" s="37"/>
      <c r="O34" s="37"/>
      <c r="P34" s="99"/>
      <c r="Q34" s="100"/>
      <c r="R34" s="4"/>
    </row>
    <row r="35" spans="1:18">
      <c r="A35" s="1">
        <f t="shared" si="1"/>
        <v>0</v>
      </c>
      <c r="B35" s="2"/>
      <c r="C35" s="8"/>
      <c r="D35" s="101" t="s">
        <v>14</v>
      </c>
      <c r="E35" s="133"/>
      <c r="F35" s="133"/>
      <c r="G35" s="133"/>
      <c r="H35" s="133"/>
      <c r="I35" s="133"/>
      <c r="J35" s="133"/>
      <c r="K35" s="105"/>
      <c r="L35" s="134" t="s">
        <v>15</v>
      </c>
      <c r="M35" s="106" t="s">
        <v>16</v>
      </c>
      <c r="N35" s="104" t="s">
        <v>26</v>
      </c>
      <c r="O35" s="105"/>
      <c r="P35" s="107" t="s">
        <v>22</v>
      </c>
      <c r="Q35" s="108"/>
      <c r="R35" s="4"/>
    </row>
    <row r="36" spans="1:18">
      <c r="A36" s="1">
        <f t="shared" si="1"/>
        <v>0</v>
      </c>
      <c r="B36" s="2" t="s">
        <v>77</v>
      </c>
      <c r="C36" s="8"/>
      <c r="D36" s="109" t="str">
        <f>IFERROR(INDEX([239]MATERIALES!C:C,MATCH(B36,[239]MATERIALES!B:B,0)),"")</f>
        <v>ESTACA EN MADERA H=0,50 m</v>
      </c>
      <c r="E36" s="135"/>
      <c r="F36" s="135"/>
      <c r="G36" s="135"/>
      <c r="H36" s="135"/>
      <c r="I36" s="135"/>
      <c r="J36" s="135"/>
      <c r="K36" s="136"/>
      <c r="L36" s="137" t="str">
        <f>IFERROR(INDEX([239]MATERIALES!D:D,MATCH(B36,[239]MATERIALES!B:B,0)),"")</f>
        <v>UND</v>
      </c>
      <c r="M36" s="138">
        <v>0.06</v>
      </c>
      <c r="N36" s="139">
        <f>IFERROR(INDEX([239]MATERIALES!P:P,MATCH(B36,[239]MATERIALES!B:B,0)),"")</f>
        <v>2400</v>
      </c>
      <c r="O36" s="140"/>
      <c r="P36" s="118">
        <f>IFERROR(ROUND(N36*M36,2),"")</f>
        <v>144</v>
      </c>
      <c r="Q36" s="119"/>
      <c r="R36" s="4"/>
    </row>
    <row r="37" spans="1:18">
      <c r="A37" s="1">
        <f t="shared" si="1"/>
        <v>0</v>
      </c>
      <c r="B37" s="2" t="s">
        <v>78</v>
      </c>
      <c r="C37" s="8"/>
      <c r="D37" s="109" t="str">
        <f>IFERROR(INDEX([239]MATERIALES!C:C,MATCH(B37,[239]MATERIALES!B:B,0)),"")</f>
        <v>HILO EN POLIPROPILENO ROLLO X 100 M</v>
      </c>
      <c r="E37" s="135"/>
      <c r="F37" s="135"/>
      <c r="G37" s="135"/>
      <c r="H37" s="135"/>
      <c r="I37" s="135"/>
      <c r="J37" s="135"/>
      <c r="K37" s="136"/>
      <c r="L37" s="137" t="str">
        <f>IFERROR(INDEX([239]MATERIALES!D:D,MATCH(B37,[239]MATERIALES!B:B,0)),"")</f>
        <v>UND</v>
      </c>
      <c r="M37" s="138">
        <v>0.1</v>
      </c>
      <c r="N37" s="139">
        <f>IFERROR(INDEX([239]MATERIALES!P:P,MATCH(B37,[239]MATERIALES!B:B,0)),"")</f>
        <v>9000</v>
      </c>
      <c r="O37" s="140"/>
      <c r="P37" s="118">
        <f>IFERROR(ROUND(N37*M37,2),"")</f>
        <v>900</v>
      </c>
      <c r="Q37" s="119"/>
      <c r="R37" s="4"/>
    </row>
    <row r="38" spans="1:18">
      <c r="A38" s="1">
        <f t="shared" si="1"/>
        <v>0</v>
      </c>
      <c r="B38" s="2" t="s">
        <v>79</v>
      </c>
      <c r="C38" s="8"/>
      <c r="D38" s="109" t="str">
        <f>IFERROR(INDEX([239]MATERIALES!C:C,MATCH(B38,[239]MATERIALES!B:B,0)),"")</f>
        <v>PUNTILLA 1-1/2"</v>
      </c>
      <c r="E38" s="110"/>
      <c r="F38" s="110"/>
      <c r="G38" s="110"/>
      <c r="H38" s="110"/>
      <c r="I38" s="110"/>
      <c r="J38" s="110"/>
      <c r="K38" s="111"/>
      <c r="L38" s="137" t="str">
        <f>IFERROR(INDEX([239]MATERIALES!D:D,MATCH(B38,[239]MATERIALES!B:B,0)),"")</f>
        <v>LB</v>
      </c>
      <c r="M38" s="138">
        <v>0.02</v>
      </c>
      <c r="N38" s="139">
        <f>IFERROR(INDEX([239]MATERIALES!P:P,MATCH(B38,[239]MATERIALES!B:B,0)),"")</f>
        <v>6600</v>
      </c>
      <c r="O38" s="140"/>
      <c r="P38" s="118">
        <f>IFERROR(ROUND(N38*M38,2),"")</f>
        <v>132</v>
      </c>
      <c r="Q38" s="119"/>
      <c r="R38" s="4"/>
    </row>
    <row r="39" spans="1:18">
      <c r="A39" s="1">
        <f t="shared" si="1"/>
        <v>0</v>
      </c>
      <c r="B39" s="2" t="s">
        <v>80</v>
      </c>
      <c r="C39" s="8"/>
      <c r="D39" s="109" t="str">
        <f>IFERROR(INDEX([239]MATERIALES!C:C,MATCH(B39,[239]MATERIALES!B:B,0)),"")</f>
        <v>CAL</v>
      </c>
      <c r="E39" s="110"/>
      <c r="F39" s="110"/>
      <c r="G39" s="110"/>
      <c r="H39" s="110"/>
      <c r="I39" s="110"/>
      <c r="J39" s="110"/>
      <c r="K39" s="111"/>
      <c r="L39" s="137" t="str">
        <f>IFERROR(INDEX([239]MATERIALES!D:D,MATCH(B39,[239]MATERIALES!B:B,0)),"")</f>
        <v>KG</v>
      </c>
      <c r="M39" s="138">
        <v>0.06</v>
      </c>
      <c r="N39" s="139">
        <f>IFERROR(INDEX([239]MATERIALES!P:P,MATCH(B39,[239]MATERIALES!B:B,0)),"")</f>
        <v>1540</v>
      </c>
      <c r="O39" s="140"/>
      <c r="P39" s="118">
        <f>IFERROR(ROUND(N39*M39,2),"")</f>
        <v>92.4</v>
      </c>
      <c r="Q39" s="119"/>
      <c r="R39" s="4"/>
    </row>
    <row r="40" spans="1:18">
      <c r="A40" s="1">
        <f t="shared" si="1"/>
        <v>0</v>
      </c>
      <c r="B40" s="2"/>
      <c r="C40" s="8"/>
      <c r="D40" s="109" t="str">
        <f>IFERROR(INDEX([239]MATERIALES!C:C,MATCH(B40,[239]MATERIALES!B:B,0)),"")</f>
        <v/>
      </c>
      <c r="E40" s="110"/>
      <c r="F40" s="110"/>
      <c r="G40" s="110"/>
      <c r="H40" s="110"/>
      <c r="I40" s="110"/>
      <c r="J40" s="110"/>
      <c r="K40" s="111"/>
      <c r="L40" s="137" t="str">
        <f>IFERROR(INDEX([239]MATERIALES!D:D,MATCH(B40,[239]MATERIALES!B:B,0)),"")</f>
        <v/>
      </c>
      <c r="M40" s="138"/>
      <c r="N40" s="139" t="str">
        <f>IFERROR(INDEX([239]MATERIALES!P:P,MATCH(B40,[239]MATERIALES!B:B,0)),"")</f>
        <v/>
      </c>
      <c r="O40" s="140"/>
      <c r="P40" s="118" t="str">
        <f t="shared" ref="P40:P49" si="2">IFERROR(ROUND(N40*M40,2),"")</f>
        <v/>
      </c>
      <c r="Q40" s="119"/>
      <c r="R40" s="4"/>
    </row>
    <row r="41" spans="1:18">
      <c r="A41" s="1">
        <f t="shared" si="1"/>
        <v>0</v>
      </c>
      <c r="B41" s="2"/>
      <c r="C41" s="8"/>
      <c r="D41" s="109" t="str">
        <f>IFERROR(INDEX([239]MATERIALES!C:C,MATCH(B41,[239]MATERIALES!B:B,0)),"")</f>
        <v/>
      </c>
      <c r="E41" s="110"/>
      <c r="F41" s="110"/>
      <c r="G41" s="110"/>
      <c r="H41" s="110"/>
      <c r="I41" s="110"/>
      <c r="J41" s="110"/>
      <c r="K41" s="111"/>
      <c r="L41" s="137" t="str">
        <f>IFERROR(INDEX([239]MATERIALES!D:D,MATCH(B41,[239]MATERIALES!B:B,0)),"")</f>
        <v/>
      </c>
      <c r="M41" s="138"/>
      <c r="N41" s="139" t="str">
        <f>IFERROR(INDEX([239]MATERIALES!P:P,MATCH(B41,[239]MATERIALES!B:B,0)),"")</f>
        <v/>
      </c>
      <c r="O41" s="140"/>
      <c r="P41" s="118" t="str">
        <f t="shared" si="2"/>
        <v/>
      </c>
      <c r="Q41" s="119"/>
      <c r="R41" s="4"/>
    </row>
    <row r="42" spans="1:18">
      <c r="A42" s="1">
        <f t="shared" si="1"/>
        <v>0</v>
      </c>
      <c r="B42" s="2"/>
      <c r="C42" s="8"/>
      <c r="D42" s="109" t="str">
        <f>IFERROR(INDEX([239]MATERIALES!C:C,MATCH(B42,[239]MATERIALES!B:B,0)),"")</f>
        <v/>
      </c>
      <c r="E42" s="110"/>
      <c r="F42" s="110"/>
      <c r="G42" s="110"/>
      <c r="H42" s="110"/>
      <c r="I42" s="110"/>
      <c r="J42" s="110"/>
      <c r="K42" s="111"/>
      <c r="L42" s="137" t="str">
        <f>IFERROR(INDEX([239]MATERIALES!D:D,MATCH(B42,[239]MATERIALES!B:B,0)),"")</f>
        <v/>
      </c>
      <c r="M42" s="138"/>
      <c r="N42" s="139" t="str">
        <f>IFERROR(INDEX([239]MATERIALES!P:P,MATCH(B42,[239]MATERIALES!B:B,0)),"")</f>
        <v/>
      </c>
      <c r="O42" s="140"/>
      <c r="P42" s="118" t="str">
        <f t="shared" si="2"/>
        <v/>
      </c>
      <c r="Q42" s="119"/>
      <c r="R42" s="4"/>
    </row>
    <row r="43" spans="1:18">
      <c r="A43" s="1">
        <f t="shared" si="1"/>
        <v>0</v>
      </c>
      <c r="B43" s="2"/>
      <c r="C43" s="8"/>
      <c r="D43" s="109" t="str">
        <f>IFERROR(INDEX([239]MATERIALES!C:C,MATCH(B43,[239]MATERIALES!B:B,0)),"")</f>
        <v/>
      </c>
      <c r="E43" s="110"/>
      <c r="F43" s="110"/>
      <c r="G43" s="110"/>
      <c r="H43" s="110"/>
      <c r="I43" s="110"/>
      <c r="J43" s="110"/>
      <c r="K43" s="111"/>
      <c r="L43" s="137" t="str">
        <f>IFERROR(INDEX([239]MATERIALES!D:D,MATCH(B43,[239]MATERIALES!B:B,0)),"")</f>
        <v/>
      </c>
      <c r="M43" s="138"/>
      <c r="N43" s="139" t="str">
        <f>IFERROR(INDEX([239]MATERIALES!P:P,MATCH(B43,[239]MATERIALES!B:B,0)),"")</f>
        <v/>
      </c>
      <c r="O43" s="140"/>
      <c r="P43" s="118" t="str">
        <f t="shared" si="2"/>
        <v/>
      </c>
      <c r="Q43" s="119"/>
      <c r="R43" s="4"/>
    </row>
    <row r="44" spans="1:18">
      <c r="A44" s="1">
        <f t="shared" si="1"/>
        <v>0</v>
      </c>
      <c r="B44" s="2"/>
      <c r="C44" s="8"/>
      <c r="D44" s="109" t="str">
        <f>IFERROR(INDEX([239]MATERIALES!C:C,MATCH(B44,[239]MATERIALES!B:B,0)),"")</f>
        <v/>
      </c>
      <c r="E44" s="110"/>
      <c r="F44" s="110"/>
      <c r="G44" s="110"/>
      <c r="H44" s="110"/>
      <c r="I44" s="110"/>
      <c r="J44" s="110"/>
      <c r="K44" s="111"/>
      <c r="L44" s="137" t="str">
        <f>IFERROR(INDEX([239]MATERIALES!D:D,MATCH(B44,[239]MATERIALES!B:B,0)),"")</f>
        <v/>
      </c>
      <c r="M44" s="138"/>
      <c r="N44" s="139" t="str">
        <f>IFERROR(INDEX([239]MATERIALES!P:P,MATCH(B44,[239]MATERIALES!B:B,0)),"")</f>
        <v/>
      </c>
      <c r="O44" s="140"/>
      <c r="P44" s="118" t="str">
        <f t="shared" si="2"/>
        <v/>
      </c>
      <c r="Q44" s="119"/>
      <c r="R44" s="4"/>
    </row>
    <row r="45" spans="1:18">
      <c r="A45" s="1">
        <f t="shared" si="1"/>
        <v>0</v>
      </c>
      <c r="B45" s="2"/>
      <c r="C45" s="8"/>
      <c r="D45" s="109" t="str">
        <f>IFERROR(INDEX([239]MATERIALES!C:C,MATCH(B45,[239]MATERIALES!B:B,0)),"")</f>
        <v/>
      </c>
      <c r="E45" s="110"/>
      <c r="F45" s="110"/>
      <c r="G45" s="110"/>
      <c r="H45" s="110"/>
      <c r="I45" s="110"/>
      <c r="J45" s="110"/>
      <c r="K45" s="111"/>
      <c r="L45" s="137" t="str">
        <f>IFERROR(INDEX([239]MATERIALES!D:D,MATCH(B45,[239]MATERIALES!B:B,0)),"")</f>
        <v/>
      </c>
      <c r="M45" s="138"/>
      <c r="N45" s="139" t="str">
        <f>IFERROR(INDEX([239]MATERIALES!P:P,MATCH(B45,[239]MATERIALES!B:B,0)),"")</f>
        <v/>
      </c>
      <c r="O45" s="140"/>
      <c r="P45" s="118" t="str">
        <f t="shared" si="2"/>
        <v/>
      </c>
      <c r="Q45" s="119"/>
      <c r="R45" s="4"/>
    </row>
    <row r="46" spans="1:18">
      <c r="A46" s="1">
        <f t="shared" si="1"/>
        <v>0</v>
      </c>
      <c r="B46" s="2"/>
      <c r="C46" s="8"/>
      <c r="D46" s="109" t="str">
        <f>IFERROR(INDEX([239]MATERIALES!C:C,MATCH(B46,[239]MATERIALES!B:B,0)),"")</f>
        <v/>
      </c>
      <c r="E46" s="110"/>
      <c r="F46" s="110"/>
      <c r="G46" s="110"/>
      <c r="H46" s="110"/>
      <c r="I46" s="110"/>
      <c r="J46" s="110"/>
      <c r="K46" s="111"/>
      <c r="L46" s="137" t="str">
        <f>IFERROR(INDEX([239]MATERIALES!D:D,MATCH(B46,[239]MATERIALES!B:B,0)),"")</f>
        <v/>
      </c>
      <c r="M46" s="138"/>
      <c r="N46" s="139" t="str">
        <f>IFERROR(INDEX([239]MATERIALES!P:P,MATCH(B46,[239]MATERIALES!B:B,0)),"")</f>
        <v/>
      </c>
      <c r="O46" s="140"/>
      <c r="P46" s="118" t="str">
        <f t="shared" si="2"/>
        <v/>
      </c>
      <c r="Q46" s="119"/>
      <c r="R46" s="4"/>
    </row>
    <row r="47" spans="1:18">
      <c r="A47" s="1">
        <f t="shared" si="1"/>
        <v>0</v>
      </c>
      <c r="B47" s="2"/>
      <c r="C47" s="8"/>
      <c r="D47" s="109" t="str">
        <f>IFERROR(INDEX([239]MATERIALES!C:C,MATCH(B47,[239]MATERIALES!B:B,0)),"")</f>
        <v/>
      </c>
      <c r="E47" s="110"/>
      <c r="F47" s="110"/>
      <c r="G47" s="110"/>
      <c r="H47" s="110"/>
      <c r="I47" s="110"/>
      <c r="J47" s="110"/>
      <c r="K47" s="111"/>
      <c r="L47" s="137" t="str">
        <f>IFERROR(INDEX([239]MATERIALES!D:D,MATCH(B47,[239]MATERIALES!B:B,0)),"")</f>
        <v/>
      </c>
      <c r="M47" s="138"/>
      <c r="N47" s="139" t="str">
        <f>IFERROR(INDEX([239]MATERIALES!P:P,MATCH(B47,[239]MATERIALES!B:B,0)),"")</f>
        <v/>
      </c>
      <c r="O47" s="140"/>
      <c r="P47" s="118" t="str">
        <f t="shared" si="2"/>
        <v/>
      </c>
      <c r="Q47" s="119"/>
      <c r="R47" s="4"/>
    </row>
    <row r="48" spans="1:18">
      <c r="A48" s="1">
        <f t="shared" si="1"/>
        <v>0</v>
      </c>
      <c r="B48" s="2"/>
      <c r="C48" s="8"/>
      <c r="D48" s="109" t="str">
        <f>IFERROR(INDEX([239]MATERIALES!C:C,MATCH(B48,[239]MATERIALES!B:B,0)),"")</f>
        <v/>
      </c>
      <c r="E48" s="110"/>
      <c r="F48" s="110"/>
      <c r="G48" s="110"/>
      <c r="H48" s="110"/>
      <c r="I48" s="110"/>
      <c r="J48" s="110"/>
      <c r="K48" s="111"/>
      <c r="L48" s="137" t="str">
        <f>IFERROR(INDEX([239]MATERIALES!D:D,MATCH(B48,[239]MATERIALES!B:B,0)),"")</f>
        <v/>
      </c>
      <c r="M48" s="138"/>
      <c r="N48" s="139" t="str">
        <f>IFERROR(INDEX([239]MATERIALES!P:P,MATCH(B48,[239]MATERIALES!B:B,0)),"")</f>
        <v/>
      </c>
      <c r="O48" s="140"/>
      <c r="P48" s="118" t="str">
        <f t="shared" si="2"/>
        <v/>
      </c>
      <c r="Q48" s="119"/>
      <c r="R48" s="4"/>
    </row>
    <row r="49" spans="1:18">
      <c r="A49" s="1">
        <f t="shared" si="1"/>
        <v>0</v>
      </c>
      <c r="B49" s="2"/>
      <c r="C49" s="8"/>
      <c r="D49" s="109" t="str">
        <f>IFERROR(INDEX([239]MATERIALES!C:C,MATCH(B49,[239]MATERIALES!B:B,0)),"")</f>
        <v/>
      </c>
      <c r="E49" s="110"/>
      <c r="F49" s="110"/>
      <c r="G49" s="110"/>
      <c r="H49" s="110"/>
      <c r="I49" s="110"/>
      <c r="J49" s="110"/>
      <c r="K49" s="111"/>
      <c r="L49" s="137" t="str">
        <f>IFERROR(INDEX([239]MATERIALES!D:D,MATCH(B49,[239]MATERIALES!B:B,0)),"")</f>
        <v/>
      </c>
      <c r="M49" s="138"/>
      <c r="N49" s="139" t="str">
        <f>IFERROR(INDEX([239]MATERIALES!P:P,MATCH(B49,[239]MATERIALES!B:B,0)),"")</f>
        <v/>
      </c>
      <c r="O49" s="140"/>
      <c r="P49" s="118" t="str">
        <f t="shared" si="2"/>
        <v/>
      </c>
      <c r="Q49" s="119"/>
      <c r="R49" s="4"/>
    </row>
    <row r="50" spans="1:18" ht="15.75" thickBot="1">
      <c r="A50" s="1">
        <f t="shared" si="1"/>
        <v>0</v>
      </c>
      <c r="B50" s="2"/>
      <c r="C50" s="8"/>
      <c r="D50" s="109" t="s">
        <v>28</v>
      </c>
      <c r="E50" s="110"/>
      <c r="F50" s="110"/>
      <c r="G50" s="110"/>
      <c r="H50" s="110"/>
      <c r="I50" s="110"/>
      <c r="J50" s="110"/>
      <c r="K50" s="111"/>
      <c r="L50" s="137" t="s">
        <v>29</v>
      </c>
      <c r="M50" s="138">
        <v>0.05</v>
      </c>
      <c r="N50" s="139">
        <f>SUM(P36:P49)</f>
        <v>1268.4000000000001</v>
      </c>
      <c r="O50" s="140"/>
      <c r="P50" s="118">
        <f>ROUND(N50*M50,2)</f>
        <v>63.42</v>
      </c>
      <c r="Q50" s="119"/>
      <c r="R50" s="4"/>
    </row>
    <row r="51" spans="1:18" ht="15.75" thickBot="1">
      <c r="A51" s="1">
        <f t="shared" si="1"/>
        <v>0</v>
      </c>
      <c r="B51" s="2"/>
      <c r="C51" s="8"/>
      <c r="D51" s="128" t="s">
        <v>24</v>
      </c>
      <c r="E51" s="129"/>
      <c r="F51" s="129"/>
      <c r="G51" s="129"/>
      <c r="H51" s="129"/>
      <c r="I51" s="129"/>
      <c r="J51" s="129"/>
      <c r="K51" s="129"/>
      <c r="L51" s="129"/>
      <c r="M51" s="129"/>
      <c r="N51" s="129"/>
      <c r="O51" s="130"/>
      <c r="P51" s="131">
        <f>SUM(P36:P50)</f>
        <v>1331.8200000000002</v>
      </c>
      <c r="Q51" s="119"/>
      <c r="R51" s="4"/>
    </row>
    <row r="52" spans="1:18" ht="15.75" thickBot="1">
      <c r="A52" s="1">
        <f t="shared" si="1"/>
        <v>0</v>
      </c>
      <c r="B52" s="2"/>
      <c r="C52" s="8"/>
      <c r="D52" s="74" t="s">
        <v>30</v>
      </c>
      <c r="E52" s="37"/>
      <c r="F52" s="37"/>
      <c r="G52" s="37"/>
      <c r="H52" s="37"/>
      <c r="I52" s="37"/>
      <c r="J52" s="37"/>
      <c r="K52" s="37"/>
      <c r="L52" s="37"/>
      <c r="M52" s="37"/>
      <c r="N52" s="37"/>
      <c r="O52" s="37"/>
      <c r="P52" s="99"/>
      <c r="Q52" s="100"/>
      <c r="R52" s="4"/>
    </row>
    <row r="53" spans="1:18">
      <c r="A53" s="1">
        <f t="shared" si="1"/>
        <v>0</v>
      </c>
      <c r="B53" s="2"/>
      <c r="C53" s="8"/>
      <c r="D53" s="101" t="s">
        <v>31</v>
      </c>
      <c r="E53" s="133"/>
      <c r="F53" s="133"/>
      <c r="G53" s="133"/>
      <c r="H53" s="133"/>
      <c r="I53" s="133"/>
      <c r="J53" s="133"/>
      <c r="K53" s="106" t="s">
        <v>32</v>
      </c>
      <c r="L53" s="141" t="s">
        <v>33</v>
      </c>
      <c r="M53" s="106" t="s">
        <v>34</v>
      </c>
      <c r="N53" s="104" t="s">
        <v>20</v>
      </c>
      <c r="O53" s="105"/>
      <c r="P53" s="107" t="s">
        <v>22</v>
      </c>
      <c r="Q53" s="108"/>
      <c r="R53" s="4"/>
    </row>
    <row r="54" spans="1:18">
      <c r="A54" s="1">
        <f t="shared" si="1"/>
        <v>0</v>
      </c>
      <c r="B54" s="2"/>
      <c r="C54" s="8"/>
      <c r="D54" s="142" t="str">
        <f>IFERROR(INDEX([239]TRANSPORTES!B:B,MATCH(B54,[239]TRANSPORTES!A:A,0)),"")</f>
        <v/>
      </c>
      <c r="E54" s="143"/>
      <c r="F54" s="143"/>
      <c r="G54" s="143"/>
      <c r="H54" s="143"/>
      <c r="I54" s="143"/>
      <c r="J54" s="143"/>
      <c r="K54" s="220"/>
      <c r="L54" s="145"/>
      <c r="M54" s="146" t="str">
        <f>IFERROR(INDEX([239]TRANSPORTES!C:C,MATCH(B54,[239]TRANSPORTES!A:A,0)),"")</f>
        <v/>
      </c>
      <c r="N54" s="139" t="str">
        <f>IFERROR(INDEX([239]TRANSPORTES!D:D,MATCH(B54,[239]TRANSPORTES!A:A,0)),"")</f>
        <v/>
      </c>
      <c r="O54" s="147"/>
      <c r="P54" s="148" t="str">
        <f>IFERROR(ROUND(K54*N54*L54,2),"")</f>
        <v/>
      </c>
      <c r="Q54" s="119"/>
      <c r="R54" s="4"/>
    </row>
    <row r="55" spans="1:18">
      <c r="A55" s="1">
        <f t="shared" si="1"/>
        <v>0</v>
      </c>
      <c r="B55" s="2"/>
      <c r="C55" s="8"/>
      <c r="D55" s="142" t="str">
        <f>IFERROR(INDEX([239]TRANSPORTES!B:B,MATCH(B55,[239]TRANSPORTES!A:A,0)),"")</f>
        <v/>
      </c>
      <c r="E55" s="143"/>
      <c r="F55" s="143"/>
      <c r="G55" s="143"/>
      <c r="H55" s="143"/>
      <c r="I55" s="143"/>
      <c r="J55" s="143"/>
      <c r="K55" s="144"/>
      <c r="L55" s="145"/>
      <c r="M55" s="146" t="str">
        <f>IFERROR(INDEX([239]TRANSPORTES!C:C,MATCH(B55,[239]TRANSPORTES!A:A,0)),"")</f>
        <v/>
      </c>
      <c r="N55" s="139" t="str">
        <f>IFERROR(INDEX([239]TRANSPORTES!D:D,MATCH(B55,[239]TRANSPORTES!A:A,0)),"")</f>
        <v/>
      </c>
      <c r="O55" s="147"/>
      <c r="P55" s="148" t="str">
        <f>IFERROR(ROUND(K55*N55*L55,2),"")</f>
        <v/>
      </c>
      <c r="Q55" s="119"/>
      <c r="R55" s="4"/>
    </row>
    <row r="56" spans="1:18">
      <c r="A56" s="1">
        <f t="shared" si="1"/>
        <v>0</v>
      </c>
      <c r="B56" s="2"/>
      <c r="C56" s="8"/>
      <c r="D56" s="142" t="str">
        <f>IFERROR(INDEX([239]TRANSPORTES!B:B,MATCH(B56,[239]TRANSPORTES!A:A,0)),"")</f>
        <v/>
      </c>
      <c r="E56" s="143"/>
      <c r="F56" s="143"/>
      <c r="G56" s="143"/>
      <c r="H56" s="143"/>
      <c r="I56" s="143"/>
      <c r="J56" s="143"/>
      <c r="K56" s="144"/>
      <c r="L56" s="145"/>
      <c r="M56" s="146" t="str">
        <f>IFERROR(INDEX([239]TRANSPORTES!C:C,MATCH(B56,[239]TRANSPORTES!A:A,0)),"")</f>
        <v/>
      </c>
      <c r="N56" s="139" t="str">
        <f>IFERROR(INDEX([239]TRANSPORTES!D:D,MATCH(B56,[239]TRANSPORTES!A:A,0)),"")</f>
        <v/>
      </c>
      <c r="O56" s="147"/>
      <c r="P56" s="148" t="str">
        <f>IFERROR(ROUND(K56*N56*L56,2),"")</f>
        <v/>
      </c>
      <c r="Q56" s="119"/>
      <c r="R56" s="4"/>
    </row>
    <row r="57" spans="1:18" ht="15.75" thickBot="1">
      <c r="A57" s="1">
        <f t="shared" si="1"/>
        <v>0</v>
      </c>
      <c r="B57" s="2"/>
      <c r="C57" s="8"/>
      <c r="D57" s="142" t="str">
        <f>IFERROR(INDEX([239]TRANSPORTES!B:B,MATCH(B57,[239]TRANSPORTES!A:A,0)),"")</f>
        <v/>
      </c>
      <c r="E57" s="143"/>
      <c r="F57" s="143"/>
      <c r="G57" s="143"/>
      <c r="H57" s="143"/>
      <c r="I57" s="143"/>
      <c r="J57" s="143"/>
      <c r="K57" s="149"/>
      <c r="L57" s="150"/>
      <c r="M57" s="146" t="str">
        <f>IFERROR(INDEX([239]TRANSPORTES!C:C,MATCH(B57,[239]TRANSPORTES!A:A,0)),"")</f>
        <v/>
      </c>
      <c r="N57" s="139" t="str">
        <f>IFERROR(INDEX([239]TRANSPORTES!D:D,MATCH(B57,[239]TRANSPORTES!A:A,0)),"")</f>
        <v/>
      </c>
      <c r="O57" s="147"/>
      <c r="P57" s="148" t="str">
        <f>IFERROR(ROUND(K57*N57*L57,2),"")</f>
        <v/>
      </c>
      <c r="Q57" s="119"/>
      <c r="R57" s="4"/>
    </row>
    <row r="58" spans="1:18" ht="15.75" thickBot="1">
      <c r="A58" s="1">
        <f t="shared" si="1"/>
        <v>0</v>
      </c>
      <c r="B58" s="2"/>
      <c r="C58" s="8"/>
      <c r="D58" s="128" t="s">
        <v>24</v>
      </c>
      <c r="E58" s="129"/>
      <c r="F58" s="129"/>
      <c r="G58" s="129"/>
      <c r="H58" s="129"/>
      <c r="I58" s="129"/>
      <c r="J58" s="129"/>
      <c r="K58" s="129"/>
      <c r="L58" s="129"/>
      <c r="M58" s="129"/>
      <c r="N58" s="129"/>
      <c r="O58" s="130"/>
      <c r="P58" s="151">
        <f>SUM(P54:P57)</f>
        <v>0</v>
      </c>
      <c r="Q58" s="132"/>
      <c r="R58" s="4"/>
    </row>
    <row r="59" spans="1:18" ht="15.75" thickBot="1">
      <c r="A59" s="1">
        <f t="shared" si="1"/>
        <v>0</v>
      </c>
      <c r="B59" s="2"/>
      <c r="C59" s="8"/>
      <c r="D59" s="74" t="s">
        <v>36</v>
      </c>
      <c r="E59" s="37"/>
      <c r="F59" s="37"/>
      <c r="G59" s="37"/>
      <c r="H59" s="37"/>
      <c r="I59" s="37"/>
      <c r="J59" s="37"/>
      <c r="K59" s="37"/>
      <c r="L59" s="37"/>
      <c r="M59" s="37"/>
      <c r="N59" s="37"/>
      <c r="O59" s="37"/>
      <c r="P59" s="99"/>
      <c r="Q59" s="100"/>
      <c r="R59" s="4"/>
    </row>
    <row r="60" spans="1:18" ht="30">
      <c r="A60" s="1">
        <f t="shared" si="1"/>
        <v>0</v>
      </c>
      <c r="B60" s="2"/>
      <c r="C60" s="8"/>
      <c r="D60" s="101" t="s">
        <v>37</v>
      </c>
      <c r="E60" s="133"/>
      <c r="F60" s="133"/>
      <c r="G60" s="133"/>
      <c r="H60" s="133"/>
      <c r="I60" s="133"/>
      <c r="J60" s="133"/>
      <c r="K60" s="106" t="s">
        <v>38</v>
      </c>
      <c r="L60" s="152" t="s">
        <v>39</v>
      </c>
      <c r="M60" s="153" t="s">
        <v>40</v>
      </c>
      <c r="N60" s="104" t="s">
        <v>21</v>
      </c>
      <c r="O60" s="105"/>
      <c r="P60" s="154" t="s">
        <v>22</v>
      </c>
      <c r="Q60" s="155"/>
      <c r="R60" s="4"/>
    </row>
    <row r="61" spans="1:18">
      <c r="A61" s="1">
        <f t="shared" si="1"/>
        <v>0</v>
      </c>
      <c r="B61" s="2" t="s">
        <v>41</v>
      </c>
      <c r="C61" s="8"/>
      <c r="D61" s="109" t="str">
        <f>IFERROR(INDEX('[239]MANO DE OBRA'!B:B,MATCH(B61,'[239]MANO DE OBRA'!A:A,0)),"")</f>
        <v>OFICIAL</v>
      </c>
      <c r="E61" s="110"/>
      <c r="F61" s="110"/>
      <c r="G61" s="110"/>
      <c r="H61" s="110"/>
      <c r="I61" s="110"/>
      <c r="J61" s="111"/>
      <c r="K61" s="156">
        <f>IFERROR(INDEX('[239]MANO DE OBRA'!D:D,MATCH(B61,'[239]MANO DE OBRA'!A:A,0)),"")</f>
        <v>95930</v>
      </c>
      <c r="L61" s="157">
        <f>+IF(D61&lt;&gt;"",'[239]FACTOR PRESTACIONAL'!$E$21," ")</f>
        <v>1.95</v>
      </c>
      <c r="M61" s="158">
        <f>IFERROR(K61*L61," ")</f>
        <v>187063.5</v>
      </c>
      <c r="N61" s="159">
        <v>114.28</v>
      </c>
      <c r="O61" s="160"/>
      <c r="P61" s="161">
        <f>IFERROR(ROUND(M61/N61,2)," ")</f>
        <v>1636.89</v>
      </c>
      <c r="Q61" s="162"/>
      <c r="R61" s="4"/>
    </row>
    <row r="62" spans="1:18">
      <c r="A62" s="1">
        <f t="shared" si="1"/>
        <v>0</v>
      </c>
      <c r="B62" s="2" t="s">
        <v>81</v>
      </c>
      <c r="C62" s="8"/>
      <c r="D62" s="109" t="str">
        <f>IFERROR(INDEX('[239]MANO DE OBRA'!B:B,MATCH(B62,'[239]MANO DE OBRA'!A:A,0)),"")</f>
        <v>AYUDANTE (1)</v>
      </c>
      <c r="E62" s="110"/>
      <c r="F62" s="110"/>
      <c r="G62" s="110"/>
      <c r="H62" s="110"/>
      <c r="I62" s="110"/>
      <c r="J62" s="111"/>
      <c r="K62" s="156">
        <f>IFERROR(INDEX('[239]MANO DE OBRA'!D:D,MATCH(B62,'[239]MANO DE OBRA'!A:A,0)),"")</f>
        <v>71433</v>
      </c>
      <c r="L62" s="157">
        <f>+IF(D62&lt;&gt;"",'[239]FACTOR PRESTACIONAL'!$E$21," ")</f>
        <v>1.95</v>
      </c>
      <c r="M62" s="158">
        <f>IFERROR(K62*L62," ")</f>
        <v>139294.35</v>
      </c>
      <c r="N62" s="159">
        <v>114.28</v>
      </c>
      <c r="O62" s="160"/>
      <c r="P62" s="161">
        <f>IFERROR(ROUND(M62/N62,2)," ")</f>
        <v>1218.8900000000001</v>
      </c>
      <c r="Q62" s="162"/>
      <c r="R62" s="4"/>
    </row>
    <row r="63" spans="1:18">
      <c r="A63" s="1">
        <f t="shared" si="1"/>
        <v>0</v>
      </c>
      <c r="B63" s="2"/>
      <c r="C63" s="8"/>
      <c r="D63" s="109" t="str">
        <f>IFERROR(INDEX('[239]MANO DE OBRA'!B:B,MATCH(B63,'[239]MANO DE OBRA'!A:A,0)),"")</f>
        <v/>
      </c>
      <c r="E63" s="110"/>
      <c r="F63" s="110"/>
      <c r="G63" s="110"/>
      <c r="H63" s="110"/>
      <c r="I63" s="110"/>
      <c r="J63" s="111"/>
      <c r="K63" s="156" t="str">
        <f>IFERROR(INDEX('[239]MANO DE OBRA'!D:D,MATCH(B63,'[239]MANO DE OBRA'!A:A,0)),"")</f>
        <v/>
      </c>
      <c r="L63" s="157" t="str">
        <f>+IF(D63&lt;&gt;"",'[239]FACTOR PRESTACIONAL'!$E$21," ")</f>
        <v xml:space="preserve"> </v>
      </c>
      <c r="M63" s="158" t="str">
        <f>IFERROR(K63*L63," ")</f>
        <v xml:space="preserve"> </v>
      </c>
      <c r="N63" s="159"/>
      <c r="O63" s="160"/>
      <c r="P63" s="161" t="str">
        <f>IFERROR(ROUND(M63/N63,2)," ")</f>
        <v xml:space="preserve"> </v>
      </c>
      <c r="Q63" s="162"/>
      <c r="R63" s="4"/>
    </row>
    <row r="64" spans="1:18">
      <c r="A64" s="1">
        <f t="shared" si="1"/>
        <v>0</v>
      </c>
      <c r="B64" s="2"/>
      <c r="C64" s="8"/>
      <c r="D64" s="109" t="str">
        <f>IFERROR(INDEX('[239]MANO DE OBRA'!B:B,MATCH(B64,'[239]MANO DE OBRA'!A:A,0)),"")</f>
        <v/>
      </c>
      <c r="E64" s="110"/>
      <c r="F64" s="110"/>
      <c r="G64" s="110"/>
      <c r="H64" s="110"/>
      <c r="I64" s="110"/>
      <c r="J64" s="111"/>
      <c r="K64" s="156" t="str">
        <f>IFERROR(INDEX('[239]MANO DE OBRA'!D:D,MATCH(B64,'[239]MANO DE OBRA'!A:A,0)),"")</f>
        <v/>
      </c>
      <c r="L64" s="157" t="str">
        <f>+IF(D64&lt;&gt;"",'[239]FACTOR PRESTACIONAL'!$E$21," ")</f>
        <v xml:space="preserve"> </v>
      </c>
      <c r="M64" s="158" t="str">
        <f>IFERROR(K64*L64," ")</f>
        <v xml:space="preserve"> </v>
      </c>
      <c r="N64" s="159"/>
      <c r="O64" s="160"/>
      <c r="P64" s="161" t="str">
        <f>IFERROR(ROUND(M64/N64,2)," ")</f>
        <v xml:space="preserve"> </v>
      </c>
      <c r="Q64" s="162"/>
      <c r="R64" s="4"/>
    </row>
    <row r="65" spans="1:18" ht="15.75" thickBot="1">
      <c r="A65" s="1">
        <f t="shared" si="1"/>
        <v>0</v>
      </c>
      <c r="B65" s="2"/>
      <c r="C65" s="8"/>
      <c r="D65" s="109" t="str">
        <f>IFERROR(INDEX('[239]MANO DE OBRA'!B:B,MATCH(B65,'[239]MANO DE OBRA'!A:A,0)),"")</f>
        <v/>
      </c>
      <c r="E65" s="110"/>
      <c r="F65" s="110"/>
      <c r="G65" s="110"/>
      <c r="H65" s="110"/>
      <c r="I65" s="110"/>
      <c r="J65" s="111"/>
      <c r="K65" s="156" t="str">
        <f>IFERROR(INDEX('[239]MANO DE OBRA'!D:D,MATCH(B65,'[239]MANO DE OBRA'!A:A,0)),"")</f>
        <v/>
      </c>
      <c r="L65" s="157" t="str">
        <f>+IF(D65&lt;&gt;"",'[239]FACTOR PRESTACIONAL'!$E$21," ")</f>
        <v xml:space="preserve"> </v>
      </c>
      <c r="M65" s="158" t="str">
        <f>IFERROR(K65*L65," ")</f>
        <v xml:space="preserve"> </v>
      </c>
      <c r="N65" s="159"/>
      <c r="O65" s="160"/>
      <c r="P65" s="161" t="str">
        <f>IFERROR(ROUND(M65/N65,2)," ")</f>
        <v xml:space="preserve"> </v>
      </c>
      <c r="Q65" s="119"/>
      <c r="R65" s="4"/>
    </row>
    <row r="66" spans="1:18" ht="15.75" thickBot="1">
      <c r="A66" s="1">
        <f t="shared" si="1"/>
        <v>0</v>
      </c>
      <c r="B66" s="2"/>
      <c r="C66" s="8"/>
      <c r="D66" s="128" t="s">
        <v>24</v>
      </c>
      <c r="E66" s="129"/>
      <c r="F66" s="129"/>
      <c r="G66" s="129"/>
      <c r="H66" s="129"/>
      <c r="I66" s="129"/>
      <c r="J66" s="129"/>
      <c r="K66" s="129"/>
      <c r="L66" s="129"/>
      <c r="M66" s="129"/>
      <c r="N66" s="129"/>
      <c r="O66" s="130"/>
      <c r="P66" s="131">
        <f>SUM(P61:P65)</f>
        <v>2855.78</v>
      </c>
      <c r="Q66" s="119"/>
      <c r="R66" s="4"/>
    </row>
    <row r="67" spans="1:18" ht="15.75" thickBot="1">
      <c r="A67" s="1">
        <f t="shared" si="1"/>
        <v>0</v>
      </c>
      <c r="B67" s="2"/>
      <c r="C67" s="8"/>
      <c r="D67" s="87"/>
      <c r="E67" s="20"/>
      <c r="F67" s="20"/>
      <c r="G67" s="20"/>
      <c r="H67" s="20"/>
      <c r="I67" s="20"/>
      <c r="J67" s="20"/>
      <c r="K67" s="20"/>
      <c r="L67" s="20"/>
      <c r="M67" s="20"/>
      <c r="N67" s="20"/>
      <c r="O67" s="20"/>
      <c r="P67" s="88"/>
      <c r="Q67" s="13"/>
      <c r="R67" s="4"/>
    </row>
    <row r="68" spans="1:18" ht="15.75" thickBot="1">
      <c r="A68" s="1"/>
      <c r="B68" s="2"/>
      <c r="C68" s="8"/>
      <c r="D68" s="163" t="s">
        <v>43</v>
      </c>
      <c r="E68" s="164"/>
      <c r="F68" s="164"/>
      <c r="G68" s="164"/>
      <c r="H68" s="164"/>
      <c r="I68" s="164"/>
      <c r="J68" s="164"/>
      <c r="K68" s="164"/>
      <c r="L68" s="164"/>
      <c r="M68" s="164"/>
      <c r="N68" s="164"/>
      <c r="O68" s="165"/>
      <c r="P68" s="166">
        <f>+P66+P58+P51+P33</f>
        <v>4473.18</v>
      </c>
      <c r="Q68" s="167"/>
      <c r="R68" s="168"/>
    </row>
    <row r="69" spans="1:18" ht="15.75" thickBot="1">
      <c r="A69" s="1"/>
      <c r="B69" s="2"/>
      <c r="C69" s="8"/>
      <c r="D69" s="169"/>
      <c r="E69" s="170"/>
      <c r="F69" s="170"/>
      <c r="G69" s="170"/>
      <c r="H69" s="170"/>
      <c r="I69" s="170"/>
      <c r="J69" s="170"/>
      <c r="K69" s="170"/>
      <c r="L69" s="170"/>
      <c r="M69" s="170"/>
      <c r="N69" s="170"/>
      <c r="O69" s="170"/>
      <c r="P69" s="171"/>
      <c r="Q69" s="100"/>
      <c r="R69" s="4"/>
    </row>
    <row r="70" spans="1:18">
      <c r="A70" s="1"/>
      <c r="B70" s="2"/>
      <c r="C70" s="8"/>
      <c r="D70" s="172" t="s">
        <v>73</v>
      </c>
      <c r="E70" s="173"/>
      <c r="F70" s="173"/>
      <c r="G70" s="173"/>
      <c r="H70" s="173"/>
      <c r="I70" s="173"/>
      <c r="J70" s="173"/>
      <c r="K70" s="141"/>
      <c r="L70" s="174"/>
      <c r="M70" s="153" t="s">
        <v>44</v>
      </c>
      <c r="N70" s="175" t="s">
        <v>45</v>
      </c>
      <c r="O70" s="176"/>
      <c r="P70" s="154"/>
      <c r="Q70" s="155"/>
      <c r="R70" s="4"/>
    </row>
    <row r="71" spans="1:18">
      <c r="A71" s="1"/>
      <c r="B71" s="2"/>
      <c r="C71" s="8"/>
      <c r="D71" s="109" t="s">
        <v>65</v>
      </c>
      <c r="E71" s="110"/>
      <c r="F71" s="110"/>
      <c r="G71" s="110"/>
      <c r="H71" s="110"/>
      <c r="I71" s="110"/>
      <c r="J71" s="110"/>
      <c r="K71" s="177"/>
      <c r="L71" s="178"/>
      <c r="M71" s="179">
        <f>+[239]INICIO!$F$10</f>
        <v>0.24</v>
      </c>
      <c r="N71" s="180">
        <f>ROUND(M71*P68,2)</f>
        <v>1073.56</v>
      </c>
      <c r="O71" s="181"/>
      <c r="P71" s="182"/>
      <c r="Q71" s="119"/>
      <c r="R71" s="4"/>
    </row>
    <row r="72" spans="1:18">
      <c r="A72" s="1"/>
      <c r="B72" s="2"/>
      <c r="C72" s="8"/>
      <c r="D72" s="183" t="s">
        <v>67</v>
      </c>
      <c r="E72" s="61"/>
      <c r="F72" s="61"/>
      <c r="G72" s="61"/>
      <c r="H72" s="61"/>
      <c r="I72" s="61"/>
      <c r="J72" s="61"/>
      <c r="K72" s="177"/>
      <c r="L72" s="178"/>
      <c r="M72" s="179">
        <f>+[239]INICIO!$F$11</f>
        <v>0.02</v>
      </c>
      <c r="N72" s="180">
        <f>ROUND(M72*P68,2)</f>
        <v>89.46</v>
      </c>
      <c r="O72" s="181"/>
      <c r="P72" s="182"/>
      <c r="Q72" s="119"/>
      <c r="R72" s="4"/>
    </row>
    <row r="73" spans="1:18" ht="15.75" thickBot="1">
      <c r="A73" s="1"/>
      <c r="B73" s="2"/>
      <c r="C73" s="8"/>
      <c r="D73" s="77" t="s">
        <v>69</v>
      </c>
      <c r="E73" s="78"/>
      <c r="F73" s="78"/>
      <c r="G73" s="78"/>
      <c r="H73" s="78"/>
      <c r="I73" s="78"/>
      <c r="J73" s="78"/>
      <c r="K73" s="184"/>
      <c r="L73" s="185"/>
      <c r="M73" s="179">
        <f>+[239]INICIO!$F$12</f>
        <v>7.0000000000000007E-2</v>
      </c>
      <c r="N73" s="180">
        <f>ROUND(M73*P68,2)</f>
        <v>313.12</v>
      </c>
      <c r="O73" s="181"/>
      <c r="P73" s="182"/>
      <c r="Q73" s="119"/>
      <c r="R73" s="4"/>
    </row>
    <row r="74" spans="1:18" ht="15.75" thickBot="1">
      <c r="A74" s="1"/>
      <c r="B74" s="2"/>
      <c r="C74" s="8"/>
      <c r="D74" s="128"/>
      <c r="E74" s="129"/>
      <c r="F74" s="129"/>
      <c r="G74" s="129"/>
      <c r="H74" s="129"/>
      <c r="I74" s="129"/>
      <c r="J74" s="129"/>
      <c r="K74" s="129"/>
      <c r="L74" s="129"/>
      <c r="M74" s="129"/>
      <c r="N74" s="129"/>
      <c r="O74" s="130"/>
      <c r="P74" s="131">
        <f>SUM(N71:N73)</f>
        <v>1476.1399999999999</v>
      </c>
      <c r="Q74" s="186"/>
      <c r="R74" s="4"/>
    </row>
    <row r="75" spans="1:18" ht="15.75" thickBot="1">
      <c r="A75" s="1"/>
      <c r="B75" s="2"/>
      <c r="C75" s="8"/>
      <c r="D75" s="87"/>
      <c r="E75" s="20"/>
      <c r="F75" s="20"/>
      <c r="G75" s="20"/>
      <c r="H75" s="20"/>
      <c r="I75" s="20"/>
      <c r="J75" s="20"/>
      <c r="K75" s="20"/>
      <c r="L75" s="20"/>
      <c r="M75" s="20"/>
      <c r="N75" s="20"/>
      <c r="O75" s="20"/>
      <c r="P75" s="88"/>
      <c r="Q75" s="13"/>
      <c r="R75" s="4"/>
    </row>
    <row r="76" spans="1:18" ht="15.75" thickBot="1">
      <c r="A76" s="1"/>
      <c r="B76" s="2"/>
      <c r="C76" s="8"/>
      <c r="D76" s="187" t="s">
        <v>46</v>
      </c>
      <c r="E76" s="188"/>
      <c r="F76" s="188"/>
      <c r="G76" s="188"/>
      <c r="H76" s="188"/>
      <c r="I76" s="188"/>
      <c r="J76" s="188"/>
      <c r="K76" s="188"/>
      <c r="L76" s="188"/>
      <c r="M76" s="188"/>
      <c r="N76" s="188"/>
      <c r="O76" s="189"/>
      <c r="P76" s="166">
        <f>ROUND(P74+P68,0)</f>
        <v>5949</v>
      </c>
      <c r="Q76" s="186"/>
      <c r="R76" s="4"/>
    </row>
    <row r="77" spans="1:18">
      <c r="A77" s="1"/>
      <c r="B77" s="2"/>
      <c r="C77" s="8"/>
      <c r="D77" s="80"/>
      <c r="E77" s="81"/>
      <c r="F77" s="81"/>
      <c r="G77" s="81"/>
      <c r="H77" s="81"/>
      <c r="I77" s="81"/>
      <c r="J77" s="81"/>
      <c r="K77" s="81"/>
      <c r="L77" s="81"/>
      <c r="M77" s="81"/>
      <c r="N77" s="81"/>
      <c r="O77" s="81"/>
      <c r="P77" s="82"/>
      <c r="Q77" s="13"/>
      <c r="R77" s="4"/>
    </row>
    <row r="78" spans="1:18">
      <c r="A78" s="1"/>
      <c r="B78" s="2"/>
      <c r="C78" s="8"/>
      <c r="D78" s="87"/>
      <c r="E78" s="20"/>
      <c r="F78" s="20"/>
      <c r="G78" s="20"/>
      <c r="H78" s="20"/>
      <c r="I78" s="20"/>
      <c r="J78" s="20"/>
      <c r="K78" s="20"/>
      <c r="L78" s="20"/>
      <c r="M78" s="20"/>
      <c r="N78" s="20"/>
      <c r="O78" s="20"/>
      <c r="P78" s="88"/>
      <c r="Q78" s="13"/>
      <c r="R78" s="4"/>
    </row>
    <row r="79" spans="1:18">
      <c r="A79" s="1"/>
      <c r="B79" s="2"/>
      <c r="C79" s="8"/>
      <c r="D79" s="87"/>
      <c r="E79" s="20"/>
      <c r="F79" s="20"/>
      <c r="G79" s="20"/>
      <c r="H79" s="20"/>
      <c r="I79" s="20"/>
      <c r="J79" s="20"/>
      <c r="K79" s="20"/>
      <c r="L79" s="20"/>
      <c r="M79" s="20"/>
      <c r="N79" s="20"/>
      <c r="O79" s="20"/>
      <c r="P79" s="88"/>
      <c r="Q79" s="13"/>
      <c r="R79" s="4"/>
    </row>
    <row r="80" spans="1:18">
      <c r="A80" s="1"/>
      <c r="B80" s="2"/>
      <c r="C80" s="8"/>
      <c r="D80" s="87"/>
      <c r="E80" s="20"/>
      <c r="F80" s="20"/>
      <c r="G80" s="20"/>
      <c r="H80" s="20"/>
      <c r="I80" s="20"/>
      <c r="J80" s="20"/>
      <c r="K80" s="20"/>
      <c r="L80" s="20"/>
      <c r="M80" s="20"/>
      <c r="N80" s="20"/>
      <c r="O80" s="20"/>
      <c r="P80" s="88"/>
      <c r="Q80" s="13"/>
      <c r="R80" s="4"/>
    </row>
    <row r="81" spans="1:18">
      <c r="A81" s="1"/>
      <c r="B81" s="2"/>
      <c r="C81" s="8"/>
      <c r="D81" s="219" t="str">
        <f>+[239]INICIO!$B$13</f>
        <v>Proyectó:</v>
      </c>
      <c r="E81" s="49"/>
      <c r="F81" s="49"/>
      <c r="G81" s="49"/>
      <c r="H81" s="49"/>
      <c r="I81" s="49"/>
      <c r="J81" s="49"/>
      <c r="K81" s="20"/>
      <c r="L81" s="69" t="str">
        <f>+[239]INICIO!$B$16</f>
        <v>Aprobó:</v>
      </c>
      <c r="M81" s="49"/>
      <c r="N81" s="49"/>
      <c r="O81" s="49"/>
      <c r="P81" s="88"/>
      <c r="Q81" s="13"/>
      <c r="R81" s="4"/>
    </row>
    <row r="82" spans="1:18">
      <c r="A82" s="1"/>
      <c r="B82" s="2"/>
      <c r="C82" s="8"/>
      <c r="D82" s="87"/>
      <c r="E82" s="20" t="str">
        <f>+Hoja2!C$13</f>
        <v>HELMER EDUARDO BECERRA SANTANDER</v>
      </c>
      <c r="F82" s="20"/>
      <c r="G82" s="20"/>
      <c r="H82" s="20"/>
      <c r="I82" s="20"/>
      <c r="J82" s="20"/>
      <c r="K82" s="20"/>
      <c r="L82" s="20"/>
      <c r="M82" s="20" t="str">
        <f>+Hoja2!$C$16</f>
        <v>JESÚS IVÁN QUIÑONES RUEDA</v>
      </c>
      <c r="N82" s="20"/>
      <c r="O82" s="20"/>
      <c r="P82" s="88"/>
      <c r="Q82" s="190"/>
      <c r="R82" s="4"/>
    </row>
    <row r="83" spans="1:18">
      <c r="A83" s="1"/>
      <c r="B83" s="2"/>
      <c r="C83" s="8"/>
      <c r="D83" s="87"/>
      <c r="E83" s="20" t="str">
        <f>+Hoja2!C$14</f>
        <v>APOYO SEC. DE PLANEACIÓN Y OBRAS PÚBLICAS</v>
      </c>
      <c r="F83" s="20"/>
      <c r="G83" s="20"/>
      <c r="H83" s="20"/>
      <c r="I83" s="20"/>
      <c r="J83" s="20"/>
      <c r="K83" s="20"/>
      <c r="L83" s="20"/>
      <c r="M83" s="20" t="str">
        <f>+Hoja2!$C$17</f>
        <v>SECRETARIO DE PLANEACIÓN Y OBRAS PUBLICAS</v>
      </c>
      <c r="N83" s="20"/>
      <c r="O83" s="20"/>
      <c r="P83" s="88"/>
      <c r="Q83" s="190"/>
      <c r="R83" s="4"/>
    </row>
    <row r="84" spans="1:18">
      <c r="A84" s="1"/>
      <c r="B84" s="2"/>
      <c r="C84" s="8"/>
      <c r="D84" s="68"/>
      <c r="E84" s="20" t="str">
        <f>+Hoja2!C$15</f>
        <v>123769-0701671 NTS</v>
      </c>
      <c r="F84" s="191"/>
      <c r="G84" s="191"/>
      <c r="H84" s="191"/>
      <c r="I84" s="20"/>
      <c r="J84" s="191"/>
      <c r="K84" s="191"/>
      <c r="L84" s="191"/>
      <c r="M84" s="192" t="str">
        <f>+Hoja2!C$18</f>
        <v>A21382020-1090480860</v>
      </c>
      <c r="N84" s="191"/>
      <c r="O84" s="191"/>
      <c r="P84" s="193"/>
      <c r="Q84" s="194"/>
      <c r="R84" s="4"/>
    </row>
    <row r="85" spans="1:18" ht="16.5" thickBot="1">
      <c r="A85" s="1"/>
      <c r="B85" s="2"/>
      <c r="C85" s="8"/>
      <c r="D85" s="195"/>
      <c r="E85" s="150"/>
      <c r="F85" s="150"/>
      <c r="G85" s="150"/>
      <c r="H85" s="150"/>
      <c r="I85" s="150"/>
      <c r="J85" s="150"/>
      <c r="K85" s="150"/>
      <c r="L85" s="150"/>
      <c r="M85" s="150"/>
      <c r="N85" s="150"/>
      <c r="O85" s="150"/>
      <c r="P85" s="196"/>
      <c r="Q85" s="197"/>
      <c r="R85" s="4"/>
    </row>
    <row r="86" spans="1:18" ht="15.75" thickBot="1">
      <c r="A86" s="1"/>
      <c r="B86" s="2"/>
      <c r="C86" s="198"/>
      <c r="D86" s="199"/>
      <c r="E86" s="199"/>
      <c r="F86" s="199"/>
      <c r="G86" s="199"/>
      <c r="H86" s="199"/>
      <c r="I86" s="199"/>
      <c r="J86" s="199"/>
      <c r="K86" s="199"/>
      <c r="L86" s="199"/>
      <c r="M86" s="199"/>
      <c r="N86" s="199"/>
      <c r="O86" s="199"/>
      <c r="P86" s="199"/>
      <c r="Q86" s="200"/>
      <c r="R86" s="4"/>
    </row>
    <row r="87" spans="1:18" ht="16.5" thickTop="1" thickBot="1">
      <c r="A87" s="1"/>
      <c r="B87" s="2"/>
      <c r="C87" s="3"/>
      <c r="D87" s="4"/>
      <c r="E87" s="4"/>
      <c r="F87" s="4"/>
      <c r="G87" s="4"/>
      <c r="H87" s="4"/>
      <c r="I87" s="4"/>
      <c r="J87" s="4"/>
      <c r="K87" s="4"/>
      <c r="L87" s="4"/>
      <c r="M87" s="4"/>
      <c r="N87" s="4"/>
      <c r="O87" s="4"/>
      <c r="P87" s="4"/>
      <c r="Q87" s="4"/>
      <c r="R87" s="4"/>
    </row>
    <row r="88" spans="1:18" ht="15.75" thickTop="1">
      <c r="A88" s="1"/>
      <c r="B88" s="2"/>
      <c r="C88" s="5"/>
      <c r="D88" s="6"/>
      <c r="E88" s="6"/>
      <c r="F88" s="6"/>
      <c r="G88" s="6"/>
      <c r="H88" s="6"/>
      <c r="I88" s="6"/>
      <c r="J88" s="6"/>
      <c r="K88" s="6"/>
      <c r="L88" s="6"/>
      <c r="M88" s="6"/>
      <c r="N88" s="6"/>
      <c r="O88" s="6"/>
      <c r="P88" s="6"/>
      <c r="Q88" s="7"/>
      <c r="R88" s="4"/>
    </row>
    <row r="89" spans="1:18" ht="24">
      <c r="A89" s="1"/>
      <c r="B89" s="2"/>
      <c r="C89" s="8"/>
      <c r="D89" s="9" t="str">
        <f>+[239]INICIO!$C$8</f>
        <v>Análisis de Precios Unitarios- Secretaria de Planeación y Obras Publicas de Cubará, Boyacá.</v>
      </c>
      <c r="E89" s="10"/>
      <c r="F89" s="10"/>
      <c r="G89" s="10"/>
      <c r="H89" s="11"/>
      <c r="I89" s="12"/>
      <c r="J89" s="12"/>
      <c r="K89" s="12"/>
      <c r="L89" s="12"/>
      <c r="M89" s="12"/>
      <c r="N89" s="12"/>
      <c r="O89" s="12"/>
      <c r="P89" s="12"/>
      <c r="Q89" s="13"/>
      <c r="R89" s="4"/>
    </row>
    <row r="90" spans="1:18">
      <c r="A90" s="1"/>
      <c r="B90" s="2"/>
      <c r="C90" s="8"/>
      <c r="D90" s="14" t="s">
        <v>0</v>
      </c>
      <c r="E90" s="15" t="str">
        <f>+[239]INICIO!$C$7</f>
        <v>CCE-EICP-FM-14</v>
      </c>
      <c r="F90" s="16"/>
      <c r="G90" s="17" t="str">
        <f>+[239]INICIO!$B$6</f>
        <v>VERSIÓN</v>
      </c>
      <c r="H90" s="14">
        <f>+[239]INICIO!$C$6</f>
        <v>1</v>
      </c>
      <c r="I90" s="12"/>
      <c r="J90" s="12"/>
      <c r="K90" s="12"/>
      <c r="L90" s="12"/>
      <c r="M90" s="12"/>
      <c r="N90" s="12"/>
      <c r="O90" s="12"/>
      <c r="P90" s="12"/>
      <c r="Q90" s="13"/>
      <c r="R90" s="4"/>
    </row>
    <row r="91" spans="1:18">
      <c r="A91" s="1"/>
      <c r="B91" s="2"/>
      <c r="C91" s="8"/>
      <c r="D91" s="18"/>
      <c r="E91" s="19"/>
      <c r="F91" s="18"/>
      <c r="G91" s="19"/>
      <c r="H91" s="12"/>
      <c r="I91" s="12"/>
      <c r="J91" s="12"/>
      <c r="K91" s="12"/>
      <c r="L91" s="12"/>
      <c r="M91" s="12"/>
      <c r="N91" s="12"/>
      <c r="O91" s="12"/>
      <c r="P91" s="12"/>
      <c r="Q91" s="13"/>
      <c r="R91" s="4"/>
    </row>
    <row r="92" spans="1:18" ht="15.75" thickBot="1">
      <c r="A92" s="1"/>
      <c r="B92" s="2"/>
      <c r="C92" s="8"/>
      <c r="D92" s="20"/>
      <c r="E92" s="20"/>
      <c r="F92" s="20"/>
      <c r="G92" s="20"/>
      <c r="H92" s="20"/>
      <c r="I92" s="20"/>
      <c r="J92" s="20"/>
      <c r="K92" s="20"/>
      <c r="L92" s="20"/>
      <c r="M92" s="20"/>
      <c r="N92" s="20"/>
      <c r="O92" s="20"/>
      <c r="P92" s="20"/>
      <c r="Q92" s="13"/>
      <c r="R92" s="4"/>
    </row>
    <row r="93" spans="1:18">
      <c r="A93" s="1"/>
      <c r="B93" s="2"/>
      <c r="C93" s="8"/>
      <c r="D93" s="21"/>
      <c r="E93" s="22"/>
      <c r="F93" s="23"/>
      <c r="G93" s="23"/>
      <c r="H93" s="23"/>
      <c r="I93" s="23"/>
      <c r="J93" s="23"/>
      <c r="K93" s="23"/>
      <c r="L93" s="24"/>
      <c r="M93" s="25"/>
      <c r="N93" s="26"/>
      <c r="O93" s="26"/>
      <c r="P93" s="27"/>
      <c r="Q93" s="28"/>
      <c r="R93" s="4"/>
    </row>
    <row r="94" spans="1:18">
      <c r="A94" s="1"/>
      <c r="B94" s="2"/>
      <c r="C94" s="8"/>
      <c r="D94" s="29"/>
      <c r="E94" s="30" t="s">
        <v>1</v>
      </c>
      <c r="F94" s="31"/>
      <c r="G94" s="31"/>
      <c r="H94" s="31"/>
      <c r="I94" s="31"/>
      <c r="J94" s="31"/>
      <c r="K94" s="31"/>
      <c r="L94" s="32"/>
      <c r="M94" s="33"/>
      <c r="N94" s="34"/>
      <c r="O94" s="34"/>
      <c r="P94" s="35"/>
      <c r="Q94" s="28"/>
      <c r="R94" s="4"/>
    </row>
    <row r="95" spans="1:18">
      <c r="A95" s="1"/>
      <c r="B95" s="2"/>
      <c r="C95" s="8"/>
      <c r="D95" s="29"/>
      <c r="E95" s="36"/>
      <c r="F95" s="37"/>
      <c r="G95" s="37"/>
      <c r="H95" s="37"/>
      <c r="I95" s="37"/>
      <c r="J95" s="37"/>
      <c r="K95" s="37"/>
      <c r="L95" s="38"/>
      <c r="M95" s="39"/>
      <c r="N95" s="40"/>
      <c r="O95" s="41"/>
      <c r="P95" s="42"/>
      <c r="Q95" s="28"/>
      <c r="R95" s="4"/>
    </row>
    <row r="96" spans="1:18">
      <c r="A96" s="1"/>
      <c r="B96" s="2"/>
      <c r="C96" s="8"/>
      <c r="D96" s="29"/>
      <c r="E96" s="36"/>
      <c r="F96" s="37"/>
      <c r="G96" s="37"/>
      <c r="H96" s="37"/>
      <c r="I96" s="37"/>
      <c r="J96" s="37"/>
      <c r="K96" s="37"/>
      <c r="L96" s="38"/>
      <c r="M96" s="43" t="s">
        <v>2</v>
      </c>
      <c r="N96" s="44"/>
      <c r="O96" s="45">
        <f>+[239]INICIO!$C$6</f>
        <v>1</v>
      </c>
      <c r="P96" s="46"/>
      <c r="Q96" s="28"/>
      <c r="R96" s="4"/>
    </row>
    <row r="97" spans="1:18">
      <c r="A97" s="1"/>
      <c r="B97" s="2"/>
      <c r="C97" s="8"/>
      <c r="D97" s="29"/>
      <c r="E97" s="36"/>
      <c r="F97" s="37"/>
      <c r="G97" s="37"/>
      <c r="H97" s="37"/>
      <c r="I97" s="37"/>
      <c r="J97" s="37"/>
      <c r="K97" s="37"/>
      <c r="L97" s="38"/>
      <c r="M97" s="47"/>
      <c r="N97" s="48"/>
      <c r="O97" s="49"/>
      <c r="P97" s="50"/>
      <c r="Q97" s="51"/>
      <c r="R97" s="4"/>
    </row>
    <row r="98" spans="1:18">
      <c r="A98" s="1"/>
      <c r="B98" s="2"/>
      <c r="C98" s="8"/>
      <c r="D98" s="29"/>
      <c r="E98" s="52"/>
      <c r="F98" s="53"/>
      <c r="G98" s="53"/>
      <c r="H98" s="53"/>
      <c r="I98" s="53"/>
      <c r="J98" s="53"/>
      <c r="K98" s="53"/>
      <c r="L98" s="54"/>
      <c r="M98" s="39"/>
      <c r="N98" s="55"/>
      <c r="O98" s="55"/>
      <c r="P98" s="56"/>
      <c r="Q98" s="28"/>
      <c r="R98" s="4"/>
    </row>
    <row r="99" spans="1:18">
      <c r="A99" s="1"/>
      <c r="B99" s="2"/>
      <c r="C99" s="8"/>
      <c r="D99" s="29"/>
      <c r="E99" s="52"/>
      <c r="F99" s="53"/>
      <c r="G99" s="53"/>
      <c r="H99" s="53"/>
      <c r="I99" s="53"/>
      <c r="J99" s="53"/>
      <c r="K99" s="53"/>
      <c r="L99" s="54"/>
      <c r="M99" s="43" t="s">
        <v>3</v>
      </c>
      <c r="N99" s="43" t="str">
        <f>+VLOOKUP(D110,'PRESUPUESTO OFICIAL '!C:Q,9,FALSE)</f>
        <v>2</v>
      </c>
      <c r="O99" s="43" t="s">
        <v>4</v>
      </c>
      <c r="P99" s="508" t="str">
        <f>+'PRESUPUESTO OFICIAL '!$M$122</f>
        <v>62</v>
      </c>
      <c r="Q99" s="28"/>
      <c r="R99" s="4"/>
    </row>
    <row r="100" spans="1:18">
      <c r="A100" s="1"/>
      <c r="B100" s="2"/>
      <c r="C100" s="8"/>
      <c r="D100" s="29"/>
      <c r="E100" s="30" t="s">
        <v>5</v>
      </c>
      <c r="F100" s="31"/>
      <c r="G100" s="31"/>
      <c r="H100" s="31"/>
      <c r="I100" s="31"/>
      <c r="J100" s="31"/>
      <c r="K100" s="31"/>
      <c r="L100" s="32"/>
      <c r="M100" s="43"/>
      <c r="N100" s="57"/>
      <c r="O100" s="57"/>
      <c r="P100" s="58"/>
      <c r="Q100" s="28"/>
      <c r="R100" s="4"/>
    </row>
    <row r="101" spans="1:18" ht="15.75" thickBot="1">
      <c r="A101" s="1"/>
      <c r="B101" s="2"/>
      <c r="C101" s="8"/>
      <c r="D101" s="59"/>
      <c r="E101" s="60"/>
      <c r="F101" s="60"/>
      <c r="G101" s="60"/>
      <c r="H101" s="60"/>
      <c r="I101" s="60"/>
      <c r="J101" s="60"/>
      <c r="K101" s="60"/>
      <c r="L101" s="60"/>
      <c r="M101" s="60"/>
      <c r="N101" s="61"/>
      <c r="O101" s="61"/>
      <c r="P101" s="62"/>
      <c r="Q101" s="63"/>
      <c r="R101" s="4"/>
    </row>
    <row r="102" spans="1:18">
      <c r="A102" s="1"/>
      <c r="B102" s="2"/>
      <c r="C102" s="8"/>
      <c r="D102" s="64"/>
      <c r="E102" s="65"/>
      <c r="F102" s="65"/>
      <c r="G102" s="65"/>
      <c r="H102" s="65"/>
      <c r="I102" s="65"/>
      <c r="J102" s="65"/>
      <c r="K102" s="65"/>
      <c r="L102" s="65"/>
      <c r="M102" s="66" t="s">
        <v>6</v>
      </c>
      <c r="N102" s="66" t="s">
        <v>7</v>
      </c>
      <c r="O102" s="66" t="s">
        <v>8</v>
      </c>
      <c r="P102" s="67" t="s">
        <v>9</v>
      </c>
      <c r="Q102" s="51"/>
      <c r="R102" s="4"/>
    </row>
    <row r="103" spans="1:18">
      <c r="A103" s="1"/>
      <c r="B103" s="2"/>
      <c r="C103" s="8"/>
      <c r="D103" s="68"/>
      <c r="E103" s="69"/>
      <c r="F103" s="69"/>
      <c r="G103" s="69"/>
      <c r="H103" s="69"/>
      <c r="I103" s="69"/>
      <c r="J103" s="69"/>
      <c r="K103" s="69"/>
      <c r="L103" s="69"/>
      <c r="M103" s="70"/>
      <c r="N103" s="71">
        <f>+Hoja2!B$5</f>
        <v>5</v>
      </c>
      <c r="O103" s="71">
        <f>+Hoja2!C$5</f>
        <v>8</v>
      </c>
      <c r="P103" s="72">
        <f>+Hoja2!D$5</f>
        <v>2026</v>
      </c>
      <c r="Q103" s="73"/>
      <c r="R103" s="4"/>
    </row>
    <row r="104" spans="1:18">
      <c r="A104" s="1"/>
      <c r="B104" s="2"/>
      <c r="C104" s="8"/>
      <c r="D104" s="74"/>
      <c r="E104" s="37"/>
      <c r="F104" s="37"/>
      <c r="G104" s="37"/>
      <c r="H104" s="69"/>
      <c r="I104" s="69"/>
      <c r="J104" s="69"/>
      <c r="K104" s="20"/>
      <c r="L104" s="69"/>
      <c r="M104" s="75"/>
      <c r="N104" s="20"/>
      <c r="O104" s="20"/>
      <c r="P104" s="76"/>
      <c r="Q104" s="73"/>
      <c r="R104" s="4"/>
    </row>
    <row r="105" spans="1:18" ht="15.75" thickBot="1">
      <c r="A105" s="1"/>
      <c r="B105" s="2"/>
      <c r="C105" s="8"/>
      <c r="D105" s="77"/>
      <c r="E105" s="78"/>
      <c r="F105" s="78"/>
      <c r="G105" s="78"/>
      <c r="H105" s="78"/>
      <c r="I105" s="78"/>
      <c r="J105" s="78"/>
      <c r="K105" s="78"/>
      <c r="L105" s="78"/>
      <c r="M105" s="78"/>
      <c r="N105" s="78"/>
      <c r="O105" s="78"/>
      <c r="P105" s="79"/>
      <c r="Q105" s="13"/>
      <c r="R105" s="4"/>
    </row>
    <row r="106" spans="1:18" ht="15.75" thickBot="1">
      <c r="A106" s="1"/>
      <c r="B106" s="2"/>
      <c r="C106" s="8"/>
      <c r="D106" s="80"/>
      <c r="E106" s="81"/>
      <c r="F106" s="81"/>
      <c r="G106" s="81"/>
      <c r="H106" s="81"/>
      <c r="I106" s="81"/>
      <c r="J106" s="20"/>
      <c r="K106" s="20"/>
      <c r="L106" s="81"/>
      <c r="M106" s="81"/>
      <c r="N106" s="81"/>
      <c r="O106" s="81"/>
      <c r="P106" s="82"/>
      <c r="Q106" s="13"/>
      <c r="R106" s="4"/>
    </row>
    <row r="107" spans="1:18">
      <c r="A107" s="1"/>
      <c r="B107" s="2"/>
      <c r="C107" s="8"/>
      <c r="D107" s="83" t="s">
        <v>10</v>
      </c>
      <c r="E107" s="84"/>
      <c r="F107" s="84"/>
      <c r="G107" s="84"/>
      <c r="H107" s="84"/>
      <c r="I107" s="84"/>
      <c r="J107" s="84"/>
      <c r="K107" s="84"/>
      <c r="L107" s="84"/>
      <c r="M107" s="84"/>
      <c r="N107" s="84"/>
      <c r="O107" s="84"/>
      <c r="P107" s="85"/>
      <c r="Q107" s="86"/>
      <c r="R107" s="4"/>
    </row>
    <row r="108" spans="1:18" ht="15.75" thickBot="1">
      <c r="A108" s="1"/>
      <c r="B108" s="2"/>
      <c r="C108" s="8"/>
      <c r="D108" s="87"/>
      <c r="E108" s="20"/>
      <c r="F108" s="20"/>
      <c r="G108" s="20"/>
      <c r="H108" s="20"/>
      <c r="I108" s="20"/>
      <c r="J108" s="20"/>
      <c r="K108" s="20"/>
      <c r="L108" s="20"/>
      <c r="M108" s="20"/>
      <c r="N108" s="20"/>
      <c r="O108" s="20"/>
      <c r="P108" s="88"/>
      <c r="Q108" s="13"/>
      <c r="R108" s="4"/>
    </row>
    <row r="109" spans="1:18">
      <c r="A109" s="1" t="s">
        <v>11</v>
      </c>
      <c r="B109" s="2" t="s">
        <v>12</v>
      </c>
      <c r="C109" s="8"/>
      <c r="D109" s="89" t="s">
        <v>13</v>
      </c>
      <c r="E109" s="90" t="s">
        <v>14</v>
      </c>
      <c r="F109" s="90"/>
      <c r="G109" s="90"/>
      <c r="H109" s="90"/>
      <c r="I109" s="90"/>
      <c r="J109" s="90"/>
      <c r="K109" s="90"/>
      <c r="L109" s="90"/>
      <c r="M109" s="90"/>
      <c r="N109" s="91" t="s">
        <v>15</v>
      </c>
      <c r="O109" s="91"/>
      <c r="P109" s="92" t="s">
        <v>16</v>
      </c>
      <c r="Q109" s="93"/>
      <c r="R109" s="4"/>
    </row>
    <row r="110" spans="1:18" ht="29.25" thickBot="1">
      <c r="A110" s="1"/>
      <c r="B110" s="2"/>
      <c r="C110" s="8"/>
      <c r="D110" s="349">
        <f>+'PRESUPUESTO OFICIAL '!C13</f>
        <v>1.02</v>
      </c>
      <c r="E110" s="94" t="str">
        <f>+VLOOKUP(D110,'PRESUPUESTO OFICIAL '!C:H,2,FALSE)</f>
        <v>DESMONTE DE CUBIERTA DE ZINC + ENTRAMADO. (INCLUYE RETIRO Y ACARREO LIBRE HASTA 5 KM.)</v>
      </c>
      <c r="F110" s="94"/>
      <c r="G110" s="94"/>
      <c r="H110" s="94"/>
      <c r="I110" s="94"/>
      <c r="J110" s="94"/>
      <c r="K110" s="94"/>
      <c r="L110" s="94"/>
      <c r="M110" s="94"/>
      <c r="N110" s="94" t="str">
        <f>+VLOOKUP(D110,'PRESUPUESTO OFICIAL '!C:H,3,FALSE)</f>
        <v>M2</v>
      </c>
      <c r="O110" s="95"/>
      <c r="P110" s="96">
        <f>+VLOOKUP(D110,'PRESUPUESTO OFICIAL '!C:H,4,FALSE)</f>
        <v>572.49</v>
      </c>
      <c r="Q110" s="97"/>
      <c r="R110" s="98">
        <f>+P162</f>
        <v>33698</v>
      </c>
    </row>
    <row r="111" spans="1:18" ht="15.75" thickBot="1">
      <c r="A111" s="1"/>
      <c r="B111" s="2"/>
      <c r="C111" s="8"/>
      <c r="D111" s="74" t="s">
        <v>17</v>
      </c>
      <c r="E111" s="37"/>
      <c r="F111" s="37"/>
      <c r="G111" s="37"/>
      <c r="H111" s="37"/>
      <c r="I111" s="37"/>
      <c r="J111" s="37"/>
      <c r="K111" s="37"/>
      <c r="L111" s="37"/>
      <c r="M111" s="37"/>
      <c r="N111" s="37"/>
      <c r="O111" s="37"/>
      <c r="P111" s="99"/>
      <c r="Q111" s="100"/>
      <c r="R111" s="4"/>
    </row>
    <row r="112" spans="1:18">
      <c r="A112" s="1"/>
      <c r="B112" s="2"/>
      <c r="C112" s="8"/>
      <c r="D112" s="101" t="s">
        <v>14</v>
      </c>
      <c r="E112" s="102"/>
      <c r="F112" s="102"/>
      <c r="G112" s="102"/>
      <c r="H112" s="103"/>
      <c r="I112" s="104" t="s">
        <v>18</v>
      </c>
      <c r="J112" s="102"/>
      <c r="K112" s="104" t="s">
        <v>19</v>
      </c>
      <c r="L112" s="105"/>
      <c r="M112" s="106" t="s">
        <v>20</v>
      </c>
      <c r="N112" s="104" t="s">
        <v>21</v>
      </c>
      <c r="O112" s="105"/>
      <c r="P112" s="107" t="s">
        <v>22</v>
      </c>
      <c r="Q112" s="108"/>
      <c r="R112" s="4"/>
    </row>
    <row r="113" spans="1:18">
      <c r="A113" s="1" t="e">
        <f>[239]INDICE!#REF!</f>
        <v>#REF!</v>
      </c>
      <c r="B113" s="2" t="s">
        <v>23</v>
      </c>
      <c r="C113" s="8"/>
      <c r="D113" s="109" t="str">
        <f>IFERROR(INDEX([239]EQUIPOS!B:B,MATCH(B113,[239]EQUIPOS!A:A,0)),"")</f>
        <v>HERRAMIENTA MENOR (% M.O)</v>
      </c>
      <c r="E113" s="110"/>
      <c r="F113" s="110"/>
      <c r="G113" s="110"/>
      <c r="H113" s="111"/>
      <c r="I113" s="112"/>
      <c r="J113" s="111"/>
      <c r="K113" s="113" t="str">
        <f>IFERROR(INDEX([239]EQUIPOS!C:C,MATCH(B113,[239]EQUIPOS!A:A,0)),"")</f>
        <v>%</v>
      </c>
      <c r="L113" s="114"/>
      <c r="M113" s="115">
        <f>IFERROR(IF(D113="HERRAMIENTA MENOR (% M.O)",P152,INDEX([239]EQUIPOS!D:D,MATCH(B113,[239]EQUIPOS!A:A,0))),"")</f>
        <v>20397.37</v>
      </c>
      <c r="N113" s="116">
        <v>10</v>
      </c>
      <c r="O113" s="117"/>
      <c r="P113" s="118">
        <f t="shared" ref="P113:P118" si="3">IFERROR(ROUND(IF(D113="HERRAMIENTA MENOR (% M.O)",N113%*M113,M113/N113),2)," ")</f>
        <v>2039.74</v>
      </c>
      <c r="Q113" s="119"/>
      <c r="R113" s="4"/>
    </row>
    <row r="114" spans="1:18">
      <c r="A114" s="1">
        <f>+$A$2341</f>
        <v>0</v>
      </c>
      <c r="B114" s="2" t="s">
        <v>258</v>
      </c>
      <c r="C114" s="8"/>
      <c r="D114" s="109" t="str">
        <f>IFERROR(INDEX([239]EQUIPOS!B:B,MATCH(B114,[239]EQUIPOS!A:A,0)),"")</f>
        <v>SECCIÓN DE ANDAMIO (02)</v>
      </c>
      <c r="E114" s="110"/>
      <c r="F114" s="110"/>
      <c r="G114" s="110"/>
      <c r="H114" s="111"/>
      <c r="I114" s="112"/>
      <c r="J114" s="111"/>
      <c r="K114" s="113" t="str">
        <f>IFERROR(INDEX([239]EQUIPOS!C:C,MATCH(B114,[239]EQUIPOS!A:A,0)),"")</f>
        <v>DIA</v>
      </c>
      <c r="L114" s="114"/>
      <c r="M114" s="115">
        <f>IFERROR(IF(D114="HERRAMIENTA MENOR (% M.O)",P153,INDEX([239]EQUIPOS!D:D,MATCH(B114,[239]EQUIPOS!A:A,0))),"")</f>
        <v>6000</v>
      </c>
      <c r="N114" s="116">
        <f>ROUND(1/0.1,2)</f>
        <v>10</v>
      </c>
      <c r="O114" s="117"/>
      <c r="P114" s="118">
        <f t="shared" si="3"/>
        <v>600</v>
      </c>
      <c r="Q114" s="119"/>
      <c r="R114" s="4"/>
    </row>
    <row r="115" spans="1:18">
      <c r="A115" s="1">
        <f t="shared" ref="A115:A153" si="4">+A114</f>
        <v>0</v>
      </c>
      <c r="B115" s="2"/>
      <c r="C115" s="8"/>
      <c r="D115" s="109" t="str">
        <f>IFERROR(INDEX([239]EQUIPOS!B:B,MATCH(B115,[239]EQUIPOS!A:A,0)),"")</f>
        <v/>
      </c>
      <c r="E115" s="110"/>
      <c r="F115" s="110"/>
      <c r="G115" s="110"/>
      <c r="H115" s="111"/>
      <c r="I115" s="120"/>
      <c r="J115" s="121"/>
      <c r="K115" s="113" t="str">
        <f>IFERROR(INDEX([239]EQUIPOS!C:C,MATCH(B115,[239]EQUIPOS!A:A,0)),"")</f>
        <v/>
      </c>
      <c r="L115" s="114"/>
      <c r="M115" s="115" t="str">
        <f>IFERROR(IF(D115="HERRAMIENTA MENOR (% M.O)",P154,INDEX([239]EQUIPOS!D:D,MATCH(B115,[239]EQUIPOS!A:A,0))),"")</f>
        <v/>
      </c>
      <c r="N115" s="116"/>
      <c r="O115" s="117"/>
      <c r="P115" s="118" t="str">
        <f t="shared" si="3"/>
        <v xml:space="preserve"> </v>
      </c>
      <c r="Q115" s="119"/>
      <c r="R115" s="4"/>
    </row>
    <row r="116" spans="1:18">
      <c r="A116" s="1">
        <f t="shared" si="4"/>
        <v>0</v>
      </c>
      <c r="B116" s="2"/>
      <c r="C116" s="8"/>
      <c r="D116" s="109" t="str">
        <f>IFERROR(INDEX([239]EQUIPOS!B:B,MATCH(B116,[239]EQUIPOS!A:A,0)),"")</f>
        <v/>
      </c>
      <c r="E116" s="110"/>
      <c r="F116" s="110"/>
      <c r="G116" s="110"/>
      <c r="H116" s="111"/>
      <c r="I116" s="120"/>
      <c r="J116" s="121"/>
      <c r="K116" s="113" t="str">
        <f>IFERROR(INDEX([239]EQUIPOS!C:C,MATCH(B116,[239]EQUIPOS!A:A,0)),"")</f>
        <v/>
      </c>
      <c r="L116" s="114"/>
      <c r="M116" s="115" t="str">
        <f>IFERROR(IF(D116="HERRAMIENTA MENOR (% M.O)",P155,INDEX([239]EQUIPOS!D:D,MATCH(B116,[239]EQUIPOS!A:A,0))),"")</f>
        <v/>
      </c>
      <c r="N116" s="116"/>
      <c r="O116" s="117"/>
      <c r="P116" s="118" t="str">
        <f t="shared" si="3"/>
        <v xml:space="preserve"> </v>
      </c>
      <c r="Q116" s="119"/>
      <c r="R116" s="4"/>
    </row>
    <row r="117" spans="1:18">
      <c r="A117" s="1">
        <f t="shared" si="4"/>
        <v>0</v>
      </c>
      <c r="B117" s="2"/>
      <c r="C117" s="8"/>
      <c r="D117" s="109" t="str">
        <f>IFERROR(INDEX([239]EQUIPOS!B:B,MATCH(B117,[239]EQUIPOS!A:A,0)),"")</f>
        <v/>
      </c>
      <c r="E117" s="110"/>
      <c r="F117" s="110"/>
      <c r="G117" s="110"/>
      <c r="H117" s="111"/>
      <c r="I117" s="112"/>
      <c r="J117" s="111"/>
      <c r="K117" s="113" t="str">
        <f>IFERROR(INDEX([239]EQUIPOS!C:C,MATCH(B117,[239]EQUIPOS!A:A,0)),"")</f>
        <v/>
      </c>
      <c r="L117" s="114"/>
      <c r="M117" s="115" t="str">
        <f>IFERROR(IF(D117="HERRAMIENTA MENOR (% M.O)",P156,INDEX([239]EQUIPOS!D:D,MATCH(B117,[239]EQUIPOS!A:A,0))),"")</f>
        <v/>
      </c>
      <c r="N117" s="116"/>
      <c r="O117" s="117"/>
      <c r="P117" s="118" t="str">
        <f t="shared" si="3"/>
        <v xml:space="preserve"> </v>
      </c>
      <c r="Q117" s="119"/>
      <c r="R117" s="4"/>
    </row>
    <row r="118" spans="1:18" ht="15.75" thickBot="1">
      <c r="A118" s="1">
        <f t="shared" si="4"/>
        <v>0</v>
      </c>
      <c r="B118" s="2"/>
      <c r="C118" s="8"/>
      <c r="D118" s="109" t="str">
        <f>IFERROR(INDEX([239]EQUIPOS!B:B,MATCH(B118,[239]EQUIPOS!A:A,0)),"")</f>
        <v/>
      </c>
      <c r="E118" s="78"/>
      <c r="F118" s="78"/>
      <c r="G118" s="78"/>
      <c r="H118" s="122"/>
      <c r="I118" s="123"/>
      <c r="J118" s="122"/>
      <c r="K118" s="113" t="str">
        <f>IFERROR(INDEX([239]EQUIPOS!C:C,MATCH(B118,[239]EQUIPOS!A:A,0)),"")</f>
        <v/>
      </c>
      <c r="L118" s="124"/>
      <c r="M118" s="115" t="str">
        <f>IFERROR(IF(D118="HERRAMIENTA MENOR (% M.O)",P157,INDEX([239]EQUIPOS!D:D,MATCH(B118,[239]EQUIPOS!A:A,0))),"")</f>
        <v/>
      </c>
      <c r="N118" s="125"/>
      <c r="O118" s="126"/>
      <c r="P118" s="127" t="str">
        <f t="shared" si="3"/>
        <v xml:space="preserve"> </v>
      </c>
      <c r="Q118" s="119"/>
      <c r="R118" s="4"/>
    </row>
    <row r="119" spans="1:18" ht="15.75" thickBot="1">
      <c r="A119" s="1">
        <f t="shared" si="4"/>
        <v>0</v>
      </c>
      <c r="B119" s="2"/>
      <c r="C119" s="8"/>
      <c r="D119" s="128" t="s">
        <v>24</v>
      </c>
      <c r="E119" s="129"/>
      <c r="F119" s="129"/>
      <c r="G119" s="129"/>
      <c r="H119" s="129"/>
      <c r="I119" s="129"/>
      <c r="J119" s="129"/>
      <c r="K119" s="129"/>
      <c r="L119" s="129"/>
      <c r="M119" s="129"/>
      <c r="N119" s="129"/>
      <c r="O119" s="130"/>
      <c r="P119" s="131">
        <f>SUM(P113:P118)</f>
        <v>2639.74</v>
      </c>
      <c r="Q119" s="132"/>
      <c r="R119" s="4"/>
    </row>
    <row r="120" spans="1:18" ht="15.75" thickBot="1">
      <c r="A120" s="1">
        <f t="shared" si="4"/>
        <v>0</v>
      </c>
      <c r="B120" s="2"/>
      <c r="C120" s="8"/>
      <c r="D120" s="74" t="s">
        <v>25</v>
      </c>
      <c r="E120" s="37"/>
      <c r="F120" s="37"/>
      <c r="G120" s="37"/>
      <c r="H120" s="37"/>
      <c r="I120" s="37"/>
      <c r="J120" s="37"/>
      <c r="K120" s="37"/>
      <c r="L120" s="37"/>
      <c r="M120" s="37"/>
      <c r="N120" s="37"/>
      <c r="O120" s="37"/>
      <c r="P120" s="99"/>
      <c r="Q120" s="100"/>
      <c r="R120" s="4"/>
    </row>
    <row r="121" spans="1:18">
      <c r="A121" s="1">
        <f t="shared" si="4"/>
        <v>0</v>
      </c>
      <c r="B121" s="2"/>
      <c r="C121" s="8"/>
      <c r="D121" s="101" t="s">
        <v>14</v>
      </c>
      <c r="E121" s="133"/>
      <c r="F121" s="133"/>
      <c r="G121" s="133"/>
      <c r="H121" s="133"/>
      <c r="I121" s="133"/>
      <c r="J121" s="133"/>
      <c r="K121" s="105"/>
      <c r="L121" s="134" t="s">
        <v>15</v>
      </c>
      <c r="M121" s="106" t="s">
        <v>16</v>
      </c>
      <c r="N121" s="104" t="s">
        <v>26</v>
      </c>
      <c r="O121" s="105"/>
      <c r="P121" s="107" t="s">
        <v>22</v>
      </c>
      <c r="Q121" s="108"/>
      <c r="R121" s="4"/>
    </row>
    <row r="122" spans="1:18">
      <c r="A122" s="1">
        <f t="shared" si="4"/>
        <v>0</v>
      </c>
      <c r="B122" s="2"/>
      <c r="C122" s="8"/>
      <c r="D122" s="109" t="str">
        <f>IFERROR(INDEX([239]MATERIALES!C:C,MATCH(B122,[239]MATERIALES!B:B,0)),"")</f>
        <v/>
      </c>
      <c r="E122" s="135"/>
      <c r="F122" s="135"/>
      <c r="G122" s="135"/>
      <c r="H122" s="135"/>
      <c r="I122" s="135"/>
      <c r="J122" s="135"/>
      <c r="K122" s="136"/>
      <c r="L122" s="137" t="str">
        <f>IFERROR(INDEX([239]MATERIALES!D:D,MATCH(B122,[239]MATERIALES!B:B,0)),"")</f>
        <v/>
      </c>
      <c r="M122" s="138"/>
      <c r="N122" s="139" t="str">
        <f>IFERROR(INDEX([239]MATERIALES!P:P,MATCH(B122,[239]MATERIALES!B:B,0)),"")</f>
        <v/>
      </c>
      <c r="O122" s="140"/>
      <c r="P122" s="118" t="str">
        <f>IFERROR(ROUND(N122*M122,2),"")</f>
        <v/>
      </c>
      <c r="Q122" s="119"/>
      <c r="R122" s="4"/>
    </row>
    <row r="123" spans="1:18">
      <c r="A123" s="1">
        <f t="shared" si="4"/>
        <v>0</v>
      </c>
      <c r="B123" s="2"/>
      <c r="C123" s="8"/>
      <c r="D123" s="109" t="str">
        <f>IFERROR(INDEX([239]MATERIALES!C:C,MATCH(B123,[239]MATERIALES!B:B,0)),"")</f>
        <v/>
      </c>
      <c r="E123" s="135"/>
      <c r="F123" s="135"/>
      <c r="G123" s="135"/>
      <c r="H123" s="135"/>
      <c r="I123" s="135"/>
      <c r="J123" s="135"/>
      <c r="K123" s="136"/>
      <c r="L123" s="137" t="str">
        <f>IFERROR(INDEX([239]MATERIALES!D:D,MATCH(B123,[239]MATERIALES!B:B,0)),"")</f>
        <v/>
      </c>
      <c r="M123" s="138"/>
      <c r="N123" s="139" t="str">
        <f>IFERROR(INDEX([239]MATERIALES!P:P,MATCH(B123,[239]MATERIALES!B:B,0)),"")</f>
        <v/>
      </c>
      <c r="O123" s="140"/>
      <c r="P123" s="118" t="str">
        <f>IFERROR(ROUND(N123*M123,2),"")</f>
        <v/>
      </c>
      <c r="Q123" s="119"/>
      <c r="R123" s="4"/>
    </row>
    <row r="124" spans="1:18">
      <c r="A124" s="1">
        <f t="shared" si="4"/>
        <v>0</v>
      </c>
      <c r="B124" s="2"/>
      <c r="C124" s="8"/>
      <c r="D124" s="109" t="str">
        <f>IFERROR(INDEX([239]MATERIALES!C:C,MATCH(B124,[239]MATERIALES!B:B,0)),"")</f>
        <v/>
      </c>
      <c r="E124" s="110"/>
      <c r="F124" s="110"/>
      <c r="G124" s="110"/>
      <c r="H124" s="110"/>
      <c r="I124" s="110"/>
      <c r="J124" s="110"/>
      <c r="K124" s="111"/>
      <c r="L124" s="137" t="str">
        <f>IFERROR(INDEX([239]MATERIALES!D:D,MATCH(B124,[239]MATERIALES!B:B,0)),"")</f>
        <v/>
      </c>
      <c r="M124" s="138"/>
      <c r="N124" s="139" t="str">
        <f>IFERROR(INDEX([239]MATERIALES!P:P,MATCH(B124,[239]MATERIALES!B:B,0)),"")</f>
        <v/>
      </c>
      <c r="O124" s="140"/>
      <c r="P124" s="118" t="str">
        <f>IFERROR(ROUND(N124*M124,2),"")</f>
        <v/>
      </c>
      <c r="Q124" s="119"/>
      <c r="R124" s="4"/>
    </row>
    <row r="125" spans="1:18">
      <c r="A125" s="1">
        <f t="shared" si="4"/>
        <v>0</v>
      </c>
      <c r="B125" s="2"/>
      <c r="C125" s="8"/>
      <c r="D125" s="109" t="str">
        <f>IFERROR(INDEX([239]MATERIALES!C:C,MATCH(B125,[239]MATERIALES!B:B,0)),"")</f>
        <v/>
      </c>
      <c r="E125" s="110"/>
      <c r="F125" s="110"/>
      <c r="G125" s="110"/>
      <c r="H125" s="110"/>
      <c r="I125" s="110"/>
      <c r="J125" s="110"/>
      <c r="K125" s="111"/>
      <c r="L125" s="137" t="str">
        <f>IFERROR(INDEX([239]MATERIALES!D:D,MATCH(B125,[239]MATERIALES!B:B,0)),"")</f>
        <v/>
      </c>
      <c r="M125" s="138"/>
      <c r="N125" s="139" t="str">
        <f>IFERROR(INDEX([239]MATERIALES!P:P,MATCH(B125,[239]MATERIALES!B:B,0)),"")</f>
        <v/>
      </c>
      <c r="O125" s="140"/>
      <c r="P125" s="118" t="str">
        <f>IFERROR(ROUND(N125*M125,2),"")</f>
        <v/>
      </c>
      <c r="Q125" s="119"/>
      <c r="R125" s="4"/>
    </row>
    <row r="126" spans="1:18">
      <c r="A126" s="1">
        <f t="shared" si="4"/>
        <v>0</v>
      </c>
      <c r="B126" s="2"/>
      <c r="C126" s="8"/>
      <c r="D126" s="109" t="str">
        <f>IFERROR(INDEX([239]MATERIALES!C:C,MATCH(B126,[239]MATERIALES!B:B,0)),"")</f>
        <v/>
      </c>
      <c r="E126" s="110"/>
      <c r="F126" s="110"/>
      <c r="G126" s="110"/>
      <c r="H126" s="110"/>
      <c r="I126" s="110"/>
      <c r="J126" s="110"/>
      <c r="K126" s="111"/>
      <c r="L126" s="137" t="str">
        <f>IFERROR(INDEX([239]MATERIALES!D:D,MATCH(B126,[239]MATERIALES!B:B,0)),"")</f>
        <v/>
      </c>
      <c r="M126" s="138"/>
      <c r="N126" s="139" t="str">
        <f>IFERROR(INDEX([239]MATERIALES!P:P,MATCH(B126,[239]MATERIALES!B:B,0)),"")</f>
        <v/>
      </c>
      <c r="O126" s="140"/>
      <c r="P126" s="118" t="str">
        <f t="shared" ref="P126:P135" si="5">IFERROR(ROUND(N126*M126,2),"")</f>
        <v/>
      </c>
      <c r="Q126" s="119"/>
      <c r="R126" s="4"/>
    </row>
    <row r="127" spans="1:18">
      <c r="A127" s="1">
        <f t="shared" si="4"/>
        <v>0</v>
      </c>
      <c r="B127" s="2"/>
      <c r="C127" s="8"/>
      <c r="D127" s="109" t="str">
        <f>IFERROR(INDEX([239]MATERIALES!C:C,MATCH(B127,[239]MATERIALES!B:B,0)),"")</f>
        <v/>
      </c>
      <c r="E127" s="110"/>
      <c r="F127" s="110"/>
      <c r="G127" s="110"/>
      <c r="H127" s="110"/>
      <c r="I127" s="110"/>
      <c r="J127" s="110"/>
      <c r="K127" s="111"/>
      <c r="L127" s="137" t="str">
        <f>IFERROR(INDEX([239]MATERIALES!D:D,MATCH(B127,[239]MATERIALES!B:B,0)),"")</f>
        <v/>
      </c>
      <c r="M127" s="138"/>
      <c r="N127" s="139" t="str">
        <f>IFERROR(INDEX([239]MATERIALES!P:P,MATCH(B127,[239]MATERIALES!B:B,0)),"")</f>
        <v/>
      </c>
      <c r="O127" s="140"/>
      <c r="P127" s="118" t="str">
        <f t="shared" si="5"/>
        <v/>
      </c>
      <c r="Q127" s="119"/>
      <c r="R127" s="4"/>
    </row>
    <row r="128" spans="1:18">
      <c r="A128" s="1">
        <f t="shared" si="4"/>
        <v>0</v>
      </c>
      <c r="B128" s="2"/>
      <c r="C128" s="8"/>
      <c r="D128" s="109" t="str">
        <f>IFERROR(INDEX([239]MATERIALES!C:C,MATCH(B128,[239]MATERIALES!B:B,0)),"")</f>
        <v/>
      </c>
      <c r="E128" s="110"/>
      <c r="F128" s="110"/>
      <c r="G128" s="110"/>
      <c r="H128" s="110"/>
      <c r="I128" s="110"/>
      <c r="J128" s="110"/>
      <c r="K128" s="111"/>
      <c r="L128" s="137" t="str">
        <f>IFERROR(INDEX([239]MATERIALES!D:D,MATCH(B128,[239]MATERIALES!B:B,0)),"")</f>
        <v/>
      </c>
      <c r="M128" s="138"/>
      <c r="N128" s="139" t="str">
        <f>IFERROR(INDEX([239]MATERIALES!P:P,MATCH(B128,[239]MATERIALES!B:B,0)),"")</f>
        <v/>
      </c>
      <c r="O128" s="140"/>
      <c r="P128" s="118" t="str">
        <f t="shared" si="5"/>
        <v/>
      </c>
      <c r="Q128" s="119"/>
      <c r="R128" s="4"/>
    </row>
    <row r="129" spans="1:18">
      <c r="A129" s="1">
        <f t="shared" si="4"/>
        <v>0</v>
      </c>
      <c r="B129" s="2"/>
      <c r="C129" s="8"/>
      <c r="D129" s="109" t="str">
        <f>IFERROR(INDEX([239]MATERIALES!C:C,MATCH(B129,[239]MATERIALES!B:B,0)),"")</f>
        <v/>
      </c>
      <c r="E129" s="110"/>
      <c r="F129" s="110"/>
      <c r="G129" s="110"/>
      <c r="H129" s="110"/>
      <c r="I129" s="110"/>
      <c r="J129" s="110"/>
      <c r="K129" s="111"/>
      <c r="L129" s="137" t="str">
        <f>IFERROR(INDEX([239]MATERIALES!D:D,MATCH(B129,[239]MATERIALES!B:B,0)),"")</f>
        <v/>
      </c>
      <c r="M129" s="138"/>
      <c r="N129" s="139" t="str">
        <f>IFERROR(INDEX([239]MATERIALES!P:P,MATCH(B129,[239]MATERIALES!B:B,0)),"")</f>
        <v/>
      </c>
      <c r="O129" s="140"/>
      <c r="P129" s="118" t="str">
        <f t="shared" si="5"/>
        <v/>
      </c>
      <c r="Q129" s="119"/>
      <c r="R129" s="4"/>
    </row>
    <row r="130" spans="1:18">
      <c r="A130" s="1">
        <f t="shared" si="4"/>
        <v>0</v>
      </c>
      <c r="B130" s="2"/>
      <c r="C130" s="8"/>
      <c r="D130" s="109" t="str">
        <f>IFERROR(INDEX([239]MATERIALES!C:C,MATCH(B130,[239]MATERIALES!B:B,0)),"")</f>
        <v/>
      </c>
      <c r="E130" s="110"/>
      <c r="F130" s="110"/>
      <c r="G130" s="110"/>
      <c r="H130" s="110"/>
      <c r="I130" s="110"/>
      <c r="J130" s="110"/>
      <c r="K130" s="111"/>
      <c r="L130" s="137" t="str">
        <f>IFERROR(INDEX([239]MATERIALES!D:D,MATCH(B130,[239]MATERIALES!B:B,0)),"")</f>
        <v/>
      </c>
      <c r="M130" s="138"/>
      <c r="N130" s="139" t="str">
        <f>IFERROR(INDEX([239]MATERIALES!P:P,MATCH(B130,[239]MATERIALES!B:B,0)),"")</f>
        <v/>
      </c>
      <c r="O130" s="140"/>
      <c r="P130" s="118" t="str">
        <f t="shared" si="5"/>
        <v/>
      </c>
      <c r="Q130" s="119"/>
      <c r="R130" s="4"/>
    </row>
    <row r="131" spans="1:18">
      <c r="A131" s="1">
        <f t="shared" si="4"/>
        <v>0</v>
      </c>
      <c r="B131" s="2"/>
      <c r="C131" s="8"/>
      <c r="D131" s="109" t="str">
        <f>IFERROR(INDEX([239]MATERIALES!C:C,MATCH(B131,[239]MATERIALES!B:B,0)),"")</f>
        <v/>
      </c>
      <c r="E131" s="110"/>
      <c r="F131" s="110"/>
      <c r="G131" s="110"/>
      <c r="H131" s="110"/>
      <c r="I131" s="110"/>
      <c r="J131" s="110"/>
      <c r="K131" s="111"/>
      <c r="L131" s="137" t="str">
        <f>IFERROR(INDEX([239]MATERIALES!D:D,MATCH(B131,[239]MATERIALES!B:B,0)),"")</f>
        <v/>
      </c>
      <c r="M131" s="138"/>
      <c r="N131" s="139" t="str">
        <f>IFERROR(INDEX([239]MATERIALES!P:P,MATCH(B131,[239]MATERIALES!B:B,0)),"")</f>
        <v/>
      </c>
      <c r="O131" s="140"/>
      <c r="P131" s="118" t="str">
        <f t="shared" si="5"/>
        <v/>
      </c>
      <c r="Q131" s="119"/>
      <c r="R131" s="4"/>
    </row>
    <row r="132" spans="1:18">
      <c r="A132" s="1">
        <f t="shared" si="4"/>
        <v>0</v>
      </c>
      <c r="B132" s="2"/>
      <c r="C132" s="8"/>
      <c r="D132" s="109" t="str">
        <f>IFERROR(INDEX([239]MATERIALES!C:C,MATCH(B132,[239]MATERIALES!B:B,0)),"")</f>
        <v/>
      </c>
      <c r="E132" s="110"/>
      <c r="F132" s="110"/>
      <c r="G132" s="110"/>
      <c r="H132" s="110"/>
      <c r="I132" s="110"/>
      <c r="J132" s="110"/>
      <c r="K132" s="111"/>
      <c r="L132" s="137" t="str">
        <f>IFERROR(INDEX([239]MATERIALES!D:D,MATCH(B132,[239]MATERIALES!B:B,0)),"")</f>
        <v/>
      </c>
      <c r="M132" s="138"/>
      <c r="N132" s="139" t="str">
        <f>IFERROR(INDEX([239]MATERIALES!P:P,MATCH(B132,[239]MATERIALES!B:B,0)),"")</f>
        <v/>
      </c>
      <c r="O132" s="140"/>
      <c r="P132" s="118" t="str">
        <f t="shared" si="5"/>
        <v/>
      </c>
      <c r="Q132" s="119"/>
      <c r="R132" s="4"/>
    </row>
    <row r="133" spans="1:18">
      <c r="A133" s="1">
        <f t="shared" si="4"/>
        <v>0</v>
      </c>
      <c r="B133" s="2"/>
      <c r="C133" s="8"/>
      <c r="D133" s="109" t="str">
        <f>IFERROR(INDEX([239]MATERIALES!C:C,MATCH(B133,[239]MATERIALES!B:B,0)),"")</f>
        <v/>
      </c>
      <c r="E133" s="110"/>
      <c r="F133" s="110"/>
      <c r="G133" s="110"/>
      <c r="H133" s="110"/>
      <c r="I133" s="110"/>
      <c r="J133" s="110"/>
      <c r="K133" s="111"/>
      <c r="L133" s="137" t="str">
        <f>IFERROR(INDEX([239]MATERIALES!D:D,MATCH(B133,[239]MATERIALES!B:B,0)),"")</f>
        <v/>
      </c>
      <c r="M133" s="138"/>
      <c r="N133" s="139" t="str">
        <f>IFERROR(INDEX([239]MATERIALES!P:P,MATCH(B133,[239]MATERIALES!B:B,0)),"")</f>
        <v/>
      </c>
      <c r="O133" s="140"/>
      <c r="P133" s="118" t="str">
        <f t="shared" si="5"/>
        <v/>
      </c>
      <c r="Q133" s="119"/>
      <c r="R133" s="4"/>
    </row>
    <row r="134" spans="1:18">
      <c r="A134" s="1">
        <f t="shared" si="4"/>
        <v>0</v>
      </c>
      <c r="B134" s="2"/>
      <c r="C134" s="8"/>
      <c r="D134" s="109" t="str">
        <f>IFERROR(INDEX([239]MATERIALES!C:C,MATCH(B134,[239]MATERIALES!B:B,0)),"")</f>
        <v/>
      </c>
      <c r="E134" s="110"/>
      <c r="F134" s="110"/>
      <c r="G134" s="110"/>
      <c r="H134" s="110"/>
      <c r="I134" s="110"/>
      <c r="J134" s="110"/>
      <c r="K134" s="111"/>
      <c r="L134" s="137" t="str">
        <f>IFERROR(INDEX([239]MATERIALES!D:D,MATCH(B134,[239]MATERIALES!B:B,0)),"")</f>
        <v/>
      </c>
      <c r="M134" s="138"/>
      <c r="N134" s="139" t="str">
        <f>IFERROR(INDEX([239]MATERIALES!P:P,MATCH(B134,[239]MATERIALES!B:B,0)),"")</f>
        <v/>
      </c>
      <c r="O134" s="140"/>
      <c r="P134" s="118" t="str">
        <f t="shared" si="5"/>
        <v/>
      </c>
      <c r="Q134" s="119"/>
      <c r="R134" s="4"/>
    </row>
    <row r="135" spans="1:18">
      <c r="A135" s="1">
        <f t="shared" si="4"/>
        <v>0</v>
      </c>
      <c r="B135" s="2"/>
      <c r="C135" s="8"/>
      <c r="D135" s="109" t="str">
        <f>IFERROR(INDEX([239]MATERIALES!C:C,MATCH(B135,[239]MATERIALES!B:B,0)),"")</f>
        <v/>
      </c>
      <c r="E135" s="110"/>
      <c r="F135" s="110"/>
      <c r="G135" s="110"/>
      <c r="H135" s="110"/>
      <c r="I135" s="110"/>
      <c r="J135" s="110"/>
      <c r="K135" s="111"/>
      <c r="L135" s="137" t="str">
        <f>IFERROR(INDEX([239]MATERIALES!D:D,MATCH(B135,[239]MATERIALES!B:B,0)),"")</f>
        <v/>
      </c>
      <c r="M135" s="138"/>
      <c r="N135" s="139" t="str">
        <f>IFERROR(INDEX([239]MATERIALES!P:P,MATCH(B135,[239]MATERIALES!B:B,0)),"")</f>
        <v/>
      </c>
      <c r="O135" s="140"/>
      <c r="P135" s="118" t="str">
        <f t="shared" si="5"/>
        <v/>
      </c>
      <c r="Q135" s="119"/>
      <c r="R135" s="4"/>
    </row>
    <row r="136" spans="1:18" ht="15.75" thickBot="1">
      <c r="A136" s="1">
        <f t="shared" si="4"/>
        <v>0</v>
      </c>
      <c r="B136" s="2"/>
      <c r="C136" s="8"/>
      <c r="D136" s="109" t="s">
        <v>28</v>
      </c>
      <c r="E136" s="110"/>
      <c r="F136" s="110"/>
      <c r="G136" s="110"/>
      <c r="H136" s="110"/>
      <c r="I136" s="110"/>
      <c r="J136" s="110"/>
      <c r="K136" s="111"/>
      <c r="L136" s="137" t="s">
        <v>29</v>
      </c>
      <c r="M136" s="138">
        <v>0.05</v>
      </c>
      <c r="N136" s="139">
        <f>SUM(P122:P135)</f>
        <v>0</v>
      </c>
      <c r="O136" s="140"/>
      <c r="P136" s="118">
        <f>ROUND(N136*M136,2)</f>
        <v>0</v>
      </c>
      <c r="Q136" s="119"/>
      <c r="R136" s="4"/>
    </row>
    <row r="137" spans="1:18" ht="15.75" thickBot="1">
      <c r="A137" s="1">
        <f t="shared" si="4"/>
        <v>0</v>
      </c>
      <c r="B137" s="2"/>
      <c r="C137" s="8"/>
      <c r="D137" s="128" t="s">
        <v>24</v>
      </c>
      <c r="E137" s="129"/>
      <c r="F137" s="129"/>
      <c r="G137" s="129"/>
      <c r="H137" s="129"/>
      <c r="I137" s="129"/>
      <c r="J137" s="129"/>
      <c r="K137" s="129"/>
      <c r="L137" s="129"/>
      <c r="M137" s="129"/>
      <c r="N137" s="129"/>
      <c r="O137" s="130"/>
      <c r="P137" s="131">
        <f>SUM(P122:P136)</f>
        <v>0</v>
      </c>
      <c r="Q137" s="119"/>
      <c r="R137" s="4"/>
    </row>
    <row r="138" spans="1:18" ht="15.75" thickBot="1">
      <c r="A138" s="1">
        <f t="shared" si="4"/>
        <v>0</v>
      </c>
      <c r="B138" s="2"/>
      <c r="C138" s="8"/>
      <c r="D138" s="74" t="s">
        <v>30</v>
      </c>
      <c r="E138" s="37"/>
      <c r="F138" s="37"/>
      <c r="G138" s="37"/>
      <c r="H138" s="37"/>
      <c r="I138" s="37"/>
      <c r="J138" s="37"/>
      <c r="K138" s="37"/>
      <c r="L138" s="37"/>
      <c r="M138" s="37"/>
      <c r="N138" s="37"/>
      <c r="O138" s="37"/>
      <c r="P138" s="99"/>
      <c r="Q138" s="100"/>
      <c r="R138" s="4"/>
    </row>
    <row r="139" spans="1:18">
      <c r="A139" s="1">
        <f t="shared" si="4"/>
        <v>0</v>
      </c>
      <c r="B139" s="2"/>
      <c r="C139" s="8"/>
      <c r="D139" s="101" t="s">
        <v>31</v>
      </c>
      <c r="E139" s="133"/>
      <c r="F139" s="133"/>
      <c r="G139" s="133"/>
      <c r="H139" s="133"/>
      <c r="I139" s="133"/>
      <c r="J139" s="133"/>
      <c r="K139" s="106" t="s">
        <v>32</v>
      </c>
      <c r="L139" s="141" t="s">
        <v>33</v>
      </c>
      <c r="M139" s="106" t="s">
        <v>34</v>
      </c>
      <c r="N139" s="104" t="s">
        <v>20</v>
      </c>
      <c r="O139" s="105"/>
      <c r="P139" s="107" t="s">
        <v>22</v>
      </c>
      <c r="Q139" s="108"/>
      <c r="R139" s="4"/>
    </row>
    <row r="140" spans="1:18">
      <c r="A140" s="1">
        <f t="shared" si="4"/>
        <v>0</v>
      </c>
      <c r="B140" s="2" t="s">
        <v>259</v>
      </c>
      <c r="C140" s="8"/>
      <c r="D140" s="142" t="s">
        <v>466</v>
      </c>
      <c r="E140" s="143"/>
      <c r="F140" s="143"/>
      <c r="G140" s="143"/>
      <c r="H140" s="143"/>
      <c r="I140" s="143"/>
      <c r="J140" s="143"/>
      <c r="K140" s="144">
        <v>0.2</v>
      </c>
      <c r="L140" s="145">
        <v>5</v>
      </c>
      <c r="M140" s="146" t="s">
        <v>467</v>
      </c>
      <c r="N140" s="139">
        <v>2300</v>
      </c>
      <c r="O140" s="147"/>
      <c r="P140" s="148">
        <f>+N140*L140*K140</f>
        <v>2300</v>
      </c>
      <c r="Q140" s="119"/>
      <c r="R140" s="4"/>
    </row>
    <row r="141" spans="1:18">
      <c r="A141" s="1">
        <f t="shared" si="4"/>
        <v>0</v>
      </c>
      <c r="B141" s="2"/>
      <c r="C141" s="8"/>
      <c r="D141" s="142" t="str">
        <f>IFERROR(INDEX([239]TRANSPORTES!B:B,MATCH(B141,[239]TRANSPORTES!A:A,0)),"")</f>
        <v/>
      </c>
      <c r="E141" s="143"/>
      <c r="F141" s="143"/>
      <c r="G141" s="143"/>
      <c r="H141" s="143"/>
      <c r="I141" s="143"/>
      <c r="J141" s="143"/>
      <c r="K141" s="144"/>
      <c r="L141" s="145"/>
      <c r="M141" s="146" t="str">
        <f>IFERROR(INDEX([239]TRANSPORTES!C:C,MATCH(B141,[239]TRANSPORTES!A:A,0)),"")</f>
        <v/>
      </c>
      <c r="N141" s="139" t="str">
        <f>IFERROR(INDEX([239]TRANSPORTES!D:D,MATCH(B141,[239]TRANSPORTES!A:A,0)),"")</f>
        <v/>
      </c>
      <c r="O141" s="147"/>
      <c r="P141" s="148" t="str">
        <f>IFERROR(ROUND(K141*N141*L141,2),"")</f>
        <v/>
      </c>
      <c r="Q141" s="119"/>
      <c r="R141" s="4"/>
    </row>
    <row r="142" spans="1:18">
      <c r="A142" s="1">
        <f t="shared" si="4"/>
        <v>0</v>
      </c>
      <c r="B142" s="2"/>
      <c r="C142" s="8"/>
      <c r="D142" s="142" t="str">
        <f>IFERROR(INDEX([239]TRANSPORTES!B:B,MATCH(B142,[239]TRANSPORTES!A:A,0)),"")</f>
        <v/>
      </c>
      <c r="E142" s="143"/>
      <c r="F142" s="143"/>
      <c r="G142" s="143"/>
      <c r="H142" s="143"/>
      <c r="I142" s="143"/>
      <c r="J142" s="143"/>
      <c r="K142" s="144"/>
      <c r="L142" s="145"/>
      <c r="M142" s="146" t="str">
        <f>IFERROR(INDEX([239]TRANSPORTES!C:C,MATCH(B142,[239]TRANSPORTES!A:A,0)),"")</f>
        <v/>
      </c>
      <c r="N142" s="139" t="str">
        <f>IFERROR(INDEX([239]TRANSPORTES!D:D,MATCH(B142,[239]TRANSPORTES!A:A,0)),"")</f>
        <v/>
      </c>
      <c r="O142" s="147"/>
      <c r="P142" s="148" t="str">
        <f>IFERROR(ROUND(K142*N142*L142,2),"")</f>
        <v/>
      </c>
      <c r="Q142" s="119"/>
      <c r="R142" s="4"/>
    </row>
    <row r="143" spans="1:18" ht="15.75" thickBot="1">
      <c r="A143" s="1">
        <f t="shared" si="4"/>
        <v>0</v>
      </c>
      <c r="B143" s="2"/>
      <c r="C143" s="8"/>
      <c r="D143" s="142" t="str">
        <f>IFERROR(INDEX([239]TRANSPORTES!B:B,MATCH(B143,[239]TRANSPORTES!A:A,0)),"")</f>
        <v/>
      </c>
      <c r="E143" s="143"/>
      <c r="F143" s="143"/>
      <c r="G143" s="143"/>
      <c r="H143" s="143"/>
      <c r="I143" s="143"/>
      <c r="J143" s="143"/>
      <c r="K143" s="149"/>
      <c r="L143" s="150"/>
      <c r="M143" s="146" t="str">
        <f>IFERROR(INDEX([239]TRANSPORTES!C:C,MATCH(B143,[239]TRANSPORTES!A:A,0)),"")</f>
        <v/>
      </c>
      <c r="N143" s="139" t="str">
        <f>IFERROR(INDEX([239]TRANSPORTES!D:D,MATCH(B143,[239]TRANSPORTES!A:A,0)),"")</f>
        <v/>
      </c>
      <c r="O143" s="147"/>
      <c r="P143" s="148" t="str">
        <f>IFERROR(ROUND(K143*N143*L143,2),"")</f>
        <v/>
      </c>
      <c r="Q143" s="119"/>
      <c r="R143" s="4"/>
    </row>
    <row r="144" spans="1:18" ht="15.75" thickBot="1">
      <c r="A144" s="1">
        <f t="shared" si="4"/>
        <v>0</v>
      </c>
      <c r="B144" s="2"/>
      <c r="C144" s="8"/>
      <c r="D144" s="128" t="s">
        <v>24</v>
      </c>
      <c r="E144" s="129"/>
      <c r="F144" s="129"/>
      <c r="G144" s="129"/>
      <c r="H144" s="129"/>
      <c r="I144" s="129"/>
      <c r="J144" s="129"/>
      <c r="K144" s="129"/>
      <c r="L144" s="129"/>
      <c r="M144" s="129"/>
      <c r="N144" s="129"/>
      <c r="O144" s="130"/>
      <c r="P144" s="151">
        <f>SUM(P140:P143)</f>
        <v>2300</v>
      </c>
      <c r="Q144" s="132"/>
      <c r="R144" s="4"/>
    </row>
    <row r="145" spans="1:18" ht="15.75" thickBot="1">
      <c r="A145" s="1">
        <f t="shared" si="4"/>
        <v>0</v>
      </c>
      <c r="B145" s="2"/>
      <c r="C145" s="8"/>
      <c r="D145" s="74" t="s">
        <v>36</v>
      </c>
      <c r="E145" s="37"/>
      <c r="F145" s="37"/>
      <c r="G145" s="37"/>
      <c r="H145" s="37"/>
      <c r="I145" s="37"/>
      <c r="J145" s="37"/>
      <c r="K145" s="37"/>
      <c r="L145" s="37"/>
      <c r="M145" s="37"/>
      <c r="N145" s="37"/>
      <c r="O145" s="37"/>
      <c r="P145" s="99"/>
      <c r="Q145" s="100"/>
      <c r="R145" s="4"/>
    </row>
    <row r="146" spans="1:18" ht="30">
      <c r="A146" s="1">
        <f t="shared" si="4"/>
        <v>0</v>
      </c>
      <c r="B146" s="2"/>
      <c r="C146" s="8"/>
      <c r="D146" s="101" t="s">
        <v>37</v>
      </c>
      <c r="E146" s="133"/>
      <c r="F146" s="133"/>
      <c r="G146" s="133"/>
      <c r="H146" s="133"/>
      <c r="I146" s="133"/>
      <c r="J146" s="133"/>
      <c r="K146" s="106" t="s">
        <v>38</v>
      </c>
      <c r="L146" s="152" t="s">
        <v>39</v>
      </c>
      <c r="M146" s="153" t="s">
        <v>40</v>
      </c>
      <c r="N146" s="104" t="s">
        <v>21</v>
      </c>
      <c r="O146" s="105"/>
      <c r="P146" s="154" t="s">
        <v>22</v>
      </c>
      <c r="Q146" s="155"/>
      <c r="R146" s="4"/>
    </row>
    <row r="147" spans="1:18">
      <c r="A147" s="1">
        <f t="shared" si="4"/>
        <v>0</v>
      </c>
      <c r="B147" s="2" t="s">
        <v>41</v>
      </c>
      <c r="C147" s="8"/>
      <c r="D147" s="109" t="str">
        <f>IFERROR(INDEX('[239]MANO DE OBRA'!B:B,MATCH(B147,'[239]MANO DE OBRA'!A:A,0)),"")</f>
        <v>OFICIAL</v>
      </c>
      <c r="E147" s="110"/>
      <c r="F147" s="110"/>
      <c r="G147" s="110"/>
      <c r="H147" s="110"/>
      <c r="I147" s="110"/>
      <c r="J147" s="111"/>
      <c r="K147" s="156">
        <f>IFERROR(INDEX('[239]MANO DE OBRA'!D:D,MATCH(B147,'[239]MANO DE OBRA'!A:A,0)),"")</f>
        <v>95930</v>
      </c>
      <c r="L147" s="157">
        <f>+IF(D147&lt;&gt;"",'[239]FACTOR PRESTACIONAL'!$E$21," ")</f>
        <v>1.95</v>
      </c>
      <c r="M147" s="158">
        <f>IFERROR(K147*L147," ")</f>
        <v>187063.5</v>
      </c>
      <c r="N147" s="159">
        <v>16</v>
      </c>
      <c r="O147" s="160"/>
      <c r="P147" s="161">
        <f>IFERROR(ROUND(M147/N147,2)," ")</f>
        <v>11691.47</v>
      </c>
      <c r="Q147" s="162"/>
      <c r="R147" s="4"/>
    </row>
    <row r="148" spans="1:18">
      <c r="A148" s="1">
        <f t="shared" si="4"/>
        <v>0</v>
      </c>
      <c r="B148" s="2" t="s">
        <v>81</v>
      </c>
      <c r="C148" s="8"/>
      <c r="D148" s="109" t="str">
        <f>IFERROR(INDEX('[239]MANO DE OBRA'!B:B,MATCH(B148,'[239]MANO DE OBRA'!A:A,0)),"")</f>
        <v>AYUDANTE (1)</v>
      </c>
      <c r="E148" s="110"/>
      <c r="F148" s="110"/>
      <c r="G148" s="110"/>
      <c r="H148" s="110"/>
      <c r="I148" s="110"/>
      <c r="J148" s="111"/>
      <c r="K148" s="156">
        <f>IFERROR(INDEX('[239]MANO DE OBRA'!D:D,MATCH(B148,'[239]MANO DE OBRA'!A:A,0)),"")</f>
        <v>71433</v>
      </c>
      <c r="L148" s="157">
        <f>+IF(D148&lt;&gt;"",'[239]FACTOR PRESTACIONAL'!$E$21," ")</f>
        <v>1.95</v>
      </c>
      <c r="M148" s="158">
        <f>IFERROR(K148*L148," ")</f>
        <v>139294.35</v>
      </c>
      <c r="N148" s="159">
        <f>+N147</f>
        <v>16</v>
      </c>
      <c r="O148" s="160"/>
      <c r="P148" s="161">
        <f>IFERROR(ROUND(M148/N148,2)," ")</f>
        <v>8705.9</v>
      </c>
      <c r="Q148" s="162"/>
      <c r="R148" s="4"/>
    </row>
    <row r="149" spans="1:18">
      <c r="A149" s="1">
        <f t="shared" si="4"/>
        <v>0</v>
      </c>
      <c r="B149" s="2"/>
      <c r="C149" s="8"/>
      <c r="D149" s="109" t="str">
        <f>IFERROR(INDEX('[239]MANO DE OBRA'!B:B,MATCH(B149,'[239]MANO DE OBRA'!A:A,0)),"")</f>
        <v/>
      </c>
      <c r="E149" s="110"/>
      <c r="F149" s="110"/>
      <c r="G149" s="110"/>
      <c r="H149" s="110"/>
      <c r="I149" s="110"/>
      <c r="J149" s="111"/>
      <c r="K149" s="156" t="str">
        <f>IFERROR(INDEX('[239]MANO DE OBRA'!D:D,MATCH(B149,'[239]MANO DE OBRA'!A:A,0)),"")</f>
        <v/>
      </c>
      <c r="L149" s="157" t="str">
        <f>+IF(D149&lt;&gt;"",'[239]FACTOR PRESTACIONAL'!$E$21," ")</f>
        <v xml:space="preserve"> </v>
      </c>
      <c r="M149" s="158" t="str">
        <f>IFERROR(K149*L149," ")</f>
        <v xml:space="preserve"> </v>
      </c>
      <c r="N149" s="159"/>
      <c r="O149" s="160"/>
      <c r="P149" s="161" t="str">
        <f>IFERROR(ROUND(M149/N149,2)," ")</f>
        <v xml:space="preserve"> </v>
      </c>
      <c r="Q149" s="162"/>
      <c r="R149" s="4"/>
    </row>
    <row r="150" spans="1:18">
      <c r="A150" s="1">
        <f t="shared" si="4"/>
        <v>0</v>
      </c>
      <c r="B150" s="2"/>
      <c r="C150" s="8"/>
      <c r="D150" s="109" t="str">
        <f>IFERROR(INDEX('[239]MANO DE OBRA'!B:B,MATCH(B150,'[239]MANO DE OBRA'!A:A,0)),"")</f>
        <v/>
      </c>
      <c r="E150" s="110"/>
      <c r="F150" s="110"/>
      <c r="G150" s="110"/>
      <c r="H150" s="110"/>
      <c r="I150" s="110"/>
      <c r="J150" s="111"/>
      <c r="K150" s="156" t="str">
        <f>IFERROR(INDEX('[239]MANO DE OBRA'!D:D,MATCH(B150,'[239]MANO DE OBRA'!A:A,0)),"")</f>
        <v/>
      </c>
      <c r="L150" s="157" t="str">
        <f>+IF(D150&lt;&gt;"",'[239]FACTOR PRESTACIONAL'!$E$21," ")</f>
        <v xml:space="preserve"> </v>
      </c>
      <c r="M150" s="158" t="str">
        <f>IFERROR(K150*L150," ")</f>
        <v xml:space="preserve"> </v>
      </c>
      <c r="N150" s="159"/>
      <c r="O150" s="160"/>
      <c r="P150" s="161" t="str">
        <f>IFERROR(ROUND(M150/N150,2)," ")</f>
        <v xml:space="preserve"> </v>
      </c>
      <c r="Q150" s="162"/>
      <c r="R150" s="4"/>
    </row>
    <row r="151" spans="1:18" ht="15.75" thickBot="1">
      <c r="A151" s="1">
        <f t="shared" si="4"/>
        <v>0</v>
      </c>
      <c r="B151" s="2"/>
      <c r="C151" s="8"/>
      <c r="D151" s="109" t="str">
        <f>IFERROR(INDEX('[239]MANO DE OBRA'!B:B,MATCH(B151,'[239]MANO DE OBRA'!A:A,0)),"")</f>
        <v/>
      </c>
      <c r="E151" s="110"/>
      <c r="F151" s="110"/>
      <c r="G151" s="110"/>
      <c r="H151" s="110"/>
      <c r="I151" s="110"/>
      <c r="J151" s="111"/>
      <c r="K151" s="156" t="str">
        <f>IFERROR(INDEX('[239]MANO DE OBRA'!D:D,MATCH(B151,'[239]MANO DE OBRA'!A:A,0)),"")</f>
        <v/>
      </c>
      <c r="L151" s="157" t="str">
        <f>+IF(D151&lt;&gt;"",'[239]FACTOR PRESTACIONAL'!$E$21," ")</f>
        <v xml:space="preserve"> </v>
      </c>
      <c r="M151" s="158" t="str">
        <f>IFERROR(K151*L151," ")</f>
        <v xml:space="preserve"> </v>
      </c>
      <c r="N151" s="159"/>
      <c r="O151" s="160"/>
      <c r="P151" s="161" t="str">
        <f>IFERROR(ROUND(M151/N151,2)," ")</f>
        <v xml:space="preserve"> </v>
      </c>
      <c r="Q151" s="119"/>
      <c r="R151" s="4"/>
    </row>
    <row r="152" spans="1:18" ht="15.75" thickBot="1">
      <c r="A152" s="1">
        <f t="shared" si="4"/>
        <v>0</v>
      </c>
      <c r="B152" s="2"/>
      <c r="C152" s="8"/>
      <c r="D152" s="128" t="s">
        <v>24</v>
      </c>
      <c r="E152" s="129"/>
      <c r="F152" s="129"/>
      <c r="G152" s="129"/>
      <c r="H152" s="129"/>
      <c r="I152" s="129"/>
      <c r="J152" s="129"/>
      <c r="K152" s="129"/>
      <c r="L152" s="129"/>
      <c r="M152" s="129"/>
      <c r="N152" s="129"/>
      <c r="O152" s="130"/>
      <c r="P152" s="131">
        <f>SUM(P147:P151)</f>
        <v>20397.37</v>
      </c>
      <c r="Q152" s="119"/>
      <c r="R152" s="4"/>
    </row>
    <row r="153" spans="1:18" ht="15.75" thickBot="1">
      <c r="A153" s="1">
        <f t="shared" si="4"/>
        <v>0</v>
      </c>
      <c r="B153" s="2"/>
      <c r="C153" s="8"/>
      <c r="D153" s="87"/>
      <c r="E153" s="20"/>
      <c r="F153" s="20"/>
      <c r="G153" s="20"/>
      <c r="H153" s="20"/>
      <c r="I153" s="20"/>
      <c r="J153" s="20"/>
      <c r="K153" s="20"/>
      <c r="L153" s="20"/>
      <c r="M153" s="20"/>
      <c r="N153" s="20"/>
      <c r="O153" s="20"/>
      <c r="P153" s="88"/>
      <c r="Q153" s="13"/>
      <c r="R153" s="4"/>
    </row>
    <row r="154" spans="1:18" ht="15.75" thickBot="1">
      <c r="A154" s="1"/>
      <c r="B154" s="2"/>
      <c r="C154" s="8"/>
      <c r="D154" s="163" t="s">
        <v>43</v>
      </c>
      <c r="E154" s="164"/>
      <c r="F154" s="164"/>
      <c r="G154" s="164"/>
      <c r="H154" s="164"/>
      <c r="I154" s="164"/>
      <c r="J154" s="164"/>
      <c r="K154" s="164"/>
      <c r="L154" s="164"/>
      <c r="M154" s="164"/>
      <c r="N154" s="164"/>
      <c r="O154" s="165"/>
      <c r="P154" s="166">
        <f>+P152+P144+P137+P119</f>
        <v>25337.11</v>
      </c>
      <c r="Q154" s="167"/>
      <c r="R154" s="168"/>
    </row>
    <row r="155" spans="1:18" ht="15.75" thickBot="1">
      <c r="A155" s="1"/>
      <c r="B155" s="2"/>
      <c r="C155" s="8"/>
      <c r="D155" s="169"/>
      <c r="E155" s="170"/>
      <c r="F155" s="170"/>
      <c r="G155" s="170"/>
      <c r="H155" s="170"/>
      <c r="I155" s="170"/>
      <c r="J155" s="170"/>
      <c r="K155" s="170"/>
      <c r="L155" s="170"/>
      <c r="M155" s="170"/>
      <c r="N155" s="170"/>
      <c r="O155" s="170"/>
      <c r="P155" s="171"/>
      <c r="Q155" s="100"/>
      <c r="R155" s="4"/>
    </row>
    <row r="156" spans="1:18">
      <c r="A156" s="1"/>
      <c r="B156" s="2"/>
      <c r="C156" s="8"/>
      <c r="D156" s="172" t="s">
        <v>73</v>
      </c>
      <c r="E156" s="173"/>
      <c r="F156" s="173"/>
      <c r="G156" s="173"/>
      <c r="H156" s="173"/>
      <c r="I156" s="173"/>
      <c r="J156" s="173"/>
      <c r="K156" s="141"/>
      <c r="L156" s="174"/>
      <c r="M156" s="153" t="s">
        <v>44</v>
      </c>
      <c r="N156" s="175" t="s">
        <v>45</v>
      </c>
      <c r="O156" s="176"/>
      <c r="P156" s="154"/>
      <c r="Q156" s="155"/>
      <c r="R156" s="4"/>
    </row>
    <row r="157" spans="1:18">
      <c r="A157" s="1"/>
      <c r="B157" s="2"/>
      <c r="C157" s="8"/>
      <c r="D157" s="109" t="s">
        <v>65</v>
      </c>
      <c r="E157" s="110"/>
      <c r="F157" s="110"/>
      <c r="G157" s="110"/>
      <c r="H157" s="110"/>
      <c r="I157" s="110"/>
      <c r="J157" s="110"/>
      <c r="K157" s="177"/>
      <c r="L157" s="178"/>
      <c r="M157" s="179">
        <f>+[239]INICIO!$F$10</f>
        <v>0.24</v>
      </c>
      <c r="N157" s="180">
        <f>ROUND(M157*P154,2)</f>
        <v>6080.91</v>
      </c>
      <c r="O157" s="181"/>
      <c r="P157" s="182"/>
      <c r="Q157" s="119"/>
      <c r="R157" s="4"/>
    </row>
    <row r="158" spans="1:18">
      <c r="A158" s="1"/>
      <c r="B158" s="2"/>
      <c r="C158" s="8"/>
      <c r="D158" s="183" t="s">
        <v>67</v>
      </c>
      <c r="E158" s="61"/>
      <c r="F158" s="61"/>
      <c r="G158" s="61"/>
      <c r="H158" s="61"/>
      <c r="I158" s="61"/>
      <c r="J158" s="61"/>
      <c r="K158" s="177"/>
      <c r="L158" s="178"/>
      <c r="M158" s="179">
        <f>+[239]INICIO!$F$11</f>
        <v>0.02</v>
      </c>
      <c r="N158" s="180">
        <f>ROUND(M158*P154,2)</f>
        <v>506.74</v>
      </c>
      <c r="O158" s="181"/>
      <c r="P158" s="182"/>
      <c r="Q158" s="119"/>
      <c r="R158" s="4"/>
    </row>
    <row r="159" spans="1:18" ht="15.75" thickBot="1">
      <c r="A159" s="1"/>
      <c r="B159" s="2"/>
      <c r="C159" s="8"/>
      <c r="D159" s="77" t="s">
        <v>69</v>
      </c>
      <c r="E159" s="78"/>
      <c r="F159" s="78"/>
      <c r="G159" s="78"/>
      <c r="H159" s="78"/>
      <c r="I159" s="78"/>
      <c r="J159" s="78"/>
      <c r="K159" s="184"/>
      <c r="L159" s="185"/>
      <c r="M159" s="179">
        <f>+[239]INICIO!$F$12</f>
        <v>7.0000000000000007E-2</v>
      </c>
      <c r="N159" s="180">
        <f>ROUND(M159*P154,2)</f>
        <v>1773.6</v>
      </c>
      <c r="O159" s="181"/>
      <c r="P159" s="182"/>
      <c r="Q159" s="119"/>
      <c r="R159" s="4"/>
    </row>
    <row r="160" spans="1:18" ht="15.75" thickBot="1">
      <c r="A160" s="1"/>
      <c r="B160" s="2"/>
      <c r="C160" s="8"/>
      <c r="D160" s="128"/>
      <c r="E160" s="129"/>
      <c r="F160" s="129"/>
      <c r="G160" s="129"/>
      <c r="H160" s="129"/>
      <c r="I160" s="129"/>
      <c r="J160" s="129"/>
      <c r="K160" s="129"/>
      <c r="L160" s="129"/>
      <c r="M160" s="129"/>
      <c r="N160" s="129"/>
      <c r="O160" s="130"/>
      <c r="P160" s="131">
        <f>SUM(N157:N159)</f>
        <v>8361.25</v>
      </c>
      <c r="Q160" s="186"/>
      <c r="R160" s="4"/>
    </row>
    <row r="161" spans="1:18" ht="15.75" thickBot="1">
      <c r="A161" s="1"/>
      <c r="B161" s="2"/>
      <c r="C161" s="8"/>
      <c r="D161" s="87"/>
      <c r="E161" s="20"/>
      <c r="F161" s="20"/>
      <c r="G161" s="20"/>
      <c r="H161" s="20"/>
      <c r="I161" s="20"/>
      <c r="J161" s="20"/>
      <c r="K161" s="20"/>
      <c r="L161" s="20"/>
      <c r="M161" s="20"/>
      <c r="N161" s="20"/>
      <c r="O161" s="20"/>
      <c r="P161" s="88"/>
      <c r="Q161" s="13"/>
      <c r="R161" s="4"/>
    </row>
    <row r="162" spans="1:18" ht="15.75" thickBot="1">
      <c r="A162" s="1"/>
      <c r="B162" s="2"/>
      <c r="C162" s="8"/>
      <c r="D162" s="187" t="s">
        <v>46</v>
      </c>
      <c r="E162" s="188"/>
      <c r="F162" s="188"/>
      <c r="G162" s="188"/>
      <c r="H162" s="188"/>
      <c r="I162" s="188"/>
      <c r="J162" s="188"/>
      <c r="K162" s="188"/>
      <c r="L162" s="188"/>
      <c r="M162" s="188"/>
      <c r="N162" s="188"/>
      <c r="O162" s="189"/>
      <c r="P162" s="166">
        <f>ROUND(P160+P154,0)</f>
        <v>33698</v>
      </c>
      <c r="Q162" s="186"/>
      <c r="R162" s="4"/>
    </row>
    <row r="163" spans="1:18">
      <c r="A163" s="1"/>
      <c r="B163" s="2"/>
      <c r="C163" s="8"/>
      <c r="D163" s="80"/>
      <c r="E163" s="81"/>
      <c r="F163" s="81"/>
      <c r="G163" s="81"/>
      <c r="H163" s="81"/>
      <c r="I163" s="81"/>
      <c r="J163" s="81"/>
      <c r="K163" s="81"/>
      <c r="L163" s="81"/>
      <c r="M163" s="81"/>
      <c r="N163" s="81"/>
      <c r="O163" s="81"/>
      <c r="P163" s="82"/>
      <c r="Q163" s="13"/>
      <c r="R163" s="4"/>
    </row>
    <row r="164" spans="1:18">
      <c r="A164" s="1"/>
      <c r="B164" s="2"/>
      <c r="C164" s="8"/>
      <c r="D164" s="87"/>
      <c r="E164" s="20"/>
      <c r="F164" s="20"/>
      <c r="G164" s="20"/>
      <c r="H164" s="20"/>
      <c r="I164" s="20"/>
      <c r="J164" s="20"/>
      <c r="K164" s="20"/>
      <c r="L164" s="20"/>
      <c r="M164" s="20"/>
      <c r="N164" s="20"/>
      <c r="O164" s="20"/>
      <c r="P164" s="88"/>
      <c r="Q164" s="13"/>
      <c r="R164" s="4"/>
    </row>
    <row r="165" spans="1:18">
      <c r="A165" s="1"/>
      <c r="B165" s="2"/>
      <c r="C165" s="8"/>
      <c r="D165" s="87"/>
      <c r="E165" s="20"/>
      <c r="F165" s="20"/>
      <c r="G165" s="20"/>
      <c r="H165" s="20"/>
      <c r="I165" s="20"/>
      <c r="J165" s="20"/>
      <c r="K165" s="20"/>
      <c r="L165" s="20"/>
      <c r="M165" s="20"/>
      <c r="N165" s="20"/>
      <c r="O165" s="20"/>
      <c r="P165" s="88"/>
      <c r="Q165" s="13"/>
      <c r="R165" s="4"/>
    </row>
    <row r="166" spans="1:18">
      <c r="A166" s="1"/>
      <c r="B166" s="2"/>
      <c r="C166" s="8"/>
      <c r="D166" s="87"/>
      <c r="E166" s="20"/>
      <c r="F166" s="20"/>
      <c r="G166" s="20"/>
      <c r="H166" s="20"/>
      <c r="I166" s="20"/>
      <c r="J166" s="20"/>
      <c r="K166" s="20"/>
      <c r="L166" s="20"/>
      <c r="M166" s="20"/>
      <c r="N166" s="20"/>
      <c r="O166" s="20"/>
      <c r="P166" s="88"/>
      <c r="Q166" s="13"/>
      <c r="R166" s="4"/>
    </row>
    <row r="167" spans="1:18">
      <c r="A167" s="1"/>
      <c r="B167" s="2"/>
      <c r="C167" s="8"/>
      <c r="D167" s="219" t="str">
        <f>+[239]INICIO!$B$13</f>
        <v>Proyectó:</v>
      </c>
      <c r="E167" s="49"/>
      <c r="F167" s="49"/>
      <c r="G167" s="49"/>
      <c r="H167" s="49"/>
      <c r="I167" s="49"/>
      <c r="J167" s="49"/>
      <c r="K167" s="20"/>
      <c r="L167" s="69" t="str">
        <f>+[239]INICIO!$B$16</f>
        <v>Aprobó:</v>
      </c>
      <c r="M167" s="49"/>
      <c r="N167" s="49"/>
      <c r="O167" s="49"/>
      <c r="P167" s="88"/>
      <c r="Q167" s="13"/>
      <c r="R167" s="4"/>
    </row>
    <row r="168" spans="1:18">
      <c r="A168" s="1"/>
      <c r="B168" s="2"/>
      <c r="C168" s="8"/>
      <c r="D168" s="87"/>
      <c r="E168" s="20" t="str">
        <f>+Hoja2!C$13</f>
        <v>HELMER EDUARDO BECERRA SANTANDER</v>
      </c>
      <c r="F168" s="20"/>
      <c r="G168" s="20"/>
      <c r="H168" s="20"/>
      <c r="I168" s="20"/>
      <c r="J168" s="20"/>
      <c r="K168" s="20"/>
      <c r="L168" s="20"/>
      <c r="M168" s="20" t="str">
        <f>+Hoja2!$C$16</f>
        <v>JESÚS IVÁN QUIÑONES RUEDA</v>
      </c>
      <c r="N168" s="20"/>
      <c r="O168" s="20"/>
      <c r="P168" s="88"/>
      <c r="Q168" s="190"/>
      <c r="R168" s="4"/>
    </row>
    <row r="169" spans="1:18">
      <c r="A169" s="1"/>
      <c r="B169" s="2"/>
      <c r="C169" s="8"/>
      <c r="D169" s="87"/>
      <c r="E169" s="20" t="str">
        <f>+Hoja2!C$14</f>
        <v>APOYO SEC. DE PLANEACIÓN Y OBRAS PÚBLICAS</v>
      </c>
      <c r="F169" s="20"/>
      <c r="G169" s="20"/>
      <c r="H169" s="20"/>
      <c r="I169" s="20"/>
      <c r="J169" s="20"/>
      <c r="K169" s="20"/>
      <c r="L169" s="20"/>
      <c r="M169" s="20" t="str">
        <f>+Hoja2!$C$17</f>
        <v>SECRETARIO DE PLANEACIÓN Y OBRAS PUBLICAS</v>
      </c>
      <c r="N169" s="20"/>
      <c r="O169" s="20"/>
      <c r="P169" s="88"/>
      <c r="Q169" s="190"/>
      <c r="R169" s="4"/>
    </row>
    <row r="170" spans="1:18">
      <c r="A170" s="1"/>
      <c r="B170" s="2"/>
      <c r="C170" s="8"/>
      <c r="D170" s="68"/>
      <c r="E170" s="20" t="str">
        <f>+Hoja2!C$15</f>
        <v>123769-0701671 NTS</v>
      </c>
      <c r="F170" s="191"/>
      <c r="G170" s="191"/>
      <c r="H170" s="191"/>
      <c r="I170" s="20"/>
      <c r="J170" s="191"/>
      <c r="K170" s="191"/>
      <c r="L170" s="191"/>
      <c r="M170" s="192" t="str">
        <f>+Hoja2!C$18</f>
        <v>A21382020-1090480860</v>
      </c>
      <c r="N170" s="191"/>
      <c r="O170" s="191"/>
      <c r="P170" s="193"/>
      <c r="Q170" s="194"/>
      <c r="R170" s="4"/>
    </row>
    <row r="171" spans="1:18" ht="16.5" thickBot="1">
      <c r="A171" s="1"/>
      <c r="B171" s="2"/>
      <c r="C171" s="8"/>
      <c r="D171" s="195"/>
      <c r="E171" s="150"/>
      <c r="F171" s="150"/>
      <c r="G171" s="150"/>
      <c r="H171" s="150"/>
      <c r="I171" s="150"/>
      <c r="J171" s="150"/>
      <c r="K171" s="150"/>
      <c r="L171" s="150"/>
      <c r="M171" s="150"/>
      <c r="N171" s="150"/>
      <c r="O171" s="150"/>
      <c r="P171" s="196"/>
      <c r="Q171" s="197"/>
      <c r="R171" s="4"/>
    </row>
    <row r="172" spans="1:18" ht="15.75" thickBot="1">
      <c r="A172" s="1"/>
      <c r="B172" s="2"/>
      <c r="C172" s="198"/>
      <c r="D172" s="199"/>
      <c r="E172" s="199"/>
      <c r="F172" s="199"/>
      <c r="G172" s="199"/>
      <c r="H172" s="199"/>
      <c r="I172" s="199"/>
      <c r="J172" s="199"/>
      <c r="K172" s="199"/>
      <c r="L172" s="199"/>
      <c r="M172" s="199"/>
      <c r="N172" s="199"/>
      <c r="O172" s="199"/>
      <c r="P172" s="199"/>
      <c r="Q172" s="200"/>
      <c r="R172" s="4"/>
    </row>
    <row r="173" spans="1:18" ht="16.5" thickTop="1" thickBot="1"/>
    <row r="174" spans="1:18" ht="15.75" thickTop="1">
      <c r="A174" s="1"/>
      <c r="B174" s="2"/>
      <c r="C174" s="5"/>
      <c r="D174" s="6"/>
      <c r="E174" s="6"/>
      <c r="F174" s="6"/>
      <c r="G174" s="6"/>
      <c r="H174" s="6"/>
      <c r="I174" s="6"/>
      <c r="J174" s="6"/>
      <c r="K174" s="6"/>
      <c r="L174" s="6"/>
      <c r="M174" s="6"/>
      <c r="N174" s="6"/>
      <c r="O174" s="6"/>
      <c r="P174" s="6"/>
      <c r="Q174" s="7"/>
      <c r="R174" s="4"/>
    </row>
    <row r="175" spans="1:18" ht="24">
      <c r="A175" s="1"/>
      <c r="B175" s="2"/>
      <c r="C175" s="8"/>
      <c r="D175" s="9" t="str">
        <f>+[239]INICIO!$C$8</f>
        <v>Análisis de Precios Unitarios- Secretaria de Planeación y Obras Publicas de Cubará, Boyacá.</v>
      </c>
      <c r="E175" s="10"/>
      <c r="F175" s="10"/>
      <c r="G175" s="10"/>
      <c r="H175" s="11"/>
      <c r="I175" s="12"/>
      <c r="J175" s="12"/>
      <c r="K175" s="12"/>
      <c r="L175" s="12"/>
      <c r="M175" s="12"/>
      <c r="N175" s="12"/>
      <c r="O175" s="12"/>
      <c r="P175" s="12"/>
      <c r="Q175" s="13"/>
      <c r="R175" s="4"/>
    </row>
    <row r="176" spans="1:18">
      <c r="A176" s="1"/>
      <c r="B176" s="2"/>
      <c r="C176" s="8"/>
      <c r="D176" s="14" t="s">
        <v>0</v>
      </c>
      <c r="E176" s="15" t="str">
        <f>+[239]INICIO!$C$7</f>
        <v>CCE-EICP-FM-14</v>
      </c>
      <c r="F176" s="16"/>
      <c r="G176" s="17" t="str">
        <f>+[239]INICIO!$B$6</f>
        <v>VERSIÓN</v>
      </c>
      <c r="H176" s="14">
        <f>+[239]INICIO!$C$6</f>
        <v>1</v>
      </c>
      <c r="I176" s="12"/>
      <c r="J176" s="12"/>
      <c r="K176" s="12"/>
      <c r="L176" s="12"/>
      <c r="M176" s="12"/>
      <c r="N176" s="12"/>
      <c r="O176" s="12"/>
      <c r="P176" s="12"/>
      <c r="Q176" s="13"/>
      <c r="R176" s="4"/>
    </row>
    <row r="177" spans="1:18">
      <c r="A177" s="1"/>
      <c r="B177" s="2"/>
      <c r="C177" s="8"/>
      <c r="D177" s="18"/>
      <c r="E177" s="19"/>
      <c r="F177" s="18"/>
      <c r="G177" s="19"/>
      <c r="H177" s="12"/>
      <c r="I177" s="12"/>
      <c r="J177" s="12"/>
      <c r="K177" s="12"/>
      <c r="L177" s="12"/>
      <c r="M177" s="12"/>
      <c r="N177" s="12"/>
      <c r="O177" s="12"/>
      <c r="P177" s="12"/>
      <c r="Q177" s="13"/>
      <c r="R177" s="4"/>
    </row>
    <row r="178" spans="1:18" ht="15.75" thickBot="1">
      <c r="A178" s="1"/>
      <c r="B178" s="2"/>
      <c r="C178" s="8"/>
      <c r="D178" s="20"/>
      <c r="E178" s="20"/>
      <c r="F178" s="20"/>
      <c r="G178" s="20"/>
      <c r="H178" s="20"/>
      <c r="I178" s="20"/>
      <c r="J178" s="20"/>
      <c r="K178" s="20"/>
      <c r="L178" s="20"/>
      <c r="M178" s="20"/>
      <c r="N178" s="20"/>
      <c r="O178" s="20"/>
      <c r="P178" s="20"/>
      <c r="Q178" s="13"/>
      <c r="R178" s="4"/>
    </row>
    <row r="179" spans="1:18">
      <c r="A179" s="1"/>
      <c r="B179" s="2"/>
      <c r="C179" s="8"/>
      <c r="D179" s="21"/>
      <c r="E179" s="22"/>
      <c r="F179" s="23"/>
      <c r="G179" s="23"/>
      <c r="H179" s="23"/>
      <c r="I179" s="23"/>
      <c r="J179" s="23"/>
      <c r="K179" s="23"/>
      <c r="L179" s="24"/>
      <c r="M179" s="25"/>
      <c r="N179" s="26"/>
      <c r="O179" s="26"/>
      <c r="P179" s="27"/>
      <c r="Q179" s="28"/>
      <c r="R179" s="4"/>
    </row>
    <row r="180" spans="1:18">
      <c r="A180" s="1"/>
      <c r="B180" s="2"/>
      <c r="C180" s="8"/>
      <c r="D180" s="29"/>
      <c r="E180" s="30" t="s">
        <v>1</v>
      </c>
      <c r="F180" s="31"/>
      <c r="G180" s="31"/>
      <c r="H180" s="31"/>
      <c r="I180" s="31"/>
      <c r="J180" s="31"/>
      <c r="K180" s="31"/>
      <c r="L180" s="32"/>
      <c r="M180" s="33"/>
      <c r="N180" s="34"/>
      <c r="O180" s="34"/>
      <c r="P180" s="35"/>
      <c r="Q180" s="28"/>
      <c r="R180" s="4"/>
    </row>
    <row r="181" spans="1:18">
      <c r="A181" s="1"/>
      <c r="B181" s="2"/>
      <c r="C181" s="8"/>
      <c r="D181" s="29"/>
      <c r="E181" s="36"/>
      <c r="F181" s="37"/>
      <c r="G181" s="37"/>
      <c r="H181" s="37"/>
      <c r="I181" s="37"/>
      <c r="J181" s="37"/>
      <c r="K181" s="37"/>
      <c r="L181" s="38"/>
      <c r="M181" s="39"/>
      <c r="N181" s="40"/>
      <c r="O181" s="41"/>
      <c r="P181" s="42"/>
      <c r="Q181" s="28"/>
      <c r="R181" s="4"/>
    </row>
    <row r="182" spans="1:18">
      <c r="A182" s="1"/>
      <c r="B182" s="2"/>
      <c r="C182" s="8"/>
      <c r="D182" s="29"/>
      <c r="E182" s="36"/>
      <c r="F182" s="37"/>
      <c r="G182" s="37"/>
      <c r="H182" s="37"/>
      <c r="I182" s="37"/>
      <c r="J182" s="37"/>
      <c r="K182" s="37"/>
      <c r="L182" s="38"/>
      <c r="M182" s="43" t="s">
        <v>2</v>
      </c>
      <c r="N182" s="44"/>
      <c r="O182" s="45">
        <f>+[239]INICIO!$C$6</f>
        <v>1</v>
      </c>
      <c r="P182" s="46"/>
      <c r="Q182" s="28"/>
      <c r="R182" s="4"/>
    </row>
    <row r="183" spans="1:18">
      <c r="A183" s="1"/>
      <c r="B183" s="2"/>
      <c r="C183" s="8"/>
      <c r="D183" s="29"/>
      <c r="E183" s="36"/>
      <c r="F183" s="37"/>
      <c r="G183" s="37"/>
      <c r="H183" s="37"/>
      <c r="I183" s="37"/>
      <c r="J183" s="37"/>
      <c r="K183" s="37"/>
      <c r="L183" s="38"/>
      <c r="M183" s="47"/>
      <c r="N183" s="48"/>
      <c r="O183" s="49"/>
      <c r="P183" s="50"/>
      <c r="Q183" s="51"/>
      <c r="R183" s="4"/>
    </row>
    <row r="184" spans="1:18">
      <c r="A184" s="1"/>
      <c r="B184" s="2"/>
      <c r="C184" s="8"/>
      <c r="D184" s="29"/>
      <c r="E184" s="52"/>
      <c r="F184" s="53"/>
      <c r="G184" s="53"/>
      <c r="H184" s="53"/>
      <c r="I184" s="53"/>
      <c r="J184" s="53"/>
      <c r="K184" s="53"/>
      <c r="L184" s="54"/>
      <c r="M184" s="39"/>
      <c r="N184" s="55"/>
      <c r="O184" s="55"/>
      <c r="P184" s="56"/>
      <c r="Q184" s="28"/>
      <c r="R184" s="4"/>
    </row>
    <row r="185" spans="1:18">
      <c r="A185" s="1"/>
      <c r="B185" s="2"/>
      <c r="C185" s="8"/>
      <c r="D185" s="29"/>
      <c r="E185" s="52"/>
      <c r="F185" s="53"/>
      <c r="G185" s="53"/>
      <c r="H185" s="53"/>
      <c r="I185" s="53"/>
      <c r="J185" s="53"/>
      <c r="K185" s="53"/>
      <c r="L185" s="54"/>
      <c r="M185" s="43" t="s">
        <v>3</v>
      </c>
      <c r="N185" s="43" t="str">
        <f>+VLOOKUP(D196,'PRESUPUESTO OFICIAL '!C:Q,9,FALSE)</f>
        <v>3</v>
      </c>
      <c r="O185" s="43" t="s">
        <v>4</v>
      </c>
      <c r="P185" s="508" t="str">
        <f>+'PRESUPUESTO OFICIAL '!$M$122</f>
        <v>62</v>
      </c>
      <c r="Q185" s="28"/>
      <c r="R185" s="4"/>
    </row>
    <row r="186" spans="1:18">
      <c r="A186" s="1"/>
      <c r="B186" s="2"/>
      <c r="C186" s="8"/>
      <c r="D186" s="29"/>
      <c r="E186" s="30" t="s">
        <v>5</v>
      </c>
      <c r="F186" s="31"/>
      <c r="G186" s="31"/>
      <c r="H186" s="31"/>
      <c r="I186" s="31"/>
      <c r="J186" s="31"/>
      <c r="K186" s="31"/>
      <c r="L186" s="32"/>
      <c r="M186" s="43"/>
      <c r="N186" s="57"/>
      <c r="O186" s="57"/>
      <c r="P186" s="58"/>
      <c r="Q186" s="28"/>
      <c r="R186" s="4"/>
    </row>
    <row r="187" spans="1:18" ht="15.75" thickBot="1">
      <c r="A187" s="1"/>
      <c r="B187" s="2"/>
      <c r="C187" s="8"/>
      <c r="D187" s="59"/>
      <c r="E187" s="60"/>
      <c r="F187" s="60"/>
      <c r="G187" s="60"/>
      <c r="H187" s="60"/>
      <c r="I187" s="60"/>
      <c r="J187" s="60"/>
      <c r="K187" s="60"/>
      <c r="L187" s="60"/>
      <c r="M187" s="60"/>
      <c r="N187" s="61"/>
      <c r="O187" s="61"/>
      <c r="P187" s="62"/>
      <c r="Q187" s="63"/>
      <c r="R187" s="4"/>
    </row>
    <row r="188" spans="1:18">
      <c r="A188" s="1"/>
      <c r="B188" s="2"/>
      <c r="C188" s="8"/>
      <c r="D188" s="64"/>
      <c r="E188" s="65"/>
      <c r="F188" s="65"/>
      <c r="G188" s="65"/>
      <c r="H188" s="65"/>
      <c r="I188" s="65"/>
      <c r="J188" s="65"/>
      <c r="K188" s="65"/>
      <c r="L188" s="65"/>
      <c r="M188" s="66" t="s">
        <v>6</v>
      </c>
      <c r="N188" s="66" t="s">
        <v>7</v>
      </c>
      <c r="O188" s="66" t="s">
        <v>8</v>
      </c>
      <c r="P188" s="67" t="s">
        <v>9</v>
      </c>
      <c r="Q188" s="51"/>
      <c r="R188" s="4"/>
    </row>
    <row r="189" spans="1:18">
      <c r="A189" s="1"/>
      <c r="B189" s="2"/>
      <c r="C189" s="8"/>
      <c r="D189" s="68"/>
      <c r="E189" s="69"/>
      <c r="F189" s="69"/>
      <c r="G189" s="69"/>
      <c r="H189" s="69"/>
      <c r="I189" s="69"/>
      <c r="J189" s="69"/>
      <c r="K189" s="69"/>
      <c r="L189" s="69"/>
      <c r="M189" s="70"/>
      <c r="N189" s="71">
        <f>+Hoja2!B$5</f>
        <v>5</v>
      </c>
      <c r="O189" s="71">
        <f>+Hoja2!C$5</f>
        <v>8</v>
      </c>
      <c r="P189" s="72">
        <f>+Hoja2!D$5</f>
        <v>2026</v>
      </c>
      <c r="Q189" s="73"/>
      <c r="R189" s="4"/>
    </row>
    <row r="190" spans="1:18">
      <c r="A190" s="1"/>
      <c r="B190" s="2"/>
      <c r="C190" s="8"/>
      <c r="D190" s="74"/>
      <c r="E190" s="37"/>
      <c r="F190" s="37"/>
      <c r="G190" s="37"/>
      <c r="H190" s="69"/>
      <c r="I190" s="69"/>
      <c r="J190" s="69"/>
      <c r="K190" s="20"/>
      <c r="L190" s="69"/>
      <c r="M190" s="75"/>
      <c r="N190" s="20"/>
      <c r="O190" s="20"/>
      <c r="P190" s="76"/>
      <c r="Q190" s="73"/>
      <c r="R190" s="4"/>
    </row>
    <row r="191" spans="1:18" ht="15.75" thickBot="1">
      <c r="A191" s="1"/>
      <c r="B191" s="2"/>
      <c r="C191" s="8"/>
      <c r="D191" s="77"/>
      <c r="E191" s="78"/>
      <c r="F191" s="78"/>
      <c r="G191" s="78"/>
      <c r="H191" s="78"/>
      <c r="I191" s="78"/>
      <c r="J191" s="78"/>
      <c r="K191" s="78"/>
      <c r="L191" s="78"/>
      <c r="M191" s="78"/>
      <c r="N191" s="78"/>
      <c r="O191" s="78"/>
      <c r="P191" s="79"/>
      <c r="Q191" s="13"/>
      <c r="R191" s="4"/>
    </row>
    <row r="192" spans="1:18" ht="15.75" thickBot="1">
      <c r="A192" s="1"/>
      <c r="B192" s="2"/>
      <c r="C192" s="8"/>
      <c r="D192" s="80"/>
      <c r="E192" s="81"/>
      <c r="F192" s="81"/>
      <c r="G192" s="81"/>
      <c r="H192" s="81"/>
      <c r="I192" s="81"/>
      <c r="J192" s="20"/>
      <c r="K192" s="20"/>
      <c r="L192" s="81"/>
      <c r="M192" s="81"/>
      <c r="N192" s="81"/>
      <c r="O192" s="81"/>
      <c r="P192" s="82"/>
      <c r="Q192" s="13"/>
      <c r="R192" s="4"/>
    </row>
    <row r="193" spans="1:18">
      <c r="A193" s="1"/>
      <c r="B193" s="2"/>
      <c r="C193" s="8"/>
      <c r="D193" s="83" t="s">
        <v>10</v>
      </c>
      <c r="E193" s="84"/>
      <c r="F193" s="84"/>
      <c r="G193" s="84"/>
      <c r="H193" s="84"/>
      <c r="I193" s="84"/>
      <c r="J193" s="84"/>
      <c r="K193" s="84"/>
      <c r="L193" s="84"/>
      <c r="M193" s="84"/>
      <c r="N193" s="84"/>
      <c r="O193" s="84"/>
      <c r="P193" s="85"/>
      <c r="Q193" s="86"/>
      <c r="R193" s="4"/>
    </row>
    <row r="194" spans="1:18" ht="15.75" thickBot="1">
      <c r="A194" s="1"/>
      <c r="B194" s="2"/>
      <c r="C194" s="8"/>
      <c r="D194" s="87"/>
      <c r="E194" s="20"/>
      <c r="F194" s="20"/>
      <c r="G194" s="20"/>
      <c r="H194" s="20"/>
      <c r="I194" s="20"/>
      <c r="J194" s="20"/>
      <c r="K194" s="20"/>
      <c r="L194" s="20"/>
      <c r="M194" s="20"/>
      <c r="N194" s="20"/>
      <c r="O194" s="20"/>
      <c r="P194" s="88"/>
      <c r="Q194" s="13"/>
      <c r="R194" s="4"/>
    </row>
    <row r="195" spans="1:18">
      <c r="A195" s="1" t="s">
        <v>11</v>
      </c>
      <c r="B195" s="2" t="s">
        <v>12</v>
      </c>
      <c r="C195" s="8"/>
      <c r="D195" s="89" t="s">
        <v>13</v>
      </c>
      <c r="E195" s="90" t="s">
        <v>14</v>
      </c>
      <c r="F195" s="90"/>
      <c r="G195" s="90"/>
      <c r="H195" s="90"/>
      <c r="I195" s="90"/>
      <c r="J195" s="90"/>
      <c r="K195" s="90"/>
      <c r="L195" s="90"/>
      <c r="M195" s="90"/>
      <c r="N195" s="91" t="s">
        <v>15</v>
      </c>
      <c r="O195" s="91"/>
      <c r="P195" s="92" t="s">
        <v>16</v>
      </c>
      <c r="Q195" s="93"/>
      <c r="R195" s="4"/>
    </row>
    <row r="196" spans="1:18" ht="15.75" thickBot="1">
      <c r="A196" s="1"/>
      <c r="B196" s="2"/>
      <c r="C196" s="8"/>
      <c r="D196" s="349">
        <f>+'PRESUPUESTO OFICIAL '!C14</f>
        <v>1.03</v>
      </c>
      <c r="E196" s="94" t="str">
        <f>+VLOOKUP(D196,'PRESUPUESTO OFICIAL '!C:H,2,FALSE)</f>
        <v>DESMONTE DE DIVISIÓN - PISO A TECHO. (INCLUYE RETIRO Y ACARREO LIBRE HASTA 5 KM.)</v>
      </c>
      <c r="F196" s="94"/>
      <c r="G196" s="94"/>
      <c r="H196" s="94"/>
      <c r="I196" s="94"/>
      <c r="J196" s="94"/>
      <c r="K196" s="94"/>
      <c r="L196" s="94"/>
      <c r="M196" s="94"/>
      <c r="N196" s="94" t="str">
        <f>+VLOOKUP(D196,'PRESUPUESTO OFICIAL '!C:H,3,FALSE)</f>
        <v>M2</v>
      </c>
      <c r="O196" s="95"/>
      <c r="P196" s="96">
        <f>+VLOOKUP(D196,'PRESUPUESTO OFICIAL '!C:H,4,FALSE)</f>
        <v>13.75</v>
      </c>
      <c r="Q196" s="97"/>
      <c r="R196" s="98">
        <f>+P248</f>
        <v>25602</v>
      </c>
    </row>
    <row r="197" spans="1:18" ht="15.75" thickBot="1">
      <c r="A197" s="1"/>
      <c r="B197" s="2"/>
      <c r="C197" s="8"/>
      <c r="D197" s="74" t="s">
        <v>17</v>
      </c>
      <c r="E197" s="37"/>
      <c r="F197" s="37"/>
      <c r="G197" s="37"/>
      <c r="H197" s="37"/>
      <c r="I197" s="37"/>
      <c r="J197" s="37"/>
      <c r="K197" s="37"/>
      <c r="L197" s="37"/>
      <c r="M197" s="37"/>
      <c r="N197" s="37"/>
      <c r="O197" s="37"/>
      <c r="P197" s="99"/>
      <c r="Q197" s="100"/>
      <c r="R197" s="4"/>
    </row>
    <row r="198" spans="1:18">
      <c r="A198" s="1"/>
      <c r="B198" s="2"/>
      <c r="C198" s="8"/>
      <c r="D198" s="101" t="s">
        <v>14</v>
      </c>
      <c r="E198" s="102"/>
      <c r="F198" s="102"/>
      <c r="G198" s="102"/>
      <c r="H198" s="103"/>
      <c r="I198" s="104" t="s">
        <v>18</v>
      </c>
      <c r="J198" s="102"/>
      <c r="K198" s="104" t="s">
        <v>19</v>
      </c>
      <c r="L198" s="105"/>
      <c r="M198" s="106" t="s">
        <v>20</v>
      </c>
      <c r="N198" s="104" t="s">
        <v>21</v>
      </c>
      <c r="O198" s="105"/>
      <c r="P198" s="107" t="s">
        <v>22</v>
      </c>
      <c r="Q198" s="108"/>
      <c r="R198" s="4"/>
    </row>
    <row r="199" spans="1:18">
      <c r="A199" s="1" t="e">
        <f>[239]INDICE!#REF!</f>
        <v>#REF!</v>
      </c>
      <c r="B199" s="2" t="s">
        <v>23</v>
      </c>
      <c r="C199" s="8"/>
      <c r="D199" s="109" t="str">
        <f>IFERROR(INDEX([239]EQUIPOS!B:B,MATCH(B199,[239]EQUIPOS!A:A,0)),"")</f>
        <v>HERRAMIENTA MENOR (% M.O)</v>
      </c>
      <c r="E199" s="110"/>
      <c r="F199" s="110"/>
      <c r="G199" s="110"/>
      <c r="H199" s="111"/>
      <c r="I199" s="112"/>
      <c r="J199" s="111"/>
      <c r="K199" s="113" t="str">
        <f>IFERROR(INDEX([239]EQUIPOS!C:C,MATCH(B199,[239]EQUIPOS!A:A,0)),"")</f>
        <v>%</v>
      </c>
      <c r="L199" s="114"/>
      <c r="M199" s="115">
        <f>IFERROR(IF(D199="HERRAMIENTA MENOR (% M.O)",P238,INDEX([239]EQUIPOS!D:D,MATCH(B199,[239]EQUIPOS!A:A,0))),"")</f>
        <v>16317.900000000001</v>
      </c>
      <c r="N199" s="116">
        <v>10</v>
      </c>
      <c r="O199" s="117"/>
      <c r="P199" s="118">
        <f t="shared" ref="P199:P204" si="6">IFERROR(ROUND(IF(D199="HERRAMIENTA MENOR (% M.O)",N199%*M199,M199/N199),2)," ")</f>
        <v>1631.79</v>
      </c>
      <c r="Q199" s="119"/>
      <c r="R199" s="4"/>
    </row>
    <row r="200" spans="1:18">
      <c r="A200" s="1">
        <f>+$A$2341</f>
        <v>0</v>
      </c>
      <c r="B200" s="2" t="s">
        <v>260</v>
      </c>
      <c r="C200" s="8"/>
      <c r="D200" s="109" t="str">
        <f>IFERROR(INDEX([239]EQUIPOS!B:B,MATCH(B200,[239]EQUIPOS!A:A,0)),"")</f>
        <v>SECCIÓN DE ANDAMIO (01)</v>
      </c>
      <c r="E200" s="110"/>
      <c r="F200" s="110"/>
      <c r="G200" s="110"/>
      <c r="H200" s="111"/>
      <c r="I200" s="112"/>
      <c r="J200" s="111"/>
      <c r="K200" s="113" t="str">
        <f>IFERROR(INDEX([239]EQUIPOS!C:C,MATCH(B200,[239]EQUIPOS!A:A,0)),"")</f>
        <v>DIA</v>
      </c>
      <c r="L200" s="114"/>
      <c r="M200" s="115">
        <f>IFERROR(IF(D200="HERRAMIENTA MENOR (% M.O)",P239,INDEX([239]EQUIPOS!D:D,MATCH(B200,[239]EQUIPOS!A:A,0))),"")</f>
        <v>3000</v>
      </c>
      <c r="N200" s="116">
        <v>20</v>
      </c>
      <c r="O200" s="117"/>
      <c r="P200" s="118">
        <f t="shared" si="6"/>
        <v>150</v>
      </c>
      <c r="Q200" s="119"/>
      <c r="R200" s="4"/>
    </row>
    <row r="201" spans="1:18">
      <c r="A201" s="1">
        <f t="shared" ref="A201:A239" si="7">+A200</f>
        <v>0</v>
      </c>
      <c r="B201" s="2"/>
      <c r="C201" s="8"/>
      <c r="D201" s="109" t="str">
        <f>IFERROR(INDEX([239]EQUIPOS!B:B,MATCH(B201,[239]EQUIPOS!A:A,0)),"")</f>
        <v/>
      </c>
      <c r="E201" s="110"/>
      <c r="F201" s="110"/>
      <c r="G201" s="110"/>
      <c r="H201" s="111"/>
      <c r="I201" s="120"/>
      <c r="J201" s="121"/>
      <c r="K201" s="113" t="str">
        <f>IFERROR(INDEX([239]EQUIPOS!C:C,MATCH(B201,[239]EQUIPOS!A:A,0)),"")</f>
        <v/>
      </c>
      <c r="L201" s="114"/>
      <c r="M201" s="115" t="str">
        <f>IFERROR(IF(D201="HERRAMIENTA MENOR (% M.O)",P240,INDEX([239]EQUIPOS!D:D,MATCH(B201,[239]EQUIPOS!A:A,0))),"")</f>
        <v/>
      </c>
      <c r="N201" s="116"/>
      <c r="O201" s="117"/>
      <c r="P201" s="118" t="str">
        <f t="shared" si="6"/>
        <v xml:space="preserve"> </v>
      </c>
      <c r="Q201" s="119"/>
      <c r="R201" s="4"/>
    </row>
    <row r="202" spans="1:18">
      <c r="A202" s="1">
        <f t="shared" si="7"/>
        <v>0</v>
      </c>
      <c r="B202" s="2"/>
      <c r="C202" s="8"/>
      <c r="D202" s="109" t="str">
        <f>IFERROR(INDEX([239]EQUIPOS!B:B,MATCH(B202,[239]EQUIPOS!A:A,0)),"")</f>
        <v/>
      </c>
      <c r="E202" s="110"/>
      <c r="F202" s="110"/>
      <c r="G202" s="110"/>
      <c r="H202" s="111"/>
      <c r="I202" s="120"/>
      <c r="J202" s="121"/>
      <c r="K202" s="113" t="str">
        <f>IFERROR(INDEX([239]EQUIPOS!C:C,MATCH(B202,[239]EQUIPOS!A:A,0)),"")</f>
        <v/>
      </c>
      <c r="L202" s="114"/>
      <c r="M202" s="115" t="str">
        <f>IFERROR(IF(D202="HERRAMIENTA MENOR (% M.O)",P241,INDEX([239]EQUIPOS!D:D,MATCH(B202,[239]EQUIPOS!A:A,0))),"")</f>
        <v/>
      </c>
      <c r="N202" s="116"/>
      <c r="O202" s="117"/>
      <c r="P202" s="118" t="str">
        <f t="shared" si="6"/>
        <v xml:space="preserve"> </v>
      </c>
      <c r="Q202" s="119"/>
      <c r="R202" s="4"/>
    </row>
    <row r="203" spans="1:18">
      <c r="A203" s="1">
        <f t="shared" si="7"/>
        <v>0</v>
      </c>
      <c r="B203" s="2"/>
      <c r="C203" s="8"/>
      <c r="D203" s="109" t="str">
        <f>IFERROR(INDEX([239]EQUIPOS!B:B,MATCH(B203,[239]EQUIPOS!A:A,0)),"")</f>
        <v/>
      </c>
      <c r="E203" s="110"/>
      <c r="F203" s="110"/>
      <c r="G203" s="110"/>
      <c r="H203" s="111"/>
      <c r="I203" s="112"/>
      <c r="J203" s="111"/>
      <c r="K203" s="113" t="str">
        <f>IFERROR(INDEX([239]EQUIPOS!C:C,MATCH(B203,[239]EQUIPOS!A:A,0)),"")</f>
        <v/>
      </c>
      <c r="L203" s="114"/>
      <c r="M203" s="115" t="str">
        <f>IFERROR(IF(D203="HERRAMIENTA MENOR (% M.O)",P242,INDEX([239]EQUIPOS!D:D,MATCH(B203,[239]EQUIPOS!A:A,0))),"")</f>
        <v/>
      </c>
      <c r="N203" s="116"/>
      <c r="O203" s="117"/>
      <c r="P203" s="118" t="str">
        <f t="shared" si="6"/>
        <v xml:space="preserve"> </v>
      </c>
      <c r="Q203" s="119"/>
      <c r="R203" s="4"/>
    </row>
    <row r="204" spans="1:18" ht="15.75" thickBot="1">
      <c r="A204" s="1">
        <f t="shared" si="7"/>
        <v>0</v>
      </c>
      <c r="B204" s="2"/>
      <c r="C204" s="8"/>
      <c r="D204" s="109" t="str">
        <f>IFERROR(INDEX([239]EQUIPOS!B:B,MATCH(B204,[239]EQUIPOS!A:A,0)),"")</f>
        <v/>
      </c>
      <c r="E204" s="78"/>
      <c r="F204" s="78"/>
      <c r="G204" s="78"/>
      <c r="H204" s="122"/>
      <c r="I204" s="123"/>
      <c r="J204" s="122"/>
      <c r="K204" s="113" t="str">
        <f>IFERROR(INDEX([239]EQUIPOS!C:C,MATCH(B204,[239]EQUIPOS!A:A,0)),"")</f>
        <v/>
      </c>
      <c r="L204" s="124"/>
      <c r="M204" s="115" t="str">
        <f>IFERROR(IF(D204="HERRAMIENTA MENOR (% M.O)",P243,INDEX([239]EQUIPOS!D:D,MATCH(B204,[239]EQUIPOS!A:A,0))),"")</f>
        <v/>
      </c>
      <c r="N204" s="125"/>
      <c r="O204" s="126"/>
      <c r="P204" s="127" t="str">
        <f t="shared" si="6"/>
        <v xml:space="preserve"> </v>
      </c>
      <c r="Q204" s="119"/>
      <c r="R204" s="4"/>
    </row>
    <row r="205" spans="1:18" ht="15.75" thickBot="1">
      <c r="A205" s="1">
        <f t="shared" si="7"/>
        <v>0</v>
      </c>
      <c r="B205" s="2"/>
      <c r="C205" s="8"/>
      <c r="D205" s="128" t="s">
        <v>24</v>
      </c>
      <c r="E205" s="129"/>
      <c r="F205" s="129"/>
      <c r="G205" s="129"/>
      <c r="H205" s="129"/>
      <c r="I205" s="129"/>
      <c r="J205" s="129"/>
      <c r="K205" s="129"/>
      <c r="L205" s="129"/>
      <c r="M205" s="129"/>
      <c r="N205" s="129"/>
      <c r="O205" s="130"/>
      <c r="P205" s="131">
        <f>SUM(P199:P204)</f>
        <v>1781.79</v>
      </c>
      <c r="Q205" s="132"/>
      <c r="R205" s="4"/>
    </row>
    <row r="206" spans="1:18" ht="15.75" thickBot="1">
      <c r="A206" s="1">
        <f t="shared" si="7"/>
        <v>0</v>
      </c>
      <c r="B206" s="2"/>
      <c r="C206" s="8"/>
      <c r="D206" s="74" t="s">
        <v>25</v>
      </c>
      <c r="E206" s="37"/>
      <c r="F206" s="37"/>
      <c r="G206" s="37"/>
      <c r="H206" s="37"/>
      <c r="I206" s="37"/>
      <c r="J206" s="37"/>
      <c r="K206" s="37"/>
      <c r="L206" s="37"/>
      <c r="M206" s="37"/>
      <c r="N206" s="37"/>
      <c r="O206" s="37"/>
      <c r="P206" s="99"/>
      <c r="Q206" s="100"/>
      <c r="R206" s="4"/>
    </row>
    <row r="207" spans="1:18">
      <c r="A207" s="1">
        <f t="shared" si="7"/>
        <v>0</v>
      </c>
      <c r="B207" s="2"/>
      <c r="C207" s="8"/>
      <c r="D207" s="101" t="s">
        <v>14</v>
      </c>
      <c r="E207" s="133"/>
      <c r="F207" s="133"/>
      <c r="G207" s="133"/>
      <c r="H207" s="133"/>
      <c r="I207" s="133"/>
      <c r="J207" s="133"/>
      <c r="K207" s="105"/>
      <c r="L207" s="134" t="s">
        <v>15</v>
      </c>
      <c r="M207" s="106" t="s">
        <v>16</v>
      </c>
      <c r="N207" s="104" t="s">
        <v>26</v>
      </c>
      <c r="O207" s="105"/>
      <c r="P207" s="107" t="s">
        <v>22</v>
      </c>
      <c r="Q207" s="108"/>
      <c r="R207" s="4"/>
    </row>
    <row r="208" spans="1:18">
      <c r="A208" s="1">
        <f t="shared" si="7"/>
        <v>0</v>
      </c>
      <c r="B208" s="2"/>
      <c r="C208" s="8"/>
      <c r="D208" s="109" t="str">
        <f>IFERROR(INDEX([239]MATERIALES!C:C,MATCH(B208,[239]MATERIALES!B:B,0)),"")</f>
        <v/>
      </c>
      <c r="E208" s="135"/>
      <c r="F208" s="135"/>
      <c r="G208" s="135"/>
      <c r="H208" s="135"/>
      <c r="I208" s="135"/>
      <c r="J208" s="135"/>
      <c r="K208" s="136"/>
      <c r="L208" s="137" t="str">
        <f>IFERROR(INDEX([239]MATERIALES!D:D,MATCH(B208,[239]MATERIALES!B:B,0)),"")</f>
        <v/>
      </c>
      <c r="M208" s="138"/>
      <c r="N208" s="139" t="str">
        <f>IFERROR(INDEX([239]MATERIALES!P:P,MATCH(B208,[239]MATERIALES!B:B,0)),"")</f>
        <v/>
      </c>
      <c r="O208" s="140"/>
      <c r="P208" s="118" t="str">
        <f>IFERROR(ROUND(N208*M208,2),"")</f>
        <v/>
      </c>
      <c r="Q208" s="119"/>
      <c r="R208" s="4"/>
    </row>
    <row r="209" spans="1:18">
      <c r="A209" s="1">
        <f t="shared" si="7"/>
        <v>0</v>
      </c>
      <c r="B209" s="2"/>
      <c r="C209" s="8"/>
      <c r="D209" s="109" t="str">
        <f>IFERROR(INDEX([239]MATERIALES!C:C,MATCH(B209,[239]MATERIALES!B:B,0)),"")</f>
        <v/>
      </c>
      <c r="E209" s="135"/>
      <c r="F209" s="135"/>
      <c r="G209" s="135"/>
      <c r="H209" s="135"/>
      <c r="I209" s="135"/>
      <c r="J209" s="135"/>
      <c r="K209" s="136"/>
      <c r="L209" s="137" t="str">
        <f>IFERROR(INDEX([239]MATERIALES!D:D,MATCH(B209,[239]MATERIALES!B:B,0)),"")</f>
        <v/>
      </c>
      <c r="M209" s="138"/>
      <c r="N209" s="139" t="str">
        <f>IFERROR(INDEX([239]MATERIALES!P:P,MATCH(B209,[239]MATERIALES!B:B,0)),"")</f>
        <v/>
      </c>
      <c r="O209" s="140"/>
      <c r="P209" s="118" t="str">
        <f>IFERROR(ROUND(N209*M209,2),"")</f>
        <v/>
      </c>
      <c r="Q209" s="119"/>
      <c r="R209" s="4"/>
    </row>
    <row r="210" spans="1:18">
      <c r="A210" s="1">
        <f t="shared" si="7"/>
        <v>0</v>
      </c>
      <c r="B210" s="2"/>
      <c r="C210" s="8"/>
      <c r="D210" s="109" t="str">
        <f>IFERROR(INDEX([239]MATERIALES!C:C,MATCH(B210,[239]MATERIALES!B:B,0)),"")</f>
        <v/>
      </c>
      <c r="E210" s="110"/>
      <c r="F210" s="110"/>
      <c r="G210" s="110"/>
      <c r="H210" s="110"/>
      <c r="I210" s="110"/>
      <c r="J210" s="110"/>
      <c r="K210" s="111"/>
      <c r="L210" s="137" t="str">
        <f>IFERROR(INDEX([239]MATERIALES!D:D,MATCH(B210,[239]MATERIALES!B:B,0)),"")</f>
        <v/>
      </c>
      <c r="M210" s="138"/>
      <c r="N210" s="139" t="str">
        <f>IFERROR(INDEX([239]MATERIALES!P:P,MATCH(B210,[239]MATERIALES!B:B,0)),"")</f>
        <v/>
      </c>
      <c r="O210" s="140"/>
      <c r="P210" s="118" t="str">
        <f>IFERROR(ROUND(N210*M210,2),"")</f>
        <v/>
      </c>
      <c r="Q210" s="119"/>
      <c r="R210" s="4"/>
    </row>
    <row r="211" spans="1:18">
      <c r="A211" s="1">
        <f t="shared" si="7"/>
        <v>0</v>
      </c>
      <c r="B211" s="2"/>
      <c r="C211" s="8"/>
      <c r="D211" s="109" t="str">
        <f>IFERROR(INDEX([239]MATERIALES!C:C,MATCH(B211,[239]MATERIALES!B:B,0)),"")</f>
        <v/>
      </c>
      <c r="E211" s="110"/>
      <c r="F211" s="110"/>
      <c r="G211" s="110"/>
      <c r="H211" s="110"/>
      <c r="I211" s="110"/>
      <c r="J211" s="110"/>
      <c r="K211" s="111"/>
      <c r="L211" s="137" t="str">
        <f>IFERROR(INDEX([239]MATERIALES!D:D,MATCH(B211,[239]MATERIALES!B:B,0)),"")</f>
        <v/>
      </c>
      <c r="M211" s="138"/>
      <c r="N211" s="139" t="str">
        <f>IFERROR(INDEX([239]MATERIALES!P:P,MATCH(B211,[239]MATERIALES!B:B,0)),"")</f>
        <v/>
      </c>
      <c r="O211" s="140"/>
      <c r="P211" s="118" t="str">
        <f>IFERROR(ROUND(N211*M211,2),"")</f>
        <v/>
      </c>
      <c r="Q211" s="119"/>
      <c r="R211" s="4"/>
    </row>
    <row r="212" spans="1:18">
      <c r="A212" s="1">
        <f t="shared" si="7"/>
        <v>0</v>
      </c>
      <c r="B212" s="2"/>
      <c r="C212" s="8"/>
      <c r="D212" s="109" t="str">
        <f>IFERROR(INDEX([239]MATERIALES!C:C,MATCH(B212,[239]MATERIALES!B:B,0)),"")</f>
        <v/>
      </c>
      <c r="E212" s="110"/>
      <c r="F212" s="110"/>
      <c r="G212" s="110"/>
      <c r="H212" s="110"/>
      <c r="I212" s="110"/>
      <c r="J212" s="110"/>
      <c r="K212" s="111"/>
      <c r="L212" s="137" t="str">
        <f>IFERROR(INDEX([239]MATERIALES!D:D,MATCH(B212,[239]MATERIALES!B:B,0)),"")</f>
        <v/>
      </c>
      <c r="M212" s="138"/>
      <c r="N212" s="139" t="str">
        <f>IFERROR(INDEX([239]MATERIALES!P:P,MATCH(B212,[239]MATERIALES!B:B,0)),"")</f>
        <v/>
      </c>
      <c r="O212" s="140"/>
      <c r="P212" s="118" t="str">
        <f t="shared" ref="P212:P221" si="8">IFERROR(ROUND(N212*M212,2),"")</f>
        <v/>
      </c>
      <c r="Q212" s="119"/>
      <c r="R212" s="4"/>
    </row>
    <row r="213" spans="1:18">
      <c r="A213" s="1">
        <f t="shared" si="7"/>
        <v>0</v>
      </c>
      <c r="B213" s="2"/>
      <c r="C213" s="8"/>
      <c r="D213" s="109" t="str">
        <f>IFERROR(INDEX([239]MATERIALES!C:C,MATCH(B213,[239]MATERIALES!B:B,0)),"")</f>
        <v/>
      </c>
      <c r="E213" s="110"/>
      <c r="F213" s="110"/>
      <c r="G213" s="110"/>
      <c r="H213" s="110"/>
      <c r="I213" s="110"/>
      <c r="J213" s="110"/>
      <c r="K213" s="111"/>
      <c r="L213" s="137" t="str">
        <f>IFERROR(INDEX([239]MATERIALES!D:D,MATCH(B213,[239]MATERIALES!B:B,0)),"")</f>
        <v/>
      </c>
      <c r="M213" s="138"/>
      <c r="N213" s="139" t="str">
        <f>IFERROR(INDEX([239]MATERIALES!P:P,MATCH(B213,[239]MATERIALES!B:B,0)),"")</f>
        <v/>
      </c>
      <c r="O213" s="140"/>
      <c r="P213" s="118" t="str">
        <f t="shared" si="8"/>
        <v/>
      </c>
      <c r="Q213" s="119"/>
      <c r="R213" s="4"/>
    </row>
    <row r="214" spans="1:18">
      <c r="A214" s="1">
        <f t="shared" si="7"/>
        <v>0</v>
      </c>
      <c r="B214" s="2"/>
      <c r="C214" s="8"/>
      <c r="D214" s="109" t="str">
        <f>IFERROR(INDEX([239]MATERIALES!C:C,MATCH(B214,[239]MATERIALES!B:B,0)),"")</f>
        <v/>
      </c>
      <c r="E214" s="110"/>
      <c r="F214" s="110"/>
      <c r="G214" s="110"/>
      <c r="H214" s="110"/>
      <c r="I214" s="110"/>
      <c r="J214" s="110"/>
      <c r="K214" s="111"/>
      <c r="L214" s="137" t="str">
        <f>IFERROR(INDEX([239]MATERIALES!D:D,MATCH(B214,[239]MATERIALES!B:B,0)),"")</f>
        <v/>
      </c>
      <c r="M214" s="138"/>
      <c r="N214" s="139" t="str">
        <f>IFERROR(INDEX([239]MATERIALES!P:P,MATCH(B214,[239]MATERIALES!B:B,0)),"")</f>
        <v/>
      </c>
      <c r="O214" s="140"/>
      <c r="P214" s="118" t="str">
        <f t="shared" si="8"/>
        <v/>
      </c>
      <c r="Q214" s="119"/>
      <c r="R214" s="4"/>
    </row>
    <row r="215" spans="1:18">
      <c r="A215" s="1">
        <f t="shared" si="7"/>
        <v>0</v>
      </c>
      <c r="B215" s="2"/>
      <c r="C215" s="8"/>
      <c r="D215" s="109" t="str">
        <f>IFERROR(INDEX([239]MATERIALES!C:C,MATCH(B215,[239]MATERIALES!B:B,0)),"")</f>
        <v/>
      </c>
      <c r="E215" s="110"/>
      <c r="F215" s="110"/>
      <c r="G215" s="110"/>
      <c r="H215" s="110"/>
      <c r="I215" s="110"/>
      <c r="J215" s="110"/>
      <c r="K215" s="111"/>
      <c r="L215" s="137" t="str">
        <f>IFERROR(INDEX([239]MATERIALES!D:D,MATCH(B215,[239]MATERIALES!B:B,0)),"")</f>
        <v/>
      </c>
      <c r="M215" s="138"/>
      <c r="N215" s="139" t="str">
        <f>IFERROR(INDEX([239]MATERIALES!P:P,MATCH(B215,[239]MATERIALES!B:B,0)),"")</f>
        <v/>
      </c>
      <c r="O215" s="140"/>
      <c r="P215" s="118" t="str">
        <f t="shared" si="8"/>
        <v/>
      </c>
      <c r="Q215" s="119"/>
      <c r="R215" s="4"/>
    </row>
    <row r="216" spans="1:18">
      <c r="A216" s="1">
        <f t="shared" si="7"/>
        <v>0</v>
      </c>
      <c r="B216" s="2"/>
      <c r="C216" s="8"/>
      <c r="D216" s="109" t="str">
        <f>IFERROR(INDEX([239]MATERIALES!C:C,MATCH(B216,[239]MATERIALES!B:B,0)),"")</f>
        <v/>
      </c>
      <c r="E216" s="110"/>
      <c r="F216" s="110"/>
      <c r="G216" s="110"/>
      <c r="H216" s="110"/>
      <c r="I216" s="110"/>
      <c r="J216" s="110"/>
      <c r="K216" s="111"/>
      <c r="L216" s="137" t="str">
        <f>IFERROR(INDEX([239]MATERIALES!D:D,MATCH(B216,[239]MATERIALES!B:B,0)),"")</f>
        <v/>
      </c>
      <c r="M216" s="138"/>
      <c r="N216" s="139" t="str">
        <f>IFERROR(INDEX([239]MATERIALES!P:P,MATCH(B216,[239]MATERIALES!B:B,0)),"")</f>
        <v/>
      </c>
      <c r="O216" s="140"/>
      <c r="P216" s="118" t="str">
        <f t="shared" si="8"/>
        <v/>
      </c>
      <c r="Q216" s="119"/>
      <c r="R216" s="4"/>
    </row>
    <row r="217" spans="1:18">
      <c r="A217" s="1">
        <f t="shared" si="7"/>
        <v>0</v>
      </c>
      <c r="B217" s="2"/>
      <c r="C217" s="8"/>
      <c r="D217" s="109" t="str">
        <f>IFERROR(INDEX([239]MATERIALES!C:C,MATCH(B217,[239]MATERIALES!B:B,0)),"")</f>
        <v/>
      </c>
      <c r="E217" s="110"/>
      <c r="F217" s="110"/>
      <c r="G217" s="110"/>
      <c r="H217" s="110"/>
      <c r="I217" s="110"/>
      <c r="J217" s="110"/>
      <c r="K217" s="111"/>
      <c r="L217" s="137" t="str">
        <f>IFERROR(INDEX([239]MATERIALES!D:D,MATCH(B217,[239]MATERIALES!B:B,0)),"")</f>
        <v/>
      </c>
      <c r="M217" s="138"/>
      <c r="N217" s="139" t="str">
        <f>IFERROR(INDEX([239]MATERIALES!P:P,MATCH(B217,[239]MATERIALES!B:B,0)),"")</f>
        <v/>
      </c>
      <c r="O217" s="140"/>
      <c r="P217" s="118" t="str">
        <f t="shared" si="8"/>
        <v/>
      </c>
      <c r="Q217" s="119"/>
      <c r="R217" s="4"/>
    </row>
    <row r="218" spans="1:18">
      <c r="A218" s="1">
        <f t="shared" si="7"/>
        <v>0</v>
      </c>
      <c r="B218" s="2"/>
      <c r="C218" s="8"/>
      <c r="D218" s="109" t="str">
        <f>IFERROR(INDEX([239]MATERIALES!C:C,MATCH(B218,[239]MATERIALES!B:B,0)),"")</f>
        <v/>
      </c>
      <c r="E218" s="110"/>
      <c r="F218" s="110"/>
      <c r="G218" s="110"/>
      <c r="H218" s="110"/>
      <c r="I218" s="110"/>
      <c r="J218" s="110"/>
      <c r="K218" s="111"/>
      <c r="L218" s="137" t="str">
        <f>IFERROR(INDEX([239]MATERIALES!D:D,MATCH(B218,[239]MATERIALES!B:B,0)),"")</f>
        <v/>
      </c>
      <c r="M218" s="138"/>
      <c r="N218" s="139" t="str">
        <f>IFERROR(INDEX([239]MATERIALES!P:P,MATCH(B218,[239]MATERIALES!B:B,0)),"")</f>
        <v/>
      </c>
      <c r="O218" s="140"/>
      <c r="P218" s="118" t="str">
        <f t="shared" si="8"/>
        <v/>
      </c>
      <c r="Q218" s="119"/>
      <c r="R218" s="4"/>
    </row>
    <row r="219" spans="1:18">
      <c r="A219" s="1">
        <f t="shared" si="7"/>
        <v>0</v>
      </c>
      <c r="B219" s="2"/>
      <c r="C219" s="8"/>
      <c r="D219" s="109" t="str">
        <f>IFERROR(INDEX([239]MATERIALES!C:C,MATCH(B219,[239]MATERIALES!B:B,0)),"")</f>
        <v/>
      </c>
      <c r="E219" s="110"/>
      <c r="F219" s="110"/>
      <c r="G219" s="110"/>
      <c r="H219" s="110"/>
      <c r="I219" s="110"/>
      <c r="J219" s="110"/>
      <c r="K219" s="111"/>
      <c r="L219" s="137" t="str">
        <f>IFERROR(INDEX([239]MATERIALES!D:D,MATCH(B219,[239]MATERIALES!B:B,0)),"")</f>
        <v/>
      </c>
      <c r="M219" s="138"/>
      <c r="N219" s="139" t="str">
        <f>IFERROR(INDEX([239]MATERIALES!P:P,MATCH(B219,[239]MATERIALES!B:B,0)),"")</f>
        <v/>
      </c>
      <c r="O219" s="140"/>
      <c r="P219" s="118" t="str">
        <f t="shared" si="8"/>
        <v/>
      </c>
      <c r="Q219" s="119"/>
      <c r="R219" s="4"/>
    </row>
    <row r="220" spans="1:18">
      <c r="A220" s="1">
        <f t="shared" si="7"/>
        <v>0</v>
      </c>
      <c r="B220" s="2"/>
      <c r="C220" s="8"/>
      <c r="D220" s="109" t="str">
        <f>IFERROR(INDEX([239]MATERIALES!C:C,MATCH(B220,[239]MATERIALES!B:B,0)),"")</f>
        <v/>
      </c>
      <c r="E220" s="110"/>
      <c r="F220" s="110"/>
      <c r="G220" s="110"/>
      <c r="H220" s="110"/>
      <c r="I220" s="110"/>
      <c r="J220" s="110"/>
      <c r="K220" s="111"/>
      <c r="L220" s="137" t="str">
        <f>IFERROR(INDEX([239]MATERIALES!D:D,MATCH(B220,[239]MATERIALES!B:B,0)),"")</f>
        <v/>
      </c>
      <c r="M220" s="138"/>
      <c r="N220" s="139" t="str">
        <f>IFERROR(INDEX([239]MATERIALES!P:P,MATCH(B220,[239]MATERIALES!B:B,0)),"")</f>
        <v/>
      </c>
      <c r="O220" s="140"/>
      <c r="P220" s="118" t="str">
        <f t="shared" si="8"/>
        <v/>
      </c>
      <c r="Q220" s="119"/>
      <c r="R220" s="4"/>
    </row>
    <row r="221" spans="1:18">
      <c r="A221" s="1">
        <f t="shared" si="7"/>
        <v>0</v>
      </c>
      <c r="B221" s="2"/>
      <c r="C221" s="8"/>
      <c r="D221" s="109" t="str">
        <f>IFERROR(INDEX([239]MATERIALES!C:C,MATCH(B221,[239]MATERIALES!B:B,0)),"")</f>
        <v/>
      </c>
      <c r="E221" s="110"/>
      <c r="F221" s="110"/>
      <c r="G221" s="110"/>
      <c r="H221" s="110"/>
      <c r="I221" s="110"/>
      <c r="J221" s="110"/>
      <c r="K221" s="111"/>
      <c r="L221" s="137" t="str">
        <f>IFERROR(INDEX([239]MATERIALES!D:D,MATCH(B221,[239]MATERIALES!B:B,0)),"")</f>
        <v/>
      </c>
      <c r="M221" s="138"/>
      <c r="N221" s="139" t="str">
        <f>IFERROR(INDEX([239]MATERIALES!P:P,MATCH(B221,[239]MATERIALES!B:B,0)),"")</f>
        <v/>
      </c>
      <c r="O221" s="140"/>
      <c r="P221" s="118" t="str">
        <f t="shared" si="8"/>
        <v/>
      </c>
      <c r="Q221" s="119"/>
      <c r="R221" s="4"/>
    </row>
    <row r="222" spans="1:18" ht="15.75" thickBot="1">
      <c r="A222" s="1">
        <f t="shared" si="7"/>
        <v>0</v>
      </c>
      <c r="B222" s="2"/>
      <c r="C222" s="8"/>
      <c r="D222" s="109" t="s">
        <v>28</v>
      </c>
      <c r="E222" s="110"/>
      <c r="F222" s="110"/>
      <c r="G222" s="110"/>
      <c r="H222" s="110"/>
      <c r="I222" s="110"/>
      <c r="J222" s="110"/>
      <c r="K222" s="111"/>
      <c r="L222" s="137" t="s">
        <v>29</v>
      </c>
      <c r="M222" s="138">
        <v>0.05</v>
      </c>
      <c r="N222" s="139">
        <f>SUM(P208:P221)</f>
        <v>0</v>
      </c>
      <c r="O222" s="140"/>
      <c r="P222" s="118">
        <f>ROUND(N222*M222,2)</f>
        <v>0</v>
      </c>
      <c r="Q222" s="119"/>
      <c r="R222" s="4"/>
    </row>
    <row r="223" spans="1:18" ht="15.75" thickBot="1">
      <c r="A223" s="1">
        <f t="shared" si="7"/>
        <v>0</v>
      </c>
      <c r="B223" s="2"/>
      <c r="C223" s="8"/>
      <c r="D223" s="128" t="s">
        <v>24</v>
      </c>
      <c r="E223" s="129"/>
      <c r="F223" s="129"/>
      <c r="G223" s="129"/>
      <c r="H223" s="129"/>
      <c r="I223" s="129"/>
      <c r="J223" s="129"/>
      <c r="K223" s="129"/>
      <c r="L223" s="129"/>
      <c r="M223" s="129"/>
      <c r="N223" s="129"/>
      <c r="O223" s="130"/>
      <c r="P223" s="131">
        <f>SUM(P208:P222)</f>
        <v>0</v>
      </c>
      <c r="Q223" s="119"/>
      <c r="R223" s="4"/>
    </row>
    <row r="224" spans="1:18" ht="15.75" thickBot="1">
      <c r="A224" s="1">
        <f t="shared" si="7"/>
        <v>0</v>
      </c>
      <c r="B224" s="2"/>
      <c r="C224" s="8"/>
      <c r="D224" s="74" t="s">
        <v>30</v>
      </c>
      <c r="E224" s="37"/>
      <c r="F224" s="37"/>
      <c r="G224" s="37"/>
      <c r="H224" s="37"/>
      <c r="I224" s="37"/>
      <c r="J224" s="37"/>
      <c r="K224" s="37"/>
      <c r="L224" s="37"/>
      <c r="M224" s="37"/>
      <c r="N224" s="37"/>
      <c r="O224" s="37"/>
      <c r="P224" s="99"/>
      <c r="Q224" s="100"/>
      <c r="R224" s="4"/>
    </row>
    <row r="225" spans="1:18">
      <c r="A225" s="1">
        <f t="shared" si="7"/>
        <v>0</v>
      </c>
      <c r="B225" s="2"/>
      <c r="C225" s="8"/>
      <c r="D225" s="101" t="s">
        <v>31</v>
      </c>
      <c r="E225" s="133"/>
      <c r="F225" s="133"/>
      <c r="G225" s="133"/>
      <c r="H225" s="133"/>
      <c r="I225" s="133"/>
      <c r="J225" s="133"/>
      <c r="K225" s="106" t="s">
        <v>32</v>
      </c>
      <c r="L225" s="141" t="s">
        <v>33</v>
      </c>
      <c r="M225" s="106" t="s">
        <v>34</v>
      </c>
      <c r="N225" s="104" t="s">
        <v>20</v>
      </c>
      <c r="O225" s="105"/>
      <c r="P225" s="107" t="s">
        <v>22</v>
      </c>
      <c r="Q225" s="108"/>
      <c r="R225" s="4"/>
    </row>
    <row r="226" spans="1:18">
      <c r="A226" s="1">
        <f t="shared" si="7"/>
        <v>0</v>
      </c>
      <c r="B226" s="2" t="s">
        <v>259</v>
      </c>
      <c r="C226" s="8"/>
      <c r="D226" s="142" t="str">
        <f>IFERROR(INDEX([239]TRANSPORTES!B:B,MATCH(B226,[239]TRANSPORTES!A:A,0)),"")</f>
        <v>ESCOMBROS / SOBRANTES HASTA 5 KM</v>
      </c>
      <c r="E226" s="143"/>
      <c r="F226" s="143"/>
      <c r="G226" s="143"/>
      <c r="H226" s="143"/>
      <c r="I226" s="143"/>
      <c r="J226" s="143"/>
      <c r="K226" s="220">
        <v>0.1</v>
      </c>
      <c r="L226" s="145">
        <v>5</v>
      </c>
      <c r="M226" s="146" t="str">
        <f>IFERROR(INDEX([239]TRANSPORTES!C:C,MATCH(B226,[239]TRANSPORTES!A:A,0)),"")</f>
        <v>M3/KM</v>
      </c>
      <c r="N226" s="139">
        <f>IFERROR(INDEX([239]TRANSPORTES!D:D,MATCH(B226,[239]TRANSPORTES!A:A,0)),"")</f>
        <v>2300</v>
      </c>
      <c r="O226" s="147"/>
      <c r="P226" s="148">
        <f>IFERROR(ROUND(K226*N226*L226,2),"")</f>
        <v>1150</v>
      </c>
      <c r="Q226" s="119"/>
      <c r="R226" s="4"/>
    </row>
    <row r="227" spans="1:18">
      <c r="A227" s="1">
        <f t="shared" si="7"/>
        <v>0</v>
      </c>
      <c r="B227" s="2"/>
      <c r="C227" s="8"/>
      <c r="D227" s="142" t="str">
        <f>IFERROR(INDEX([239]TRANSPORTES!B:B,MATCH(B227,[239]TRANSPORTES!A:A,0)),"")</f>
        <v/>
      </c>
      <c r="E227" s="143"/>
      <c r="F227" s="143"/>
      <c r="G227" s="143"/>
      <c r="H227" s="143"/>
      <c r="I227" s="143"/>
      <c r="J227" s="143"/>
      <c r="K227" s="144"/>
      <c r="L227" s="145"/>
      <c r="M227" s="146" t="str">
        <f>IFERROR(INDEX([239]TRANSPORTES!C:C,MATCH(B227,[239]TRANSPORTES!A:A,0)),"")</f>
        <v/>
      </c>
      <c r="N227" s="139" t="str">
        <f>IFERROR(INDEX([239]TRANSPORTES!D:D,MATCH(B227,[239]TRANSPORTES!A:A,0)),"")</f>
        <v/>
      </c>
      <c r="O227" s="147"/>
      <c r="P227" s="148" t="str">
        <f>IFERROR(ROUND(K227*N227*L227,2),"")</f>
        <v/>
      </c>
      <c r="Q227" s="119"/>
      <c r="R227" s="4"/>
    </row>
    <row r="228" spans="1:18">
      <c r="A228" s="1">
        <f t="shared" si="7"/>
        <v>0</v>
      </c>
      <c r="B228" s="2"/>
      <c r="C228" s="8"/>
      <c r="D228" s="142" t="str">
        <f>IFERROR(INDEX([239]TRANSPORTES!B:B,MATCH(B228,[239]TRANSPORTES!A:A,0)),"")</f>
        <v/>
      </c>
      <c r="E228" s="143"/>
      <c r="F228" s="143"/>
      <c r="G228" s="143"/>
      <c r="H228" s="143"/>
      <c r="I228" s="143"/>
      <c r="J228" s="143"/>
      <c r="K228" s="144"/>
      <c r="L228" s="145"/>
      <c r="M228" s="146" t="str">
        <f>IFERROR(INDEX([239]TRANSPORTES!C:C,MATCH(B228,[239]TRANSPORTES!A:A,0)),"")</f>
        <v/>
      </c>
      <c r="N228" s="139" t="str">
        <f>IFERROR(INDEX([239]TRANSPORTES!D:D,MATCH(B228,[239]TRANSPORTES!A:A,0)),"")</f>
        <v/>
      </c>
      <c r="O228" s="147"/>
      <c r="P228" s="148" t="str">
        <f>IFERROR(ROUND(K228*N228*L228,2),"")</f>
        <v/>
      </c>
      <c r="Q228" s="119"/>
      <c r="R228" s="4"/>
    </row>
    <row r="229" spans="1:18" ht="15.75" thickBot="1">
      <c r="A229" s="1">
        <f t="shared" si="7"/>
        <v>0</v>
      </c>
      <c r="B229" s="2"/>
      <c r="C229" s="8"/>
      <c r="D229" s="142" t="str">
        <f>IFERROR(INDEX([239]TRANSPORTES!B:B,MATCH(B229,[239]TRANSPORTES!A:A,0)),"")</f>
        <v/>
      </c>
      <c r="E229" s="143"/>
      <c r="F229" s="143"/>
      <c r="G229" s="143"/>
      <c r="H229" s="143"/>
      <c r="I229" s="143"/>
      <c r="J229" s="143"/>
      <c r="K229" s="149"/>
      <c r="L229" s="150"/>
      <c r="M229" s="146" t="str">
        <f>IFERROR(INDEX([239]TRANSPORTES!C:C,MATCH(B229,[239]TRANSPORTES!A:A,0)),"")</f>
        <v/>
      </c>
      <c r="N229" s="139" t="str">
        <f>IFERROR(INDEX([239]TRANSPORTES!D:D,MATCH(B229,[239]TRANSPORTES!A:A,0)),"")</f>
        <v/>
      </c>
      <c r="O229" s="147"/>
      <c r="P229" s="148" t="str">
        <f>IFERROR(ROUND(K229*N229*L229,2),"")</f>
        <v/>
      </c>
      <c r="Q229" s="119"/>
      <c r="R229" s="4"/>
    </row>
    <row r="230" spans="1:18" ht="15.75" thickBot="1">
      <c r="A230" s="1">
        <f t="shared" si="7"/>
        <v>0</v>
      </c>
      <c r="B230" s="2"/>
      <c r="C230" s="8"/>
      <c r="D230" s="128" t="s">
        <v>24</v>
      </c>
      <c r="E230" s="129"/>
      <c r="F230" s="129"/>
      <c r="G230" s="129"/>
      <c r="H230" s="129"/>
      <c r="I230" s="129"/>
      <c r="J230" s="129"/>
      <c r="K230" s="129"/>
      <c r="L230" s="129"/>
      <c r="M230" s="129"/>
      <c r="N230" s="129"/>
      <c r="O230" s="130"/>
      <c r="P230" s="151">
        <f>SUM(P226:P229)</f>
        <v>1150</v>
      </c>
      <c r="Q230" s="132"/>
      <c r="R230" s="4"/>
    </row>
    <row r="231" spans="1:18" ht="15.75" thickBot="1">
      <c r="A231" s="1">
        <f t="shared" si="7"/>
        <v>0</v>
      </c>
      <c r="B231" s="2"/>
      <c r="C231" s="8"/>
      <c r="D231" s="74" t="s">
        <v>36</v>
      </c>
      <c r="E231" s="37"/>
      <c r="F231" s="37"/>
      <c r="G231" s="37"/>
      <c r="H231" s="37"/>
      <c r="I231" s="37"/>
      <c r="J231" s="37"/>
      <c r="K231" s="37"/>
      <c r="L231" s="37"/>
      <c r="M231" s="37"/>
      <c r="N231" s="37"/>
      <c r="O231" s="37"/>
      <c r="P231" s="99"/>
      <c r="Q231" s="100"/>
      <c r="R231" s="4"/>
    </row>
    <row r="232" spans="1:18" ht="30">
      <c r="A232" s="1">
        <f t="shared" si="7"/>
        <v>0</v>
      </c>
      <c r="B232" s="2"/>
      <c r="C232" s="8"/>
      <c r="D232" s="101" t="s">
        <v>37</v>
      </c>
      <c r="E232" s="133"/>
      <c r="F232" s="133"/>
      <c r="G232" s="133"/>
      <c r="H232" s="133"/>
      <c r="I232" s="133"/>
      <c r="J232" s="133"/>
      <c r="K232" s="106" t="s">
        <v>38</v>
      </c>
      <c r="L232" s="152" t="s">
        <v>39</v>
      </c>
      <c r="M232" s="153" t="s">
        <v>40</v>
      </c>
      <c r="N232" s="104" t="s">
        <v>21</v>
      </c>
      <c r="O232" s="105"/>
      <c r="P232" s="154" t="s">
        <v>22</v>
      </c>
      <c r="Q232" s="155"/>
      <c r="R232" s="4"/>
    </row>
    <row r="233" spans="1:18">
      <c r="A233" s="1">
        <f t="shared" si="7"/>
        <v>0</v>
      </c>
      <c r="B233" s="2" t="s">
        <v>41</v>
      </c>
      <c r="C233" s="8"/>
      <c r="D233" s="109" t="str">
        <f>IFERROR(INDEX('[239]MANO DE OBRA'!B:B,MATCH(B233,'[239]MANO DE OBRA'!A:A,0)),"")</f>
        <v>OFICIAL</v>
      </c>
      <c r="E233" s="110"/>
      <c r="F233" s="110"/>
      <c r="G233" s="110"/>
      <c r="H233" s="110"/>
      <c r="I233" s="110"/>
      <c r="J233" s="111"/>
      <c r="K233" s="156">
        <f>IFERROR(INDEX('[239]MANO DE OBRA'!D:D,MATCH(B233,'[239]MANO DE OBRA'!A:A,0)),"")</f>
        <v>95930</v>
      </c>
      <c r="L233" s="157">
        <f>+IF(D233&lt;&gt;"",'[239]FACTOR PRESTACIONAL'!$E$21," ")</f>
        <v>1.95</v>
      </c>
      <c r="M233" s="158">
        <f>IFERROR(K233*L233," ")</f>
        <v>187063.5</v>
      </c>
      <c r="N233" s="159">
        <v>20</v>
      </c>
      <c r="O233" s="160"/>
      <c r="P233" s="161">
        <f>IFERROR(ROUND(M233/N233,2)," ")</f>
        <v>9353.18</v>
      </c>
      <c r="Q233" s="162"/>
      <c r="R233" s="4"/>
    </row>
    <row r="234" spans="1:18">
      <c r="A234" s="1">
        <f t="shared" si="7"/>
        <v>0</v>
      </c>
      <c r="B234" s="2" t="s">
        <v>81</v>
      </c>
      <c r="C234" s="8"/>
      <c r="D234" s="109" t="str">
        <f>IFERROR(INDEX('[239]MANO DE OBRA'!B:B,MATCH(B234,'[239]MANO DE OBRA'!A:A,0)),"")</f>
        <v>AYUDANTE (1)</v>
      </c>
      <c r="E234" s="110"/>
      <c r="F234" s="110"/>
      <c r="G234" s="110"/>
      <c r="H234" s="110"/>
      <c r="I234" s="110"/>
      <c r="J234" s="111"/>
      <c r="K234" s="156">
        <f>IFERROR(INDEX('[239]MANO DE OBRA'!D:D,MATCH(B234,'[239]MANO DE OBRA'!A:A,0)),"")</f>
        <v>71433</v>
      </c>
      <c r="L234" s="157">
        <f>+IF(D234&lt;&gt;"",'[239]FACTOR PRESTACIONAL'!$E$21," ")</f>
        <v>1.95</v>
      </c>
      <c r="M234" s="158">
        <f>IFERROR(K234*L234," ")</f>
        <v>139294.35</v>
      </c>
      <c r="N234" s="159">
        <v>20</v>
      </c>
      <c r="O234" s="160"/>
      <c r="P234" s="161">
        <f>IFERROR(ROUND(M234/N234,2)," ")</f>
        <v>6964.72</v>
      </c>
      <c r="Q234" s="162"/>
      <c r="R234" s="4"/>
    </row>
    <row r="235" spans="1:18">
      <c r="A235" s="1">
        <f t="shared" si="7"/>
        <v>0</v>
      </c>
      <c r="B235" s="2"/>
      <c r="C235" s="8"/>
      <c r="D235" s="109" t="str">
        <f>IFERROR(INDEX('[239]MANO DE OBRA'!B:B,MATCH(B235,'[239]MANO DE OBRA'!A:A,0)),"")</f>
        <v/>
      </c>
      <c r="E235" s="110"/>
      <c r="F235" s="110"/>
      <c r="G235" s="110"/>
      <c r="H235" s="110"/>
      <c r="I235" s="110"/>
      <c r="J235" s="111"/>
      <c r="K235" s="156" t="str">
        <f>IFERROR(INDEX('[239]MANO DE OBRA'!D:D,MATCH(B235,'[239]MANO DE OBRA'!A:A,0)),"")</f>
        <v/>
      </c>
      <c r="L235" s="157" t="str">
        <f>+IF(D235&lt;&gt;"",'[239]FACTOR PRESTACIONAL'!$E$21," ")</f>
        <v xml:space="preserve"> </v>
      </c>
      <c r="M235" s="158" t="str">
        <f>IFERROR(K235*L235," ")</f>
        <v xml:space="preserve"> </v>
      </c>
      <c r="N235" s="159"/>
      <c r="O235" s="160"/>
      <c r="P235" s="161" t="str">
        <f>IFERROR(ROUND(M235/N235,2)," ")</f>
        <v xml:space="preserve"> </v>
      </c>
      <c r="Q235" s="162"/>
      <c r="R235" s="4"/>
    </row>
    <row r="236" spans="1:18">
      <c r="A236" s="1">
        <f t="shared" si="7"/>
        <v>0</v>
      </c>
      <c r="B236" s="2"/>
      <c r="C236" s="8"/>
      <c r="D236" s="109" t="str">
        <f>IFERROR(INDEX('[239]MANO DE OBRA'!B:B,MATCH(B236,'[239]MANO DE OBRA'!A:A,0)),"")</f>
        <v/>
      </c>
      <c r="E236" s="110"/>
      <c r="F236" s="110"/>
      <c r="G236" s="110"/>
      <c r="H236" s="110"/>
      <c r="I236" s="110"/>
      <c r="J236" s="111"/>
      <c r="K236" s="156" t="str">
        <f>IFERROR(INDEX('[239]MANO DE OBRA'!D:D,MATCH(B236,'[239]MANO DE OBRA'!A:A,0)),"")</f>
        <v/>
      </c>
      <c r="L236" s="157" t="str">
        <f>+IF(D236&lt;&gt;"",'[239]FACTOR PRESTACIONAL'!$E$21," ")</f>
        <v xml:space="preserve"> </v>
      </c>
      <c r="M236" s="158" t="str">
        <f>IFERROR(K236*L236," ")</f>
        <v xml:space="preserve"> </v>
      </c>
      <c r="N236" s="159"/>
      <c r="O236" s="160"/>
      <c r="P236" s="161" t="str">
        <f>IFERROR(ROUND(M236/N236,2)," ")</f>
        <v xml:space="preserve"> </v>
      </c>
      <c r="Q236" s="162"/>
      <c r="R236" s="4"/>
    </row>
    <row r="237" spans="1:18" ht="15.75" thickBot="1">
      <c r="A237" s="1">
        <f t="shared" si="7"/>
        <v>0</v>
      </c>
      <c r="B237" s="2"/>
      <c r="C237" s="8"/>
      <c r="D237" s="109" t="str">
        <f>IFERROR(INDEX('[239]MANO DE OBRA'!B:B,MATCH(B237,'[239]MANO DE OBRA'!A:A,0)),"")</f>
        <v/>
      </c>
      <c r="E237" s="110"/>
      <c r="F237" s="110"/>
      <c r="G237" s="110"/>
      <c r="H237" s="110"/>
      <c r="I237" s="110"/>
      <c r="J237" s="111"/>
      <c r="K237" s="156" t="str">
        <f>IFERROR(INDEX('[239]MANO DE OBRA'!D:D,MATCH(B237,'[239]MANO DE OBRA'!A:A,0)),"")</f>
        <v/>
      </c>
      <c r="L237" s="157" t="str">
        <f>+IF(D237&lt;&gt;"",'[239]FACTOR PRESTACIONAL'!$E$21," ")</f>
        <v xml:space="preserve"> </v>
      </c>
      <c r="M237" s="158" t="str">
        <f>IFERROR(K237*L237," ")</f>
        <v xml:space="preserve"> </v>
      </c>
      <c r="N237" s="159"/>
      <c r="O237" s="160"/>
      <c r="P237" s="161" t="str">
        <f>IFERROR(ROUND(M237/N237,2)," ")</f>
        <v xml:space="preserve"> </v>
      </c>
      <c r="Q237" s="119"/>
      <c r="R237" s="4"/>
    </row>
    <row r="238" spans="1:18" ht="15.75" thickBot="1">
      <c r="A238" s="1">
        <f t="shared" si="7"/>
        <v>0</v>
      </c>
      <c r="B238" s="2"/>
      <c r="C238" s="8"/>
      <c r="D238" s="128" t="s">
        <v>24</v>
      </c>
      <c r="E238" s="129"/>
      <c r="F238" s="129"/>
      <c r="G238" s="129"/>
      <c r="H238" s="129"/>
      <c r="I238" s="129"/>
      <c r="J238" s="129"/>
      <c r="K238" s="129"/>
      <c r="L238" s="129"/>
      <c r="M238" s="129"/>
      <c r="N238" s="129"/>
      <c r="O238" s="130"/>
      <c r="P238" s="131">
        <f>SUM(P233:P237)</f>
        <v>16317.900000000001</v>
      </c>
      <c r="Q238" s="119"/>
      <c r="R238" s="4"/>
    </row>
    <row r="239" spans="1:18" ht="15.75" thickBot="1">
      <c r="A239" s="1">
        <f t="shared" si="7"/>
        <v>0</v>
      </c>
      <c r="B239" s="2"/>
      <c r="C239" s="8"/>
      <c r="D239" s="87"/>
      <c r="E239" s="20"/>
      <c r="F239" s="20"/>
      <c r="G239" s="20"/>
      <c r="H239" s="20"/>
      <c r="I239" s="20"/>
      <c r="J239" s="20"/>
      <c r="K239" s="20"/>
      <c r="L239" s="20"/>
      <c r="M239" s="20"/>
      <c r="N239" s="20"/>
      <c r="O239" s="20"/>
      <c r="P239" s="88"/>
      <c r="Q239" s="13"/>
      <c r="R239" s="4"/>
    </row>
    <row r="240" spans="1:18" ht="15.75" thickBot="1">
      <c r="A240" s="1"/>
      <c r="B240" s="2"/>
      <c r="C240" s="8"/>
      <c r="D240" s="163" t="s">
        <v>43</v>
      </c>
      <c r="E240" s="164"/>
      <c r="F240" s="164"/>
      <c r="G240" s="164"/>
      <c r="H240" s="164"/>
      <c r="I240" s="164"/>
      <c r="J240" s="164"/>
      <c r="K240" s="164"/>
      <c r="L240" s="164"/>
      <c r="M240" s="164"/>
      <c r="N240" s="164"/>
      <c r="O240" s="165"/>
      <c r="P240" s="166">
        <f>+P238+P230+P223+P205</f>
        <v>19249.690000000002</v>
      </c>
      <c r="Q240" s="167"/>
      <c r="R240" s="168"/>
    </row>
    <row r="241" spans="1:18" ht="15.75" thickBot="1">
      <c r="A241" s="1"/>
      <c r="B241" s="2"/>
      <c r="C241" s="8"/>
      <c r="D241" s="169"/>
      <c r="E241" s="170"/>
      <c r="F241" s="170"/>
      <c r="G241" s="170"/>
      <c r="H241" s="170"/>
      <c r="I241" s="170"/>
      <c r="J241" s="170"/>
      <c r="K241" s="170"/>
      <c r="L241" s="170"/>
      <c r="M241" s="170"/>
      <c r="N241" s="170"/>
      <c r="O241" s="170"/>
      <c r="P241" s="171"/>
      <c r="Q241" s="100"/>
      <c r="R241" s="4"/>
    </row>
    <row r="242" spans="1:18">
      <c r="A242" s="1"/>
      <c r="B242" s="2"/>
      <c r="C242" s="8"/>
      <c r="D242" s="172" t="s">
        <v>73</v>
      </c>
      <c r="E242" s="173"/>
      <c r="F242" s="173"/>
      <c r="G242" s="173"/>
      <c r="H242" s="173"/>
      <c r="I242" s="173"/>
      <c r="J242" s="173"/>
      <c r="K242" s="141"/>
      <c r="L242" s="174"/>
      <c r="M242" s="153" t="s">
        <v>44</v>
      </c>
      <c r="N242" s="175" t="s">
        <v>45</v>
      </c>
      <c r="O242" s="176"/>
      <c r="P242" s="154"/>
      <c r="Q242" s="155"/>
      <c r="R242" s="4"/>
    </row>
    <row r="243" spans="1:18">
      <c r="A243" s="1"/>
      <c r="B243" s="2"/>
      <c r="C243" s="8"/>
      <c r="D243" s="109" t="s">
        <v>65</v>
      </c>
      <c r="E243" s="110"/>
      <c r="F243" s="110"/>
      <c r="G243" s="110"/>
      <c r="H243" s="110"/>
      <c r="I243" s="110"/>
      <c r="J243" s="110"/>
      <c r="K243" s="177"/>
      <c r="L243" s="178"/>
      <c r="M243" s="179">
        <f>+[239]INICIO!$F$10</f>
        <v>0.24</v>
      </c>
      <c r="N243" s="180">
        <f>ROUND(M243*P240,2)</f>
        <v>4619.93</v>
      </c>
      <c r="O243" s="181"/>
      <c r="P243" s="182"/>
      <c r="Q243" s="119"/>
      <c r="R243" s="4"/>
    </row>
    <row r="244" spans="1:18">
      <c r="A244" s="1"/>
      <c r="B244" s="2"/>
      <c r="C244" s="8"/>
      <c r="D244" s="183" t="s">
        <v>67</v>
      </c>
      <c r="E244" s="61"/>
      <c r="F244" s="61"/>
      <c r="G244" s="61"/>
      <c r="H244" s="61"/>
      <c r="I244" s="61"/>
      <c r="J244" s="61"/>
      <c r="K244" s="177"/>
      <c r="L244" s="178"/>
      <c r="M244" s="179">
        <f>+[239]INICIO!$F$11</f>
        <v>0.02</v>
      </c>
      <c r="N244" s="180">
        <f>ROUND(M244*P240,2)</f>
        <v>384.99</v>
      </c>
      <c r="O244" s="181"/>
      <c r="P244" s="182"/>
      <c r="Q244" s="119"/>
      <c r="R244" s="4"/>
    </row>
    <row r="245" spans="1:18" ht="15.75" thickBot="1">
      <c r="A245" s="1"/>
      <c r="B245" s="2"/>
      <c r="C245" s="8"/>
      <c r="D245" s="77" t="s">
        <v>69</v>
      </c>
      <c r="E245" s="78"/>
      <c r="F245" s="78"/>
      <c r="G245" s="78"/>
      <c r="H245" s="78"/>
      <c r="I245" s="78"/>
      <c r="J245" s="78"/>
      <c r="K245" s="184"/>
      <c r="L245" s="185"/>
      <c r="M245" s="179">
        <f>+[239]INICIO!$F$12</f>
        <v>7.0000000000000007E-2</v>
      </c>
      <c r="N245" s="180">
        <f>ROUND(M245*P240,2)</f>
        <v>1347.48</v>
      </c>
      <c r="O245" s="181"/>
      <c r="P245" s="182"/>
      <c r="Q245" s="119"/>
      <c r="R245" s="4"/>
    </row>
    <row r="246" spans="1:18" ht="15.75" thickBot="1">
      <c r="A246" s="1"/>
      <c r="B246" s="2"/>
      <c r="C246" s="8"/>
      <c r="D246" s="128"/>
      <c r="E246" s="129"/>
      <c r="F246" s="129"/>
      <c r="G246" s="129"/>
      <c r="H246" s="129"/>
      <c r="I246" s="129"/>
      <c r="J246" s="129"/>
      <c r="K246" s="129"/>
      <c r="L246" s="129"/>
      <c r="M246" s="129"/>
      <c r="N246" s="129"/>
      <c r="O246" s="130"/>
      <c r="P246" s="131">
        <f>SUM(N243:N245)</f>
        <v>6352.4</v>
      </c>
      <c r="Q246" s="186"/>
      <c r="R246" s="4"/>
    </row>
    <row r="247" spans="1:18" ht="15.75" thickBot="1">
      <c r="A247" s="1"/>
      <c r="B247" s="2"/>
      <c r="C247" s="8"/>
      <c r="D247" s="87"/>
      <c r="E247" s="20"/>
      <c r="F247" s="20"/>
      <c r="G247" s="20"/>
      <c r="H247" s="20"/>
      <c r="I247" s="20"/>
      <c r="J247" s="20"/>
      <c r="K247" s="20"/>
      <c r="L247" s="20"/>
      <c r="M247" s="20"/>
      <c r="N247" s="20"/>
      <c r="O247" s="20"/>
      <c r="P247" s="88"/>
      <c r="Q247" s="13"/>
      <c r="R247" s="4"/>
    </row>
    <row r="248" spans="1:18" ht="15.75" thickBot="1">
      <c r="A248" s="1"/>
      <c r="B248" s="2"/>
      <c r="C248" s="8"/>
      <c r="D248" s="187" t="s">
        <v>46</v>
      </c>
      <c r="E248" s="188"/>
      <c r="F248" s="188"/>
      <c r="G248" s="188"/>
      <c r="H248" s="188"/>
      <c r="I248" s="188"/>
      <c r="J248" s="188"/>
      <c r="K248" s="188"/>
      <c r="L248" s="188"/>
      <c r="M248" s="188"/>
      <c r="N248" s="188"/>
      <c r="O248" s="189"/>
      <c r="P248" s="166">
        <f>ROUND(P246+P240,0)</f>
        <v>25602</v>
      </c>
      <c r="Q248" s="186"/>
      <c r="R248" s="4"/>
    </row>
    <row r="249" spans="1:18">
      <c r="A249" s="1"/>
      <c r="B249" s="2"/>
      <c r="C249" s="8"/>
      <c r="D249" s="80"/>
      <c r="E249" s="81"/>
      <c r="F249" s="81"/>
      <c r="G249" s="81"/>
      <c r="H249" s="81"/>
      <c r="I249" s="81"/>
      <c r="J249" s="81"/>
      <c r="K249" s="81"/>
      <c r="L249" s="81"/>
      <c r="M249" s="81"/>
      <c r="N249" s="81"/>
      <c r="O249" s="81"/>
      <c r="P249" s="82"/>
      <c r="Q249" s="13"/>
      <c r="R249" s="4"/>
    </row>
    <row r="250" spans="1:18">
      <c r="A250" s="1"/>
      <c r="B250" s="2"/>
      <c r="C250" s="8"/>
      <c r="D250" s="87"/>
      <c r="E250" s="20"/>
      <c r="F250" s="20"/>
      <c r="G250" s="20"/>
      <c r="H250" s="20"/>
      <c r="I250" s="20"/>
      <c r="J250" s="20"/>
      <c r="K250" s="20"/>
      <c r="L250" s="20"/>
      <c r="M250" s="20"/>
      <c r="N250" s="20"/>
      <c r="O250" s="20"/>
      <c r="P250" s="88"/>
      <c r="Q250" s="13"/>
      <c r="R250" s="4"/>
    </row>
    <row r="251" spans="1:18">
      <c r="A251" s="1"/>
      <c r="B251" s="2"/>
      <c r="C251" s="8"/>
      <c r="D251" s="87"/>
      <c r="E251" s="20"/>
      <c r="F251" s="20"/>
      <c r="G251" s="20"/>
      <c r="H251" s="20"/>
      <c r="I251" s="20"/>
      <c r="J251" s="20"/>
      <c r="K251" s="20"/>
      <c r="L251" s="20"/>
      <c r="M251" s="20"/>
      <c r="N251" s="20"/>
      <c r="O251" s="20"/>
      <c r="P251" s="88"/>
      <c r="Q251" s="13"/>
      <c r="R251" s="4"/>
    </row>
    <row r="252" spans="1:18">
      <c r="A252" s="1"/>
      <c r="B252" s="2"/>
      <c r="C252" s="8"/>
      <c r="D252" s="87"/>
      <c r="E252" s="20"/>
      <c r="F252" s="20"/>
      <c r="G252" s="20"/>
      <c r="H252" s="20"/>
      <c r="I252" s="20"/>
      <c r="J252" s="20"/>
      <c r="K252" s="20"/>
      <c r="L252" s="20"/>
      <c r="M252" s="20"/>
      <c r="N252" s="20"/>
      <c r="O252" s="20"/>
      <c r="P252" s="88"/>
      <c r="Q252" s="13"/>
      <c r="R252" s="4"/>
    </row>
    <row r="253" spans="1:18">
      <c r="A253" s="1"/>
      <c r="B253" s="2"/>
      <c r="C253" s="8"/>
      <c r="D253" s="219" t="str">
        <f>+[239]INICIO!$B$13</f>
        <v>Proyectó:</v>
      </c>
      <c r="E253" s="49"/>
      <c r="F253" s="49"/>
      <c r="G253" s="49"/>
      <c r="H253" s="49"/>
      <c r="I253" s="49"/>
      <c r="J253" s="49"/>
      <c r="K253" s="20"/>
      <c r="L253" s="69" t="str">
        <f>+[239]INICIO!$B$16</f>
        <v>Aprobó:</v>
      </c>
      <c r="M253" s="49"/>
      <c r="N253" s="49"/>
      <c r="O253" s="49"/>
      <c r="P253" s="88"/>
      <c r="Q253" s="13"/>
      <c r="R253" s="4"/>
    </row>
    <row r="254" spans="1:18">
      <c r="A254" s="1"/>
      <c r="B254" s="2"/>
      <c r="C254" s="8"/>
      <c r="D254" s="87"/>
      <c r="E254" s="20" t="str">
        <f>+Hoja2!C$13</f>
        <v>HELMER EDUARDO BECERRA SANTANDER</v>
      </c>
      <c r="F254" s="20"/>
      <c r="G254" s="20"/>
      <c r="H254" s="20"/>
      <c r="I254" s="20"/>
      <c r="J254" s="20"/>
      <c r="K254" s="20"/>
      <c r="L254" s="20"/>
      <c r="M254" s="20" t="str">
        <f>+Hoja2!$C$16</f>
        <v>JESÚS IVÁN QUIÑONES RUEDA</v>
      </c>
      <c r="N254" s="20"/>
      <c r="O254" s="20"/>
      <c r="P254" s="88"/>
      <c r="Q254" s="190"/>
      <c r="R254" s="4"/>
    </row>
    <row r="255" spans="1:18">
      <c r="A255" s="1"/>
      <c r="B255" s="2"/>
      <c r="C255" s="8"/>
      <c r="D255" s="87"/>
      <c r="E255" s="20" t="str">
        <f>+Hoja2!C$14</f>
        <v>APOYO SEC. DE PLANEACIÓN Y OBRAS PÚBLICAS</v>
      </c>
      <c r="F255" s="20"/>
      <c r="G255" s="20"/>
      <c r="H255" s="20"/>
      <c r="I255" s="20"/>
      <c r="J255" s="20"/>
      <c r="K255" s="20"/>
      <c r="L255" s="20"/>
      <c r="M255" s="20" t="str">
        <f>+Hoja2!$C$17</f>
        <v>SECRETARIO DE PLANEACIÓN Y OBRAS PUBLICAS</v>
      </c>
      <c r="N255" s="20"/>
      <c r="O255" s="20"/>
      <c r="P255" s="88"/>
      <c r="Q255" s="190"/>
      <c r="R255" s="4"/>
    </row>
    <row r="256" spans="1:18">
      <c r="A256" s="1"/>
      <c r="B256" s="2"/>
      <c r="C256" s="8"/>
      <c r="D256" s="68"/>
      <c r="E256" s="20" t="str">
        <f>+Hoja2!C$15</f>
        <v>123769-0701671 NTS</v>
      </c>
      <c r="F256" s="191"/>
      <c r="G256" s="191"/>
      <c r="H256" s="191"/>
      <c r="I256" s="20"/>
      <c r="J256" s="191"/>
      <c r="K256" s="191"/>
      <c r="L256" s="191"/>
      <c r="M256" s="192" t="str">
        <f>+Hoja2!C$18</f>
        <v>A21382020-1090480860</v>
      </c>
      <c r="N256" s="191"/>
      <c r="O256" s="191"/>
      <c r="P256" s="193"/>
      <c r="Q256" s="194"/>
      <c r="R256" s="4"/>
    </row>
    <row r="257" spans="1:18" ht="16.5" thickBot="1">
      <c r="A257" s="1"/>
      <c r="B257" s="2"/>
      <c r="C257" s="8"/>
      <c r="D257" s="195"/>
      <c r="E257" s="150"/>
      <c r="F257" s="150"/>
      <c r="G257" s="150"/>
      <c r="H257" s="150"/>
      <c r="I257" s="150"/>
      <c r="J257" s="150"/>
      <c r="K257" s="150"/>
      <c r="L257" s="150"/>
      <c r="M257" s="150"/>
      <c r="N257" s="150"/>
      <c r="O257" s="150"/>
      <c r="P257" s="196"/>
      <c r="Q257" s="197"/>
      <c r="R257" s="4"/>
    </row>
    <row r="258" spans="1:18" ht="15.75" thickBot="1">
      <c r="A258" s="1"/>
      <c r="B258" s="2"/>
      <c r="C258" s="198"/>
      <c r="D258" s="199"/>
      <c r="E258" s="199"/>
      <c r="F258" s="199"/>
      <c r="G258" s="199"/>
      <c r="H258" s="199"/>
      <c r="I258" s="199"/>
      <c r="J258" s="199"/>
      <c r="K258" s="199"/>
      <c r="L258" s="199"/>
      <c r="M258" s="199"/>
      <c r="N258" s="199"/>
      <c r="O258" s="199"/>
      <c r="P258" s="199"/>
      <c r="Q258" s="200"/>
      <c r="R258" s="4"/>
    </row>
    <row r="259" spans="1:18" ht="15.75" thickTop="1">
      <c r="A259" s="1"/>
      <c r="B259" s="2"/>
      <c r="C259" s="3"/>
      <c r="D259" s="4"/>
      <c r="E259" s="4"/>
      <c r="F259" s="4"/>
      <c r="G259" s="4"/>
      <c r="H259" s="4"/>
      <c r="I259" s="4"/>
      <c r="J259" s="4"/>
      <c r="K259" s="4"/>
      <c r="L259" s="4"/>
      <c r="M259" s="4"/>
      <c r="N259" s="4"/>
      <c r="O259" s="4"/>
      <c r="P259" s="4"/>
      <c r="Q259" s="4"/>
      <c r="R259" s="4"/>
    </row>
    <row r="260" spans="1:18" ht="15.75" thickBot="1">
      <c r="A260" s="1"/>
      <c r="B260" s="2"/>
      <c r="C260" s="3"/>
      <c r="D260" s="4"/>
      <c r="E260" s="4"/>
      <c r="F260" s="4"/>
      <c r="G260" s="4"/>
      <c r="H260" s="4"/>
      <c r="I260" s="4"/>
      <c r="J260" s="4"/>
      <c r="K260" s="4"/>
      <c r="L260" s="4"/>
      <c r="M260" s="4"/>
      <c r="N260" s="4"/>
      <c r="O260" s="4"/>
      <c r="P260" s="4"/>
      <c r="Q260" s="4"/>
      <c r="R260" s="4"/>
    </row>
    <row r="261" spans="1:18" ht="15.75" thickTop="1">
      <c r="A261" s="1"/>
      <c r="B261" s="2"/>
      <c r="C261" s="5"/>
      <c r="D261" s="6"/>
      <c r="E261" s="6"/>
      <c r="F261" s="6"/>
      <c r="G261" s="6"/>
      <c r="H261" s="6"/>
      <c r="I261" s="6"/>
      <c r="J261" s="6"/>
      <c r="K261" s="6"/>
      <c r="L261" s="6"/>
      <c r="M261" s="6"/>
      <c r="N261" s="6"/>
      <c r="O261" s="6"/>
      <c r="P261" s="6"/>
      <c r="Q261" s="7"/>
      <c r="R261" s="4"/>
    </row>
    <row r="262" spans="1:18" ht="24">
      <c r="A262" s="1"/>
      <c r="B262" s="2"/>
      <c r="C262" s="8"/>
      <c r="D262" s="9" t="str">
        <f>+[239]INICIO!$C$8</f>
        <v>Análisis de Precios Unitarios- Secretaria de Planeación y Obras Publicas de Cubará, Boyacá.</v>
      </c>
      <c r="E262" s="10"/>
      <c r="F262" s="10"/>
      <c r="G262" s="10"/>
      <c r="H262" s="11"/>
      <c r="I262" s="12"/>
      <c r="J262" s="12"/>
      <c r="K262" s="12"/>
      <c r="L262" s="12"/>
      <c r="M262" s="12"/>
      <c r="N262" s="12"/>
      <c r="O262" s="12"/>
      <c r="P262" s="12"/>
      <c r="Q262" s="13"/>
      <c r="R262" s="4"/>
    </row>
    <row r="263" spans="1:18">
      <c r="A263" s="1"/>
      <c r="B263" s="2"/>
      <c r="C263" s="8"/>
      <c r="D263" s="14" t="s">
        <v>0</v>
      </c>
      <c r="E263" s="15" t="str">
        <f>+[239]INICIO!$C$7</f>
        <v>CCE-EICP-FM-14</v>
      </c>
      <c r="F263" s="16"/>
      <c r="G263" s="17" t="str">
        <f>+[239]INICIO!$B$6</f>
        <v>VERSIÓN</v>
      </c>
      <c r="H263" s="14">
        <f>+[239]INICIO!$C$6</f>
        <v>1</v>
      </c>
      <c r="I263" s="12"/>
      <c r="J263" s="12"/>
      <c r="K263" s="12"/>
      <c r="L263" s="12"/>
      <c r="M263" s="12"/>
      <c r="N263" s="12"/>
      <c r="O263" s="12"/>
      <c r="P263" s="12"/>
      <c r="Q263" s="13"/>
      <c r="R263" s="4"/>
    </row>
    <row r="264" spans="1:18">
      <c r="A264" s="1"/>
      <c r="B264" s="2"/>
      <c r="C264" s="8"/>
      <c r="D264" s="18"/>
      <c r="E264" s="19"/>
      <c r="F264" s="18"/>
      <c r="G264" s="19"/>
      <c r="H264" s="12"/>
      <c r="I264" s="12"/>
      <c r="J264" s="12"/>
      <c r="K264" s="12"/>
      <c r="L264" s="12"/>
      <c r="M264" s="12"/>
      <c r="N264" s="12"/>
      <c r="O264" s="12"/>
      <c r="P264" s="12"/>
      <c r="Q264" s="13"/>
      <c r="R264" s="4"/>
    </row>
    <row r="265" spans="1:18" ht="15.75" thickBot="1">
      <c r="A265" s="1"/>
      <c r="B265" s="2"/>
      <c r="C265" s="8"/>
      <c r="D265" s="20"/>
      <c r="E265" s="20"/>
      <c r="F265" s="20"/>
      <c r="G265" s="20"/>
      <c r="H265" s="20"/>
      <c r="I265" s="20"/>
      <c r="J265" s="20"/>
      <c r="K265" s="20"/>
      <c r="L265" s="20"/>
      <c r="M265" s="20"/>
      <c r="N265" s="20"/>
      <c r="O265" s="20"/>
      <c r="P265" s="20"/>
      <c r="Q265" s="13"/>
      <c r="R265" s="4"/>
    </row>
    <row r="266" spans="1:18">
      <c r="A266" s="1"/>
      <c r="B266" s="2"/>
      <c r="C266" s="8"/>
      <c r="D266" s="21"/>
      <c r="E266" s="22"/>
      <c r="F266" s="23"/>
      <c r="G266" s="23"/>
      <c r="H266" s="23"/>
      <c r="I266" s="23"/>
      <c r="J266" s="23"/>
      <c r="K266" s="23"/>
      <c r="L266" s="24"/>
      <c r="M266" s="25"/>
      <c r="N266" s="26"/>
      <c r="O266" s="26"/>
      <c r="P266" s="27"/>
      <c r="Q266" s="28"/>
      <c r="R266" s="4"/>
    </row>
    <row r="267" spans="1:18">
      <c r="A267" s="1"/>
      <c r="B267" s="2"/>
      <c r="C267" s="8"/>
      <c r="D267" s="29"/>
      <c r="E267" s="30" t="s">
        <v>1</v>
      </c>
      <c r="F267" s="31"/>
      <c r="G267" s="31"/>
      <c r="H267" s="31"/>
      <c r="I267" s="31"/>
      <c r="J267" s="31"/>
      <c r="K267" s="31"/>
      <c r="L267" s="32"/>
      <c r="M267" s="33"/>
      <c r="N267" s="34"/>
      <c r="O267" s="34"/>
      <c r="P267" s="35"/>
      <c r="Q267" s="28"/>
      <c r="R267" s="4"/>
    </row>
    <row r="268" spans="1:18">
      <c r="A268" s="1"/>
      <c r="B268" s="2"/>
      <c r="C268" s="8"/>
      <c r="D268" s="29"/>
      <c r="E268" s="36"/>
      <c r="F268" s="37"/>
      <c r="G268" s="37"/>
      <c r="H268" s="37"/>
      <c r="I268" s="37"/>
      <c r="J268" s="37"/>
      <c r="K268" s="37"/>
      <c r="L268" s="38"/>
      <c r="M268" s="39"/>
      <c r="N268" s="40"/>
      <c r="O268" s="41"/>
      <c r="P268" s="42"/>
      <c r="Q268" s="28"/>
      <c r="R268" s="4"/>
    </row>
    <row r="269" spans="1:18">
      <c r="A269" s="1"/>
      <c r="B269" s="2"/>
      <c r="C269" s="8"/>
      <c r="D269" s="29"/>
      <c r="E269" s="36"/>
      <c r="F269" s="37"/>
      <c r="G269" s="37"/>
      <c r="H269" s="37"/>
      <c r="I269" s="37"/>
      <c r="J269" s="37"/>
      <c r="K269" s="37"/>
      <c r="L269" s="38"/>
      <c r="M269" s="43" t="s">
        <v>2</v>
      </c>
      <c r="N269" s="44"/>
      <c r="O269" s="45">
        <f>+[239]INICIO!$C$6</f>
        <v>1</v>
      </c>
      <c r="P269" s="46"/>
      <c r="Q269" s="28"/>
      <c r="R269" s="4"/>
    </row>
    <row r="270" spans="1:18">
      <c r="A270" s="1"/>
      <c r="B270" s="2"/>
      <c r="C270" s="8"/>
      <c r="D270" s="29"/>
      <c r="E270" s="36"/>
      <c r="F270" s="37"/>
      <c r="G270" s="37"/>
      <c r="H270" s="37"/>
      <c r="I270" s="37"/>
      <c r="J270" s="37"/>
      <c r="K270" s="37"/>
      <c r="L270" s="38"/>
      <c r="M270" s="47"/>
      <c r="N270" s="48"/>
      <c r="O270" s="49"/>
      <c r="P270" s="50"/>
      <c r="Q270" s="51"/>
      <c r="R270" s="4"/>
    </row>
    <row r="271" spans="1:18">
      <c r="A271" s="1"/>
      <c r="B271" s="2"/>
      <c r="C271" s="8"/>
      <c r="D271" s="29"/>
      <c r="E271" s="52"/>
      <c r="F271" s="53"/>
      <c r="G271" s="53"/>
      <c r="H271" s="53"/>
      <c r="I271" s="53"/>
      <c r="J271" s="53"/>
      <c r="K271" s="53"/>
      <c r="L271" s="54"/>
      <c r="M271" s="39"/>
      <c r="N271" s="55"/>
      <c r="O271" s="55"/>
      <c r="P271" s="56"/>
      <c r="Q271" s="28"/>
      <c r="R271" s="4"/>
    </row>
    <row r="272" spans="1:18">
      <c r="A272" s="1"/>
      <c r="B272" s="2"/>
      <c r="C272" s="8"/>
      <c r="D272" s="29"/>
      <c r="E272" s="52"/>
      <c r="F272" s="53"/>
      <c r="G272" s="53"/>
      <c r="H272" s="53"/>
      <c r="I272" s="53"/>
      <c r="J272" s="53"/>
      <c r="K272" s="53"/>
      <c r="L272" s="54"/>
      <c r="M272" s="43" t="s">
        <v>3</v>
      </c>
      <c r="N272" s="43" t="str">
        <f>+VLOOKUP(D283,'PRESUPUESTO OFICIAL '!C:Q,9,FALSE)</f>
        <v>4</v>
      </c>
      <c r="O272" s="43" t="s">
        <v>4</v>
      </c>
      <c r="P272" s="508" t="str">
        <f>+'PRESUPUESTO OFICIAL '!$M$122</f>
        <v>62</v>
      </c>
      <c r="Q272" s="28"/>
      <c r="R272" s="4"/>
    </row>
    <row r="273" spans="1:18">
      <c r="A273" s="1"/>
      <c r="B273" s="2"/>
      <c r="C273" s="8"/>
      <c r="D273" s="29"/>
      <c r="E273" s="30" t="s">
        <v>5</v>
      </c>
      <c r="F273" s="31"/>
      <c r="G273" s="31"/>
      <c r="H273" s="31"/>
      <c r="I273" s="31"/>
      <c r="J273" s="31"/>
      <c r="K273" s="31"/>
      <c r="L273" s="32"/>
      <c r="M273" s="43"/>
      <c r="N273" s="57"/>
      <c r="O273" s="57"/>
      <c r="P273" s="58"/>
      <c r="Q273" s="28"/>
      <c r="R273" s="4"/>
    </row>
    <row r="274" spans="1:18" ht="15.75" thickBot="1">
      <c r="A274" s="1"/>
      <c r="B274" s="2"/>
      <c r="C274" s="8"/>
      <c r="D274" s="59"/>
      <c r="E274" s="60"/>
      <c r="F274" s="60"/>
      <c r="G274" s="60"/>
      <c r="H274" s="60"/>
      <c r="I274" s="60"/>
      <c r="J274" s="60"/>
      <c r="K274" s="60"/>
      <c r="L274" s="60"/>
      <c r="M274" s="60"/>
      <c r="N274" s="61"/>
      <c r="O274" s="61"/>
      <c r="P274" s="62"/>
      <c r="Q274" s="63"/>
      <c r="R274" s="4"/>
    </row>
    <row r="275" spans="1:18">
      <c r="A275" s="1"/>
      <c r="B275" s="2"/>
      <c r="C275" s="8"/>
      <c r="D275" s="64"/>
      <c r="E275" s="65"/>
      <c r="F275" s="65"/>
      <c r="G275" s="65"/>
      <c r="H275" s="65"/>
      <c r="I275" s="65"/>
      <c r="J275" s="65"/>
      <c r="K275" s="65"/>
      <c r="L275" s="65"/>
      <c r="M275" s="66" t="s">
        <v>6</v>
      </c>
      <c r="N275" s="66" t="s">
        <v>7</v>
      </c>
      <c r="O275" s="66" t="s">
        <v>8</v>
      </c>
      <c r="P275" s="67" t="s">
        <v>9</v>
      </c>
      <c r="Q275" s="51"/>
      <c r="R275" s="4"/>
    </row>
    <row r="276" spans="1:18">
      <c r="A276" s="1"/>
      <c r="B276" s="2"/>
      <c r="C276" s="8"/>
      <c r="D276" s="68"/>
      <c r="E276" s="69"/>
      <c r="F276" s="69"/>
      <c r="G276" s="69"/>
      <c r="H276" s="69"/>
      <c r="I276" s="69"/>
      <c r="J276" s="69"/>
      <c r="K276" s="69"/>
      <c r="L276" s="69"/>
      <c r="M276" s="70"/>
      <c r="N276" s="71">
        <f>+Hoja2!B$5</f>
        <v>5</v>
      </c>
      <c r="O276" s="71">
        <f>+Hoja2!C$5</f>
        <v>8</v>
      </c>
      <c r="P276" s="72">
        <f>+Hoja2!D$5</f>
        <v>2026</v>
      </c>
      <c r="Q276" s="73"/>
      <c r="R276" s="4"/>
    </row>
    <row r="277" spans="1:18">
      <c r="A277" s="1"/>
      <c r="B277" s="2"/>
      <c r="C277" s="8"/>
      <c r="D277" s="74"/>
      <c r="E277" s="37"/>
      <c r="F277" s="37"/>
      <c r="G277" s="37"/>
      <c r="H277" s="69"/>
      <c r="I277" s="69"/>
      <c r="J277" s="69"/>
      <c r="K277" s="20"/>
      <c r="L277" s="69"/>
      <c r="M277" s="75"/>
      <c r="N277" s="20"/>
      <c r="O277" s="20"/>
      <c r="P277" s="76"/>
      <c r="Q277" s="73"/>
      <c r="R277" s="4"/>
    </row>
    <row r="278" spans="1:18" ht="15.75" thickBot="1">
      <c r="A278" s="1"/>
      <c r="B278" s="2"/>
      <c r="C278" s="8"/>
      <c r="D278" s="77"/>
      <c r="E278" s="78"/>
      <c r="F278" s="78"/>
      <c r="G278" s="78"/>
      <c r="H278" s="78"/>
      <c r="I278" s="78"/>
      <c r="J278" s="78"/>
      <c r="K278" s="78"/>
      <c r="L278" s="78"/>
      <c r="M278" s="78"/>
      <c r="N278" s="78"/>
      <c r="O278" s="78"/>
      <c r="P278" s="79"/>
      <c r="Q278" s="13"/>
      <c r="R278" s="4"/>
    </row>
    <row r="279" spans="1:18" ht="15.75" thickBot="1">
      <c r="A279" s="1"/>
      <c r="B279" s="2"/>
      <c r="C279" s="8"/>
      <c r="D279" s="80"/>
      <c r="E279" s="81"/>
      <c r="F279" s="81"/>
      <c r="G279" s="81"/>
      <c r="H279" s="81"/>
      <c r="I279" s="81"/>
      <c r="J279" s="20"/>
      <c r="K279" s="20"/>
      <c r="L279" s="81"/>
      <c r="M279" s="81"/>
      <c r="N279" s="81"/>
      <c r="O279" s="81"/>
      <c r="P279" s="82"/>
      <c r="Q279" s="13"/>
      <c r="R279" s="4"/>
    </row>
    <row r="280" spans="1:18">
      <c r="A280" s="1"/>
      <c r="B280" s="2"/>
      <c r="C280" s="8"/>
      <c r="D280" s="83" t="s">
        <v>10</v>
      </c>
      <c r="E280" s="84"/>
      <c r="F280" s="84"/>
      <c r="G280" s="84"/>
      <c r="H280" s="84"/>
      <c r="I280" s="84"/>
      <c r="J280" s="84"/>
      <c r="K280" s="84"/>
      <c r="L280" s="84"/>
      <c r="M280" s="84"/>
      <c r="N280" s="84"/>
      <c r="O280" s="84"/>
      <c r="P280" s="85"/>
      <c r="Q280" s="86"/>
      <c r="R280" s="4"/>
    </row>
    <row r="281" spans="1:18" ht="15.75" thickBot="1">
      <c r="A281" s="1"/>
      <c r="B281" s="2"/>
      <c r="C281" s="8"/>
      <c r="D281" s="87"/>
      <c r="E281" s="20"/>
      <c r="F281" s="20"/>
      <c r="G281" s="20"/>
      <c r="H281" s="20"/>
      <c r="I281" s="20"/>
      <c r="J281" s="20"/>
      <c r="K281" s="20"/>
      <c r="L281" s="20"/>
      <c r="M281" s="20"/>
      <c r="N281" s="20"/>
      <c r="O281" s="20"/>
      <c r="P281" s="88"/>
      <c r="Q281" s="13"/>
      <c r="R281" s="4"/>
    </row>
    <row r="282" spans="1:18">
      <c r="A282" s="1" t="s">
        <v>11</v>
      </c>
      <c r="B282" s="2" t="s">
        <v>12</v>
      </c>
      <c r="C282" s="8"/>
      <c r="D282" s="89" t="s">
        <v>13</v>
      </c>
      <c r="E282" s="90" t="s">
        <v>14</v>
      </c>
      <c r="F282" s="90"/>
      <c r="G282" s="90"/>
      <c r="H282" s="90"/>
      <c r="I282" s="90"/>
      <c r="J282" s="90"/>
      <c r="K282" s="90"/>
      <c r="L282" s="90"/>
      <c r="M282" s="90"/>
      <c r="N282" s="91" t="s">
        <v>15</v>
      </c>
      <c r="O282" s="91"/>
      <c r="P282" s="92" t="s">
        <v>16</v>
      </c>
      <c r="Q282" s="93"/>
      <c r="R282" s="4"/>
    </row>
    <row r="283" spans="1:18" ht="29.25" thickBot="1">
      <c r="A283" s="1"/>
      <c r="B283" s="2"/>
      <c r="C283" s="8"/>
      <c r="D283" s="349">
        <f>+'PRESUPUESTO OFICIAL '!C15</f>
        <v>1.04</v>
      </c>
      <c r="E283" s="94" t="str">
        <f>+VLOOKUP(D283,'PRESUPUESTO OFICIAL '!C:H,2,FALSE)</f>
        <v>DEMOLICIÓN DE MUROS EN MAMPOSTERÍA DE LADRILLO E = 0.15 M. (INCLUYE RETIRO Y ACARREO LIBRE HASTA 5 KM.)</v>
      </c>
      <c r="F283" s="94"/>
      <c r="G283" s="94"/>
      <c r="H283" s="94"/>
      <c r="I283" s="94"/>
      <c r="J283" s="94"/>
      <c r="K283" s="94"/>
      <c r="L283" s="94"/>
      <c r="M283" s="94"/>
      <c r="N283" s="94" t="str">
        <f>+VLOOKUP(D283,'PRESUPUESTO OFICIAL '!C:H,3,FALSE)</f>
        <v>M2</v>
      </c>
      <c r="O283" s="95"/>
      <c r="P283" s="96">
        <f>+VLOOKUP(D283,'PRESUPUESTO OFICIAL '!C:H,4,FALSE)</f>
        <v>46.6</v>
      </c>
      <c r="Q283" s="97"/>
      <c r="R283" s="98">
        <f>+P335</f>
        <v>31112</v>
      </c>
    </row>
    <row r="284" spans="1:18" ht="15.75" thickBot="1">
      <c r="A284" s="1"/>
      <c r="B284" s="2"/>
      <c r="C284" s="8"/>
      <c r="D284" s="74" t="s">
        <v>17</v>
      </c>
      <c r="E284" s="37"/>
      <c r="F284" s="37"/>
      <c r="G284" s="37"/>
      <c r="H284" s="37"/>
      <c r="I284" s="37"/>
      <c r="J284" s="37"/>
      <c r="K284" s="37"/>
      <c r="L284" s="37"/>
      <c r="M284" s="37"/>
      <c r="N284" s="37"/>
      <c r="O284" s="37"/>
      <c r="P284" s="99"/>
      <c r="Q284" s="100"/>
      <c r="R284" s="4"/>
    </row>
    <row r="285" spans="1:18">
      <c r="A285" s="1"/>
      <c r="B285" s="2"/>
      <c r="C285" s="8"/>
      <c r="D285" s="101" t="s">
        <v>14</v>
      </c>
      <c r="E285" s="102"/>
      <c r="F285" s="102"/>
      <c r="G285" s="102"/>
      <c r="H285" s="103"/>
      <c r="I285" s="104" t="s">
        <v>18</v>
      </c>
      <c r="J285" s="102"/>
      <c r="K285" s="104" t="s">
        <v>19</v>
      </c>
      <c r="L285" s="105"/>
      <c r="M285" s="106" t="s">
        <v>20</v>
      </c>
      <c r="N285" s="104" t="s">
        <v>21</v>
      </c>
      <c r="O285" s="105"/>
      <c r="P285" s="107" t="s">
        <v>22</v>
      </c>
      <c r="Q285" s="108"/>
      <c r="R285" s="4"/>
    </row>
    <row r="286" spans="1:18">
      <c r="A286" s="1" t="e">
        <f>[239]INDICE!#REF!</f>
        <v>#REF!</v>
      </c>
      <c r="B286" s="2" t="s">
        <v>23</v>
      </c>
      <c r="C286" s="8"/>
      <c r="D286" s="109" t="str">
        <f>IFERROR(INDEX([239]EQUIPOS!B:B,MATCH(B286,[239]EQUIPOS!A:A,0)),"")</f>
        <v>HERRAMIENTA MENOR (% M.O)</v>
      </c>
      <c r="E286" s="110"/>
      <c r="F286" s="110"/>
      <c r="G286" s="110"/>
      <c r="H286" s="111"/>
      <c r="I286" s="112"/>
      <c r="J286" s="111"/>
      <c r="K286" s="113" t="str">
        <f>IFERROR(INDEX([239]EQUIPOS!C:C,MATCH(B286,[239]EQUIPOS!A:A,0)),"")</f>
        <v>%</v>
      </c>
      <c r="L286" s="114"/>
      <c r="M286" s="115">
        <f>IFERROR(IF(D286="HERRAMIENTA MENOR (% M.O)",P325,INDEX([239]EQUIPOS!D:D,MATCH(B286,[239]EQUIPOS!A:A,0))),"")</f>
        <v>19174.96</v>
      </c>
      <c r="N286" s="116">
        <v>10</v>
      </c>
      <c r="O286" s="117"/>
      <c r="P286" s="118">
        <f t="shared" ref="P286:P291" si="9">IFERROR(ROUND(IF(D286="HERRAMIENTA MENOR (% M.O)",N286%*M286,M286/N286),2)," ")</f>
        <v>1917.5</v>
      </c>
      <c r="Q286" s="119"/>
      <c r="R286" s="4"/>
    </row>
    <row r="287" spans="1:18">
      <c r="A287" s="1">
        <f>+$A$2341</f>
        <v>0</v>
      </c>
      <c r="B287" s="2"/>
      <c r="C287" s="8"/>
      <c r="D287" s="109" t="str">
        <f>IFERROR(INDEX([239]EQUIPOS!B:B,MATCH(B287,[239]EQUIPOS!A:A,0)),"")</f>
        <v/>
      </c>
      <c r="E287" s="110"/>
      <c r="F287" s="110"/>
      <c r="G287" s="110"/>
      <c r="H287" s="111"/>
      <c r="I287" s="112"/>
      <c r="J287" s="111"/>
      <c r="K287" s="113" t="str">
        <f>IFERROR(INDEX([239]EQUIPOS!C:C,MATCH(B287,[239]EQUIPOS!A:A,0)),"")</f>
        <v/>
      </c>
      <c r="L287" s="114"/>
      <c r="M287" s="115" t="str">
        <f>IFERROR(IF(D287="HERRAMIENTA MENOR (% M.O)",P326,INDEX([239]EQUIPOS!D:D,MATCH(B287,[239]EQUIPOS!A:A,0))),"")</f>
        <v/>
      </c>
      <c r="N287" s="116"/>
      <c r="O287" s="117"/>
      <c r="P287" s="118" t="str">
        <f t="shared" si="9"/>
        <v xml:space="preserve"> </v>
      </c>
      <c r="Q287" s="119"/>
      <c r="R287" s="4"/>
    </row>
    <row r="288" spans="1:18">
      <c r="A288" s="1">
        <f t="shared" ref="A288:A326" si="10">+A287</f>
        <v>0</v>
      </c>
      <c r="B288" s="2"/>
      <c r="C288" s="8"/>
      <c r="D288" s="109" t="str">
        <f>IFERROR(INDEX([239]EQUIPOS!B:B,MATCH(B288,[239]EQUIPOS!A:A,0)),"")</f>
        <v/>
      </c>
      <c r="E288" s="110"/>
      <c r="F288" s="110"/>
      <c r="G288" s="110"/>
      <c r="H288" s="111"/>
      <c r="I288" s="120"/>
      <c r="J288" s="121"/>
      <c r="K288" s="113" t="str">
        <f>IFERROR(INDEX([239]EQUIPOS!C:C,MATCH(B288,[239]EQUIPOS!A:A,0)),"")</f>
        <v/>
      </c>
      <c r="L288" s="114"/>
      <c r="M288" s="115" t="str">
        <f>IFERROR(IF(D288="HERRAMIENTA MENOR (% M.O)",P327,INDEX([239]EQUIPOS!D:D,MATCH(B288,[239]EQUIPOS!A:A,0))),"")</f>
        <v/>
      </c>
      <c r="N288" s="116"/>
      <c r="O288" s="117"/>
      <c r="P288" s="118" t="str">
        <f t="shared" si="9"/>
        <v xml:space="preserve"> </v>
      </c>
      <c r="Q288" s="119"/>
      <c r="R288" s="4"/>
    </row>
    <row r="289" spans="1:18">
      <c r="A289" s="1">
        <f t="shared" si="10"/>
        <v>0</v>
      </c>
      <c r="B289" s="2"/>
      <c r="C289" s="8"/>
      <c r="D289" s="109" t="str">
        <f>IFERROR(INDEX([239]EQUIPOS!B:B,MATCH(B289,[239]EQUIPOS!A:A,0)),"")</f>
        <v/>
      </c>
      <c r="E289" s="110"/>
      <c r="F289" s="110"/>
      <c r="G289" s="110"/>
      <c r="H289" s="111"/>
      <c r="I289" s="120"/>
      <c r="J289" s="121"/>
      <c r="K289" s="113" t="str">
        <f>IFERROR(INDEX([239]EQUIPOS!C:C,MATCH(B289,[239]EQUIPOS!A:A,0)),"")</f>
        <v/>
      </c>
      <c r="L289" s="114"/>
      <c r="M289" s="115" t="str">
        <f>IFERROR(IF(D289="HERRAMIENTA MENOR (% M.O)",P328,INDEX([239]EQUIPOS!D:D,MATCH(B289,[239]EQUIPOS!A:A,0))),"")</f>
        <v/>
      </c>
      <c r="N289" s="116"/>
      <c r="O289" s="117"/>
      <c r="P289" s="118" t="str">
        <f t="shared" si="9"/>
        <v xml:space="preserve"> </v>
      </c>
      <c r="Q289" s="119"/>
      <c r="R289" s="4"/>
    </row>
    <row r="290" spans="1:18">
      <c r="A290" s="1">
        <f t="shared" si="10"/>
        <v>0</v>
      </c>
      <c r="B290" s="2"/>
      <c r="C290" s="8"/>
      <c r="D290" s="109" t="str">
        <f>IFERROR(INDEX([239]EQUIPOS!B:B,MATCH(B290,[239]EQUIPOS!A:A,0)),"")</f>
        <v/>
      </c>
      <c r="E290" s="110"/>
      <c r="F290" s="110"/>
      <c r="G290" s="110"/>
      <c r="H290" s="111"/>
      <c r="I290" s="112"/>
      <c r="J290" s="111"/>
      <c r="K290" s="113" t="str">
        <f>IFERROR(INDEX([239]EQUIPOS!C:C,MATCH(B290,[239]EQUIPOS!A:A,0)),"")</f>
        <v/>
      </c>
      <c r="L290" s="114"/>
      <c r="M290" s="115" t="str">
        <f>IFERROR(IF(D290="HERRAMIENTA MENOR (% M.O)",P329,INDEX([239]EQUIPOS!D:D,MATCH(B290,[239]EQUIPOS!A:A,0))),"")</f>
        <v/>
      </c>
      <c r="N290" s="116"/>
      <c r="O290" s="117"/>
      <c r="P290" s="118" t="str">
        <f t="shared" si="9"/>
        <v xml:space="preserve"> </v>
      </c>
      <c r="Q290" s="119"/>
      <c r="R290" s="4"/>
    </row>
    <row r="291" spans="1:18" ht="15.75" thickBot="1">
      <c r="A291" s="1">
        <f t="shared" si="10"/>
        <v>0</v>
      </c>
      <c r="B291" s="2"/>
      <c r="C291" s="8"/>
      <c r="D291" s="109" t="str">
        <f>IFERROR(INDEX([239]EQUIPOS!B:B,MATCH(B291,[239]EQUIPOS!A:A,0)),"")</f>
        <v/>
      </c>
      <c r="E291" s="78"/>
      <c r="F291" s="78"/>
      <c r="G291" s="78"/>
      <c r="H291" s="122"/>
      <c r="I291" s="123"/>
      <c r="J291" s="122"/>
      <c r="K291" s="113" t="str">
        <f>IFERROR(INDEX([239]EQUIPOS!C:C,MATCH(B291,[239]EQUIPOS!A:A,0)),"")</f>
        <v/>
      </c>
      <c r="L291" s="124"/>
      <c r="M291" s="115" t="str">
        <f>IFERROR(IF(D291="HERRAMIENTA MENOR (% M.O)",P330,INDEX([239]EQUIPOS!D:D,MATCH(B291,[239]EQUIPOS!A:A,0))),"")</f>
        <v/>
      </c>
      <c r="N291" s="125"/>
      <c r="O291" s="126"/>
      <c r="P291" s="127" t="str">
        <f t="shared" si="9"/>
        <v xml:space="preserve"> </v>
      </c>
      <c r="Q291" s="119"/>
      <c r="R291" s="4"/>
    </row>
    <row r="292" spans="1:18" ht="15.75" thickBot="1">
      <c r="A292" s="1">
        <f t="shared" si="10"/>
        <v>0</v>
      </c>
      <c r="B292" s="2"/>
      <c r="C292" s="8"/>
      <c r="D292" s="128" t="s">
        <v>24</v>
      </c>
      <c r="E292" s="129"/>
      <c r="F292" s="129"/>
      <c r="G292" s="129"/>
      <c r="H292" s="129"/>
      <c r="I292" s="129"/>
      <c r="J292" s="129"/>
      <c r="K292" s="129"/>
      <c r="L292" s="129"/>
      <c r="M292" s="129"/>
      <c r="N292" s="129"/>
      <c r="O292" s="130"/>
      <c r="P292" s="131">
        <f>SUM(P286:P291)</f>
        <v>1917.5</v>
      </c>
      <c r="Q292" s="132"/>
      <c r="R292" s="4"/>
    </row>
    <row r="293" spans="1:18" ht="15.75" thickBot="1">
      <c r="A293" s="1">
        <f t="shared" si="10"/>
        <v>0</v>
      </c>
      <c r="B293" s="2"/>
      <c r="C293" s="8"/>
      <c r="D293" s="74" t="s">
        <v>25</v>
      </c>
      <c r="E293" s="37"/>
      <c r="F293" s="37"/>
      <c r="G293" s="37"/>
      <c r="H293" s="37"/>
      <c r="I293" s="37"/>
      <c r="J293" s="37"/>
      <c r="K293" s="37"/>
      <c r="L293" s="37"/>
      <c r="M293" s="37"/>
      <c r="N293" s="37"/>
      <c r="O293" s="37"/>
      <c r="P293" s="99"/>
      <c r="Q293" s="100"/>
      <c r="R293" s="4"/>
    </row>
    <row r="294" spans="1:18">
      <c r="A294" s="1">
        <f t="shared" si="10"/>
        <v>0</v>
      </c>
      <c r="B294" s="2"/>
      <c r="C294" s="8"/>
      <c r="D294" s="101" t="s">
        <v>14</v>
      </c>
      <c r="E294" s="133"/>
      <c r="F294" s="133"/>
      <c r="G294" s="133"/>
      <c r="H294" s="133"/>
      <c r="I294" s="133"/>
      <c r="J294" s="133"/>
      <c r="K294" s="105"/>
      <c r="L294" s="134" t="s">
        <v>15</v>
      </c>
      <c r="M294" s="106" t="s">
        <v>16</v>
      </c>
      <c r="N294" s="104" t="s">
        <v>26</v>
      </c>
      <c r="O294" s="105"/>
      <c r="P294" s="107" t="s">
        <v>22</v>
      </c>
      <c r="Q294" s="108"/>
      <c r="R294" s="4"/>
    </row>
    <row r="295" spans="1:18">
      <c r="A295" s="1">
        <f t="shared" si="10"/>
        <v>0</v>
      </c>
      <c r="B295" s="2"/>
      <c r="C295" s="8"/>
      <c r="D295" s="109" t="str">
        <f>IFERROR(INDEX([239]MATERIALES!C:C,MATCH(B295,[239]MATERIALES!B:B,0)),"")</f>
        <v/>
      </c>
      <c r="E295" s="135"/>
      <c r="F295" s="135"/>
      <c r="G295" s="135"/>
      <c r="H295" s="135"/>
      <c r="I295" s="135"/>
      <c r="J295" s="135"/>
      <c r="K295" s="136"/>
      <c r="L295" s="137" t="str">
        <f>IFERROR(INDEX([239]MATERIALES!D:D,MATCH(B295,[239]MATERIALES!B:B,0)),"")</f>
        <v/>
      </c>
      <c r="M295" s="352"/>
      <c r="N295" s="139" t="str">
        <f>IFERROR(INDEX([239]MATERIALES!P:P,MATCH(B295,[239]MATERIALES!B:B,0)),"")</f>
        <v/>
      </c>
      <c r="O295" s="140"/>
      <c r="P295" s="118" t="str">
        <f>IFERROR(ROUND(N295*M295,2),"")</f>
        <v/>
      </c>
      <c r="Q295" s="119"/>
      <c r="R295" s="4"/>
    </row>
    <row r="296" spans="1:18">
      <c r="A296" s="1">
        <f t="shared" si="10"/>
        <v>0</v>
      </c>
      <c r="B296" s="2"/>
      <c r="C296" s="8"/>
      <c r="D296" s="109" t="str">
        <f>IFERROR(INDEX([239]MATERIALES!C:C,MATCH(B296,[239]MATERIALES!B:B,0)),"")</f>
        <v/>
      </c>
      <c r="E296" s="135"/>
      <c r="F296" s="135"/>
      <c r="G296" s="135"/>
      <c r="H296" s="135"/>
      <c r="I296" s="135"/>
      <c r="J296" s="135"/>
      <c r="K296" s="136"/>
      <c r="L296" s="137" t="str">
        <f>IFERROR(INDEX([239]MATERIALES!D:D,MATCH(B296,[239]MATERIALES!B:B,0)),"")</f>
        <v/>
      </c>
      <c r="M296" s="138"/>
      <c r="N296" s="139" t="str">
        <f>IFERROR(INDEX([239]MATERIALES!P:P,MATCH(B296,[239]MATERIALES!B:B,0)),"")</f>
        <v/>
      </c>
      <c r="O296" s="140"/>
      <c r="P296" s="118" t="str">
        <f>IFERROR(ROUND(N296*M296,2),"")</f>
        <v/>
      </c>
      <c r="Q296" s="119"/>
      <c r="R296" s="4"/>
    </row>
    <row r="297" spans="1:18">
      <c r="A297" s="1">
        <f t="shared" si="10"/>
        <v>0</v>
      </c>
      <c r="B297" s="2"/>
      <c r="C297" s="8"/>
      <c r="D297" s="109" t="str">
        <f>IFERROR(INDEX([239]MATERIALES!C:C,MATCH(B297,[239]MATERIALES!B:B,0)),"")</f>
        <v/>
      </c>
      <c r="E297" s="110"/>
      <c r="F297" s="110"/>
      <c r="G297" s="110"/>
      <c r="H297" s="110"/>
      <c r="I297" s="110"/>
      <c r="J297" s="110"/>
      <c r="K297" s="111"/>
      <c r="L297" s="137" t="str">
        <f>IFERROR(INDEX([239]MATERIALES!D:D,MATCH(B297,[239]MATERIALES!B:B,0)),"")</f>
        <v/>
      </c>
      <c r="M297" s="138"/>
      <c r="N297" s="139" t="str">
        <f>IFERROR(INDEX([239]MATERIALES!P:P,MATCH(B297,[239]MATERIALES!B:B,0)),"")</f>
        <v/>
      </c>
      <c r="O297" s="140"/>
      <c r="P297" s="118" t="str">
        <f>IFERROR(ROUND(N297*M297,2),"")</f>
        <v/>
      </c>
      <c r="Q297" s="119"/>
      <c r="R297" s="4"/>
    </row>
    <row r="298" spans="1:18">
      <c r="A298" s="1">
        <f t="shared" si="10"/>
        <v>0</v>
      </c>
      <c r="B298" s="2"/>
      <c r="C298" s="8"/>
      <c r="D298" s="109" t="str">
        <f>IFERROR(INDEX([239]MATERIALES!C:C,MATCH(B298,[239]MATERIALES!B:B,0)),"")</f>
        <v/>
      </c>
      <c r="E298" s="110"/>
      <c r="F298" s="110"/>
      <c r="G298" s="110"/>
      <c r="H298" s="110"/>
      <c r="I298" s="110"/>
      <c r="J298" s="110"/>
      <c r="K298" s="111"/>
      <c r="L298" s="137" t="str">
        <f>IFERROR(INDEX([239]MATERIALES!D:D,MATCH(B298,[239]MATERIALES!B:B,0)),"")</f>
        <v/>
      </c>
      <c r="M298" s="138"/>
      <c r="N298" s="139" t="str">
        <f>IFERROR(INDEX([239]MATERIALES!P:P,MATCH(B298,[239]MATERIALES!B:B,0)),"")</f>
        <v/>
      </c>
      <c r="O298" s="140"/>
      <c r="P298" s="118" t="str">
        <f>IFERROR(ROUND(N298*M298,2),"")</f>
        <v/>
      </c>
      <c r="Q298" s="119"/>
      <c r="R298" s="4"/>
    </row>
    <row r="299" spans="1:18">
      <c r="A299" s="1">
        <f t="shared" si="10"/>
        <v>0</v>
      </c>
      <c r="B299" s="2"/>
      <c r="C299" s="8"/>
      <c r="D299" s="109" t="str">
        <f>IFERROR(INDEX([239]MATERIALES!C:C,MATCH(B299,[239]MATERIALES!B:B,0)),"")</f>
        <v/>
      </c>
      <c r="E299" s="110"/>
      <c r="F299" s="110"/>
      <c r="G299" s="110"/>
      <c r="H299" s="110"/>
      <c r="I299" s="110"/>
      <c r="J299" s="110"/>
      <c r="K299" s="111"/>
      <c r="L299" s="137" t="str">
        <f>IFERROR(INDEX([239]MATERIALES!D:D,MATCH(B299,[239]MATERIALES!B:B,0)),"")</f>
        <v/>
      </c>
      <c r="M299" s="138"/>
      <c r="N299" s="139" t="str">
        <f>IFERROR(INDEX([239]MATERIALES!P:P,MATCH(B299,[239]MATERIALES!B:B,0)),"")</f>
        <v/>
      </c>
      <c r="O299" s="140"/>
      <c r="P299" s="118" t="str">
        <f t="shared" ref="P299:P308" si="11">IFERROR(ROUND(N299*M299,2),"")</f>
        <v/>
      </c>
      <c r="Q299" s="119"/>
      <c r="R299" s="4"/>
    </row>
    <row r="300" spans="1:18">
      <c r="A300" s="1">
        <f t="shared" si="10"/>
        <v>0</v>
      </c>
      <c r="B300" s="2"/>
      <c r="C300" s="8"/>
      <c r="D300" s="109" t="str">
        <f>IFERROR(INDEX([239]MATERIALES!C:C,MATCH(B300,[239]MATERIALES!B:B,0)),"")</f>
        <v/>
      </c>
      <c r="E300" s="110"/>
      <c r="F300" s="110"/>
      <c r="G300" s="110"/>
      <c r="H300" s="110"/>
      <c r="I300" s="110"/>
      <c r="J300" s="110"/>
      <c r="K300" s="111"/>
      <c r="L300" s="137" t="str">
        <f>IFERROR(INDEX([239]MATERIALES!D:D,MATCH(B300,[239]MATERIALES!B:B,0)),"")</f>
        <v/>
      </c>
      <c r="M300" s="138"/>
      <c r="N300" s="139" t="str">
        <f>IFERROR(INDEX([239]MATERIALES!P:P,MATCH(B300,[239]MATERIALES!B:B,0)),"")</f>
        <v/>
      </c>
      <c r="O300" s="140"/>
      <c r="P300" s="118" t="str">
        <f t="shared" si="11"/>
        <v/>
      </c>
      <c r="Q300" s="119"/>
      <c r="R300" s="4"/>
    </row>
    <row r="301" spans="1:18">
      <c r="A301" s="1">
        <f t="shared" si="10"/>
        <v>0</v>
      </c>
      <c r="B301" s="2"/>
      <c r="C301" s="8"/>
      <c r="D301" s="109" t="str">
        <f>IFERROR(INDEX([239]MATERIALES!C:C,MATCH(B301,[239]MATERIALES!B:B,0)),"")</f>
        <v/>
      </c>
      <c r="E301" s="110"/>
      <c r="F301" s="110"/>
      <c r="G301" s="110"/>
      <c r="H301" s="110"/>
      <c r="I301" s="110"/>
      <c r="J301" s="110"/>
      <c r="K301" s="111"/>
      <c r="L301" s="137" t="str">
        <f>IFERROR(INDEX([239]MATERIALES!D:D,MATCH(B301,[239]MATERIALES!B:B,0)),"")</f>
        <v/>
      </c>
      <c r="M301" s="138"/>
      <c r="N301" s="139" t="str">
        <f>IFERROR(INDEX([239]MATERIALES!P:P,MATCH(B301,[239]MATERIALES!B:B,0)),"")</f>
        <v/>
      </c>
      <c r="O301" s="140"/>
      <c r="P301" s="118" t="str">
        <f t="shared" si="11"/>
        <v/>
      </c>
      <c r="Q301" s="119"/>
      <c r="R301" s="4"/>
    </row>
    <row r="302" spans="1:18">
      <c r="A302" s="1">
        <f t="shared" si="10"/>
        <v>0</v>
      </c>
      <c r="B302" s="2"/>
      <c r="C302" s="8"/>
      <c r="D302" s="109" t="str">
        <f>IFERROR(INDEX([239]MATERIALES!C:C,MATCH(B302,[239]MATERIALES!B:B,0)),"")</f>
        <v/>
      </c>
      <c r="E302" s="110"/>
      <c r="F302" s="110"/>
      <c r="G302" s="110"/>
      <c r="H302" s="110"/>
      <c r="I302" s="110"/>
      <c r="J302" s="110"/>
      <c r="K302" s="111"/>
      <c r="L302" s="137" t="str">
        <f>IFERROR(INDEX([239]MATERIALES!D:D,MATCH(B302,[239]MATERIALES!B:B,0)),"")</f>
        <v/>
      </c>
      <c r="M302" s="138"/>
      <c r="N302" s="139" t="str">
        <f>IFERROR(INDEX([239]MATERIALES!P:P,MATCH(B302,[239]MATERIALES!B:B,0)),"")</f>
        <v/>
      </c>
      <c r="O302" s="140"/>
      <c r="P302" s="118" t="str">
        <f t="shared" si="11"/>
        <v/>
      </c>
      <c r="Q302" s="119"/>
      <c r="R302" s="4"/>
    </row>
    <row r="303" spans="1:18">
      <c r="A303" s="1">
        <f t="shared" si="10"/>
        <v>0</v>
      </c>
      <c r="B303" s="2"/>
      <c r="C303" s="8"/>
      <c r="D303" s="109" t="str">
        <f>IFERROR(INDEX([239]MATERIALES!C:C,MATCH(B303,[239]MATERIALES!B:B,0)),"")</f>
        <v/>
      </c>
      <c r="E303" s="110"/>
      <c r="F303" s="110"/>
      <c r="G303" s="110"/>
      <c r="H303" s="110"/>
      <c r="I303" s="110"/>
      <c r="J303" s="110"/>
      <c r="K303" s="111"/>
      <c r="L303" s="137" t="str">
        <f>IFERROR(INDEX([239]MATERIALES!D:D,MATCH(B303,[239]MATERIALES!B:B,0)),"")</f>
        <v/>
      </c>
      <c r="M303" s="138"/>
      <c r="N303" s="139" t="str">
        <f>IFERROR(INDEX([239]MATERIALES!P:P,MATCH(B303,[239]MATERIALES!B:B,0)),"")</f>
        <v/>
      </c>
      <c r="O303" s="140"/>
      <c r="P303" s="118" t="str">
        <f t="shared" si="11"/>
        <v/>
      </c>
      <c r="Q303" s="119"/>
      <c r="R303" s="4"/>
    </row>
    <row r="304" spans="1:18">
      <c r="A304" s="1">
        <f t="shared" si="10"/>
        <v>0</v>
      </c>
      <c r="B304" s="2"/>
      <c r="C304" s="8"/>
      <c r="D304" s="109" t="str">
        <f>IFERROR(INDEX([239]MATERIALES!C:C,MATCH(B304,[239]MATERIALES!B:B,0)),"")</f>
        <v/>
      </c>
      <c r="E304" s="110"/>
      <c r="F304" s="110"/>
      <c r="G304" s="110"/>
      <c r="H304" s="110"/>
      <c r="I304" s="110"/>
      <c r="J304" s="110"/>
      <c r="K304" s="111"/>
      <c r="L304" s="137" t="str">
        <f>IFERROR(INDEX([239]MATERIALES!D:D,MATCH(B304,[239]MATERIALES!B:B,0)),"")</f>
        <v/>
      </c>
      <c r="M304" s="138"/>
      <c r="N304" s="139" t="str">
        <f>IFERROR(INDEX([239]MATERIALES!P:P,MATCH(B304,[239]MATERIALES!B:B,0)),"")</f>
        <v/>
      </c>
      <c r="O304" s="140"/>
      <c r="P304" s="118" t="str">
        <f t="shared" si="11"/>
        <v/>
      </c>
      <c r="Q304" s="119"/>
      <c r="R304" s="4"/>
    </row>
    <row r="305" spans="1:18">
      <c r="A305" s="1">
        <f t="shared" si="10"/>
        <v>0</v>
      </c>
      <c r="B305" s="2"/>
      <c r="C305" s="8"/>
      <c r="D305" s="109" t="str">
        <f>IFERROR(INDEX([239]MATERIALES!C:C,MATCH(B305,[239]MATERIALES!B:B,0)),"")</f>
        <v/>
      </c>
      <c r="E305" s="110"/>
      <c r="F305" s="110"/>
      <c r="G305" s="110"/>
      <c r="H305" s="110"/>
      <c r="I305" s="110"/>
      <c r="J305" s="110"/>
      <c r="K305" s="111"/>
      <c r="L305" s="137" t="str">
        <f>IFERROR(INDEX([239]MATERIALES!D:D,MATCH(B305,[239]MATERIALES!B:B,0)),"")</f>
        <v/>
      </c>
      <c r="M305" s="138"/>
      <c r="N305" s="139" t="str">
        <f>IFERROR(INDEX([239]MATERIALES!P:P,MATCH(B305,[239]MATERIALES!B:B,0)),"")</f>
        <v/>
      </c>
      <c r="O305" s="140"/>
      <c r="P305" s="118" t="str">
        <f t="shared" si="11"/>
        <v/>
      </c>
      <c r="Q305" s="119"/>
      <c r="R305" s="4"/>
    </row>
    <row r="306" spans="1:18">
      <c r="A306" s="1">
        <f t="shared" si="10"/>
        <v>0</v>
      </c>
      <c r="B306" s="2"/>
      <c r="C306" s="8"/>
      <c r="D306" s="109" t="str">
        <f>IFERROR(INDEX([239]MATERIALES!C:C,MATCH(B306,[239]MATERIALES!B:B,0)),"")</f>
        <v/>
      </c>
      <c r="E306" s="110"/>
      <c r="F306" s="110"/>
      <c r="G306" s="110"/>
      <c r="H306" s="110"/>
      <c r="I306" s="110"/>
      <c r="J306" s="110"/>
      <c r="K306" s="111"/>
      <c r="L306" s="137" t="str">
        <f>IFERROR(INDEX([239]MATERIALES!D:D,MATCH(B306,[239]MATERIALES!B:B,0)),"")</f>
        <v/>
      </c>
      <c r="M306" s="138"/>
      <c r="N306" s="139" t="str">
        <f>IFERROR(INDEX([239]MATERIALES!P:P,MATCH(B306,[239]MATERIALES!B:B,0)),"")</f>
        <v/>
      </c>
      <c r="O306" s="140"/>
      <c r="P306" s="118" t="str">
        <f t="shared" si="11"/>
        <v/>
      </c>
      <c r="Q306" s="119"/>
      <c r="R306" s="4"/>
    </row>
    <row r="307" spans="1:18">
      <c r="A307" s="1">
        <f t="shared" si="10"/>
        <v>0</v>
      </c>
      <c r="B307" s="2"/>
      <c r="C307" s="8"/>
      <c r="D307" s="109" t="str">
        <f>IFERROR(INDEX([239]MATERIALES!C:C,MATCH(B307,[239]MATERIALES!B:B,0)),"")</f>
        <v/>
      </c>
      <c r="E307" s="110"/>
      <c r="F307" s="110"/>
      <c r="G307" s="110"/>
      <c r="H307" s="110"/>
      <c r="I307" s="110"/>
      <c r="J307" s="110"/>
      <c r="K307" s="111"/>
      <c r="L307" s="137" t="str">
        <f>IFERROR(INDEX([239]MATERIALES!D:D,MATCH(B307,[239]MATERIALES!B:B,0)),"")</f>
        <v/>
      </c>
      <c r="M307" s="138"/>
      <c r="N307" s="139" t="str">
        <f>IFERROR(INDEX([239]MATERIALES!P:P,MATCH(B307,[239]MATERIALES!B:B,0)),"")</f>
        <v/>
      </c>
      <c r="O307" s="140"/>
      <c r="P307" s="118" t="str">
        <f t="shared" si="11"/>
        <v/>
      </c>
      <c r="Q307" s="119"/>
      <c r="R307" s="4"/>
    </row>
    <row r="308" spans="1:18">
      <c r="A308" s="1">
        <f t="shared" si="10"/>
        <v>0</v>
      </c>
      <c r="B308" s="2"/>
      <c r="C308" s="8"/>
      <c r="D308" s="109" t="str">
        <f>IFERROR(INDEX([239]MATERIALES!C:C,MATCH(B308,[239]MATERIALES!B:B,0)),"")</f>
        <v/>
      </c>
      <c r="E308" s="110"/>
      <c r="F308" s="110"/>
      <c r="G308" s="110"/>
      <c r="H308" s="110"/>
      <c r="I308" s="110"/>
      <c r="J308" s="110"/>
      <c r="K308" s="111"/>
      <c r="L308" s="137" t="str">
        <f>IFERROR(INDEX([239]MATERIALES!D:D,MATCH(B308,[239]MATERIALES!B:B,0)),"")</f>
        <v/>
      </c>
      <c r="M308" s="138"/>
      <c r="N308" s="139" t="str">
        <f>IFERROR(INDEX([239]MATERIALES!P:P,MATCH(B308,[239]MATERIALES!B:B,0)),"")</f>
        <v/>
      </c>
      <c r="O308" s="140"/>
      <c r="P308" s="118" t="str">
        <f t="shared" si="11"/>
        <v/>
      </c>
      <c r="Q308" s="119"/>
      <c r="R308" s="4"/>
    </row>
    <row r="309" spans="1:18" ht="15.75" thickBot="1">
      <c r="A309" s="1">
        <f t="shared" si="10"/>
        <v>0</v>
      </c>
      <c r="B309" s="2"/>
      <c r="C309" s="8"/>
      <c r="D309" s="109" t="s">
        <v>28</v>
      </c>
      <c r="E309" s="110"/>
      <c r="F309" s="110"/>
      <c r="G309" s="110"/>
      <c r="H309" s="110"/>
      <c r="I309" s="110"/>
      <c r="J309" s="110"/>
      <c r="K309" s="111"/>
      <c r="L309" s="137" t="s">
        <v>29</v>
      </c>
      <c r="M309" s="138">
        <v>0.05</v>
      </c>
      <c r="N309" s="139">
        <f>SUM(P295:P308)</f>
        <v>0</v>
      </c>
      <c r="O309" s="140"/>
      <c r="P309" s="118">
        <f>ROUND(N309*M309,2)</f>
        <v>0</v>
      </c>
      <c r="Q309" s="119"/>
      <c r="R309" s="4"/>
    </row>
    <row r="310" spans="1:18" ht="15.75" thickBot="1">
      <c r="A310" s="1">
        <f t="shared" si="10"/>
        <v>0</v>
      </c>
      <c r="B310" s="2"/>
      <c r="C310" s="8"/>
      <c r="D310" s="128" t="s">
        <v>24</v>
      </c>
      <c r="E310" s="129"/>
      <c r="F310" s="129"/>
      <c r="G310" s="129"/>
      <c r="H310" s="129"/>
      <c r="I310" s="129"/>
      <c r="J310" s="129"/>
      <c r="K310" s="129"/>
      <c r="L310" s="129"/>
      <c r="M310" s="129"/>
      <c r="N310" s="129"/>
      <c r="O310" s="130"/>
      <c r="P310" s="131">
        <f>SUM(P295:P309)</f>
        <v>0</v>
      </c>
      <c r="Q310" s="119"/>
      <c r="R310" s="4"/>
    </row>
    <row r="311" spans="1:18" ht="15.75" thickBot="1">
      <c r="A311" s="1">
        <f t="shared" si="10"/>
        <v>0</v>
      </c>
      <c r="B311" s="2"/>
      <c r="C311" s="8"/>
      <c r="D311" s="74" t="s">
        <v>30</v>
      </c>
      <c r="E311" s="37"/>
      <c r="F311" s="37"/>
      <c r="G311" s="37"/>
      <c r="H311" s="37"/>
      <c r="I311" s="37"/>
      <c r="J311" s="37"/>
      <c r="K311" s="37"/>
      <c r="L311" s="37"/>
      <c r="M311" s="37"/>
      <c r="N311" s="37"/>
      <c r="O311" s="37"/>
      <c r="P311" s="99"/>
      <c r="Q311" s="100"/>
      <c r="R311" s="4"/>
    </row>
    <row r="312" spans="1:18">
      <c r="A312" s="1">
        <f t="shared" si="10"/>
        <v>0</v>
      </c>
      <c r="B312" s="2"/>
      <c r="C312" s="8"/>
      <c r="D312" s="101" t="s">
        <v>31</v>
      </c>
      <c r="E312" s="133"/>
      <c r="F312" s="133"/>
      <c r="G312" s="133"/>
      <c r="H312" s="133"/>
      <c r="I312" s="133"/>
      <c r="J312" s="133"/>
      <c r="K312" s="106" t="s">
        <v>32</v>
      </c>
      <c r="L312" s="141" t="s">
        <v>33</v>
      </c>
      <c r="M312" s="106" t="s">
        <v>34</v>
      </c>
      <c r="N312" s="104" t="s">
        <v>20</v>
      </c>
      <c r="O312" s="105"/>
      <c r="P312" s="107" t="s">
        <v>22</v>
      </c>
      <c r="Q312" s="108"/>
      <c r="R312" s="4"/>
    </row>
    <row r="313" spans="1:18">
      <c r="A313" s="1">
        <f t="shared" si="10"/>
        <v>0</v>
      </c>
      <c r="B313" s="2" t="s">
        <v>259</v>
      </c>
      <c r="C313" s="8"/>
      <c r="D313" s="142" t="str">
        <f>IFERROR(INDEX([239]TRANSPORTES!B:B,MATCH(B313,[239]TRANSPORTES!A:A,0)),"")</f>
        <v>ESCOMBROS / SOBRANTES HASTA 5 KM</v>
      </c>
      <c r="E313" s="143"/>
      <c r="F313" s="143"/>
      <c r="G313" s="143"/>
      <c r="H313" s="143"/>
      <c r="I313" s="143"/>
      <c r="J313" s="143"/>
      <c r="K313" s="144">
        <f>ROUND((1*1*0.15)*1.35,2)</f>
        <v>0.2</v>
      </c>
      <c r="L313" s="145">
        <v>5</v>
      </c>
      <c r="M313" s="146" t="str">
        <f>IFERROR(INDEX([239]TRANSPORTES!C:C,MATCH(B313,[239]TRANSPORTES!A:A,0)),"")</f>
        <v>M3/KM</v>
      </c>
      <c r="N313" s="139">
        <f>IFERROR(INDEX([239]TRANSPORTES!D:D,MATCH(B313,[239]TRANSPORTES!A:A,0)),"")</f>
        <v>2300</v>
      </c>
      <c r="O313" s="147"/>
      <c r="P313" s="148">
        <f>IFERROR(ROUND(K313*N313*L313,2),"")</f>
        <v>2300</v>
      </c>
      <c r="Q313" s="119"/>
      <c r="R313" s="4"/>
    </row>
    <row r="314" spans="1:18">
      <c r="A314" s="1">
        <f t="shared" si="10"/>
        <v>0</v>
      </c>
      <c r="B314" s="2"/>
      <c r="C314" s="8"/>
      <c r="D314" s="142" t="str">
        <f>IFERROR(INDEX([239]TRANSPORTES!B:B,MATCH(B314,[239]TRANSPORTES!A:A,0)),"")</f>
        <v/>
      </c>
      <c r="E314" s="143"/>
      <c r="F314" s="143"/>
      <c r="G314" s="143"/>
      <c r="H314" s="143"/>
      <c r="I314" s="143"/>
      <c r="J314" s="143"/>
      <c r="K314" s="144"/>
      <c r="L314" s="145"/>
      <c r="M314" s="146" t="str">
        <f>IFERROR(INDEX([239]TRANSPORTES!C:C,MATCH(B314,[239]TRANSPORTES!A:A,0)),"")</f>
        <v/>
      </c>
      <c r="N314" s="139" t="str">
        <f>IFERROR(INDEX([239]TRANSPORTES!D:D,MATCH(B314,[239]TRANSPORTES!A:A,0)),"")</f>
        <v/>
      </c>
      <c r="O314" s="147"/>
      <c r="P314" s="148" t="str">
        <f>IFERROR(ROUND(K314*N314*L314,2),"")</f>
        <v/>
      </c>
      <c r="Q314" s="119"/>
      <c r="R314" s="4"/>
    </row>
    <row r="315" spans="1:18">
      <c r="A315" s="1">
        <f t="shared" si="10"/>
        <v>0</v>
      </c>
      <c r="B315" s="2"/>
      <c r="C315" s="8"/>
      <c r="D315" s="142" t="str">
        <f>IFERROR(INDEX([239]TRANSPORTES!B:B,MATCH(B315,[239]TRANSPORTES!A:A,0)),"")</f>
        <v/>
      </c>
      <c r="E315" s="143"/>
      <c r="F315" s="143"/>
      <c r="G315" s="143"/>
      <c r="H315" s="143"/>
      <c r="I315" s="143"/>
      <c r="J315" s="143"/>
      <c r="K315" s="144"/>
      <c r="L315" s="145"/>
      <c r="M315" s="146" t="str">
        <f>IFERROR(INDEX([239]TRANSPORTES!C:C,MATCH(B315,[239]TRANSPORTES!A:A,0)),"")</f>
        <v/>
      </c>
      <c r="N315" s="139" t="str">
        <f>IFERROR(INDEX([239]TRANSPORTES!D:D,MATCH(B315,[239]TRANSPORTES!A:A,0)),"")</f>
        <v/>
      </c>
      <c r="O315" s="147"/>
      <c r="P315" s="148" t="str">
        <f>IFERROR(ROUND(K315*N315*L315,2),"")</f>
        <v/>
      </c>
      <c r="Q315" s="119"/>
      <c r="R315" s="4"/>
    </row>
    <row r="316" spans="1:18" ht="15.75" thickBot="1">
      <c r="A316" s="1">
        <f t="shared" si="10"/>
        <v>0</v>
      </c>
      <c r="B316" s="2"/>
      <c r="C316" s="8"/>
      <c r="D316" s="142" t="str">
        <f>IFERROR(INDEX([239]TRANSPORTES!B:B,MATCH(B316,[239]TRANSPORTES!A:A,0)),"")</f>
        <v/>
      </c>
      <c r="E316" s="143"/>
      <c r="F316" s="143"/>
      <c r="G316" s="143"/>
      <c r="H316" s="143"/>
      <c r="I316" s="143"/>
      <c r="J316" s="143"/>
      <c r="K316" s="149"/>
      <c r="L316" s="150"/>
      <c r="M316" s="146" t="str">
        <f>IFERROR(INDEX([239]TRANSPORTES!C:C,MATCH(B316,[239]TRANSPORTES!A:A,0)),"")</f>
        <v/>
      </c>
      <c r="N316" s="139" t="str">
        <f>IFERROR(INDEX([239]TRANSPORTES!D:D,MATCH(B316,[239]TRANSPORTES!A:A,0)),"")</f>
        <v/>
      </c>
      <c r="O316" s="147"/>
      <c r="P316" s="148" t="str">
        <f>IFERROR(ROUND(K316*N316*L316,2),"")</f>
        <v/>
      </c>
      <c r="Q316" s="119"/>
      <c r="R316" s="4"/>
    </row>
    <row r="317" spans="1:18" ht="15.75" thickBot="1">
      <c r="A317" s="1">
        <f t="shared" si="10"/>
        <v>0</v>
      </c>
      <c r="B317" s="2"/>
      <c r="C317" s="8"/>
      <c r="D317" s="128" t="s">
        <v>24</v>
      </c>
      <c r="E317" s="129"/>
      <c r="F317" s="129"/>
      <c r="G317" s="129"/>
      <c r="H317" s="129"/>
      <c r="I317" s="129"/>
      <c r="J317" s="129"/>
      <c r="K317" s="129"/>
      <c r="L317" s="129"/>
      <c r="M317" s="129"/>
      <c r="N317" s="129"/>
      <c r="O317" s="130"/>
      <c r="P317" s="151">
        <f>SUM(P313:P316)</f>
        <v>2300</v>
      </c>
      <c r="Q317" s="132"/>
      <c r="R317" s="4"/>
    </row>
    <row r="318" spans="1:18" ht="15.75" thickBot="1">
      <c r="A318" s="1">
        <f t="shared" si="10"/>
        <v>0</v>
      </c>
      <c r="B318" s="2"/>
      <c r="C318" s="8"/>
      <c r="D318" s="74" t="s">
        <v>36</v>
      </c>
      <c r="E318" s="37"/>
      <c r="F318" s="37"/>
      <c r="G318" s="37"/>
      <c r="H318" s="37"/>
      <c r="I318" s="37"/>
      <c r="J318" s="37"/>
      <c r="K318" s="37"/>
      <c r="L318" s="37"/>
      <c r="M318" s="37"/>
      <c r="N318" s="37"/>
      <c r="O318" s="37"/>
      <c r="P318" s="99"/>
      <c r="Q318" s="100"/>
      <c r="R318" s="4"/>
    </row>
    <row r="319" spans="1:18" ht="30">
      <c r="A319" s="1">
        <f t="shared" si="10"/>
        <v>0</v>
      </c>
      <c r="B319" s="2"/>
      <c r="C319" s="8"/>
      <c r="D319" s="101" t="s">
        <v>37</v>
      </c>
      <c r="E319" s="133"/>
      <c r="F319" s="133"/>
      <c r="G319" s="133"/>
      <c r="H319" s="133"/>
      <c r="I319" s="133"/>
      <c r="J319" s="133"/>
      <c r="K319" s="106" t="s">
        <v>38</v>
      </c>
      <c r="L319" s="152" t="s">
        <v>39</v>
      </c>
      <c r="M319" s="153" t="s">
        <v>40</v>
      </c>
      <c r="N319" s="104" t="s">
        <v>21</v>
      </c>
      <c r="O319" s="105"/>
      <c r="P319" s="154" t="s">
        <v>22</v>
      </c>
      <c r="Q319" s="155"/>
      <c r="R319" s="4"/>
    </row>
    <row r="320" spans="1:18">
      <c r="A320" s="1">
        <f t="shared" si="10"/>
        <v>0</v>
      </c>
      <c r="B320" s="2" t="s">
        <v>41</v>
      </c>
      <c r="C320" s="8"/>
      <c r="D320" s="109" t="str">
        <f>IFERROR(INDEX('[239]MANO DE OBRA'!B:B,MATCH(B320,'[239]MANO DE OBRA'!A:A,0)),"")</f>
        <v>OFICIAL</v>
      </c>
      <c r="E320" s="110"/>
      <c r="F320" s="110"/>
      <c r="G320" s="110"/>
      <c r="H320" s="110"/>
      <c r="I320" s="110"/>
      <c r="J320" s="111"/>
      <c r="K320" s="156">
        <f>IFERROR(INDEX('[239]MANO DE OBRA'!D:D,MATCH(B320,'[239]MANO DE OBRA'!A:A,0)),"")</f>
        <v>95930</v>
      </c>
      <c r="L320" s="157">
        <f>+IF(D320&lt;&gt;"",'[239]FACTOR PRESTACIONAL'!$E$21," ")</f>
        <v>1.95</v>
      </c>
      <c r="M320" s="158">
        <f>IFERROR(K320*L320," ")</f>
        <v>187063.5</v>
      </c>
      <c r="N320" s="159">
        <f>ROUND(8/0.47,2)</f>
        <v>17.02</v>
      </c>
      <c r="O320" s="160"/>
      <c r="P320" s="161">
        <f>IFERROR(ROUND(M320/N320,2)," ")</f>
        <v>10990.8</v>
      </c>
      <c r="Q320" s="162"/>
      <c r="R320" s="4"/>
    </row>
    <row r="321" spans="1:18">
      <c r="A321" s="1">
        <f t="shared" si="10"/>
        <v>0</v>
      </c>
      <c r="B321" s="2" t="s">
        <v>81</v>
      </c>
      <c r="C321" s="8"/>
      <c r="D321" s="109" t="str">
        <f>IFERROR(INDEX('[239]MANO DE OBRA'!B:B,MATCH(B321,'[239]MANO DE OBRA'!A:A,0)),"")</f>
        <v>AYUDANTE (1)</v>
      </c>
      <c r="E321" s="110"/>
      <c r="F321" s="110"/>
      <c r="G321" s="110"/>
      <c r="H321" s="110"/>
      <c r="I321" s="110"/>
      <c r="J321" s="111"/>
      <c r="K321" s="156">
        <f>IFERROR(INDEX('[239]MANO DE OBRA'!D:D,MATCH(B321,'[239]MANO DE OBRA'!A:A,0)),"")</f>
        <v>71433</v>
      </c>
      <c r="L321" s="157">
        <f>+IF(D321&lt;&gt;"",'[239]FACTOR PRESTACIONAL'!$E$21," ")</f>
        <v>1.95</v>
      </c>
      <c r="M321" s="158">
        <f>IFERROR(K321*L321," ")</f>
        <v>139294.35</v>
      </c>
      <c r="N321" s="159">
        <f>+N320</f>
        <v>17.02</v>
      </c>
      <c r="O321" s="160"/>
      <c r="P321" s="161">
        <f>IFERROR(ROUND(M321/N321,2)," ")</f>
        <v>8184.16</v>
      </c>
      <c r="Q321" s="162"/>
      <c r="R321" s="4"/>
    </row>
    <row r="322" spans="1:18">
      <c r="A322" s="1">
        <f t="shared" si="10"/>
        <v>0</v>
      </c>
      <c r="B322" s="2"/>
      <c r="C322" s="8"/>
      <c r="D322" s="109" t="str">
        <f>IFERROR(INDEX('[239]MANO DE OBRA'!B:B,MATCH(B322,'[239]MANO DE OBRA'!A:A,0)),"")</f>
        <v/>
      </c>
      <c r="E322" s="110"/>
      <c r="F322" s="110"/>
      <c r="G322" s="110"/>
      <c r="H322" s="110"/>
      <c r="I322" s="110"/>
      <c r="J322" s="111"/>
      <c r="K322" s="156" t="str">
        <f>IFERROR(INDEX('[239]MANO DE OBRA'!D:D,MATCH(B322,'[239]MANO DE OBRA'!A:A,0)),"")</f>
        <v/>
      </c>
      <c r="L322" s="157" t="str">
        <f>+IF(D322&lt;&gt;"",'[239]FACTOR PRESTACIONAL'!$E$21," ")</f>
        <v xml:space="preserve"> </v>
      </c>
      <c r="M322" s="158" t="str">
        <f>IFERROR(K322*L322," ")</f>
        <v xml:space="preserve"> </v>
      </c>
      <c r="N322" s="159"/>
      <c r="O322" s="160"/>
      <c r="P322" s="161" t="str">
        <f>IFERROR(ROUND(M322/N322,2)," ")</f>
        <v xml:space="preserve"> </v>
      </c>
      <c r="Q322" s="162"/>
      <c r="R322" s="4"/>
    </row>
    <row r="323" spans="1:18">
      <c r="A323" s="1">
        <f t="shared" si="10"/>
        <v>0</v>
      </c>
      <c r="B323" s="2"/>
      <c r="C323" s="8"/>
      <c r="D323" s="109" t="str">
        <f>IFERROR(INDEX('[239]MANO DE OBRA'!B:B,MATCH(B323,'[239]MANO DE OBRA'!A:A,0)),"")</f>
        <v/>
      </c>
      <c r="E323" s="110"/>
      <c r="F323" s="110"/>
      <c r="G323" s="110"/>
      <c r="H323" s="110"/>
      <c r="I323" s="110"/>
      <c r="J323" s="111"/>
      <c r="K323" s="156" t="str">
        <f>IFERROR(INDEX('[239]MANO DE OBRA'!D:D,MATCH(B323,'[239]MANO DE OBRA'!A:A,0)),"")</f>
        <v/>
      </c>
      <c r="L323" s="157" t="str">
        <f>+IF(D323&lt;&gt;"",'[239]FACTOR PRESTACIONAL'!$E$21," ")</f>
        <v xml:space="preserve"> </v>
      </c>
      <c r="M323" s="158" t="str">
        <f>IFERROR(K323*L323," ")</f>
        <v xml:space="preserve"> </v>
      </c>
      <c r="N323" s="159"/>
      <c r="O323" s="160"/>
      <c r="P323" s="161" t="str">
        <f>IFERROR(ROUND(M323/N323,2)," ")</f>
        <v xml:space="preserve"> </v>
      </c>
      <c r="Q323" s="162"/>
      <c r="R323" s="4"/>
    </row>
    <row r="324" spans="1:18" ht="15.75" thickBot="1">
      <c r="A324" s="1">
        <f t="shared" si="10"/>
        <v>0</v>
      </c>
      <c r="B324" s="2"/>
      <c r="C324" s="8"/>
      <c r="D324" s="109" t="str">
        <f>IFERROR(INDEX('[239]MANO DE OBRA'!B:B,MATCH(B324,'[239]MANO DE OBRA'!A:A,0)),"")</f>
        <v/>
      </c>
      <c r="E324" s="110"/>
      <c r="F324" s="110"/>
      <c r="G324" s="110"/>
      <c r="H324" s="110"/>
      <c r="I324" s="110"/>
      <c r="J324" s="111"/>
      <c r="K324" s="156" t="str">
        <f>IFERROR(INDEX('[239]MANO DE OBRA'!D:D,MATCH(B324,'[239]MANO DE OBRA'!A:A,0)),"")</f>
        <v/>
      </c>
      <c r="L324" s="157" t="str">
        <f>+IF(D324&lt;&gt;"",'[239]FACTOR PRESTACIONAL'!$E$21," ")</f>
        <v xml:space="preserve"> </v>
      </c>
      <c r="M324" s="158" t="str">
        <f>IFERROR(K324*L324," ")</f>
        <v xml:space="preserve"> </v>
      </c>
      <c r="N324" s="159"/>
      <c r="O324" s="160"/>
      <c r="P324" s="161" t="str">
        <f>IFERROR(ROUND(M324/N324,2)," ")</f>
        <v xml:space="preserve"> </v>
      </c>
      <c r="Q324" s="119"/>
      <c r="R324" s="4"/>
    </row>
    <row r="325" spans="1:18" ht="15.75" thickBot="1">
      <c r="A325" s="1">
        <f t="shared" si="10"/>
        <v>0</v>
      </c>
      <c r="B325" s="2"/>
      <c r="C325" s="8"/>
      <c r="D325" s="128" t="s">
        <v>24</v>
      </c>
      <c r="E325" s="129"/>
      <c r="F325" s="129"/>
      <c r="G325" s="129"/>
      <c r="H325" s="129"/>
      <c r="I325" s="129"/>
      <c r="J325" s="129"/>
      <c r="K325" s="129"/>
      <c r="L325" s="129"/>
      <c r="M325" s="129"/>
      <c r="N325" s="129"/>
      <c r="O325" s="130"/>
      <c r="P325" s="131">
        <f>SUM(P320:P324)</f>
        <v>19174.96</v>
      </c>
      <c r="Q325" s="119"/>
      <c r="R325" s="4"/>
    </row>
    <row r="326" spans="1:18" ht="15.75" thickBot="1">
      <c r="A326" s="1">
        <f t="shared" si="10"/>
        <v>0</v>
      </c>
      <c r="B326" s="2"/>
      <c r="C326" s="8"/>
      <c r="D326" s="87"/>
      <c r="E326" s="20"/>
      <c r="F326" s="20"/>
      <c r="G326" s="20"/>
      <c r="H326" s="20"/>
      <c r="I326" s="20"/>
      <c r="J326" s="20"/>
      <c r="K326" s="20"/>
      <c r="L326" s="20"/>
      <c r="M326" s="20"/>
      <c r="N326" s="20"/>
      <c r="O326" s="20"/>
      <c r="P326" s="88"/>
      <c r="Q326" s="13"/>
      <c r="R326" s="4"/>
    </row>
    <row r="327" spans="1:18" ht="15.75" thickBot="1">
      <c r="A327" s="1"/>
      <c r="B327" s="2"/>
      <c r="C327" s="8"/>
      <c r="D327" s="163" t="s">
        <v>43</v>
      </c>
      <c r="E327" s="164"/>
      <c r="F327" s="164"/>
      <c r="G327" s="164"/>
      <c r="H327" s="164"/>
      <c r="I327" s="164"/>
      <c r="J327" s="164"/>
      <c r="K327" s="164"/>
      <c r="L327" s="164"/>
      <c r="M327" s="164"/>
      <c r="N327" s="164"/>
      <c r="O327" s="165"/>
      <c r="P327" s="166">
        <f>+P325+P317+P310+P292</f>
        <v>23392.46</v>
      </c>
      <c r="Q327" s="167"/>
      <c r="R327" s="168"/>
    </row>
    <row r="328" spans="1:18" ht="15.75" thickBot="1">
      <c r="A328" s="1"/>
      <c r="B328" s="2"/>
      <c r="C328" s="8"/>
      <c r="D328" s="169"/>
      <c r="E328" s="170"/>
      <c r="F328" s="170"/>
      <c r="G328" s="170"/>
      <c r="H328" s="170"/>
      <c r="I328" s="170"/>
      <c r="J328" s="170"/>
      <c r="K328" s="170"/>
      <c r="L328" s="170"/>
      <c r="M328" s="170"/>
      <c r="N328" s="170"/>
      <c r="O328" s="170"/>
      <c r="P328" s="171"/>
      <c r="Q328" s="100"/>
      <c r="R328" s="4"/>
    </row>
    <row r="329" spans="1:18">
      <c r="A329" s="1"/>
      <c r="B329" s="2"/>
      <c r="C329" s="8"/>
      <c r="D329" s="172" t="s">
        <v>73</v>
      </c>
      <c r="E329" s="173"/>
      <c r="F329" s="173"/>
      <c r="G329" s="173"/>
      <c r="H329" s="173"/>
      <c r="I329" s="173"/>
      <c r="J329" s="173"/>
      <c r="K329" s="141"/>
      <c r="L329" s="174"/>
      <c r="M329" s="153" t="s">
        <v>44</v>
      </c>
      <c r="N329" s="175" t="s">
        <v>45</v>
      </c>
      <c r="O329" s="176"/>
      <c r="P329" s="154"/>
      <c r="Q329" s="155"/>
      <c r="R329" s="4"/>
    </row>
    <row r="330" spans="1:18">
      <c r="A330" s="1"/>
      <c r="B330" s="2"/>
      <c r="C330" s="8"/>
      <c r="D330" s="109" t="s">
        <v>65</v>
      </c>
      <c r="E330" s="110"/>
      <c r="F330" s="110"/>
      <c r="G330" s="110"/>
      <c r="H330" s="110"/>
      <c r="I330" s="110"/>
      <c r="J330" s="110"/>
      <c r="K330" s="177"/>
      <c r="L330" s="178"/>
      <c r="M330" s="179">
        <f>+[239]INICIO!$F$10</f>
        <v>0.24</v>
      </c>
      <c r="N330" s="180">
        <f>ROUND(M330*P327,2)</f>
        <v>5614.19</v>
      </c>
      <c r="O330" s="181"/>
      <c r="P330" s="182"/>
      <c r="Q330" s="119"/>
      <c r="R330" s="4"/>
    </row>
    <row r="331" spans="1:18">
      <c r="A331" s="1"/>
      <c r="B331" s="2"/>
      <c r="C331" s="8"/>
      <c r="D331" s="183" t="s">
        <v>67</v>
      </c>
      <c r="E331" s="61"/>
      <c r="F331" s="61"/>
      <c r="G331" s="61"/>
      <c r="H331" s="61"/>
      <c r="I331" s="61"/>
      <c r="J331" s="61"/>
      <c r="K331" s="177"/>
      <c r="L331" s="178"/>
      <c r="M331" s="179">
        <f>+[239]INICIO!$F$11</f>
        <v>0.02</v>
      </c>
      <c r="N331" s="180">
        <f>ROUND(M331*P327,2)</f>
        <v>467.85</v>
      </c>
      <c r="O331" s="181"/>
      <c r="P331" s="182"/>
      <c r="Q331" s="119"/>
      <c r="R331" s="4"/>
    </row>
    <row r="332" spans="1:18" ht="15.75" thickBot="1">
      <c r="A332" s="1"/>
      <c r="B332" s="2"/>
      <c r="C332" s="8"/>
      <c r="D332" s="77" t="s">
        <v>69</v>
      </c>
      <c r="E332" s="78"/>
      <c r="F332" s="78"/>
      <c r="G332" s="78"/>
      <c r="H332" s="78"/>
      <c r="I332" s="78"/>
      <c r="J332" s="78"/>
      <c r="K332" s="184"/>
      <c r="L332" s="185"/>
      <c r="M332" s="179">
        <f>+[239]INICIO!$F$12</f>
        <v>7.0000000000000007E-2</v>
      </c>
      <c r="N332" s="180">
        <f>ROUND(M332*P327,2)</f>
        <v>1637.47</v>
      </c>
      <c r="O332" s="181"/>
      <c r="P332" s="182"/>
      <c r="Q332" s="119"/>
      <c r="R332" s="4"/>
    </row>
    <row r="333" spans="1:18" ht="15.75" thickBot="1">
      <c r="A333" s="1"/>
      <c r="B333" s="2"/>
      <c r="C333" s="8"/>
      <c r="D333" s="128"/>
      <c r="E333" s="129"/>
      <c r="F333" s="129"/>
      <c r="G333" s="129"/>
      <c r="H333" s="129"/>
      <c r="I333" s="129"/>
      <c r="J333" s="129"/>
      <c r="K333" s="129"/>
      <c r="L333" s="129"/>
      <c r="M333" s="129"/>
      <c r="N333" s="129"/>
      <c r="O333" s="130"/>
      <c r="P333" s="131">
        <f>SUM(N330:N332)</f>
        <v>7719.51</v>
      </c>
      <c r="Q333" s="186"/>
      <c r="R333" s="4"/>
    </row>
    <row r="334" spans="1:18" ht="15.75" thickBot="1">
      <c r="A334" s="1"/>
      <c r="B334" s="2"/>
      <c r="C334" s="8"/>
      <c r="D334" s="87"/>
      <c r="E334" s="20"/>
      <c r="F334" s="20"/>
      <c r="G334" s="20"/>
      <c r="H334" s="20"/>
      <c r="I334" s="20"/>
      <c r="J334" s="20"/>
      <c r="K334" s="20"/>
      <c r="L334" s="20"/>
      <c r="M334" s="20"/>
      <c r="N334" s="20"/>
      <c r="O334" s="20"/>
      <c r="P334" s="88"/>
      <c r="Q334" s="13"/>
      <c r="R334" s="4"/>
    </row>
    <row r="335" spans="1:18" ht="15.75" thickBot="1">
      <c r="A335" s="1"/>
      <c r="B335" s="2"/>
      <c r="C335" s="8"/>
      <c r="D335" s="187" t="s">
        <v>46</v>
      </c>
      <c r="E335" s="188"/>
      <c r="F335" s="188"/>
      <c r="G335" s="188"/>
      <c r="H335" s="188"/>
      <c r="I335" s="188"/>
      <c r="J335" s="188"/>
      <c r="K335" s="188"/>
      <c r="L335" s="188"/>
      <c r="M335" s="188"/>
      <c r="N335" s="188"/>
      <c r="O335" s="189"/>
      <c r="P335" s="166">
        <f>ROUND(P333+P327,0)</f>
        <v>31112</v>
      </c>
      <c r="Q335" s="186"/>
      <c r="R335" s="4"/>
    </row>
    <row r="336" spans="1:18">
      <c r="A336" s="1"/>
      <c r="B336" s="2"/>
      <c r="C336" s="8"/>
      <c r="D336" s="80"/>
      <c r="E336" s="81"/>
      <c r="F336" s="81"/>
      <c r="G336" s="81"/>
      <c r="H336" s="81"/>
      <c r="I336" s="81"/>
      <c r="J336" s="81"/>
      <c r="K336" s="81"/>
      <c r="L336" s="81"/>
      <c r="M336" s="81"/>
      <c r="N336" s="81"/>
      <c r="O336" s="81"/>
      <c r="P336" s="82"/>
      <c r="Q336" s="13"/>
      <c r="R336" s="4"/>
    </row>
    <row r="337" spans="1:18">
      <c r="A337" s="1"/>
      <c r="B337" s="2"/>
      <c r="C337" s="8"/>
      <c r="D337" s="87"/>
      <c r="E337" s="20"/>
      <c r="F337" s="20"/>
      <c r="G337" s="20"/>
      <c r="H337" s="20"/>
      <c r="I337" s="20"/>
      <c r="J337" s="20"/>
      <c r="K337" s="20"/>
      <c r="L337" s="20"/>
      <c r="M337" s="20"/>
      <c r="N337" s="20"/>
      <c r="O337" s="20"/>
      <c r="P337" s="88"/>
      <c r="Q337" s="13"/>
      <c r="R337" s="4"/>
    </row>
    <row r="338" spans="1:18">
      <c r="A338" s="1"/>
      <c r="B338" s="2"/>
      <c r="C338" s="8"/>
      <c r="D338" s="87"/>
      <c r="E338" s="20"/>
      <c r="F338" s="20"/>
      <c r="G338" s="20"/>
      <c r="H338" s="20"/>
      <c r="I338" s="20"/>
      <c r="J338" s="20"/>
      <c r="K338" s="20"/>
      <c r="L338" s="20"/>
      <c r="M338" s="20"/>
      <c r="N338" s="20"/>
      <c r="O338" s="20"/>
      <c r="P338" s="88"/>
      <c r="Q338" s="13"/>
      <c r="R338" s="4"/>
    </row>
    <row r="339" spans="1:18">
      <c r="A339" s="1"/>
      <c r="B339" s="2"/>
      <c r="C339" s="8"/>
      <c r="D339" s="87"/>
      <c r="E339" s="20"/>
      <c r="F339" s="20"/>
      <c r="G339" s="20"/>
      <c r="H339" s="20"/>
      <c r="I339" s="20"/>
      <c r="J339" s="20"/>
      <c r="K339" s="20"/>
      <c r="L339" s="20"/>
      <c r="M339" s="20"/>
      <c r="N339" s="20"/>
      <c r="O339" s="20"/>
      <c r="P339" s="88"/>
      <c r="Q339" s="13"/>
      <c r="R339" s="4"/>
    </row>
    <row r="340" spans="1:18">
      <c r="A340" s="1"/>
      <c r="B340" s="2"/>
      <c r="C340" s="8"/>
      <c r="D340" s="219" t="str">
        <f>+[239]INICIO!$B$13</f>
        <v>Proyectó:</v>
      </c>
      <c r="E340" s="49"/>
      <c r="F340" s="49"/>
      <c r="G340" s="49"/>
      <c r="H340" s="49"/>
      <c r="I340" s="49"/>
      <c r="J340" s="49"/>
      <c r="K340" s="20"/>
      <c r="L340" s="69" t="str">
        <f>+[239]INICIO!$B$16</f>
        <v>Aprobó:</v>
      </c>
      <c r="M340" s="49"/>
      <c r="N340" s="49"/>
      <c r="O340" s="49"/>
      <c r="P340" s="88"/>
      <c r="Q340" s="13"/>
      <c r="R340" s="4"/>
    </row>
    <row r="341" spans="1:18">
      <c r="A341" s="1"/>
      <c r="B341" s="2"/>
      <c r="C341" s="8"/>
      <c r="D341" s="87"/>
      <c r="E341" s="20" t="str">
        <f>+Hoja2!C$13</f>
        <v>HELMER EDUARDO BECERRA SANTANDER</v>
      </c>
      <c r="F341" s="20"/>
      <c r="G341" s="20"/>
      <c r="H341" s="20"/>
      <c r="I341" s="20"/>
      <c r="J341" s="20"/>
      <c r="K341" s="20"/>
      <c r="L341" s="20"/>
      <c r="M341" s="20" t="str">
        <f>+Hoja2!$C$16</f>
        <v>JESÚS IVÁN QUIÑONES RUEDA</v>
      </c>
      <c r="N341" s="20"/>
      <c r="O341" s="20"/>
      <c r="P341" s="88"/>
      <c r="Q341" s="190"/>
      <c r="R341" s="4"/>
    </row>
    <row r="342" spans="1:18">
      <c r="A342" s="1"/>
      <c r="B342" s="2"/>
      <c r="C342" s="8"/>
      <c r="D342" s="87"/>
      <c r="E342" s="20" t="str">
        <f>+Hoja2!C$14</f>
        <v>APOYO SEC. DE PLANEACIÓN Y OBRAS PÚBLICAS</v>
      </c>
      <c r="F342" s="20"/>
      <c r="G342" s="20"/>
      <c r="H342" s="20"/>
      <c r="I342" s="20"/>
      <c r="J342" s="20"/>
      <c r="K342" s="20"/>
      <c r="L342" s="20"/>
      <c r="M342" s="20" t="str">
        <f>+Hoja2!$C$17</f>
        <v>SECRETARIO DE PLANEACIÓN Y OBRAS PUBLICAS</v>
      </c>
      <c r="N342" s="20"/>
      <c r="O342" s="20"/>
      <c r="P342" s="88"/>
      <c r="Q342" s="190"/>
      <c r="R342" s="4"/>
    </row>
    <row r="343" spans="1:18">
      <c r="A343" s="1"/>
      <c r="B343" s="2"/>
      <c r="C343" s="8"/>
      <c r="D343" s="68"/>
      <c r="E343" s="20" t="str">
        <f>+Hoja2!C$15</f>
        <v>123769-0701671 NTS</v>
      </c>
      <c r="F343" s="191"/>
      <c r="G343" s="191"/>
      <c r="H343" s="191"/>
      <c r="I343" s="20"/>
      <c r="J343" s="191"/>
      <c r="K343" s="191"/>
      <c r="L343" s="191"/>
      <c r="M343" s="192" t="str">
        <f>+Hoja2!C$18</f>
        <v>A21382020-1090480860</v>
      </c>
      <c r="N343" s="191"/>
      <c r="O343" s="191"/>
      <c r="P343" s="193"/>
      <c r="Q343" s="194"/>
      <c r="R343" s="4"/>
    </row>
    <row r="344" spans="1:18" ht="16.5" thickBot="1">
      <c r="A344" s="1"/>
      <c r="B344" s="2"/>
      <c r="C344" s="8"/>
      <c r="D344" s="195"/>
      <c r="E344" s="150"/>
      <c r="F344" s="150"/>
      <c r="G344" s="150"/>
      <c r="H344" s="150"/>
      <c r="I344" s="150"/>
      <c r="J344" s="150"/>
      <c r="K344" s="150"/>
      <c r="L344" s="150"/>
      <c r="M344" s="150"/>
      <c r="N344" s="150"/>
      <c r="O344" s="150"/>
      <c r="P344" s="196"/>
      <c r="Q344" s="197"/>
      <c r="R344" s="4"/>
    </row>
    <row r="345" spans="1:18" ht="15.75" thickBot="1">
      <c r="A345" s="1"/>
      <c r="B345" s="2"/>
      <c r="C345" s="198"/>
      <c r="D345" s="199"/>
      <c r="E345" s="199"/>
      <c r="F345" s="199"/>
      <c r="G345" s="199"/>
      <c r="H345" s="199"/>
      <c r="I345" s="199"/>
      <c r="J345" s="199"/>
      <c r="K345" s="199"/>
      <c r="L345" s="199"/>
      <c r="M345" s="199"/>
      <c r="N345" s="199"/>
      <c r="O345" s="199"/>
      <c r="P345" s="199"/>
      <c r="Q345" s="200"/>
      <c r="R345" s="4"/>
    </row>
    <row r="346" spans="1:18" ht="15.75" thickTop="1">
      <c r="A346" s="1"/>
      <c r="B346" s="2"/>
      <c r="C346" s="8"/>
      <c r="D346" s="12"/>
      <c r="E346" s="12"/>
      <c r="F346" s="12"/>
      <c r="G346" s="12"/>
      <c r="H346" s="12"/>
      <c r="I346" s="12"/>
      <c r="J346" s="12"/>
      <c r="K346" s="12"/>
      <c r="L346" s="12"/>
      <c r="M346" s="12"/>
      <c r="N346" s="12"/>
      <c r="O346" s="12"/>
      <c r="P346" s="12"/>
      <c r="Q346" s="13"/>
      <c r="R346" s="4"/>
    </row>
    <row r="347" spans="1:18" ht="15.75" thickBot="1">
      <c r="A347" s="1"/>
      <c r="B347" s="2"/>
      <c r="C347" s="8"/>
      <c r="D347" s="12"/>
      <c r="E347" s="12"/>
      <c r="F347" s="12"/>
      <c r="G347" s="12"/>
      <c r="H347" s="12"/>
      <c r="I347" s="12"/>
      <c r="J347" s="12"/>
      <c r="K347" s="12"/>
      <c r="L347" s="12"/>
      <c r="M347" s="12"/>
      <c r="N347" s="12"/>
      <c r="O347" s="12"/>
      <c r="P347" s="12"/>
      <c r="Q347" s="13"/>
      <c r="R347" s="4"/>
    </row>
    <row r="348" spans="1:18" ht="15.75" thickTop="1">
      <c r="A348" s="1"/>
      <c r="B348" s="2"/>
      <c r="C348" s="5"/>
      <c r="D348" s="6"/>
      <c r="E348" s="6"/>
      <c r="F348" s="6"/>
      <c r="G348" s="6"/>
      <c r="H348" s="6"/>
      <c r="I348" s="6"/>
      <c r="J348" s="6"/>
      <c r="K348" s="6"/>
      <c r="L348" s="6"/>
      <c r="M348" s="6"/>
      <c r="N348" s="6"/>
      <c r="O348" s="6"/>
      <c r="P348" s="6"/>
      <c r="Q348" s="7"/>
      <c r="R348" s="4"/>
    </row>
    <row r="349" spans="1:18" ht="24">
      <c r="A349" s="1"/>
      <c r="B349" s="2"/>
      <c r="C349" s="8"/>
      <c r="D349" s="9" t="str">
        <f>+[239]INICIO!$C$8</f>
        <v>Análisis de Precios Unitarios- Secretaria de Planeación y Obras Publicas de Cubará, Boyacá.</v>
      </c>
      <c r="E349" s="10"/>
      <c r="F349" s="10"/>
      <c r="G349" s="10"/>
      <c r="H349" s="11"/>
      <c r="I349" s="12"/>
      <c r="J349" s="12"/>
      <c r="K349" s="12"/>
      <c r="L349" s="12"/>
      <c r="M349" s="12"/>
      <c r="N349" s="12"/>
      <c r="O349" s="12"/>
      <c r="P349" s="12"/>
      <c r="Q349" s="13"/>
      <c r="R349" s="4"/>
    </row>
    <row r="350" spans="1:18">
      <c r="A350" s="1"/>
      <c r="B350" s="2"/>
      <c r="C350" s="8"/>
      <c r="D350" s="14" t="s">
        <v>0</v>
      </c>
      <c r="E350" s="15" t="str">
        <f>+[239]INICIO!$C$7</f>
        <v>CCE-EICP-FM-14</v>
      </c>
      <c r="F350" s="16"/>
      <c r="G350" s="17" t="str">
        <f>+[239]INICIO!$B$6</f>
        <v>VERSIÓN</v>
      </c>
      <c r="H350" s="14">
        <f>+[239]INICIO!$C$6</f>
        <v>1</v>
      </c>
      <c r="I350" s="12"/>
      <c r="J350" s="12"/>
      <c r="K350" s="12"/>
      <c r="L350" s="12"/>
      <c r="M350" s="12"/>
      <c r="N350" s="12"/>
      <c r="O350" s="12"/>
      <c r="P350" s="12"/>
      <c r="Q350" s="13"/>
      <c r="R350" s="4"/>
    </row>
    <row r="351" spans="1:18">
      <c r="A351" s="1"/>
      <c r="B351" s="2"/>
      <c r="C351" s="8"/>
      <c r="D351" s="18"/>
      <c r="E351" s="19"/>
      <c r="F351" s="18"/>
      <c r="G351" s="19"/>
      <c r="H351" s="12"/>
      <c r="I351" s="12"/>
      <c r="J351" s="12"/>
      <c r="K351" s="12"/>
      <c r="L351" s="12"/>
      <c r="M351" s="12"/>
      <c r="N351" s="12"/>
      <c r="O351" s="12"/>
      <c r="P351" s="12"/>
      <c r="Q351" s="13"/>
      <c r="R351" s="4"/>
    </row>
    <row r="352" spans="1:18" ht="15.75" thickBot="1">
      <c r="A352" s="1"/>
      <c r="B352" s="2"/>
      <c r="C352" s="8"/>
      <c r="D352" s="20"/>
      <c r="E352" s="20"/>
      <c r="F352" s="20"/>
      <c r="G352" s="20"/>
      <c r="H352" s="20"/>
      <c r="I352" s="20"/>
      <c r="J352" s="20"/>
      <c r="K352" s="20"/>
      <c r="L352" s="20"/>
      <c r="M352" s="20"/>
      <c r="N352" s="20"/>
      <c r="O352" s="20"/>
      <c r="P352" s="20"/>
      <c r="Q352" s="13"/>
      <c r="R352" s="4"/>
    </row>
    <row r="353" spans="1:18">
      <c r="A353" s="1"/>
      <c r="B353" s="2"/>
      <c r="C353" s="8"/>
      <c r="D353" s="21"/>
      <c r="E353" s="22"/>
      <c r="F353" s="23"/>
      <c r="G353" s="23"/>
      <c r="H353" s="23"/>
      <c r="I353" s="23"/>
      <c r="J353" s="23"/>
      <c r="K353" s="23"/>
      <c r="L353" s="24"/>
      <c r="M353" s="25"/>
      <c r="N353" s="26"/>
      <c r="O353" s="26"/>
      <c r="P353" s="27"/>
      <c r="Q353" s="28"/>
      <c r="R353" s="4"/>
    </row>
    <row r="354" spans="1:18">
      <c r="A354" s="1"/>
      <c r="B354" s="2"/>
      <c r="C354" s="8"/>
      <c r="D354" s="29"/>
      <c r="E354" s="30" t="s">
        <v>1</v>
      </c>
      <c r="F354" s="31"/>
      <c r="G354" s="31"/>
      <c r="H354" s="31"/>
      <c r="I354" s="31"/>
      <c r="J354" s="31"/>
      <c r="K354" s="31"/>
      <c r="L354" s="32"/>
      <c r="M354" s="33"/>
      <c r="N354" s="34"/>
      <c r="O354" s="34"/>
      <c r="P354" s="35"/>
      <c r="Q354" s="28"/>
      <c r="R354" s="4"/>
    </row>
    <row r="355" spans="1:18">
      <c r="A355" s="1"/>
      <c r="B355" s="2"/>
      <c r="C355" s="8"/>
      <c r="D355" s="29"/>
      <c r="E355" s="36"/>
      <c r="F355" s="37"/>
      <c r="G355" s="37"/>
      <c r="H355" s="37"/>
      <c r="I355" s="37"/>
      <c r="J355" s="37"/>
      <c r="K355" s="37"/>
      <c r="L355" s="38"/>
      <c r="M355" s="39"/>
      <c r="N355" s="40"/>
      <c r="O355" s="41"/>
      <c r="P355" s="42"/>
      <c r="Q355" s="28"/>
      <c r="R355" s="4"/>
    </row>
    <row r="356" spans="1:18">
      <c r="A356" s="1"/>
      <c r="B356" s="2"/>
      <c r="C356" s="8"/>
      <c r="D356" s="29"/>
      <c r="E356" s="36"/>
      <c r="F356" s="37"/>
      <c r="G356" s="37"/>
      <c r="H356" s="37"/>
      <c r="I356" s="37"/>
      <c r="J356" s="37"/>
      <c r="K356" s="37"/>
      <c r="L356" s="38"/>
      <c r="M356" s="43" t="s">
        <v>2</v>
      </c>
      <c r="N356" s="44"/>
      <c r="O356" s="45">
        <f>+[239]INICIO!$C$6</f>
        <v>1</v>
      </c>
      <c r="P356" s="46"/>
      <c r="Q356" s="28"/>
      <c r="R356" s="4"/>
    </row>
    <row r="357" spans="1:18">
      <c r="A357" s="1"/>
      <c r="B357" s="2"/>
      <c r="C357" s="8"/>
      <c r="D357" s="29"/>
      <c r="E357" s="36"/>
      <c r="F357" s="37"/>
      <c r="G357" s="37"/>
      <c r="H357" s="37"/>
      <c r="I357" s="37"/>
      <c r="J357" s="37"/>
      <c r="K357" s="37"/>
      <c r="L357" s="38"/>
      <c r="M357" s="47"/>
      <c r="N357" s="48"/>
      <c r="O357" s="49"/>
      <c r="P357" s="50"/>
      <c r="Q357" s="51"/>
      <c r="R357" s="4"/>
    </row>
    <row r="358" spans="1:18">
      <c r="A358" s="1"/>
      <c r="B358" s="2"/>
      <c r="C358" s="8"/>
      <c r="D358" s="29"/>
      <c r="E358" s="52"/>
      <c r="F358" s="53"/>
      <c r="G358" s="53"/>
      <c r="H358" s="53"/>
      <c r="I358" s="53"/>
      <c r="J358" s="53"/>
      <c r="K358" s="53"/>
      <c r="L358" s="54"/>
      <c r="M358" s="39"/>
      <c r="N358" s="55"/>
      <c r="O358" s="55"/>
      <c r="P358" s="56"/>
      <c r="Q358" s="28"/>
      <c r="R358" s="4"/>
    </row>
    <row r="359" spans="1:18">
      <c r="A359" s="1"/>
      <c r="B359" s="2"/>
      <c r="C359" s="8"/>
      <c r="D359" s="29"/>
      <c r="E359" s="52"/>
      <c r="F359" s="53"/>
      <c r="G359" s="53"/>
      <c r="H359" s="53"/>
      <c r="I359" s="53"/>
      <c r="J359" s="53"/>
      <c r="K359" s="53"/>
      <c r="L359" s="54"/>
      <c r="M359" s="43" t="s">
        <v>3</v>
      </c>
      <c r="N359" s="43" t="str">
        <f>+VLOOKUP(D370,'PRESUPUESTO OFICIAL '!C:Q,9,FALSE)</f>
        <v>5</v>
      </c>
      <c r="O359" s="43" t="s">
        <v>4</v>
      </c>
      <c r="P359" s="508" t="str">
        <f>+'PRESUPUESTO OFICIAL '!$M$122</f>
        <v>62</v>
      </c>
      <c r="Q359" s="28"/>
      <c r="R359" s="4"/>
    </row>
    <row r="360" spans="1:18">
      <c r="A360" s="1"/>
      <c r="B360" s="2"/>
      <c r="C360" s="8"/>
      <c r="D360" s="29"/>
      <c r="E360" s="30" t="s">
        <v>5</v>
      </c>
      <c r="F360" s="31"/>
      <c r="G360" s="31"/>
      <c r="H360" s="31"/>
      <c r="I360" s="31"/>
      <c r="J360" s="31"/>
      <c r="K360" s="31"/>
      <c r="L360" s="32"/>
      <c r="M360" s="43"/>
      <c r="N360" s="57"/>
      <c r="O360" s="57"/>
      <c r="P360" s="58"/>
      <c r="Q360" s="28"/>
      <c r="R360" s="4"/>
    </row>
    <row r="361" spans="1:18" ht="15.75" thickBot="1">
      <c r="A361" s="1"/>
      <c r="B361" s="2"/>
      <c r="C361" s="8"/>
      <c r="D361" s="59"/>
      <c r="E361" s="60"/>
      <c r="F361" s="60"/>
      <c r="G361" s="60"/>
      <c r="H361" s="60"/>
      <c r="I361" s="60"/>
      <c r="J361" s="60"/>
      <c r="K361" s="60"/>
      <c r="L361" s="60"/>
      <c r="M361" s="60"/>
      <c r="N361" s="61"/>
      <c r="O361" s="61"/>
      <c r="P361" s="62"/>
      <c r="Q361" s="63"/>
      <c r="R361" s="4"/>
    </row>
    <row r="362" spans="1:18">
      <c r="A362" s="1"/>
      <c r="B362" s="2"/>
      <c r="C362" s="8"/>
      <c r="D362" s="64"/>
      <c r="E362" s="65"/>
      <c r="F362" s="65"/>
      <c r="G362" s="65"/>
      <c r="H362" s="65"/>
      <c r="I362" s="65"/>
      <c r="J362" s="65"/>
      <c r="K362" s="65"/>
      <c r="L362" s="65"/>
      <c r="M362" s="66" t="s">
        <v>6</v>
      </c>
      <c r="N362" s="66" t="s">
        <v>7</v>
      </c>
      <c r="O362" s="66" t="s">
        <v>8</v>
      </c>
      <c r="P362" s="67" t="s">
        <v>9</v>
      </c>
      <c r="Q362" s="51"/>
      <c r="R362" s="4"/>
    </row>
    <row r="363" spans="1:18">
      <c r="A363" s="1"/>
      <c r="B363" s="2"/>
      <c r="C363" s="8"/>
      <c r="D363" s="68"/>
      <c r="E363" s="69"/>
      <c r="F363" s="69"/>
      <c r="G363" s="69"/>
      <c r="H363" s="69"/>
      <c r="I363" s="69"/>
      <c r="J363" s="69"/>
      <c r="K363" s="69"/>
      <c r="L363" s="69"/>
      <c r="M363" s="70"/>
      <c r="N363" s="71">
        <f>+Hoja2!B$5</f>
        <v>5</v>
      </c>
      <c r="O363" s="71">
        <f>+Hoja2!C$5</f>
        <v>8</v>
      </c>
      <c r="P363" s="72">
        <f>+Hoja2!D$5</f>
        <v>2026</v>
      </c>
      <c r="Q363" s="73"/>
      <c r="R363" s="4"/>
    </row>
    <row r="364" spans="1:18">
      <c r="A364" s="1"/>
      <c r="B364" s="2"/>
      <c r="C364" s="8"/>
      <c r="D364" s="74"/>
      <c r="E364" s="37"/>
      <c r="F364" s="37"/>
      <c r="G364" s="37"/>
      <c r="H364" s="69"/>
      <c r="I364" s="69"/>
      <c r="J364" s="69"/>
      <c r="K364" s="20"/>
      <c r="L364" s="69"/>
      <c r="M364" s="75"/>
      <c r="N364" s="20"/>
      <c r="O364" s="20"/>
      <c r="P364" s="76"/>
      <c r="Q364" s="73"/>
      <c r="R364" s="4"/>
    </row>
    <row r="365" spans="1:18" ht="15.75" thickBot="1">
      <c r="A365" s="1"/>
      <c r="B365" s="2"/>
      <c r="C365" s="8"/>
      <c r="D365" s="77"/>
      <c r="E365" s="78"/>
      <c r="F365" s="78"/>
      <c r="G365" s="78"/>
      <c r="H365" s="78"/>
      <c r="I365" s="78"/>
      <c r="J365" s="78"/>
      <c r="K365" s="78"/>
      <c r="L365" s="78"/>
      <c r="M365" s="78"/>
      <c r="N365" s="78"/>
      <c r="O365" s="78"/>
      <c r="P365" s="79"/>
      <c r="Q365" s="13"/>
      <c r="R365" s="4"/>
    </row>
    <row r="366" spans="1:18" ht="15.75" thickBot="1">
      <c r="A366" s="1"/>
      <c r="B366" s="2"/>
      <c r="C366" s="8"/>
      <c r="D366" s="80"/>
      <c r="E366" s="81"/>
      <c r="F366" s="81"/>
      <c r="G366" s="81"/>
      <c r="H366" s="81"/>
      <c r="I366" s="81"/>
      <c r="J366" s="20"/>
      <c r="K366" s="20"/>
      <c r="L366" s="81"/>
      <c r="M366" s="81"/>
      <c r="N366" s="81"/>
      <c r="O366" s="81"/>
      <c r="P366" s="82"/>
      <c r="Q366" s="13"/>
      <c r="R366" s="4"/>
    </row>
    <row r="367" spans="1:18">
      <c r="A367" s="1"/>
      <c r="B367" s="2"/>
      <c r="C367" s="8"/>
      <c r="D367" s="83" t="s">
        <v>10</v>
      </c>
      <c r="E367" s="84"/>
      <c r="F367" s="84"/>
      <c r="G367" s="84"/>
      <c r="H367" s="84"/>
      <c r="I367" s="84"/>
      <c r="J367" s="84"/>
      <c r="K367" s="84"/>
      <c r="L367" s="84"/>
      <c r="M367" s="84"/>
      <c r="N367" s="84"/>
      <c r="O367" s="84"/>
      <c r="P367" s="85"/>
      <c r="Q367" s="86"/>
      <c r="R367" s="4"/>
    </row>
    <row r="368" spans="1:18" ht="15.75" thickBot="1">
      <c r="A368" s="1"/>
      <c r="B368" s="2"/>
      <c r="C368" s="8"/>
      <c r="D368" s="87"/>
      <c r="E368" s="20"/>
      <c r="F368" s="20"/>
      <c r="G368" s="20"/>
      <c r="H368" s="20"/>
      <c r="I368" s="20"/>
      <c r="J368" s="20"/>
      <c r="K368" s="20"/>
      <c r="L368" s="20"/>
      <c r="M368" s="20"/>
      <c r="N368" s="20"/>
      <c r="O368" s="20"/>
      <c r="P368" s="88"/>
      <c r="Q368" s="13"/>
      <c r="R368" s="4"/>
    </row>
    <row r="369" spans="1:18">
      <c r="A369" s="1" t="s">
        <v>11</v>
      </c>
      <c r="B369" s="2" t="s">
        <v>12</v>
      </c>
      <c r="C369" s="8"/>
      <c r="D369" s="89" t="s">
        <v>13</v>
      </c>
      <c r="E369" s="90" t="s">
        <v>14</v>
      </c>
      <c r="F369" s="90"/>
      <c r="G369" s="90"/>
      <c r="H369" s="90"/>
      <c r="I369" s="90"/>
      <c r="J369" s="90"/>
      <c r="K369" s="90"/>
      <c r="L369" s="90"/>
      <c r="M369" s="90"/>
      <c r="N369" s="91" t="s">
        <v>15</v>
      </c>
      <c r="O369" s="91"/>
      <c r="P369" s="92" t="s">
        <v>16</v>
      </c>
      <c r="Q369" s="93"/>
      <c r="R369" s="4"/>
    </row>
    <row r="370" spans="1:18" ht="29.25" thickBot="1">
      <c r="A370" s="1"/>
      <c r="B370" s="2"/>
      <c r="C370" s="8"/>
      <c r="D370" s="349">
        <f>+'PRESUPUESTO OFICIAL '!C16</f>
        <v>1.05</v>
      </c>
      <c r="E370" s="94" t="str">
        <f>+VLOOKUP(D370,'PRESUPUESTO OFICIAL '!C:H,2,FALSE)</f>
        <v>DEMOLICIÓN DE PLACA DE PISO EN CONCRETO DE E = 10 CM. (INCLUYE RETIRO Y ACARREO LIBRE HASTA 5 KM.)</v>
      </c>
      <c r="F370" s="94"/>
      <c r="G370" s="94"/>
      <c r="H370" s="94"/>
      <c r="I370" s="94"/>
      <c r="J370" s="94"/>
      <c r="K370" s="94"/>
      <c r="L370" s="94"/>
      <c r="M370" s="94"/>
      <c r="N370" s="94" t="str">
        <f>+VLOOKUP(D370,'PRESUPUESTO OFICIAL '!C:H,3,FALSE)</f>
        <v>M2</v>
      </c>
      <c r="O370" s="95"/>
      <c r="P370" s="96">
        <f>+VLOOKUP(D370,'PRESUPUESTO OFICIAL '!C:H,4,FALSE)</f>
        <v>48.54</v>
      </c>
      <c r="Q370" s="97"/>
      <c r="R370" s="98">
        <f>+P422</f>
        <v>92781</v>
      </c>
    </row>
    <row r="371" spans="1:18" ht="15.75" thickBot="1">
      <c r="A371" s="1"/>
      <c r="B371" s="2"/>
      <c r="C371" s="8"/>
      <c r="D371" s="74"/>
      <c r="E371" s="37"/>
      <c r="F371" s="37"/>
      <c r="G371" s="37"/>
      <c r="H371" s="37"/>
      <c r="I371" s="37"/>
      <c r="J371" s="37"/>
      <c r="K371" s="37"/>
      <c r="L371" s="37"/>
      <c r="M371" s="37"/>
      <c r="N371" s="37"/>
      <c r="O371" s="37"/>
      <c r="P371" s="99"/>
      <c r="Q371" s="100"/>
      <c r="R371" s="4"/>
    </row>
    <row r="372" spans="1:18">
      <c r="A372" s="1"/>
      <c r="B372" s="2"/>
      <c r="C372" s="8"/>
      <c r="D372" s="101" t="s">
        <v>14</v>
      </c>
      <c r="E372" s="102"/>
      <c r="F372" s="102"/>
      <c r="G372" s="102"/>
      <c r="H372" s="103"/>
      <c r="I372" s="104" t="s">
        <v>18</v>
      </c>
      <c r="J372" s="102"/>
      <c r="K372" s="104" t="s">
        <v>19</v>
      </c>
      <c r="L372" s="105"/>
      <c r="M372" s="106" t="s">
        <v>20</v>
      </c>
      <c r="N372" s="104" t="s">
        <v>21</v>
      </c>
      <c r="O372" s="105"/>
      <c r="P372" s="107" t="s">
        <v>22</v>
      </c>
      <c r="Q372" s="108"/>
      <c r="R372" s="4"/>
    </row>
    <row r="373" spans="1:18">
      <c r="A373" s="1" t="e">
        <f>[239]INDICE!#REF!</f>
        <v>#REF!</v>
      </c>
      <c r="B373" s="2" t="s">
        <v>23</v>
      </c>
      <c r="C373" s="8"/>
      <c r="D373" s="109" t="str">
        <f>IFERROR(INDEX([239]EQUIPOS!B:B,MATCH(B373,[239]EQUIPOS!A:A,0)),"")</f>
        <v>HERRAMIENTA MENOR (% M.O)</v>
      </c>
      <c r="E373" s="110"/>
      <c r="F373" s="110"/>
      <c r="G373" s="110"/>
      <c r="H373" s="111"/>
      <c r="I373" s="112"/>
      <c r="J373" s="111"/>
      <c r="K373" s="113" t="str">
        <f>IFERROR(INDEX([239]EQUIPOS!C:C,MATCH(B373,[239]EQUIPOS!A:A,0)),"")</f>
        <v>%</v>
      </c>
      <c r="L373" s="114"/>
      <c r="M373" s="115">
        <f>IFERROR(IF(D373="HERRAMIENTA MENOR (% M.O)",P412,INDEX([239]EQUIPOS!D:D,MATCH(B373,[239]EQUIPOS!A:A,0))),"")</f>
        <v>32635.79</v>
      </c>
      <c r="N373" s="116">
        <v>10</v>
      </c>
      <c r="O373" s="117"/>
      <c r="P373" s="118">
        <f t="shared" ref="P373:P378" si="12">IFERROR(ROUND(IF(D373="HERRAMIENTA MENOR (% M.O)",N373%*M373,M373/N373),2)," ")</f>
        <v>3263.58</v>
      </c>
      <c r="Q373" s="119"/>
      <c r="R373" s="4"/>
    </row>
    <row r="374" spans="1:18">
      <c r="A374" s="1">
        <f>+$A$2341</f>
        <v>0</v>
      </c>
      <c r="B374" s="2" t="s">
        <v>262</v>
      </c>
      <c r="C374" s="8"/>
      <c r="D374" s="109" t="str">
        <f>IFERROR(INDEX([239]EQUIPOS!B:B,MATCH(B374,[239]EQUIPOS!A:A,0)),"")</f>
        <v>COMPRESOR (INCLUYE
MARTILLOS)</v>
      </c>
      <c r="E374" s="110"/>
      <c r="F374" s="110"/>
      <c r="G374" s="110"/>
      <c r="H374" s="111"/>
      <c r="I374" s="112"/>
      <c r="J374" s="111"/>
      <c r="K374" s="113" t="str">
        <f>IFERROR(INDEX([239]EQUIPOS!C:C,MATCH(B374,[239]EQUIPOS!A:A,0)),"")</f>
        <v>DIA</v>
      </c>
      <c r="L374" s="114"/>
      <c r="M374" s="115">
        <f>IFERROR(IF(D374="HERRAMIENTA MENOR (% M.O)",P413,INDEX([239]EQUIPOS!D:D,MATCH(B374,[239]EQUIPOS!A:A,0))),"")</f>
        <v>921448</v>
      </c>
      <c r="N374" s="116">
        <v>28.571428571428569</v>
      </c>
      <c r="O374" s="117"/>
      <c r="P374" s="118">
        <f t="shared" si="12"/>
        <v>32250.68</v>
      </c>
      <c r="Q374" s="119"/>
      <c r="R374" s="4"/>
    </row>
    <row r="375" spans="1:18">
      <c r="A375" s="1">
        <f t="shared" ref="A375:A413" si="13">+A374</f>
        <v>0</v>
      </c>
      <c r="B375" s="2"/>
      <c r="C375" s="8"/>
      <c r="D375" s="109" t="str">
        <f>IFERROR(INDEX([239]EQUIPOS!B:B,MATCH(B375,[239]EQUIPOS!A:A,0)),"")</f>
        <v/>
      </c>
      <c r="E375" s="110"/>
      <c r="F375" s="110"/>
      <c r="G375" s="110"/>
      <c r="H375" s="111"/>
      <c r="I375" s="120"/>
      <c r="J375" s="121"/>
      <c r="K375" s="113" t="str">
        <f>IFERROR(INDEX([239]EQUIPOS!C:C,MATCH(B375,[239]EQUIPOS!A:A,0)),"")</f>
        <v/>
      </c>
      <c r="L375" s="114"/>
      <c r="M375" s="115" t="str">
        <f>IFERROR(IF(D375="HERRAMIENTA MENOR (% M.O)",P414,INDEX([239]EQUIPOS!D:D,MATCH(B375,[239]EQUIPOS!A:A,0))),"")</f>
        <v/>
      </c>
      <c r="N375" s="116"/>
      <c r="O375" s="117"/>
      <c r="P375" s="118" t="str">
        <f t="shared" si="12"/>
        <v xml:space="preserve"> </v>
      </c>
      <c r="Q375" s="119"/>
      <c r="R375" s="4"/>
    </row>
    <row r="376" spans="1:18">
      <c r="A376" s="1">
        <f t="shared" si="13"/>
        <v>0</v>
      </c>
      <c r="B376" s="2"/>
      <c r="C376" s="8"/>
      <c r="D376" s="109" t="str">
        <f>IFERROR(INDEX([239]EQUIPOS!B:B,MATCH(B376,[239]EQUIPOS!A:A,0)),"")</f>
        <v/>
      </c>
      <c r="E376" s="110"/>
      <c r="F376" s="110"/>
      <c r="G376" s="110"/>
      <c r="H376" s="111"/>
      <c r="I376" s="120"/>
      <c r="J376" s="121"/>
      <c r="K376" s="113" t="str">
        <f>IFERROR(INDEX([239]EQUIPOS!C:C,MATCH(B376,[239]EQUIPOS!A:A,0)),"")</f>
        <v/>
      </c>
      <c r="L376" s="114"/>
      <c r="M376" s="115" t="str">
        <f>IFERROR(IF(D376="HERRAMIENTA MENOR (% M.O)",P415,INDEX([239]EQUIPOS!D:D,MATCH(B376,[239]EQUIPOS!A:A,0))),"")</f>
        <v/>
      </c>
      <c r="N376" s="4"/>
      <c r="O376" s="117"/>
      <c r="P376" s="118" t="str">
        <f>IFERROR(ROUND(IF(D376="HERRAMIENTA MENOR (% M.O)",U376%*M376,M376/U376),2)," ")</f>
        <v xml:space="preserve"> </v>
      </c>
      <c r="Q376" s="119"/>
      <c r="R376" s="4"/>
    </row>
    <row r="377" spans="1:18">
      <c r="A377" s="1">
        <f t="shared" si="13"/>
        <v>0</v>
      </c>
      <c r="B377" s="2"/>
      <c r="C377" s="8"/>
      <c r="D377" s="109" t="str">
        <f>IFERROR(INDEX([239]EQUIPOS!B:B,MATCH(B377,[239]EQUIPOS!A:A,0)),"")</f>
        <v/>
      </c>
      <c r="E377" s="110"/>
      <c r="F377" s="110"/>
      <c r="G377" s="110"/>
      <c r="H377" s="111"/>
      <c r="I377" s="112"/>
      <c r="J377" s="111"/>
      <c r="K377" s="113" t="str">
        <f>IFERROR(INDEX([239]EQUIPOS!C:C,MATCH(B377,[239]EQUIPOS!A:A,0)),"")</f>
        <v/>
      </c>
      <c r="L377" s="114"/>
      <c r="M377" s="115" t="str">
        <f>IFERROR(IF(D377="HERRAMIENTA MENOR (% M.O)",P416,INDEX([239]EQUIPOS!D:D,MATCH(B377,[239]EQUIPOS!A:A,0))),"")</f>
        <v/>
      </c>
      <c r="N377" s="116"/>
      <c r="O377" s="117"/>
      <c r="P377" s="118" t="str">
        <f t="shared" si="12"/>
        <v xml:space="preserve"> </v>
      </c>
      <c r="Q377" s="119"/>
      <c r="R377" s="4"/>
    </row>
    <row r="378" spans="1:18" ht="15.75" thickBot="1">
      <c r="A378" s="1">
        <f t="shared" si="13"/>
        <v>0</v>
      </c>
      <c r="B378" s="2"/>
      <c r="C378" s="8"/>
      <c r="D378" s="109" t="str">
        <f>IFERROR(INDEX([239]EQUIPOS!B:B,MATCH(B378,[239]EQUIPOS!A:A,0)),"")</f>
        <v/>
      </c>
      <c r="E378" s="78"/>
      <c r="F378" s="78"/>
      <c r="G378" s="78"/>
      <c r="H378" s="122"/>
      <c r="I378" s="123"/>
      <c r="J378" s="122"/>
      <c r="K378" s="113" t="str">
        <f>IFERROR(INDEX([239]EQUIPOS!C:C,MATCH(B378,[239]EQUIPOS!A:A,0)),"")</f>
        <v/>
      </c>
      <c r="L378" s="124"/>
      <c r="M378" s="115" t="str">
        <f>IFERROR(IF(D378="HERRAMIENTA MENOR (% M.O)",P417,INDEX([239]EQUIPOS!D:D,MATCH(B378,[239]EQUIPOS!A:A,0))),"")</f>
        <v/>
      </c>
      <c r="N378" s="125"/>
      <c r="O378" s="126"/>
      <c r="P378" s="127" t="str">
        <f t="shared" si="12"/>
        <v xml:space="preserve"> </v>
      </c>
      <c r="Q378" s="119"/>
      <c r="R378" s="4"/>
    </row>
    <row r="379" spans="1:18" ht="15.75" thickBot="1">
      <c r="A379" s="1">
        <f t="shared" si="13"/>
        <v>0</v>
      </c>
      <c r="B379" s="2"/>
      <c r="C379" s="8"/>
      <c r="D379" s="128" t="s">
        <v>24</v>
      </c>
      <c r="E379" s="129"/>
      <c r="F379" s="129"/>
      <c r="G379" s="129"/>
      <c r="H379" s="129"/>
      <c r="I379" s="129"/>
      <c r="J379" s="129"/>
      <c r="K379" s="129"/>
      <c r="L379" s="129"/>
      <c r="M379" s="129"/>
      <c r="N379" s="129"/>
      <c r="O379" s="130"/>
      <c r="P379" s="131">
        <f>SUM(P373:P378)</f>
        <v>35514.26</v>
      </c>
      <c r="Q379" s="132"/>
      <c r="R379" s="4"/>
    </row>
    <row r="380" spans="1:18" ht="15.75" thickBot="1">
      <c r="A380" s="1">
        <f t="shared" si="13"/>
        <v>0</v>
      </c>
      <c r="B380" s="2"/>
      <c r="C380" s="8"/>
      <c r="D380" s="74" t="s">
        <v>25</v>
      </c>
      <c r="E380" s="37"/>
      <c r="F380" s="37"/>
      <c r="G380" s="37"/>
      <c r="H380" s="37"/>
      <c r="I380" s="37"/>
      <c r="J380" s="37"/>
      <c r="K380" s="37"/>
      <c r="L380" s="37"/>
      <c r="M380" s="37"/>
      <c r="N380" s="37"/>
      <c r="O380" s="37"/>
      <c r="P380" s="99"/>
      <c r="Q380" s="100"/>
      <c r="R380" s="4"/>
    </row>
    <row r="381" spans="1:18">
      <c r="A381" s="1">
        <f t="shared" si="13"/>
        <v>0</v>
      </c>
      <c r="B381" s="2"/>
      <c r="C381" s="8"/>
      <c r="D381" s="101" t="s">
        <v>14</v>
      </c>
      <c r="E381" s="133"/>
      <c r="F381" s="133"/>
      <c r="G381" s="133"/>
      <c r="H381" s="133"/>
      <c r="I381" s="133"/>
      <c r="J381" s="133"/>
      <c r="K381" s="105"/>
      <c r="L381" s="134" t="s">
        <v>15</v>
      </c>
      <c r="M381" s="106" t="s">
        <v>16</v>
      </c>
      <c r="N381" s="104" t="s">
        <v>26</v>
      </c>
      <c r="O381" s="105"/>
      <c r="P381" s="107" t="s">
        <v>22</v>
      </c>
      <c r="Q381" s="108"/>
      <c r="R381" s="4"/>
    </row>
    <row r="382" spans="1:18">
      <c r="A382" s="1">
        <f t="shared" si="13"/>
        <v>0</v>
      </c>
      <c r="B382" s="2"/>
      <c r="C382" s="8"/>
      <c r="D382" s="109" t="str">
        <f>IFERROR(INDEX([239]MATERIALES!C:C,MATCH(B382,[239]MATERIALES!B:B,0)),"")</f>
        <v/>
      </c>
      <c r="E382" s="135"/>
      <c r="F382" s="135"/>
      <c r="G382" s="135"/>
      <c r="H382" s="135"/>
      <c r="I382" s="135"/>
      <c r="J382" s="135"/>
      <c r="K382" s="136"/>
      <c r="L382" s="137" t="str">
        <f>IFERROR(INDEX([239]MATERIALES!D:D,MATCH(B382,[239]MATERIALES!B:B,0)),"")</f>
        <v/>
      </c>
      <c r="M382" s="138"/>
      <c r="N382" s="139" t="str">
        <f>IFERROR(INDEX([239]MATERIALES!P:P,MATCH(B382,[239]MATERIALES!B:B,0)),"")</f>
        <v/>
      </c>
      <c r="O382" s="140"/>
      <c r="P382" s="118" t="str">
        <f>IFERROR(ROUND(N382*M382,2),"")</f>
        <v/>
      </c>
      <c r="Q382" s="119"/>
      <c r="R382" s="4"/>
    </row>
    <row r="383" spans="1:18">
      <c r="A383" s="1">
        <f t="shared" si="13"/>
        <v>0</v>
      </c>
      <c r="B383" s="2"/>
      <c r="C383" s="8"/>
      <c r="D383" s="109" t="str">
        <f>IFERROR(INDEX([239]MATERIALES!C:C,MATCH(B383,[239]MATERIALES!B:B,0)),"")</f>
        <v/>
      </c>
      <c r="E383" s="135"/>
      <c r="F383" s="135"/>
      <c r="G383" s="135"/>
      <c r="H383" s="135"/>
      <c r="I383" s="135"/>
      <c r="J383" s="135"/>
      <c r="K383" s="136"/>
      <c r="L383" s="137" t="str">
        <f>IFERROR(INDEX([239]MATERIALES!D:D,MATCH(B383,[239]MATERIALES!B:B,0)),"")</f>
        <v/>
      </c>
      <c r="M383" s="138"/>
      <c r="N383" s="139" t="str">
        <f>IFERROR(INDEX([239]MATERIALES!P:P,MATCH(B383,[239]MATERIALES!B:B,0)),"")</f>
        <v/>
      </c>
      <c r="O383" s="140"/>
      <c r="P383" s="118" t="str">
        <f>IFERROR(ROUND(N383*M383,2),"")</f>
        <v/>
      </c>
      <c r="Q383" s="119"/>
      <c r="R383" s="4"/>
    </row>
    <row r="384" spans="1:18">
      <c r="A384" s="1">
        <f t="shared" si="13"/>
        <v>0</v>
      </c>
      <c r="B384" s="2"/>
      <c r="C384" s="8"/>
      <c r="D384" s="109" t="str">
        <f>IFERROR(INDEX([239]MATERIALES!C:C,MATCH(B384,[239]MATERIALES!B:B,0)),"")</f>
        <v/>
      </c>
      <c r="E384" s="110"/>
      <c r="F384" s="110"/>
      <c r="G384" s="110"/>
      <c r="H384" s="110"/>
      <c r="I384" s="110"/>
      <c r="J384" s="110"/>
      <c r="K384" s="111"/>
      <c r="L384" s="137" t="str">
        <f>IFERROR(INDEX([239]MATERIALES!D:D,MATCH(B384,[239]MATERIALES!B:B,0)),"")</f>
        <v/>
      </c>
      <c r="M384" s="138"/>
      <c r="N384" s="139" t="str">
        <f>IFERROR(INDEX([239]MATERIALES!P:P,MATCH(B384,[239]MATERIALES!B:B,0)),"")</f>
        <v/>
      </c>
      <c r="O384" s="140"/>
      <c r="P384" s="118" t="str">
        <f>IFERROR(ROUND(N384*M384,2),"")</f>
        <v/>
      </c>
      <c r="Q384" s="119"/>
      <c r="R384" s="4"/>
    </row>
    <row r="385" spans="1:18">
      <c r="A385" s="1">
        <f t="shared" si="13"/>
        <v>0</v>
      </c>
      <c r="B385" s="2"/>
      <c r="C385" s="8"/>
      <c r="D385" s="109" t="str">
        <f>IFERROR(INDEX([239]MATERIALES!C:C,MATCH(B385,[239]MATERIALES!B:B,0)),"")</f>
        <v/>
      </c>
      <c r="E385" s="110"/>
      <c r="F385" s="110"/>
      <c r="G385" s="110"/>
      <c r="H385" s="110"/>
      <c r="I385" s="110"/>
      <c r="J385" s="110"/>
      <c r="K385" s="111"/>
      <c r="L385" s="137" t="str">
        <f>IFERROR(INDEX([239]MATERIALES!D:D,MATCH(B385,[239]MATERIALES!B:B,0)),"")</f>
        <v/>
      </c>
      <c r="M385" s="138"/>
      <c r="N385" s="139" t="str">
        <f>IFERROR(INDEX([239]MATERIALES!P:P,MATCH(B385,[239]MATERIALES!B:B,0)),"")</f>
        <v/>
      </c>
      <c r="O385" s="140"/>
      <c r="P385" s="118" t="str">
        <f>IFERROR(ROUND(N385*M385,2),"")</f>
        <v/>
      </c>
      <c r="Q385" s="119"/>
      <c r="R385" s="4"/>
    </row>
    <row r="386" spans="1:18">
      <c r="A386" s="1">
        <f t="shared" si="13"/>
        <v>0</v>
      </c>
      <c r="B386" s="2"/>
      <c r="C386" s="8"/>
      <c r="D386" s="109" t="str">
        <f>IFERROR(INDEX([239]MATERIALES!C:C,MATCH(B386,[239]MATERIALES!B:B,0)),"")</f>
        <v/>
      </c>
      <c r="E386" s="110"/>
      <c r="F386" s="110"/>
      <c r="G386" s="110"/>
      <c r="H386" s="110"/>
      <c r="I386" s="110"/>
      <c r="J386" s="110"/>
      <c r="K386" s="111"/>
      <c r="L386" s="137" t="str">
        <f>IFERROR(INDEX([239]MATERIALES!D:D,MATCH(B386,[239]MATERIALES!B:B,0)),"")</f>
        <v/>
      </c>
      <c r="M386" s="138"/>
      <c r="N386" s="139" t="str">
        <f>IFERROR(INDEX([239]MATERIALES!P:P,MATCH(B386,[239]MATERIALES!B:B,0)),"")</f>
        <v/>
      </c>
      <c r="O386" s="140"/>
      <c r="P386" s="118" t="str">
        <f t="shared" ref="P386:P395" si="14">IFERROR(ROUND(N386*M386,2),"")</f>
        <v/>
      </c>
      <c r="Q386" s="119"/>
      <c r="R386" s="4"/>
    </row>
    <row r="387" spans="1:18">
      <c r="A387" s="1">
        <f t="shared" si="13"/>
        <v>0</v>
      </c>
      <c r="B387" s="2"/>
      <c r="C387" s="8"/>
      <c r="D387" s="109" t="str">
        <f>IFERROR(INDEX([239]MATERIALES!C:C,MATCH(B387,[239]MATERIALES!B:B,0)),"")</f>
        <v/>
      </c>
      <c r="E387" s="110"/>
      <c r="F387" s="110"/>
      <c r="G387" s="110"/>
      <c r="H387" s="110"/>
      <c r="I387" s="110"/>
      <c r="J387" s="110"/>
      <c r="K387" s="111"/>
      <c r="L387" s="137" t="str">
        <f>IFERROR(INDEX([239]MATERIALES!D:D,MATCH(B387,[239]MATERIALES!B:B,0)),"")</f>
        <v/>
      </c>
      <c r="M387" s="138"/>
      <c r="N387" s="139" t="str">
        <f>IFERROR(INDEX([239]MATERIALES!P:P,MATCH(B387,[239]MATERIALES!B:B,0)),"")</f>
        <v/>
      </c>
      <c r="O387" s="140"/>
      <c r="P387" s="118" t="str">
        <f t="shared" si="14"/>
        <v/>
      </c>
      <c r="Q387" s="119"/>
      <c r="R387" s="4"/>
    </row>
    <row r="388" spans="1:18">
      <c r="A388" s="1">
        <f t="shared" si="13"/>
        <v>0</v>
      </c>
      <c r="B388" s="2"/>
      <c r="C388" s="8"/>
      <c r="D388" s="109" t="str">
        <f>IFERROR(INDEX([239]MATERIALES!C:C,MATCH(B388,[239]MATERIALES!B:B,0)),"")</f>
        <v/>
      </c>
      <c r="E388" s="110"/>
      <c r="F388" s="110"/>
      <c r="G388" s="110"/>
      <c r="H388" s="110"/>
      <c r="I388" s="110"/>
      <c r="J388" s="110"/>
      <c r="K388" s="111"/>
      <c r="L388" s="137" t="str">
        <f>IFERROR(INDEX([239]MATERIALES!D:D,MATCH(B388,[239]MATERIALES!B:B,0)),"")</f>
        <v/>
      </c>
      <c r="M388" s="138"/>
      <c r="N388" s="139" t="str">
        <f>IFERROR(INDEX([239]MATERIALES!P:P,MATCH(B388,[239]MATERIALES!B:B,0)),"")</f>
        <v/>
      </c>
      <c r="O388" s="140"/>
      <c r="P388" s="118" t="str">
        <f t="shared" si="14"/>
        <v/>
      </c>
      <c r="Q388" s="119"/>
      <c r="R388" s="4"/>
    </row>
    <row r="389" spans="1:18">
      <c r="A389" s="1">
        <f t="shared" si="13"/>
        <v>0</v>
      </c>
      <c r="B389" s="2"/>
      <c r="C389" s="8"/>
      <c r="D389" s="109" t="str">
        <f>IFERROR(INDEX([239]MATERIALES!C:C,MATCH(B389,[239]MATERIALES!B:B,0)),"")</f>
        <v/>
      </c>
      <c r="E389" s="110"/>
      <c r="F389" s="110"/>
      <c r="G389" s="110"/>
      <c r="H389" s="110"/>
      <c r="I389" s="110"/>
      <c r="J389" s="110"/>
      <c r="K389" s="111"/>
      <c r="L389" s="137" t="str">
        <f>IFERROR(INDEX([239]MATERIALES!D:D,MATCH(B389,[239]MATERIALES!B:B,0)),"")</f>
        <v/>
      </c>
      <c r="M389" s="138"/>
      <c r="N389" s="139" t="str">
        <f>IFERROR(INDEX([239]MATERIALES!P:P,MATCH(B389,[239]MATERIALES!B:B,0)),"")</f>
        <v/>
      </c>
      <c r="O389" s="140"/>
      <c r="P389" s="118" t="str">
        <f t="shared" si="14"/>
        <v/>
      </c>
      <c r="Q389" s="119"/>
      <c r="R389" s="4"/>
    </row>
    <row r="390" spans="1:18">
      <c r="A390" s="1">
        <f t="shared" si="13"/>
        <v>0</v>
      </c>
      <c r="B390" s="2"/>
      <c r="C390" s="8"/>
      <c r="D390" s="109" t="str">
        <f>IFERROR(INDEX([239]MATERIALES!C:C,MATCH(B390,[239]MATERIALES!B:B,0)),"")</f>
        <v/>
      </c>
      <c r="E390" s="110"/>
      <c r="F390" s="110"/>
      <c r="G390" s="110"/>
      <c r="H390" s="110"/>
      <c r="I390" s="110"/>
      <c r="J390" s="110"/>
      <c r="K390" s="111"/>
      <c r="L390" s="137" t="str">
        <f>IFERROR(INDEX([239]MATERIALES!D:D,MATCH(B390,[239]MATERIALES!B:B,0)),"")</f>
        <v/>
      </c>
      <c r="M390" s="138"/>
      <c r="N390" s="139" t="str">
        <f>IFERROR(INDEX([239]MATERIALES!P:P,MATCH(B390,[239]MATERIALES!B:B,0)),"")</f>
        <v/>
      </c>
      <c r="O390" s="140"/>
      <c r="P390" s="118" t="str">
        <f t="shared" si="14"/>
        <v/>
      </c>
      <c r="Q390" s="119"/>
      <c r="R390" s="4"/>
    </row>
    <row r="391" spans="1:18">
      <c r="A391" s="1">
        <f t="shared" si="13"/>
        <v>0</v>
      </c>
      <c r="B391" s="2"/>
      <c r="C391" s="8"/>
      <c r="D391" s="109" t="str">
        <f>IFERROR(INDEX([239]MATERIALES!C:C,MATCH(B391,[239]MATERIALES!B:B,0)),"")</f>
        <v/>
      </c>
      <c r="E391" s="110"/>
      <c r="F391" s="110"/>
      <c r="G391" s="110"/>
      <c r="H391" s="110"/>
      <c r="I391" s="110"/>
      <c r="J391" s="110"/>
      <c r="K391" s="111"/>
      <c r="L391" s="137" t="str">
        <f>IFERROR(INDEX([239]MATERIALES!D:D,MATCH(B391,[239]MATERIALES!B:B,0)),"")</f>
        <v/>
      </c>
      <c r="M391" s="138"/>
      <c r="N391" s="139" t="str">
        <f>IFERROR(INDEX([239]MATERIALES!P:P,MATCH(B391,[239]MATERIALES!B:B,0)),"")</f>
        <v/>
      </c>
      <c r="O391" s="140"/>
      <c r="P391" s="118" t="str">
        <f t="shared" si="14"/>
        <v/>
      </c>
      <c r="Q391" s="119"/>
      <c r="R391" s="4"/>
    </row>
    <row r="392" spans="1:18">
      <c r="A392" s="1">
        <f t="shared" si="13"/>
        <v>0</v>
      </c>
      <c r="B392" s="2"/>
      <c r="C392" s="8"/>
      <c r="D392" s="109" t="str">
        <f>IFERROR(INDEX([239]MATERIALES!C:C,MATCH(B392,[239]MATERIALES!B:B,0)),"")</f>
        <v/>
      </c>
      <c r="E392" s="110"/>
      <c r="F392" s="110"/>
      <c r="G392" s="110"/>
      <c r="H392" s="110"/>
      <c r="I392" s="110"/>
      <c r="J392" s="110"/>
      <c r="K392" s="111"/>
      <c r="L392" s="137" t="str">
        <f>IFERROR(INDEX([239]MATERIALES!D:D,MATCH(B392,[239]MATERIALES!B:B,0)),"")</f>
        <v/>
      </c>
      <c r="M392" s="138"/>
      <c r="N392" s="139" t="str">
        <f>IFERROR(INDEX([239]MATERIALES!P:P,MATCH(B392,[239]MATERIALES!B:B,0)),"")</f>
        <v/>
      </c>
      <c r="O392" s="140"/>
      <c r="P392" s="118" t="str">
        <f t="shared" si="14"/>
        <v/>
      </c>
      <c r="Q392" s="119"/>
      <c r="R392" s="4"/>
    </row>
    <row r="393" spans="1:18">
      <c r="A393" s="1">
        <f t="shared" si="13"/>
        <v>0</v>
      </c>
      <c r="B393" s="2"/>
      <c r="C393" s="8"/>
      <c r="D393" s="109" t="str">
        <f>IFERROR(INDEX([239]MATERIALES!C:C,MATCH(B393,[239]MATERIALES!B:B,0)),"")</f>
        <v/>
      </c>
      <c r="E393" s="110"/>
      <c r="F393" s="110"/>
      <c r="G393" s="110"/>
      <c r="H393" s="110"/>
      <c r="I393" s="110"/>
      <c r="J393" s="110"/>
      <c r="K393" s="111"/>
      <c r="L393" s="137" t="str">
        <f>IFERROR(INDEX([239]MATERIALES!D:D,MATCH(B393,[239]MATERIALES!B:B,0)),"")</f>
        <v/>
      </c>
      <c r="M393" s="138"/>
      <c r="N393" s="139" t="str">
        <f>IFERROR(INDEX([239]MATERIALES!P:P,MATCH(B393,[239]MATERIALES!B:B,0)),"")</f>
        <v/>
      </c>
      <c r="O393" s="140"/>
      <c r="P393" s="118" t="str">
        <f t="shared" si="14"/>
        <v/>
      </c>
      <c r="Q393" s="119"/>
      <c r="R393" s="4"/>
    </row>
    <row r="394" spans="1:18">
      <c r="A394" s="1">
        <f t="shared" si="13"/>
        <v>0</v>
      </c>
      <c r="B394" s="2"/>
      <c r="C394" s="8"/>
      <c r="D394" s="109" t="str">
        <f>IFERROR(INDEX([239]MATERIALES!C:C,MATCH(B394,[239]MATERIALES!B:B,0)),"")</f>
        <v/>
      </c>
      <c r="E394" s="110"/>
      <c r="F394" s="110"/>
      <c r="G394" s="110"/>
      <c r="H394" s="110"/>
      <c r="I394" s="110"/>
      <c r="J394" s="110"/>
      <c r="K394" s="111"/>
      <c r="L394" s="137" t="str">
        <f>IFERROR(INDEX([239]MATERIALES!D:D,MATCH(B394,[239]MATERIALES!B:B,0)),"")</f>
        <v/>
      </c>
      <c r="M394" s="138"/>
      <c r="N394" s="139" t="str">
        <f>IFERROR(INDEX([239]MATERIALES!P:P,MATCH(B394,[239]MATERIALES!B:B,0)),"")</f>
        <v/>
      </c>
      <c r="O394" s="140"/>
      <c r="P394" s="118" t="str">
        <f t="shared" si="14"/>
        <v/>
      </c>
      <c r="Q394" s="119"/>
      <c r="R394" s="4"/>
    </row>
    <row r="395" spans="1:18">
      <c r="A395" s="1">
        <f t="shared" si="13"/>
        <v>0</v>
      </c>
      <c r="B395" s="2"/>
      <c r="C395" s="8"/>
      <c r="D395" s="109" t="str">
        <f>IFERROR(INDEX([239]MATERIALES!C:C,MATCH(B395,[239]MATERIALES!B:B,0)),"")</f>
        <v/>
      </c>
      <c r="E395" s="110"/>
      <c r="F395" s="110"/>
      <c r="G395" s="110"/>
      <c r="H395" s="110"/>
      <c r="I395" s="110"/>
      <c r="J395" s="110"/>
      <c r="K395" s="111"/>
      <c r="L395" s="137" t="str">
        <f>IFERROR(INDEX([239]MATERIALES!D:D,MATCH(B395,[239]MATERIALES!B:B,0)),"")</f>
        <v/>
      </c>
      <c r="M395" s="138"/>
      <c r="N395" s="139" t="str">
        <f>IFERROR(INDEX([239]MATERIALES!P:P,MATCH(B395,[239]MATERIALES!B:B,0)),"")</f>
        <v/>
      </c>
      <c r="O395" s="140"/>
      <c r="P395" s="118" t="str">
        <f t="shared" si="14"/>
        <v/>
      </c>
      <c r="Q395" s="119"/>
      <c r="R395" s="4"/>
    </row>
    <row r="396" spans="1:18" ht="15.75" thickBot="1">
      <c r="A396" s="1">
        <f t="shared" si="13"/>
        <v>0</v>
      </c>
      <c r="B396" s="2"/>
      <c r="C396" s="8"/>
      <c r="D396" s="109" t="s">
        <v>28</v>
      </c>
      <c r="E396" s="110"/>
      <c r="F396" s="110"/>
      <c r="G396" s="110"/>
      <c r="H396" s="110"/>
      <c r="I396" s="110"/>
      <c r="J396" s="110"/>
      <c r="K396" s="111"/>
      <c r="L396" s="137" t="s">
        <v>29</v>
      </c>
      <c r="M396" s="138">
        <v>0.05</v>
      </c>
      <c r="N396" s="139">
        <f>SUM(P382:P395)</f>
        <v>0</v>
      </c>
      <c r="O396" s="140"/>
      <c r="P396" s="118">
        <f>ROUND(N396*M396,2)</f>
        <v>0</v>
      </c>
      <c r="Q396" s="119"/>
      <c r="R396" s="4"/>
    </row>
    <row r="397" spans="1:18" ht="15.75" thickBot="1">
      <c r="A397" s="1">
        <f t="shared" si="13"/>
        <v>0</v>
      </c>
      <c r="B397" s="2"/>
      <c r="C397" s="8"/>
      <c r="D397" s="128" t="s">
        <v>24</v>
      </c>
      <c r="E397" s="129"/>
      <c r="F397" s="129"/>
      <c r="G397" s="129"/>
      <c r="H397" s="129"/>
      <c r="I397" s="129"/>
      <c r="J397" s="129"/>
      <c r="K397" s="129"/>
      <c r="L397" s="129"/>
      <c r="M397" s="129"/>
      <c r="N397" s="129"/>
      <c r="O397" s="130"/>
      <c r="P397" s="131">
        <f>SUM(P382:P396)</f>
        <v>0</v>
      </c>
      <c r="Q397" s="119"/>
      <c r="R397" s="4"/>
    </row>
    <row r="398" spans="1:18" ht="15.75" thickBot="1">
      <c r="A398" s="1">
        <f t="shared" si="13"/>
        <v>0</v>
      </c>
      <c r="B398" s="2"/>
      <c r="C398" s="8"/>
      <c r="D398" s="74" t="s">
        <v>30</v>
      </c>
      <c r="E398" s="37"/>
      <c r="F398" s="37"/>
      <c r="G398" s="37"/>
      <c r="H398" s="37"/>
      <c r="I398" s="37"/>
      <c r="J398" s="37"/>
      <c r="K398" s="37"/>
      <c r="L398" s="37"/>
      <c r="M398" s="37"/>
      <c r="N398" s="37"/>
      <c r="O398" s="37"/>
      <c r="P398" s="99"/>
      <c r="Q398" s="100"/>
      <c r="R398" s="4"/>
    </row>
    <row r="399" spans="1:18">
      <c r="A399" s="1">
        <f t="shared" si="13"/>
        <v>0</v>
      </c>
      <c r="B399" s="2"/>
      <c r="C399" s="8"/>
      <c r="D399" s="101" t="s">
        <v>31</v>
      </c>
      <c r="E399" s="133"/>
      <c r="F399" s="133"/>
      <c r="G399" s="133"/>
      <c r="H399" s="133"/>
      <c r="I399" s="133"/>
      <c r="J399" s="133"/>
      <c r="K399" s="106" t="s">
        <v>32</v>
      </c>
      <c r="L399" s="141" t="s">
        <v>33</v>
      </c>
      <c r="M399" s="106" t="s">
        <v>34</v>
      </c>
      <c r="N399" s="104" t="s">
        <v>20</v>
      </c>
      <c r="O399" s="105"/>
      <c r="P399" s="107" t="s">
        <v>22</v>
      </c>
      <c r="Q399" s="108"/>
      <c r="R399" s="4"/>
    </row>
    <row r="400" spans="1:18">
      <c r="A400" s="1">
        <f t="shared" si="13"/>
        <v>0</v>
      </c>
      <c r="B400" s="2" t="s">
        <v>259</v>
      </c>
      <c r="C400" s="8"/>
      <c r="D400" s="142" t="str">
        <f>IFERROR(INDEX([239]TRANSPORTES!B:B,MATCH(B400,[239]TRANSPORTES!A:A,0)),"")</f>
        <v>ESCOMBROS / SOBRANTES HASTA 5 KM</v>
      </c>
      <c r="E400" s="143"/>
      <c r="F400" s="143"/>
      <c r="G400" s="143"/>
      <c r="H400" s="143"/>
      <c r="I400" s="143"/>
      <c r="J400" s="143"/>
      <c r="K400" s="144">
        <f>ROUND((1*1*0.1)*1.35,2)</f>
        <v>0.14000000000000001</v>
      </c>
      <c r="L400" s="145">
        <v>5</v>
      </c>
      <c r="M400" s="146" t="str">
        <f>IFERROR(INDEX([239]TRANSPORTES!C:C,MATCH(B400,[239]TRANSPORTES!A:A,0)),"")</f>
        <v>M3/KM</v>
      </c>
      <c r="N400" s="139">
        <f>IFERROR(INDEX([239]TRANSPORTES!D:D,MATCH(B400,[239]TRANSPORTES!A:A,0)),"")</f>
        <v>2300</v>
      </c>
      <c r="O400" s="147"/>
      <c r="P400" s="148">
        <f>IFERROR(ROUND(K400*N400*L400,2),"")</f>
        <v>1610</v>
      </c>
      <c r="Q400" s="119"/>
      <c r="R400" s="4"/>
    </row>
    <row r="401" spans="1:18">
      <c r="A401" s="1">
        <f t="shared" si="13"/>
        <v>0</v>
      </c>
      <c r="B401" s="2"/>
      <c r="C401" s="8"/>
      <c r="D401" s="142" t="str">
        <f>IFERROR(INDEX([239]TRANSPORTES!B:B,MATCH(B401,[239]TRANSPORTES!A:A,0)),"")</f>
        <v/>
      </c>
      <c r="E401" s="143"/>
      <c r="F401" s="143"/>
      <c r="G401" s="143"/>
      <c r="H401" s="143"/>
      <c r="I401" s="143"/>
      <c r="J401" s="143"/>
      <c r="K401" s="144"/>
      <c r="L401" s="145"/>
      <c r="M401" s="146" t="str">
        <f>IFERROR(INDEX([239]TRANSPORTES!C:C,MATCH(B401,[239]TRANSPORTES!A:A,0)),"")</f>
        <v/>
      </c>
      <c r="N401" s="139" t="str">
        <f>IFERROR(INDEX([239]TRANSPORTES!D:D,MATCH(B401,[239]TRANSPORTES!A:A,0)),"")</f>
        <v/>
      </c>
      <c r="O401" s="147"/>
      <c r="P401" s="148" t="str">
        <f>IFERROR(ROUND(K401*N401*L401,2),"")</f>
        <v/>
      </c>
      <c r="Q401" s="119"/>
      <c r="R401" s="4"/>
    </row>
    <row r="402" spans="1:18">
      <c r="A402" s="1">
        <f t="shared" si="13"/>
        <v>0</v>
      </c>
      <c r="B402" s="2"/>
      <c r="C402" s="8"/>
      <c r="D402" s="142" t="str">
        <f>IFERROR(INDEX([239]TRANSPORTES!B:B,MATCH(B402,[239]TRANSPORTES!A:A,0)),"")</f>
        <v/>
      </c>
      <c r="E402" s="143"/>
      <c r="F402" s="143"/>
      <c r="G402" s="143"/>
      <c r="H402" s="143"/>
      <c r="I402" s="143"/>
      <c r="J402" s="143"/>
      <c r="K402" s="144"/>
      <c r="L402" s="145"/>
      <c r="M402" s="146" t="str">
        <f>IFERROR(INDEX([239]TRANSPORTES!C:C,MATCH(B402,[239]TRANSPORTES!A:A,0)),"")</f>
        <v/>
      </c>
      <c r="N402" s="139" t="str">
        <f>IFERROR(INDEX([239]TRANSPORTES!D:D,MATCH(B402,[239]TRANSPORTES!A:A,0)),"")</f>
        <v/>
      </c>
      <c r="O402" s="147"/>
      <c r="P402" s="148" t="str">
        <f>IFERROR(ROUND(K402*N402*L402,2),"")</f>
        <v/>
      </c>
      <c r="Q402" s="119"/>
      <c r="R402" s="4"/>
    </row>
    <row r="403" spans="1:18" ht="15.75" thickBot="1">
      <c r="A403" s="1">
        <f t="shared" si="13"/>
        <v>0</v>
      </c>
      <c r="B403" s="2"/>
      <c r="C403" s="8"/>
      <c r="D403" s="142" t="str">
        <f>IFERROR(INDEX([239]TRANSPORTES!B:B,MATCH(B403,[239]TRANSPORTES!A:A,0)),"")</f>
        <v/>
      </c>
      <c r="E403" s="143"/>
      <c r="F403" s="143"/>
      <c r="G403" s="143"/>
      <c r="H403" s="143"/>
      <c r="I403" s="143"/>
      <c r="J403" s="143"/>
      <c r="K403" s="149"/>
      <c r="L403" s="150"/>
      <c r="M403" s="146" t="str">
        <f>IFERROR(INDEX([239]TRANSPORTES!C:C,MATCH(B403,[239]TRANSPORTES!A:A,0)),"")</f>
        <v/>
      </c>
      <c r="N403" s="139" t="str">
        <f>IFERROR(INDEX([239]TRANSPORTES!D:D,MATCH(B403,[239]TRANSPORTES!A:A,0)),"")</f>
        <v/>
      </c>
      <c r="O403" s="147"/>
      <c r="P403" s="148" t="str">
        <f>IFERROR(ROUND(K403*N403*L403,2),"")</f>
        <v/>
      </c>
      <c r="Q403" s="119"/>
      <c r="R403" s="4"/>
    </row>
    <row r="404" spans="1:18" ht="15.75" thickBot="1">
      <c r="A404" s="1">
        <f t="shared" si="13"/>
        <v>0</v>
      </c>
      <c r="B404" s="2"/>
      <c r="C404" s="8"/>
      <c r="D404" s="128" t="s">
        <v>24</v>
      </c>
      <c r="E404" s="129"/>
      <c r="F404" s="129"/>
      <c r="G404" s="129"/>
      <c r="H404" s="129"/>
      <c r="I404" s="129"/>
      <c r="J404" s="129"/>
      <c r="K404" s="129"/>
      <c r="L404" s="129"/>
      <c r="M404" s="129"/>
      <c r="N404" s="129"/>
      <c r="O404" s="130"/>
      <c r="P404" s="151">
        <f>SUM(P400:P403)</f>
        <v>1610</v>
      </c>
      <c r="Q404" s="132"/>
      <c r="R404" s="4"/>
    </row>
    <row r="405" spans="1:18" ht="15.75" thickBot="1">
      <c r="A405" s="1">
        <f t="shared" si="13"/>
        <v>0</v>
      </c>
      <c r="B405" s="2"/>
      <c r="C405" s="8"/>
      <c r="D405" s="74" t="s">
        <v>36</v>
      </c>
      <c r="E405" s="37"/>
      <c r="F405" s="37"/>
      <c r="G405" s="37"/>
      <c r="H405" s="37"/>
      <c r="I405" s="37"/>
      <c r="J405" s="37"/>
      <c r="K405" s="37"/>
      <c r="L405" s="37"/>
      <c r="M405" s="37"/>
      <c r="N405" s="37"/>
      <c r="O405" s="37"/>
      <c r="P405" s="99"/>
      <c r="Q405" s="100"/>
      <c r="R405" s="4"/>
    </row>
    <row r="406" spans="1:18" ht="30">
      <c r="A406" s="1">
        <f t="shared" si="13"/>
        <v>0</v>
      </c>
      <c r="B406" s="2"/>
      <c r="C406" s="8"/>
      <c r="D406" s="101" t="s">
        <v>37</v>
      </c>
      <c r="E406" s="133"/>
      <c r="F406" s="133"/>
      <c r="G406" s="133"/>
      <c r="H406" s="133"/>
      <c r="I406" s="133"/>
      <c r="J406" s="133"/>
      <c r="K406" s="106" t="s">
        <v>38</v>
      </c>
      <c r="L406" s="152" t="s">
        <v>39</v>
      </c>
      <c r="M406" s="153" t="s">
        <v>40</v>
      </c>
      <c r="N406" s="104" t="s">
        <v>21</v>
      </c>
      <c r="O406" s="105"/>
      <c r="P406" s="154" t="s">
        <v>22</v>
      </c>
      <c r="Q406" s="155"/>
      <c r="R406" s="4"/>
    </row>
    <row r="407" spans="1:18">
      <c r="A407" s="1">
        <f t="shared" si="13"/>
        <v>0</v>
      </c>
      <c r="B407" s="2" t="s">
        <v>41</v>
      </c>
      <c r="C407" s="8"/>
      <c r="D407" s="109" t="str">
        <f>IFERROR(INDEX('[239]MANO DE OBRA'!B:B,MATCH(B407,'[239]MANO DE OBRA'!A:A,0)),"")</f>
        <v>OFICIAL</v>
      </c>
      <c r="E407" s="110"/>
      <c r="F407" s="110"/>
      <c r="G407" s="110"/>
      <c r="H407" s="110"/>
      <c r="I407" s="110"/>
      <c r="J407" s="111"/>
      <c r="K407" s="156">
        <f>IFERROR(INDEX('[239]MANO DE OBRA'!D:D,MATCH(B407,'[239]MANO DE OBRA'!A:A,0)),"")</f>
        <v>95930</v>
      </c>
      <c r="L407" s="157">
        <f>+IF(D407&lt;&gt;"",'[239]FACTOR PRESTACIONAL'!$E$21," ")</f>
        <v>1.95</v>
      </c>
      <c r="M407" s="158">
        <f>IFERROR(K407*L407," ")</f>
        <v>187063.5</v>
      </c>
      <c r="N407" s="159">
        <f>ROUND(8/0.8,2)</f>
        <v>10</v>
      </c>
      <c r="O407" s="160"/>
      <c r="P407" s="161">
        <f>IFERROR(ROUND(M407/N407,2)," ")</f>
        <v>18706.349999999999</v>
      </c>
      <c r="Q407" s="162"/>
      <c r="R407" s="4"/>
    </row>
    <row r="408" spans="1:18">
      <c r="A408" s="1">
        <f t="shared" si="13"/>
        <v>0</v>
      </c>
      <c r="B408" s="2" t="s">
        <v>81</v>
      </c>
      <c r="C408" s="8"/>
      <c r="D408" s="109" t="str">
        <f>IFERROR(INDEX('[239]MANO DE OBRA'!B:B,MATCH(B408,'[239]MANO DE OBRA'!A:A,0)),"")</f>
        <v>AYUDANTE (1)</v>
      </c>
      <c r="E408" s="110"/>
      <c r="F408" s="110"/>
      <c r="G408" s="110"/>
      <c r="H408" s="110"/>
      <c r="I408" s="110"/>
      <c r="J408" s="111"/>
      <c r="K408" s="156">
        <f>IFERROR(INDEX('[239]MANO DE OBRA'!D:D,MATCH(B408,'[239]MANO DE OBRA'!A:A,0)),"")</f>
        <v>71433</v>
      </c>
      <c r="L408" s="157">
        <f>+IF(D408&lt;&gt;"",'[239]FACTOR PRESTACIONAL'!$E$21," ")</f>
        <v>1.95</v>
      </c>
      <c r="M408" s="158">
        <f>IFERROR(K408*L408," ")</f>
        <v>139294.35</v>
      </c>
      <c r="N408" s="159">
        <f>+N407</f>
        <v>10</v>
      </c>
      <c r="O408" s="160"/>
      <c r="P408" s="161">
        <f>IFERROR(ROUND(M408/N408,2)," ")</f>
        <v>13929.44</v>
      </c>
      <c r="Q408" s="162"/>
      <c r="R408" s="4"/>
    </row>
    <row r="409" spans="1:18">
      <c r="A409" s="1">
        <f t="shared" si="13"/>
        <v>0</v>
      </c>
      <c r="B409" s="2"/>
      <c r="C409" s="8"/>
      <c r="D409" s="109" t="str">
        <f>IFERROR(INDEX('[239]MANO DE OBRA'!B:B,MATCH(B409,'[239]MANO DE OBRA'!A:A,0)),"")</f>
        <v/>
      </c>
      <c r="E409" s="110"/>
      <c r="F409" s="110"/>
      <c r="G409" s="110"/>
      <c r="H409" s="110"/>
      <c r="I409" s="110"/>
      <c r="J409" s="111"/>
      <c r="K409" s="156" t="str">
        <f>IFERROR(INDEX('[239]MANO DE OBRA'!D:D,MATCH(B409,'[239]MANO DE OBRA'!A:A,0)),"")</f>
        <v/>
      </c>
      <c r="L409" s="157" t="str">
        <f>+IF(D409&lt;&gt;"",'[239]FACTOR PRESTACIONAL'!$E$21," ")</f>
        <v xml:space="preserve"> </v>
      </c>
      <c r="M409" s="158" t="str">
        <f>IFERROR(K409*L409," ")</f>
        <v xml:space="preserve"> </v>
      </c>
      <c r="N409" s="159"/>
      <c r="O409" s="160"/>
      <c r="P409" s="161" t="str">
        <f>IFERROR(ROUND(M409/N409,2)," ")</f>
        <v xml:space="preserve"> </v>
      </c>
      <c r="Q409" s="162"/>
      <c r="R409" s="4"/>
    </row>
    <row r="410" spans="1:18">
      <c r="A410" s="1">
        <f t="shared" si="13"/>
        <v>0</v>
      </c>
      <c r="B410" s="2"/>
      <c r="C410" s="8"/>
      <c r="D410" s="109" t="str">
        <f>IFERROR(INDEX('[239]MANO DE OBRA'!B:B,MATCH(B410,'[239]MANO DE OBRA'!A:A,0)),"")</f>
        <v/>
      </c>
      <c r="E410" s="110"/>
      <c r="F410" s="110"/>
      <c r="G410" s="110"/>
      <c r="H410" s="110"/>
      <c r="I410" s="110"/>
      <c r="J410" s="111"/>
      <c r="K410" s="156" t="str">
        <f>IFERROR(INDEX('[239]MANO DE OBRA'!D:D,MATCH(B410,'[239]MANO DE OBRA'!A:A,0)),"")</f>
        <v/>
      </c>
      <c r="L410" s="157" t="str">
        <f>+IF(D410&lt;&gt;"",'[239]FACTOR PRESTACIONAL'!$E$21," ")</f>
        <v xml:space="preserve"> </v>
      </c>
      <c r="M410" s="158" t="str">
        <f>IFERROR(K410*L410," ")</f>
        <v xml:space="preserve"> </v>
      </c>
      <c r="N410" s="159"/>
      <c r="O410" s="160"/>
      <c r="P410" s="161" t="str">
        <f>IFERROR(ROUND(M410/N410,2)," ")</f>
        <v xml:space="preserve"> </v>
      </c>
      <c r="Q410" s="162"/>
      <c r="R410" s="4"/>
    </row>
    <row r="411" spans="1:18" ht="15.75" thickBot="1">
      <c r="A411" s="1">
        <f t="shared" si="13"/>
        <v>0</v>
      </c>
      <c r="B411" s="2"/>
      <c r="C411" s="8"/>
      <c r="D411" s="109" t="str">
        <f>IFERROR(INDEX('[239]MANO DE OBRA'!B:B,MATCH(B411,'[239]MANO DE OBRA'!A:A,0)),"")</f>
        <v/>
      </c>
      <c r="E411" s="110"/>
      <c r="F411" s="110"/>
      <c r="G411" s="110"/>
      <c r="H411" s="110"/>
      <c r="I411" s="110"/>
      <c r="J411" s="111"/>
      <c r="K411" s="156" t="str">
        <f>IFERROR(INDEX('[239]MANO DE OBRA'!D:D,MATCH(B411,'[239]MANO DE OBRA'!A:A,0)),"")</f>
        <v/>
      </c>
      <c r="L411" s="157" t="str">
        <f>+IF(D411&lt;&gt;"",'[239]FACTOR PRESTACIONAL'!$E$21," ")</f>
        <v xml:space="preserve"> </v>
      </c>
      <c r="M411" s="158" t="str">
        <f>IFERROR(K411*L411," ")</f>
        <v xml:space="preserve"> </v>
      </c>
      <c r="N411" s="159"/>
      <c r="O411" s="160"/>
      <c r="P411" s="161" t="str">
        <f>IFERROR(ROUND(M411/N411,2)," ")</f>
        <v xml:space="preserve"> </v>
      </c>
      <c r="Q411" s="119"/>
      <c r="R411" s="4"/>
    </row>
    <row r="412" spans="1:18" ht="15.75" thickBot="1">
      <c r="A412" s="1">
        <f t="shared" si="13"/>
        <v>0</v>
      </c>
      <c r="B412" s="2"/>
      <c r="C412" s="8"/>
      <c r="D412" s="128" t="s">
        <v>24</v>
      </c>
      <c r="E412" s="129"/>
      <c r="F412" s="129"/>
      <c r="G412" s="129"/>
      <c r="H412" s="129"/>
      <c r="I412" s="129"/>
      <c r="J412" s="129"/>
      <c r="K412" s="129"/>
      <c r="L412" s="129"/>
      <c r="M412" s="129"/>
      <c r="N412" s="129"/>
      <c r="O412" s="130"/>
      <c r="P412" s="131">
        <f>SUM(P407:P411)</f>
        <v>32635.79</v>
      </c>
      <c r="Q412" s="119"/>
      <c r="R412" s="4"/>
    </row>
    <row r="413" spans="1:18" ht="15.75" thickBot="1">
      <c r="A413" s="1">
        <f t="shared" si="13"/>
        <v>0</v>
      </c>
      <c r="B413" s="2"/>
      <c r="C413" s="8"/>
      <c r="D413" s="87"/>
      <c r="E413" s="20"/>
      <c r="F413" s="20"/>
      <c r="G413" s="20"/>
      <c r="H413" s="20"/>
      <c r="I413" s="20"/>
      <c r="J413" s="20"/>
      <c r="K413" s="20"/>
      <c r="L413" s="20"/>
      <c r="M413" s="20"/>
      <c r="N413" s="20"/>
      <c r="O413" s="20"/>
      <c r="P413" s="88"/>
      <c r="Q413" s="13"/>
      <c r="R413" s="4"/>
    </row>
    <row r="414" spans="1:18" ht="15.75" thickBot="1">
      <c r="A414" s="1"/>
      <c r="B414" s="2"/>
      <c r="C414" s="8"/>
      <c r="D414" s="163" t="s">
        <v>43</v>
      </c>
      <c r="E414" s="164"/>
      <c r="F414" s="164"/>
      <c r="G414" s="164"/>
      <c r="H414" s="164"/>
      <c r="I414" s="164"/>
      <c r="J414" s="164"/>
      <c r="K414" s="164"/>
      <c r="L414" s="164"/>
      <c r="M414" s="164"/>
      <c r="N414" s="164"/>
      <c r="O414" s="165"/>
      <c r="P414" s="166">
        <f>+P412+P404+P397+P379</f>
        <v>69760.05</v>
      </c>
      <c r="Q414" s="167"/>
      <c r="R414" s="168"/>
    </row>
    <row r="415" spans="1:18" ht="15.75" thickBot="1">
      <c r="A415" s="1"/>
      <c r="B415" s="2"/>
      <c r="C415" s="8"/>
      <c r="D415" s="169"/>
      <c r="E415" s="170"/>
      <c r="F415" s="170"/>
      <c r="G415" s="170"/>
      <c r="H415" s="170"/>
      <c r="I415" s="170"/>
      <c r="J415" s="170"/>
      <c r="K415" s="170"/>
      <c r="L415" s="170"/>
      <c r="M415" s="170"/>
      <c r="N415" s="170"/>
      <c r="O415" s="170"/>
      <c r="P415" s="171"/>
      <c r="Q415" s="100"/>
      <c r="R415" s="4"/>
    </row>
    <row r="416" spans="1:18">
      <c r="A416" s="1"/>
      <c r="B416" s="2"/>
      <c r="C416" s="8"/>
      <c r="D416" s="172" t="s">
        <v>73</v>
      </c>
      <c r="E416" s="173"/>
      <c r="F416" s="173"/>
      <c r="G416" s="173"/>
      <c r="H416" s="173"/>
      <c r="I416" s="173"/>
      <c r="J416" s="173"/>
      <c r="K416" s="141"/>
      <c r="L416" s="174"/>
      <c r="M416" s="153" t="s">
        <v>44</v>
      </c>
      <c r="N416" s="175" t="s">
        <v>45</v>
      </c>
      <c r="O416" s="176"/>
      <c r="P416" s="154"/>
      <c r="Q416" s="155"/>
      <c r="R416" s="4"/>
    </row>
    <row r="417" spans="1:18">
      <c r="A417" s="1"/>
      <c r="B417" s="2"/>
      <c r="C417" s="8"/>
      <c r="D417" s="109" t="s">
        <v>65</v>
      </c>
      <c r="E417" s="110"/>
      <c r="F417" s="110"/>
      <c r="G417" s="110"/>
      <c r="H417" s="110"/>
      <c r="I417" s="110"/>
      <c r="J417" s="110"/>
      <c r="K417" s="177"/>
      <c r="L417" s="178"/>
      <c r="M417" s="179">
        <f>+[239]INICIO!$F$10</f>
        <v>0.24</v>
      </c>
      <c r="N417" s="180">
        <f>ROUND(M417*P414,2)</f>
        <v>16742.41</v>
      </c>
      <c r="O417" s="181"/>
      <c r="P417" s="182"/>
      <c r="Q417" s="119"/>
      <c r="R417" s="4"/>
    </row>
    <row r="418" spans="1:18">
      <c r="A418" s="1"/>
      <c r="B418" s="2"/>
      <c r="C418" s="8"/>
      <c r="D418" s="183" t="s">
        <v>67</v>
      </c>
      <c r="E418" s="61"/>
      <c r="F418" s="61"/>
      <c r="G418" s="61"/>
      <c r="H418" s="61"/>
      <c r="I418" s="61"/>
      <c r="J418" s="61"/>
      <c r="K418" s="177"/>
      <c r="L418" s="178"/>
      <c r="M418" s="179">
        <f>+[239]INICIO!$F$11</f>
        <v>0.02</v>
      </c>
      <c r="N418" s="180">
        <f>ROUND(M418*P414,2)</f>
        <v>1395.2</v>
      </c>
      <c r="O418" s="181"/>
      <c r="P418" s="182"/>
      <c r="Q418" s="119"/>
      <c r="R418" s="4"/>
    </row>
    <row r="419" spans="1:18" ht="15.75" thickBot="1">
      <c r="A419" s="1"/>
      <c r="B419" s="2"/>
      <c r="C419" s="8"/>
      <c r="D419" s="77" t="s">
        <v>69</v>
      </c>
      <c r="E419" s="78"/>
      <c r="F419" s="78"/>
      <c r="G419" s="78"/>
      <c r="H419" s="78"/>
      <c r="I419" s="78"/>
      <c r="J419" s="78"/>
      <c r="K419" s="184"/>
      <c r="L419" s="185"/>
      <c r="M419" s="179">
        <f>+[239]INICIO!$F$12</f>
        <v>7.0000000000000007E-2</v>
      </c>
      <c r="N419" s="180">
        <f>ROUND(M419*P414,2)</f>
        <v>4883.2</v>
      </c>
      <c r="O419" s="181"/>
      <c r="P419" s="182"/>
      <c r="Q419" s="119"/>
      <c r="R419" s="4"/>
    </row>
    <row r="420" spans="1:18" ht="15.75" thickBot="1">
      <c r="A420" s="1"/>
      <c r="B420" s="2"/>
      <c r="C420" s="8"/>
      <c r="D420" s="128"/>
      <c r="E420" s="129"/>
      <c r="F420" s="129"/>
      <c r="G420" s="129"/>
      <c r="H420" s="129"/>
      <c r="I420" s="129"/>
      <c r="J420" s="129"/>
      <c r="K420" s="129"/>
      <c r="L420" s="129"/>
      <c r="M420" s="129"/>
      <c r="N420" s="129"/>
      <c r="O420" s="130"/>
      <c r="P420" s="131">
        <f>SUM(N417:N419)</f>
        <v>23020.81</v>
      </c>
      <c r="Q420" s="186"/>
      <c r="R420" s="4"/>
    </row>
    <row r="421" spans="1:18" ht="15.75" thickBot="1">
      <c r="A421" s="1"/>
      <c r="B421" s="2"/>
      <c r="C421" s="8"/>
      <c r="D421" s="87"/>
      <c r="E421" s="20"/>
      <c r="F421" s="20"/>
      <c r="G421" s="20"/>
      <c r="H421" s="20"/>
      <c r="I421" s="20"/>
      <c r="J421" s="20"/>
      <c r="K421" s="20"/>
      <c r="L421" s="20"/>
      <c r="M421" s="20"/>
      <c r="N421" s="20"/>
      <c r="O421" s="20"/>
      <c r="P421" s="88"/>
      <c r="Q421" s="13"/>
      <c r="R421" s="4"/>
    </row>
    <row r="422" spans="1:18" ht="15.75" thickBot="1">
      <c r="A422" s="1"/>
      <c r="B422" s="2"/>
      <c r="C422" s="8"/>
      <c r="D422" s="187" t="s">
        <v>46</v>
      </c>
      <c r="E422" s="188"/>
      <c r="F422" s="188"/>
      <c r="G422" s="188"/>
      <c r="H422" s="188"/>
      <c r="I422" s="188"/>
      <c r="J422" s="188"/>
      <c r="K422" s="188"/>
      <c r="L422" s="188"/>
      <c r="M422" s="188"/>
      <c r="N422" s="188"/>
      <c r="O422" s="189"/>
      <c r="P422" s="166">
        <f>ROUND(P420+P414,0)</f>
        <v>92781</v>
      </c>
      <c r="Q422" s="186"/>
      <c r="R422" s="4"/>
    </row>
    <row r="423" spans="1:18">
      <c r="A423" s="1"/>
      <c r="B423" s="2"/>
      <c r="C423" s="8"/>
      <c r="D423" s="80"/>
      <c r="E423" s="81"/>
      <c r="F423" s="81"/>
      <c r="G423" s="81"/>
      <c r="H423" s="81"/>
      <c r="I423" s="81"/>
      <c r="J423" s="81"/>
      <c r="K423" s="81"/>
      <c r="L423" s="81"/>
      <c r="M423" s="81"/>
      <c r="N423" s="81"/>
      <c r="O423" s="81"/>
      <c r="P423" s="82"/>
      <c r="Q423" s="13"/>
      <c r="R423" s="4"/>
    </row>
    <row r="424" spans="1:18">
      <c r="A424" s="1"/>
      <c r="B424" s="2"/>
      <c r="C424" s="8"/>
      <c r="D424" s="87"/>
      <c r="E424" s="20"/>
      <c r="F424" s="20"/>
      <c r="G424" s="20"/>
      <c r="H424" s="20"/>
      <c r="I424" s="20"/>
      <c r="J424" s="20"/>
      <c r="K424" s="20"/>
      <c r="L424" s="20"/>
      <c r="M424" s="20"/>
      <c r="N424" s="20"/>
      <c r="O424" s="20"/>
      <c r="P424" s="88"/>
      <c r="Q424" s="13"/>
      <c r="R424" s="4"/>
    </row>
    <row r="425" spans="1:18">
      <c r="A425" s="1"/>
      <c r="B425" s="2"/>
      <c r="C425" s="8"/>
      <c r="D425" s="87"/>
      <c r="E425" s="20"/>
      <c r="F425" s="20"/>
      <c r="G425" s="20"/>
      <c r="H425" s="20"/>
      <c r="I425" s="20"/>
      <c r="J425" s="20"/>
      <c r="K425" s="20"/>
      <c r="L425" s="20"/>
      <c r="M425" s="20"/>
      <c r="N425" s="20"/>
      <c r="O425" s="20"/>
      <c r="P425" s="88"/>
      <c r="Q425" s="13"/>
      <c r="R425" s="4"/>
    </row>
    <row r="426" spans="1:18">
      <c r="A426" s="1"/>
      <c r="B426" s="2"/>
      <c r="C426" s="8"/>
      <c r="D426" s="87"/>
      <c r="E426" s="20"/>
      <c r="F426" s="20"/>
      <c r="G426" s="20"/>
      <c r="H426" s="20"/>
      <c r="I426" s="20"/>
      <c r="J426" s="20"/>
      <c r="K426" s="20"/>
      <c r="L426" s="20"/>
      <c r="M426" s="20"/>
      <c r="N426" s="20"/>
      <c r="O426" s="20"/>
      <c r="P426" s="88"/>
      <c r="Q426" s="13"/>
      <c r="R426" s="4"/>
    </row>
    <row r="427" spans="1:18">
      <c r="A427" s="1"/>
      <c r="B427" s="2"/>
      <c r="C427" s="8"/>
      <c r="D427" s="219" t="str">
        <f>+[239]INICIO!$B$13</f>
        <v>Proyectó:</v>
      </c>
      <c r="E427" s="49"/>
      <c r="F427" s="49"/>
      <c r="G427" s="49"/>
      <c r="H427" s="49"/>
      <c r="I427" s="49"/>
      <c r="J427" s="49"/>
      <c r="K427" s="20"/>
      <c r="L427" s="69" t="str">
        <f>+[239]INICIO!$B$16</f>
        <v>Aprobó:</v>
      </c>
      <c r="M427" s="49"/>
      <c r="N427" s="49"/>
      <c r="O427" s="49"/>
      <c r="P427" s="88"/>
      <c r="Q427" s="13"/>
      <c r="R427" s="4"/>
    </row>
    <row r="428" spans="1:18">
      <c r="A428" s="1"/>
      <c r="B428" s="2"/>
      <c r="C428" s="8"/>
      <c r="D428" s="87"/>
      <c r="E428" s="20" t="str">
        <f>+Hoja2!C$13</f>
        <v>HELMER EDUARDO BECERRA SANTANDER</v>
      </c>
      <c r="F428" s="20"/>
      <c r="G428" s="20"/>
      <c r="H428" s="20"/>
      <c r="I428" s="20"/>
      <c r="J428" s="20"/>
      <c r="K428" s="20"/>
      <c r="L428" s="20"/>
      <c r="M428" s="20" t="str">
        <f>+Hoja2!$C$16</f>
        <v>JESÚS IVÁN QUIÑONES RUEDA</v>
      </c>
      <c r="N428" s="20"/>
      <c r="O428" s="20"/>
      <c r="P428" s="88"/>
      <c r="Q428" s="190"/>
      <c r="R428" s="4"/>
    </row>
    <row r="429" spans="1:18">
      <c r="A429" s="1"/>
      <c r="B429" s="2"/>
      <c r="C429" s="8"/>
      <c r="D429" s="87"/>
      <c r="E429" s="20" t="str">
        <f>+Hoja2!C$14</f>
        <v>APOYO SEC. DE PLANEACIÓN Y OBRAS PÚBLICAS</v>
      </c>
      <c r="F429" s="20"/>
      <c r="G429" s="20"/>
      <c r="H429" s="20"/>
      <c r="I429" s="20"/>
      <c r="J429" s="20"/>
      <c r="K429" s="20"/>
      <c r="L429" s="20"/>
      <c r="M429" s="20" t="str">
        <f>+Hoja2!$C$17</f>
        <v>SECRETARIO DE PLANEACIÓN Y OBRAS PUBLICAS</v>
      </c>
      <c r="N429" s="20"/>
      <c r="O429" s="20"/>
      <c r="P429" s="88"/>
      <c r="Q429" s="190"/>
      <c r="R429" s="4"/>
    </row>
    <row r="430" spans="1:18">
      <c r="A430" s="1"/>
      <c r="B430" s="2"/>
      <c r="C430" s="8"/>
      <c r="D430" s="68"/>
      <c r="E430" s="20" t="str">
        <f>+Hoja2!C$15</f>
        <v>123769-0701671 NTS</v>
      </c>
      <c r="F430" s="191"/>
      <c r="G430" s="191"/>
      <c r="H430" s="191"/>
      <c r="I430" s="20"/>
      <c r="J430" s="191"/>
      <c r="K430" s="191"/>
      <c r="L430" s="191"/>
      <c r="M430" s="192" t="str">
        <f>+Hoja2!C$18</f>
        <v>A21382020-1090480860</v>
      </c>
      <c r="N430" s="191"/>
      <c r="O430" s="191"/>
      <c r="P430" s="193"/>
      <c r="Q430" s="194"/>
      <c r="R430" s="4"/>
    </row>
    <row r="431" spans="1:18" ht="16.5" thickBot="1">
      <c r="A431" s="1"/>
      <c r="B431" s="2"/>
      <c r="C431" s="8"/>
      <c r="D431" s="195"/>
      <c r="E431" s="150"/>
      <c r="F431" s="150"/>
      <c r="G431" s="150"/>
      <c r="H431" s="150"/>
      <c r="I431" s="150"/>
      <c r="J431" s="150"/>
      <c r="K431" s="150"/>
      <c r="L431" s="150"/>
      <c r="M431" s="150"/>
      <c r="N431" s="150"/>
      <c r="O431" s="150"/>
      <c r="P431" s="196"/>
      <c r="Q431" s="197"/>
      <c r="R431" s="4"/>
    </row>
    <row r="432" spans="1:18" ht="15.75" thickBot="1">
      <c r="A432" s="1"/>
      <c r="B432" s="2"/>
      <c r="C432" s="198"/>
      <c r="D432" s="199"/>
      <c r="E432" s="199"/>
      <c r="F432" s="199"/>
      <c r="G432" s="199"/>
      <c r="H432" s="199"/>
      <c r="I432" s="199"/>
      <c r="J432" s="199"/>
      <c r="K432" s="199"/>
      <c r="L432" s="199"/>
      <c r="M432" s="199"/>
      <c r="N432" s="199"/>
      <c r="O432" s="199"/>
      <c r="P432" s="199"/>
      <c r="Q432" s="200"/>
      <c r="R432" s="4"/>
    </row>
    <row r="433" spans="1:18" ht="16.5" thickTop="1" thickBot="1"/>
    <row r="434" spans="1:18" ht="15.75" thickTop="1">
      <c r="A434" s="1"/>
      <c r="B434" s="2"/>
      <c r="C434" s="5"/>
      <c r="D434" s="6"/>
      <c r="E434" s="6"/>
      <c r="F434" s="6"/>
      <c r="G434" s="6"/>
      <c r="H434" s="6"/>
      <c r="I434" s="6"/>
      <c r="J434" s="6"/>
      <c r="K434" s="6"/>
      <c r="L434" s="6"/>
      <c r="M434" s="6"/>
      <c r="N434" s="6"/>
      <c r="O434" s="6"/>
      <c r="P434" s="6"/>
      <c r="Q434" s="7"/>
      <c r="R434" s="4"/>
    </row>
    <row r="435" spans="1:18" ht="24">
      <c r="A435" s="1"/>
      <c r="B435" s="2"/>
      <c r="C435" s="8"/>
      <c r="D435" s="9" t="str">
        <f>+[239]INICIO!$C$8</f>
        <v>Análisis de Precios Unitarios- Secretaria de Planeación y Obras Publicas de Cubará, Boyacá.</v>
      </c>
      <c r="E435" s="10"/>
      <c r="F435" s="10"/>
      <c r="G435" s="10"/>
      <c r="H435" s="11"/>
      <c r="I435" s="12"/>
      <c r="J435" s="12"/>
      <c r="K435" s="12"/>
      <c r="L435" s="12"/>
      <c r="M435" s="12"/>
      <c r="N435" s="12"/>
      <c r="O435" s="12"/>
      <c r="P435" s="12"/>
      <c r="Q435" s="13"/>
      <c r="R435" s="4"/>
    </row>
    <row r="436" spans="1:18">
      <c r="A436" s="1"/>
      <c r="B436" s="2"/>
      <c r="C436" s="8"/>
      <c r="D436" s="14" t="s">
        <v>0</v>
      </c>
      <c r="E436" s="15" t="str">
        <f>+[239]INICIO!$C$7</f>
        <v>CCE-EICP-FM-14</v>
      </c>
      <c r="F436" s="16"/>
      <c r="G436" s="17" t="str">
        <f>+[239]INICIO!$B$6</f>
        <v>VERSIÓN</v>
      </c>
      <c r="H436" s="14">
        <f>+[239]INICIO!$C$6</f>
        <v>1</v>
      </c>
      <c r="I436" s="12"/>
      <c r="J436" s="12"/>
      <c r="K436" s="12"/>
      <c r="L436" s="12"/>
      <c r="M436" s="12"/>
      <c r="N436" s="12"/>
      <c r="O436" s="12"/>
      <c r="P436" s="12"/>
      <c r="Q436" s="13"/>
      <c r="R436" s="4"/>
    </row>
    <row r="437" spans="1:18">
      <c r="A437" s="1"/>
      <c r="B437" s="2"/>
      <c r="C437" s="8"/>
      <c r="D437" s="18"/>
      <c r="E437" s="19"/>
      <c r="F437" s="18"/>
      <c r="G437" s="19"/>
      <c r="H437" s="12"/>
      <c r="I437" s="12"/>
      <c r="J437" s="12"/>
      <c r="K437" s="12"/>
      <c r="L437" s="12"/>
      <c r="M437" s="12"/>
      <c r="N437" s="12"/>
      <c r="O437" s="12"/>
      <c r="P437" s="12"/>
      <c r="Q437" s="13"/>
      <c r="R437" s="4"/>
    </row>
    <row r="438" spans="1:18" ht="15.75" thickBot="1">
      <c r="A438" s="1"/>
      <c r="B438" s="2"/>
      <c r="C438" s="8"/>
      <c r="D438" s="20"/>
      <c r="E438" s="20"/>
      <c r="F438" s="20"/>
      <c r="G438" s="20"/>
      <c r="H438" s="20"/>
      <c r="I438" s="20"/>
      <c r="J438" s="20"/>
      <c r="K438" s="20"/>
      <c r="L438" s="20"/>
      <c r="M438" s="20"/>
      <c r="N438" s="20"/>
      <c r="O438" s="20"/>
      <c r="P438" s="20"/>
      <c r="Q438" s="13"/>
      <c r="R438" s="4"/>
    </row>
    <row r="439" spans="1:18">
      <c r="A439" s="1"/>
      <c r="B439" s="2"/>
      <c r="C439" s="8"/>
      <c r="D439" s="21"/>
      <c r="E439" s="22"/>
      <c r="F439" s="23"/>
      <c r="G439" s="23"/>
      <c r="H439" s="23"/>
      <c r="I439" s="23"/>
      <c r="J439" s="23"/>
      <c r="K439" s="23"/>
      <c r="L439" s="24"/>
      <c r="M439" s="25"/>
      <c r="N439" s="26"/>
      <c r="O439" s="26"/>
      <c r="P439" s="27"/>
      <c r="Q439" s="28"/>
      <c r="R439" s="4"/>
    </row>
    <row r="440" spans="1:18">
      <c r="A440" s="1"/>
      <c r="B440" s="2"/>
      <c r="C440" s="8"/>
      <c r="D440" s="29"/>
      <c r="E440" s="30" t="s">
        <v>1</v>
      </c>
      <c r="F440" s="31"/>
      <c r="G440" s="31"/>
      <c r="H440" s="31"/>
      <c r="I440" s="31"/>
      <c r="J440" s="31"/>
      <c r="K440" s="31"/>
      <c r="L440" s="32"/>
      <c r="M440" s="33"/>
      <c r="N440" s="34"/>
      <c r="O440" s="34"/>
      <c r="P440" s="35"/>
      <c r="Q440" s="28"/>
      <c r="R440" s="4"/>
    </row>
    <row r="441" spans="1:18">
      <c r="A441" s="1"/>
      <c r="B441" s="2"/>
      <c r="C441" s="8"/>
      <c r="D441" s="29"/>
      <c r="E441" s="36"/>
      <c r="F441" s="37"/>
      <c r="G441" s="37"/>
      <c r="H441" s="37"/>
      <c r="I441" s="37"/>
      <c r="J441" s="37"/>
      <c r="K441" s="37"/>
      <c r="L441" s="38"/>
      <c r="M441" s="39"/>
      <c r="N441" s="40"/>
      <c r="O441" s="41"/>
      <c r="P441" s="42"/>
      <c r="Q441" s="28"/>
      <c r="R441" s="4"/>
    </row>
    <row r="442" spans="1:18">
      <c r="A442" s="1"/>
      <c r="B442" s="2"/>
      <c r="C442" s="8"/>
      <c r="D442" s="29"/>
      <c r="E442" s="36"/>
      <c r="F442" s="37"/>
      <c r="G442" s="37"/>
      <c r="H442" s="37"/>
      <c r="I442" s="37"/>
      <c r="J442" s="37"/>
      <c r="K442" s="37"/>
      <c r="L442" s="38"/>
      <c r="M442" s="43" t="s">
        <v>2</v>
      </c>
      <c r="N442" s="44"/>
      <c r="O442" s="45">
        <f>+[239]INICIO!$C$6</f>
        <v>1</v>
      </c>
      <c r="P442" s="46"/>
      <c r="Q442" s="28"/>
      <c r="R442" s="4"/>
    </row>
    <row r="443" spans="1:18">
      <c r="A443" s="1"/>
      <c r="B443" s="2"/>
      <c r="C443" s="8"/>
      <c r="D443" s="29"/>
      <c r="E443" s="36"/>
      <c r="F443" s="37"/>
      <c r="G443" s="37"/>
      <c r="H443" s="37"/>
      <c r="I443" s="37"/>
      <c r="J443" s="37"/>
      <c r="K443" s="37"/>
      <c r="L443" s="38"/>
      <c r="M443" s="47"/>
      <c r="N443" s="48"/>
      <c r="O443" s="49"/>
      <c r="P443" s="50"/>
      <c r="Q443" s="51"/>
      <c r="R443" s="4"/>
    </row>
    <row r="444" spans="1:18">
      <c r="A444" s="1"/>
      <c r="B444" s="2"/>
      <c r="C444" s="8"/>
      <c r="D444" s="29"/>
      <c r="E444" s="52"/>
      <c r="F444" s="53"/>
      <c r="G444" s="53"/>
      <c r="H444" s="53"/>
      <c r="I444" s="53"/>
      <c r="J444" s="53"/>
      <c r="K444" s="53"/>
      <c r="L444" s="54"/>
      <c r="M444" s="39"/>
      <c r="N444" s="55"/>
      <c r="O444" s="55"/>
      <c r="P444" s="56"/>
      <c r="Q444" s="28"/>
      <c r="R444" s="4"/>
    </row>
    <row r="445" spans="1:18">
      <c r="A445" s="1"/>
      <c r="B445" s="2"/>
      <c r="C445" s="8"/>
      <c r="D445" s="29"/>
      <c r="E445" s="52"/>
      <c r="F445" s="53"/>
      <c r="G445" s="53"/>
      <c r="H445" s="53"/>
      <c r="I445" s="53"/>
      <c r="J445" s="53"/>
      <c r="K445" s="53"/>
      <c r="L445" s="54"/>
      <c r="M445" s="43" t="s">
        <v>3</v>
      </c>
      <c r="N445" s="43" t="str">
        <f>+VLOOKUP(D456,'PRESUPUESTO OFICIAL '!C:Q,9,FALSE)</f>
        <v>6</v>
      </c>
      <c r="O445" s="43" t="s">
        <v>4</v>
      </c>
      <c r="P445" s="508" t="str">
        <f>+'PRESUPUESTO OFICIAL '!$M$122</f>
        <v>62</v>
      </c>
      <c r="Q445" s="28"/>
      <c r="R445" s="4"/>
    </row>
    <row r="446" spans="1:18">
      <c r="A446" s="1"/>
      <c r="B446" s="2"/>
      <c r="C446" s="8"/>
      <c r="D446" s="29"/>
      <c r="E446" s="30" t="s">
        <v>5</v>
      </c>
      <c r="F446" s="31"/>
      <c r="G446" s="31"/>
      <c r="H446" s="31"/>
      <c r="I446" s="31"/>
      <c r="J446" s="31"/>
      <c r="K446" s="31"/>
      <c r="L446" s="32"/>
      <c r="M446" s="43"/>
      <c r="N446" s="57"/>
      <c r="O446" s="57"/>
      <c r="P446" s="58"/>
      <c r="Q446" s="28"/>
      <c r="R446" s="4"/>
    </row>
    <row r="447" spans="1:18" ht="15.75" thickBot="1">
      <c r="A447" s="1"/>
      <c r="B447" s="2"/>
      <c r="C447" s="8"/>
      <c r="D447" s="59"/>
      <c r="E447" s="60"/>
      <c r="F447" s="60"/>
      <c r="G447" s="60"/>
      <c r="H447" s="60"/>
      <c r="I447" s="60"/>
      <c r="J447" s="60"/>
      <c r="K447" s="60"/>
      <c r="L447" s="60"/>
      <c r="M447" s="60"/>
      <c r="N447" s="61"/>
      <c r="O447" s="61"/>
      <c r="P447" s="62"/>
      <c r="Q447" s="63"/>
      <c r="R447" s="4"/>
    </row>
    <row r="448" spans="1:18">
      <c r="A448" s="1"/>
      <c r="B448" s="2"/>
      <c r="C448" s="8"/>
      <c r="D448" s="64"/>
      <c r="E448" s="65"/>
      <c r="F448" s="65"/>
      <c r="G448" s="65"/>
      <c r="H448" s="65"/>
      <c r="I448" s="65"/>
      <c r="J448" s="65"/>
      <c r="K448" s="65"/>
      <c r="L448" s="65"/>
      <c r="M448" s="66" t="s">
        <v>6</v>
      </c>
      <c r="N448" s="66" t="s">
        <v>7</v>
      </c>
      <c r="O448" s="66" t="s">
        <v>8</v>
      </c>
      <c r="P448" s="67" t="s">
        <v>9</v>
      </c>
      <c r="Q448" s="51"/>
      <c r="R448" s="4"/>
    </row>
    <row r="449" spans="1:18">
      <c r="A449" s="1"/>
      <c r="B449" s="2"/>
      <c r="C449" s="8"/>
      <c r="D449" s="68"/>
      <c r="E449" s="69"/>
      <c r="F449" s="69"/>
      <c r="G449" s="69"/>
      <c r="H449" s="69"/>
      <c r="I449" s="69"/>
      <c r="J449" s="69"/>
      <c r="K449" s="69"/>
      <c r="L449" s="69"/>
      <c r="M449" s="70"/>
      <c r="N449" s="71">
        <f>+Hoja2!B$5</f>
        <v>5</v>
      </c>
      <c r="O449" s="71">
        <f>+Hoja2!C$5</f>
        <v>8</v>
      </c>
      <c r="P449" s="72">
        <f>+Hoja2!D$5</f>
        <v>2026</v>
      </c>
      <c r="Q449" s="73"/>
      <c r="R449" s="4"/>
    </row>
    <row r="450" spans="1:18">
      <c r="A450" s="1"/>
      <c r="B450" s="2"/>
      <c r="C450" s="8"/>
      <c r="D450" s="74"/>
      <c r="E450" s="37"/>
      <c r="F450" s="37"/>
      <c r="G450" s="37"/>
      <c r="H450" s="69"/>
      <c r="I450" s="69"/>
      <c r="J450" s="69"/>
      <c r="K450" s="20"/>
      <c r="L450" s="69"/>
      <c r="M450" s="75"/>
      <c r="N450" s="20"/>
      <c r="O450" s="20"/>
      <c r="P450" s="76"/>
      <c r="Q450" s="73"/>
      <c r="R450" s="4"/>
    </row>
    <row r="451" spans="1:18" ht="15.75" thickBot="1">
      <c r="A451" s="1"/>
      <c r="B451" s="2"/>
      <c r="C451" s="8"/>
      <c r="D451" s="77"/>
      <c r="E451" s="78"/>
      <c r="F451" s="78"/>
      <c r="G451" s="78"/>
      <c r="H451" s="78"/>
      <c r="I451" s="78"/>
      <c r="J451" s="78"/>
      <c r="K451" s="78"/>
      <c r="L451" s="78"/>
      <c r="M451" s="78"/>
      <c r="N451" s="78"/>
      <c r="O451" s="78"/>
      <c r="P451" s="79"/>
      <c r="Q451" s="13"/>
      <c r="R451" s="4"/>
    </row>
    <row r="452" spans="1:18" ht="15.75" thickBot="1">
      <c r="A452" s="1"/>
      <c r="B452" s="2"/>
      <c r="C452" s="8"/>
      <c r="D452" s="80"/>
      <c r="E452" s="81"/>
      <c r="F452" s="81"/>
      <c r="G452" s="81"/>
      <c r="H452" s="81"/>
      <c r="I452" s="81"/>
      <c r="J452" s="20"/>
      <c r="K452" s="20"/>
      <c r="L452" s="81"/>
      <c r="M452" s="81"/>
      <c r="N452" s="81"/>
      <c r="O452" s="81"/>
      <c r="P452" s="82"/>
      <c r="Q452" s="13"/>
      <c r="R452" s="4"/>
    </row>
    <row r="453" spans="1:18">
      <c r="A453" s="1"/>
      <c r="B453" s="2"/>
      <c r="C453" s="8"/>
      <c r="D453" s="83" t="s">
        <v>10</v>
      </c>
      <c r="E453" s="84"/>
      <c r="F453" s="84"/>
      <c r="G453" s="84"/>
      <c r="H453" s="84"/>
      <c r="I453" s="84"/>
      <c r="J453" s="84"/>
      <c r="K453" s="84"/>
      <c r="L453" s="84"/>
      <c r="M453" s="84"/>
      <c r="N453" s="84"/>
      <c r="O453" s="84"/>
      <c r="P453" s="85"/>
      <c r="Q453" s="86"/>
      <c r="R453" s="4"/>
    </row>
    <row r="454" spans="1:18" ht="15.75" thickBot="1">
      <c r="A454" s="1"/>
      <c r="B454" s="2"/>
      <c r="C454" s="8"/>
      <c r="D454" s="87"/>
      <c r="E454" s="20"/>
      <c r="F454" s="20"/>
      <c r="G454" s="20"/>
      <c r="H454" s="20"/>
      <c r="I454" s="20"/>
      <c r="J454" s="20"/>
      <c r="K454" s="20"/>
      <c r="L454" s="20"/>
      <c r="M454" s="20"/>
      <c r="N454" s="20"/>
      <c r="O454" s="20"/>
      <c r="P454" s="88"/>
      <c r="Q454" s="13"/>
      <c r="R454" s="4"/>
    </row>
    <row r="455" spans="1:18">
      <c r="A455" s="1" t="s">
        <v>11</v>
      </c>
      <c r="B455" s="2" t="s">
        <v>12</v>
      </c>
      <c r="C455" s="8"/>
      <c r="D455" s="89" t="s">
        <v>13</v>
      </c>
      <c r="E455" s="90" t="s">
        <v>14</v>
      </c>
      <c r="F455" s="90"/>
      <c r="G455" s="90"/>
      <c r="H455" s="90"/>
      <c r="I455" s="90"/>
      <c r="J455" s="90"/>
      <c r="K455" s="90"/>
      <c r="L455" s="90"/>
      <c r="M455" s="90"/>
      <c r="N455" s="91" t="s">
        <v>15</v>
      </c>
      <c r="O455" s="91"/>
      <c r="P455" s="92" t="s">
        <v>16</v>
      </c>
      <c r="Q455" s="93"/>
      <c r="R455" s="4"/>
    </row>
    <row r="456" spans="1:18" ht="29.25" thickBot="1">
      <c r="A456" s="1"/>
      <c r="B456" s="2"/>
      <c r="C456" s="8"/>
      <c r="D456" s="349">
        <f>+'PRESUPUESTO OFICIAL '!C17</f>
        <v>1.06</v>
      </c>
      <c r="E456" s="94" t="str">
        <f>+VLOOKUP(D456,'PRESUPUESTO OFICIAL '!C:H,2,FALSE)</f>
        <v>DEMOLICIÓN DE PISO EN CERÁMICA + MORTERO. (INCLUYE RETIRO Y ACARREO LIBRE HASTA 5 KM.)</v>
      </c>
      <c r="F456" s="94"/>
      <c r="G456" s="94"/>
      <c r="H456" s="94"/>
      <c r="I456" s="94"/>
      <c r="J456" s="94"/>
      <c r="K456" s="94"/>
      <c r="L456" s="94"/>
      <c r="M456" s="94"/>
      <c r="N456" s="94" t="str">
        <f>+VLOOKUP(D456,'PRESUPUESTO OFICIAL '!C:H,3,FALSE)</f>
        <v>M2</v>
      </c>
      <c r="O456" s="95"/>
      <c r="P456" s="96">
        <f>+VLOOKUP(D456,'PRESUPUESTO OFICIAL '!C:H,4,FALSE)</f>
        <v>12.66</v>
      </c>
      <c r="Q456" s="97"/>
      <c r="R456" s="98">
        <f>+P508</f>
        <v>20684</v>
      </c>
    </row>
    <row r="457" spans="1:18" ht="15.75" thickBot="1">
      <c r="A457" s="1"/>
      <c r="B457" s="2"/>
      <c r="C457" s="8"/>
      <c r="D457" s="74" t="s">
        <v>17</v>
      </c>
      <c r="E457" s="37"/>
      <c r="F457" s="37"/>
      <c r="G457" s="37"/>
      <c r="H457" s="37"/>
      <c r="I457" s="37"/>
      <c r="J457" s="37"/>
      <c r="K457" s="37"/>
      <c r="L457" s="37"/>
      <c r="M457" s="37"/>
      <c r="N457" s="37"/>
      <c r="O457" s="37"/>
      <c r="P457" s="99"/>
      <c r="Q457" s="100"/>
      <c r="R457" s="4"/>
    </row>
    <row r="458" spans="1:18">
      <c r="A458" s="1"/>
      <c r="B458" s="2"/>
      <c r="C458" s="8"/>
      <c r="D458" s="101" t="s">
        <v>14</v>
      </c>
      <c r="E458" s="102"/>
      <c r="F458" s="102"/>
      <c r="G458" s="102"/>
      <c r="H458" s="103"/>
      <c r="I458" s="104" t="s">
        <v>18</v>
      </c>
      <c r="J458" s="102"/>
      <c r="K458" s="104" t="s">
        <v>19</v>
      </c>
      <c r="L458" s="105"/>
      <c r="M458" s="106" t="s">
        <v>20</v>
      </c>
      <c r="N458" s="104" t="s">
        <v>21</v>
      </c>
      <c r="O458" s="105"/>
      <c r="P458" s="107" t="s">
        <v>22</v>
      </c>
      <c r="Q458" s="108"/>
      <c r="R458" s="4"/>
    </row>
    <row r="459" spans="1:18">
      <c r="A459" s="1" t="e">
        <f>[239]INDICE!#REF!</f>
        <v>#REF!</v>
      </c>
      <c r="B459" s="2" t="s">
        <v>23</v>
      </c>
      <c r="C459" s="8"/>
      <c r="D459" s="109" t="str">
        <f>IFERROR(INDEX([239]EQUIPOS!B:B,MATCH(B459,[239]EQUIPOS!A:A,0)),"")</f>
        <v>HERRAMIENTA MENOR (% M.O)</v>
      </c>
      <c r="E459" s="110"/>
      <c r="F459" s="110"/>
      <c r="G459" s="110"/>
      <c r="H459" s="111"/>
      <c r="I459" s="112"/>
      <c r="J459" s="111"/>
      <c r="K459" s="113" t="str">
        <f>IFERROR(INDEX([239]EQUIPOS!C:C,MATCH(B459,[239]EQUIPOS!A:A,0)),"")</f>
        <v>%</v>
      </c>
      <c r="L459" s="114"/>
      <c r="M459" s="115">
        <f>IFERROR(IF(D459="HERRAMIENTA MENOR (% M.O)",P498,INDEX([239]EQUIPOS!D:D,MATCH(B459,[239]EQUIPOS!A:A,0))),"")</f>
        <v>13406.58</v>
      </c>
      <c r="N459" s="116">
        <v>10</v>
      </c>
      <c r="O459" s="117"/>
      <c r="P459" s="118">
        <f t="shared" ref="P459:P464" si="15">IFERROR(ROUND(IF(D459="HERRAMIENTA MENOR (% M.O)",N459%*M459,M459/N459),2)," ")</f>
        <v>1340.66</v>
      </c>
      <c r="Q459" s="119"/>
      <c r="R459" s="4"/>
    </row>
    <row r="460" spans="1:18">
      <c r="A460" s="1">
        <f>+$A$2341</f>
        <v>0</v>
      </c>
      <c r="B460" s="2"/>
      <c r="C460" s="8"/>
      <c r="D460" s="109" t="str">
        <f>IFERROR(INDEX([239]EQUIPOS!B:B,MATCH(B460,[239]EQUIPOS!A:A,0)),"")</f>
        <v/>
      </c>
      <c r="E460" s="110"/>
      <c r="F460" s="110"/>
      <c r="G460" s="110"/>
      <c r="H460" s="111"/>
      <c r="I460" s="112"/>
      <c r="J460" s="111"/>
      <c r="K460" s="113" t="str">
        <f>IFERROR(INDEX([239]EQUIPOS!C:C,MATCH(B460,[239]EQUIPOS!A:A,0)),"")</f>
        <v/>
      </c>
      <c r="L460" s="114"/>
      <c r="M460" s="115" t="str">
        <f>IFERROR(IF(D460="HERRAMIENTA MENOR (% M.O)",P499,INDEX([239]EQUIPOS!D:D,MATCH(B460,[239]EQUIPOS!A:A,0))),"")</f>
        <v/>
      </c>
      <c r="N460" s="116"/>
      <c r="O460" s="117"/>
      <c r="P460" s="118" t="str">
        <f t="shared" si="15"/>
        <v xml:space="preserve"> </v>
      </c>
      <c r="Q460" s="119"/>
      <c r="R460" s="4"/>
    </row>
    <row r="461" spans="1:18">
      <c r="A461" s="1">
        <f t="shared" ref="A461:A499" si="16">+A460</f>
        <v>0</v>
      </c>
      <c r="B461" s="2"/>
      <c r="C461" s="8"/>
      <c r="D461" s="109" t="str">
        <f>IFERROR(INDEX([239]EQUIPOS!B:B,MATCH(B461,[239]EQUIPOS!A:A,0)),"")</f>
        <v/>
      </c>
      <c r="E461" s="110"/>
      <c r="F461" s="110"/>
      <c r="G461" s="110"/>
      <c r="H461" s="111"/>
      <c r="I461" s="120"/>
      <c r="J461" s="121"/>
      <c r="K461" s="113" t="str">
        <f>IFERROR(INDEX([239]EQUIPOS!C:C,MATCH(B461,[239]EQUIPOS!A:A,0)),"")</f>
        <v/>
      </c>
      <c r="L461" s="114"/>
      <c r="M461" s="115" t="str">
        <f>IFERROR(IF(D461="HERRAMIENTA MENOR (% M.O)",P500,INDEX([239]EQUIPOS!D:D,MATCH(B461,[239]EQUIPOS!A:A,0))),"")</f>
        <v/>
      </c>
      <c r="N461" s="116"/>
      <c r="O461" s="117"/>
      <c r="P461" s="118" t="str">
        <f t="shared" si="15"/>
        <v xml:space="preserve"> </v>
      </c>
      <c r="Q461" s="119"/>
      <c r="R461" s="4"/>
    </row>
    <row r="462" spans="1:18">
      <c r="A462" s="1">
        <f t="shared" si="16"/>
        <v>0</v>
      </c>
      <c r="B462" s="2"/>
      <c r="C462" s="8"/>
      <c r="D462" s="109" t="str">
        <f>IFERROR(INDEX([239]EQUIPOS!B:B,MATCH(B462,[239]EQUIPOS!A:A,0)),"")</f>
        <v/>
      </c>
      <c r="E462" s="110"/>
      <c r="F462" s="110"/>
      <c r="G462" s="110"/>
      <c r="H462" s="111"/>
      <c r="I462" s="120"/>
      <c r="J462" s="121"/>
      <c r="K462" s="113" t="str">
        <f>IFERROR(INDEX([239]EQUIPOS!C:C,MATCH(B462,[239]EQUIPOS!A:A,0)),"")</f>
        <v/>
      </c>
      <c r="L462" s="114"/>
      <c r="M462" s="115" t="str">
        <f>IFERROR(IF(D462="HERRAMIENTA MENOR (% M.O)",P501,INDEX([239]EQUIPOS!D:D,MATCH(B462,[239]EQUIPOS!A:A,0))),"")</f>
        <v/>
      </c>
      <c r="N462" s="116"/>
      <c r="O462" s="117"/>
      <c r="P462" s="118" t="str">
        <f t="shared" si="15"/>
        <v xml:space="preserve"> </v>
      </c>
      <c r="Q462" s="119"/>
      <c r="R462" s="4"/>
    </row>
    <row r="463" spans="1:18">
      <c r="A463" s="1">
        <f t="shared" si="16"/>
        <v>0</v>
      </c>
      <c r="B463" s="2"/>
      <c r="C463" s="8"/>
      <c r="D463" s="109" t="str">
        <f>IFERROR(INDEX([239]EQUIPOS!B:B,MATCH(B463,[239]EQUIPOS!A:A,0)),"")</f>
        <v/>
      </c>
      <c r="E463" s="110"/>
      <c r="F463" s="110"/>
      <c r="G463" s="110"/>
      <c r="H463" s="111"/>
      <c r="I463" s="112"/>
      <c r="J463" s="111"/>
      <c r="K463" s="113" t="str">
        <f>IFERROR(INDEX([239]EQUIPOS!C:C,MATCH(B463,[239]EQUIPOS!A:A,0)),"")</f>
        <v/>
      </c>
      <c r="L463" s="114"/>
      <c r="M463" s="115" t="str">
        <f>IFERROR(IF(D463="HERRAMIENTA MENOR (% M.O)",P502,INDEX([239]EQUIPOS!D:D,MATCH(B463,[239]EQUIPOS!A:A,0))),"")</f>
        <v/>
      </c>
      <c r="N463" s="116"/>
      <c r="O463" s="117"/>
      <c r="P463" s="118" t="str">
        <f t="shared" si="15"/>
        <v xml:space="preserve"> </v>
      </c>
      <c r="Q463" s="119"/>
      <c r="R463" s="4"/>
    </row>
    <row r="464" spans="1:18" ht="15.75" thickBot="1">
      <c r="A464" s="1">
        <f t="shared" si="16"/>
        <v>0</v>
      </c>
      <c r="B464" s="2"/>
      <c r="C464" s="8"/>
      <c r="D464" s="109" t="str">
        <f>IFERROR(INDEX([239]EQUIPOS!B:B,MATCH(B464,[239]EQUIPOS!A:A,0)),"")</f>
        <v/>
      </c>
      <c r="E464" s="78"/>
      <c r="F464" s="78"/>
      <c r="G464" s="78"/>
      <c r="H464" s="122"/>
      <c r="I464" s="123"/>
      <c r="J464" s="122"/>
      <c r="K464" s="113" t="str">
        <f>IFERROR(INDEX([239]EQUIPOS!C:C,MATCH(B464,[239]EQUIPOS!A:A,0)),"")</f>
        <v/>
      </c>
      <c r="L464" s="124"/>
      <c r="M464" s="115" t="str">
        <f>IFERROR(IF(D464="HERRAMIENTA MENOR (% M.O)",P503,INDEX([239]EQUIPOS!D:D,MATCH(B464,[239]EQUIPOS!A:A,0))),"")</f>
        <v/>
      </c>
      <c r="N464" s="125"/>
      <c r="O464" s="126"/>
      <c r="P464" s="127" t="str">
        <f t="shared" si="15"/>
        <v xml:space="preserve"> </v>
      </c>
      <c r="Q464" s="119"/>
      <c r="R464" s="4"/>
    </row>
    <row r="465" spans="1:18" ht="15.75" thickBot="1">
      <c r="A465" s="1">
        <f t="shared" si="16"/>
        <v>0</v>
      </c>
      <c r="B465" s="2"/>
      <c r="C465" s="8"/>
      <c r="D465" s="128" t="s">
        <v>24</v>
      </c>
      <c r="E465" s="129"/>
      <c r="F465" s="129"/>
      <c r="G465" s="129"/>
      <c r="H465" s="129"/>
      <c r="I465" s="129"/>
      <c r="J465" s="129"/>
      <c r="K465" s="129"/>
      <c r="L465" s="129"/>
      <c r="M465" s="129"/>
      <c r="N465" s="129"/>
      <c r="O465" s="130"/>
      <c r="P465" s="131">
        <f>SUM(P459:P464)</f>
        <v>1340.66</v>
      </c>
      <c r="Q465" s="132"/>
      <c r="R465" s="4"/>
    </row>
    <row r="466" spans="1:18" ht="15.75" thickBot="1">
      <c r="A466" s="1">
        <f t="shared" si="16"/>
        <v>0</v>
      </c>
      <c r="B466" s="2"/>
      <c r="C466" s="8"/>
      <c r="D466" s="74" t="s">
        <v>25</v>
      </c>
      <c r="E466" s="37"/>
      <c r="F466" s="37"/>
      <c r="G466" s="37"/>
      <c r="H466" s="37"/>
      <c r="I466" s="37"/>
      <c r="J466" s="37"/>
      <c r="K466" s="37"/>
      <c r="L466" s="37"/>
      <c r="M466" s="37"/>
      <c r="N466" s="37"/>
      <c r="O466" s="37"/>
      <c r="P466" s="99"/>
      <c r="Q466" s="100"/>
      <c r="R466" s="4"/>
    </row>
    <row r="467" spans="1:18">
      <c r="A467" s="1">
        <f t="shared" si="16"/>
        <v>0</v>
      </c>
      <c r="B467" s="2"/>
      <c r="C467" s="8"/>
      <c r="D467" s="101" t="s">
        <v>14</v>
      </c>
      <c r="E467" s="133"/>
      <c r="F467" s="133"/>
      <c r="G467" s="133"/>
      <c r="H467" s="133"/>
      <c r="I467" s="133"/>
      <c r="J467" s="133"/>
      <c r="K467" s="105"/>
      <c r="L467" s="134" t="s">
        <v>15</v>
      </c>
      <c r="M467" s="106" t="s">
        <v>16</v>
      </c>
      <c r="N467" s="104" t="s">
        <v>26</v>
      </c>
      <c r="O467" s="105"/>
      <c r="P467" s="107" t="s">
        <v>22</v>
      </c>
      <c r="Q467" s="108"/>
      <c r="R467" s="4"/>
    </row>
    <row r="468" spans="1:18">
      <c r="A468" s="1">
        <f t="shared" si="16"/>
        <v>0</v>
      </c>
      <c r="B468" s="2"/>
      <c r="C468" s="8"/>
      <c r="D468" s="109" t="str">
        <f>IFERROR(INDEX([239]MATERIALES!C:C,MATCH(B468,[239]MATERIALES!B:B,0)),"")</f>
        <v/>
      </c>
      <c r="E468" s="135"/>
      <c r="F468" s="135"/>
      <c r="G468" s="135"/>
      <c r="H468" s="135"/>
      <c r="I468" s="135"/>
      <c r="J468" s="135"/>
      <c r="K468" s="136"/>
      <c r="L468" s="137" t="str">
        <f>IFERROR(INDEX([239]MATERIALES!D:D,MATCH(B468,[239]MATERIALES!B:B,0)),"")</f>
        <v/>
      </c>
      <c r="M468" s="138"/>
      <c r="N468" s="139" t="str">
        <f>IFERROR(INDEX([239]MATERIALES!P:P,MATCH(B468,[239]MATERIALES!B:B,0)),"")</f>
        <v/>
      </c>
      <c r="O468" s="140"/>
      <c r="P468" s="118" t="str">
        <f>IFERROR(ROUND(N468*M468,2),"")</f>
        <v/>
      </c>
      <c r="Q468" s="119"/>
      <c r="R468" s="4"/>
    </row>
    <row r="469" spans="1:18">
      <c r="A469" s="1">
        <f t="shared" si="16"/>
        <v>0</v>
      </c>
      <c r="B469" s="2"/>
      <c r="C469" s="8"/>
      <c r="D469" s="109" t="str">
        <f>IFERROR(INDEX([239]MATERIALES!C:C,MATCH(B469,[239]MATERIALES!B:B,0)),"")</f>
        <v/>
      </c>
      <c r="E469" s="135"/>
      <c r="F469" s="135"/>
      <c r="G469" s="135"/>
      <c r="H469" s="135"/>
      <c r="I469" s="135"/>
      <c r="J469" s="135"/>
      <c r="K469" s="136"/>
      <c r="L469" s="137" t="str">
        <f>IFERROR(INDEX([239]MATERIALES!D:D,MATCH(B469,[239]MATERIALES!B:B,0)),"")</f>
        <v/>
      </c>
      <c r="M469" s="138"/>
      <c r="N469" s="139" t="str">
        <f>IFERROR(INDEX([239]MATERIALES!P:P,MATCH(B469,[239]MATERIALES!B:B,0)),"")</f>
        <v/>
      </c>
      <c r="O469" s="140"/>
      <c r="P469" s="118" t="str">
        <f>IFERROR(ROUND(N469*M469,2),"")</f>
        <v/>
      </c>
      <c r="Q469" s="119"/>
      <c r="R469" s="4"/>
    </row>
    <row r="470" spans="1:18">
      <c r="A470" s="1">
        <f t="shared" si="16"/>
        <v>0</v>
      </c>
      <c r="B470" s="2"/>
      <c r="C470" s="8"/>
      <c r="D470" s="109" t="str">
        <f>IFERROR(INDEX([239]MATERIALES!C:C,MATCH(B470,[239]MATERIALES!B:B,0)),"")</f>
        <v/>
      </c>
      <c r="E470" s="110"/>
      <c r="F470" s="110"/>
      <c r="G470" s="110"/>
      <c r="H470" s="110"/>
      <c r="I470" s="110"/>
      <c r="J470" s="110"/>
      <c r="K470" s="111"/>
      <c r="L470" s="137" t="str">
        <f>IFERROR(INDEX([239]MATERIALES!D:D,MATCH(B470,[239]MATERIALES!B:B,0)),"")</f>
        <v/>
      </c>
      <c r="M470" s="138"/>
      <c r="N470" s="139" t="str">
        <f>IFERROR(INDEX([239]MATERIALES!P:P,MATCH(B470,[239]MATERIALES!B:B,0)),"")</f>
        <v/>
      </c>
      <c r="O470" s="140"/>
      <c r="P470" s="118" t="str">
        <f>IFERROR(ROUND(N470*M470,2),"")</f>
        <v/>
      </c>
      <c r="Q470" s="119"/>
      <c r="R470" s="4"/>
    </row>
    <row r="471" spans="1:18">
      <c r="A471" s="1">
        <f t="shared" si="16"/>
        <v>0</v>
      </c>
      <c r="B471" s="2"/>
      <c r="C471" s="8"/>
      <c r="D471" s="109" t="str">
        <f>IFERROR(INDEX([239]MATERIALES!C:C,MATCH(B471,[239]MATERIALES!B:B,0)),"")</f>
        <v/>
      </c>
      <c r="E471" s="110"/>
      <c r="F471" s="110"/>
      <c r="G471" s="110"/>
      <c r="H471" s="110"/>
      <c r="I471" s="110"/>
      <c r="J471" s="110"/>
      <c r="K471" s="111"/>
      <c r="L471" s="137" t="str">
        <f>IFERROR(INDEX([239]MATERIALES!D:D,MATCH(B471,[239]MATERIALES!B:B,0)),"")</f>
        <v/>
      </c>
      <c r="M471" s="138"/>
      <c r="N471" s="139" t="str">
        <f>IFERROR(INDEX([239]MATERIALES!P:P,MATCH(B471,[239]MATERIALES!B:B,0)),"")</f>
        <v/>
      </c>
      <c r="O471" s="140"/>
      <c r="P471" s="118" t="str">
        <f>IFERROR(ROUND(N471*M471,2),"")</f>
        <v/>
      </c>
      <c r="Q471" s="119"/>
      <c r="R471" s="4"/>
    </row>
    <row r="472" spans="1:18">
      <c r="A472" s="1">
        <f t="shared" si="16"/>
        <v>0</v>
      </c>
      <c r="B472" s="2"/>
      <c r="C472" s="8"/>
      <c r="D472" s="109" t="str">
        <f>IFERROR(INDEX([239]MATERIALES!C:C,MATCH(B472,[239]MATERIALES!B:B,0)),"")</f>
        <v/>
      </c>
      <c r="E472" s="110"/>
      <c r="F472" s="110"/>
      <c r="G472" s="110"/>
      <c r="H472" s="110"/>
      <c r="I472" s="110"/>
      <c r="J472" s="110"/>
      <c r="K472" s="111"/>
      <c r="L472" s="137" t="str">
        <f>IFERROR(INDEX([239]MATERIALES!D:D,MATCH(B472,[239]MATERIALES!B:B,0)),"")</f>
        <v/>
      </c>
      <c r="M472" s="138"/>
      <c r="N472" s="139" t="str">
        <f>IFERROR(INDEX([239]MATERIALES!P:P,MATCH(B472,[239]MATERIALES!B:B,0)),"")</f>
        <v/>
      </c>
      <c r="O472" s="140"/>
      <c r="P472" s="118" t="str">
        <f t="shared" ref="P472:P481" si="17">IFERROR(ROUND(N472*M472,2),"")</f>
        <v/>
      </c>
      <c r="Q472" s="119"/>
      <c r="R472" s="4"/>
    </row>
    <row r="473" spans="1:18">
      <c r="A473" s="1">
        <f t="shared" si="16"/>
        <v>0</v>
      </c>
      <c r="B473" s="2"/>
      <c r="C473" s="8"/>
      <c r="D473" s="109" t="str">
        <f>IFERROR(INDEX([239]MATERIALES!C:C,MATCH(B473,[239]MATERIALES!B:B,0)),"")</f>
        <v/>
      </c>
      <c r="E473" s="110"/>
      <c r="F473" s="110"/>
      <c r="G473" s="110"/>
      <c r="H473" s="110"/>
      <c r="I473" s="110"/>
      <c r="J473" s="110"/>
      <c r="K473" s="111"/>
      <c r="L473" s="137" t="str">
        <f>IFERROR(INDEX([239]MATERIALES!D:D,MATCH(B473,[239]MATERIALES!B:B,0)),"")</f>
        <v/>
      </c>
      <c r="M473" s="138"/>
      <c r="N473" s="139" t="str">
        <f>IFERROR(INDEX([239]MATERIALES!P:P,MATCH(B473,[239]MATERIALES!B:B,0)),"")</f>
        <v/>
      </c>
      <c r="O473" s="140"/>
      <c r="P473" s="118" t="str">
        <f t="shared" si="17"/>
        <v/>
      </c>
      <c r="Q473" s="119"/>
      <c r="R473" s="4"/>
    </row>
    <row r="474" spans="1:18">
      <c r="A474" s="1">
        <f t="shared" si="16"/>
        <v>0</v>
      </c>
      <c r="B474" s="2"/>
      <c r="C474" s="8"/>
      <c r="D474" s="109" t="str">
        <f>IFERROR(INDEX([239]MATERIALES!C:C,MATCH(B474,[239]MATERIALES!B:B,0)),"")</f>
        <v/>
      </c>
      <c r="E474" s="110"/>
      <c r="F474" s="110"/>
      <c r="G474" s="110"/>
      <c r="H474" s="110"/>
      <c r="I474" s="110"/>
      <c r="J474" s="110"/>
      <c r="K474" s="111"/>
      <c r="L474" s="137" t="str">
        <f>IFERROR(INDEX([239]MATERIALES!D:D,MATCH(B474,[239]MATERIALES!B:B,0)),"")</f>
        <v/>
      </c>
      <c r="M474" s="138"/>
      <c r="N474" s="139" t="str">
        <f>IFERROR(INDEX([239]MATERIALES!P:P,MATCH(B474,[239]MATERIALES!B:B,0)),"")</f>
        <v/>
      </c>
      <c r="O474" s="140"/>
      <c r="P474" s="118" t="str">
        <f t="shared" si="17"/>
        <v/>
      </c>
      <c r="Q474" s="119"/>
      <c r="R474" s="4"/>
    </row>
    <row r="475" spans="1:18">
      <c r="A475" s="1">
        <f t="shared" si="16"/>
        <v>0</v>
      </c>
      <c r="B475" s="2"/>
      <c r="C475" s="8"/>
      <c r="D475" s="109" t="str">
        <f>IFERROR(INDEX([239]MATERIALES!C:C,MATCH(B475,[239]MATERIALES!B:B,0)),"")</f>
        <v/>
      </c>
      <c r="E475" s="110"/>
      <c r="F475" s="110"/>
      <c r="G475" s="110"/>
      <c r="H475" s="110"/>
      <c r="I475" s="110"/>
      <c r="J475" s="110"/>
      <c r="K475" s="111"/>
      <c r="L475" s="137" t="str">
        <f>IFERROR(INDEX([239]MATERIALES!D:D,MATCH(B475,[239]MATERIALES!B:B,0)),"")</f>
        <v/>
      </c>
      <c r="M475" s="138"/>
      <c r="N475" s="139" t="str">
        <f>IFERROR(INDEX([239]MATERIALES!P:P,MATCH(B475,[239]MATERIALES!B:B,0)),"")</f>
        <v/>
      </c>
      <c r="O475" s="140"/>
      <c r="P475" s="118" t="str">
        <f t="shared" si="17"/>
        <v/>
      </c>
      <c r="Q475" s="119"/>
      <c r="R475" s="4"/>
    </row>
    <row r="476" spans="1:18">
      <c r="A476" s="1">
        <f t="shared" si="16"/>
        <v>0</v>
      </c>
      <c r="B476" s="2"/>
      <c r="C476" s="8"/>
      <c r="D476" s="109" t="str">
        <f>IFERROR(INDEX([239]MATERIALES!C:C,MATCH(B476,[239]MATERIALES!B:B,0)),"")</f>
        <v/>
      </c>
      <c r="E476" s="110"/>
      <c r="F476" s="110"/>
      <c r="G476" s="110"/>
      <c r="H476" s="110"/>
      <c r="I476" s="110"/>
      <c r="J476" s="110"/>
      <c r="K476" s="111"/>
      <c r="L476" s="137" t="str">
        <f>IFERROR(INDEX([239]MATERIALES!D:D,MATCH(B476,[239]MATERIALES!B:B,0)),"")</f>
        <v/>
      </c>
      <c r="M476" s="138"/>
      <c r="N476" s="139" t="str">
        <f>IFERROR(INDEX([239]MATERIALES!P:P,MATCH(B476,[239]MATERIALES!B:B,0)),"")</f>
        <v/>
      </c>
      <c r="O476" s="140"/>
      <c r="P476" s="118" t="str">
        <f t="shared" si="17"/>
        <v/>
      </c>
      <c r="Q476" s="119"/>
      <c r="R476" s="4"/>
    </row>
    <row r="477" spans="1:18">
      <c r="A477" s="1">
        <f t="shared" si="16"/>
        <v>0</v>
      </c>
      <c r="B477" s="2"/>
      <c r="C477" s="8"/>
      <c r="D477" s="109" t="str">
        <f>IFERROR(INDEX([239]MATERIALES!C:C,MATCH(B477,[239]MATERIALES!B:B,0)),"")</f>
        <v/>
      </c>
      <c r="E477" s="110"/>
      <c r="F477" s="110"/>
      <c r="G477" s="110"/>
      <c r="H477" s="110"/>
      <c r="I477" s="110"/>
      <c r="J477" s="110"/>
      <c r="K477" s="111"/>
      <c r="L477" s="137" t="str">
        <f>IFERROR(INDEX([239]MATERIALES!D:D,MATCH(B477,[239]MATERIALES!B:B,0)),"")</f>
        <v/>
      </c>
      <c r="M477" s="138"/>
      <c r="N477" s="139" t="str">
        <f>IFERROR(INDEX([239]MATERIALES!P:P,MATCH(B477,[239]MATERIALES!B:B,0)),"")</f>
        <v/>
      </c>
      <c r="O477" s="140"/>
      <c r="P477" s="118" t="str">
        <f t="shared" si="17"/>
        <v/>
      </c>
      <c r="Q477" s="119"/>
      <c r="R477" s="4"/>
    </row>
    <row r="478" spans="1:18">
      <c r="A478" s="1">
        <f t="shared" si="16"/>
        <v>0</v>
      </c>
      <c r="B478" s="2"/>
      <c r="C478" s="8"/>
      <c r="D478" s="109" t="str">
        <f>IFERROR(INDEX([239]MATERIALES!C:C,MATCH(B478,[239]MATERIALES!B:B,0)),"")</f>
        <v/>
      </c>
      <c r="E478" s="110"/>
      <c r="F478" s="110"/>
      <c r="G478" s="110"/>
      <c r="H478" s="110"/>
      <c r="I478" s="110"/>
      <c r="J478" s="110"/>
      <c r="K478" s="111"/>
      <c r="L478" s="137" t="str">
        <f>IFERROR(INDEX([239]MATERIALES!D:D,MATCH(B478,[239]MATERIALES!B:B,0)),"")</f>
        <v/>
      </c>
      <c r="M478" s="138"/>
      <c r="N478" s="139" t="str">
        <f>IFERROR(INDEX([239]MATERIALES!P:P,MATCH(B478,[239]MATERIALES!B:B,0)),"")</f>
        <v/>
      </c>
      <c r="O478" s="140"/>
      <c r="P478" s="118" t="str">
        <f t="shared" si="17"/>
        <v/>
      </c>
      <c r="Q478" s="119"/>
      <c r="R478" s="4"/>
    </row>
    <row r="479" spans="1:18">
      <c r="A479" s="1">
        <f t="shared" si="16"/>
        <v>0</v>
      </c>
      <c r="B479" s="2"/>
      <c r="C479" s="8"/>
      <c r="D479" s="109" t="str">
        <f>IFERROR(INDEX([239]MATERIALES!C:C,MATCH(B479,[239]MATERIALES!B:B,0)),"")</f>
        <v/>
      </c>
      <c r="E479" s="110"/>
      <c r="F479" s="110"/>
      <c r="G479" s="110"/>
      <c r="H479" s="110"/>
      <c r="I479" s="110"/>
      <c r="J479" s="110"/>
      <c r="K479" s="111"/>
      <c r="L479" s="137" t="str">
        <f>IFERROR(INDEX([239]MATERIALES!D:D,MATCH(B479,[239]MATERIALES!B:B,0)),"")</f>
        <v/>
      </c>
      <c r="M479" s="138"/>
      <c r="N479" s="139" t="str">
        <f>IFERROR(INDEX([239]MATERIALES!P:P,MATCH(B479,[239]MATERIALES!B:B,0)),"")</f>
        <v/>
      </c>
      <c r="O479" s="140"/>
      <c r="P479" s="118" t="str">
        <f t="shared" si="17"/>
        <v/>
      </c>
      <c r="Q479" s="119"/>
      <c r="R479" s="4"/>
    </row>
    <row r="480" spans="1:18">
      <c r="A480" s="1">
        <f t="shared" si="16"/>
        <v>0</v>
      </c>
      <c r="B480" s="2"/>
      <c r="C480" s="8"/>
      <c r="D480" s="109" t="str">
        <f>IFERROR(INDEX([239]MATERIALES!C:C,MATCH(B480,[239]MATERIALES!B:B,0)),"")</f>
        <v/>
      </c>
      <c r="E480" s="110"/>
      <c r="F480" s="110"/>
      <c r="G480" s="110"/>
      <c r="H480" s="110"/>
      <c r="I480" s="110"/>
      <c r="J480" s="110"/>
      <c r="K480" s="111"/>
      <c r="L480" s="137" t="str">
        <f>IFERROR(INDEX([239]MATERIALES!D:D,MATCH(B480,[239]MATERIALES!B:B,0)),"")</f>
        <v/>
      </c>
      <c r="M480" s="138"/>
      <c r="N480" s="139" t="str">
        <f>IFERROR(INDEX([239]MATERIALES!P:P,MATCH(B480,[239]MATERIALES!B:B,0)),"")</f>
        <v/>
      </c>
      <c r="O480" s="140"/>
      <c r="P480" s="118" t="str">
        <f t="shared" si="17"/>
        <v/>
      </c>
      <c r="Q480" s="119"/>
      <c r="R480" s="4"/>
    </row>
    <row r="481" spans="1:18">
      <c r="A481" s="1">
        <f t="shared" si="16"/>
        <v>0</v>
      </c>
      <c r="B481" s="2"/>
      <c r="C481" s="8"/>
      <c r="D481" s="109" t="str">
        <f>IFERROR(INDEX([239]MATERIALES!C:C,MATCH(B481,[239]MATERIALES!B:B,0)),"")</f>
        <v/>
      </c>
      <c r="E481" s="110"/>
      <c r="F481" s="110"/>
      <c r="G481" s="110"/>
      <c r="H481" s="110"/>
      <c r="I481" s="110"/>
      <c r="J481" s="110"/>
      <c r="K481" s="111"/>
      <c r="L481" s="137" t="str">
        <f>IFERROR(INDEX([239]MATERIALES!D:D,MATCH(B481,[239]MATERIALES!B:B,0)),"")</f>
        <v/>
      </c>
      <c r="M481" s="138"/>
      <c r="N481" s="139" t="str">
        <f>IFERROR(INDEX([239]MATERIALES!P:P,MATCH(B481,[239]MATERIALES!B:B,0)),"")</f>
        <v/>
      </c>
      <c r="O481" s="140"/>
      <c r="P481" s="118" t="str">
        <f t="shared" si="17"/>
        <v/>
      </c>
      <c r="Q481" s="119"/>
      <c r="R481" s="4"/>
    </row>
    <row r="482" spans="1:18" ht="15.75" thickBot="1">
      <c r="A482" s="1">
        <f t="shared" si="16"/>
        <v>0</v>
      </c>
      <c r="B482" s="2"/>
      <c r="C482" s="8"/>
      <c r="D482" s="109" t="s">
        <v>28</v>
      </c>
      <c r="E482" s="110"/>
      <c r="F482" s="110"/>
      <c r="G482" s="110"/>
      <c r="H482" s="110"/>
      <c r="I482" s="110"/>
      <c r="J482" s="110"/>
      <c r="K482" s="111"/>
      <c r="L482" s="137" t="s">
        <v>29</v>
      </c>
      <c r="M482" s="138">
        <v>0.05</v>
      </c>
      <c r="N482" s="139">
        <f>SUM(P468:P481)</f>
        <v>0</v>
      </c>
      <c r="O482" s="140"/>
      <c r="P482" s="118">
        <f>ROUND(N482*M482,2)</f>
        <v>0</v>
      </c>
      <c r="Q482" s="119"/>
      <c r="R482" s="4"/>
    </row>
    <row r="483" spans="1:18" ht="15.75" thickBot="1">
      <c r="A483" s="1">
        <f t="shared" si="16"/>
        <v>0</v>
      </c>
      <c r="B483" s="2"/>
      <c r="C483" s="8"/>
      <c r="D483" s="128" t="s">
        <v>24</v>
      </c>
      <c r="E483" s="129"/>
      <c r="F483" s="129"/>
      <c r="G483" s="129"/>
      <c r="H483" s="129"/>
      <c r="I483" s="129"/>
      <c r="J483" s="129"/>
      <c r="K483" s="129"/>
      <c r="L483" s="129"/>
      <c r="M483" s="129"/>
      <c r="N483" s="129"/>
      <c r="O483" s="130"/>
      <c r="P483" s="131">
        <f>SUM(P468:P482)</f>
        <v>0</v>
      </c>
      <c r="Q483" s="119"/>
      <c r="R483" s="4"/>
    </row>
    <row r="484" spans="1:18" ht="15.75" thickBot="1">
      <c r="A484" s="1">
        <f t="shared" si="16"/>
        <v>0</v>
      </c>
      <c r="B484" s="2"/>
      <c r="C484" s="8"/>
      <c r="D484" s="74" t="s">
        <v>30</v>
      </c>
      <c r="E484" s="37"/>
      <c r="F484" s="37"/>
      <c r="G484" s="37"/>
      <c r="H484" s="37"/>
      <c r="I484" s="37"/>
      <c r="J484" s="37"/>
      <c r="K484" s="37"/>
      <c r="L484" s="37"/>
      <c r="M484" s="37"/>
      <c r="N484" s="37"/>
      <c r="O484" s="37"/>
      <c r="P484" s="99"/>
      <c r="Q484" s="100"/>
      <c r="R484" s="4"/>
    </row>
    <row r="485" spans="1:18">
      <c r="A485" s="1">
        <f t="shared" si="16"/>
        <v>0</v>
      </c>
      <c r="B485" s="2"/>
      <c r="C485" s="8"/>
      <c r="D485" s="101" t="s">
        <v>31</v>
      </c>
      <c r="E485" s="133"/>
      <c r="F485" s="133"/>
      <c r="G485" s="133"/>
      <c r="H485" s="133"/>
      <c r="I485" s="133"/>
      <c r="J485" s="133"/>
      <c r="K485" s="106" t="s">
        <v>32</v>
      </c>
      <c r="L485" s="141" t="s">
        <v>33</v>
      </c>
      <c r="M485" s="106" t="s">
        <v>34</v>
      </c>
      <c r="N485" s="104" t="s">
        <v>20</v>
      </c>
      <c r="O485" s="105"/>
      <c r="P485" s="107" t="s">
        <v>22</v>
      </c>
      <c r="Q485" s="108"/>
      <c r="R485" s="4"/>
    </row>
    <row r="486" spans="1:18">
      <c r="A486" s="1">
        <f t="shared" si="16"/>
        <v>0</v>
      </c>
      <c r="B486" s="2" t="s">
        <v>259</v>
      </c>
      <c r="C486" s="8"/>
      <c r="D486" s="142" t="str">
        <f>IFERROR(INDEX([239]TRANSPORTES!B:B,MATCH(B486,[239]TRANSPORTES!A:A,0)),"")</f>
        <v>ESCOMBROS / SOBRANTES HASTA 5 KM</v>
      </c>
      <c r="E486" s="143"/>
      <c r="F486" s="143"/>
      <c r="G486" s="143"/>
      <c r="H486" s="143"/>
      <c r="I486" s="143"/>
      <c r="J486" s="143"/>
      <c r="K486" s="144">
        <f>ROUND((1*1*0.05)*1.35,2)</f>
        <v>7.0000000000000007E-2</v>
      </c>
      <c r="L486" s="145">
        <v>5</v>
      </c>
      <c r="M486" s="146" t="str">
        <f>IFERROR(INDEX([239]TRANSPORTES!C:C,MATCH(B486,[239]TRANSPORTES!A:A,0)),"")</f>
        <v>M3/KM</v>
      </c>
      <c r="N486" s="139">
        <f>IFERROR(INDEX([239]TRANSPORTES!D:D,MATCH(B486,[239]TRANSPORTES!A:A,0)),"")</f>
        <v>2300</v>
      </c>
      <c r="O486" s="147"/>
      <c r="P486" s="148">
        <f>IFERROR(ROUND(K486*N486*L486,2),"")</f>
        <v>805</v>
      </c>
      <c r="Q486" s="119"/>
      <c r="R486" s="4"/>
    </row>
    <row r="487" spans="1:18">
      <c r="A487" s="1">
        <f t="shared" si="16"/>
        <v>0</v>
      </c>
      <c r="B487" s="2"/>
      <c r="C487" s="8"/>
      <c r="D487" s="142" t="str">
        <f>IFERROR(INDEX([239]TRANSPORTES!B:B,MATCH(B487,[239]TRANSPORTES!A:A,0)),"")</f>
        <v/>
      </c>
      <c r="E487" s="143"/>
      <c r="F487" s="143"/>
      <c r="G487" s="143"/>
      <c r="H487" s="143"/>
      <c r="I487" s="143"/>
      <c r="J487" s="143"/>
      <c r="K487" s="144"/>
      <c r="L487" s="145"/>
      <c r="M487" s="146" t="str">
        <f>IFERROR(INDEX([239]TRANSPORTES!C:C,MATCH(B487,[239]TRANSPORTES!A:A,0)),"")</f>
        <v/>
      </c>
      <c r="N487" s="139" t="str">
        <f>IFERROR(INDEX([239]TRANSPORTES!D:D,MATCH(B487,[239]TRANSPORTES!A:A,0)),"")</f>
        <v/>
      </c>
      <c r="O487" s="147"/>
      <c r="P487" s="148" t="str">
        <f>IFERROR(ROUND(K487*N487*L487,2),"")</f>
        <v/>
      </c>
      <c r="Q487" s="119"/>
      <c r="R487" s="4"/>
    </row>
    <row r="488" spans="1:18">
      <c r="A488" s="1">
        <f t="shared" si="16"/>
        <v>0</v>
      </c>
      <c r="B488" s="2"/>
      <c r="C488" s="8"/>
      <c r="D488" s="142" t="str">
        <f>IFERROR(INDEX([239]TRANSPORTES!B:B,MATCH(B488,[239]TRANSPORTES!A:A,0)),"")</f>
        <v/>
      </c>
      <c r="E488" s="143"/>
      <c r="F488" s="143"/>
      <c r="G488" s="143"/>
      <c r="H488" s="143"/>
      <c r="I488" s="143"/>
      <c r="J488" s="143"/>
      <c r="K488" s="144"/>
      <c r="L488" s="145"/>
      <c r="M488" s="146" t="str">
        <f>IFERROR(INDEX([239]TRANSPORTES!C:C,MATCH(B488,[239]TRANSPORTES!A:A,0)),"")</f>
        <v/>
      </c>
      <c r="N488" s="139" t="str">
        <f>IFERROR(INDEX([239]TRANSPORTES!D:D,MATCH(B488,[239]TRANSPORTES!A:A,0)),"")</f>
        <v/>
      </c>
      <c r="O488" s="147"/>
      <c r="P488" s="148" t="str">
        <f>IFERROR(ROUND(K488*N488*L488,2),"")</f>
        <v/>
      </c>
      <c r="Q488" s="119"/>
      <c r="R488" s="4"/>
    </row>
    <row r="489" spans="1:18" ht="15.75" thickBot="1">
      <c r="A489" s="1">
        <f t="shared" si="16"/>
        <v>0</v>
      </c>
      <c r="B489" s="2"/>
      <c r="C489" s="8"/>
      <c r="D489" s="142" t="str">
        <f>IFERROR(INDEX([239]TRANSPORTES!B:B,MATCH(B489,[239]TRANSPORTES!A:A,0)),"")</f>
        <v/>
      </c>
      <c r="E489" s="143"/>
      <c r="F489" s="143"/>
      <c r="G489" s="143"/>
      <c r="H489" s="143"/>
      <c r="I489" s="143"/>
      <c r="J489" s="143"/>
      <c r="K489" s="149"/>
      <c r="L489" s="150"/>
      <c r="M489" s="146" t="str">
        <f>IFERROR(INDEX([239]TRANSPORTES!C:C,MATCH(B489,[239]TRANSPORTES!A:A,0)),"")</f>
        <v/>
      </c>
      <c r="N489" s="139" t="str">
        <f>IFERROR(INDEX([239]TRANSPORTES!D:D,MATCH(B489,[239]TRANSPORTES!A:A,0)),"")</f>
        <v/>
      </c>
      <c r="O489" s="147"/>
      <c r="P489" s="148" t="str">
        <f>IFERROR(ROUND(K489*N489*L489,2),"")</f>
        <v/>
      </c>
      <c r="Q489" s="119"/>
      <c r="R489" s="4"/>
    </row>
    <row r="490" spans="1:18" ht="15.75" thickBot="1">
      <c r="A490" s="1">
        <f t="shared" si="16"/>
        <v>0</v>
      </c>
      <c r="B490" s="2"/>
      <c r="C490" s="8"/>
      <c r="D490" s="128" t="s">
        <v>24</v>
      </c>
      <c r="E490" s="129"/>
      <c r="F490" s="129"/>
      <c r="G490" s="129"/>
      <c r="H490" s="129"/>
      <c r="I490" s="129"/>
      <c r="J490" s="129"/>
      <c r="K490" s="129"/>
      <c r="L490" s="129"/>
      <c r="M490" s="129"/>
      <c r="N490" s="129"/>
      <c r="O490" s="130"/>
      <c r="P490" s="151">
        <f>SUM(P486:P489)</f>
        <v>805</v>
      </c>
      <c r="Q490" s="132"/>
      <c r="R490" s="4"/>
    </row>
    <row r="491" spans="1:18" ht="15.75" thickBot="1">
      <c r="A491" s="1">
        <f t="shared" si="16"/>
        <v>0</v>
      </c>
      <c r="B491" s="2"/>
      <c r="C491" s="8"/>
      <c r="D491" s="74" t="s">
        <v>36</v>
      </c>
      <c r="E491" s="37"/>
      <c r="F491" s="37"/>
      <c r="G491" s="37"/>
      <c r="H491" s="37"/>
      <c r="I491" s="37"/>
      <c r="J491" s="37"/>
      <c r="K491" s="37"/>
      <c r="L491" s="37"/>
      <c r="M491" s="37"/>
      <c r="N491" s="37"/>
      <c r="O491" s="37"/>
      <c r="P491" s="99"/>
      <c r="Q491" s="100"/>
      <c r="R491" s="4"/>
    </row>
    <row r="492" spans="1:18" ht="30">
      <c r="A492" s="1">
        <f t="shared" si="16"/>
        <v>0</v>
      </c>
      <c r="B492" s="2"/>
      <c r="C492" s="8"/>
      <c r="D492" s="101" t="s">
        <v>37</v>
      </c>
      <c r="E492" s="133"/>
      <c r="F492" s="133"/>
      <c r="G492" s="133"/>
      <c r="H492" s="133"/>
      <c r="I492" s="133"/>
      <c r="J492" s="133"/>
      <c r="K492" s="106" t="s">
        <v>38</v>
      </c>
      <c r="L492" s="152" t="s">
        <v>39</v>
      </c>
      <c r="M492" s="153" t="s">
        <v>40</v>
      </c>
      <c r="N492" s="104" t="s">
        <v>21</v>
      </c>
      <c r="O492" s="105"/>
      <c r="P492" s="154" t="s">
        <v>22</v>
      </c>
      <c r="Q492" s="155"/>
      <c r="R492" s="4"/>
    </row>
    <row r="493" spans="1:18">
      <c r="A493" s="1">
        <f t="shared" si="16"/>
        <v>0</v>
      </c>
      <c r="B493" s="2" t="s">
        <v>81</v>
      </c>
      <c r="C493" s="8"/>
      <c r="D493" s="109" t="str">
        <f>IFERROR(INDEX('[239]MANO DE OBRA'!B:B,MATCH(B493,'[239]MANO DE OBRA'!A:A,0)),"")</f>
        <v>AYUDANTE (1)</v>
      </c>
      <c r="E493" s="110"/>
      <c r="F493" s="110"/>
      <c r="G493" s="110"/>
      <c r="H493" s="110"/>
      <c r="I493" s="110"/>
      <c r="J493" s="111"/>
      <c r="K493" s="156">
        <f>IFERROR(INDEX('[239]MANO DE OBRA'!D:D,MATCH(B493,'[239]MANO DE OBRA'!A:A,0)),"")</f>
        <v>71433</v>
      </c>
      <c r="L493" s="157">
        <f>+IF(D493&lt;&gt;"",'[239]FACTOR PRESTACIONAL'!$E$21," ")</f>
        <v>1.95</v>
      </c>
      <c r="M493" s="158">
        <f>IFERROR(K493*L493," ")</f>
        <v>139294.35</v>
      </c>
      <c r="N493" s="159">
        <f>ROUND(8/0.77,2)</f>
        <v>10.39</v>
      </c>
      <c r="O493" s="160"/>
      <c r="P493" s="161">
        <f>IFERROR(ROUND(M493/N493,2)," ")</f>
        <v>13406.58</v>
      </c>
      <c r="Q493" s="162"/>
      <c r="R493" s="4"/>
    </row>
    <row r="494" spans="1:18">
      <c r="A494" s="1">
        <f t="shared" si="16"/>
        <v>0</v>
      </c>
      <c r="B494" s="2"/>
      <c r="C494" s="8"/>
      <c r="D494" s="109" t="str">
        <f>IFERROR(INDEX('[239]MANO DE OBRA'!B:B,MATCH(B494,'[239]MANO DE OBRA'!A:A,0)),"")</f>
        <v/>
      </c>
      <c r="E494" s="110"/>
      <c r="F494" s="110"/>
      <c r="G494" s="110"/>
      <c r="H494" s="110"/>
      <c r="I494" s="110"/>
      <c r="J494" s="111"/>
      <c r="K494" s="156" t="str">
        <f>IFERROR(INDEX('[239]MANO DE OBRA'!D:D,MATCH(B494,'[239]MANO DE OBRA'!A:A,0)),"")</f>
        <v/>
      </c>
      <c r="L494" s="157" t="str">
        <f>+IF(D494&lt;&gt;"",'[239]FACTOR PRESTACIONAL'!$E$21," ")</f>
        <v xml:space="preserve"> </v>
      </c>
      <c r="M494" s="158" t="str">
        <f>IFERROR(K494*L494," ")</f>
        <v xml:space="preserve"> </v>
      </c>
      <c r="N494" s="159"/>
      <c r="O494" s="160"/>
      <c r="P494" s="161" t="str">
        <f>IFERROR(ROUND(M494/N494,2)," ")</f>
        <v xml:space="preserve"> </v>
      </c>
      <c r="Q494" s="162"/>
      <c r="R494" s="4"/>
    </row>
    <row r="495" spans="1:18">
      <c r="A495" s="1">
        <f t="shared" si="16"/>
        <v>0</v>
      </c>
      <c r="B495" s="2"/>
      <c r="C495" s="8"/>
      <c r="D495" s="109" t="str">
        <f>IFERROR(INDEX('[239]MANO DE OBRA'!B:B,MATCH(B495,'[239]MANO DE OBRA'!A:A,0)),"")</f>
        <v/>
      </c>
      <c r="E495" s="110"/>
      <c r="F495" s="110"/>
      <c r="G495" s="110"/>
      <c r="H495" s="110"/>
      <c r="I495" s="110"/>
      <c r="J495" s="111"/>
      <c r="K495" s="156" t="str">
        <f>IFERROR(INDEX('[239]MANO DE OBRA'!D:D,MATCH(B495,'[239]MANO DE OBRA'!A:A,0)),"")</f>
        <v/>
      </c>
      <c r="L495" s="157" t="str">
        <f>+IF(D495&lt;&gt;"",'[239]FACTOR PRESTACIONAL'!$E$21," ")</f>
        <v xml:space="preserve"> </v>
      </c>
      <c r="M495" s="158" t="str">
        <f>IFERROR(K495*L495," ")</f>
        <v xml:space="preserve"> </v>
      </c>
      <c r="N495" s="159"/>
      <c r="O495" s="160"/>
      <c r="P495" s="161" t="str">
        <f>IFERROR(ROUND(M495/N495,2)," ")</f>
        <v xml:space="preserve"> </v>
      </c>
      <c r="Q495" s="162"/>
      <c r="R495" s="4"/>
    </row>
    <row r="496" spans="1:18">
      <c r="A496" s="1">
        <f t="shared" si="16"/>
        <v>0</v>
      </c>
      <c r="B496" s="2"/>
      <c r="C496" s="8"/>
      <c r="D496" s="109" t="str">
        <f>IFERROR(INDEX('[239]MANO DE OBRA'!B:B,MATCH(B496,'[239]MANO DE OBRA'!A:A,0)),"")</f>
        <v/>
      </c>
      <c r="E496" s="110"/>
      <c r="F496" s="110"/>
      <c r="G496" s="110"/>
      <c r="H496" s="110"/>
      <c r="I496" s="110"/>
      <c r="J496" s="111"/>
      <c r="K496" s="156" t="str">
        <f>IFERROR(INDEX('[239]MANO DE OBRA'!D:D,MATCH(B496,'[239]MANO DE OBRA'!A:A,0)),"")</f>
        <v/>
      </c>
      <c r="L496" s="157" t="str">
        <f>+IF(D496&lt;&gt;"",'[239]FACTOR PRESTACIONAL'!$E$21," ")</f>
        <v xml:space="preserve"> </v>
      </c>
      <c r="M496" s="158" t="str">
        <f>IFERROR(K496*L496," ")</f>
        <v xml:space="preserve"> </v>
      </c>
      <c r="N496" s="159"/>
      <c r="O496" s="160"/>
      <c r="P496" s="161" t="str">
        <f>IFERROR(ROUND(M496/N496,2)," ")</f>
        <v xml:space="preserve"> </v>
      </c>
      <c r="Q496" s="162"/>
      <c r="R496" s="4"/>
    </row>
    <row r="497" spans="1:18" ht="15.75" thickBot="1">
      <c r="A497" s="1">
        <f t="shared" si="16"/>
        <v>0</v>
      </c>
      <c r="B497" s="2"/>
      <c r="C497" s="8"/>
      <c r="D497" s="109" t="str">
        <f>IFERROR(INDEX('[239]MANO DE OBRA'!B:B,MATCH(B497,'[239]MANO DE OBRA'!A:A,0)),"")</f>
        <v/>
      </c>
      <c r="E497" s="110"/>
      <c r="F497" s="110"/>
      <c r="G497" s="110"/>
      <c r="H497" s="110"/>
      <c r="I497" s="110"/>
      <c r="J497" s="111"/>
      <c r="K497" s="156" t="str">
        <f>IFERROR(INDEX('[239]MANO DE OBRA'!D:D,MATCH(B497,'[239]MANO DE OBRA'!A:A,0)),"")</f>
        <v/>
      </c>
      <c r="L497" s="157" t="str">
        <f>+IF(D497&lt;&gt;"",'[239]FACTOR PRESTACIONAL'!$E$21," ")</f>
        <v xml:space="preserve"> </v>
      </c>
      <c r="M497" s="158" t="str">
        <f>IFERROR(K497*L497," ")</f>
        <v xml:space="preserve"> </v>
      </c>
      <c r="N497" s="159"/>
      <c r="O497" s="160"/>
      <c r="P497" s="161" t="str">
        <f>IFERROR(ROUND(M497/N497,2)," ")</f>
        <v xml:space="preserve"> </v>
      </c>
      <c r="Q497" s="119"/>
      <c r="R497" s="4"/>
    </row>
    <row r="498" spans="1:18" ht="15.75" thickBot="1">
      <c r="A498" s="1">
        <f t="shared" si="16"/>
        <v>0</v>
      </c>
      <c r="B498" s="2"/>
      <c r="C498" s="8"/>
      <c r="D498" s="128" t="s">
        <v>24</v>
      </c>
      <c r="E498" s="129"/>
      <c r="F498" s="129"/>
      <c r="G498" s="129"/>
      <c r="H498" s="129"/>
      <c r="I498" s="129"/>
      <c r="J498" s="129"/>
      <c r="K498" s="129"/>
      <c r="L498" s="129"/>
      <c r="M498" s="129"/>
      <c r="N498" s="129"/>
      <c r="O498" s="130"/>
      <c r="P498" s="131">
        <f>SUM(P493:P497)</f>
        <v>13406.58</v>
      </c>
      <c r="Q498" s="119"/>
      <c r="R498" s="4"/>
    </row>
    <row r="499" spans="1:18" ht="15.75" thickBot="1">
      <c r="A499" s="1">
        <f t="shared" si="16"/>
        <v>0</v>
      </c>
      <c r="B499" s="2"/>
      <c r="C499" s="8"/>
      <c r="D499" s="87"/>
      <c r="E499" s="20"/>
      <c r="F499" s="20"/>
      <c r="G499" s="20"/>
      <c r="H499" s="20"/>
      <c r="I499" s="20"/>
      <c r="J499" s="20"/>
      <c r="K499" s="20"/>
      <c r="L499" s="20"/>
      <c r="M499" s="20"/>
      <c r="N499" s="20"/>
      <c r="O499" s="20"/>
      <c r="P499" s="88"/>
      <c r="Q499" s="13"/>
      <c r="R499" s="4"/>
    </row>
    <row r="500" spans="1:18" ht="15.75" thickBot="1">
      <c r="A500" s="1"/>
      <c r="B500" s="2"/>
      <c r="C500" s="8"/>
      <c r="D500" s="163" t="s">
        <v>43</v>
      </c>
      <c r="E500" s="164"/>
      <c r="F500" s="164"/>
      <c r="G500" s="164"/>
      <c r="H500" s="164"/>
      <c r="I500" s="164"/>
      <c r="J500" s="164"/>
      <c r="K500" s="164"/>
      <c r="L500" s="164"/>
      <c r="M500" s="164"/>
      <c r="N500" s="164"/>
      <c r="O500" s="165"/>
      <c r="P500" s="166">
        <f>+P498+P490+P483+P465</f>
        <v>15552.24</v>
      </c>
      <c r="Q500" s="167"/>
      <c r="R500" s="168"/>
    </row>
    <row r="501" spans="1:18" ht="15.75" thickBot="1">
      <c r="A501" s="1"/>
      <c r="B501" s="2"/>
      <c r="C501" s="8"/>
      <c r="D501" s="169"/>
      <c r="E501" s="170"/>
      <c r="F501" s="170"/>
      <c r="G501" s="170"/>
      <c r="H501" s="170"/>
      <c r="I501" s="170"/>
      <c r="J501" s="170"/>
      <c r="K501" s="170"/>
      <c r="L501" s="170"/>
      <c r="M501" s="170"/>
      <c r="N501" s="170"/>
      <c r="O501" s="170"/>
      <c r="P501" s="171"/>
      <c r="Q501" s="100"/>
      <c r="R501" s="4"/>
    </row>
    <row r="502" spans="1:18">
      <c r="A502" s="1"/>
      <c r="B502" s="2"/>
      <c r="C502" s="8"/>
      <c r="D502" s="172" t="s">
        <v>73</v>
      </c>
      <c r="E502" s="173"/>
      <c r="F502" s="173"/>
      <c r="G502" s="173"/>
      <c r="H502" s="173"/>
      <c r="I502" s="173"/>
      <c r="J502" s="173"/>
      <c r="K502" s="141"/>
      <c r="L502" s="174"/>
      <c r="M502" s="153" t="s">
        <v>44</v>
      </c>
      <c r="N502" s="175" t="s">
        <v>45</v>
      </c>
      <c r="O502" s="176"/>
      <c r="P502" s="154"/>
      <c r="Q502" s="155"/>
      <c r="R502" s="4"/>
    </row>
    <row r="503" spans="1:18">
      <c r="A503" s="1"/>
      <c r="B503" s="2"/>
      <c r="C503" s="8"/>
      <c r="D503" s="109" t="s">
        <v>65</v>
      </c>
      <c r="E503" s="110"/>
      <c r="F503" s="110"/>
      <c r="G503" s="110"/>
      <c r="H503" s="110"/>
      <c r="I503" s="110"/>
      <c r="J503" s="110"/>
      <c r="K503" s="177"/>
      <c r="L503" s="178"/>
      <c r="M503" s="179">
        <f>+[239]INICIO!$F$10</f>
        <v>0.24</v>
      </c>
      <c r="N503" s="180">
        <f>ROUND(M503*P500,2)</f>
        <v>3732.54</v>
      </c>
      <c r="O503" s="181"/>
      <c r="P503" s="182"/>
      <c r="Q503" s="119"/>
      <c r="R503" s="4"/>
    </row>
    <row r="504" spans="1:18">
      <c r="A504" s="1"/>
      <c r="B504" s="2"/>
      <c r="C504" s="8"/>
      <c r="D504" s="183" t="s">
        <v>67</v>
      </c>
      <c r="E504" s="61"/>
      <c r="F504" s="61"/>
      <c r="G504" s="61"/>
      <c r="H504" s="61"/>
      <c r="I504" s="61"/>
      <c r="J504" s="61"/>
      <c r="K504" s="177"/>
      <c r="L504" s="178"/>
      <c r="M504" s="179">
        <f>+[239]INICIO!$F$11</f>
        <v>0.02</v>
      </c>
      <c r="N504" s="180">
        <f>ROUND(M504*P500,2)</f>
        <v>311.04000000000002</v>
      </c>
      <c r="O504" s="181"/>
      <c r="P504" s="182"/>
      <c r="Q504" s="119"/>
      <c r="R504" s="4"/>
    </row>
    <row r="505" spans="1:18" ht="15.75" thickBot="1">
      <c r="A505" s="1"/>
      <c r="B505" s="2"/>
      <c r="C505" s="8"/>
      <c r="D505" s="77" t="s">
        <v>69</v>
      </c>
      <c r="E505" s="78"/>
      <c r="F505" s="78"/>
      <c r="G505" s="78"/>
      <c r="H505" s="78"/>
      <c r="I505" s="78"/>
      <c r="J505" s="78"/>
      <c r="K505" s="184"/>
      <c r="L505" s="185"/>
      <c r="M505" s="179">
        <f>+[239]INICIO!$F$12</f>
        <v>7.0000000000000007E-2</v>
      </c>
      <c r="N505" s="180">
        <f>ROUND(M505*P500,2)</f>
        <v>1088.6600000000001</v>
      </c>
      <c r="O505" s="181"/>
      <c r="P505" s="182"/>
      <c r="Q505" s="119"/>
      <c r="R505" s="4"/>
    </row>
    <row r="506" spans="1:18" ht="15.75" thickBot="1">
      <c r="A506" s="1"/>
      <c r="B506" s="2"/>
      <c r="C506" s="8"/>
      <c r="D506" s="128"/>
      <c r="E506" s="129"/>
      <c r="F506" s="129"/>
      <c r="G506" s="129"/>
      <c r="H506" s="129"/>
      <c r="I506" s="129"/>
      <c r="J506" s="129"/>
      <c r="K506" s="129"/>
      <c r="L506" s="129"/>
      <c r="M506" s="129"/>
      <c r="N506" s="129"/>
      <c r="O506" s="130"/>
      <c r="P506" s="131">
        <f>SUM(N503:N505)</f>
        <v>5132.24</v>
      </c>
      <c r="Q506" s="186"/>
      <c r="R506" s="4"/>
    </row>
    <row r="507" spans="1:18" ht="15.75" thickBot="1">
      <c r="A507" s="1"/>
      <c r="B507" s="2"/>
      <c r="C507" s="8"/>
      <c r="D507" s="87"/>
      <c r="E507" s="20"/>
      <c r="F507" s="20"/>
      <c r="G507" s="20"/>
      <c r="H507" s="20"/>
      <c r="I507" s="20"/>
      <c r="J507" s="20"/>
      <c r="K507" s="20"/>
      <c r="L507" s="20"/>
      <c r="M507" s="20"/>
      <c r="N507" s="20"/>
      <c r="O507" s="20"/>
      <c r="P507" s="88"/>
      <c r="Q507" s="13"/>
      <c r="R507" s="4"/>
    </row>
    <row r="508" spans="1:18" ht="15.75" thickBot="1">
      <c r="A508" s="1"/>
      <c r="B508" s="2"/>
      <c r="C508" s="8"/>
      <c r="D508" s="187" t="s">
        <v>46</v>
      </c>
      <c r="E508" s="188"/>
      <c r="F508" s="188"/>
      <c r="G508" s="188"/>
      <c r="H508" s="188"/>
      <c r="I508" s="188"/>
      <c r="J508" s="188"/>
      <c r="K508" s="188"/>
      <c r="L508" s="188"/>
      <c r="M508" s="188"/>
      <c r="N508" s="188"/>
      <c r="O508" s="189"/>
      <c r="P508" s="166">
        <f>ROUND(P506+P500,0)</f>
        <v>20684</v>
      </c>
      <c r="Q508" s="186"/>
      <c r="R508" s="4"/>
    </row>
    <row r="509" spans="1:18">
      <c r="A509" s="1"/>
      <c r="B509" s="2"/>
      <c r="C509" s="8"/>
      <c r="D509" s="80"/>
      <c r="E509" s="81"/>
      <c r="F509" s="81"/>
      <c r="G509" s="81"/>
      <c r="H509" s="81"/>
      <c r="I509" s="81"/>
      <c r="J509" s="81"/>
      <c r="K509" s="81"/>
      <c r="L509" s="81"/>
      <c r="M509" s="81"/>
      <c r="N509" s="81"/>
      <c r="O509" s="81"/>
      <c r="P509" s="82"/>
      <c r="Q509" s="13"/>
      <c r="R509" s="4"/>
    </row>
    <row r="510" spans="1:18">
      <c r="A510" s="1"/>
      <c r="B510" s="2"/>
      <c r="C510" s="8"/>
      <c r="D510" s="87"/>
      <c r="E510" s="20"/>
      <c r="F510" s="20"/>
      <c r="G510" s="20"/>
      <c r="H510" s="20"/>
      <c r="I510" s="20"/>
      <c r="J510" s="20"/>
      <c r="K510" s="20"/>
      <c r="L510" s="20"/>
      <c r="M510" s="20"/>
      <c r="N510" s="20"/>
      <c r="O510" s="20"/>
      <c r="P510" s="88"/>
      <c r="Q510" s="13"/>
      <c r="R510" s="4"/>
    </row>
    <row r="511" spans="1:18">
      <c r="A511" s="1"/>
      <c r="B511" s="2"/>
      <c r="C511" s="8"/>
      <c r="D511" s="87"/>
      <c r="E511" s="20"/>
      <c r="F511" s="20"/>
      <c r="G511" s="20"/>
      <c r="H511" s="20"/>
      <c r="I511" s="20"/>
      <c r="J511" s="20"/>
      <c r="K511" s="20"/>
      <c r="L511" s="20"/>
      <c r="M511" s="20"/>
      <c r="N511" s="20"/>
      <c r="O511" s="20"/>
      <c r="P511" s="88"/>
      <c r="Q511" s="13"/>
      <c r="R511" s="4"/>
    </row>
    <row r="512" spans="1:18">
      <c r="A512" s="1"/>
      <c r="B512" s="2"/>
      <c r="C512" s="8"/>
      <c r="D512" s="87"/>
      <c r="E512" s="20"/>
      <c r="F512" s="20"/>
      <c r="G512" s="20"/>
      <c r="H512" s="20"/>
      <c r="I512" s="20"/>
      <c r="J512" s="20"/>
      <c r="K512" s="20"/>
      <c r="L512" s="20"/>
      <c r="M512" s="20"/>
      <c r="N512" s="20"/>
      <c r="O512" s="20"/>
      <c r="P512" s="88"/>
      <c r="Q512" s="13"/>
      <c r="R512" s="4"/>
    </row>
    <row r="513" spans="1:18">
      <c r="A513" s="1"/>
      <c r="B513" s="2"/>
      <c r="C513" s="8"/>
      <c r="D513" s="219" t="str">
        <f>+[239]INICIO!$B$13</f>
        <v>Proyectó:</v>
      </c>
      <c r="E513" s="49"/>
      <c r="F513" s="49"/>
      <c r="G513" s="49"/>
      <c r="H513" s="49"/>
      <c r="I513" s="49"/>
      <c r="J513" s="49"/>
      <c r="K513" s="20"/>
      <c r="L513" s="69" t="str">
        <f>+[239]INICIO!$B$16</f>
        <v>Aprobó:</v>
      </c>
      <c r="M513" s="49"/>
      <c r="N513" s="49"/>
      <c r="O513" s="49"/>
      <c r="P513" s="88"/>
      <c r="Q513" s="13"/>
      <c r="R513" s="4"/>
    </row>
    <row r="514" spans="1:18">
      <c r="A514" s="1"/>
      <c r="B514" s="2"/>
      <c r="C514" s="8"/>
      <c r="D514" s="87"/>
      <c r="E514" s="20" t="str">
        <f>+Hoja2!C$13</f>
        <v>HELMER EDUARDO BECERRA SANTANDER</v>
      </c>
      <c r="F514" s="20"/>
      <c r="G514" s="20"/>
      <c r="H514" s="20"/>
      <c r="I514" s="20"/>
      <c r="J514" s="20"/>
      <c r="K514" s="20"/>
      <c r="L514" s="20"/>
      <c r="M514" s="20" t="str">
        <f>+Hoja2!$C$16</f>
        <v>JESÚS IVÁN QUIÑONES RUEDA</v>
      </c>
      <c r="N514" s="20"/>
      <c r="O514" s="20"/>
      <c r="P514" s="88"/>
      <c r="Q514" s="190"/>
      <c r="R514" s="4"/>
    </row>
    <row r="515" spans="1:18">
      <c r="A515" s="1"/>
      <c r="B515" s="2"/>
      <c r="C515" s="8"/>
      <c r="D515" s="87"/>
      <c r="E515" s="20" t="str">
        <f>+Hoja2!C$14</f>
        <v>APOYO SEC. DE PLANEACIÓN Y OBRAS PÚBLICAS</v>
      </c>
      <c r="F515" s="20"/>
      <c r="G515" s="20"/>
      <c r="H515" s="20"/>
      <c r="I515" s="20"/>
      <c r="J515" s="20"/>
      <c r="K515" s="20"/>
      <c r="L515" s="20"/>
      <c r="M515" s="20" t="str">
        <f>+Hoja2!$C$17</f>
        <v>SECRETARIO DE PLANEACIÓN Y OBRAS PUBLICAS</v>
      </c>
      <c r="N515" s="20"/>
      <c r="O515" s="20"/>
      <c r="P515" s="88"/>
      <c r="Q515" s="190"/>
      <c r="R515" s="4"/>
    </row>
    <row r="516" spans="1:18">
      <c r="A516" s="1"/>
      <c r="B516" s="2"/>
      <c r="C516" s="8"/>
      <c r="D516" s="68"/>
      <c r="E516" s="20" t="str">
        <f>+Hoja2!C$15</f>
        <v>123769-0701671 NTS</v>
      </c>
      <c r="F516" s="191"/>
      <c r="G516" s="191"/>
      <c r="H516" s="191"/>
      <c r="I516" s="20"/>
      <c r="J516" s="191"/>
      <c r="K516" s="191"/>
      <c r="L516" s="191"/>
      <c r="M516" s="192" t="str">
        <f>+Hoja2!C$18</f>
        <v>A21382020-1090480860</v>
      </c>
      <c r="N516" s="191"/>
      <c r="O516" s="191"/>
      <c r="P516" s="193"/>
      <c r="Q516" s="194"/>
      <c r="R516" s="4"/>
    </row>
    <row r="517" spans="1:18" ht="16.5" thickBot="1">
      <c r="A517" s="1"/>
      <c r="B517" s="2"/>
      <c r="C517" s="8"/>
      <c r="D517" s="195"/>
      <c r="E517" s="150"/>
      <c r="F517" s="150"/>
      <c r="G517" s="150"/>
      <c r="H517" s="150"/>
      <c r="I517" s="150"/>
      <c r="J517" s="150"/>
      <c r="K517" s="150"/>
      <c r="L517" s="150"/>
      <c r="M517" s="150"/>
      <c r="N517" s="150"/>
      <c r="O517" s="150"/>
      <c r="P517" s="196"/>
      <c r="Q517" s="197"/>
      <c r="R517" s="4"/>
    </row>
    <row r="518" spans="1:18" ht="15.75" thickBot="1">
      <c r="A518" s="1"/>
      <c r="B518" s="2"/>
      <c r="C518" s="198"/>
      <c r="D518" s="199"/>
      <c r="E518" s="199"/>
      <c r="F518" s="199"/>
      <c r="G518" s="199"/>
      <c r="H518" s="199"/>
      <c r="I518" s="199"/>
      <c r="J518" s="199"/>
      <c r="K518" s="199"/>
      <c r="L518" s="199"/>
      <c r="M518" s="199"/>
      <c r="N518" s="199"/>
      <c r="O518" s="199"/>
      <c r="P518" s="199"/>
      <c r="Q518" s="200"/>
      <c r="R518" s="4"/>
    </row>
    <row r="519" spans="1:18" ht="15.75" thickTop="1"/>
    <row r="520" spans="1:18" ht="15.75" thickBot="1"/>
    <row r="521" spans="1:18" ht="15.75" thickTop="1">
      <c r="A521" s="1"/>
      <c r="B521" s="2"/>
      <c r="C521" s="5"/>
      <c r="D521" s="6"/>
      <c r="E521" s="6"/>
      <c r="F521" s="6"/>
      <c r="G521" s="6"/>
      <c r="H521" s="6"/>
      <c r="I521" s="6"/>
      <c r="J521" s="6"/>
      <c r="K521" s="6"/>
      <c r="L521" s="6"/>
      <c r="M521" s="6"/>
      <c r="N521" s="6"/>
      <c r="O521" s="6"/>
      <c r="P521" s="6"/>
      <c r="Q521" s="7"/>
      <c r="R521" s="4"/>
    </row>
    <row r="522" spans="1:18" ht="24">
      <c r="A522" s="1"/>
      <c r="B522" s="2"/>
      <c r="C522" s="8"/>
      <c r="D522" s="9" t="str">
        <f>+[239]INICIO!$C$8</f>
        <v>Análisis de Precios Unitarios- Secretaria de Planeación y Obras Publicas de Cubará, Boyacá.</v>
      </c>
      <c r="E522" s="10"/>
      <c r="F522" s="10"/>
      <c r="G522" s="10"/>
      <c r="H522" s="11"/>
      <c r="I522" s="12"/>
      <c r="J522" s="12"/>
      <c r="K522" s="12"/>
      <c r="L522" s="12"/>
      <c r="M522" s="12"/>
      <c r="N522" s="12"/>
      <c r="O522" s="12"/>
      <c r="P522" s="12"/>
      <c r="Q522" s="13"/>
      <c r="R522" s="4"/>
    </row>
    <row r="523" spans="1:18">
      <c r="A523" s="1"/>
      <c r="B523" s="2"/>
      <c r="C523" s="8"/>
      <c r="D523" s="14" t="s">
        <v>0</v>
      </c>
      <c r="E523" s="15" t="str">
        <f>+[239]INICIO!$C$7</f>
        <v>CCE-EICP-FM-14</v>
      </c>
      <c r="F523" s="16"/>
      <c r="G523" s="17" t="str">
        <f>+[239]INICIO!$B$6</f>
        <v>VERSIÓN</v>
      </c>
      <c r="H523" s="14">
        <f>+[239]INICIO!$C$6</f>
        <v>1</v>
      </c>
      <c r="I523" s="12"/>
      <c r="J523" s="12"/>
      <c r="K523" s="12"/>
      <c r="L523" s="12"/>
      <c r="M523" s="12"/>
      <c r="N523" s="12"/>
      <c r="O523" s="12"/>
      <c r="P523" s="12"/>
      <c r="Q523" s="13"/>
      <c r="R523" s="4"/>
    </row>
    <row r="524" spans="1:18">
      <c r="A524" s="1"/>
      <c r="B524" s="2"/>
      <c r="C524" s="8"/>
      <c r="D524" s="18"/>
      <c r="E524" s="19"/>
      <c r="F524" s="18"/>
      <c r="G524" s="19"/>
      <c r="H524" s="12"/>
      <c r="I524" s="12"/>
      <c r="J524" s="12"/>
      <c r="K524" s="12"/>
      <c r="L524" s="12"/>
      <c r="M524" s="12"/>
      <c r="N524" s="12"/>
      <c r="O524" s="12"/>
      <c r="P524" s="12"/>
      <c r="Q524" s="13"/>
      <c r="R524" s="4"/>
    </row>
    <row r="525" spans="1:18" ht="15.75" thickBot="1">
      <c r="A525" s="1"/>
      <c r="B525" s="2"/>
      <c r="C525" s="8"/>
      <c r="D525" s="20"/>
      <c r="E525" s="20"/>
      <c r="F525" s="20"/>
      <c r="G525" s="20"/>
      <c r="H525" s="20"/>
      <c r="I525" s="20"/>
      <c r="J525" s="20"/>
      <c r="K525" s="20"/>
      <c r="L525" s="20"/>
      <c r="M525" s="20"/>
      <c r="N525" s="20"/>
      <c r="O525" s="20"/>
      <c r="P525" s="20"/>
      <c r="Q525" s="13"/>
      <c r="R525" s="4"/>
    </row>
    <row r="526" spans="1:18">
      <c r="A526" s="1"/>
      <c r="B526" s="2"/>
      <c r="C526" s="8"/>
      <c r="D526" s="21"/>
      <c r="E526" s="22"/>
      <c r="F526" s="23"/>
      <c r="G526" s="23"/>
      <c r="H526" s="23"/>
      <c r="I526" s="23"/>
      <c r="J526" s="23"/>
      <c r="K526" s="23"/>
      <c r="L526" s="24"/>
      <c r="M526" s="25"/>
      <c r="N526" s="26"/>
      <c r="O526" s="26"/>
      <c r="P526" s="27"/>
      <c r="Q526" s="28"/>
      <c r="R526" s="4"/>
    </row>
    <row r="527" spans="1:18">
      <c r="A527" s="1"/>
      <c r="B527" s="2"/>
      <c r="C527" s="8"/>
      <c r="D527" s="29"/>
      <c r="E527" s="30" t="s">
        <v>1</v>
      </c>
      <c r="F527" s="31"/>
      <c r="G527" s="31"/>
      <c r="H527" s="31"/>
      <c r="I527" s="31"/>
      <c r="J527" s="31"/>
      <c r="K527" s="31"/>
      <c r="L527" s="32"/>
      <c r="M527" s="33"/>
      <c r="N527" s="34"/>
      <c r="O527" s="34"/>
      <c r="P527" s="35"/>
      <c r="Q527" s="28"/>
      <c r="R527" s="4"/>
    </row>
    <row r="528" spans="1:18">
      <c r="A528" s="1"/>
      <c r="B528" s="2"/>
      <c r="C528" s="8"/>
      <c r="D528" s="29"/>
      <c r="E528" s="36"/>
      <c r="F528" s="37"/>
      <c r="G528" s="37"/>
      <c r="H528" s="37"/>
      <c r="I528" s="37"/>
      <c r="J528" s="37"/>
      <c r="K528" s="37"/>
      <c r="L528" s="38"/>
      <c r="M528" s="39"/>
      <c r="N528" s="40"/>
      <c r="O528" s="41"/>
      <c r="P528" s="42"/>
      <c r="Q528" s="28"/>
      <c r="R528" s="4"/>
    </row>
    <row r="529" spans="1:18">
      <c r="A529" s="1"/>
      <c r="B529" s="2"/>
      <c r="C529" s="8"/>
      <c r="D529" s="29"/>
      <c r="E529" s="36"/>
      <c r="F529" s="37"/>
      <c r="G529" s="37"/>
      <c r="H529" s="37"/>
      <c r="I529" s="37"/>
      <c r="J529" s="37"/>
      <c r="K529" s="37"/>
      <c r="L529" s="38"/>
      <c r="M529" s="43" t="s">
        <v>2</v>
      </c>
      <c r="N529" s="44"/>
      <c r="O529" s="45">
        <f>+[239]INICIO!$C$6</f>
        <v>1</v>
      </c>
      <c r="P529" s="46"/>
      <c r="Q529" s="28"/>
      <c r="R529" s="4"/>
    </row>
    <row r="530" spans="1:18">
      <c r="A530" s="1"/>
      <c r="B530" s="2"/>
      <c r="C530" s="8"/>
      <c r="D530" s="29"/>
      <c r="E530" s="36"/>
      <c r="F530" s="37"/>
      <c r="G530" s="37"/>
      <c r="H530" s="37"/>
      <c r="I530" s="37"/>
      <c r="J530" s="37"/>
      <c r="K530" s="37"/>
      <c r="L530" s="38"/>
      <c r="M530" s="47"/>
      <c r="N530" s="48"/>
      <c r="O530" s="49"/>
      <c r="P530" s="50"/>
      <c r="Q530" s="51"/>
      <c r="R530" s="4"/>
    </row>
    <row r="531" spans="1:18">
      <c r="A531" s="1"/>
      <c r="B531" s="2"/>
      <c r="C531" s="8"/>
      <c r="D531" s="29"/>
      <c r="E531" s="52"/>
      <c r="F531" s="53"/>
      <c r="G531" s="53"/>
      <c r="H531" s="53"/>
      <c r="I531" s="53"/>
      <c r="J531" s="53"/>
      <c r="K531" s="53"/>
      <c r="L531" s="54"/>
      <c r="M531" s="39"/>
      <c r="N531" s="55"/>
      <c r="O531" s="55"/>
      <c r="P531" s="56"/>
      <c r="Q531" s="28"/>
      <c r="R531" s="4"/>
    </row>
    <row r="532" spans="1:18">
      <c r="A532" s="1"/>
      <c r="B532" s="2"/>
      <c r="C532" s="8"/>
      <c r="D532" s="29"/>
      <c r="E532" s="52"/>
      <c r="F532" s="53"/>
      <c r="G532" s="53"/>
      <c r="H532" s="53"/>
      <c r="I532" s="53"/>
      <c r="J532" s="53"/>
      <c r="K532" s="53"/>
      <c r="L532" s="54"/>
      <c r="M532" s="43" t="s">
        <v>3</v>
      </c>
      <c r="N532" s="43" t="str">
        <f>+VLOOKUP(D543,'PRESUPUESTO OFICIAL '!C:Q,9,FALSE)</f>
        <v>7</v>
      </c>
      <c r="O532" s="43" t="s">
        <v>4</v>
      </c>
      <c r="P532" s="508" t="str">
        <f>+'PRESUPUESTO OFICIAL '!$M$122</f>
        <v>62</v>
      </c>
      <c r="Q532" s="28"/>
      <c r="R532" s="4"/>
    </row>
    <row r="533" spans="1:18">
      <c r="A533" s="1"/>
      <c r="B533" s="2"/>
      <c r="C533" s="8"/>
      <c r="D533" s="29"/>
      <c r="E533" s="30" t="s">
        <v>5</v>
      </c>
      <c r="F533" s="31"/>
      <c r="G533" s="31"/>
      <c r="H533" s="31"/>
      <c r="I533" s="31"/>
      <c r="J533" s="31"/>
      <c r="K533" s="31"/>
      <c r="L533" s="32"/>
      <c r="M533" s="43"/>
      <c r="N533" s="57"/>
      <c r="O533" s="57"/>
      <c r="P533" s="58"/>
      <c r="Q533" s="28"/>
      <c r="R533" s="4"/>
    </row>
    <row r="534" spans="1:18" ht="15.75" thickBot="1">
      <c r="A534" s="1"/>
      <c r="B534" s="2"/>
      <c r="C534" s="8"/>
      <c r="D534" s="59"/>
      <c r="E534" s="60"/>
      <c r="F534" s="60"/>
      <c r="G534" s="60"/>
      <c r="H534" s="60"/>
      <c r="I534" s="60"/>
      <c r="J534" s="60"/>
      <c r="K534" s="60"/>
      <c r="L534" s="60"/>
      <c r="M534" s="60"/>
      <c r="N534" s="61"/>
      <c r="O534" s="61"/>
      <c r="P534" s="62"/>
      <c r="Q534" s="63"/>
      <c r="R534" s="4"/>
    </row>
    <row r="535" spans="1:18">
      <c r="A535" s="1"/>
      <c r="B535" s="2"/>
      <c r="C535" s="8"/>
      <c r="D535" s="64"/>
      <c r="E535" s="65"/>
      <c r="F535" s="65"/>
      <c r="G535" s="65"/>
      <c r="H535" s="65"/>
      <c r="I535" s="65"/>
      <c r="J535" s="65"/>
      <c r="K535" s="65"/>
      <c r="L535" s="65"/>
      <c r="M535" s="66" t="s">
        <v>6</v>
      </c>
      <c r="N535" s="66" t="s">
        <v>7</v>
      </c>
      <c r="O535" s="66" t="s">
        <v>8</v>
      </c>
      <c r="P535" s="67" t="s">
        <v>9</v>
      </c>
      <c r="Q535" s="51"/>
      <c r="R535" s="4"/>
    </row>
    <row r="536" spans="1:18">
      <c r="A536" s="1"/>
      <c r="B536" s="2"/>
      <c r="C536" s="8"/>
      <c r="D536" s="68"/>
      <c r="E536" s="69"/>
      <c r="F536" s="69"/>
      <c r="G536" s="69"/>
      <c r="H536" s="69"/>
      <c r="I536" s="69"/>
      <c r="J536" s="69"/>
      <c r="K536" s="69"/>
      <c r="L536" s="69"/>
      <c r="M536" s="70"/>
      <c r="N536" s="71">
        <f>+Hoja2!B$5</f>
        <v>5</v>
      </c>
      <c r="O536" s="71">
        <f>+Hoja2!C$5</f>
        <v>8</v>
      </c>
      <c r="P536" s="72">
        <f>+Hoja2!D$5</f>
        <v>2026</v>
      </c>
      <c r="Q536" s="73"/>
      <c r="R536" s="4"/>
    </row>
    <row r="537" spans="1:18">
      <c r="A537" s="1"/>
      <c r="B537" s="2"/>
      <c r="C537" s="8"/>
      <c r="D537" s="74"/>
      <c r="E537" s="37"/>
      <c r="F537" s="37"/>
      <c r="G537" s="37"/>
      <c r="H537" s="69"/>
      <c r="I537" s="69"/>
      <c r="J537" s="69"/>
      <c r="K537" s="20"/>
      <c r="L537" s="69"/>
      <c r="M537" s="75"/>
      <c r="N537" s="20"/>
      <c r="O537" s="20"/>
      <c r="P537" s="76"/>
      <c r="Q537" s="73"/>
      <c r="R537" s="4"/>
    </row>
    <row r="538" spans="1:18" ht="15.75" thickBot="1">
      <c r="A538" s="1"/>
      <c r="B538" s="2"/>
      <c r="C538" s="8"/>
      <c r="D538" s="77"/>
      <c r="E538" s="78"/>
      <c r="F538" s="78"/>
      <c r="G538" s="78"/>
      <c r="H538" s="78"/>
      <c r="I538" s="78"/>
      <c r="J538" s="78"/>
      <c r="K538" s="78"/>
      <c r="L538" s="78"/>
      <c r="M538" s="78"/>
      <c r="N538" s="78"/>
      <c r="O538" s="78"/>
      <c r="P538" s="79"/>
      <c r="Q538" s="13"/>
      <c r="R538" s="4"/>
    </row>
    <row r="539" spans="1:18" ht="15.75" thickBot="1">
      <c r="A539" s="1"/>
      <c r="B539" s="2"/>
      <c r="C539" s="8"/>
      <c r="D539" s="80"/>
      <c r="E539" s="81"/>
      <c r="F539" s="81"/>
      <c r="G539" s="81"/>
      <c r="H539" s="81"/>
      <c r="I539" s="81"/>
      <c r="J539" s="20"/>
      <c r="K539" s="20"/>
      <c r="L539" s="81"/>
      <c r="M539" s="81"/>
      <c r="N539" s="81"/>
      <c r="O539" s="81"/>
      <c r="P539" s="82"/>
      <c r="Q539" s="13"/>
      <c r="R539" s="4"/>
    </row>
    <row r="540" spans="1:18">
      <c r="A540" s="1"/>
      <c r="B540" s="2"/>
      <c r="C540" s="8"/>
      <c r="D540" s="83" t="s">
        <v>10</v>
      </c>
      <c r="E540" s="84"/>
      <c r="F540" s="84"/>
      <c r="G540" s="84"/>
      <c r="H540" s="84"/>
      <c r="I540" s="84"/>
      <c r="J540" s="84"/>
      <c r="K540" s="84"/>
      <c r="L540" s="84"/>
      <c r="M540" s="84"/>
      <c r="N540" s="84"/>
      <c r="O540" s="84"/>
      <c r="P540" s="85"/>
      <c r="Q540" s="86"/>
      <c r="R540" s="4"/>
    </row>
    <row r="541" spans="1:18" ht="15.75" thickBot="1">
      <c r="A541" s="1"/>
      <c r="B541" s="2"/>
      <c r="C541" s="8"/>
      <c r="D541" s="87"/>
      <c r="E541" s="20"/>
      <c r="F541" s="20"/>
      <c r="G541" s="20"/>
      <c r="H541" s="20"/>
      <c r="I541" s="20"/>
      <c r="J541" s="20"/>
      <c r="K541" s="20"/>
      <c r="L541" s="20"/>
      <c r="M541" s="20"/>
      <c r="N541" s="20"/>
      <c r="O541" s="20"/>
      <c r="P541" s="88"/>
      <c r="Q541" s="13"/>
      <c r="R541" s="4"/>
    </row>
    <row r="542" spans="1:18">
      <c r="A542" s="1" t="s">
        <v>11</v>
      </c>
      <c r="B542" s="2" t="s">
        <v>12</v>
      </c>
      <c r="C542" s="8"/>
      <c r="D542" s="89" t="s">
        <v>13</v>
      </c>
      <c r="E542" s="90" t="s">
        <v>14</v>
      </c>
      <c r="F542" s="90"/>
      <c r="G542" s="90"/>
      <c r="H542" s="90"/>
      <c r="I542" s="90"/>
      <c r="J542" s="90"/>
      <c r="K542" s="90"/>
      <c r="L542" s="90"/>
      <c r="M542" s="90"/>
      <c r="N542" s="91" t="s">
        <v>15</v>
      </c>
      <c r="O542" s="91"/>
      <c r="P542" s="92" t="s">
        <v>16</v>
      </c>
      <c r="Q542" s="93"/>
      <c r="R542" s="4"/>
    </row>
    <row r="543" spans="1:18" ht="38.25" customHeight="1" thickBot="1">
      <c r="A543" s="1"/>
      <c r="B543" s="2"/>
      <c r="C543" s="8"/>
      <c r="D543" s="349">
        <f>+'PRESUPUESTO OFICIAL '!C18</f>
        <v>1.07</v>
      </c>
      <c r="E543" s="94" t="str">
        <f>+VLOOKUP(D543,'PRESUPUESTO OFICIAL '!C:H,2,FALSE)</f>
        <v>DEMOLICIÓN DE ESTRUCTURAS DE CONCRETO CICLOPEO, (INCLUYE RETIRO Y ACARREO LIBRE
HASTA 5 KM.)</v>
      </c>
      <c r="F543" s="94"/>
      <c r="G543" s="94"/>
      <c r="H543" s="94"/>
      <c r="I543" s="94"/>
      <c r="J543" s="94"/>
      <c r="K543" s="94"/>
      <c r="L543" s="94"/>
      <c r="M543" s="94"/>
      <c r="N543" s="94" t="str">
        <f>+VLOOKUP(D543,'PRESUPUESTO OFICIAL '!C:H,3,FALSE)</f>
        <v>M3</v>
      </c>
      <c r="O543" s="95"/>
      <c r="P543" s="96">
        <f>+VLOOKUP(D543,'PRESUPUESTO OFICIAL '!C:H,4,FALSE)</f>
        <v>1.67</v>
      </c>
      <c r="Q543" s="97"/>
      <c r="R543" s="98">
        <f>+P595</f>
        <v>536147</v>
      </c>
    </row>
    <row r="544" spans="1:18" ht="15.75" thickBot="1">
      <c r="A544" s="1"/>
      <c r="B544" s="2"/>
      <c r="C544" s="8"/>
      <c r="D544" s="74" t="s">
        <v>17</v>
      </c>
      <c r="E544" s="37"/>
      <c r="F544" s="37"/>
      <c r="G544" s="37"/>
      <c r="H544" s="37"/>
      <c r="I544" s="37"/>
      <c r="J544" s="37"/>
      <c r="K544" s="37"/>
      <c r="L544" s="37"/>
      <c r="M544" s="37"/>
      <c r="N544" s="37"/>
      <c r="O544" s="37"/>
      <c r="P544" s="99"/>
      <c r="Q544" s="100"/>
      <c r="R544" s="4"/>
    </row>
    <row r="545" spans="1:18">
      <c r="A545" s="1"/>
      <c r="B545" s="2"/>
      <c r="C545" s="8"/>
      <c r="D545" s="101" t="s">
        <v>14</v>
      </c>
      <c r="E545" s="102"/>
      <c r="F545" s="102"/>
      <c r="G545" s="102"/>
      <c r="H545" s="103"/>
      <c r="I545" s="104" t="s">
        <v>18</v>
      </c>
      <c r="J545" s="102"/>
      <c r="K545" s="104" t="s">
        <v>19</v>
      </c>
      <c r="L545" s="105"/>
      <c r="M545" s="106" t="s">
        <v>20</v>
      </c>
      <c r="N545" s="104" t="s">
        <v>21</v>
      </c>
      <c r="O545" s="105"/>
      <c r="P545" s="107" t="s">
        <v>22</v>
      </c>
      <c r="Q545" s="108"/>
      <c r="R545" s="4"/>
    </row>
    <row r="546" spans="1:18">
      <c r="A546" s="1" t="e">
        <f>[239]INDICE!#REF!</f>
        <v>#REF!</v>
      </c>
      <c r="B546" s="2" t="s">
        <v>23</v>
      </c>
      <c r="C546" s="8"/>
      <c r="D546" s="109" t="str">
        <f>IFERROR(INDEX([239]EQUIPOS!B:B,MATCH(B546,[239]EQUIPOS!A:A,0)),"")</f>
        <v>HERRAMIENTA MENOR (% M.O)</v>
      </c>
      <c r="E546" s="110"/>
      <c r="F546" s="110"/>
      <c r="G546" s="110"/>
      <c r="H546" s="111"/>
      <c r="I546" s="112"/>
      <c r="J546" s="111"/>
      <c r="K546" s="113" t="str">
        <f>IFERROR(INDEX([239]EQUIPOS!C:C,MATCH(B546,[239]EQUIPOS!A:A,0)),"")</f>
        <v>%</v>
      </c>
      <c r="L546" s="114"/>
      <c r="M546" s="115">
        <f>IFERROR(IF(D546="HERRAMIENTA MENOR (% M.O)",P585,INDEX([239]EQUIPOS!D:D,MATCH(B546,[239]EQUIPOS!A:A,0))),"")</f>
        <v>195814.71000000002</v>
      </c>
      <c r="N546" s="116">
        <v>10</v>
      </c>
      <c r="O546" s="117"/>
      <c r="P546" s="118">
        <f>IFERROR(ROUND(IF(D546="HERRAMIENTA MENOR (% M.O)",N546%*M546,M546/N546),2)," ")</f>
        <v>19581.47</v>
      </c>
      <c r="Q546" s="119"/>
      <c r="R546" s="4"/>
    </row>
    <row r="547" spans="1:18">
      <c r="A547" s="1">
        <f>+$A$2341</f>
        <v>0</v>
      </c>
      <c r="B547" s="2"/>
      <c r="C547" s="8"/>
      <c r="D547" s="109"/>
      <c r="E547" s="110"/>
      <c r="F547" s="110"/>
      <c r="G547" s="110"/>
      <c r="H547" s="111"/>
      <c r="I547" s="112"/>
      <c r="J547" s="111"/>
      <c r="K547" s="113"/>
      <c r="L547" s="114"/>
      <c r="M547" s="115"/>
      <c r="N547" s="116"/>
      <c r="O547" s="117"/>
      <c r="P547" s="118"/>
      <c r="Q547" s="119"/>
      <c r="R547" s="4"/>
    </row>
    <row r="548" spans="1:18">
      <c r="A548" s="1">
        <f t="shared" ref="A548:A586" si="18">+A547</f>
        <v>0</v>
      </c>
      <c r="B548" s="2" t="s">
        <v>262</v>
      </c>
      <c r="C548" s="8"/>
      <c r="D548" s="109" t="str">
        <f>IFERROR(INDEX([239]EQUIPOS!B:B,MATCH(B548,[239]EQUIPOS!A:A,0)),"")</f>
        <v>COMPRESOR (INCLUYE
MARTILLOS)</v>
      </c>
      <c r="E548" s="110"/>
      <c r="F548" s="110"/>
      <c r="G548" s="110"/>
      <c r="H548" s="111"/>
      <c r="I548" s="120"/>
      <c r="J548" s="121"/>
      <c r="K548" s="113" t="str">
        <f>IFERROR(INDEX([239]EQUIPOS!C:C,MATCH(B548,[239]EQUIPOS!A:A,0)),"")</f>
        <v>DIA</v>
      </c>
      <c r="L548" s="114"/>
      <c r="M548" s="115">
        <f>IFERROR(IF(D548="HERRAMIENTA MENOR (% M.O)",P587,INDEX([239]EQUIPOS!D:D,MATCH(B548,[239]EQUIPOS!A:A,0))),"")</f>
        <v>921448</v>
      </c>
      <c r="N548" s="116">
        <v>5.333333333333333</v>
      </c>
      <c r="O548" s="117"/>
      <c r="P548" s="118">
        <f>IFERROR(ROUND(IF(D548="HERRAMIENTA MENOR (% M.O)",N548%*M548,M548/N548),2)," ")</f>
        <v>172771.5</v>
      </c>
      <c r="Q548" s="119"/>
      <c r="R548" s="4"/>
    </row>
    <row r="549" spans="1:18">
      <c r="A549" s="1">
        <f t="shared" si="18"/>
        <v>0</v>
      </c>
      <c r="B549" s="2"/>
      <c r="C549" s="8"/>
      <c r="D549" s="109" t="str">
        <f>IFERROR(INDEX([239]EQUIPOS!B:B,MATCH(B549,[239]EQUIPOS!A:A,0)),"")</f>
        <v/>
      </c>
      <c r="E549" s="110"/>
      <c r="F549" s="110"/>
      <c r="G549" s="110"/>
      <c r="H549" s="111"/>
      <c r="I549" s="120"/>
      <c r="J549" s="121"/>
      <c r="K549" s="113" t="str">
        <f>IFERROR(INDEX([239]EQUIPOS!C:C,MATCH(B549,[239]EQUIPOS!A:A,0)),"")</f>
        <v/>
      </c>
      <c r="L549" s="114"/>
      <c r="M549" s="115" t="str">
        <f>IFERROR(IF(D549="HERRAMIENTA MENOR (% M.O)",P588,INDEX([239]EQUIPOS!D:D,MATCH(B549,[239]EQUIPOS!A:A,0))),"")</f>
        <v/>
      </c>
      <c r="N549" s="116"/>
      <c r="O549" s="117"/>
      <c r="P549" s="118" t="str">
        <f>IFERROR(ROUND(IF(D549="HERRAMIENTA MENOR (% M.O)",N549%*M549,M549/N549),2)," ")</f>
        <v xml:space="preserve"> </v>
      </c>
      <c r="Q549" s="119"/>
      <c r="R549" s="4"/>
    </row>
    <row r="550" spans="1:18">
      <c r="A550" s="1">
        <f t="shared" si="18"/>
        <v>0</v>
      </c>
      <c r="B550" s="2"/>
      <c r="C550" s="8"/>
      <c r="D550" s="109" t="str">
        <f>IFERROR(INDEX([239]EQUIPOS!B:B,MATCH(B550,[239]EQUIPOS!A:A,0)),"")</f>
        <v/>
      </c>
      <c r="E550" s="110"/>
      <c r="F550" s="110"/>
      <c r="G550" s="110"/>
      <c r="H550" s="111"/>
      <c r="I550" s="112"/>
      <c r="J550" s="111"/>
      <c r="K550" s="113" t="str">
        <f>IFERROR(INDEX([239]EQUIPOS!C:C,MATCH(B550,[239]EQUIPOS!A:A,0)),"")</f>
        <v/>
      </c>
      <c r="L550" s="114"/>
      <c r="M550" s="115" t="str">
        <f>IFERROR(IF(D550="HERRAMIENTA MENOR (% M.O)",P589,INDEX([239]EQUIPOS!D:D,MATCH(B550,[239]EQUIPOS!A:A,0))),"")</f>
        <v/>
      </c>
      <c r="N550" s="116"/>
      <c r="O550" s="117"/>
      <c r="P550" s="118" t="str">
        <f>IFERROR(ROUND(IF(D550="HERRAMIENTA MENOR (% M.O)",N550%*M550,M550/N550),2)," ")</f>
        <v xml:space="preserve"> </v>
      </c>
      <c r="Q550" s="119"/>
      <c r="R550" s="4"/>
    </row>
    <row r="551" spans="1:18" ht="15.75" thickBot="1">
      <c r="A551" s="1">
        <f t="shared" si="18"/>
        <v>0</v>
      </c>
      <c r="B551" s="2"/>
      <c r="C551" s="8"/>
      <c r="D551" s="109" t="str">
        <f>IFERROR(INDEX([239]EQUIPOS!B:B,MATCH(B551,[239]EQUIPOS!A:A,0)),"")</f>
        <v/>
      </c>
      <c r="E551" s="78"/>
      <c r="F551" s="78"/>
      <c r="G551" s="78"/>
      <c r="H551" s="122"/>
      <c r="I551" s="123"/>
      <c r="J551" s="122"/>
      <c r="K551" s="113" t="str">
        <f>IFERROR(INDEX([239]EQUIPOS!C:C,MATCH(B551,[239]EQUIPOS!A:A,0)),"")</f>
        <v/>
      </c>
      <c r="L551" s="124"/>
      <c r="M551" s="115" t="str">
        <f>IFERROR(IF(D551="HERRAMIENTA MENOR (% M.O)",P590,INDEX([239]EQUIPOS!D:D,MATCH(B551,[239]EQUIPOS!A:A,0))),"")</f>
        <v/>
      </c>
      <c r="N551" s="125"/>
      <c r="O551" s="126"/>
      <c r="P551" s="127" t="str">
        <f>IFERROR(ROUND(IF(D551="HERRAMIENTA MENOR (% M.O)",N551%*M551,M551/N551),2)," ")</f>
        <v xml:space="preserve"> </v>
      </c>
      <c r="Q551" s="119"/>
      <c r="R551" s="4"/>
    </row>
    <row r="552" spans="1:18" ht="15.75" thickBot="1">
      <c r="A552" s="1">
        <f t="shared" si="18"/>
        <v>0</v>
      </c>
      <c r="B552" s="2"/>
      <c r="C552" s="8"/>
      <c r="D552" s="128" t="s">
        <v>24</v>
      </c>
      <c r="E552" s="129"/>
      <c r="F552" s="129"/>
      <c r="G552" s="129"/>
      <c r="H552" s="129"/>
      <c r="I552" s="129"/>
      <c r="J552" s="129"/>
      <c r="K552" s="129"/>
      <c r="L552" s="129"/>
      <c r="M552" s="129"/>
      <c r="N552" s="129"/>
      <c r="O552" s="130"/>
      <c r="P552" s="131">
        <f>SUM(P546:P551)</f>
        <v>192352.97</v>
      </c>
      <c r="Q552" s="132"/>
      <c r="R552" s="4"/>
    </row>
    <row r="553" spans="1:18" ht="15.75" thickBot="1">
      <c r="A553" s="1">
        <f t="shared" si="18"/>
        <v>0</v>
      </c>
      <c r="B553" s="2"/>
      <c r="C553" s="8"/>
      <c r="D553" s="74" t="s">
        <v>25</v>
      </c>
      <c r="E553" s="37"/>
      <c r="F553" s="37"/>
      <c r="G553" s="37"/>
      <c r="H553" s="37"/>
      <c r="I553" s="37"/>
      <c r="J553" s="37"/>
      <c r="K553" s="37"/>
      <c r="L553" s="37"/>
      <c r="M553" s="37"/>
      <c r="N553" s="37"/>
      <c r="O553" s="37"/>
      <c r="P553" s="99"/>
      <c r="Q553" s="100"/>
      <c r="R553" s="4"/>
    </row>
    <row r="554" spans="1:18">
      <c r="A554" s="1">
        <f t="shared" si="18"/>
        <v>0</v>
      </c>
      <c r="B554" s="2"/>
      <c r="C554" s="8"/>
      <c r="D554" s="101" t="s">
        <v>14</v>
      </c>
      <c r="E554" s="133"/>
      <c r="F554" s="133"/>
      <c r="G554" s="133"/>
      <c r="H554" s="133"/>
      <c r="I554" s="133"/>
      <c r="J554" s="133"/>
      <c r="K554" s="105"/>
      <c r="L554" s="134" t="s">
        <v>15</v>
      </c>
      <c r="M554" s="106" t="s">
        <v>16</v>
      </c>
      <c r="N554" s="104" t="s">
        <v>26</v>
      </c>
      <c r="O554" s="105"/>
      <c r="P554" s="107" t="s">
        <v>22</v>
      </c>
      <c r="Q554" s="108"/>
      <c r="R554" s="4"/>
    </row>
    <row r="555" spans="1:18">
      <c r="A555" s="1">
        <f t="shared" si="18"/>
        <v>0</v>
      </c>
      <c r="B555" s="2"/>
      <c r="C555" s="8"/>
      <c r="D555" s="109" t="str">
        <f>IFERROR(INDEX([239]MATERIALES!C:C,MATCH(B555,[239]MATERIALES!B:B,0)),"")</f>
        <v/>
      </c>
      <c r="E555" s="135"/>
      <c r="F555" s="135"/>
      <c r="G555" s="135"/>
      <c r="H555" s="135"/>
      <c r="I555" s="135"/>
      <c r="J555" s="135"/>
      <c r="K555" s="136"/>
      <c r="L555" s="137" t="str">
        <f>IFERROR(INDEX([239]MATERIALES!D:D,MATCH(B555,[239]MATERIALES!B:B,0)),"")</f>
        <v/>
      </c>
      <c r="M555" s="138"/>
      <c r="N555" s="139" t="str">
        <f>IFERROR(INDEX([239]MATERIALES!P:P,MATCH(B555,[239]MATERIALES!B:B,0)),"")</f>
        <v/>
      </c>
      <c r="O555" s="140"/>
      <c r="P555" s="118" t="str">
        <f>IFERROR(ROUND(N555*M555,2),"")</f>
        <v/>
      </c>
      <c r="Q555" s="119"/>
      <c r="R555" s="4"/>
    </row>
    <row r="556" spans="1:18">
      <c r="A556" s="1">
        <f t="shared" si="18"/>
        <v>0</v>
      </c>
      <c r="B556" s="2"/>
      <c r="C556" s="8"/>
      <c r="D556" s="109"/>
      <c r="E556" s="135"/>
      <c r="F556" s="135"/>
      <c r="G556" s="135"/>
      <c r="H556" s="135"/>
      <c r="I556" s="135"/>
      <c r="J556" s="135"/>
      <c r="K556" s="136"/>
      <c r="L556" s="137"/>
      <c r="M556" s="138"/>
      <c r="N556" s="139"/>
      <c r="O556" s="140"/>
      <c r="P556" s="118"/>
      <c r="Q556" s="119"/>
      <c r="R556" s="4"/>
    </row>
    <row r="557" spans="1:18">
      <c r="A557" s="1">
        <f t="shared" si="18"/>
        <v>0</v>
      </c>
      <c r="B557" s="2"/>
      <c r="C557" s="8"/>
      <c r="D557" s="109"/>
      <c r="E557" s="110"/>
      <c r="F557" s="110"/>
      <c r="G557" s="110"/>
      <c r="H557" s="110"/>
      <c r="I557" s="110"/>
      <c r="J557" s="110"/>
      <c r="K557" s="111"/>
      <c r="L557" s="137"/>
      <c r="M557" s="138"/>
      <c r="N557" s="139"/>
      <c r="O557" s="140"/>
      <c r="P557" s="118"/>
      <c r="Q557" s="119"/>
      <c r="R557" s="4"/>
    </row>
    <row r="558" spans="1:18">
      <c r="A558" s="1">
        <f t="shared" si="18"/>
        <v>0</v>
      </c>
      <c r="B558" s="2"/>
      <c r="C558" s="8"/>
      <c r="D558" s="109" t="str">
        <f>IFERROR(INDEX([239]MATERIALES!C:C,MATCH(B558,[239]MATERIALES!B:B,0)),"")</f>
        <v/>
      </c>
      <c r="E558" s="110"/>
      <c r="F558" s="110"/>
      <c r="G558" s="110"/>
      <c r="H558" s="110"/>
      <c r="I558" s="110"/>
      <c r="J558" s="110"/>
      <c r="K558" s="111"/>
      <c r="L558" s="137" t="str">
        <f>IFERROR(INDEX([239]MATERIALES!D:D,MATCH(B558,[239]MATERIALES!B:B,0)),"")</f>
        <v/>
      </c>
      <c r="M558" s="138"/>
      <c r="N558" s="139" t="str">
        <f>IFERROR(INDEX([239]MATERIALES!P:P,MATCH(B558,[239]MATERIALES!B:B,0)),"")</f>
        <v/>
      </c>
      <c r="O558" s="140"/>
      <c r="P558" s="118" t="str">
        <f>IFERROR(ROUND(N558*M558,2),"")</f>
        <v/>
      </c>
      <c r="Q558" s="119"/>
      <c r="R558" s="4"/>
    </row>
    <row r="559" spans="1:18">
      <c r="A559" s="1">
        <f t="shared" si="18"/>
        <v>0</v>
      </c>
      <c r="B559" s="2"/>
      <c r="C559" s="8"/>
      <c r="D559" s="109" t="str">
        <f>IFERROR(INDEX([239]MATERIALES!C:C,MATCH(B559,[239]MATERIALES!B:B,0)),"")</f>
        <v/>
      </c>
      <c r="E559" s="110"/>
      <c r="F559" s="110"/>
      <c r="G559" s="110"/>
      <c r="H559" s="110"/>
      <c r="I559" s="110"/>
      <c r="J559" s="110"/>
      <c r="K559" s="111"/>
      <c r="L559" s="137" t="str">
        <f>IFERROR(INDEX([239]MATERIALES!D:D,MATCH(B559,[239]MATERIALES!B:B,0)),"")</f>
        <v/>
      </c>
      <c r="M559" s="138"/>
      <c r="N559" s="139" t="str">
        <f>IFERROR(INDEX([239]MATERIALES!P:P,MATCH(B559,[239]MATERIALES!B:B,0)),"")</f>
        <v/>
      </c>
      <c r="O559" s="140"/>
      <c r="P559" s="118" t="str">
        <f t="shared" ref="P559:P568" si="19">IFERROR(ROUND(N559*M559,2),"")</f>
        <v/>
      </c>
      <c r="Q559" s="119"/>
      <c r="R559" s="4"/>
    </row>
    <row r="560" spans="1:18">
      <c r="A560" s="1">
        <f t="shared" si="18"/>
        <v>0</v>
      </c>
      <c r="B560" s="2"/>
      <c r="C560" s="8"/>
      <c r="D560" s="109" t="str">
        <f>IFERROR(INDEX([239]MATERIALES!C:C,MATCH(B560,[239]MATERIALES!B:B,0)),"")</f>
        <v/>
      </c>
      <c r="E560" s="110"/>
      <c r="F560" s="110"/>
      <c r="G560" s="110"/>
      <c r="H560" s="110"/>
      <c r="I560" s="110"/>
      <c r="J560" s="110"/>
      <c r="K560" s="111"/>
      <c r="L560" s="137" t="str">
        <f>IFERROR(INDEX([239]MATERIALES!D:D,MATCH(B560,[239]MATERIALES!B:B,0)),"")</f>
        <v/>
      </c>
      <c r="M560" s="138"/>
      <c r="N560" s="139" t="str">
        <f>IFERROR(INDEX([239]MATERIALES!P:P,MATCH(B560,[239]MATERIALES!B:B,0)),"")</f>
        <v/>
      </c>
      <c r="O560" s="140"/>
      <c r="P560" s="118" t="str">
        <f t="shared" si="19"/>
        <v/>
      </c>
      <c r="Q560" s="119"/>
      <c r="R560" s="4"/>
    </row>
    <row r="561" spans="1:18">
      <c r="A561" s="1">
        <f t="shared" si="18"/>
        <v>0</v>
      </c>
      <c r="B561" s="2"/>
      <c r="C561" s="8"/>
      <c r="D561" s="109" t="str">
        <f>IFERROR(INDEX([239]MATERIALES!C:C,MATCH(B561,[239]MATERIALES!B:B,0)),"")</f>
        <v/>
      </c>
      <c r="E561" s="110"/>
      <c r="F561" s="110"/>
      <c r="G561" s="110"/>
      <c r="H561" s="110"/>
      <c r="I561" s="110"/>
      <c r="J561" s="110"/>
      <c r="K561" s="111"/>
      <c r="L561" s="137" t="str">
        <f>IFERROR(INDEX([239]MATERIALES!D:D,MATCH(B561,[239]MATERIALES!B:B,0)),"")</f>
        <v/>
      </c>
      <c r="M561" s="138"/>
      <c r="N561" s="139" t="str">
        <f>IFERROR(INDEX([239]MATERIALES!P:P,MATCH(B561,[239]MATERIALES!B:B,0)),"")</f>
        <v/>
      </c>
      <c r="O561" s="140"/>
      <c r="P561" s="118" t="str">
        <f t="shared" si="19"/>
        <v/>
      </c>
      <c r="Q561" s="119"/>
      <c r="R561" s="4"/>
    </row>
    <row r="562" spans="1:18">
      <c r="A562" s="1">
        <f t="shared" si="18"/>
        <v>0</v>
      </c>
      <c r="B562" s="2"/>
      <c r="C562" s="8"/>
      <c r="D562" s="109" t="str">
        <f>IFERROR(INDEX([239]MATERIALES!C:C,MATCH(B562,[239]MATERIALES!B:B,0)),"")</f>
        <v/>
      </c>
      <c r="E562" s="110"/>
      <c r="F562" s="110"/>
      <c r="G562" s="110"/>
      <c r="H562" s="110"/>
      <c r="I562" s="110"/>
      <c r="J562" s="110"/>
      <c r="K562" s="111"/>
      <c r="L562" s="137" t="str">
        <f>IFERROR(INDEX([239]MATERIALES!D:D,MATCH(B562,[239]MATERIALES!B:B,0)),"")</f>
        <v/>
      </c>
      <c r="M562" s="138"/>
      <c r="N562" s="139" t="str">
        <f>IFERROR(INDEX([239]MATERIALES!P:P,MATCH(B562,[239]MATERIALES!B:B,0)),"")</f>
        <v/>
      </c>
      <c r="O562" s="140"/>
      <c r="P562" s="118" t="str">
        <f t="shared" si="19"/>
        <v/>
      </c>
      <c r="Q562" s="119"/>
      <c r="R562" s="4"/>
    </row>
    <row r="563" spans="1:18">
      <c r="A563" s="1">
        <f t="shared" si="18"/>
        <v>0</v>
      </c>
      <c r="B563" s="2"/>
      <c r="C563" s="8"/>
      <c r="D563" s="109" t="str">
        <f>IFERROR(INDEX([239]MATERIALES!C:C,MATCH(B563,[239]MATERIALES!B:B,0)),"")</f>
        <v/>
      </c>
      <c r="E563" s="110"/>
      <c r="F563" s="110"/>
      <c r="G563" s="110"/>
      <c r="H563" s="110"/>
      <c r="I563" s="110"/>
      <c r="J563" s="110"/>
      <c r="K563" s="111"/>
      <c r="L563" s="137" t="str">
        <f>IFERROR(INDEX([239]MATERIALES!D:D,MATCH(B563,[239]MATERIALES!B:B,0)),"")</f>
        <v/>
      </c>
      <c r="M563" s="138"/>
      <c r="N563" s="139" t="str">
        <f>IFERROR(INDEX([239]MATERIALES!P:P,MATCH(B563,[239]MATERIALES!B:B,0)),"")</f>
        <v/>
      </c>
      <c r="O563" s="140"/>
      <c r="P563" s="118" t="str">
        <f t="shared" si="19"/>
        <v/>
      </c>
      <c r="Q563" s="119"/>
      <c r="R563" s="4"/>
    </row>
    <row r="564" spans="1:18">
      <c r="A564" s="1">
        <f t="shared" si="18"/>
        <v>0</v>
      </c>
      <c r="B564" s="2"/>
      <c r="C564" s="8"/>
      <c r="D564" s="109" t="str">
        <f>IFERROR(INDEX([239]MATERIALES!C:C,MATCH(B564,[239]MATERIALES!B:B,0)),"")</f>
        <v/>
      </c>
      <c r="E564" s="110"/>
      <c r="F564" s="110"/>
      <c r="G564" s="110"/>
      <c r="H564" s="110"/>
      <c r="I564" s="110"/>
      <c r="J564" s="110"/>
      <c r="K564" s="111"/>
      <c r="L564" s="137" t="str">
        <f>IFERROR(INDEX([239]MATERIALES!D:D,MATCH(B564,[239]MATERIALES!B:B,0)),"")</f>
        <v/>
      </c>
      <c r="M564" s="138"/>
      <c r="N564" s="139" t="str">
        <f>IFERROR(INDEX([239]MATERIALES!P:P,MATCH(B564,[239]MATERIALES!B:B,0)),"")</f>
        <v/>
      </c>
      <c r="O564" s="140"/>
      <c r="P564" s="118" t="str">
        <f t="shared" si="19"/>
        <v/>
      </c>
      <c r="Q564" s="119"/>
      <c r="R564" s="4"/>
    </row>
    <row r="565" spans="1:18">
      <c r="A565" s="1">
        <f t="shared" si="18"/>
        <v>0</v>
      </c>
      <c r="B565" s="2"/>
      <c r="C565" s="8"/>
      <c r="D565" s="109" t="str">
        <f>IFERROR(INDEX([239]MATERIALES!C:C,MATCH(B565,[239]MATERIALES!B:B,0)),"")</f>
        <v/>
      </c>
      <c r="E565" s="110"/>
      <c r="F565" s="110"/>
      <c r="G565" s="110"/>
      <c r="H565" s="110"/>
      <c r="I565" s="110"/>
      <c r="J565" s="110"/>
      <c r="K565" s="111"/>
      <c r="L565" s="137" t="str">
        <f>IFERROR(INDEX([239]MATERIALES!D:D,MATCH(B565,[239]MATERIALES!B:B,0)),"")</f>
        <v/>
      </c>
      <c r="M565" s="138"/>
      <c r="N565" s="139" t="str">
        <f>IFERROR(INDEX([239]MATERIALES!P:P,MATCH(B565,[239]MATERIALES!B:B,0)),"")</f>
        <v/>
      </c>
      <c r="O565" s="140"/>
      <c r="P565" s="118" t="str">
        <f t="shared" si="19"/>
        <v/>
      </c>
      <c r="Q565" s="119"/>
      <c r="R565" s="4"/>
    </row>
    <row r="566" spans="1:18">
      <c r="A566" s="1">
        <f t="shared" si="18"/>
        <v>0</v>
      </c>
      <c r="B566" s="2"/>
      <c r="C566" s="8"/>
      <c r="D566" s="109" t="str">
        <f>IFERROR(INDEX([239]MATERIALES!C:C,MATCH(B566,[239]MATERIALES!B:B,0)),"")</f>
        <v/>
      </c>
      <c r="E566" s="110"/>
      <c r="F566" s="110"/>
      <c r="G566" s="110"/>
      <c r="H566" s="110"/>
      <c r="I566" s="110"/>
      <c r="J566" s="110"/>
      <c r="K566" s="111"/>
      <c r="L566" s="137" t="str">
        <f>IFERROR(INDEX([239]MATERIALES!D:D,MATCH(B566,[239]MATERIALES!B:B,0)),"")</f>
        <v/>
      </c>
      <c r="M566" s="138"/>
      <c r="N566" s="139" t="str">
        <f>IFERROR(INDEX([239]MATERIALES!P:P,MATCH(B566,[239]MATERIALES!B:B,0)),"")</f>
        <v/>
      </c>
      <c r="O566" s="140"/>
      <c r="P566" s="118" t="str">
        <f t="shared" si="19"/>
        <v/>
      </c>
      <c r="Q566" s="119"/>
      <c r="R566" s="4"/>
    </row>
    <row r="567" spans="1:18">
      <c r="A567" s="1">
        <f t="shared" si="18"/>
        <v>0</v>
      </c>
      <c r="B567" s="2"/>
      <c r="C567" s="8"/>
      <c r="D567" s="109" t="str">
        <f>IFERROR(INDEX([239]MATERIALES!C:C,MATCH(B567,[239]MATERIALES!B:B,0)),"")</f>
        <v/>
      </c>
      <c r="E567" s="110"/>
      <c r="F567" s="110"/>
      <c r="G567" s="110"/>
      <c r="H567" s="110"/>
      <c r="I567" s="110"/>
      <c r="J567" s="110"/>
      <c r="K567" s="111"/>
      <c r="L567" s="137" t="str">
        <f>IFERROR(INDEX([239]MATERIALES!D:D,MATCH(B567,[239]MATERIALES!B:B,0)),"")</f>
        <v/>
      </c>
      <c r="M567" s="138"/>
      <c r="N567" s="139" t="str">
        <f>IFERROR(INDEX([239]MATERIALES!P:P,MATCH(B567,[239]MATERIALES!B:B,0)),"")</f>
        <v/>
      </c>
      <c r="O567" s="140"/>
      <c r="P567" s="118" t="str">
        <f t="shared" si="19"/>
        <v/>
      </c>
      <c r="Q567" s="119"/>
      <c r="R567" s="4"/>
    </row>
    <row r="568" spans="1:18">
      <c r="A568" s="1">
        <f t="shared" si="18"/>
        <v>0</v>
      </c>
      <c r="B568" s="2"/>
      <c r="C568" s="8"/>
      <c r="D568" s="109" t="str">
        <f>IFERROR(INDEX([239]MATERIALES!C:C,MATCH(B568,[239]MATERIALES!B:B,0)),"")</f>
        <v/>
      </c>
      <c r="E568" s="110"/>
      <c r="F568" s="110"/>
      <c r="G568" s="110"/>
      <c r="H568" s="110"/>
      <c r="I568" s="110"/>
      <c r="J568" s="110"/>
      <c r="K568" s="111"/>
      <c r="L568" s="137" t="str">
        <f>IFERROR(INDEX([239]MATERIALES!D:D,MATCH(B568,[239]MATERIALES!B:B,0)),"")</f>
        <v/>
      </c>
      <c r="M568" s="138"/>
      <c r="N568" s="139" t="str">
        <f>IFERROR(INDEX([239]MATERIALES!P:P,MATCH(B568,[239]MATERIALES!B:B,0)),"")</f>
        <v/>
      </c>
      <c r="O568" s="140"/>
      <c r="P568" s="118" t="str">
        <f t="shared" si="19"/>
        <v/>
      </c>
      <c r="Q568" s="119"/>
      <c r="R568" s="4"/>
    </row>
    <row r="569" spans="1:18" ht="15.75" thickBot="1">
      <c r="A569" s="1">
        <f t="shared" si="18"/>
        <v>0</v>
      </c>
      <c r="B569" s="2"/>
      <c r="C569" s="8"/>
      <c r="D569" s="109" t="s">
        <v>28</v>
      </c>
      <c r="E569" s="110"/>
      <c r="F569" s="110"/>
      <c r="G569" s="110"/>
      <c r="H569" s="110"/>
      <c r="I569" s="110"/>
      <c r="J569" s="110"/>
      <c r="K569" s="111"/>
      <c r="L569" s="137" t="s">
        <v>29</v>
      </c>
      <c r="M569" s="138">
        <v>0.05</v>
      </c>
      <c r="N569" s="139">
        <f>SUM(P555:P568)</f>
        <v>0</v>
      </c>
      <c r="O569" s="140"/>
      <c r="P569" s="118">
        <f>ROUND(N569*M569,2)</f>
        <v>0</v>
      </c>
      <c r="Q569" s="119"/>
      <c r="R569" s="4"/>
    </row>
    <row r="570" spans="1:18" ht="15.75" thickBot="1">
      <c r="A570" s="1">
        <f t="shared" si="18"/>
        <v>0</v>
      </c>
      <c r="B570" s="2"/>
      <c r="C570" s="8"/>
      <c r="D570" s="128" t="s">
        <v>24</v>
      </c>
      <c r="E570" s="129"/>
      <c r="F570" s="129"/>
      <c r="G570" s="129"/>
      <c r="H570" s="129"/>
      <c r="I570" s="129"/>
      <c r="J570" s="129"/>
      <c r="K570" s="129"/>
      <c r="L570" s="129"/>
      <c r="M570" s="129"/>
      <c r="N570" s="129"/>
      <c r="O570" s="130"/>
      <c r="P570" s="131">
        <f>SUM(P555:P569)</f>
        <v>0</v>
      </c>
      <c r="Q570" s="119"/>
      <c r="R570" s="4"/>
    </row>
    <row r="571" spans="1:18" ht="15.75" thickBot="1">
      <c r="A571" s="1">
        <f t="shared" si="18"/>
        <v>0</v>
      </c>
      <c r="B571" s="2"/>
      <c r="C571" s="8"/>
      <c r="D571" s="74" t="s">
        <v>30</v>
      </c>
      <c r="E571" s="37"/>
      <c r="F571" s="37"/>
      <c r="G571" s="37"/>
      <c r="H571" s="37"/>
      <c r="I571" s="37"/>
      <c r="J571" s="37"/>
      <c r="K571" s="37"/>
      <c r="L571" s="37"/>
      <c r="M571" s="37"/>
      <c r="N571" s="37"/>
      <c r="O571" s="37"/>
      <c r="P571" s="99"/>
      <c r="Q571" s="100"/>
      <c r="R571" s="4"/>
    </row>
    <row r="572" spans="1:18">
      <c r="A572" s="1">
        <f t="shared" si="18"/>
        <v>0</v>
      </c>
      <c r="B572" s="2"/>
      <c r="C572" s="8"/>
      <c r="D572" s="101" t="s">
        <v>31</v>
      </c>
      <c r="E572" s="133"/>
      <c r="F572" s="133"/>
      <c r="G572" s="133"/>
      <c r="H572" s="133"/>
      <c r="I572" s="133"/>
      <c r="J572" s="133"/>
      <c r="K572" s="106" t="s">
        <v>32</v>
      </c>
      <c r="L572" s="141" t="s">
        <v>33</v>
      </c>
      <c r="M572" s="106" t="s">
        <v>34</v>
      </c>
      <c r="N572" s="104" t="s">
        <v>20</v>
      </c>
      <c r="O572" s="105"/>
      <c r="P572" s="107" t="s">
        <v>22</v>
      </c>
      <c r="Q572" s="108"/>
      <c r="R572" s="4"/>
    </row>
    <row r="573" spans="1:18">
      <c r="A573" s="1">
        <f t="shared" si="18"/>
        <v>0</v>
      </c>
      <c r="B573" s="2" t="s">
        <v>259</v>
      </c>
      <c r="C573" s="8"/>
      <c r="D573" s="142" t="str">
        <f>IFERROR(INDEX([239]TRANSPORTES!B:B,MATCH(B573,[239]TRANSPORTES!A:A,0)),"")</f>
        <v>ESCOMBROS / SOBRANTES HASTA 5 KM</v>
      </c>
      <c r="E573" s="143"/>
      <c r="F573" s="143"/>
      <c r="G573" s="143"/>
      <c r="H573" s="143"/>
      <c r="I573" s="143"/>
      <c r="J573" s="143"/>
      <c r="K573" s="220">
        <v>1.3</v>
      </c>
      <c r="L573" s="145">
        <v>5</v>
      </c>
      <c r="M573" s="146" t="str">
        <f>IFERROR(INDEX([239]TRANSPORTES!C:C,MATCH(B573,[239]TRANSPORTES!A:A,0)),"")</f>
        <v>M3/KM</v>
      </c>
      <c r="N573" s="139">
        <f>IFERROR(INDEX([239]TRANSPORTES!D:D,MATCH(B573,[239]TRANSPORTES!A:A,0)),"")</f>
        <v>2300</v>
      </c>
      <c r="O573" s="147"/>
      <c r="P573" s="148">
        <f>IFERROR(ROUND(K573*N573*L573,2),"")</f>
        <v>14950</v>
      </c>
      <c r="Q573" s="119"/>
      <c r="R573" s="4"/>
    </row>
    <row r="574" spans="1:18">
      <c r="A574" s="1">
        <f t="shared" si="18"/>
        <v>0</v>
      </c>
      <c r="B574" s="2"/>
      <c r="C574" s="8"/>
      <c r="D574" s="142" t="str">
        <f>IFERROR(INDEX([239]TRANSPORTES!B:B,MATCH(B574,[239]TRANSPORTES!A:A,0)),"")</f>
        <v/>
      </c>
      <c r="E574" s="143"/>
      <c r="F574" s="143"/>
      <c r="G574" s="143"/>
      <c r="H574" s="143"/>
      <c r="I574" s="143"/>
      <c r="J574" s="143"/>
      <c r="K574" s="144"/>
      <c r="L574" s="145"/>
      <c r="M574" s="146" t="str">
        <f>IFERROR(INDEX([239]TRANSPORTES!C:C,MATCH(B574,[239]TRANSPORTES!A:A,0)),"")</f>
        <v/>
      </c>
      <c r="N574" s="139" t="str">
        <f>IFERROR(INDEX([239]TRANSPORTES!D:D,MATCH(B574,[239]TRANSPORTES!A:A,0)),"")</f>
        <v/>
      </c>
      <c r="O574" s="147"/>
      <c r="P574" s="148" t="str">
        <f>IFERROR(ROUND(K574*N574*L574,2),"")</f>
        <v/>
      </c>
      <c r="Q574" s="119"/>
      <c r="R574" s="4"/>
    </row>
    <row r="575" spans="1:18">
      <c r="A575" s="1">
        <f t="shared" si="18"/>
        <v>0</v>
      </c>
      <c r="B575" s="2"/>
      <c r="C575" s="8"/>
      <c r="D575" s="142" t="str">
        <f>IFERROR(INDEX([239]TRANSPORTES!B:B,MATCH(B575,[239]TRANSPORTES!A:A,0)),"")</f>
        <v/>
      </c>
      <c r="E575" s="143"/>
      <c r="F575" s="143"/>
      <c r="G575" s="143"/>
      <c r="H575" s="143"/>
      <c r="I575" s="143"/>
      <c r="J575" s="143"/>
      <c r="K575" s="144"/>
      <c r="L575" s="145"/>
      <c r="M575" s="146" t="str">
        <f>IFERROR(INDEX([239]TRANSPORTES!C:C,MATCH(B575,[239]TRANSPORTES!A:A,0)),"")</f>
        <v/>
      </c>
      <c r="N575" s="139" t="str">
        <f>IFERROR(INDEX([239]TRANSPORTES!D:D,MATCH(B575,[239]TRANSPORTES!A:A,0)),"")</f>
        <v/>
      </c>
      <c r="O575" s="147"/>
      <c r="P575" s="148" t="str">
        <f>IFERROR(ROUND(K575*N575*L575,2),"")</f>
        <v/>
      </c>
      <c r="Q575" s="119"/>
      <c r="R575" s="4"/>
    </row>
    <row r="576" spans="1:18" ht="15.75" thickBot="1">
      <c r="A576" s="1">
        <f t="shared" si="18"/>
        <v>0</v>
      </c>
      <c r="B576" s="2"/>
      <c r="C576" s="8"/>
      <c r="D576" s="142" t="str">
        <f>IFERROR(INDEX([239]TRANSPORTES!B:B,MATCH(B576,[239]TRANSPORTES!A:A,0)),"")</f>
        <v/>
      </c>
      <c r="E576" s="143"/>
      <c r="F576" s="143"/>
      <c r="G576" s="143"/>
      <c r="H576" s="143"/>
      <c r="I576" s="143"/>
      <c r="J576" s="143"/>
      <c r="K576" s="149"/>
      <c r="L576" s="150"/>
      <c r="M576" s="146" t="str">
        <f>IFERROR(INDEX([239]TRANSPORTES!C:C,MATCH(B576,[239]TRANSPORTES!A:A,0)),"")</f>
        <v/>
      </c>
      <c r="N576" s="139" t="str">
        <f>IFERROR(INDEX([239]TRANSPORTES!D:D,MATCH(B576,[239]TRANSPORTES!A:A,0)),"")</f>
        <v/>
      </c>
      <c r="O576" s="147"/>
      <c r="P576" s="148" t="str">
        <f>IFERROR(ROUND(K576*N576*L576,2),"")</f>
        <v/>
      </c>
      <c r="Q576" s="119"/>
      <c r="R576" s="4"/>
    </row>
    <row r="577" spans="1:18" ht="15.75" thickBot="1">
      <c r="A577" s="1">
        <f t="shared" si="18"/>
        <v>0</v>
      </c>
      <c r="B577" s="2"/>
      <c r="C577" s="8"/>
      <c r="D577" s="128" t="s">
        <v>24</v>
      </c>
      <c r="E577" s="129"/>
      <c r="F577" s="129"/>
      <c r="G577" s="129"/>
      <c r="H577" s="129"/>
      <c r="I577" s="129"/>
      <c r="J577" s="129"/>
      <c r="K577" s="129"/>
      <c r="L577" s="129"/>
      <c r="M577" s="129"/>
      <c r="N577" s="129"/>
      <c r="O577" s="130"/>
      <c r="P577" s="151">
        <f>SUM(P573:P576)</f>
        <v>14950</v>
      </c>
      <c r="Q577" s="132"/>
      <c r="R577" s="4"/>
    </row>
    <row r="578" spans="1:18" ht="15.75" thickBot="1">
      <c r="A578" s="1">
        <f t="shared" si="18"/>
        <v>0</v>
      </c>
      <c r="B578" s="2"/>
      <c r="C578" s="8"/>
      <c r="D578" s="74" t="s">
        <v>36</v>
      </c>
      <c r="E578" s="37"/>
      <c r="F578" s="37"/>
      <c r="G578" s="37"/>
      <c r="H578" s="37"/>
      <c r="I578" s="37"/>
      <c r="J578" s="37"/>
      <c r="K578" s="37"/>
      <c r="L578" s="37"/>
      <c r="M578" s="37"/>
      <c r="N578" s="37"/>
      <c r="O578" s="37"/>
      <c r="P578" s="99"/>
      <c r="Q578" s="100"/>
      <c r="R578" s="4"/>
    </row>
    <row r="579" spans="1:18" ht="30">
      <c r="A579" s="1">
        <f t="shared" si="18"/>
        <v>0</v>
      </c>
      <c r="B579" s="2"/>
      <c r="C579" s="8"/>
      <c r="D579" s="101" t="s">
        <v>37</v>
      </c>
      <c r="E579" s="133"/>
      <c r="F579" s="133"/>
      <c r="G579" s="133"/>
      <c r="H579" s="133"/>
      <c r="I579" s="133"/>
      <c r="J579" s="133"/>
      <c r="K579" s="106" t="s">
        <v>38</v>
      </c>
      <c r="L579" s="152" t="s">
        <v>39</v>
      </c>
      <c r="M579" s="153" t="s">
        <v>40</v>
      </c>
      <c r="N579" s="104" t="s">
        <v>21</v>
      </c>
      <c r="O579" s="105"/>
      <c r="P579" s="154" t="s">
        <v>22</v>
      </c>
      <c r="Q579" s="155"/>
      <c r="R579" s="4"/>
    </row>
    <row r="580" spans="1:18">
      <c r="A580" s="1">
        <f t="shared" si="18"/>
        <v>0</v>
      </c>
      <c r="B580" s="2" t="s">
        <v>81</v>
      </c>
      <c r="C580" s="8"/>
      <c r="D580" s="109" t="str">
        <f>IFERROR(INDEX('[239]MANO DE OBRA'!B:B,MATCH(B580,'[239]MANO DE OBRA'!A:A,0)),"")</f>
        <v>AYUDANTE (1)</v>
      </c>
      <c r="E580" s="110"/>
      <c r="F580" s="110"/>
      <c r="G580" s="110"/>
      <c r="H580" s="110"/>
      <c r="I580" s="110"/>
      <c r="J580" s="111"/>
      <c r="K580" s="156">
        <f>IFERROR(INDEX('[239]MANO DE OBRA'!D:D,MATCH(B580,'[239]MANO DE OBRA'!A:A,0)),"")</f>
        <v>71433</v>
      </c>
      <c r="L580" s="157">
        <f>+IF(D580&lt;&gt;"",'[239]FACTOR PRESTACIONAL'!$E$21," ")</f>
        <v>1.95</v>
      </c>
      <c r="M580" s="158">
        <f>IFERROR(K580*L580," ")</f>
        <v>139294.35</v>
      </c>
      <c r="N580" s="159">
        <v>1.6666666666666667</v>
      </c>
      <c r="O580" s="160"/>
      <c r="P580" s="161">
        <f>IFERROR(ROUND(M580/N580,2)," ")</f>
        <v>83576.61</v>
      </c>
      <c r="Q580" s="162"/>
      <c r="R580" s="4"/>
    </row>
    <row r="581" spans="1:18">
      <c r="A581" s="1">
        <f t="shared" si="18"/>
        <v>0</v>
      </c>
      <c r="B581" s="2" t="s">
        <v>41</v>
      </c>
      <c r="C581" s="8"/>
      <c r="D581" s="109" t="str">
        <f>IFERROR(INDEX('[239]MANO DE OBRA'!B:B,MATCH(B581,'[239]MANO DE OBRA'!A:A,0)),"")</f>
        <v>OFICIAL</v>
      </c>
      <c r="E581" s="110"/>
      <c r="F581" s="110"/>
      <c r="G581" s="110"/>
      <c r="H581" s="110"/>
      <c r="I581" s="110"/>
      <c r="J581" s="111"/>
      <c r="K581" s="156">
        <f>IFERROR(INDEX('[239]MANO DE OBRA'!D:D,MATCH(B581,'[239]MANO DE OBRA'!A:A,0)),"")</f>
        <v>95930</v>
      </c>
      <c r="L581" s="157">
        <f>+IF(D581&lt;&gt;"",'[239]FACTOR PRESTACIONAL'!$E$21," ")</f>
        <v>1.95</v>
      </c>
      <c r="M581" s="158">
        <f>IFERROR(K581*L581," ")</f>
        <v>187063.5</v>
      </c>
      <c r="N581" s="159">
        <v>1.6666666666666667</v>
      </c>
      <c r="O581" s="160"/>
      <c r="P581" s="161">
        <f>IFERROR(ROUND(M581/N581,2)," ")</f>
        <v>112238.1</v>
      </c>
      <c r="Q581" s="162"/>
      <c r="R581" s="4"/>
    </row>
    <row r="582" spans="1:18">
      <c r="A582" s="1">
        <f t="shared" si="18"/>
        <v>0</v>
      </c>
      <c r="B582" s="2"/>
      <c r="C582" s="8"/>
      <c r="D582" s="109" t="str">
        <f>IFERROR(INDEX('[239]MANO DE OBRA'!B:B,MATCH(B582,'[239]MANO DE OBRA'!A:A,0)),"")</f>
        <v/>
      </c>
      <c r="E582" s="110"/>
      <c r="F582" s="110"/>
      <c r="G582" s="110"/>
      <c r="H582" s="110"/>
      <c r="I582" s="110"/>
      <c r="J582" s="111"/>
      <c r="K582" s="156" t="str">
        <f>IFERROR(INDEX('[239]MANO DE OBRA'!D:D,MATCH(B582,'[239]MANO DE OBRA'!A:A,0)),"")</f>
        <v/>
      </c>
      <c r="L582" s="157" t="str">
        <f>+IF(D582&lt;&gt;"",'[239]FACTOR PRESTACIONAL'!$E$21," ")</f>
        <v xml:space="preserve"> </v>
      </c>
      <c r="M582" s="158" t="str">
        <f>IFERROR(K582*L582," ")</f>
        <v xml:space="preserve"> </v>
      </c>
      <c r="N582" s="159"/>
      <c r="O582" s="160"/>
      <c r="P582" s="161" t="str">
        <f>IFERROR(ROUND(M582/N582,2)," ")</f>
        <v xml:space="preserve"> </v>
      </c>
      <c r="Q582" s="162"/>
      <c r="R582" s="4"/>
    </row>
    <row r="583" spans="1:18">
      <c r="A583" s="1">
        <f t="shared" si="18"/>
        <v>0</v>
      </c>
      <c r="B583" s="2"/>
      <c r="C583" s="8"/>
      <c r="D583" s="109" t="str">
        <f>IFERROR(INDEX('[239]MANO DE OBRA'!B:B,MATCH(B583,'[239]MANO DE OBRA'!A:A,0)),"")</f>
        <v/>
      </c>
      <c r="E583" s="110"/>
      <c r="F583" s="110"/>
      <c r="G583" s="110"/>
      <c r="H583" s="110"/>
      <c r="I583" s="110"/>
      <c r="J583" s="111"/>
      <c r="K583" s="156" t="str">
        <f>IFERROR(INDEX('[239]MANO DE OBRA'!D:D,MATCH(B583,'[239]MANO DE OBRA'!A:A,0)),"")</f>
        <v/>
      </c>
      <c r="L583" s="157" t="str">
        <f>+IF(D583&lt;&gt;"",'[239]FACTOR PRESTACIONAL'!$E$21," ")</f>
        <v xml:space="preserve"> </v>
      </c>
      <c r="M583" s="158" t="str">
        <f>IFERROR(K583*L583," ")</f>
        <v xml:space="preserve"> </v>
      </c>
      <c r="N583" s="159"/>
      <c r="O583" s="160"/>
      <c r="P583" s="161" t="str">
        <f>IFERROR(ROUND(M583/N583,2)," ")</f>
        <v xml:space="preserve"> </v>
      </c>
      <c r="Q583" s="162"/>
      <c r="R583" s="4"/>
    </row>
    <row r="584" spans="1:18" ht="15.75" thickBot="1">
      <c r="A584" s="1">
        <f t="shared" si="18"/>
        <v>0</v>
      </c>
      <c r="B584" s="2"/>
      <c r="C584" s="8"/>
      <c r="D584" s="109" t="str">
        <f>IFERROR(INDEX('[239]MANO DE OBRA'!B:B,MATCH(B584,'[239]MANO DE OBRA'!A:A,0)),"")</f>
        <v/>
      </c>
      <c r="E584" s="110"/>
      <c r="F584" s="110"/>
      <c r="G584" s="110"/>
      <c r="H584" s="110"/>
      <c r="I584" s="110"/>
      <c r="J584" s="111"/>
      <c r="K584" s="156" t="str">
        <f>IFERROR(INDEX('[239]MANO DE OBRA'!D:D,MATCH(B584,'[239]MANO DE OBRA'!A:A,0)),"")</f>
        <v/>
      </c>
      <c r="L584" s="157" t="str">
        <f>+IF(D584&lt;&gt;"",'[239]FACTOR PRESTACIONAL'!$E$21," ")</f>
        <v xml:space="preserve"> </v>
      </c>
      <c r="M584" s="158" t="str">
        <f>IFERROR(K584*L584," ")</f>
        <v xml:space="preserve"> </v>
      </c>
      <c r="N584" s="159"/>
      <c r="O584" s="160"/>
      <c r="P584" s="161" t="str">
        <f>IFERROR(ROUND(M584/N584,2)," ")</f>
        <v xml:space="preserve"> </v>
      </c>
      <c r="Q584" s="119"/>
      <c r="R584" s="4"/>
    </row>
    <row r="585" spans="1:18" ht="15.75" thickBot="1">
      <c r="A585" s="1">
        <f t="shared" si="18"/>
        <v>0</v>
      </c>
      <c r="B585" s="2"/>
      <c r="C585" s="8"/>
      <c r="D585" s="128" t="s">
        <v>24</v>
      </c>
      <c r="E585" s="129"/>
      <c r="F585" s="129"/>
      <c r="G585" s="129"/>
      <c r="H585" s="129"/>
      <c r="I585" s="129"/>
      <c r="J585" s="129"/>
      <c r="K585" s="129"/>
      <c r="L585" s="129"/>
      <c r="M585" s="129"/>
      <c r="N585" s="129"/>
      <c r="O585" s="130"/>
      <c r="P585" s="131">
        <f>SUM(P580:P584)</f>
        <v>195814.71000000002</v>
      </c>
      <c r="Q585" s="119"/>
      <c r="R585" s="4"/>
    </row>
    <row r="586" spans="1:18" ht="15.75" thickBot="1">
      <c r="A586" s="1">
        <f t="shared" si="18"/>
        <v>0</v>
      </c>
      <c r="B586" s="2"/>
      <c r="C586" s="8"/>
      <c r="D586" s="87"/>
      <c r="E586" s="20"/>
      <c r="F586" s="20"/>
      <c r="G586" s="20"/>
      <c r="H586" s="20"/>
      <c r="I586" s="20"/>
      <c r="J586" s="20"/>
      <c r="K586" s="20"/>
      <c r="L586" s="20"/>
      <c r="M586" s="20"/>
      <c r="N586" s="20"/>
      <c r="O586" s="20"/>
      <c r="P586" s="88"/>
      <c r="Q586" s="13"/>
      <c r="R586" s="4"/>
    </row>
    <row r="587" spans="1:18" ht="15.75" thickBot="1">
      <c r="A587" s="1"/>
      <c r="B587" s="2"/>
      <c r="C587" s="8"/>
      <c r="D587" s="163" t="s">
        <v>43</v>
      </c>
      <c r="E587" s="164"/>
      <c r="F587" s="164"/>
      <c r="G587" s="164"/>
      <c r="H587" s="164"/>
      <c r="I587" s="164"/>
      <c r="J587" s="164"/>
      <c r="K587" s="164"/>
      <c r="L587" s="164"/>
      <c r="M587" s="164"/>
      <c r="N587" s="164"/>
      <c r="O587" s="165"/>
      <c r="P587" s="166">
        <f>+P585+P577+P570+P552</f>
        <v>403117.68000000005</v>
      </c>
      <c r="Q587" s="167"/>
      <c r="R587" s="168"/>
    </row>
    <row r="588" spans="1:18" ht="15.75" thickBot="1">
      <c r="A588" s="1"/>
      <c r="B588" s="2"/>
      <c r="C588" s="8"/>
      <c r="D588" s="169"/>
      <c r="E588" s="170"/>
      <c r="F588" s="170"/>
      <c r="G588" s="170"/>
      <c r="H588" s="170"/>
      <c r="I588" s="170"/>
      <c r="J588" s="170"/>
      <c r="K588" s="170"/>
      <c r="L588" s="170"/>
      <c r="M588" s="170"/>
      <c r="N588" s="170"/>
      <c r="O588" s="170"/>
      <c r="P588" s="171"/>
      <c r="Q588" s="100"/>
      <c r="R588" s="4"/>
    </row>
    <row r="589" spans="1:18">
      <c r="A589" s="1"/>
      <c r="B589" s="2"/>
      <c r="C589" s="8"/>
      <c r="D589" s="172" t="s">
        <v>73</v>
      </c>
      <c r="E589" s="173"/>
      <c r="F589" s="173"/>
      <c r="G589" s="173"/>
      <c r="H589" s="173"/>
      <c r="I589" s="173"/>
      <c r="J589" s="173"/>
      <c r="K589" s="141"/>
      <c r="L589" s="174"/>
      <c r="M589" s="153" t="s">
        <v>44</v>
      </c>
      <c r="N589" s="175" t="s">
        <v>45</v>
      </c>
      <c r="O589" s="176"/>
      <c r="P589" s="154"/>
      <c r="Q589" s="155"/>
      <c r="R589" s="4"/>
    </row>
    <row r="590" spans="1:18">
      <c r="A590" s="1"/>
      <c r="B590" s="2"/>
      <c r="C590" s="8"/>
      <c r="D590" s="109" t="s">
        <v>65</v>
      </c>
      <c r="E590" s="110"/>
      <c r="F590" s="110"/>
      <c r="G590" s="110"/>
      <c r="H590" s="110"/>
      <c r="I590" s="110"/>
      <c r="J590" s="110"/>
      <c r="K590" s="177"/>
      <c r="L590" s="178"/>
      <c r="M590" s="179">
        <f>+[239]INICIO!$F$10</f>
        <v>0.24</v>
      </c>
      <c r="N590" s="180">
        <f>ROUND(M590*P587,2)</f>
        <v>96748.24</v>
      </c>
      <c r="O590" s="181"/>
      <c r="P590" s="182"/>
      <c r="Q590" s="119"/>
      <c r="R590" s="4"/>
    </row>
    <row r="591" spans="1:18">
      <c r="A591" s="1"/>
      <c r="B591" s="2"/>
      <c r="C591" s="8"/>
      <c r="D591" s="183" t="s">
        <v>67</v>
      </c>
      <c r="E591" s="61"/>
      <c r="F591" s="61"/>
      <c r="G591" s="61"/>
      <c r="H591" s="61"/>
      <c r="I591" s="61"/>
      <c r="J591" s="61"/>
      <c r="K591" s="177"/>
      <c r="L591" s="178"/>
      <c r="M591" s="179">
        <f>+[239]INICIO!$F$11</f>
        <v>0.02</v>
      </c>
      <c r="N591" s="180">
        <f>ROUND(M591*P587,2)</f>
        <v>8062.35</v>
      </c>
      <c r="O591" s="181"/>
      <c r="P591" s="182"/>
      <c r="Q591" s="119"/>
      <c r="R591" s="4"/>
    </row>
    <row r="592" spans="1:18" ht="15.75" thickBot="1">
      <c r="A592" s="1"/>
      <c r="B592" s="2"/>
      <c r="C592" s="8"/>
      <c r="D592" s="77" t="s">
        <v>69</v>
      </c>
      <c r="E592" s="78"/>
      <c r="F592" s="78"/>
      <c r="G592" s="78"/>
      <c r="H592" s="78"/>
      <c r="I592" s="78"/>
      <c r="J592" s="78"/>
      <c r="K592" s="184"/>
      <c r="L592" s="185"/>
      <c r="M592" s="179">
        <f>+[239]INICIO!$F$12</f>
        <v>7.0000000000000007E-2</v>
      </c>
      <c r="N592" s="180">
        <f>ROUND(M592*P587,2)</f>
        <v>28218.240000000002</v>
      </c>
      <c r="O592" s="181"/>
      <c r="P592" s="182"/>
      <c r="Q592" s="119"/>
      <c r="R592" s="4"/>
    </row>
    <row r="593" spans="1:18" ht="15.75" thickBot="1">
      <c r="A593" s="1"/>
      <c r="B593" s="2"/>
      <c r="C593" s="8"/>
      <c r="D593" s="128"/>
      <c r="E593" s="129"/>
      <c r="F593" s="129"/>
      <c r="G593" s="129"/>
      <c r="H593" s="129"/>
      <c r="I593" s="129"/>
      <c r="J593" s="129"/>
      <c r="K593" s="129"/>
      <c r="L593" s="129"/>
      <c r="M593" s="129"/>
      <c r="N593" s="129"/>
      <c r="O593" s="130"/>
      <c r="P593" s="131">
        <f>SUM(N590:N592)</f>
        <v>133028.83000000002</v>
      </c>
      <c r="Q593" s="186"/>
      <c r="R593" s="4"/>
    </row>
    <row r="594" spans="1:18" ht="15.75" thickBot="1">
      <c r="A594" s="1"/>
      <c r="B594" s="2"/>
      <c r="C594" s="8"/>
      <c r="D594" s="87"/>
      <c r="E594" s="20"/>
      <c r="F594" s="20"/>
      <c r="G594" s="20"/>
      <c r="H594" s="20"/>
      <c r="I594" s="20"/>
      <c r="J594" s="20"/>
      <c r="K594" s="20"/>
      <c r="L594" s="20"/>
      <c r="M594" s="20"/>
      <c r="N594" s="20"/>
      <c r="O594" s="20"/>
      <c r="P594" s="88"/>
      <c r="Q594" s="13"/>
      <c r="R594" s="4"/>
    </row>
    <row r="595" spans="1:18" ht="15.75" thickBot="1">
      <c r="A595" s="1"/>
      <c r="B595" s="2"/>
      <c r="C595" s="8"/>
      <c r="D595" s="187" t="s">
        <v>46</v>
      </c>
      <c r="E595" s="188"/>
      <c r="F595" s="188"/>
      <c r="G595" s="188"/>
      <c r="H595" s="188"/>
      <c r="I595" s="188"/>
      <c r="J595" s="188"/>
      <c r="K595" s="188"/>
      <c r="L595" s="188"/>
      <c r="M595" s="188"/>
      <c r="N595" s="188"/>
      <c r="O595" s="189"/>
      <c r="P595" s="166">
        <f>ROUND(P593+P587,0)</f>
        <v>536147</v>
      </c>
      <c r="Q595" s="186"/>
      <c r="R595" s="4"/>
    </row>
    <row r="596" spans="1:18">
      <c r="A596" s="1"/>
      <c r="B596" s="2"/>
      <c r="C596" s="8"/>
      <c r="D596" s="80"/>
      <c r="E596" s="81"/>
      <c r="F596" s="81"/>
      <c r="G596" s="81"/>
      <c r="H596" s="81"/>
      <c r="I596" s="81"/>
      <c r="J596" s="81"/>
      <c r="K596" s="81"/>
      <c r="L596" s="81"/>
      <c r="M596" s="81"/>
      <c r="N596" s="81"/>
      <c r="O596" s="81"/>
      <c r="P596" s="82"/>
      <c r="Q596" s="13"/>
      <c r="R596" s="4"/>
    </row>
    <row r="597" spans="1:18">
      <c r="A597" s="1"/>
      <c r="B597" s="2"/>
      <c r="C597" s="8"/>
      <c r="D597" s="87"/>
      <c r="E597" s="20"/>
      <c r="F597" s="20"/>
      <c r="G597" s="20"/>
      <c r="H597" s="20"/>
      <c r="I597" s="20"/>
      <c r="J597" s="20"/>
      <c r="K597" s="20"/>
      <c r="L597" s="20"/>
      <c r="M597" s="20"/>
      <c r="N597" s="20"/>
      <c r="O597" s="20"/>
      <c r="P597" s="88"/>
      <c r="Q597" s="13"/>
      <c r="R597" s="4"/>
    </row>
    <row r="598" spans="1:18">
      <c r="A598" s="1"/>
      <c r="B598" s="2"/>
      <c r="C598" s="8"/>
      <c r="D598" s="87"/>
      <c r="E598" s="20"/>
      <c r="F598" s="20"/>
      <c r="G598" s="20"/>
      <c r="H598" s="20"/>
      <c r="I598" s="20"/>
      <c r="J598" s="20"/>
      <c r="K598" s="20"/>
      <c r="L598" s="20"/>
      <c r="M598" s="20"/>
      <c r="N598" s="20"/>
      <c r="O598" s="20"/>
      <c r="P598" s="88"/>
      <c r="Q598" s="13"/>
      <c r="R598" s="4"/>
    </row>
    <row r="599" spans="1:18">
      <c r="A599" s="1"/>
      <c r="B599" s="2"/>
      <c r="C599" s="8"/>
      <c r="D599" s="87"/>
      <c r="E599" s="20"/>
      <c r="F599" s="20"/>
      <c r="G599" s="20"/>
      <c r="H599" s="20"/>
      <c r="I599" s="20"/>
      <c r="J599" s="20"/>
      <c r="K599" s="20"/>
      <c r="L599" s="20"/>
      <c r="M599" s="20"/>
      <c r="N599" s="20"/>
      <c r="O599" s="20"/>
      <c r="P599" s="88"/>
      <c r="Q599" s="13"/>
      <c r="R599" s="4"/>
    </row>
    <row r="600" spans="1:18">
      <c r="A600" s="1"/>
      <c r="B600" s="2"/>
      <c r="C600" s="8"/>
      <c r="D600" s="219" t="str">
        <f>+[239]INICIO!$B$13</f>
        <v>Proyectó:</v>
      </c>
      <c r="E600" s="49"/>
      <c r="F600" s="49"/>
      <c r="G600" s="49"/>
      <c r="H600" s="49"/>
      <c r="I600" s="49"/>
      <c r="J600" s="49"/>
      <c r="K600" s="20"/>
      <c r="L600" s="69" t="str">
        <f>+[239]INICIO!$B$16</f>
        <v>Aprobó:</v>
      </c>
      <c r="M600" s="49"/>
      <c r="N600" s="49"/>
      <c r="O600" s="49"/>
      <c r="P600" s="88"/>
      <c r="Q600" s="13"/>
      <c r="R600" s="4"/>
    </row>
    <row r="601" spans="1:18">
      <c r="A601" s="1"/>
      <c r="B601" s="2"/>
      <c r="C601" s="8"/>
      <c r="D601" s="87"/>
      <c r="E601" s="20" t="str">
        <f>+Hoja2!C$13</f>
        <v>HELMER EDUARDO BECERRA SANTANDER</v>
      </c>
      <c r="F601" s="20"/>
      <c r="G601" s="20"/>
      <c r="H601" s="20"/>
      <c r="I601" s="20"/>
      <c r="J601" s="20"/>
      <c r="K601" s="20"/>
      <c r="L601" s="20"/>
      <c r="M601" s="20" t="str">
        <f>+Hoja2!$C$16</f>
        <v>JESÚS IVÁN QUIÑONES RUEDA</v>
      </c>
      <c r="N601" s="20"/>
      <c r="O601" s="20"/>
      <c r="P601" s="88"/>
      <c r="Q601" s="190"/>
      <c r="R601" s="4"/>
    </row>
    <row r="602" spans="1:18">
      <c r="A602" s="1"/>
      <c r="B602" s="2"/>
      <c r="C602" s="8"/>
      <c r="D602" s="87"/>
      <c r="E602" s="20" t="str">
        <f>+Hoja2!C$14</f>
        <v>APOYO SEC. DE PLANEACIÓN Y OBRAS PÚBLICAS</v>
      </c>
      <c r="F602" s="20"/>
      <c r="G602" s="20"/>
      <c r="H602" s="20"/>
      <c r="I602" s="20"/>
      <c r="J602" s="20"/>
      <c r="K602" s="20"/>
      <c r="L602" s="20"/>
      <c r="M602" s="20" t="str">
        <f>+Hoja2!$C$17</f>
        <v>SECRETARIO DE PLANEACIÓN Y OBRAS PUBLICAS</v>
      </c>
      <c r="N602" s="20"/>
      <c r="O602" s="20"/>
      <c r="P602" s="88"/>
      <c r="Q602" s="190"/>
      <c r="R602" s="4"/>
    </row>
    <row r="603" spans="1:18">
      <c r="A603" s="1"/>
      <c r="B603" s="2"/>
      <c r="C603" s="8"/>
      <c r="D603" s="68"/>
      <c r="E603" s="20" t="str">
        <f>+Hoja2!C$15</f>
        <v>123769-0701671 NTS</v>
      </c>
      <c r="F603" s="191"/>
      <c r="G603" s="191"/>
      <c r="H603" s="191"/>
      <c r="I603" s="20"/>
      <c r="J603" s="191"/>
      <c r="K603" s="191"/>
      <c r="L603" s="191"/>
      <c r="M603" s="192" t="str">
        <f>+Hoja2!C$18</f>
        <v>A21382020-1090480860</v>
      </c>
      <c r="N603" s="191"/>
      <c r="O603" s="191"/>
      <c r="P603" s="193"/>
      <c r="Q603" s="194"/>
      <c r="R603" s="4"/>
    </row>
    <row r="604" spans="1:18" ht="16.5" thickBot="1">
      <c r="A604" s="1"/>
      <c r="B604" s="2"/>
      <c r="C604" s="8"/>
      <c r="D604" s="195"/>
      <c r="E604" s="150"/>
      <c r="F604" s="150"/>
      <c r="G604" s="150"/>
      <c r="H604" s="150"/>
      <c r="I604" s="150"/>
      <c r="J604" s="150"/>
      <c r="K604" s="150"/>
      <c r="L604" s="150"/>
      <c r="M604" s="150"/>
      <c r="N604" s="150"/>
      <c r="O604" s="150"/>
      <c r="P604" s="196"/>
      <c r="Q604" s="197"/>
      <c r="R604" s="4"/>
    </row>
    <row r="605" spans="1:18" ht="15.75" thickBot="1">
      <c r="A605" s="1"/>
      <c r="B605" s="2"/>
      <c r="C605" s="198"/>
      <c r="D605" s="199"/>
      <c r="E605" s="199"/>
      <c r="F605" s="199"/>
      <c r="G605" s="199"/>
      <c r="H605" s="199"/>
      <c r="I605" s="199"/>
      <c r="J605" s="199"/>
      <c r="K605" s="199"/>
      <c r="L605" s="199"/>
      <c r="M605" s="199"/>
      <c r="N605" s="199"/>
      <c r="O605" s="199"/>
      <c r="P605" s="199"/>
      <c r="Q605" s="200"/>
      <c r="R605" s="4"/>
    </row>
    <row r="606" spans="1:18" ht="15.75" thickTop="1"/>
    <row r="607" spans="1:18" ht="15.75" thickBot="1"/>
    <row r="608" spans="1:18" ht="15.75" thickTop="1">
      <c r="A608" s="1"/>
      <c r="B608" s="2"/>
      <c r="C608" s="5"/>
      <c r="D608" s="6"/>
      <c r="E608" s="6"/>
      <c r="F608" s="6"/>
      <c r="G608" s="6"/>
      <c r="H608" s="6"/>
      <c r="I608" s="6"/>
      <c r="J608" s="6"/>
      <c r="K608" s="6"/>
      <c r="L608" s="6"/>
      <c r="M608" s="6"/>
      <c r="N608" s="6"/>
      <c r="O608" s="6"/>
      <c r="P608" s="6"/>
      <c r="Q608" s="7"/>
      <c r="R608" s="4"/>
    </row>
    <row r="609" spans="1:18" ht="24">
      <c r="A609" s="1"/>
      <c r="B609" s="2"/>
      <c r="C609" s="8"/>
      <c r="D609" s="9" t="str">
        <f>+[239]INICIO!$C$8</f>
        <v>Análisis de Precios Unitarios- Secretaria de Planeación y Obras Publicas de Cubará, Boyacá.</v>
      </c>
      <c r="E609" s="10"/>
      <c r="F609" s="10"/>
      <c r="G609" s="10"/>
      <c r="H609" s="11"/>
      <c r="I609" s="12"/>
      <c r="J609" s="12"/>
      <c r="K609" s="12"/>
      <c r="L609" s="12"/>
      <c r="M609" s="12"/>
      <c r="N609" s="12"/>
      <c r="O609" s="12"/>
      <c r="P609" s="12"/>
      <c r="Q609" s="13"/>
      <c r="R609" s="4"/>
    </row>
    <row r="610" spans="1:18">
      <c r="A610" s="1"/>
      <c r="B610" s="2"/>
      <c r="C610" s="8"/>
      <c r="D610" s="14" t="s">
        <v>0</v>
      </c>
      <c r="E610" s="15" t="str">
        <f>+[239]INICIO!$C$7</f>
        <v>CCE-EICP-FM-14</v>
      </c>
      <c r="F610" s="16"/>
      <c r="G610" s="17" t="str">
        <f>+[239]INICIO!$B$6</f>
        <v>VERSIÓN</v>
      </c>
      <c r="H610" s="14">
        <f>+[239]INICIO!$C$6</f>
        <v>1</v>
      </c>
      <c r="I610" s="12"/>
      <c r="J610" s="12"/>
      <c r="K610" s="12"/>
      <c r="L610" s="12"/>
      <c r="M610" s="12"/>
      <c r="N610" s="12"/>
      <c r="O610" s="12"/>
      <c r="P610" s="12"/>
      <c r="Q610" s="13"/>
      <c r="R610" s="4"/>
    </row>
    <row r="611" spans="1:18">
      <c r="A611" s="1"/>
      <c r="B611" s="2"/>
      <c r="C611" s="8"/>
      <c r="D611" s="18"/>
      <c r="E611" s="19"/>
      <c r="F611" s="18"/>
      <c r="G611" s="19"/>
      <c r="H611" s="12"/>
      <c r="I611" s="12"/>
      <c r="J611" s="12"/>
      <c r="K611" s="12"/>
      <c r="L611" s="12"/>
      <c r="M611" s="12"/>
      <c r="N611" s="12"/>
      <c r="O611" s="12"/>
      <c r="P611" s="12"/>
      <c r="Q611" s="13"/>
      <c r="R611" s="4"/>
    </row>
    <row r="612" spans="1:18" ht="15.75" thickBot="1">
      <c r="A612" s="1"/>
      <c r="B612" s="2"/>
      <c r="C612" s="8"/>
      <c r="D612" s="20"/>
      <c r="E612" s="20"/>
      <c r="F612" s="20"/>
      <c r="G612" s="20"/>
      <c r="H612" s="20"/>
      <c r="I612" s="20"/>
      <c r="J612" s="20"/>
      <c r="K612" s="20"/>
      <c r="L612" s="20"/>
      <c r="M612" s="20"/>
      <c r="N612" s="20"/>
      <c r="O612" s="20"/>
      <c r="P612" s="20"/>
      <c r="Q612" s="13"/>
      <c r="R612" s="4"/>
    </row>
    <row r="613" spans="1:18">
      <c r="A613" s="1"/>
      <c r="B613" s="2"/>
      <c r="C613" s="8"/>
      <c r="D613" s="21"/>
      <c r="E613" s="22"/>
      <c r="F613" s="23"/>
      <c r="G613" s="23"/>
      <c r="H613" s="23"/>
      <c r="I613" s="23"/>
      <c r="J613" s="23"/>
      <c r="K613" s="23"/>
      <c r="L613" s="24"/>
      <c r="M613" s="25"/>
      <c r="N613" s="26"/>
      <c r="O613" s="26"/>
      <c r="P613" s="27"/>
      <c r="Q613" s="28"/>
      <c r="R613" s="4"/>
    </row>
    <row r="614" spans="1:18">
      <c r="A614" s="1"/>
      <c r="B614" s="2"/>
      <c r="C614" s="8"/>
      <c r="D614" s="29"/>
      <c r="E614" s="30" t="s">
        <v>1</v>
      </c>
      <c r="F614" s="31"/>
      <c r="G614" s="31"/>
      <c r="H614" s="31"/>
      <c r="I614" s="31"/>
      <c r="J614" s="31"/>
      <c r="K614" s="31"/>
      <c r="L614" s="32"/>
      <c r="M614" s="33"/>
      <c r="N614" s="34"/>
      <c r="O614" s="34"/>
      <c r="P614" s="35"/>
      <c r="Q614" s="28"/>
      <c r="R614" s="4"/>
    </row>
    <row r="615" spans="1:18">
      <c r="A615" s="1"/>
      <c r="B615" s="2"/>
      <c r="C615" s="8"/>
      <c r="D615" s="29"/>
      <c r="E615" s="36"/>
      <c r="F615" s="37"/>
      <c r="G615" s="37"/>
      <c r="H615" s="37"/>
      <c r="I615" s="37"/>
      <c r="J615" s="37"/>
      <c r="K615" s="37"/>
      <c r="L615" s="38"/>
      <c r="M615" s="39"/>
      <c r="N615" s="40"/>
      <c r="O615" s="41"/>
      <c r="P615" s="42"/>
      <c r="Q615" s="28"/>
      <c r="R615" s="4"/>
    </row>
    <row r="616" spans="1:18">
      <c r="A616" s="1"/>
      <c r="B616" s="2"/>
      <c r="C616" s="8"/>
      <c r="D616" s="29"/>
      <c r="E616" s="36"/>
      <c r="F616" s="37"/>
      <c r="G616" s="37"/>
      <c r="H616" s="37"/>
      <c r="I616" s="37"/>
      <c r="J616" s="37"/>
      <c r="K616" s="37"/>
      <c r="L616" s="38"/>
      <c r="M616" s="43" t="s">
        <v>2</v>
      </c>
      <c r="N616" s="44"/>
      <c r="O616" s="45">
        <f>+[239]INICIO!$C$6</f>
        <v>1</v>
      </c>
      <c r="P616" s="46"/>
      <c r="Q616" s="28"/>
      <c r="R616" s="4"/>
    </row>
    <row r="617" spans="1:18">
      <c r="A617" s="1"/>
      <c r="B617" s="2"/>
      <c r="C617" s="8"/>
      <c r="D617" s="29"/>
      <c r="E617" s="36"/>
      <c r="F617" s="37"/>
      <c r="G617" s="37"/>
      <c r="H617" s="37"/>
      <c r="I617" s="37"/>
      <c r="J617" s="37"/>
      <c r="K617" s="37"/>
      <c r="L617" s="38"/>
      <c r="M617" s="47"/>
      <c r="N617" s="48"/>
      <c r="O617" s="49"/>
      <c r="P617" s="50"/>
      <c r="Q617" s="51"/>
      <c r="R617" s="4"/>
    </row>
    <row r="618" spans="1:18">
      <c r="A618" s="1"/>
      <c r="B618" s="2"/>
      <c r="C618" s="8"/>
      <c r="D618" s="29"/>
      <c r="E618" s="52"/>
      <c r="F618" s="53"/>
      <c r="G618" s="53"/>
      <c r="H618" s="53"/>
      <c r="I618" s="53"/>
      <c r="J618" s="53"/>
      <c r="K618" s="53"/>
      <c r="L618" s="54"/>
      <c r="M618" s="39"/>
      <c r="N618" s="55"/>
      <c r="O618" s="55"/>
      <c r="P618" s="56"/>
      <c r="Q618" s="28"/>
      <c r="R618" s="4"/>
    </row>
    <row r="619" spans="1:18">
      <c r="A619" s="1"/>
      <c r="B619" s="2"/>
      <c r="C619" s="8"/>
      <c r="D619" s="29"/>
      <c r="E619" s="52"/>
      <c r="F619" s="53"/>
      <c r="G619" s="53"/>
      <c r="H619" s="53"/>
      <c r="I619" s="53"/>
      <c r="J619" s="53"/>
      <c r="K619" s="53"/>
      <c r="L619" s="54"/>
      <c r="M619" s="43" t="s">
        <v>3</v>
      </c>
      <c r="N619" s="43" t="str">
        <f>+VLOOKUP(D630,'PRESUPUESTO OFICIAL '!C:Q,9,FALSE)</f>
        <v>8</v>
      </c>
      <c r="O619" s="43" t="s">
        <v>4</v>
      </c>
      <c r="P619" s="508" t="str">
        <f>+'PRESUPUESTO OFICIAL '!$M$122</f>
        <v>62</v>
      </c>
      <c r="Q619" s="28"/>
      <c r="R619" s="4"/>
    </row>
    <row r="620" spans="1:18">
      <c r="A620" s="1"/>
      <c r="B620" s="2"/>
      <c r="C620" s="8"/>
      <c r="D620" s="29"/>
      <c r="E620" s="30" t="s">
        <v>5</v>
      </c>
      <c r="F620" s="31"/>
      <c r="G620" s="31"/>
      <c r="H620" s="31"/>
      <c r="I620" s="31"/>
      <c r="J620" s="31"/>
      <c r="K620" s="31"/>
      <c r="L620" s="32"/>
      <c r="M620" s="43"/>
      <c r="N620" s="57"/>
      <c r="O620" s="57"/>
      <c r="P620" s="58"/>
      <c r="Q620" s="28"/>
      <c r="R620" s="4"/>
    </row>
    <row r="621" spans="1:18" ht="15.75" thickBot="1">
      <c r="A621" s="1"/>
      <c r="B621" s="2"/>
      <c r="C621" s="8"/>
      <c r="D621" s="59"/>
      <c r="E621" s="60"/>
      <c r="F621" s="60"/>
      <c r="G621" s="60"/>
      <c r="H621" s="60"/>
      <c r="I621" s="60"/>
      <c r="J621" s="60"/>
      <c r="K621" s="60"/>
      <c r="L621" s="60"/>
      <c r="M621" s="60"/>
      <c r="N621" s="61"/>
      <c r="O621" s="61"/>
      <c r="P621" s="62"/>
      <c r="Q621" s="63"/>
      <c r="R621" s="4"/>
    </row>
    <row r="622" spans="1:18">
      <c r="A622" s="1"/>
      <c r="B622" s="2"/>
      <c r="C622" s="8"/>
      <c r="D622" s="64"/>
      <c r="E622" s="65"/>
      <c r="F622" s="65"/>
      <c r="G622" s="65"/>
      <c r="H622" s="65"/>
      <c r="I622" s="65"/>
      <c r="J622" s="65"/>
      <c r="K622" s="65"/>
      <c r="L622" s="65"/>
      <c r="M622" s="66" t="s">
        <v>6</v>
      </c>
      <c r="N622" s="66" t="s">
        <v>7</v>
      </c>
      <c r="O622" s="66" t="s">
        <v>8</v>
      </c>
      <c r="P622" s="67" t="s">
        <v>9</v>
      </c>
      <c r="Q622" s="51"/>
      <c r="R622" s="4"/>
    </row>
    <row r="623" spans="1:18">
      <c r="A623" s="1"/>
      <c r="B623" s="2"/>
      <c r="C623" s="8"/>
      <c r="D623" s="68"/>
      <c r="E623" s="69"/>
      <c r="F623" s="69"/>
      <c r="G623" s="69"/>
      <c r="H623" s="69"/>
      <c r="I623" s="69"/>
      <c r="J623" s="69"/>
      <c r="K623" s="69"/>
      <c r="L623" s="69"/>
      <c r="M623" s="70"/>
      <c r="N623" s="71">
        <f>+Hoja2!B$5</f>
        <v>5</v>
      </c>
      <c r="O623" s="71">
        <f>+Hoja2!C$5</f>
        <v>8</v>
      </c>
      <c r="P623" s="72">
        <f>+Hoja2!D$5</f>
        <v>2026</v>
      </c>
      <c r="Q623" s="73"/>
      <c r="R623" s="4"/>
    </row>
    <row r="624" spans="1:18">
      <c r="A624" s="1"/>
      <c r="B624" s="2"/>
      <c r="C624" s="8"/>
      <c r="D624" s="74"/>
      <c r="E624" s="37"/>
      <c r="F624" s="37"/>
      <c r="G624" s="37"/>
      <c r="H624" s="69"/>
      <c r="I624" s="69"/>
      <c r="J624" s="69"/>
      <c r="K624" s="20"/>
      <c r="L624" s="69"/>
      <c r="M624" s="75"/>
      <c r="N624" s="20"/>
      <c r="O624" s="20"/>
      <c r="P624" s="76"/>
      <c r="Q624" s="73"/>
      <c r="R624" s="4"/>
    </row>
    <row r="625" spans="1:22" ht="15.75" thickBot="1">
      <c r="A625" s="1"/>
      <c r="B625" s="2"/>
      <c r="C625" s="8"/>
      <c r="D625" s="77"/>
      <c r="E625" s="78"/>
      <c r="F625" s="78"/>
      <c r="G625" s="78"/>
      <c r="H625" s="78"/>
      <c r="I625" s="78"/>
      <c r="J625" s="78"/>
      <c r="K625" s="78"/>
      <c r="L625" s="78"/>
      <c r="M625" s="78"/>
      <c r="N625" s="78"/>
      <c r="O625" s="78"/>
      <c r="P625" s="79"/>
      <c r="Q625" s="13"/>
      <c r="R625" s="4"/>
    </row>
    <row r="626" spans="1:22" ht="15.75" thickBot="1">
      <c r="A626" s="1"/>
      <c r="B626" s="2"/>
      <c r="C626" s="8"/>
      <c r="D626" s="80"/>
      <c r="E626" s="81"/>
      <c r="F626" s="81"/>
      <c r="G626" s="81"/>
      <c r="H626" s="81"/>
      <c r="I626" s="81"/>
      <c r="J626" s="20"/>
      <c r="K626" s="20"/>
      <c r="L626" s="81"/>
      <c r="M626" s="81"/>
      <c r="N626" s="81"/>
      <c r="O626" s="81"/>
      <c r="P626" s="82"/>
      <c r="Q626" s="13"/>
      <c r="R626" s="4"/>
    </row>
    <row r="627" spans="1:22">
      <c r="A627" s="1"/>
      <c r="B627" s="2"/>
      <c r="C627" s="8"/>
      <c r="D627" s="83" t="s">
        <v>10</v>
      </c>
      <c r="E627" s="84"/>
      <c r="F627" s="84"/>
      <c r="G627" s="84"/>
      <c r="H627" s="84"/>
      <c r="I627" s="84"/>
      <c r="J627" s="84"/>
      <c r="K627" s="84"/>
      <c r="L627" s="84"/>
      <c r="M627" s="84"/>
      <c r="N627" s="84"/>
      <c r="O627" s="84"/>
      <c r="P627" s="85"/>
      <c r="Q627" s="86"/>
      <c r="R627" s="4"/>
    </row>
    <row r="628" spans="1:22" ht="15.75" thickBot="1">
      <c r="A628" s="1"/>
      <c r="B628" s="2"/>
      <c r="C628" s="8"/>
      <c r="D628" s="87"/>
      <c r="E628" s="20"/>
      <c r="F628" s="20"/>
      <c r="G628" s="20"/>
      <c r="H628" s="20"/>
      <c r="I628" s="20"/>
      <c r="J628" s="20"/>
      <c r="K628" s="20"/>
      <c r="L628" s="20"/>
      <c r="M628" s="20"/>
      <c r="N628" s="20"/>
      <c r="O628" s="20"/>
      <c r="P628" s="88"/>
      <c r="Q628" s="13"/>
      <c r="R628" s="4"/>
      <c r="T628" s="531">
        <f>+R630-S630</f>
        <v>0</v>
      </c>
    </row>
    <row r="629" spans="1:22">
      <c r="A629" s="1" t="s">
        <v>11</v>
      </c>
      <c r="B629" s="2" t="s">
        <v>12</v>
      </c>
      <c r="C629" s="8"/>
      <c r="D629" s="89" t="s">
        <v>13</v>
      </c>
      <c r="E629" s="90" t="s">
        <v>14</v>
      </c>
      <c r="F629" s="90"/>
      <c r="G629" s="90"/>
      <c r="H629" s="90"/>
      <c r="I629" s="90"/>
      <c r="J629" s="90"/>
      <c r="K629" s="90"/>
      <c r="L629" s="90"/>
      <c r="M629" s="90"/>
      <c r="N629" s="91" t="s">
        <v>15</v>
      </c>
      <c r="O629" s="91"/>
      <c r="P629" s="92" t="s">
        <v>16</v>
      </c>
      <c r="Q629" s="93"/>
      <c r="R629" s="4"/>
    </row>
    <row r="630" spans="1:22" ht="29.25" thickBot="1">
      <c r="A630" s="1"/>
      <c r="B630" s="2"/>
      <c r="C630" s="8"/>
      <c r="D630" s="349">
        <f>+'PRESUPUESTO OFICIAL '!C19</f>
        <v>1.08</v>
      </c>
      <c r="E630" s="94" t="str">
        <f>+VLOOKUP(D630,'PRESUPUESTO OFICIAL '!C:H,2,FALSE)</f>
        <v xml:space="preserve">DEMOLICIÓN OBRAS EN CONCRETO REFORZADO, INCLUYE CARGUE Y RETIRO DE SOBRANTES CON ACARREO LIBRE HASTA 5 KM.). </v>
      </c>
      <c r="F630" s="94"/>
      <c r="G630" s="94"/>
      <c r="H630" s="94"/>
      <c r="I630" s="94"/>
      <c r="J630" s="94"/>
      <c r="K630" s="94"/>
      <c r="L630" s="94"/>
      <c r="M630" s="94"/>
      <c r="N630" s="94" t="str">
        <f>+VLOOKUP(D630,'PRESUPUESTO OFICIAL '!C:H,3,FALSE)</f>
        <v>M3</v>
      </c>
      <c r="O630" s="95"/>
      <c r="P630" s="96">
        <f>+VLOOKUP(D630,'PRESUPUESTO OFICIAL '!C:H,4,FALSE)</f>
        <v>1.75</v>
      </c>
      <c r="Q630" s="97"/>
      <c r="R630" s="98">
        <f>+P682</f>
        <v>512427</v>
      </c>
      <c r="S630">
        <v>512427</v>
      </c>
      <c r="T630" s="374">
        <f>+S630/1.33</f>
        <v>385283.45864661655</v>
      </c>
      <c r="U630" s="533">
        <f>+T630-R634</f>
        <v>11.558646616584156</v>
      </c>
    </row>
    <row r="631" spans="1:22" ht="15.75" thickBot="1">
      <c r="A631" s="1"/>
      <c r="B631" s="2"/>
      <c r="C631" s="8"/>
      <c r="D631" s="74" t="s">
        <v>17</v>
      </c>
      <c r="E631" s="37"/>
      <c r="F631" s="37"/>
      <c r="G631" s="37"/>
      <c r="H631" s="37"/>
      <c r="I631" s="37"/>
      <c r="J631" s="37"/>
      <c r="K631" s="37"/>
      <c r="L631" s="37"/>
      <c r="M631" s="37"/>
      <c r="N631" s="37"/>
      <c r="O631" s="37"/>
      <c r="P631" s="99"/>
      <c r="Q631" s="100"/>
      <c r="R631" s="4"/>
    </row>
    <row r="632" spans="1:22">
      <c r="A632" s="1"/>
      <c r="B632" s="2"/>
      <c r="C632" s="8"/>
      <c r="D632" s="101" t="s">
        <v>14</v>
      </c>
      <c r="E632" s="102"/>
      <c r="F632" s="102"/>
      <c r="G632" s="102"/>
      <c r="H632" s="103"/>
      <c r="I632" s="104" t="s">
        <v>18</v>
      </c>
      <c r="J632" s="102"/>
      <c r="K632" s="104" t="s">
        <v>19</v>
      </c>
      <c r="L632" s="105"/>
      <c r="M632" s="106" t="s">
        <v>20</v>
      </c>
      <c r="N632" s="104" t="s">
        <v>21</v>
      </c>
      <c r="O632" s="105"/>
      <c r="P632" s="107" t="s">
        <v>22</v>
      </c>
      <c r="Q632" s="108"/>
      <c r="R632" s="4"/>
    </row>
    <row r="633" spans="1:22">
      <c r="A633" s="1" t="e">
        <f>[239]INDICE!#REF!</f>
        <v>#REF!</v>
      </c>
      <c r="B633" s="2" t="s">
        <v>23</v>
      </c>
      <c r="C633" s="8"/>
      <c r="D633" s="109" t="str">
        <f>IFERROR(INDEX([239]EQUIPOS!B:B,MATCH(B633,[239]EQUIPOS!A:A,0)),"")</f>
        <v>HERRAMIENTA MENOR (% M.O)</v>
      </c>
      <c r="E633" s="110"/>
      <c r="F633" s="110"/>
      <c r="G633" s="110"/>
      <c r="H633" s="111"/>
      <c r="I633" s="112"/>
      <c r="J633" s="111"/>
      <c r="K633" s="113" t="str">
        <f>IFERROR(INDEX([239]EQUIPOS!C:C,MATCH(B633,[239]EQUIPOS!A:A,0)),"")</f>
        <v>%</v>
      </c>
      <c r="L633" s="114"/>
      <c r="M633" s="115">
        <f>IFERROR(IF(D633="HERRAMIENTA MENOR (% M.O)",P672,INDEX([239]EQUIPOS!D:D,MATCH(B633,[239]EQUIPOS!A:A,0))),"")</f>
        <v>172676.11</v>
      </c>
      <c r="N633" s="116">
        <v>10</v>
      </c>
      <c r="O633" s="117"/>
      <c r="P633" s="118">
        <f t="shared" ref="P633:P638" si="20">IFERROR(ROUND(IF(D633="HERRAMIENTA MENOR (% M.O)",N633%*M633,M633/N633),2)," ")</f>
        <v>17267.61</v>
      </c>
      <c r="Q633" s="119"/>
      <c r="R633" s="4"/>
    </row>
    <row r="634" spans="1:22">
      <c r="A634" s="1">
        <f>+$A$2341</f>
        <v>0</v>
      </c>
      <c r="B634" s="2" t="s">
        <v>263</v>
      </c>
      <c r="C634" s="8"/>
      <c r="D634" s="109" t="str">
        <f>IFERROR(INDEX([239]EQUIPOS!B:B,MATCH(B634,[239]EQUIPOS!A:A,0)),"")</f>
        <v>COMPRESOR DE 250 CFM CON MARTILLO NEUMÁTICO</v>
      </c>
      <c r="E634" s="110"/>
      <c r="F634" s="110"/>
      <c r="G634" s="110"/>
      <c r="H634" s="111"/>
      <c r="I634" s="112"/>
      <c r="J634" s="111"/>
      <c r="K634" s="113" t="str">
        <f>IFERROR(INDEX([239]EQUIPOS!C:C,MATCH(B634,[239]EQUIPOS!A:A,0)),"")</f>
        <v>DIA</v>
      </c>
      <c r="L634" s="114"/>
      <c r="M634" s="115">
        <f>IFERROR(IF(D634="HERRAMIENTA MENOR (% M.O)",P673,INDEX([239]EQUIPOS!D:D,MATCH(B634,[239]EQUIPOS!A:A,0))),"")</f>
        <v>1187064</v>
      </c>
      <c r="N634" s="116">
        <v>6.6636675736615381</v>
      </c>
      <c r="O634" s="117"/>
      <c r="P634" s="118">
        <f t="shared" si="20"/>
        <v>178139.74</v>
      </c>
      <c r="Q634" s="119"/>
      <c r="R634" s="4">
        <v>385271.89999999997</v>
      </c>
      <c r="S634" s="533">
        <f>+U630</f>
        <v>11.558646616584156</v>
      </c>
      <c r="T634" s="531">
        <f>+P634+S634</f>
        <v>178151.29864661657</v>
      </c>
      <c r="U634" s="531">
        <f>+M634/T634</f>
        <v>6.6632351771663298</v>
      </c>
    </row>
    <row r="635" spans="1:22">
      <c r="A635" s="1">
        <f t="shared" ref="A635:A673" si="21">+A634</f>
        <v>0</v>
      </c>
      <c r="B635" s="2" t="s">
        <v>264</v>
      </c>
      <c r="C635" s="8"/>
      <c r="D635" s="109" t="str">
        <f>IFERROR(INDEX([239]EQUIPOS!B:B,MATCH(B635,[239]EQUIPOS!A:A,0)),"")</f>
        <v>PULIDORA</v>
      </c>
      <c r="E635" s="110"/>
      <c r="F635" s="110"/>
      <c r="G635" s="110"/>
      <c r="H635" s="111"/>
      <c r="I635" s="120"/>
      <c r="J635" s="121"/>
      <c r="K635" s="113" t="str">
        <f>IFERROR(INDEX([239]EQUIPOS!C:C,MATCH(B635,[239]EQUIPOS!A:A,0)),"")</f>
        <v>DIA</v>
      </c>
      <c r="L635" s="114"/>
      <c r="M635" s="115">
        <f>IFERROR(IF(D635="HERRAMIENTA MENOR (% M.O)",P674,INDEX([239]EQUIPOS!D:D,MATCH(B635,[239]EQUIPOS!A:A,0))),"")</f>
        <v>45000</v>
      </c>
      <c r="N635" s="116">
        <f>1/0.05</f>
        <v>20</v>
      </c>
      <c r="O635" s="117"/>
      <c r="P635" s="118">
        <f t="shared" si="20"/>
        <v>2250</v>
      </c>
      <c r="Q635" s="119"/>
      <c r="R635" s="4"/>
    </row>
    <row r="636" spans="1:22">
      <c r="A636" s="1">
        <f t="shared" si="21"/>
        <v>0</v>
      </c>
      <c r="B636" s="2" t="s">
        <v>265</v>
      </c>
      <c r="C636" s="8"/>
      <c r="D636" s="109"/>
      <c r="E636" s="110"/>
      <c r="F636" s="110"/>
      <c r="G636" s="110"/>
      <c r="H636" s="111"/>
      <c r="I636" s="120"/>
      <c r="J636" s="121"/>
      <c r="K636" s="113"/>
      <c r="L636" s="114"/>
      <c r="M636" s="115"/>
      <c r="N636" s="116"/>
      <c r="O636" s="117"/>
      <c r="P636" s="118"/>
      <c r="Q636" s="119"/>
      <c r="R636" s="4"/>
    </row>
    <row r="637" spans="1:22">
      <c r="A637" s="1">
        <f t="shared" si="21"/>
        <v>0</v>
      </c>
      <c r="B637" s="2"/>
      <c r="C637" s="8"/>
      <c r="D637" s="109" t="str">
        <f>IFERROR(INDEX([239]EQUIPOS!B:B,MATCH(B637,[239]EQUIPOS!A:A,0)),"")</f>
        <v/>
      </c>
      <c r="E637" s="110"/>
      <c r="F637" s="110"/>
      <c r="G637" s="110"/>
      <c r="H637" s="111"/>
      <c r="I637" s="112"/>
      <c r="J637" s="111"/>
      <c r="K637" s="113" t="str">
        <f>IFERROR(INDEX([239]EQUIPOS!C:C,MATCH(B637,[239]EQUIPOS!A:A,0)),"")</f>
        <v/>
      </c>
      <c r="L637" s="114"/>
      <c r="M637" s="115" t="str">
        <f>IFERROR(IF(D637="HERRAMIENTA MENOR (% M.O)",P676,INDEX([239]EQUIPOS!D:D,MATCH(B637,[239]EQUIPOS!A:A,0))),"")</f>
        <v/>
      </c>
      <c r="N637" s="116"/>
      <c r="O637" s="117"/>
      <c r="P637" s="118" t="str">
        <f t="shared" si="20"/>
        <v xml:space="preserve"> </v>
      </c>
      <c r="Q637" s="119"/>
      <c r="R637" s="4"/>
    </row>
    <row r="638" spans="1:22" ht="15.75" thickBot="1">
      <c r="A638" s="1">
        <f t="shared" si="21"/>
        <v>0</v>
      </c>
      <c r="B638" s="2"/>
      <c r="C638" s="8"/>
      <c r="D638" s="109" t="str">
        <f>IFERROR(INDEX([239]EQUIPOS!B:B,MATCH(B638,[239]EQUIPOS!A:A,0)),"")</f>
        <v/>
      </c>
      <c r="E638" s="78"/>
      <c r="F638" s="78"/>
      <c r="G638" s="78"/>
      <c r="H638" s="122"/>
      <c r="I638" s="123"/>
      <c r="J638" s="122"/>
      <c r="K638" s="113" t="str">
        <f>IFERROR(INDEX([239]EQUIPOS!C:C,MATCH(B638,[239]EQUIPOS!A:A,0)),"")</f>
        <v/>
      </c>
      <c r="L638" s="124"/>
      <c r="M638" s="115" t="str">
        <f>IFERROR(IF(D638="HERRAMIENTA MENOR (% M.O)",P677,INDEX([239]EQUIPOS!D:D,MATCH(B638,[239]EQUIPOS!A:A,0))),"")</f>
        <v/>
      </c>
      <c r="N638" s="125"/>
      <c r="O638" s="126"/>
      <c r="P638" s="127" t="str">
        <f t="shared" si="20"/>
        <v xml:space="preserve"> </v>
      </c>
      <c r="Q638" s="119"/>
      <c r="R638" s="168">
        <f>+S630-R634</f>
        <v>127155.10000000003</v>
      </c>
    </row>
    <row r="639" spans="1:22" ht="15.75" thickBot="1">
      <c r="A639" s="1">
        <f t="shared" si="21"/>
        <v>0</v>
      </c>
      <c r="B639" s="2"/>
      <c r="C639" s="8"/>
      <c r="D639" s="128" t="s">
        <v>24</v>
      </c>
      <c r="E639" s="129"/>
      <c r="F639" s="129"/>
      <c r="G639" s="129"/>
      <c r="H639" s="129"/>
      <c r="I639" s="129"/>
      <c r="J639" s="129"/>
      <c r="K639" s="129"/>
      <c r="L639" s="129"/>
      <c r="M639" s="129"/>
      <c r="N639" s="129"/>
      <c r="O639" s="130"/>
      <c r="P639" s="131">
        <f>SUM(P633:P638)</f>
        <v>197657.34999999998</v>
      </c>
      <c r="Q639" s="132"/>
      <c r="R639" s="4"/>
      <c r="V639" s="531">
        <f>+N634-U634</f>
        <v>4.3239649520820933E-4</v>
      </c>
    </row>
    <row r="640" spans="1:22" ht="15.75" thickBot="1">
      <c r="A640" s="1">
        <f t="shared" si="21"/>
        <v>0</v>
      </c>
      <c r="B640" s="2"/>
      <c r="C640" s="8"/>
      <c r="D640" s="74" t="s">
        <v>25</v>
      </c>
      <c r="E640" s="37"/>
      <c r="F640" s="37"/>
      <c r="G640" s="37"/>
      <c r="H640" s="37"/>
      <c r="I640" s="37"/>
      <c r="J640" s="37"/>
      <c r="K640" s="37"/>
      <c r="L640" s="37"/>
      <c r="M640" s="37"/>
      <c r="N640" s="37"/>
      <c r="O640" s="37"/>
      <c r="P640" s="99"/>
      <c r="Q640" s="100"/>
      <c r="R640" s="4"/>
    </row>
    <row r="641" spans="1:21">
      <c r="A641" s="1">
        <f t="shared" si="21"/>
        <v>0</v>
      </c>
      <c r="B641" s="2"/>
      <c r="C641" s="8"/>
      <c r="D641" s="101" t="s">
        <v>14</v>
      </c>
      <c r="E641" s="133"/>
      <c r="F641" s="133"/>
      <c r="G641" s="133"/>
      <c r="H641" s="133"/>
      <c r="I641" s="133"/>
      <c r="J641" s="133"/>
      <c r="K641" s="105"/>
      <c r="L641" s="134" t="s">
        <v>15</v>
      </c>
      <c r="M641" s="106" t="s">
        <v>16</v>
      </c>
      <c r="N641" s="104" t="s">
        <v>26</v>
      </c>
      <c r="O641" s="105"/>
      <c r="P641" s="107" t="s">
        <v>22</v>
      </c>
      <c r="Q641" s="108"/>
      <c r="R641" s="4"/>
    </row>
    <row r="642" spans="1:21">
      <c r="A642" s="1">
        <f t="shared" si="21"/>
        <v>0</v>
      </c>
      <c r="B642" s="2"/>
      <c r="C642" s="8"/>
      <c r="D642" s="109" t="str">
        <f>IFERROR(INDEX([239]MATERIALES!C:C,MATCH(B642,[239]MATERIALES!B:B,0)),"")</f>
        <v/>
      </c>
      <c r="E642" s="135"/>
      <c r="F642" s="135"/>
      <c r="G642" s="135"/>
      <c r="H642" s="135"/>
      <c r="I642" s="135"/>
      <c r="J642" s="135"/>
      <c r="K642" s="136"/>
      <c r="L642" s="137" t="str">
        <f>IFERROR(INDEX([239]MATERIALES!D:D,MATCH(B642,[239]MATERIALES!B:B,0)),"")</f>
        <v/>
      </c>
      <c r="M642" s="138"/>
      <c r="N642" s="139" t="str">
        <f>IFERROR(INDEX([239]MATERIALES!P:P,MATCH(B642,[239]MATERIALES!B:B,0)),"")</f>
        <v/>
      </c>
      <c r="O642" s="140"/>
      <c r="P642" s="118" t="str">
        <f>IFERROR(ROUND(N642*M642,2),"")</f>
        <v/>
      </c>
      <c r="Q642" s="119"/>
      <c r="R642" s="4"/>
    </row>
    <row r="643" spans="1:21">
      <c r="A643" s="1">
        <f t="shared" si="21"/>
        <v>0</v>
      </c>
      <c r="B643" s="2"/>
      <c r="C643" s="8"/>
      <c r="D643" s="109"/>
      <c r="E643" s="135"/>
      <c r="F643" s="135"/>
      <c r="G643" s="135"/>
      <c r="H643" s="135"/>
      <c r="I643" s="135"/>
      <c r="J643" s="135"/>
      <c r="K643" s="136"/>
      <c r="L643" s="137"/>
      <c r="M643" s="138"/>
      <c r="N643" s="139"/>
      <c r="O643" s="140"/>
      <c r="P643" s="118"/>
      <c r="Q643" s="119"/>
      <c r="R643" s="4"/>
      <c r="U643" s="532">
        <f>+U634+N634</f>
        <v>13.326902750827868</v>
      </c>
    </row>
    <row r="644" spans="1:21">
      <c r="A644" s="1">
        <f t="shared" si="21"/>
        <v>0</v>
      </c>
      <c r="B644" s="2"/>
      <c r="C644" s="8"/>
      <c r="D644" s="109"/>
      <c r="E644" s="110"/>
      <c r="F644" s="110"/>
      <c r="G644" s="110"/>
      <c r="H644" s="110"/>
      <c r="I644" s="110"/>
      <c r="J644" s="110"/>
      <c r="K644" s="111"/>
      <c r="L644" s="137"/>
      <c r="M644" s="138"/>
      <c r="N644" s="139"/>
      <c r="O644" s="140"/>
      <c r="P644" s="118"/>
      <c r="Q644" s="119"/>
      <c r="R644" s="4"/>
    </row>
    <row r="645" spans="1:21">
      <c r="A645" s="1">
        <f t="shared" si="21"/>
        <v>0</v>
      </c>
      <c r="B645" s="2"/>
      <c r="C645" s="8"/>
      <c r="D645" s="109" t="str">
        <f>IFERROR(INDEX([239]MATERIALES!C:C,MATCH(B645,[239]MATERIALES!B:B,0)),"")</f>
        <v/>
      </c>
      <c r="E645" s="110"/>
      <c r="F645" s="110"/>
      <c r="G645" s="110"/>
      <c r="H645" s="110"/>
      <c r="I645" s="110"/>
      <c r="J645" s="110"/>
      <c r="K645" s="111"/>
      <c r="L645" s="137" t="str">
        <f>IFERROR(INDEX([239]MATERIALES!D:D,MATCH(B645,[239]MATERIALES!B:B,0)),"")</f>
        <v/>
      </c>
      <c r="M645" s="138"/>
      <c r="N645" s="139" t="str">
        <f>IFERROR(INDEX([239]MATERIALES!P:P,MATCH(B645,[239]MATERIALES!B:B,0)),"")</f>
        <v/>
      </c>
      <c r="O645" s="140"/>
      <c r="P645" s="118" t="str">
        <f>IFERROR(ROUND(N645*M645,2),"")</f>
        <v/>
      </c>
      <c r="Q645" s="119"/>
      <c r="R645" s="4"/>
    </row>
    <row r="646" spans="1:21">
      <c r="A646" s="1">
        <f t="shared" si="21"/>
        <v>0</v>
      </c>
      <c r="B646" s="2"/>
      <c r="C646" s="8"/>
      <c r="D646" s="109" t="str">
        <f>IFERROR(INDEX([239]MATERIALES!C:C,MATCH(B646,[239]MATERIALES!B:B,0)),"")</f>
        <v/>
      </c>
      <c r="E646" s="110"/>
      <c r="F646" s="110"/>
      <c r="G646" s="110"/>
      <c r="H646" s="110"/>
      <c r="I646" s="110"/>
      <c r="J646" s="110"/>
      <c r="K646" s="111"/>
      <c r="L646" s="137" t="str">
        <f>IFERROR(INDEX([239]MATERIALES!D:D,MATCH(B646,[239]MATERIALES!B:B,0)),"")</f>
        <v/>
      </c>
      <c r="M646" s="138"/>
      <c r="N646" s="139" t="str">
        <f>IFERROR(INDEX([239]MATERIALES!P:P,MATCH(B646,[239]MATERIALES!B:B,0)),"")</f>
        <v/>
      </c>
      <c r="O646" s="140"/>
      <c r="P646" s="118" t="str">
        <f t="shared" ref="P646:P655" si="22">IFERROR(ROUND(N646*M646,2),"")</f>
        <v/>
      </c>
      <c r="Q646" s="119"/>
      <c r="R646" s="4"/>
    </row>
    <row r="647" spans="1:21">
      <c r="A647" s="1">
        <f t="shared" si="21"/>
        <v>0</v>
      </c>
      <c r="B647" s="2"/>
      <c r="C647" s="8"/>
      <c r="D647" s="109" t="str">
        <f>IFERROR(INDEX([239]MATERIALES!C:C,MATCH(B647,[239]MATERIALES!B:B,0)),"")</f>
        <v/>
      </c>
      <c r="E647" s="110"/>
      <c r="F647" s="110"/>
      <c r="G647" s="110"/>
      <c r="H647" s="110"/>
      <c r="I647" s="110"/>
      <c r="J647" s="110"/>
      <c r="K647" s="111"/>
      <c r="L647" s="137" t="str">
        <f>IFERROR(INDEX([239]MATERIALES!D:D,MATCH(B647,[239]MATERIALES!B:B,0)),"")</f>
        <v/>
      </c>
      <c r="M647" s="138"/>
      <c r="N647" s="139" t="str">
        <f>IFERROR(INDEX([239]MATERIALES!P:P,MATCH(B647,[239]MATERIALES!B:B,0)),"")</f>
        <v/>
      </c>
      <c r="O647" s="140"/>
      <c r="P647" s="118" t="str">
        <f t="shared" si="22"/>
        <v/>
      </c>
      <c r="Q647" s="119"/>
      <c r="R647" s="4"/>
    </row>
    <row r="648" spans="1:21">
      <c r="A648" s="1">
        <f t="shared" si="21"/>
        <v>0</v>
      </c>
      <c r="B648" s="2"/>
      <c r="C648" s="8"/>
      <c r="D648" s="109" t="str">
        <f>IFERROR(INDEX([239]MATERIALES!C:C,MATCH(B648,[239]MATERIALES!B:B,0)),"")</f>
        <v/>
      </c>
      <c r="E648" s="110"/>
      <c r="F648" s="110"/>
      <c r="G648" s="110"/>
      <c r="H648" s="110"/>
      <c r="I648" s="110"/>
      <c r="J648" s="110"/>
      <c r="K648" s="111"/>
      <c r="L648" s="137" t="str">
        <f>IFERROR(INDEX([239]MATERIALES!D:D,MATCH(B648,[239]MATERIALES!B:B,0)),"")</f>
        <v/>
      </c>
      <c r="M648" s="138"/>
      <c r="N648" s="139" t="str">
        <f>IFERROR(INDEX([239]MATERIALES!P:P,MATCH(B648,[239]MATERIALES!B:B,0)),"")</f>
        <v/>
      </c>
      <c r="O648" s="140"/>
      <c r="P648" s="118" t="str">
        <f t="shared" si="22"/>
        <v/>
      </c>
      <c r="Q648" s="119"/>
      <c r="R648" s="4"/>
    </row>
    <row r="649" spans="1:21">
      <c r="A649" s="1">
        <f t="shared" si="21"/>
        <v>0</v>
      </c>
      <c r="B649" s="2"/>
      <c r="C649" s="8"/>
      <c r="D649" s="109" t="str">
        <f>IFERROR(INDEX([239]MATERIALES!C:C,MATCH(B649,[239]MATERIALES!B:B,0)),"")</f>
        <v/>
      </c>
      <c r="E649" s="110"/>
      <c r="F649" s="110"/>
      <c r="G649" s="110"/>
      <c r="H649" s="110"/>
      <c r="I649" s="110"/>
      <c r="J649" s="110"/>
      <c r="K649" s="111"/>
      <c r="L649" s="137" t="str">
        <f>IFERROR(INDEX([239]MATERIALES!D:D,MATCH(B649,[239]MATERIALES!B:B,0)),"")</f>
        <v/>
      </c>
      <c r="M649" s="138"/>
      <c r="N649" s="139" t="str">
        <f>IFERROR(INDEX([239]MATERIALES!P:P,MATCH(B649,[239]MATERIALES!B:B,0)),"")</f>
        <v/>
      </c>
      <c r="O649" s="140"/>
      <c r="P649" s="118" t="str">
        <f t="shared" si="22"/>
        <v/>
      </c>
      <c r="Q649" s="119"/>
      <c r="R649" s="4"/>
    </row>
    <row r="650" spans="1:21">
      <c r="A650" s="1">
        <f t="shared" si="21"/>
        <v>0</v>
      </c>
      <c r="B650" s="2"/>
      <c r="C650" s="8"/>
      <c r="D650" s="109" t="str">
        <f>IFERROR(INDEX([239]MATERIALES!C:C,MATCH(B650,[239]MATERIALES!B:B,0)),"")</f>
        <v/>
      </c>
      <c r="E650" s="110"/>
      <c r="F650" s="110"/>
      <c r="G650" s="110"/>
      <c r="H650" s="110"/>
      <c r="I650" s="110"/>
      <c r="J650" s="110"/>
      <c r="K650" s="111"/>
      <c r="L650" s="137" t="str">
        <f>IFERROR(INDEX([239]MATERIALES!D:D,MATCH(B650,[239]MATERIALES!B:B,0)),"")</f>
        <v/>
      </c>
      <c r="M650" s="138"/>
      <c r="N650" s="139" t="str">
        <f>IFERROR(INDEX([239]MATERIALES!P:P,MATCH(B650,[239]MATERIALES!B:B,0)),"")</f>
        <v/>
      </c>
      <c r="O650" s="140"/>
      <c r="P650" s="118" t="str">
        <f t="shared" si="22"/>
        <v/>
      </c>
      <c r="Q650" s="119"/>
      <c r="R650" s="4"/>
    </row>
    <row r="651" spans="1:21">
      <c r="A651" s="1">
        <f t="shared" si="21"/>
        <v>0</v>
      </c>
      <c r="B651" s="2"/>
      <c r="C651" s="8"/>
      <c r="D651" s="109" t="str">
        <f>IFERROR(INDEX([239]MATERIALES!C:C,MATCH(B651,[239]MATERIALES!B:B,0)),"")</f>
        <v/>
      </c>
      <c r="E651" s="110"/>
      <c r="F651" s="110"/>
      <c r="G651" s="110"/>
      <c r="H651" s="110"/>
      <c r="I651" s="110"/>
      <c r="J651" s="110"/>
      <c r="K651" s="111"/>
      <c r="L651" s="137" t="str">
        <f>IFERROR(INDEX([239]MATERIALES!D:D,MATCH(B651,[239]MATERIALES!B:B,0)),"")</f>
        <v/>
      </c>
      <c r="M651" s="138"/>
      <c r="N651" s="139" t="str">
        <f>IFERROR(INDEX([239]MATERIALES!P:P,MATCH(B651,[239]MATERIALES!B:B,0)),"")</f>
        <v/>
      </c>
      <c r="O651" s="140"/>
      <c r="P651" s="118" t="str">
        <f t="shared" si="22"/>
        <v/>
      </c>
      <c r="Q651" s="119"/>
      <c r="R651" s="4"/>
    </row>
    <row r="652" spans="1:21">
      <c r="A652" s="1">
        <f t="shared" si="21"/>
        <v>0</v>
      </c>
      <c r="B652" s="2"/>
      <c r="C652" s="8"/>
      <c r="D652" s="109" t="str">
        <f>IFERROR(INDEX([239]MATERIALES!C:C,MATCH(B652,[239]MATERIALES!B:B,0)),"")</f>
        <v/>
      </c>
      <c r="E652" s="110"/>
      <c r="F652" s="110"/>
      <c r="G652" s="110"/>
      <c r="H652" s="110"/>
      <c r="I652" s="110"/>
      <c r="J652" s="110"/>
      <c r="K652" s="111"/>
      <c r="L652" s="137" t="str">
        <f>IFERROR(INDEX([239]MATERIALES!D:D,MATCH(B652,[239]MATERIALES!B:B,0)),"")</f>
        <v/>
      </c>
      <c r="M652" s="138"/>
      <c r="N652" s="139" t="str">
        <f>IFERROR(INDEX([239]MATERIALES!P:P,MATCH(B652,[239]MATERIALES!B:B,0)),"")</f>
        <v/>
      </c>
      <c r="O652" s="140"/>
      <c r="P652" s="118" t="str">
        <f t="shared" si="22"/>
        <v/>
      </c>
      <c r="Q652" s="119"/>
      <c r="R652" s="4"/>
    </row>
    <row r="653" spans="1:21">
      <c r="A653" s="1">
        <f t="shared" si="21"/>
        <v>0</v>
      </c>
      <c r="B653" s="2"/>
      <c r="C653" s="8"/>
      <c r="D653" s="109" t="str">
        <f>IFERROR(INDEX([239]MATERIALES!C:C,MATCH(B653,[239]MATERIALES!B:B,0)),"")</f>
        <v/>
      </c>
      <c r="E653" s="110"/>
      <c r="F653" s="110"/>
      <c r="G653" s="110"/>
      <c r="H653" s="110"/>
      <c r="I653" s="110"/>
      <c r="J653" s="110"/>
      <c r="K653" s="111"/>
      <c r="L653" s="137" t="str">
        <f>IFERROR(INDEX([239]MATERIALES!D:D,MATCH(B653,[239]MATERIALES!B:B,0)),"")</f>
        <v/>
      </c>
      <c r="M653" s="138"/>
      <c r="N653" s="139" t="str">
        <f>IFERROR(INDEX([239]MATERIALES!P:P,MATCH(B653,[239]MATERIALES!B:B,0)),"")</f>
        <v/>
      </c>
      <c r="O653" s="140"/>
      <c r="P653" s="118" t="str">
        <f t="shared" si="22"/>
        <v/>
      </c>
      <c r="Q653" s="119"/>
      <c r="R653" s="4"/>
    </row>
    <row r="654" spans="1:21">
      <c r="A654" s="1">
        <f t="shared" si="21"/>
        <v>0</v>
      </c>
      <c r="B654" s="2"/>
      <c r="C654" s="8"/>
      <c r="D654" s="109" t="str">
        <f>IFERROR(INDEX([239]MATERIALES!C:C,MATCH(B654,[239]MATERIALES!B:B,0)),"")</f>
        <v/>
      </c>
      <c r="E654" s="110"/>
      <c r="F654" s="110"/>
      <c r="G654" s="110"/>
      <c r="H654" s="110"/>
      <c r="I654" s="110"/>
      <c r="J654" s="110"/>
      <c r="K654" s="111"/>
      <c r="L654" s="137" t="str">
        <f>IFERROR(INDEX([239]MATERIALES!D:D,MATCH(B654,[239]MATERIALES!B:B,0)),"")</f>
        <v/>
      </c>
      <c r="M654" s="138"/>
      <c r="N654" s="139" t="str">
        <f>IFERROR(INDEX([239]MATERIALES!P:P,MATCH(B654,[239]MATERIALES!B:B,0)),"")</f>
        <v/>
      </c>
      <c r="O654" s="140"/>
      <c r="P654" s="118" t="str">
        <f t="shared" si="22"/>
        <v/>
      </c>
      <c r="Q654" s="119"/>
      <c r="R654" s="4"/>
    </row>
    <row r="655" spans="1:21">
      <c r="A655" s="1">
        <f t="shared" si="21"/>
        <v>0</v>
      </c>
      <c r="B655" s="2"/>
      <c r="C655" s="8"/>
      <c r="D655" s="109" t="str">
        <f>IFERROR(INDEX([239]MATERIALES!C:C,MATCH(B655,[239]MATERIALES!B:B,0)),"")</f>
        <v/>
      </c>
      <c r="E655" s="110"/>
      <c r="F655" s="110"/>
      <c r="G655" s="110"/>
      <c r="H655" s="110"/>
      <c r="I655" s="110"/>
      <c r="J655" s="110"/>
      <c r="K655" s="111"/>
      <c r="L655" s="137" t="str">
        <f>IFERROR(INDEX([239]MATERIALES!D:D,MATCH(B655,[239]MATERIALES!B:B,0)),"")</f>
        <v/>
      </c>
      <c r="M655" s="138"/>
      <c r="N655" s="139" t="str">
        <f>IFERROR(INDEX([239]MATERIALES!P:P,MATCH(B655,[239]MATERIALES!B:B,0)),"")</f>
        <v/>
      </c>
      <c r="O655" s="140"/>
      <c r="P655" s="118" t="str">
        <f t="shared" si="22"/>
        <v/>
      </c>
      <c r="Q655" s="119"/>
      <c r="R655" s="4"/>
    </row>
    <row r="656" spans="1:21" ht="15.75" thickBot="1">
      <c r="A656" s="1">
        <f t="shared" si="21"/>
        <v>0</v>
      </c>
      <c r="B656" s="2"/>
      <c r="C656" s="8"/>
      <c r="D656" s="109" t="s">
        <v>28</v>
      </c>
      <c r="E656" s="110"/>
      <c r="F656" s="110"/>
      <c r="G656" s="110"/>
      <c r="H656" s="110"/>
      <c r="I656" s="110"/>
      <c r="J656" s="110"/>
      <c r="K656" s="111"/>
      <c r="L656" s="137" t="s">
        <v>29</v>
      </c>
      <c r="M656" s="138">
        <v>0.05</v>
      </c>
      <c r="N656" s="139">
        <f>SUM(P642:P655)</f>
        <v>0</v>
      </c>
      <c r="O656" s="140"/>
      <c r="P656" s="118">
        <f>ROUND(N656*M656,2)</f>
        <v>0</v>
      </c>
      <c r="Q656" s="119"/>
      <c r="R656" s="4"/>
    </row>
    <row r="657" spans="1:19" ht="15.75" thickBot="1">
      <c r="A657" s="1">
        <f t="shared" si="21"/>
        <v>0</v>
      </c>
      <c r="B657" s="2"/>
      <c r="C657" s="8"/>
      <c r="D657" s="128" t="s">
        <v>24</v>
      </c>
      <c r="E657" s="129"/>
      <c r="F657" s="129"/>
      <c r="G657" s="129"/>
      <c r="H657" s="129"/>
      <c r="I657" s="129"/>
      <c r="J657" s="129"/>
      <c r="K657" s="129"/>
      <c r="L657" s="129"/>
      <c r="M657" s="129"/>
      <c r="N657" s="129"/>
      <c r="O657" s="130"/>
      <c r="P657" s="131">
        <f>SUM(P642:P656)</f>
        <v>0</v>
      </c>
      <c r="Q657" s="119"/>
      <c r="R657" s="4"/>
    </row>
    <row r="658" spans="1:19" ht="15.75" thickBot="1">
      <c r="A658" s="1">
        <f t="shared" si="21"/>
        <v>0</v>
      </c>
      <c r="B658" s="2"/>
      <c r="C658" s="8"/>
      <c r="D658" s="74" t="s">
        <v>30</v>
      </c>
      <c r="E658" s="37"/>
      <c r="F658" s="37"/>
      <c r="G658" s="37"/>
      <c r="H658" s="37"/>
      <c r="I658" s="37"/>
      <c r="J658" s="37"/>
      <c r="K658" s="37"/>
      <c r="L658" s="37"/>
      <c r="M658" s="37"/>
      <c r="N658" s="37"/>
      <c r="O658" s="37"/>
      <c r="P658" s="99"/>
      <c r="Q658" s="100"/>
      <c r="R658" s="4"/>
    </row>
    <row r="659" spans="1:19">
      <c r="A659" s="1">
        <f t="shared" si="21"/>
        <v>0</v>
      </c>
      <c r="B659" s="2"/>
      <c r="C659" s="8"/>
      <c r="D659" s="101" t="s">
        <v>31</v>
      </c>
      <c r="E659" s="133"/>
      <c r="F659" s="133"/>
      <c r="G659" s="133"/>
      <c r="H659" s="133"/>
      <c r="I659" s="133"/>
      <c r="J659" s="133"/>
      <c r="K659" s="106" t="s">
        <v>32</v>
      </c>
      <c r="L659" s="141" t="s">
        <v>33</v>
      </c>
      <c r="M659" s="106" t="s">
        <v>34</v>
      </c>
      <c r="N659" s="104" t="s">
        <v>20</v>
      </c>
      <c r="O659" s="105"/>
      <c r="P659" s="107" t="s">
        <v>22</v>
      </c>
      <c r="Q659" s="108"/>
      <c r="R659" s="4"/>
    </row>
    <row r="660" spans="1:19">
      <c r="A660" s="1">
        <f t="shared" si="21"/>
        <v>0</v>
      </c>
      <c r="B660" s="2" t="s">
        <v>259</v>
      </c>
      <c r="C660" s="8"/>
      <c r="D660" s="142" t="str">
        <f>IFERROR(INDEX([239]TRANSPORTES!B:B,MATCH(B660,[239]TRANSPORTES!A:A,0)),"")</f>
        <v>ESCOMBROS / SOBRANTES HASTA 5 KM</v>
      </c>
      <c r="E660" s="143"/>
      <c r="F660" s="143"/>
      <c r="G660" s="143"/>
      <c r="H660" s="143"/>
      <c r="I660" s="143"/>
      <c r="J660" s="143"/>
      <c r="K660" s="220">
        <v>1.3</v>
      </c>
      <c r="L660" s="145">
        <v>5</v>
      </c>
      <c r="M660" s="146" t="str">
        <f>IFERROR(INDEX([239]TRANSPORTES!C:C,MATCH(B660,[239]TRANSPORTES!A:A,0)),"")</f>
        <v>M3/KM</v>
      </c>
      <c r="N660" s="139">
        <f>IFERROR(INDEX([239]TRANSPORTES!D:D,MATCH(B660,[239]TRANSPORTES!A:A,0)),"")</f>
        <v>2300</v>
      </c>
      <c r="O660" s="147"/>
      <c r="P660" s="148">
        <f>IFERROR(ROUND(K660*N660*L660,2),"")</f>
        <v>14950</v>
      </c>
      <c r="Q660" s="119"/>
      <c r="R660" s="4"/>
    </row>
    <row r="661" spans="1:19">
      <c r="A661" s="1">
        <f t="shared" si="21"/>
        <v>0</v>
      </c>
      <c r="B661" s="2"/>
      <c r="C661" s="8"/>
      <c r="D661" s="142" t="str">
        <f>IFERROR(INDEX([239]TRANSPORTES!B:B,MATCH(B661,[239]TRANSPORTES!A:A,0)),"")</f>
        <v/>
      </c>
      <c r="E661" s="143"/>
      <c r="F661" s="143"/>
      <c r="G661" s="143"/>
      <c r="H661" s="143"/>
      <c r="I661" s="143"/>
      <c r="J661" s="143"/>
      <c r="K661" s="144"/>
      <c r="L661" s="145"/>
      <c r="M661" s="146" t="str">
        <f>IFERROR(INDEX([239]TRANSPORTES!C:C,MATCH(B661,[239]TRANSPORTES!A:A,0)),"")</f>
        <v/>
      </c>
      <c r="N661" s="139" t="str">
        <f>IFERROR(INDEX([239]TRANSPORTES!D:D,MATCH(B661,[239]TRANSPORTES!A:A,0)),"")</f>
        <v/>
      </c>
      <c r="O661" s="147"/>
      <c r="P661" s="148" t="str">
        <f>IFERROR(ROUND(K661*N661*L661,2),"")</f>
        <v/>
      </c>
      <c r="Q661" s="119"/>
      <c r="R661" s="4"/>
    </row>
    <row r="662" spans="1:19">
      <c r="A662" s="1">
        <f t="shared" si="21"/>
        <v>0</v>
      </c>
      <c r="B662" s="2"/>
      <c r="C662" s="8"/>
      <c r="D662" s="142" t="str">
        <f>IFERROR(INDEX([239]TRANSPORTES!B:B,MATCH(B662,[239]TRANSPORTES!A:A,0)),"")</f>
        <v/>
      </c>
      <c r="E662" s="143"/>
      <c r="F662" s="143"/>
      <c r="G662" s="143"/>
      <c r="H662" s="143"/>
      <c r="I662" s="143"/>
      <c r="J662" s="143"/>
      <c r="K662" s="144"/>
      <c r="L662" s="145"/>
      <c r="M662" s="146" t="str">
        <f>IFERROR(INDEX([239]TRANSPORTES!C:C,MATCH(B662,[239]TRANSPORTES!A:A,0)),"")</f>
        <v/>
      </c>
      <c r="N662" s="139" t="str">
        <f>IFERROR(INDEX([239]TRANSPORTES!D:D,MATCH(B662,[239]TRANSPORTES!A:A,0)),"")</f>
        <v/>
      </c>
      <c r="O662" s="147"/>
      <c r="P662" s="148" t="str">
        <f>IFERROR(ROUND(K662*N662*L662,2),"")</f>
        <v/>
      </c>
      <c r="Q662" s="119"/>
      <c r="R662" s="4"/>
    </row>
    <row r="663" spans="1:19" ht="15.75" thickBot="1">
      <c r="A663" s="1">
        <f t="shared" si="21"/>
        <v>0</v>
      </c>
      <c r="B663" s="2"/>
      <c r="C663" s="8"/>
      <c r="D663" s="142" t="str">
        <f>IFERROR(INDEX([239]TRANSPORTES!B:B,MATCH(B663,[239]TRANSPORTES!A:A,0)),"")</f>
        <v/>
      </c>
      <c r="E663" s="143"/>
      <c r="F663" s="143"/>
      <c r="G663" s="143"/>
      <c r="H663" s="143"/>
      <c r="I663" s="143"/>
      <c r="J663" s="143"/>
      <c r="K663" s="149"/>
      <c r="L663" s="150"/>
      <c r="M663" s="146" t="str">
        <f>IFERROR(INDEX([239]TRANSPORTES!C:C,MATCH(B663,[239]TRANSPORTES!A:A,0)),"")</f>
        <v/>
      </c>
      <c r="N663" s="139" t="str">
        <f>IFERROR(INDEX([239]TRANSPORTES!D:D,MATCH(B663,[239]TRANSPORTES!A:A,0)),"")</f>
        <v/>
      </c>
      <c r="O663" s="147"/>
      <c r="P663" s="148" t="str">
        <f>IFERROR(ROUND(K663*N663*L663,2),"")</f>
        <v/>
      </c>
      <c r="Q663" s="119"/>
      <c r="R663" s="4"/>
    </row>
    <row r="664" spans="1:19" ht="15.75" thickBot="1">
      <c r="A664" s="1">
        <f t="shared" si="21"/>
        <v>0</v>
      </c>
      <c r="B664" s="2"/>
      <c r="C664" s="8"/>
      <c r="D664" s="128" t="s">
        <v>24</v>
      </c>
      <c r="E664" s="129"/>
      <c r="F664" s="129"/>
      <c r="G664" s="129"/>
      <c r="H664" s="129"/>
      <c r="I664" s="129"/>
      <c r="J664" s="129"/>
      <c r="K664" s="129"/>
      <c r="L664" s="129"/>
      <c r="M664" s="129"/>
      <c r="N664" s="129"/>
      <c r="O664" s="130"/>
      <c r="P664" s="151">
        <f>SUM(P660:P663)</f>
        <v>14950</v>
      </c>
      <c r="Q664" s="132"/>
      <c r="R664" s="4"/>
    </row>
    <row r="665" spans="1:19" ht="15.75" thickBot="1">
      <c r="A665" s="1">
        <f t="shared" si="21"/>
        <v>0</v>
      </c>
      <c r="B665" s="2"/>
      <c r="C665" s="8"/>
      <c r="D665" s="74" t="s">
        <v>36</v>
      </c>
      <c r="E665" s="37"/>
      <c r="F665" s="37"/>
      <c r="G665" s="37"/>
      <c r="H665" s="37"/>
      <c r="I665" s="37"/>
      <c r="J665" s="37"/>
      <c r="K665" s="37"/>
      <c r="L665" s="37"/>
      <c r="M665" s="37"/>
      <c r="N665" s="37"/>
      <c r="O665" s="37"/>
      <c r="P665" s="99"/>
      <c r="Q665" s="100"/>
      <c r="R665" s="4"/>
    </row>
    <row r="666" spans="1:19" ht="30">
      <c r="A666" s="1">
        <f t="shared" si="21"/>
        <v>0</v>
      </c>
      <c r="B666" s="2"/>
      <c r="C666" s="8"/>
      <c r="D666" s="101" t="s">
        <v>37</v>
      </c>
      <c r="E666" s="133"/>
      <c r="F666" s="133"/>
      <c r="G666" s="133"/>
      <c r="H666" s="133"/>
      <c r="I666" s="133"/>
      <c r="J666" s="133"/>
      <c r="K666" s="106" t="s">
        <v>38</v>
      </c>
      <c r="L666" s="152" t="s">
        <v>39</v>
      </c>
      <c r="M666" s="153" t="s">
        <v>40</v>
      </c>
      <c r="N666" s="104" t="s">
        <v>21</v>
      </c>
      <c r="O666" s="105"/>
      <c r="P666" s="154" t="s">
        <v>22</v>
      </c>
      <c r="Q666" s="155"/>
      <c r="R666" s="4"/>
    </row>
    <row r="667" spans="1:19">
      <c r="A667" s="1">
        <f t="shared" si="21"/>
        <v>0</v>
      </c>
      <c r="B667" s="2" t="s">
        <v>81</v>
      </c>
      <c r="C667" s="8"/>
      <c r="D667" s="109" t="str">
        <f>IFERROR(INDEX('[239]MANO DE OBRA'!B:B,MATCH(B667,'[239]MANO DE OBRA'!A:A,0)),"")</f>
        <v>AYUDANTE (1)</v>
      </c>
      <c r="E667" s="110"/>
      <c r="F667" s="110"/>
      <c r="G667" s="110"/>
      <c r="H667" s="110"/>
      <c r="I667" s="110"/>
      <c r="J667" s="111"/>
      <c r="K667" s="156">
        <f>IFERROR(INDEX('[239]MANO DE OBRA'!D:D,MATCH(B667,'[239]MANO DE OBRA'!A:A,0)),"")</f>
        <v>71433</v>
      </c>
      <c r="L667" s="157">
        <f>+IF(D667&lt;&gt;"",'[239]FACTOR PRESTACIONAL'!$E$21," ")</f>
        <v>1.95</v>
      </c>
      <c r="M667" s="158">
        <f>IFERROR(K667*L667," ")</f>
        <v>139294.35</v>
      </c>
      <c r="N667" s="159">
        <v>1.89</v>
      </c>
      <c r="O667" s="160"/>
      <c r="P667" s="161">
        <f>IFERROR(ROUND(M667/N667,2)," ")</f>
        <v>73700.710000000006</v>
      </c>
      <c r="Q667" s="162"/>
      <c r="R667" s="168">
        <v>512427</v>
      </c>
      <c r="S667" s="531">
        <f>+P682-R667</f>
        <v>0</v>
      </c>
    </row>
    <row r="668" spans="1:19">
      <c r="A668" s="1">
        <f t="shared" si="21"/>
        <v>0</v>
      </c>
      <c r="B668" s="2" t="s">
        <v>41</v>
      </c>
      <c r="C668" s="8"/>
      <c r="D668" s="109" t="str">
        <f>IFERROR(INDEX('[239]MANO DE OBRA'!B:B,MATCH(B668,'[239]MANO DE OBRA'!A:A,0)),"")</f>
        <v>OFICIAL</v>
      </c>
      <c r="E668" s="110"/>
      <c r="F668" s="110"/>
      <c r="G668" s="110"/>
      <c r="H668" s="110"/>
      <c r="I668" s="110"/>
      <c r="J668" s="111"/>
      <c r="K668" s="156">
        <f>IFERROR(INDEX('[239]MANO DE OBRA'!D:D,MATCH(B668,'[239]MANO DE OBRA'!A:A,0)),"")</f>
        <v>95930</v>
      </c>
      <c r="L668" s="157">
        <f>+IF(D668&lt;&gt;"",'[239]FACTOR PRESTACIONAL'!$E$21," ")</f>
        <v>1.95</v>
      </c>
      <c r="M668" s="158">
        <f>IFERROR(K668*L668," ")</f>
        <v>187063.5</v>
      </c>
      <c r="N668" s="159">
        <f>+N667</f>
        <v>1.89</v>
      </c>
      <c r="O668" s="160"/>
      <c r="P668" s="161">
        <f>IFERROR(ROUND(M668/N668,2)," ")</f>
        <v>98975.4</v>
      </c>
      <c r="Q668" s="162"/>
      <c r="R668" s="4"/>
    </row>
    <row r="669" spans="1:19">
      <c r="A669" s="1">
        <f t="shared" si="21"/>
        <v>0</v>
      </c>
      <c r="B669" s="2"/>
      <c r="C669" s="8"/>
      <c r="D669" s="109" t="str">
        <f>IFERROR(INDEX('[239]MANO DE OBRA'!B:B,MATCH(B669,'[239]MANO DE OBRA'!A:A,0)),"")</f>
        <v/>
      </c>
      <c r="E669" s="110"/>
      <c r="F669" s="110"/>
      <c r="G669" s="110"/>
      <c r="H669" s="110"/>
      <c r="I669" s="110"/>
      <c r="J669" s="111"/>
      <c r="K669" s="156" t="str">
        <f>IFERROR(INDEX('[239]MANO DE OBRA'!D:D,MATCH(B669,'[239]MANO DE OBRA'!A:A,0)),"")</f>
        <v/>
      </c>
      <c r="L669" s="157" t="str">
        <f>+IF(D669&lt;&gt;"",'[239]FACTOR PRESTACIONAL'!$E$21," ")</f>
        <v xml:space="preserve"> </v>
      </c>
      <c r="M669" s="158" t="str">
        <f>IFERROR(K669*L669," ")</f>
        <v xml:space="preserve"> </v>
      </c>
      <c r="N669" s="159"/>
      <c r="O669" s="160"/>
      <c r="P669" s="161" t="str">
        <f>IFERROR(ROUND(M669/N669,2)," ")</f>
        <v xml:space="preserve"> </v>
      </c>
      <c r="Q669" s="162"/>
      <c r="R669" s="4"/>
    </row>
    <row r="670" spans="1:19">
      <c r="A670" s="1">
        <f t="shared" si="21"/>
        <v>0</v>
      </c>
      <c r="B670" s="2"/>
      <c r="C670" s="8"/>
      <c r="D670" s="109" t="str">
        <f>IFERROR(INDEX('[239]MANO DE OBRA'!B:B,MATCH(B670,'[239]MANO DE OBRA'!A:A,0)),"")</f>
        <v/>
      </c>
      <c r="E670" s="110"/>
      <c r="F670" s="110"/>
      <c r="G670" s="110"/>
      <c r="H670" s="110"/>
      <c r="I670" s="110"/>
      <c r="J670" s="111"/>
      <c r="K670" s="156" t="str">
        <f>IFERROR(INDEX('[239]MANO DE OBRA'!D:D,MATCH(B670,'[239]MANO DE OBRA'!A:A,0)),"")</f>
        <v/>
      </c>
      <c r="L670" s="157" t="str">
        <f>+IF(D670&lt;&gt;"",'[239]FACTOR PRESTACIONAL'!$E$21," ")</f>
        <v xml:space="preserve"> </v>
      </c>
      <c r="M670" s="158" t="str">
        <f>IFERROR(K670*L670," ")</f>
        <v xml:space="preserve"> </v>
      </c>
      <c r="N670" s="159"/>
      <c r="O670" s="160"/>
      <c r="P670" s="161" t="str">
        <f>IFERROR(ROUND(M670/N670,2)," ")</f>
        <v xml:space="preserve"> </v>
      </c>
      <c r="Q670" s="162"/>
      <c r="R670" s="4"/>
    </row>
    <row r="671" spans="1:19" ht="15.75" thickBot="1">
      <c r="A671" s="1">
        <f t="shared" si="21"/>
        <v>0</v>
      </c>
      <c r="B671" s="2"/>
      <c r="C671" s="8"/>
      <c r="D671" s="109" t="str">
        <f>IFERROR(INDEX('[239]MANO DE OBRA'!B:B,MATCH(B671,'[239]MANO DE OBRA'!A:A,0)),"")</f>
        <v/>
      </c>
      <c r="E671" s="110"/>
      <c r="F671" s="110"/>
      <c r="G671" s="110"/>
      <c r="H671" s="110"/>
      <c r="I671" s="110"/>
      <c r="J671" s="111"/>
      <c r="K671" s="156" t="str">
        <f>IFERROR(INDEX('[239]MANO DE OBRA'!D:D,MATCH(B671,'[239]MANO DE OBRA'!A:A,0)),"")</f>
        <v/>
      </c>
      <c r="L671" s="157" t="str">
        <f>+IF(D671&lt;&gt;"",'[239]FACTOR PRESTACIONAL'!$E$21," ")</f>
        <v xml:space="preserve"> </v>
      </c>
      <c r="M671" s="158" t="str">
        <f>IFERROR(K671*L671," ")</f>
        <v xml:space="preserve"> </v>
      </c>
      <c r="N671" s="159"/>
      <c r="O671" s="160"/>
      <c r="P671" s="161" t="str">
        <f>IFERROR(ROUND(M671/N671,2)," ")</f>
        <v xml:space="preserve"> </v>
      </c>
      <c r="Q671" s="119"/>
      <c r="R671" s="4"/>
    </row>
    <row r="672" spans="1:19" ht="15.75" thickBot="1">
      <c r="A672" s="1">
        <f t="shared" si="21"/>
        <v>0</v>
      </c>
      <c r="B672" s="2"/>
      <c r="C672" s="8"/>
      <c r="D672" s="128" t="s">
        <v>24</v>
      </c>
      <c r="E672" s="129"/>
      <c r="F672" s="129"/>
      <c r="G672" s="129"/>
      <c r="H672" s="129"/>
      <c r="I672" s="129"/>
      <c r="J672" s="129"/>
      <c r="K672" s="129"/>
      <c r="L672" s="129"/>
      <c r="M672" s="129"/>
      <c r="N672" s="129"/>
      <c r="O672" s="130"/>
      <c r="P672" s="131">
        <f>SUM(P667:P671)</f>
        <v>172676.11</v>
      </c>
      <c r="Q672" s="119"/>
      <c r="R672" s="4"/>
    </row>
    <row r="673" spans="1:18" ht="15.75" thickBot="1">
      <c r="A673" s="1">
        <f t="shared" si="21"/>
        <v>0</v>
      </c>
      <c r="B673" s="2"/>
      <c r="C673" s="8"/>
      <c r="D673" s="87"/>
      <c r="E673" s="20"/>
      <c r="F673" s="20"/>
      <c r="G673" s="20"/>
      <c r="H673" s="20"/>
      <c r="I673" s="20"/>
      <c r="J673" s="20"/>
      <c r="K673" s="20"/>
      <c r="L673" s="20"/>
      <c r="M673" s="20"/>
      <c r="N673" s="20"/>
      <c r="O673" s="20"/>
      <c r="P673" s="88"/>
      <c r="Q673" s="13"/>
      <c r="R673" s="4"/>
    </row>
    <row r="674" spans="1:18" ht="15.75" thickBot="1">
      <c r="A674" s="1"/>
      <c r="B674" s="2"/>
      <c r="C674" s="8"/>
      <c r="D674" s="163" t="s">
        <v>43</v>
      </c>
      <c r="E674" s="164"/>
      <c r="F674" s="164"/>
      <c r="G674" s="164"/>
      <c r="H674" s="164"/>
      <c r="I674" s="164"/>
      <c r="J674" s="164"/>
      <c r="K674" s="164"/>
      <c r="L674" s="164"/>
      <c r="M674" s="164"/>
      <c r="N674" s="164"/>
      <c r="O674" s="165"/>
      <c r="P674" s="166">
        <f>+P672+P664+P657+P639</f>
        <v>385283.45999999996</v>
      </c>
      <c r="Q674" s="167"/>
      <c r="R674" s="168"/>
    </row>
    <row r="675" spans="1:18" ht="15.75" thickBot="1">
      <c r="A675" s="1"/>
      <c r="B675" s="2"/>
      <c r="C675" s="8"/>
      <c r="D675" s="169"/>
      <c r="E675" s="170"/>
      <c r="F675" s="170"/>
      <c r="G675" s="170"/>
      <c r="H675" s="170"/>
      <c r="I675" s="170"/>
      <c r="J675" s="170"/>
      <c r="K675" s="170"/>
      <c r="L675" s="170"/>
      <c r="M675" s="170"/>
      <c r="N675" s="170"/>
      <c r="O675" s="170"/>
      <c r="P675" s="171"/>
      <c r="Q675" s="100"/>
      <c r="R675" s="4"/>
    </row>
    <row r="676" spans="1:18">
      <c r="A676" s="1"/>
      <c r="B676" s="2"/>
      <c r="C676" s="8"/>
      <c r="D676" s="172" t="s">
        <v>73</v>
      </c>
      <c r="E676" s="173"/>
      <c r="F676" s="173"/>
      <c r="G676" s="173"/>
      <c r="H676" s="173"/>
      <c r="I676" s="173"/>
      <c r="J676" s="173"/>
      <c r="K676" s="141"/>
      <c r="L676" s="174"/>
      <c r="M676" s="153" t="s">
        <v>44</v>
      </c>
      <c r="N676" s="175" t="s">
        <v>45</v>
      </c>
      <c r="O676" s="176"/>
      <c r="P676" s="154"/>
      <c r="Q676" s="155"/>
      <c r="R676" s="4"/>
    </row>
    <row r="677" spans="1:18">
      <c r="A677" s="1"/>
      <c r="B677" s="2"/>
      <c r="C677" s="8"/>
      <c r="D677" s="109" t="s">
        <v>65</v>
      </c>
      <c r="E677" s="110"/>
      <c r="F677" s="110"/>
      <c r="G677" s="110"/>
      <c r="H677" s="110"/>
      <c r="I677" s="110"/>
      <c r="J677" s="110"/>
      <c r="K677" s="177"/>
      <c r="L677" s="178"/>
      <c r="M677" s="179">
        <f>+[239]INICIO!$F$10</f>
        <v>0.24</v>
      </c>
      <c r="N677" s="180">
        <f>ROUND(M677*P674,2)</f>
        <v>92468.03</v>
      </c>
      <c r="O677" s="181"/>
      <c r="P677" s="182"/>
      <c r="Q677" s="119"/>
      <c r="R677" s="4"/>
    </row>
    <row r="678" spans="1:18">
      <c r="A678" s="1"/>
      <c r="B678" s="2"/>
      <c r="C678" s="8"/>
      <c r="D678" s="183" t="s">
        <v>67</v>
      </c>
      <c r="E678" s="61"/>
      <c r="F678" s="61"/>
      <c r="G678" s="61"/>
      <c r="H678" s="61"/>
      <c r="I678" s="61"/>
      <c r="J678" s="61"/>
      <c r="K678" s="177"/>
      <c r="L678" s="178"/>
      <c r="M678" s="179">
        <f>+[239]INICIO!$F$11</f>
        <v>0.02</v>
      </c>
      <c r="N678" s="180">
        <f>ROUND(M678*P674,2)</f>
        <v>7705.67</v>
      </c>
      <c r="O678" s="181"/>
      <c r="P678" s="182"/>
      <c r="Q678" s="119"/>
      <c r="R678" s="4"/>
    </row>
    <row r="679" spans="1:18" ht="15.75" thickBot="1">
      <c r="A679" s="1"/>
      <c r="B679" s="2"/>
      <c r="C679" s="8"/>
      <c r="D679" s="77" t="s">
        <v>69</v>
      </c>
      <c r="E679" s="78"/>
      <c r="F679" s="78"/>
      <c r="G679" s="78"/>
      <c r="H679" s="78"/>
      <c r="I679" s="78"/>
      <c r="J679" s="78"/>
      <c r="K679" s="184"/>
      <c r="L679" s="185"/>
      <c r="M679" s="179">
        <f>+[239]INICIO!$F$12</f>
        <v>7.0000000000000007E-2</v>
      </c>
      <c r="N679" s="180">
        <f>ROUND(M679*P674,2)</f>
        <v>26969.84</v>
      </c>
      <c r="O679" s="181"/>
      <c r="P679" s="182"/>
      <c r="Q679" s="119"/>
      <c r="R679" s="4"/>
    </row>
    <row r="680" spans="1:18" ht="15.75" thickBot="1">
      <c r="A680" s="1"/>
      <c r="B680" s="2"/>
      <c r="C680" s="8"/>
      <c r="D680" s="128"/>
      <c r="E680" s="129"/>
      <c r="F680" s="129"/>
      <c r="G680" s="129"/>
      <c r="H680" s="129"/>
      <c r="I680" s="129"/>
      <c r="J680" s="129"/>
      <c r="K680" s="129"/>
      <c r="L680" s="129"/>
      <c r="M680" s="129"/>
      <c r="N680" s="129"/>
      <c r="O680" s="130"/>
      <c r="P680" s="131">
        <f>SUM(N677:N679)</f>
        <v>127143.54</v>
      </c>
      <c r="Q680" s="186"/>
      <c r="R680" s="4"/>
    </row>
    <row r="681" spans="1:18" ht="15.75" thickBot="1">
      <c r="A681" s="1"/>
      <c r="B681" s="2"/>
      <c r="C681" s="8"/>
      <c r="D681" s="87"/>
      <c r="E681" s="20"/>
      <c r="F681" s="20"/>
      <c r="G681" s="20"/>
      <c r="H681" s="20"/>
      <c r="I681" s="20"/>
      <c r="J681" s="20"/>
      <c r="K681" s="20"/>
      <c r="L681" s="20"/>
      <c r="M681" s="20"/>
      <c r="N681" s="20"/>
      <c r="O681" s="20"/>
      <c r="P681" s="88"/>
      <c r="Q681" s="13"/>
      <c r="R681" s="4"/>
    </row>
    <row r="682" spans="1:18" ht="15.75" thickBot="1">
      <c r="A682" s="1"/>
      <c r="B682" s="2"/>
      <c r="C682" s="8"/>
      <c r="D682" s="187" t="s">
        <v>46</v>
      </c>
      <c r="E682" s="188"/>
      <c r="F682" s="188"/>
      <c r="G682" s="188"/>
      <c r="H682" s="188"/>
      <c r="I682" s="188"/>
      <c r="J682" s="188"/>
      <c r="K682" s="188"/>
      <c r="L682" s="188"/>
      <c r="M682" s="188"/>
      <c r="N682" s="188"/>
      <c r="O682" s="189"/>
      <c r="P682" s="166">
        <f>ROUND(P680+P674,0)</f>
        <v>512427</v>
      </c>
      <c r="Q682" s="186"/>
      <c r="R682" s="4"/>
    </row>
    <row r="683" spans="1:18">
      <c r="A683" s="1"/>
      <c r="B683" s="2"/>
      <c r="C683" s="8"/>
      <c r="D683" s="80"/>
      <c r="E683" s="81"/>
      <c r="F683" s="81"/>
      <c r="G683" s="81"/>
      <c r="H683" s="81"/>
      <c r="I683" s="81"/>
      <c r="J683" s="81"/>
      <c r="K683" s="81"/>
      <c r="L683" s="81"/>
      <c r="M683" s="81"/>
      <c r="N683" s="81"/>
      <c r="O683" s="81"/>
      <c r="P683" s="82"/>
      <c r="Q683" s="13"/>
      <c r="R683" s="4"/>
    </row>
    <row r="684" spans="1:18">
      <c r="A684" s="1"/>
      <c r="B684" s="2"/>
      <c r="C684" s="8"/>
      <c r="D684" s="87"/>
      <c r="E684" s="20"/>
      <c r="F684" s="20"/>
      <c r="G684" s="20"/>
      <c r="H684" s="20"/>
      <c r="I684" s="20"/>
      <c r="J684" s="20"/>
      <c r="K684" s="20"/>
      <c r="L684" s="20"/>
      <c r="M684" s="20"/>
      <c r="N684" s="20"/>
      <c r="O684" s="20"/>
      <c r="P684" s="88"/>
      <c r="Q684" s="13"/>
      <c r="R684" s="4"/>
    </row>
    <row r="685" spans="1:18">
      <c r="A685" s="1"/>
      <c r="B685" s="2"/>
      <c r="C685" s="8"/>
      <c r="D685" s="87"/>
      <c r="E685" s="20"/>
      <c r="F685" s="20"/>
      <c r="G685" s="20"/>
      <c r="H685" s="20"/>
      <c r="I685" s="20"/>
      <c r="J685" s="20"/>
      <c r="K685" s="20"/>
      <c r="L685" s="20"/>
      <c r="M685" s="20"/>
      <c r="N685" s="20"/>
      <c r="O685" s="20"/>
      <c r="P685" s="88"/>
      <c r="Q685" s="13"/>
      <c r="R685" s="4"/>
    </row>
    <row r="686" spans="1:18">
      <c r="A686" s="1"/>
      <c r="B686" s="2"/>
      <c r="C686" s="8"/>
      <c r="D686" s="87"/>
      <c r="E686" s="20"/>
      <c r="F686" s="20"/>
      <c r="G686" s="20"/>
      <c r="H686" s="20"/>
      <c r="I686" s="20"/>
      <c r="J686" s="20"/>
      <c r="K686" s="20"/>
      <c r="L686" s="20"/>
      <c r="M686" s="20"/>
      <c r="N686" s="20"/>
      <c r="O686" s="20"/>
      <c r="P686" s="88"/>
      <c r="Q686" s="13"/>
      <c r="R686" s="4"/>
    </row>
    <row r="687" spans="1:18">
      <c r="A687" s="1"/>
      <c r="B687" s="2"/>
      <c r="C687" s="8"/>
      <c r="D687" s="219" t="str">
        <f>+[239]INICIO!$B$13</f>
        <v>Proyectó:</v>
      </c>
      <c r="E687" s="49"/>
      <c r="F687" s="49"/>
      <c r="G687" s="49"/>
      <c r="H687" s="49"/>
      <c r="I687" s="49"/>
      <c r="J687" s="49"/>
      <c r="K687" s="20"/>
      <c r="L687" s="69" t="str">
        <f>+[239]INICIO!$B$16</f>
        <v>Aprobó:</v>
      </c>
      <c r="M687" s="49"/>
      <c r="N687" s="49"/>
      <c r="O687" s="49"/>
      <c r="P687" s="88"/>
      <c r="Q687" s="13"/>
      <c r="R687" s="4"/>
    </row>
    <row r="688" spans="1:18">
      <c r="A688" s="1"/>
      <c r="B688" s="2"/>
      <c r="C688" s="8"/>
      <c r="D688" s="87"/>
      <c r="E688" s="20" t="str">
        <f>+Hoja2!C$13</f>
        <v>HELMER EDUARDO BECERRA SANTANDER</v>
      </c>
      <c r="F688" s="20"/>
      <c r="G688" s="20"/>
      <c r="H688" s="20"/>
      <c r="I688" s="20"/>
      <c r="J688" s="20"/>
      <c r="K688" s="20"/>
      <c r="L688" s="20"/>
      <c r="M688" s="20" t="str">
        <f>+Hoja2!$C$16</f>
        <v>JESÚS IVÁN QUIÑONES RUEDA</v>
      </c>
      <c r="N688" s="20"/>
      <c r="O688" s="20"/>
      <c r="P688" s="88"/>
      <c r="Q688" s="190"/>
      <c r="R688" s="4"/>
    </row>
    <row r="689" spans="1:18">
      <c r="A689" s="1"/>
      <c r="B689" s="2"/>
      <c r="C689" s="8"/>
      <c r="D689" s="87"/>
      <c r="E689" s="20" t="str">
        <f>+Hoja2!C$14</f>
        <v>APOYO SEC. DE PLANEACIÓN Y OBRAS PÚBLICAS</v>
      </c>
      <c r="F689" s="20"/>
      <c r="G689" s="20"/>
      <c r="H689" s="20"/>
      <c r="I689" s="20"/>
      <c r="J689" s="20"/>
      <c r="K689" s="20"/>
      <c r="L689" s="20"/>
      <c r="M689" s="20" t="str">
        <f>+Hoja2!$C$17</f>
        <v>SECRETARIO DE PLANEACIÓN Y OBRAS PUBLICAS</v>
      </c>
      <c r="N689" s="20"/>
      <c r="O689" s="20"/>
      <c r="P689" s="88"/>
      <c r="Q689" s="190"/>
      <c r="R689" s="4"/>
    </row>
    <row r="690" spans="1:18">
      <c r="A690" s="1"/>
      <c r="B690" s="2"/>
      <c r="C690" s="8"/>
      <c r="D690" s="68"/>
      <c r="E690" s="20" t="str">
        <f>+Hoja2!C$15</f>
        <v>123769-0701671 NTS</v>
      </c>
      <c r="F690" s="191"/>
      <c r="G690" s="191"/>
      <c r="H690" s="191"/>
      <c r="I690" s="20"/>
      <c r="J690" s="191"/>
      <c r="K690" s="191"/>
      <c r="L690" s="191"/>
      <c r="M690" s="192" t="str">
        <f>+Hoja2!C$18</f>
        <v>A21382020-1090480860</v>
      </c>
      <c r="N690" s="191"/>
      <c r="O690" s="191"/>
      <c r="P690" s="193"/>
      <c r="Q690" s="194"/>
      <c r="R690" s="4"/>
    </row>
    <row r="691" spans="1:18" ht="16.5" thickBot="1">
      <c r="A691" s="1"/>
      <c r="B691" s="2"/>
      <c r="C691" s="8"/>
      <c r="D691" s="195"/>
      <c r="E691" s="150"/>
      <c r="F691" s="150"/>
      <c r="G691" s="150"/>
      <c r="H691" s="150"/>
      <c r="I691" s="150"/>
      <c r="J691" s="150"/>
      <c r="K691" s="150"/>
      <c r="L691" s="150"/>
      <c r="M691" s="150"/>
      <c r="N691" s="150"/>
      <c r="O691" s="150"/>
      <c r="P691" s="196"/>
      <c r="Q691" s="197"/>
      <c r="R691" s="4"/>
    </row>
    <row r="692" spans="1:18" ht="15.75" thickBot="1">
      <c r="A692" s="1"/>
      <c r="B692" s="2"/>
      <c r="C692" s="198"/>
      <c r="D692" s="199"/>
      <c r="E692" s="199"/>
      <c r="F692" s="199"/>
      <c r="G692" s="199"/>
      <c r="H692" s="199"/>
      <c r="I692" s="199"/>
      <c r="J692" s="199"/>
      <c r="K692" s="199"/>
      <c r="L692" s="199"/>
      <c r="M692" s="199"/>
      <c r="N692" s="199"/>
      <c r="O692" s="199"/>
      <c r="P692" s="199"/>
      <c r="Q692" s="200"/>
      <c r="R692" s="4"/>
    </row>
    <row r="693" spans="1:18" ht="15.75" thickTop="1"/>
    <row r="694" spans="1:18" ht="15.75" thickBot="1"/>
    <row r="695" spans="1:18" ht="15.75" thickTop="1">
      <c r="A695" s="1"/>
      <c r="B695" s="2"/>
      <c r="C695" s="5"/>
      <c r="D695" s="6"/>
      <c r="E695" s="6"/>
      <c r="F695" s="6"/>
      <c r="G695" s="6"/>
      <c r="H695" s="6"/>
      <c r="I695" s="6"/>
      <c r="J695" s="6"/>
      <c r="K695" s="6"/>
      <c r="L695" s="6"/>
      <c r="M695" s="6"/>
      <c r="N695" s="6"/>
      <c r="O695" s="6"/>
      <c r="P695" s="6"/>
      <c r="Q695" s="7"/>
      <c r="R695" s="4"/>
    </row>
    <row r="696" spans="1:18" ht="24">
      <c r="A696" s="1"/>
      <c r="B696" s="2"/>
      <c r="C696" s="8"/>
      <c r="D696" s="9" t="str">
        <f>+[239]INICIO!$C$8</f>
        <v>Análisis de Precios Unitarios- Secretaria de Planeación y Obras Publicas de Cubará, Boyacá.</v>
      </c>
      <c r="E696" s="10"/>
      <c r="F696" s="10"/>
      <c r="G696" s="10"/>
      <c r="H696" s="11"/>
      <c r="I696" s="12"/>
      <c r="J696" s="12"/>
      <c r="K696" s="12"/>
      <c r="L696" s="12"/>
      <c r="M696" s="12"/>
      <c r="N696" s="12"/>
      <c r="O696" s="12"/>
      <c r="P696" s="12"/>
      <c r="Q696" s="13"/>
      <c r="R696" s="4"/>
    </row>
    <row r="697" spans="1:18">
      <c r="A697" s="1"/>
      <c r="B697" s="2"/>
      <c r="C697" s="8"/>
      <c r="D697" s="14" t="s">
        <v>0</v>
      </c>
      <c r="E697" s="15" t="str">
        <f>+[239]INICIO!$C$7</f>
        <v>CCE-EICP-FM-14</v>
      </c>
      <c r="F697" s="16"/>
      <c r="G697" s="17" t="str">
        <f>+[239]INICIO!$B$6</f>
        <v>VERSIÓN</v>
      </c>
      <c r="H697" s="14">
        <f>+[239]INICIO!$C$6</f>
        <v>1</v>
      </c>
      <c r="I697" s="12"/>
      <c r="J697" s="12"/>
      <c r="K697" s="12"/>
      <c r="L697" s="12"/>
      <c r="M697" s="12"/>
      <c r="N697" s="12"/>
      <c r="O697" s="12"/>
      <c r="P697" s="12"/>
      <c r="Q697" s="13"/>
      <c r="R697" s="4"/>
    </row>
    <row r="698" spans="1:18">
      <c r="A698" s="1"/>
      <c r="B698" s="2"/>
      <c r="C698" s="8"/>
      <c r="D698" s="18"/>
      <c r="E698" s="19"/>
      <c r="F698" s="18"/>
      <c r="G698" s="19"/>
      <c r="H698" s="12"/>
      <c r="I698" s="12"/>
      <c r="J698" s="12"/>
      <c r="K698" s="12"/>
      <c r="L698" s="12"/>
      <c r="M698" s="12"/>
      <c r="N698" s="12"/>
      <c r="O698" s="12"/>
      <c r="P698" s="12"/>
      <c r="Q698" s="13"/>
      <c r="R698" s="4"/>
    </row>
    <row r="699" spans="1:18" ht="15.75" thickBot="1">
      <c r="A699" s="1"/>
      <c r="B699" s="2"/>
      <c r="C699" s="8"/>
      <c r="D699" s="20"/>
      <c r="E699" s="20"/>
      <c r="F699" s="20"/>
      <c r="G699" s="20"/>
      <c r="H699" s="20"/>
      <c r="I699" s="20"/>
      <c r="J699" s="20"/>
      <c r="K699" s="20"/>
      <c r="L699" s="20"/>
      <c r="M699" s="20"/>
      <c r="N699" s="20"/>
      <c r="O699" s="20"/>
      <c r="P699" s="20"/>
      <c r="Q699" s="13"/>
      <c r="R699" s="4"/>
    </row>
    <row r="700" spans="1:18">
      <c r="A700" s="1"/>
      <c r="B700" s="2"/>
      <c r="C700" s="8"/>
      <c r="D700" s="21"/>
      <c r="E700" s="22"/>
      <c r="F700" s="23"/>
      <c r="G700" s="23"/>
      <c r="H700" s="23"/>
      <c r="I700" s="23"/>
      <c r="J700" s="23"/>
      <c r="K700" s="23"/>
      <c r="L700" s="24"/>
      <c r="M700" s="25"/>
      <c r="N700" s="26"/>
      <c r="O700" s="26"/>
      <c r="P700" s="27"/>
      <c r="Q700" s="28"/>
      <c r="R700" s="4"/>
    </row>
    <row r="701" spans="1:18">
      <c r="A701" s="1"/>
      <c r="B701" s="2"/>
      <c r="C701" s="8"/>
      <c r="D701" s="29"/>
      <c r="E701" s="30" t="s">
        <v>1</v>
      </c>
      <c r="F701" s="31"/>
      <c r="G701" s="31"/>
      <c r="H701" s="31"/>
      <c r="I701" s="31"/>
      <c r="J701" s="31"/>
      <c r="K701" s="31"/>
      <c r="L701" s="32"/>
      <c r="M701" s="33"/>
      <c r="N701" s="34"/>
      <c r="O701" s="34"/>
      <c r="P701" s="35"/>
      <c r="Q701" s="28"/>
      <c r="R701" s="4"/>
    </row>
    <row r="702" spans="1:18">
      <c r="A702" s="1"/>
      <c r="B702" s="2"/>
      <c r="C702" s="8"/>
      <c r="D702" s="29"/>
      <c r="E702" s="36"/>
      <c r="F702" s="37"/>
      <c r="G702" s="37"/>
      <c r="H702" s="37"/>
      <c r="I702" s="37"/>
      <c r="J702" s="37"/>
      <c r="K702" s="37"/>
      <c r="L702" s="38"/>
      <c r="M702" s="39"/>
      <c r="N702" s="40"/>
      <c r="O702" s="41"/>
      <c r="P702" s="42"/>
      <c r="Q702" s="28"/>
      <c r="R702" s="4"/>
    </row>
    <row r="703" spans="1:18">
      <c r="A703" s="1"/>
      <c r="B703" s="2"/>
      <c r="C703" s="8"/>
      <c r="D703" s="29"/>
      <c r="E703" s="36"/>
      <c r="F703" s="37"/>
      <c r="G703" s="37"/>
      <c r="H703" s="37"/>
      <c r="I703" s="37"/>
      <c r="J703" s="37"/>
      <c r="K703" s="37"/>
      <c r="L703" s="38"/>
      <c r="M703" s="43" t="s">
        <v>2</v>
      </c>
      <c r="N703" s="44"/>
      <c r="O703" s="45">
        <f>+[239]INICIO!$C$6</f>
        <v>1</v>
      </c>
      <c r="P703" s="46"/>
      <c r="Q703" s="28"/>
      <c r="R703" s="4"/>
    </row>
    <row r="704" spans="1:18">
      <c r="A704" s="1"/>
      <c r="B704" s="2"/>
      <c r="C704" s="8"/>
      <c r="D704" s="29"/>
      <c r="E704" s="36"/>
      <c r="F704" s="37"/>
      <c r="G704" s="37"/>
      <c r="H704" s="37"/>
      <c r="I704" s="37"/>
      <c r="J704" s="37"/>
      <c r="K704" s="37"/>
      <c r="L704" s="38"/>
      <c r="M704" s="47"/>
      <c r="N704" s="48"/>
      <c r="O704" s="49"/>
      <c r="P704" s="50"/>
      <c r="Q704" s="51"/>
      <c r="R704" s="4"/>
    </row>
    <row r="705" spans="1:18">
      <c r="A705" s="1"/>
      <c r="B705" s="2"/>
      <c r="C705" s="8"/>
      <c r="D705" s="29"/>
      <c r="E705" s="52"/>
      <c r="F705" s="53"/>
      <c r="G705" s="53"/>
      <c r="H705" s="53"/>
      <c r="I705" s="53"/>
      <c r="J705" s="53"/>
      <c r="K705" s="53"/>
      <c r="L705" s="54"/>
      <c r="M705" s="39"/>
      <c r="N705" s="55"/>
      <c r="O705" s="55"/>
      <c r="P705" s="56"/>
      <c r="Q705" s="28"/>
      <c r="R705" s="4"/>
    </row>
    <row r="706" spans="1:18">
      <c r="A706" s="1"/>
      <c r="B706" s="2"/>
      <c r="C706" s="8"/>
      <c r="D706" s="29"/>
      <c r="E706" s="52"/>
      <c r="F706" s="53"/>
      <c r="G706" s="53"/>
      <c r="H706" s="53"/>
      <c r="I706" s="53"/>
      <c r="J706" s="53"/>
      <c r="K706" s="53"/>
      <c r="L706" s="54"/>
      <c r="M706" s="43" t="s">
        <v>3</v>
      </c>
      <c r="N706" s="43" t="str">
        <f>+VLOOKUP(D717,'PRESUPUESTO OFICIAL '!C:Q,9,FALSE)</f>
        <v>9</v>
      </c>
      <c r="O706" s="43" t="s">
        <v>4</v>
      </c>
      <c r="P706" s="508" t="str">
        <f>+'PRESUPUESTO OFICIAL '!$M$122</f>
        <v>62</v>
      </c>
      <c r="Q706" s="28"/>
      <c r="R706" s="4"/>
    </row>
    <row r="707" spans="1:18">
      <c r="A707" s="1"/>
      <c r="B707" s="2"/>
      <c r="C707" s="8"/>
      <c r="D707" s="29"/>
      <c r="E707" s="30" t="s">
        <v>5</v>
      </c>
      <c r="F707" s="31"/>
      <c r="G707" s="31"/>
      <c r="H707" s="31"/>
      <c r="I707" s="31"/>
      <c r="J707" s="31"/>
      <c r="K707" s="31"/>
      <c r="L707" s="32"/>
      <c r="M707" s="43"/>
      <c r="N707" s="57"/>
      <c r="O707" s="57"/>
      <c r="P707" s="58"/>
      <c r="Q707" s="28"/>
      <c r="R707" s="4"/>
    </row>
    <row r="708" spans="1:18" ht="15.75" thickBot="1">
      <c r="A708" s="1"/>
      <c r="B708" s="2"/>
      <c r="C708" s="8"/>
      <c r="D708" s="59"/>
      <c r="E708" s="60"/>
      <c r="F708" s="60"/>
      <c r="G708" s="60"/>
      <c r="H708" s="60"/>
      <c r="I708" s="60"/>
      <c r="J708" s="60"/>
      <c r="K708" s="60"/>
      <c r="L708" s="60"/>
      <c r="M708" s="60"/>
      <c r="N708" s="61"/>
      <c r="O708" s="61"/>
      <c r="P708" s="62"/>
      <c r="Q708" s="63"/>
      <c r="R708" s="4"/>
    </row>
    <row r="709" spans="1:18">
      <c r="A709" s="1"/>
      <c r="B709" s="2"/>
      <c r="C709" s="8"/>
      <c r="D709" s="64"/>
      <c r="E709" s="65"/>
      <c r="F709" s="65"/>
      <c r="G709" s="65"/>
      <c r="H709" s="65"/>
      <c r="I709" s="65"/>
      <c r="J709" s="65"/>
      <c r="K709" s="65"/>
      <c r="L709" s="65"/>
      <c r="M709" s="66" t="s">
        <v>6</v>
      </c>
      <c r="N709" s="66" t="s">
        <v>7</v>
      </c>
      <c r="O709" s="66" t="s">
        <v>8</v>
      </c>
      <c r="P709" s="67" t="s">
        <v>9</v>
      </c>
      <c r="Q709" s="51"/>
      <c r="R709" s="4"/>
    </row>
    <row r="710" spans="1:18">
      <c r="A710" s="1"/>
      <c r="B710" s="2"/>
      <c r="C710" s="8"/>
      <c r="D710" s="68"/>
      <c r="E710" s="69"/>
      <c r="F710" s="69"/>
      <c r="G710" s="69"/>
      <c r="H710" s="69"/>
      <c r="I710" s="69"/>
      <c r="J710" s="69"/>
      <c r="K710" s="69"/>
      <c r="L710" s="69"/>
      <c r="M710" s="70"/>
      <c r="N710" s="71">
        <f>+Hoja2!B$5</f>
        <v>5</v>
      </c>
      <c r="O710" s="71">
        <f>+Hoja2!C$5</f>
        <v>8</v>
      </c>
      <c r="P710" s="72">
        <f>+Hoja2!D$5</f>
        <v>2026</v>
      </c>
      <c r="Q710" s="73"/>
      <c r="R710" s="4"/>
    </row>
    <row r="711" spans="1:18">
      <c r="A711" s="1"/>
      <c r="B711" s="2"/>
      <c r="C711" s="8"/>
      <c r="D711" s="74"/>
      <c r="E711" s="37"/>
      <c r="F711" s="37"/>
      <c r="G711" s="37"/>
      <c r="H711" s="69"/>
      <c r="I711" s="69"/>
      <c r="J711" s="69"/>
      <c r="K711" s="20"/>
      <c r="L711" s="69"/>
      <c r="M711" s="75"/>
      <c r="N711" s="20"/>
      <c r="O711" s="20"/>
      <c r="P711" s="76"/>
      <c r="Q711" s="73"/>
      <c r="R711" s="4"/>
    </row>
    <row r="712" spans="1:18" ht="15.75" thickBot="1">
      <c r="A712" s="1"/>
      <c r="B712" s="2"/>
      <c r="C712" s="8"/>
      <c r="D712" s="77"/>
      <c r="E712" s="78"/>
      <c r="F712" s="78"/>
      <c r="G712" s="78"/>
      <c r="H712" s="78"/>
      <c r="I712" s="78"/>
      <c r="J712" s="78"/>
      <c r="K712" s="78"/>
      <c r="L712" s="78"/>
      <c r="M712" s="78"/>
      <c r="N712" s="78"/>
      <c r="O712" s="78"/>
      <c r="P712" s="79"/>
      <c r="Q712" s="13"/>
      <c r="R712" s="4"/>
    </row>
    <row r="713" spans="1:18" ht="15.75" thickBot="1">
      <c r="A713" s="1"/>
      <c r="B713" s="2"/>
      <c r="C713" s="8"/>
      <c r="D713" s="80"/>
      <c r="E713" s="81"/>
      <c r="F713" s="81"/>
      <c r="G713" s="81"/>
      <c r="H713" s="81"/>
      <c r="I713" s="81"/>
      <c r="J713" s="20"/>
      <c r="K713" s="20"/>
      <c r="L713" s="81"/>
      <c r="M713" s="81"/>
      <c r="N713" s="81"/>
      <c r="O713" s="81"/>
      <c r="P713" s="82"/>
      <c r="Q713" s="13"/>
      <c r="R713" s="4"/>
    </row>
    <row r="714" spans="1:18">
      <c r="A714" s="1"/>
      <c r="B714" s="2"/>
      <c r="C714" s="8"/>
      <c r="D714" s="83" t="s">
        <v>10</v>
      </c>
      <c r="E714" s="84"/>
      <c r="F714" s="84"/>
      <c r="G714" s="84"/>
      <c r="H714" s="84"/>
      <c r="I714" s="84"/>
      <c r="J714" s="84"/>
      <c r="K714" s="84"/>
      <c r="L714" s="84"/>
      <c r="M714" s="84"/>
      <c r="N714" s="84"/>
      <c r="O714" s="84"/>
      <c r="P714" s="85"/>
      <c r="Q714" s="86"/>
      <c r="R714" s="4"/>
    </row>
    <row r="715" spans="1:18" ht="15.75" thickBot="1">
      <c r="A715" s="1"/>
      <c r="B715" s="2"/>
      <c r="C715" s="8"/>
      <c r="D715" s="87"/>
      <c r="E715" s="20"/>
      <c r="F715" s="20"/>
      <c r="G715" s="20"/>
      <c r="H715" s="20"/>
      <c r="I715" s="20"/>
      <c r="J715" s="20"/>
      <c r="K715" s="20"/>
      <c r="L715" s="20"/>
      <c r="M715" s="20"/>
      <c r="N715" s="20"/>
      <c r="O715" s="20"/>
      <c r="P715" s="88"/>
      <c r="Q715" s="13"/>
      <c r="R715" s="4"/>
    </row>
    <row r="716" spans="1:18">
      <c r="A716" s="1" t="s">
        <v>11</v>
      </c>
      <c r="B716" s="2" t="s">
        <v>12</v>
      </c>
      <c r="C716" s="8"/>
      <c r="D716" s="89" t="s">
        <v>13</v>
      </c>
      <c r="E716" s="90" t="s">
        <v>14</v>
      </c>
      <c r="F716" s="90"/>
      <c r="G716" s="90"/>
      <c r="H716" s="90"/>
      <c r="I716" s="90"/>
      <c r="J716" s="90"/>
      <c r="K716" s="90"/>
      <c r="L716" s="90"/>
      <c r="M716" s="90"/>
      <c r="N716" s="91" t="s">
        <v>15</v>
      </c>
      <c r="O716" s="91"/>
      <c r="P716" s="92" t="s">
        <v>16</v>
      </c>
      <c r="Q716" s="93"/>
      <c r="R716" s="4"/>
    </row>
    <row r="717" spans="1:18" ht="15.75" thickBot="1">
      <c r="A717" s="1"/>
      <c r="B717" s="2"/>
      <c r="C717" s="8"/>
      <c r="D717" s="349">
        <f>+'PRESUPUESTO OFICIAL '!C20</f>
        <v>1.0900000000000001</v>
      </c>
      <c r="E717" s="94" t="str">
        <f>+VLOOKUP(D717,'PRESUPUESTO OFICIAL '!C:H,2,FALSE)</f>
        <v>DESMONTE DE MARCOS, PUERTAS Y VENTANAS.</v>
      </c>
      <c r="F717" s="94"/>
      <c r="G717" s="94"/>
      <c r="H717" s="94"/>
      <c r="I717" s="94"/>
      <c r="J717" s="94"/>
      <c r="K717" s="94"/>
      <c r="L717" s="94"/>
      <c r="M717" s="94"/>
      <c r="N717" s="94" t="str">
        <f>+VLOOKUP(D717,'PRESUPUESTO OFICIAL '!C:H,3,FALSE)</f>
        <v>M2</v>
      </c>
      <c r="O717" s="95"/>
      <c r="P717" s="96">
        <f>+VLOOKUP(D717,'PRESUPUESTO OFICIAL '!C:H,4,FALSE)</f>
        <v>4.6100000000000003</v>
      </c>
      <c r="Q717" s="97"/>
      <c r="R717" s="98">
        <f>+P769</f>
        <v>60447</v>
      </c>
    </row>
    <row r="718" spans="1:18" ht="15.75" thickBot="1">
      <c r="A718" s="1"/>
      <c r="B718" s="2"/>
      <c r="C718" s="8"/>
      <c r="D718" s="74" t="s">
        <v>17</v>
      </c>
      <c r="E718" s="37"/>
      <c r="F718" s="37"/>
      <c r="G718" s="37"/>
      <c r="H718" s="37"/>
      <c r="I718" s="37"/>
      <c r="J718" s="37"/>
      <c r="K718" s="37"/>
      <c r="L718" s="37"/>
      <c r="M718" s="37"/>
      <c r="N718" s="37"/>
      <c r="O718" s="37"/>
      <c r="P718" s="99"/>
      <c r="Q718" s="100"/>
      <c r="R718" s="4"/>
    </row>
    <row r="719" spans="1:18">
      <c r="A719" s="1"/>
      <c r="B719" s="2"/>
      <c r="C719" s="8"/>
      <c r="D719" s="101" t="s">
        <v>14</v>
      </c>
      <c r="E719" s="102"/>
      <c r="F719" s="102"/>
      <c r="G719" s="102"/>
      <c r="H719" s="103"/>
      <c r="I719" s="104" t="s">
        <v>18</v>
      </c>
      <c r="J719" s="102"/>
      <c r="K719" s="104" t="s">
        <v>19</v>
      </c>
      <c r="L719" s="105"/>
      <c r="M719" s="106" t="s">
        <v>20</v>
      </c>
      <c r="N719" s="104" t="s">
        <v>21</v>
      </c>
      <c r="O719" s="105"/>
      <c r="P719" s="107" t="s">
        <v>22</v>
      </c>
      <c r="Q719" s="108"/>
      <c r="R719" s="4"/>
    </row>
    <row r="720" spans="1:18">
      <c r="A720" s="1" t="e">
        <f>[239]INDICE!#REF!</f>
        <v>#REF!</v>
      </c>
      <c r="B720" s="2" t="s">
        <v>23</v>
      </c>
      <c r="C720" s="8"/>
      <c r="D720" s="109" t="str">
        <f>IFERROR(INDEX([239]EQUIPOS!B:B,MATCH(B720,[239]EQUIPOS!A:A,0)),"")</f>
        <v>HERRAMIENTA MENOR (% M.O)</v>
      </c>
      <c r="E720" s="110"/>
      <c r="F720" s="110"/>
      <c r="G720" s="110"/>
      <c r="H720" s="111"/>
      <c r="I720" s="112"/>
      <c r="J720" s="111"/>
      <c r="K720" s="113" t="str">
        <f>IFERROR(INDEX([239]EQUIPOS!C:C,MATCH(B720,[239]EQUIPOS!A:A,0)),"")</f>
        <v>%</v>
      </c>
      <c r="L720" s="114"/>
      <c r="M720" s="115">
        <f>IFERROR(IF(D720="HERRAMIENTA MENOR (% M.O)",P759,INDEX([239]EQUIPOS!D:D,MATCH(B720,[239]EQUIPOS!A:A,0))),"")</f>
        <v>40794.729999999996</v>
      </c>
      <c r="N720" s="116">
        <v>10</v>
      </c>
      <c r="O720" s="117"/>
      <c r="P720" s="118">
        <f t="shared" ref="P720:P725" si="23">IFERROR(ROUND(IF(D720="HERRAMIENTA MENOR (% M.O)",N720%*M720,M720/N720),2)," ")</f>
        <v>4079.47</v>
      </c>
      <c r="Q720" s="119"/>
      <c r="R720" s="4"/>
    </row>
    <row r="721" spans="1:18">
      <c r="A721" s="1">
        <f>+$A$2341</f>
        <v>0</v>
      </c>
      <c r="B721" s="2"/>
      <c r="C721" s="8"/>
      <c r="D721" s="109" t="str">
        <f>IFERROR(INDEX([239]EQUIPOS!B:B,MATCH(B721,[239]EQUIPOS!A:A,0)),"")</f>
        <v/>
      </c>
      <c r="E721" s="110"/>
      <c r="F721" s="110"/>
      <c r="G721" s="110"/>
      <c r="H721" s="111"/>
      <c r="I721" s="112"/>
      <c r="J721" s="111"/>
      <c r="K721" s="113" t="str">
        <f>IFERROR(INDEX([239]EQUIPOS!C:C,MATCH(B721,[239]EQUIPOS!A:A,0)),"")</f>
        <v/>
      </c>
      <c r="L721" s="114"/>
      <c r="M721" s="115" t="str">
        <f>IFERROR(IF(D721="HERRAMIENTA MENOR (% M.O)",P760,INDEX([239]EQUIPOS!D:D,MATCH(B721,[239]EQUIPOS!A:A,0))),"")</f>
        <v/>
      </c>
      <c r="N721" s="116"/>
      <c r="O721" s="117"/>
      <c r="P721" s="118" t="str">
        <f t="shared" si="23"/>
        <v xml:space="preserve"> </v>
      </c>
      <c r="Q721" s="119"/>
      <c r="R721" s="4"/>
    </row>
    <row r="722" spans="1:18">
      <c r="A722" s="1">
        <f t="shared" ref="A722:A760" si="24">+A721</f>
        <v>0</v>
      </c>
      <c r="B722" s="2"/>
      <c r="C722" s="8"/>
      <c r="D722" s="109" t="str">
        <f>IFERROR(INDEX([239]EQUIPOS!B:B,MATCH(B722,[239]EQUIPOS!A:A,0)),"")</f>
        <v/>
      </c>
      <c r="E722" s="110"/>
      <c r="F722" s="110"/>
      <c r="G722" s="110"/>
      <c r="H722" s="111"/>
      <c r="I722" s="120"/>
      <c r="J722" s="121"/>
      <c r="K722" s="113" t="str">
        <f>IFERROR(INDEX([239]EQUIPOS!C:C,MATCH(B722,[239]EQUIPOS!A:A,0)),"")</f>
        <v/>
      </c>
      <c r="L722" s="114"/>
      <c r="M722" s="115" t="str">
        <f>IFERROR(IF(D722="HERRAMIENTA MENOR (% M.O)",P761,INDEX([239]EQUIPOS!D:D,MATCH(B722,[239]EQUIPOS!A:A,0))),"")</f>
        <v/>
      </c>
      <c r="N722" s="116"/>
      <c r="O722" s="117"/>
      <c r="P722" s="118" t="str">
        <f t="shared" si="23"/>
        <v xml:space="preserve"> </v>
      </c>
      <c r="Q722" s="119"/>
      <c r="R722" s="4"/>
    </row>
    <row r="723" spans="1:18">
      <c r="A723" s="1">
        <f t="shared" si="24"/>
        <v>0</v>
      </c>
      <c r="B723" s="2"/>
      <c r="C723" s="8"/>
      <c r="D723" s="109" t="str">
        <f>IFERROR(INDEX([239]EQUIPOS!B:B,MATCH(B723,[239]EQUIPOS!A:A,0)),"")</f>
        <v/>
      </c>
      <c r="E723" s="110"/>
      <c r="F723" s="110"/>
      <c r="G723" s="110"/>
      <c r="H723" s="111"/>
      <c r="I723" s="120"/>
      <c r="J723" s="121"/>
      <c r="K723" s="113" t="str">
        <f>IFERROR(INDEX([239]EQUIPOS!C:C,MATCH(B723,[239]EQUIPOS!A:A,0)),"")</f>
        <v/>
      </c>
      <c r="L723" s="114"/>
      <c r="M723" s="115" t="str">
        <f>IFERROR(IF(D723="HERRAMIENTA MENOR (% M.O)",P762,INDEX([239]EQUIPOS!D:D,MATCH(B723,[239]EQUIPOS!A:A,0))),"")</f>
        <v/>
      </c>
      <c r="N723" s="116"/>
      <c r="O723" s="117"/>
      <c r="P723" s="118" t="str">
        <f t="shared" si="23"/>
        <v xml:space="preserve"> </v>
      </c>
      <c r="Q723" s="119"/>
      <c r="R723" s="4"/>
    </row>
    <row r="724" spans="1:18">
      <c r="A724" s="1">
        <f t="shared" si="24"/>
        <v>0</v>
      </c>
      <c r="B724" s="2"/>
      <c r="C724" s="8"/>
      <c r="D724" s="109" t="str">
        <f>IFERROR(INDEX([239]EQUIPOS!B:B,MATCH(B724,[239]EQUIPOS!A:A,0)),"")</f>
        <v/>
      </c>
      <c r="E724" s="110"/>
      <c r="F724" s="110"/>
      <c r="G724" s="110"/>
      <c r="H724" s="111"/>
      <c r="I724" s="112"/>
      <c r="J724" s="111"/>
      <c r="K724" s="113" t="str">
        <f>IFERROR(INDEX([239]EQUIPOS!C:C,MATCH(B724,[239]EQUIPOS!A:A,0)),"")</f>
        <v/>
      </c>
      <c r="L724" s="114"/>
      <c r="M724" s="115" t="str">
        <f>IFERROR(IF(D724="HERRAMIENTA MENOR (% M.O)",P763,INDEX([239]EQUIPOS!D:D,MATCH(B724,[239]EQUIPOS!A:A,0))),"")</f>
        <v/>
      </c>
      <c r="N724" s="116"/>
      <c r="O724" s="117"/>
      <c r="P724" s="118" t="str">
        <f t="shared" si="23"/>
        <v xml:space="preserve"> </v>
      </c>
      <c r="Q724" s="119"/>
      <c r="R724" s="4"/>
    </row>
    <row r="725" spans="1:18" ht="15.75" thickBot="1">
      <c r="A725" s="1">
        <f t="shared" si="24"/>
        <v>0</v>
      </c>
      <c r="B725" s="2"/>
      <c r="C725" s="8"/>
      <c r="D725" s="109" t="str">
        <f>IFERROR(INDEX([239]EQUIPOS!B:B,MATCH(B725,[239]EQUIPOS!A:A,0)),"")</f>
        <v/>
      </c>
      <c r="E725" s="78"/>
      <c r="F725" s="78"/>
      <c r="G725" s="78"/>
      <c r="H725" s="122"/>
      <c r="I725" s="123"/>
      <c r="J725" s="122"/>
      <c r="K725" s="113" t="str">
        <f>IFERROR(INDEX([239]EQUIPOS!C:C,MATCH(B725,[239]EQUIPOS!A:A,0)),"")</f>
        <v/>
      </c>
      <c r="L725" s="124"/>
      <c r="M725" s="115" t="str">
        <f>IFERROR(IF(D725="HERRAMIENTA MENOR (% M.O)",P764,INDEX([239]EQUIPOS!D:D,MATCH(B725,[239]EQUIPOS!A:A,0))),"")</f>
        <v/>
      </c>
      <c r="N725" s="125"/>
      <c r="O725" s="126"/>
      <c r="P725" s="127" t="str">
        <f t="shared" si="23"/>
        <v xml:space="preserve"> </v>
      </c>
      <c r="Q725" s="119"/>
      <c r="R725" s="4"/>
    </row>
    <row r="726" spans="1:18" ht="15.75" thickBot="1">
      <c r="A726" s="1">
        <f t="shared" si="24"/>
        <v>0</v>
      </c>
      <c r="B726" s="2"/>
      <c r="C726" s="8"/>
      <c r="D726" s="128" t="s">
        <v>24</v>
      </c>
      <c r="E726" s="129"/>
      <c r="F726" s="129"/>
      <c r="G726" s="129"/>
      <c r="H726" s="129"/>
      <c r="I726" s="129"/>
      <c r="J726" s="129"/>
      <c r="K726" s="129"/>
      <c r="L726" s="129"/>
      <c r="M726" s="129"/>
      <c r="N726" s="129"/>
      <c r="O726" s="130"/>
      <c r="P726" s="131">
        <f>SUM(P720:P725)</f>
        <v>4079.47</v>
      </c>
      <c r="Q726" s="132"/>
      <c r="R726" s="4"/>
    </row>
    <row r="727" spans="1:18" ht="15.75" thickBot="1">
      <c r="A727" s="1">
        <f t="shared" si="24"/>
        <v>0</v>
      </c>
      <c r="B727" s="2"/>
      <c r="C727" s="8"/>
      <c r="D727" s="74" t="s">
        <v>25</v>
      </c>
      <c r="E727" s="37"/>
      <c r="F727" s="37"/>
      <c r="G727" s="37"/>
      <c r="H727" s="37"/>
      <c r="I727" s="37"/>
      <c r="J727" s="37"/>
      <c r="K727" s="37"/>
      <c r="L727" s="37"/>
      <c r="M727" s="37"/>
      <c r="N727" s="37"/>
      <c r="O727" s="37"/>
      <c r="P727" s="99"/>
      <c r="Q727" s="100"/>
      <c r="R727" s="4"/>
    </row>
    <row r="728" spans="1:18">
      <c r="A728" s="1">
        <f t="shared" si="24"/>
        <v>0</v>
      </c>
      <c r="B728" s="2"/>
      <c r="C728" s="8"/>
      <c r="D728" s="101" t="s">
        <v>14</v>
      </c>
      <c r="E728" s="133"/>
      <c r="F728" s="133"/>
      <c r="G728" s="133"/>
      <c r="H728" s="133"/>
      <c r="I728" s="133"/>
      <c r="J728" s="133"/>
      <c r="K728" s="105"/>
      <c r="L728" s="134" t="s">
        <v>15</v>
      </c>
      <c r="M728" s="106" t="s">
        <v>16</v>
      </c>
      <c r="N728" s="104" t="s">
        <v>26</v>
      </c>
      <c r="O728" s="105"/>
      <c r="P728" s="107" t="s">
        <v>22</v>
      </c>
      <c r="Q728" s="108"/>
      <c r="R728" s="4"/>
    </row>
    <row r="729" spans="1:18">
      <c r="A729" s="1">
        <f t="shared" si="24"/>
        <v>0</v>
      </c>
      <c r="B729" s="2"/>
      <c r="C729" s="8"/>
      <c r="D729" s="109" t="str">
        <f>IFERROR(INDEX([239]MATERIALES!C:C,MATCH(B729,[239]MATERIALES!B:B,0)),"")</f>
        <v/>
      </c>
      <c r="E729" s="135"/>
      <c r="F729" s="135"/>
      <c r="G729" s="135"/>
      <c r="H729" s="135"/>
      <c r="I729" s="135"/>
      <c r="J729" s="135"/>
      <c r="K729" s="136"/>
      <c r="L729" s="137" t="str">
        <f>IFERROR(INDEX([239]MATERIALES!D:D,MATCH(B729,[239]MATERIALES!B:B,0)),"")</f>
        <v/>
      </c>
      <c r="M729" s="138"/>
      <c r="N729" s="139" t="str">
        <f>IFERROR(INDEX([239]MATERIALES!P:P,MATCH(B729,[239]MATERIALES!B:B,0)),"")</f>
        <v/>
      </c>
      <c r="O729" s="140"/>
      <c r="P729" s="118" t="str">
        <f>IFERROR(ROUND(N729*M729,2),"")</f>
        <v/>
      </c>
      <c r="Q729" s="119"/>
      <c r="R729" s="4"/>
    </row>
    <row r="730" spans="1:18">
      <c r="A730" s="1">
        <f t="shared" si="24"/>
        <v>0</v>
      </c>
      <c r="B730" s="2"/>
      <c r="C730" s="8"/>
      <c r="D730" s="109" t="str">
        <f>IFERROR(INDEX([239]MATERIALES!C:C,MATCH(B730,[239]MATERIALES!B:B,0)),"")</f>
        <v/>
      </c>
      <c r="E730" s="135"/>
      <c r="F730" s="135"/>
      <c r="G730" s="135"/>
      <c r="H730" s="135"/>
      <c r="I730" s="135"/>
      <c r="J730" s="135"/>
      <c r="K730" s="136"/>
      <c r="L730" s="137" t="str">
        <f>IFERROR(INDEX([239]MATERIALES!D:D,MATCH(B730,[239]MATERIALES!B:B,0)),"")</f>
        <v/>
      </c>
      <c r="M730" s="138"/>
      <c r="N730" s="139" t="str">
        <f>IFERROR(INDEX([239]MATERIALES!P:P,MATCH(B730,[239]MATERIALES!B:B,0)),"")</f>
        <v/>
      </c>
      <c r="O730" s="140"/>
      <c r="P730" s="118" t="str">
        <f>IFERROR(ROUND(N730*M730,2),"")</f>
        <v/>
      </c>
      <c r="Q730" s="119"/>
      <c r="R730" s="4"/>
    </row>
    <row r="731" spans="1:18">
      <c r="A731" s="1">
        <f t="shared" si="24"/>
        <v>0</v>
      </c>
      <c r="B731" s="2"/>
      <c r="C731" s="8"/>
      <c r="D731" s="109" t="str">
        <f>IFERROR(INDEX([239]MATERIALES!C:C,MATCH(B731,[239]MATERIALES!B:B,0)),"")</f>
        <v/>
      </c>
      <c r="E731" s="110"/>
      <c r="F731" s="110"/>
      <c r="G731" s="110"/>
      <c r="H731" s="110"/>
      <c r="I731" s="110"/>
      <c r="J731" s="110"/>
      <c r="K731" s="111"/>
      <c r="L731" s="137" t="str">
        <f>IFERROR(INDEX([239]MATERIALES!D:D,MATCH(B731,[239]MATERIALES!B:B,0)),"")</f>
        <v/>
      </c>
      <c r="M731" s="138"/>
      <c r="N731" s="139" t="str">
        <f>IFERROR(INDEX([239]MATERIALES!P:P,MATCH(B731,[239]MATERIALES!B:B,0)),"")</f>
        <v/>
      </c>
      <c r="O731" s="140"/>
      <c r="P731" s="118" t="str">
        <f>IFERROR(ROUND(N731*M731,2),"")</f>
        <v/>
      </c>
      <c r="Q731" s="119"/>
      <c r="R731" s="4"/>
    </row>
    <row r="732" spans="1:18">
      <c r="A732" s="1">
        <f t="shared" si="24"/>
        <v>0</v>
      </c>
      <c r="B732" s="2"/>
      <c r="C732" s="8"/>
      <c r="D732" s="109" t="str">
        <f>IFERROR(INDEX([239]MATERIALES!C:C,MATCH(B732,[239]MATERIALES!B:B,0)),"")</f>
        <v/>
      </c>
      <c r="E732" s="110"/>
      <c r="F732" s="110"/>
      <c r="G732" s="110"/>
      <c r="H732" s="110"/>
      <c r="I732" s="110"/>
      <c r="J732" s="110"/>
      <c r="K732" s="111"/>
      <c r="L732" s="137" t="str">
        <f>IFERROR(INDEX([239]MATERIALES!D:D,MATCH(B732,[239]MATERIALES!B:B,0)),"")</f>
        <v/>
      </c>
      <c r="M732" s="138"/>
      <c r="N732" s="139" t="str">
        <f>IFERROR(INDEX([239]MATERIALES!P:P,MATCH(B732,[239]MATERIALES!B:B,0)),"")</f>
        <v/>
      </c>
      <c r="O732" s="140"/>
      <c r="P732" s="118" t="str">
        <f>IFERROR(ROUND(N732*M732,2),"")</f>
        <v/>
      </c>
      <c r="Q732" s="119"/>
      <c r="R732" s="4"/>
    </row>
    <row r="733" spans="1:18">
      <c r="A733" s="1">
        <f t="shared" si="24"/>
        <v>0</v>
      </c>
      <c r="B733" s="2"/>
      <c r="C733" s="8"/>
      <c r="D733" s="109" t="str">
        <f>IFERROR(INDEX([239]MATERIALES!C:C,MATCH(B733,[239]MATERIALES!B:B,0)),"")</f>
        <v/>
      </c>
      <c r="E733" s="110"/>
      <c r="F733" s="110"/>
      <c r="G733" s="110"/>
      <c r="H733" s="110"/>
      <c r="I733" s="110"/>
      <c r="J733" s="110"/>
      <c r="K733" s="111"/>
      <c r="L733" s="137" t="str">
        <f>IFERROR(INDEX([239]MATERIALES!D:D,MATCH(B733,[239]MATERIALES!B:B,0)),"")</f>
        <v/>
      </c>
      <c r="M733" s="138"/>
      <c r="N733" s="139" t="str">
        <f>IFERROR(INDEX([239]MATERIALES!P:P,MATCH(B733,[239]MATERIALES!B:B,0)),"")</f>
        <v/>
      </c>
      <c r="O733" s="140"/>
      <c r="P733" s="118" t="str">
        <f t="shared" ref="P733:P742" si="25">IFERROR(ROUND(N733*M733,2),"")</f>
        <v/>
      </c>
      <c r="Q733" s="119"/>
      <c r="R733" s="4"/>
    </row>
    <row r="734" spans="1:18">
      <c r="A734" s="1">
        <f t="shared" si="24"/>
        <v>0</v>
      </c>
      <c r="B734" s="2"/>
      <c r="C734" s="8"/>
      <c r="D734" s="109" t="str">
        <f>IFERROR(INDEX([239]MATERIALES!C:C,MATCH(B734,[239]MATERIALES!B:B,0)),"")</f>
        <v/>
      </c>
      <c r="E734" s="110"/>
      <c r="F734" s="110"/>
      <c r="G734" s="110"/>
      <c r="H734" s="110"/>
      <c r="I734" s="110"/>
      <c r="J734" s="110"/>
      <c r="K734" s="111"/>
      <c r="L734" s="137" t="str">
        <f>IFERROR(INDEX([239]MATERIALES!D:D,MATCH(B734,[239]MATERIALES!B:B,0)),"")</f>
        <v/>
      </c>
      <c r="M734" s="138"/>
      <c r="N734" s="139" t="str">
        <f>IFERROR(INDEX([239]MATERIALES!P:P,MATCH(B734,[239]MATERIALES!B:B,0)),"")</f>
        <v/>
      </c>
      <c r="O734" s="140"/>
      <c r="P734" s="118" t="str">
        <f t="shared" si="25"/>
        <v/>
      </c>
      <c r="Q734" s="119"/>
      <c r="R734" s="4"/>
    </row>
    <row r="735" spans="1:18">
      <c r="A735" s="1">
        <f t="shared" si="24"/>
        <v>0</v>
      </c>
      <c r="B735" s="2"/>
      <c r="C735" s="8"/>
      <c r="D735" s="109" t="str">
        <f>IFERROR(INDEX([239]MATERIALES!C:C,MATCH(B735,[239]MATERIALES!B:B,0)),"")</f>
        <v/>
      </c>
      <c r="E735" s="110"/>
      <c r="F735" s="110"/>
      <c r="G735" s="110"/>
      <c r="H735" s="110"/>
      <c r="I735" s="110"/>
      <c r="J735" s="110"/>
      <c r="K735" s="111"/>
      <c r="L735" s="137" t="str">
        <f>IFERROR(INDEX([239]MATERIALES!D:D,MATCH(B735,[239]MATERIALES!B:B,0)),"")</f>
        <v/>
      </c>
      <c r="M735" s="138"/>
      <c r="N735" s="139" t="str">
        <f>IFERROR(INDEX([239]MATERIALES!P:P,MATCH(B735,[239]MATERIALES!B:B,0)),"")</f>
        <v/>
      </c>
      <c r="O735" s="140"/>
      <c r="P735" s="118" t="str">
        <f t="shared" si="25"/>
        <v/>
      </c>
      <c r="Q735" s="119"/>
      <c r="R735" s="4"/>
    </row>
    <row r="736" spans="1:18">
      <c r="A736" s="1">
        <f t="shared" si="24"/>
        <v>0</v>
      </c>
      <c r="B736" s="2"/>
      <c r="C736" s="8"/>
      <c r="D736" s="109" t="str">
        <f>IFERROR(INDEX([239]MATERIALES!C:C,MATCH(B736,[239]MATERIALES!B:B,0)),"")</f>
        <v/>
      </c>
      <c r="E736" s="110"/>
      <c r="F736" s="110"/>
      <c r="G736" s="110"/>
      <c r="H736" s="110"/>
      <c r="I736" s="110"/>
      <c r="J736" s="110"/>
      <c r="K736" s="111"/>
      <c r="L736" s="137" t="str">
        <f>IFERROR(INDEX([239]MATERIALES!D:D,MATCH(B736,[239]MATERIALES!B:B,0)),"")</f>
        <v/>
      </c>
      <c r="M736" s="138"/>
      <c r="N736" s="139" t="str">
        <f>IFERROR(INDEX([239]MATERIALES!P:P,MATCH(B736,[239]MATERIALES!B:B,0)),"")</f>
        <v/>
      </c>
      <c r="O736" s="140"/>
      <c r="P736" s="118" t="str">
        <f t="shared" si="25"/>
        <v/>
      </c>
      <c r="Q736" s="119"/>
      <c r="R736" s="4"/>
    </row>
    <row r="737" spans="1:18">
      <c r="A737" s="1">
        <f t="shared" si="24"/>
        <v>0</v>
      </c>
      <c r="B737" s="2"/>
      <c r="C737" s="8"/>
      <c r="D737" s="109" t="str">
        <f>IFERROR(INDEX([239]MATERIALES!C:C,MATCH(B737,[239]MATERIALES!B:B,0)),"")</f>
        <v/>
      </c>
      <c r="E737" s="110"/>
      <c r="F737" s="110"/>
      <c r="G737" s="110"/>
      <c r="H737" s="110"/>
      <c r="I737" s="110"/>
      <c r="J737" s="110"/>
      <c r="K737" s="111"/>
      <c r="L737" s="137" t="str">
        <f>IFERROR(INDEX([239]MATERIALES!D:D,MATCH(B737,[239]MATERIALES!B:B,0)),"")</f>
        <v/>
      </c>
      <c r="M737" s="138"/>
      <c r="N737" s="139" t="str">
        <f>IFERROR(INDEX([239]MATERIALES!P:P,MATCH(B737,[239]MATERIALES!B:B,0)),"")</f>
        <v/>
      </c>
      <c r="O737" s="140"/>
      <c r="P737" s="118" t="str">
        <f t="shared" si="25"/>
        <v/>
      </c>
      <c r="Q737" s="119"/>
      <c r="R737" s="4"/>
    </row>
    <row r="738" spans="1:18">
      <c r="A738" s="1">
        <f t="shared" si="24"/>
        <v>0</v>
      </c>
      <c r="B738" s="2"/>
      <c r="C738" s="8"/>
      <c r="D738" s="109" t="str">
        <f>IFERROR(INDEX([239]MATERIALES!C:C,MATCH(B738,[239]MATERIALES!B:B,0)),"")</f>
        <v/>
      </c>
      <c r="E738" s="110"/>
      <c r="F738" s="110"/>
      <c r="G738" s="110"/>
      <c r="H738" s="110"/>
      <c r="I738" s="110"/>
      <c r="J738" s="110"/>
      <c r="K738" s="111"/>
      <c r="L738" s="137" t="str">
        <f>IFERROR(INDEX([239]MATERIALES!D:D,MATCH(B738,[239]MATERIALES!B:B,0)),"")</f>
        <v/>
      </c>
      <c r="M738" s="138"/>
      <c r="N738" s="139" t="str">
        <f>IFERROR(INDEX([239]MATERIALES!P:P,MATCH(B738,[239]MATERIALES!B:B,0)),"")</f>
        <v/>
      </c>
      <c r="O738" s="140"/>
      <c r="P738" s="118" t="str">
        <f t="shared" si="25"/>
        <v/>
      </c>
      <c r="Q738" s="119"/>
      <c r="R738" s="4"/>
    </row>
    <row r="739" spans="1:18">
      <c r="A739" s="1">
        <f t="shared" si="24"/>
        <v>0</v>
      </c>
      <c r="B739" s="2"/>
      <c r="C739" s="8"/>
      <c r="D739" s="109" t="str">
        <f>IFERROR(INDEX([239]MATERIALES!C:C,MATCH(B739,[239]MATERIALES!B:B,0)),"")</f>
        <v/>
      </c>
      <c r="E739" s="110"/>
      <c r="F739" s="110"/>
      <c r="G739" s="110"/>
      <c r="H739" s="110"/>
      <c r="I739" s="110"/>
      <c r="J739" s="110"/>
      <c r="K739" s="111"/>
      <c r="L739" s="137" t="str">
        <f>IFERROR(INDEX([239]MATERIALES!D:D,MATCH(B739,[239]MATERIALES!B:B,0)),"")</f>
        <v/>
      </c>
      <c r="M739" s="138"/>
      <c r="N739" s="139" t="str">
        <f>IFERROR(INDEX([239]MATERIALES!P:P,MATCH(B739,[239]MATERIALES!B:B,0)),"")</f>
        <v/>
      </c>
      <c r="O739" s="140"/>
      <c r="P739" s="118" t="str">
        <f t="shared" si="25"/>
        <v/>
      </c>
      <c r="Q739" s="119"/>
      <c r="R739" s="4"/>
    </row>
    <row r="740" spans="1:18">
      <c r="A740" s="1">
        <f t="shared" si="24"/>
        <v>0</v>
      </c>
      <c r="B740" s="2"/>
      <c r="C740" s="8"/>
      <c r="D740" s="109" t="str">
        <f>IFERROR(INDEX([239]MATERIALES!C:C,MATCH(B740,[239]MATERIALES!B:B,0)),"")</f>
        <v/>
      </c>
      <c r="E740" s="110"/>
      <c r="F740" s="110"/>
      <c r="G740" s="110"/>
      <c r="H740" s="110"/>
      <c r="I740" s="110"/>
      <c r="J740" s="110"/>
      <c r="K740" s="111"/>
      <c r="L740" s="137" t="str">
        <f>IFERROR(INDEX([239]MATERIALES!D:D,MATCH(B740,[239]MATERIALES!B:B,0)),"")</f>
        <v/>
      </c>
      <c r="M740" s="138"/>
      <c r="N740" s="139" t="str">
        <f>IFERROR(INDEX([239]MATERIALES!P:P,MATCH(B740,[239]MATERIALES!B:B,0)),"")</f>
        <v/>
      </c>
      <c r="O740" s="140"/>
      <c r="P740" s="118" t="str">
        <f t="shared" si="25"/>
        <v/>
      </c>
      <c r="Q740" s="119"/>
      <c r="R740" s="4"/>
    </row>
    <row r="741" spans="1:18">
      <c r="A741" s="1">
        <f t="shared" si="24"/>
        <v>0</v>
      </c>
      <c r="B741" s="2"/>
      <c r="C741" s="8"/>
      <c r="D741" s="109" t="str">
        <f>IFERROR(INDEX([239]MATERIALES!C:C,MATCH(B741,[239]MATERIALES!B:B,0)),"")</f>
        <v/>
      </c>
      <c r="E741" s="110"/>
      <c r="F741" s="110"/>
      <c r="G741" s="110"/>
      <c r="H741" s="110"/>
      <c r="I741" s="110"/>
      <c r="J741" s="110"/>
      <c r="K741" s="111"/>
      <c r="L741" s="137" t="str">
        <f>IFERROR(INDEX([239]MATERIALES!D:D,MATCH(B741,[239]MATERIALES!B:B,0)),"")</f>
        <v/>
      </c>
      <c r="M741" s="138"/>
      <c r="N741" s="139" t="str">
        <f>IFERROR(INDEX([239]MATERIALES!P:P,MATCH(B741,[239]MATERIALES!B:B,0)),"")</f>
        <v/>
      </c>
      <c r="O741" s="140"/>
      <c r="P741" s="118" t="str">
        <f t="shared" si="25"/>
        <v/>
      </c>
      <c r="Q741" s="119"/>
      <c r="R741" s="4"/>
    </row>
    <row r="742" spans="1:18">
      <c r="A742" s="1">
        <f t="shared" si="24"/>
        <v>0</v>
      </c>
      <c r="B742" s="2"/>
      <c r="C742" s="8"/>
      <c r="D742" s="109" t="str">
        <f>IFERROR(INDEX([239]MATERIALES!C:C,MATCH(B742,[239]MATERIALES!B:B,0)),"")</f>
        <v/>
      </c>
      <c r="E742" s="110"/>
      <c r="F742" s="110"/>
      <c r="G742" s="110"/>
      <c r="H742" s="110"/>
      <c r="I742" s="110"/>
      <c r="J742" s="110"/>
      <c r="K742" s="111"/>
      <c r="L742" s="137" t="str">
        <f>IFERROR(INDEX([239]MATERIALES!D:D,MATCH(B742,[239]MATERIALES!B:B,0)),"")</f>
        <v/>
      </c>
      <c r="M742" s="138"/>
      <c r="N742" s="139" t="str">
        <f>IFERROR(INDEX([239]MATERIALES!P:P,MATCH(B742,[239]MATERIALES!B:B,0)),"")</f>
        <v/>
      </c>
      <c r="O742" s="140"/>
      <c r="P742" s="118" t="str">
        <f t="shared" si="25"/>
        <v/>
      </c>
      <c r="Q742" s="119"/>
      <c r="R742" s="4"/>
    </row>
    <row r="743" spans="1:18" ht="15.75" thickBot="1">
      <c r="A743" s="1">
        <f t="shared" si="24"/>
        <v>0</v>
      </c>
      <c r="B743" s="2"/>
      <c r="C743" s="8"/>
      <c r="D743" s="109" t="s">
        <v>28</v>
      </c>
      <c r="E743" s="110"/>
      <c r="F743" s="110"/>
      <c r="G743" s="110"/>
      <c r="H743" s="110"/>
      <c r="I743" s="110"/>
      <c r="J743" s="110"/>
      <c r="K743" s="111"/>
      <c r="L743" s="137" t="s">
        <v>29</v>
      </c>
      <c r="M743" s="138">
        <v>0.05</v>
      </c>
      <c r="N743" s="139">
        <f>SUM(P729:P742)</f>
        <v>0</v>
      </c>
      <c r="O743" s="140"/>
      <c r="P743" s="118">
        <f>ROUND(N743*M743,2)</f>
        <v>0</v>
      </c>
      <c r="Q743" s="119"/>
      <c r="R743" s="4"/>
    </row>
    <row r="744" spans="1:18" ht="15.75" thickBot="1">
      <c r="A744" s="1">
        <f t="shared" si="24"/>
        <v>0</v>
      </c>
      <c r="B744" s="2"/>
      <c r="C744" s="8"/>
      <c r="D744" s="128" t="s">
        <v>24</v>
      </c>
      <c r="E744" s="129"/>
      <c r="F744" s="129"/>
      <c r="G744" s="129"/>
      <c r="H744" s="129"/>
      <c r="I744" s="129"/>
      <c r="J744" s="129"/>
      <c r="K744" s="129"/>
      <c r="L744" s="129"/>
      <c r="M744" s="129"/>
      <c r="N744" s="129"/>
      <c r="O744" s="130"/>
      <c r="P744" s="131">
        <f>SUM(P729:P743)</f>
        <v>0</v>
      </c>
      <c r="Q744" s="119"/>
      <c r="R744" s="4"/>
    </row>
    <row r="745" spans="1:18" ht="15.75" thickBot="1">
      <c r="A745" s="1">
        <f t="shared" si="24"/>
        <v>0</v>
      </c>
      <c r="B745" s="2"/>
      <c r="C745" s="8"/>
      <c r="D745" s="74" t="s">
        <v>30</v>
      </c>
      <c r="E745" s="37"/>
      <c r="F745" s="37"/>
      <c r="G745" s="37"/>
      <c r="H745" s="37"/>
      <c r="I745" s="37"/>
      <c r="J745" s="37"/>
      <c r="K745" s="37"/>
      <c r="L745" s="37"/>
      <c r="M745" s="37"/>
      <c r="N745" s="37"/>
      <c r="O745" s="37"/>
      <c r="P745" s="99"/>
      <c r="Q745" s="100"/>
      <c r="R745" s="4"/>
    </row>
    <row r="746" spans="1:18">
      <c r="A746" s="1">
        <f t="shared" si="24"/>
        <v>0</v>
      </c>
      <c r="B746" s="2"/>
      <c r="C746" s="8"/>
      <c r="D746" s="101" t="s">
        <v>31</v>
      </c>
      <c r="E746" s="133"/>
      <c r="F746" s="133"/>
      <c r="G746" s="133"/>
      <c r="H746" s="133"/>
      <c r="I746" s="133"/>
      <c r="J746" s="133"/>
      <c r="K746" s="106" t="s">
        <v>32</v>
      </c>
      <c r="L746" s="141" t="s">
        <v>33</v>
      </c>
      <c r="M746" s="106" t="s">
        <v>34</v>
      </c>
      <c r="N746" s="104" t="s">
        <v>20</v>
      </c>
      <c r="O746" s="105"/>
      <c r="P746" s="107" t="s">
        <v>22</v>
      </c>
      <c r="Q746" s="108"/>
      <c r="R746" s="4"/>
    </row>
    <row r="747" spans="1:18">
      <c r="A747" s="1">
        <f t="shared" si="24"/>
        <v>0</v>
      </c>
      <c r="B747" s="2" t="s">
        <v>259</v>
      </c>
      <c r="C747" s="8"/>
      <c r="D747" s="142" t="str">
        <f>IFERROR(INDEX([239]TRANSPORTES!B:B,MATCH(B747,[239]TRANSPORTES!A:A,0)),"")</f>
        <v>ESCOMBROS / SOBRANTES HASTA 5 KM</v>
      </c>
      <c r="E747" s="143"/>
      <c r="F747" s="143"/>
      <c r="G747" s="143"/>
      <c r="H747" s="143"/>
      <c r="I747" s="143"/>
      <c r="J747" s="143"/>
      <c r="K747" s="144">
        <v>0.05</v>
      </c>
      <c r="L747" s="145">
        <v>5</v>
      </c>
      <c r="M747" s="146" t="str">
        <f>IFERROR(INDEX([239]TRANSPORTES!C:C,MATCH(B747,[239]TRANSPORTES!A:A,0)),"")</f>
        <v>M3/KM</v>
      </c>
      <c r="N747" s="139">
        <f>IFERROR(INDEX([239]TRANSPORTES!D:D,MATCH(B747,[239]TRANSPORTES!A:A,0)),"")</f>
        <v>2300</v>
      </c>
      <c r="O747" s="147"/>
      <c r="P747" s="148">
        <f>IFERROR(ROUND(K747*N747*L747,2),"")</f>
        <v>575</v>
      </c>
      <c r="Q747" s="119"/>
      <c r="R747" s="4"/>
    </row>
    <row r="748" spans="1:18">
      <c r="A748" s="1">
        <f t="shared" si="24"/>
        <v>0</v>
      </c>
      <c r="B748" s="2"/>
      <c r="C748" s="8"/>
      <c r="D748" s="142" t="str">
        <f>IFERROR(INDEX([239]TRANSPORTES!B:B,MATCH(B748,[239]TRANSPORTES!A:A,0)),"")</f>
        <v/>
      </c>
      <c r="E748" s="143"/>
      <c r="F748" s="143"/>
      <c r="G748" s="143"/>
      <c r="H748" s="143"/>
      <c r="I748" s="143"/>
      <c r="J748" s="143"/>
      <c r="K748" s="144"/>
      <c r="L748" s="145"/>
      <c r="M748" s="146" t="str">
        <f>IFERROR(INDEX([239]TRANSPORTES!C:C,MATCH(B748,[239]TRANSPORTES!A:A,0)),"")</f>
        <v/>
      </c>
      <c r="N748" s="139" t="str">
        <f>IFERROR(INDEX([239]TRANSPORTES!D:D,MATCH(B748,[239]TRANSPORTES!A:A,0)),"")</f>
        <v/>
      </c>
      <c r="O748" s="147"/>
      <c r="P748" s="148" t="str">
        <f>IFERROR(ROUND(K748*N748*L748,2),"")</f>
        <v/>
      </c>
      <c r="Q748" s="119"/>
      <c r="R748" s="4"/>
    </row>
    <row r="749" spans="1:18">
      <c r="A749" s="1">
        <f t="shared" si="24"/>
        <v>0</v>
      </c>
      <c r="B749" s="2"/>
      <c r="C749" s="8"/>
      <c r="D749" s="142" t="str">
        <f>IFERROR(INDEX([239]TRANSPORTES!B:B,MATCH(B749,[239]TRANSPORTES!A:A,0)),"")</f>
        <v/>
      </c>
      <c r="E749" s="143"/>
      <c r="F749" s="143"/>
      <c r="G749" s="143"/>
      <c r="H749" s="143"/>
      <c r="I749" s="143"/>
      <c r="J749" s="143"/>
      <c r="K749" s="144"/>
      <c r="L749" s="145"/>
      <c r="M749" s="146" t="str">
        <f>IFERROR(INDEX([239]TRANSPORTES!C:C,MATCH(B749,[239]TRANSPORTES!A:A,0)),"")</f>
        <v/>
      </c>
      <c r="N749" s="139" t="str">
        <f>IFERROR(INDEX([239]TRANSPORTES!D:D,MATCH(B749,[239]TRANSPORTES!A:A,0)),"")</f>
        <v/>
      </c>
      <c r="O749" s="147"/>
      <c r="P749" s="148" t="str">
        <f>IFERROR(ROUND(K749*N749*L749,2),"")</f>
        <v/>
      </c>
      <c r="Q749" s="119"/>
      <c r="R749" s="4"/>
    </row>
    <row r="750" spans="1:18" ht="15.75" thickBot="1">
      <c r="A750" s="1">
        <f t="shared" si="24"/>
        <v>0</v>
      </c>
      <c r="B750" s="2"/>
      <c r="C750" s="8"/>
      <c r="D750" s="142" t="str">
        <f>IFERROR(INDEX([239]TRANSPORTES!B:B,MATCH(B750,[239]TRANSPORTES!A:A,0)),"")</f>
        <v/>
      </c>
      <c r="E750" s="143"/>
      <c r="F750" s="143"/>
      <c r="G750" s="143"/>
      <c r="H750" s="143"/>
      <c r="I750" s="143"/>
      <c r="J750" s="143"/>
      <c r="K750" s="149"/>
      <c r="L750" s="150"/>
      <c r="M750" s="146" t="str">
        <f>IFERROR(INDEX([239]TRANSPORTES!C:C,MATCH(B750,[239]TRANSPORTES!A:A,0)),"")</f>
        <v/>
      </c>
      <c r="N750" s="139" t="str">
        <f>IFERROR(INDEX([239]TRANSPORTES!D:D,MATCH(B750,[239]TRANSPORTES!A:A,0)),"")</f>
        <v/>
      </c>
      <c r="O750" s="147"/>
      <c r="P750" s="148" t="str">
        <f>IFERROR(ROUND(K750*N750*L750,2),"")</f>
        <v/>
      </c>
      <c r="Q750" s="119"/>
      <c r="R750" s="4"/>
    </row>
    <row r="751" spans="1:18" ht="15.75" thickBot="1">
      <c r="A751" s="1">
        <f t="shared" si="24"/>
        <v>0</v>
      </c>
      <c r="B751" s="2"/>
      <c r="C751" s="8"/>
      <c r="D751" s="128" t="s">
        <v>24</v>
      </c>
      <c r="E751" s="129"/>
      <c r="F751" s="129"/>
      <c r="G751" s="129"/>
      <c r="H751" s="129"/>
      <c r="I751" s="129"/>
      <c r="J751" s="129"/>
      <c r="K751" s="129"/>
      <c r="L751" s="129"/>
      <c r="M751" s="129"/>
      <c r="N751" s="129"/>
      <c r="O751" s="130"/>
      <c r="P751" s="151">
        <f>SUM(P747:P750)</f>
        <v>575</v>
      </c>
      <c r="Q751" s="132"/>
      <c r="R751" s="4"/>
    </row>
    <row r="752" spans="1:18" ht="15.75" thickBot="1">
      <c r="A752" s="1">
        <f t="shared" si="24"/>
        <v>0</v>
      </c>
      <c r="B752" s="2"/>
      <c r="C752" s="8"/>
      <c r="D752" s="74" t="s">
        <v>36</v>
      </c>
      <c r="E752" s="37"/>
      <c r="F752" s="37"/>
      <c r="G752" s="37"/>
      <c r="H752" s="37"/>
      <c r="I752" s="37"/>
      <c r="J752" s="37"/>
      <c r="K752" s="37"/>
      <c r="L752" s="37"/>
      <c r="M752" s="37"/>
      <c r="N752" s="37"/>
      <c r="O752" s="37"/>
      <c r="P752" s="99"/>
      <c r="Q752" s="100"/>
      <c r="R752" s="4"/>
    </row>
    <row r="753" spans="1:18" ht="30">
      <c r="A753" s="1">
        <f t="shared" si="24"/>
        <v>0</v>
      </c>
      <c r="B753" s="2"/>
      <c r="C753" s="8"/>
      <c r="D753" s="101" t="s">
        <v>37</v>
      </c>
      <c r="E753" s="133"/>
      <c r="F753" s="133"/>
      <c r="G753" s="133"/>
      <c r="H753" s="133"/>
      <c r="I753" s="133"/>
      <c r="J753" s="133"/>
      <c r="K753" s="106" t="s">
        <v>38</v>
      </c>
      <c r="L753" s="152" t="s">
        <v>39</v>
      </c>
      <c r="M753" s="153" t="s">
        <v>40</v>
      </c>
      <c r="N753" s="104" t="s">
        <v>21</v>
      </c>
      <c r="O753" s="105"/>
      <c r="P753" s="154" t="s">
        <v>22</v>
      </c>
      <c r="Q753" s="155"/>
      <c r="R753" s="4"/>
    </row>
    <row r="754" spans="1:18">
      <c r="A754" s="1">
        <f t="shared" si="24"/>
        <v>0</v>
      </c>
      <c r="B754" s="2" t="s">
        <v>41</v>
      </c>
      <c r="C754" s="8"/>
      <c r="D754" s="109" t="str">
        <f>IFERROR(INDEX('[239]MANO DE OBRA'!B:B,MATCH(B754,'[239]MANO DE OBRA'!A:A,0)),"")</f>
        <v>OFICIAL</v>
      </c>
      <c r="E754" s="110"/>
      <c r="F754" s="110"/>
      <c r="G754" s="110"/>
      <c r="H754" s="110"/>
      <c r="I754" s="110"/>
      <c r="J754" s="111"/>
      <c r="K754" s="156">
        <f>IFERROR(INDEX('[239]MANO DE OBRA'!D:D,MATCH(B754,'[239]MANO DE OBRA'!A:A,0)),"")</f>
        <v>95930</v>
      </c>
      <c r="L754" s="157">
        <f>+IF(D754&lt;&gt;"",'[239]FACTOR PRESTACIONAL'!$E$21," ")</f>
        <v>1.95</v>
      </c>
      <c r="M754" s="158">
        <f>IFERROR(K754*L754," ")</f>
        <v>187063.5</v>
      </c>
      <c r="N754" s="159">
        <f>ROUND(8/1,2)</f>
        <v>8</v>
      </c>
      <c r="O754" s="160"/>
      <c r="P754" s="161">
        <f>IFERROR(ROUND(M754/N754,2)," ")</f>
        <v>23382.94</v>
      </c>
      <c r="Q754" s="162"/>
      <c r="R754" s="4"/>
    </row>
    <row r="755" spans="1:18">
      <c r="A755" s="1">
        <f t="shared" si="24"/>
        <v>0</v>
      </c>
      <c r="B755" s="2" t="s">
        <v>81</v>
      </c>
      <c r="C755" s="8"/>
      <c r="D755" s="109" t="str">
        <f>IFERROR(INDEX('[239]MANO DE OBRA'!B:B,MATCH(B755,'[239]MANO DE OBRA'!A:A,0)),"")</f>
        <v>AYUDANTE (1)</v>
      </c>
      <c r="E755" s="110"/>
      <c r="F755" s="110"/>
      <c r="G755" s="110"/>
      <c r="H755" s="110"/>
      <c r="I755" s="110"/>
      <c r="J755" s="111"/>
      <c r="K755" s="156">
        <f>IFERROR(INDEX('[239]MANO DE OBRA'!D:D,MATCH(B755,'[239]MANO DE OBRA'!A:A,0)),"")</f>
        <v>71433</v>
      </c>
      <c r="L755" s="157">
        <f>+IF(D755&lt;&gt;"",'[239]FACTOR PRESTACIONAL'!$E$21," ")</f>
        <v>1.95</v>
      </c>
      <c r="M755" s="158">
        <f>IFERROR(K755*L755," ")</f>
        <v>139294.35</v>
      </c>
      <c r="N755" s="159">
        <f>ROUND(8/1,2)</f>
        <v>8</v>
      </c>
      <c r="O755" s="160"/>
      <c r="P755" s="161">
        <f>IFERROR(ROUND(M755/N755,2)," ")</f>
        <v>17411.79</v>
      </c>
      <c r="Q755" s="162"/>
      <c r="R755" s="4"/>
    </row>
    <row r="756" spans="1:18">
      <c r="A756" s="1">
        <f t="shared" si="24"/>
        <v>0</v>
      </c>
      <c r="B756" s="2"/>
      <c r="C756" s="8"/>
      <c r="D756" s="109" t="str">
        <f>IFERROR(INDEX('[239]MANO DE OBRA'!B:B,MATCH(B756,'[239]MANO DE OBRA'!A:A,0)),"")</f>
        <v/>
      </c>
      <c r="E756" s="110"/>
      <c r="F756" s="110"/>
      <c r="G756" s="110"/>
      <c r="H756" s="110"/>
      <c r="I756" s="110"/>
      <c r="J756" s="111"/>
      <c r="K756" s="156" t="str">
        <f>IFERROR(INDEX('[239]MANO DE OBRA'!D:D,MATCH(B756,'[239]MANO DE OBRA'!A:A,0)),"")</f>
        <v/>
      </c>
      <c r="L756" s="157" t="str">
        <f>+IF(D756&lt;&gt;"",'[239]FACTOR PRESTACIONAL'!$E$21," ")</f>
        <v xml:space="preserve"> </v>
      </c>
      <c r="M756" s="158" t="str">
        <f>IFERROR(K756*L756," ")</f>
        <v xml:space="preserve"> </v>
      </c>
      <c r="N756" s="159"/>
      <c r="O756" s="160"/>
      <c r="P756" s="161" t="str">
        <f>IFERROR(ROUND(M756/N756,2)," ")</f>
        <v xml:space="preserve"> </v>
      </c>
      <c r="Q756" s="162"/>
      <c r="R756" s="4"/>
    </row>
    <row r="757" spans="1:18">
      <c r="A757" s="1">
        <f t="shared" si="24"/>
        <v>0</v>
      </c>
      <c r="B757" s="2"/>
      <c r="C757" s="8"/>
      <c r="D757" s="109" t="str">
        <f>IFERROR(INDEX('[239]MANO DE OBRA'!B:B,MATCH(B757,'[239]MANO DE OBRA'!A:A,0)),"")</f>
        <v/>
      </c>
      <c r="E757" s="110"/>
      <c r="F757" s="110"/>
      <c r="G757" s="110"/>
      <c r="H757" s="110"/>
      <c r="I757" s="110"/>
      <c r="J757" s="111"/>
      <c r="K757" s="156" t="str">
        <f>IFERROR(INDEX('[239]MANO DE OBRA'!D:D,MATCH(B757,'[239]MANO DE OBRA'!A:A,0)),"")</f>
        <v/>
      </c>
      <c r="L757" s="157" t="str">
        <f>+IF(D757&lt;&gt;"",'[239]FACTOR PRESTACIONAL'!$E$21," ")</f>
        <v xml:space="preserve"> </v>
      </c>
      <c r="M757" s="158" t="str">
        <f>IFERROR(K757*L757," ")</f>
        <v xml:space="preserve"> </v>
      </c>
      <c r="N757" s="159"/>
      <c r="O757" s="160"/>
      <c r="P757" s="161" t="str">
        <f>IFERROR(ROUND(M757/N757,2)," ")</f>
        <v xml:space="preserve"> </v>
      </c>
      <c r="Q757" s="162"/>
      <c r="R757" s="4"/>
    </row>
    <row r="758" spans="1:18" ht="15.75" thickBot="1">
      <c r="A758" s="1">
        <f t="shared" si="24"/>
        <v>0</v>
      </c>
      <c r="B758" s="2"/>
      <c r="C758" s="8"/>
      <c r="D758" s="109" t="str">
        <f>IFERROR(INDEX('[239]MANO DE OBRA'!B:B,MATCH(B758,'[239]MANO DE OBRA'!A:A,0)),"")</f>
        <v/>
      </c>
      <c r="E758" s="110"/>
      <c r="F758" s="110"/>
      <c r="G758" s="110"/>
      <c r="H758" s="110"/>
      <c r="I758" s="110"/>
      <c r="J758" s="111"/>
      <c r="K758" s="156" t="str">
        <f>IFERROR(INDEX('[239]MANO DE OBRA'!D:D,MATCH(B758,'[239]MANO DE OBRA'!A:A,0)),"")</f>
        <v/>
      </c>
      <c r="L758" s="157" t="str">
        <f>+IF(D758&lt;&gt;"",'[239]FACTOR PRESTACIONAL'!$E$21," ")</f>
        <v xml:space="preserve"> </v>
      </c>
      <c r="M758" s="158" t="str">
        <f>IFERROR(K758*L758," ")</f>
        <v xml:space="preserve"> </v>
      </c>
      <c r="N758" s="159"/>
      <c r="O758" s="160"/>
      <c r="P758" s="161" t="str">
        <f>IFERROR(ROUND(M758/N758,2)," ")</f>
        <v xml:space="preserve"> </v>
      </c>
      <c r="Q758" s="119"/>
      <c r="R758" s="4"/>
    </row>
    <row r="759" spans="1:18" ht="15.75" thickBot="1">
      <c r="A759" s="1">
        <f t="shared" si="24"/>
        <v>0</v>
      </c>
      <c r="B759" s="2"/>
      <c r="C759" s="8"/>
      <c r="D759" s="128" t="s">
        <v>24</v>
      </c>
      <c r="E759" s="129"/>
      <c r="F759" s="129"/>
      <c r="G759" s="129"/>
      <c r="H759" s="129"/>
      <c r="I759" s="129"/>
      <c r="J759" s="129"/>
      <c r="K759" s="129"/>
      <c r="L759" s="129"/>
      <c r="M759" s="129"/>
      <c r="N759" s="129"/>
      <c r="O759" s="130"/>
      <c r="P759" s="131">
        <f>SUM(P754:P758)</f>
        <v>40794.729999999996</v>
      </c>
      <c r="Q759" s="119"/>
      <c r="R759" s="4"/>
    </row>
    <row r="760" spans="1:18" ht="15.75" thickBot="1">
      <c r="A760" s="1">
        <f t="shared" si="24"/>
        <v>0</v>
      </c>
      <c r="B760" s="2"/>
      <c r="C760" s="8"/>
      <c r="D760" s="87"/>
      <c r="E760" s="20"/>
      <c r="F760" s="20"/>
      <c r="G760" s="20"/>
      <c r="H760" s="20"/>
      <c r="I760" s="20"/>
      <c r="J760" s="20"/>
      <c r="K760" s="20"/>
      <c r="L760" s="20"/>
      <c r="M760" s="20"/>
      <c r="N760" s="20"/>
      <c r="O760" s="20"/>
      <c r="P760" s="88"/>
      <c r="Q760" s="13"/>
      <c r="R760" s="4"/>
    </row>
    <row r="761" spans="1:18" ht="15.75" thickBot="1">
      <c r="A761" s="1"/>
      <c r="B761" s="2"/>
      <c r="C761" s="8"/>
      <c r="D761" s="163" t="s">
        <v>43</v>
      </c>
      <c r="E761" s="164"/>
      <c r="F761" s="164"/>
      <c r="G761" s="164"/>
      <c r="H761" s="164"/>
      <c r="I761" s="164"/>
      <c r="J761" s="164"/>
      <c r="K761" s="164"/>
      <c r="L761" s="164"/>
      <c r="M761" s="164"/>
      <c r="N761" s="164"/>
      <c r="O761" s="165"/>
      <c r="P761" s="166">
        <f>+P759+P751+P744+P726</f>
        <v>45449.2</v>
      </c>
      <c r="Q761" s="167"/>
      <c r="R761" s="168"/>
    </row>
    <row r="762" spans="1:18" ht="15.75" thickBot="1">
      <c r="A762" s="1"/>
      <c r="B762" s="2"/>
      <c r="C762" s="8"/>
      <c r="D762" s="169"/>
      <c r="E762" s="170"/>
      <c r="F762" s="170"/>
      <c r="G762" s="170"/>
      <c r="H762" s="170"/>
      <c r="I762" s="170"/>
      <c r="J762" s="170"/>
      <c r="K762" s="170"/>
      <c r="L762" s="170"/>
      <c r="M762" s="170"/>
      <c r="N762" s="170"/>
      <c r="O762" s="170"/>
      <c r="P762" s="171"/>
      <c r="Q762" s="100"/>
      <c r="R762" s="4"/>
    </row>
    <row r="763" spans="1:18">
      <c r="A763" s="1"/>
      <c r="B763" s="2"/>
      <c r="C763" s="8"/>
      <c r="D763" s="172" t="s">
        <v>73</v>
      </c>
      <c r="E763" s="173"/>
      <c r="F763" s="173"/>
      <c r="G763" s="173"/>
      <c r="H763" s="173"/>
      <c r="I763" s="173"/>
      <c r="J763" s="173"/>
      <c r="K763" s="141"/>
      <c r="L763" s="174"/>
      <c r="M763" s="153" t="s">
        <v>44</v>
      </c>
      <c r="N763" s="175" t="s">
        <v>45</v>
      </c>
      <c r="O763" s="176"/>
      <c r="P763" s="154"/>
      <c r="Q763" s="155"/>
      <c r="R763" s="4"/>
    </row>
    <row r="764" spans="1:18">
      <c r="A764" s="1"/>
      <c r="B764" s="2"/>
      <c r="C764" s="8"/>
      <c r="D764" s="109" t="s">
        <v>65</v>
      </c>
      <c r="E764" s="110"/>
      <c r="F764" s="110"/>
      <c r="G764" s="110"/>
      <c r="H764" s="110"/>
      <c r="I764" s="110"/>
      <c r="J764" s="110"/>
      <c r="K764" s="177"/>
      <c r="L764" s="178"/>
      <c r="M764" s="179">
        <f>+[239]INICIO!$F$10</f>
        <v>0.24</v>
      </c>
      <c r="N764" s="180">
        <f>ROUND(M764*P761,2)</f>
        <v>10907.81</v>
      </c>
      <c r="O764" s="181"/>
      <c r="P764" s="182"/>
      <c r="Q764" s="119"/>
      <c r="R764" s="4"/>
    </row>
    <row r="765" spans="1:18">
      <c r="A765" s="1"/>
      <c r="B765" s="2"/>
      <c r="C765" s="8"/>
      <c r="D765" s="183" t="s">
        <v>67</v>
      </c>
      <c r="E765" s="61"/>
      <c r="F765" s="61"/>
      <c r="G765" s="61"/>
      <c r="H765" s="61"/>
      <c r="I765" s="61"/>
      <c r="J765" s="61"/>
      <c r="K765" s="177"/>
      <c r="L765" s="178"/>
      <c r="M765" s="179">
        <f>+[239]INICIO!$F$11</f>
        <v>0.02</v>
      </c>
      <c r="N765" s="180">
        <f>ROUND(M765*P761,2)</f>
        <v>908.98</v>
      </c>
      <c r="O765" s="181"/>
      <c r="P765" s="182"/>
      <c r="Q765" s="119"/>
      <c r="R765" s="4"/>
    </row>
    <row r="766" spans="1:18" ht="15.75" thickBot="1">
      <c r="A766" s="1"/>
      <c r="B766" s="2"/>
      <c r="C766" s="8"/>
      <c r="D766" s="77" t="s">
        <v>69</v>
      </c>
      <c r="E766" s="78"/>
      <c r="F766" s="78"/>
      <c r="G766" s="78"/>
      <c r="H766" s="78"/>
      <c r="I766" s="78"/>
      <c r="J766" s="78"/>
      <c r="K766" s="184"/>
      <c r="L766" s="185"/>
      <c r="M766" s="179">
        <f>+[239]INICIO!$F$12</f>
        <v>7.0000000000000007E-2</v>
      </c>
      <c r="N766" s="180">
        <f>ROUND(M766*P761,2)</f>
        <v>3181.44</v>
      </c>
      <c r="O766" s="181"/>
      <c r="P766" s="182"/>
      <c r="Q766" s="119"/>
      <c r="R766" s="4"/>
    </row>
    <row r="767" spans="1:18" ht="15.75" thickBot="1">
      <c r="A767" s="1"/>
      <c r="B767" s="2"/>
      <c r="C767" s="8"/>
      <c r="D767" s="128"/>
      <c r="E767" s="129"/>
      <c r="F767" s="129"/>
      <c r="G767" s="129"/>
      <c r="H767" s="129"/>
      <c r="I767" s="129"/>
      <c r="J767" s="129"/>
      <c r="K767" s="129"/>
      <c r="L767" s="129"/>
      <c r="M767" s="129"/>
      <c r="N767" s="129"/>
      <c r="O767" s="130"/>
      <c r="P767" s="131">
        <f>SUM(N764:N766)</f>
        <v>14998.23</v>
      </c>
      <c r="Q767" s="186"/>
      <c r="R767" s="4"/>
    </row>
    <row r="768" spans="1:18" ht="15.75" thickBot="1">
      <c r="A768" s="1"/>
      <c r="B768" s="2"/>
      <c r="C768" s="8"/>
      <c r="D768" s="87"/>
      <c r="E768" s="20"/>
      <c r="F768" s="20"/>
      <c r="G768" s="20"/>
      <c r="H768" s="20"/>
      <c r="I768" s="20"/>
      <c r="J768" s="20"/>
      <c r="K768" s="20"/>
      <c r="L768" s="20"/>
      <c r="M768" s="20"/>
      <c r="N768" s="20"/>
      <c r="O768" s="20"/>
      <c r="P768" s="88"/>
      <c r="Q768" s="13"/>
      <c r="R768" s="4"/>
    </row>
    <row r="769" spans="1:18" ht="15.75" thickBot="1">
      <c r="A769" s="1"/>
      <c r="B769" s="2"/>
      <c r="C769" s="8"/>
      <c r="D769" s="187" t="s">
        <v>46</v>
      </c>
      <c r="E769" s="188"/>
      <c r="F769" s="188"/>
      <c r="G769" s="188"/>
      <c r="H769" s="188"/>
      <c r="I769" s="188"/>
      <c r="J769" s="188"/>
      <c r="K769" s="188"/>
      <c r="L769" s="188"/>
      <c r="M769" s="188"/>
      <c r="N769" s="188"/>
      <c r="O769" s="189"/>
      <c r="P769" s="166">
        <f>ROUND(P767+P761,0)</f>
        <v>60447</v>
      </c>
      <c r="Q769" s="186"/>
      <c r="R769" s="4"/>
    </row>
    <row r="770" spans="1:18">
      <c r="A770" s="1"/>
      <c r="B770" s="2"/>
      <c r="C770" s="8"/>
      <c r="D770" s="80"/>
      <c r="E770" s="81"/>
      <c r="F770" s="81"/>
      <c r="G770" s="81"/>
      <c r="H770" s="81"/>
      <c r="I770" s="81"/>
      <c r="J770" s="81"/>
      <c r="K770" s="81"/>
      <c r="L770" s="81"/>
      <c r="M770" s="81"/>
      <c r="N770" s="81"/>
      <c r="O770" s="81"/>
      <c r="P770" s="82"/>
      <c r="Q770" s="13"/>
      <c r="R770" s="4"/>
    </row>
    <row r="771" spans="1:18">
      <c r="A771" s="1"/>
      <c r="B771" s="2"/>
      <c r="C771" s="8"/>
      <c r="D771" s="87"/>
      <c r="E771" s="20"/>
      <c r="F771" s="20"/>
      <c r="G771" s="20"/>
      <c r="H771" s="20"/>
      <c r="I771" s="20"/>
      <c r="J771" s="20"/>
      <c r="K771" s="20"/>
      <c r="L771" s="20"/>
      <c r="M771" s="20"/>
      <c r="N771" s="20"/>
      <c r="O771" s="20"/>
      <c r="P771" s="88"/>
      <c r="Q771" s="13"/>
      <c r="R771" s="4"/>
    </row>
    <row r="772" spans="1:18">
      <c r="A772" s="1"/>
      <c r="B772" s="2"/>
      <c r="C772" s="8"/>
      <c r="D772" s="87"/>
      <c r="E772" s="20"/>
      <c r="F772" s="20"/>
      <c r="G772" s="20"/>
      <c r="H772" s="20"/>
      <c r="I772" s="20"/>
      <c r="J772" s="20"/>
      <c r="K772" s="20"/>
      <c r="L772" s="20"/>
      <c r="M772" s="20"/>
      <c r="N772" s="20"/>
      <c r="O772" s="20"/>
      <c r="P772" s="88"/>
      <c r="Q772" s="13"/>
      <c r="R772" s="4"/>
    </row>
    <row r="773" spans="1:18">
      <c r="A773" s="1"/>
      <c r="B773" s="2"/>
      <c r="C773" s="8"/>
      <c r="D773" s="87"/>
      <c r="E773" s="20"/>
      <c r="F773" s="20"/>
      <c r="G773" s="20"/>
      <c r="H773" s="20"/>
      <c r="I773" s="20"/>
      <c r="J773" s="20"/>
      <c r="K773" s="20"/>
      <c r="L773" s="20"/>
      <c r="M773" s="20"/>
      <c r="N773" s="20"/>
      <c r="O773" s="20"/>
      <c r="P773" s="88"/>
      <c r="Q773" s="13"/>
      <c r="R773" s="4"/>
    </row>
    <row r="774" spans="1:18">
      <c r="A774" s="1"/>
      <c r="B774" s="2"/>
      <c r="C774" s="8"/>
      <c r="D774" s="219" t="str">
        <f>+[239]INICIO!$B$13</f>
        <v>Proyectó:</v>
      </c>
      <c r="E774" s="49"/>
      <c r="F774" s="49"/>
      <c r="G774" s="49"/>
      <c r="H774" s="49"/>
      <c r="I774" s="49"/>
      <c r="J774" s="49"/>
      <c r="K774" s="20"/>
      <c r="L774" s="69" t="str">
        <f>+[239]INICIO!$B$16</f>
        <v>Aprobó:</v>
      </c>
      <c r="M774" s="49"/>
      <c r="N774" s="49"/>
      <c r="O774" s="49"/>
      <c r="P774" s="88"/>
      <c r="Q774" s="13"/>
      <c r="R774" s="4"/>
    </row>
    <row r="775" spans="1:18">
      <c r="A775" s="1"/>
      <c r="B775" s="2"/>
      <c r="C775" s="8"/>
      <c r="D775" s="87"/>
      <c r="E775" s="20" t="str">
        <f>+Hoja2!C$13</f>
        <v>HELMER EDUARDO BECERRA SANTANDER</v>
      </c>
      <c r="F775" s="20"/>
      <c r="G775" s="20"/>
      <c r="H775" s="20"/>
      <c r="I775" s="20"/>
      <c r="J775" s="20"/>
      <c r="K775" s="20"/>
      <c r="L775" s="20"/>
      <c r="M775" s="20" t="str">
        <f>+Hoja2!$C$16</f>
        <v>JESÚS IVÁN QUIÑONES RUEDA</v>
      </c>
      <c r="N775" s="20"/>
      <c r="O775" s="20"/>
      <c r="P775" s="88"/>
      <c r="Q775" s="190"/>
      <c r="R775" s="4"/>
    </row>
    <row r="776" spans="1:18">
      <c r="A776" s="1"/>
      <c r="B776" s="2"/>
      <c r="C776" s="8"/>
      <c r="D776" s="87"/>
      <c r="E776" s="20" t="str">
        <f>+Hoja2!C$14</f>
        <v>APOYO SEC. DE PLANEACIÓN Y OBRAS PÚBLICAS</v>
      </c>
      <c r="F776" s="20"/>
      <c r="G776" s="20"/>
      <c r="H776" s="20"/>
      <c r="I776" s="20"/>
      <c r="J776" s="20"/>
      <c r="K776" s="20"/>
      <c r="L776" s="20"/>
      <c r="M776" s="20" t="str">
        <f>+Hoja2!$C$17</f>
        <v>SECRETARIO DE PLANEACIÓN Y OBRAS PUBLICAS</v>
      </c>
      <c r="N776" s="20"/>
      <c r="O776" s="20"/>
      <c r="P776" s="88"/>
      <c r="Q776" s="190"/>
      <c r="R776" s="4"/>
    </row>
    <row r="777" spans="1:18">
      <c r="A777" s="1"/>
      <c r="B777" s="2"/>
      <c r="C777" s="8"/>
      <c r="D777" s="68"/>
      <c r="E777" s="20" t="str">
        <f>+Hoja2!C$15</f>
        <v>123769-0701671 NTS</v>
      </c>
      <c r="F777" s="191"/>
      <c r="G777" s="191"/>
      <c r="H777" s="191"/>
      <c r="I777" s="20"/>
      <c r="J777" s="191"/>
      <c r="K777" s="191"/>
      <c r="L777" s="191"/>
      <c r="M777" s="192" t="str">
        <f>+Hoja2!C$18</f>
        <v>A21382020-1090480860</v>
      </c>
      <c r="N777" s="191"/>
      <c r="O777" s="191"/>
      <c r="P777" s="193"/>
      <c r="Q777" s="194"/>
      <c r="R777" s="4"/>
    </row>
    <row r="778" spans="1:18" ht="16.5" thickBot="1">
      <c r="A778" s="1"/>
      <c r="B778" s="2"/>
      <c r="C778" s="8"/>
      <c r="D778" s="195"/>
      <c r="E778" s="150"/>
      <c r="F778" s="150"/>
      <c r="G778" s="150"/>
      <c r="H778" s="150"/>
      <c r="I778" s="150"/>
      <c r="J778" s="150"/>
      <c r="K778" s="150"/>
      <c r="L778" s="150"/>
      <c r="M778" s="150"/>
      <c r="N778" s="150"/>
      <c r="O778" s="150"/>
      <c r="P778" s="196"/>
      <c r="Q778" s="197"/>
      <c r="R778" s="4"/>
    </row>
    <row r="779" spans="1:18" ht="15.75" thickBot="1">
      <c r="A779" s="1"/>
      <c r="B779" s="2"/>
      <c r="C779" s="198"/>
      <c r="D779" s="199"/>
      <c r="E779" s="199"/>
      <c r="F779" s="199"/>
      <c r="G779" s="199"/>
      <c r="H779" s="199"/>
      <c r="I779" s="199"/>
      <c r="J779" s="199"/>
      <c r="K779" s="199"/>
      <c r="L779" s="199"/>
      <c r="M779" s="199"/>
      <c r="N779" s="199"/>
      <c r="O779" s="199"/>
      <c r="P779" s="199"/>
      <c r="Q779" s="200"/>
      <c r="R779" s="4"/>
    </row>
    <row r="780" spans="1:18" ht="16.5" thickTop="1" thickBot="1">
      <c r="A780" s="1"/>
      <c r="B780" s="2"/>
      <c r="C780" s="3"/>
      <c r="D780" s="4"/>
      <c r="E780" s="4"/>
      <c r="F780" s="4"/>
      <c r="G780" s="4"/>
      <c r="H780" s="4"/>
      <c r="I780" s="4"/>
      <c r="J780" s="4"/>
      <c r="K780" s="4"/>
      <c r="L780" s="4"/>
      <c r="M780" s="4"/>
      <c r="N780" s="4"/>
      <c r="O780" s="4"/>
      <c r="P780" s="4"/>
      <c r="Q780" s="4"/>
      <c r="R780" s="4"/>
    </row>
    <row r="781" spans="1:18" ht="15.75" thickTop="1">
      <c r="A781" s="1"/>
      <c r="B781" s="2"/>
      <c r="C781" s="5"/>
      <c r="D781" s="6"/>
      <c r="E781" s="6"/>
      <c r="F781" s="6"/>
      <c r="G781" s="6"/>
      <c r="H781" s="6"/>
      <c r="I781" s="6"/>
      <c r="J781" s="6"/>
      <c r="K781" s="6"/>
      <c r="L781" s="6"/>
      <c r="M781" s="6"/>
      <c r="N781" s="6"/>
      <c r="O781" s="6"/>
      <c r="P781" s="6"/>
      <c r="Q781" s="7"/>
      <c r="R781" s="4"/>
    </row>
    <row r="782" spans="1:18" ht="24">
      <c r="A782" s="1"/>
      <c r="B782" s="2"/>
      <c r="C782" s="8"/>
      <c r="D782" s="9" t="str">
        <f>+[239]INICIO!$C$8</f>
        <v>Análisis de Precios Unitarios- Secretaria de Planeación y Obras Publicas de Cubará, Boyacá.</v>
      </c>
      <c r="E782" s="10"/>
      <c r="F782" s="10"/>
      <c r="G782" s="10"/>
      <c r="H782" s="11"/>
      <c r="I782" s="12"/>
      <c r="J782" s="12"/>
      <c r="K782" s="12"/>
      <c r="L782" s="12"/>
      <c r="M782" s="12"/>
      <c r="N782" s="12"/>
      <c r="O782" s="12"/>
      <c r="P782" s="12"/>
      <c r="Q782" s="13"/>
      <c r="R782" s="4"/>
    </row>
    <row r="783" spans="1:18">
      <c r="A783" s="1"/>
      <c r="B783" s="2"/>
      <c r="C783" s="8"/>
      <c r="D783" s="14" t="s">
        <v>0</v>
      </c>
      <c r="E783" s="15" t="str">
        <f>+[239]INICIO!$C$7</f>
        <v>CCE-EICP-FM-14</v>
      </c>
      <c r="F783" s="16"/>
      <c r="G783" s="17" t="str">
        <f>+[239]INICIO!$B$6</f>
        <v>VERSIÓN</v>
      </c>
      <c r="H783" s="14">
        <f>+[239]INICIO!$C$6</f>
        <v>1</v>
      </c>
      <c r="I783" s="12"/>
      <c r="J783" s="12"/>
      <c r="K783" s="12"/>
      <c r="L783" s="12"/>
      <c r="M783" s="12"/>
      <c r="N783" s="12"/>
      <c r="O783" s="12"/>
      <c r="P783" s="12"/>
      <c r="Q783" s="13"/>
      <c r="R783" s="4"/>
    </row>
    <row r="784" spans="1:18">
      <c r="A784" s="1"/>
      <c r="B784" s="2"/>
      <c r="C784" s="8"/>
      <c r="D784" s="18"/>
      <c r="E784" s="19"/>
      <c r="F784" s="18"/>
      <c r="G784" s="19"/>
      <c r="H784" s="12"/>
      <c r="I784" s="12"/>
      <c r="J784" s="12"/>
      <c r="K784" s="12"/>
      <c r="L784" s="12"/>
      <c r="M784" s="12"/>
      <c r="N784" s="12"/>
      <c r="O784" s="12"/>
      <c r="P784" s="12"/>
      <c r="Q784" s="13"/>
      <c r="R784" s="4"/>
    </row>
    <row r="785" spans="1:18" ht="15.75" thickBot="1">
      <c r="A785" s="1"/>
      <c r="B785" s="2"/>
      <c r="C785" s="8"/>
      <c r="D785" s="20"/>
      <c r="E785" s="20"/>
      <c r="F785" s="20"/>
      <c r="G785" s="20"/>
      <c r="H785" s="20"/>
      <c r="I785" s="20"/>
      <c r="J785" s="20"/>
      <c r="K785" s="20"/>
      <c r="L785" s="20"/>
      <c r="M785" s="20"/>
      <c r="N785" s="20"/>
      <c r="O785" s="20"/>
      <c r="P785" s="20"/>
      <c r="Q785" s="13"/>
      <c r="R785" s="4"/>
    </row>
    <row r="786" spans="1:18">
      <c r="A786" s="1"/>
      <c r="B786" s="2"/>
      <c r="C786" s="8"/>
      <c r="D786" s="21"/>
      <c r="E786" s="22"/>
      <c r="F786" s="23"/>
      <c r="G786" s="23"/>
      <c r="H786" s="23"/>
      <c r="I786" s="23"/>
      <c r="J786" s="23"/>
      <c r="K786" s="23"/>
      <c r="L786" s="24"/>
      <c r="M786" s="25"/>
      <c r="N786" s="26"/>
      <c r="O786" s="26"/>
      <c r="P786" s="27"/>
      <c r="Q786" s="28"/>
      <c r="R786" s="4"/>
    </row>
    <row r="787" spans="1:18">
      <c r="A787" s="1"/>
      <c r="B787" s="2"/>
      <c r="C787" s="8"/>
      <c r="D787" s="29"/>
      <c r="E787" s="30" t="s">
        <v>1</v>
      </c>
      <c r="F787" s="31"/>
      <c r="G787" s="31"/>
      <c r="H787" s="31"/>
      <c r="I787" s="31"/>
      <c r="J787" s="31"/>
      <c r="K787" s="31"/>
      <c r="L787" s="32"/>
      <c r="M787" s="33"/>
      <c r="N787" s="34"/>
      <c r="O787" s="34"/>
      <c r="P787" s="35"/>
      <c r="Q787" s="28"/>
      <c r="R787" s="4"/>
    </row>
    <row r="788" spans="1:18">
      <c r="A788" s="1"/>
      <c r="B788" s="2"/>
      <c r="C788" s="8"/>
      <c r="D788" s="29"/>
      <c r="E788" s="36"/>
      <c r="F788" s="37"/>
      <c r="G788" s="37"/>
      <c r="H788" s="37"/>
      <c r="I788" s="37"/>
      <c r="J788" s="37"/>
      <c r="K788" s="37"/>
      <c r="L788" s="38"/>
      <c r="M788" s="39"/>
      <c r="N788" s="40"/>
      <c r="O788" s="41"/>
      <c r="P788" s="42"/>
      <c r="Q788" s="28"/>
      <c r="R788" s="4"/>
    </row>
    <row r="789" spans="1:18">
      <c r="A789" s="1"/>
      <c r="B789" s="2"/>
      <c r="C789" s="8"/>
      <c r="D789" s="29"/>
      <c r="E789" s="36"/>
      <c r="F789" s="37"/>
      <c r="G789" s="37"/>
      <c r="H789" s="37"/>
      <c r="I789" s="37"/>
      <c r="J789" s="37"/>
      <c r="K789" s="37"/>
      <c r="L789" s="38"/>
      <c r="M789" s="43" t="s">
        <v>2</v>
      </c>
      <c r="N789" s="44"/>
      <c r="O789" s="45">
        <f>+[239]INICIO!$C$6</f>
        <v>1</v>
      </c>
      <c r="P789" s="46"/>
      <c r="Q789" s="28"/>
      <c r="R789" s="4"/>
    </row>
    <row r="790" spans="1:18">
      <c r="A790" s="1"/>
      <c r="B790" s="2"/>
      <c r="C790" s="8"/>
      <c r="D790" s="29"/>
      <c r="E790" s="36"/>
      <c r="F790" s="37"/>
      <c r="G790" s="37"/>
      <c r="H790" s="37"/>
      <c r="I790" s="37"/>
      <c r="J790" s="37"/>
      <c r="K790" s="37"/>
      <c r="L790" s="38"/>
      <c r="M790" s="47"/>
      <c r="N790" s="48"/>
      <c r="O790" s="49"/>
      <c r="P790" s="50"/>
      <c r="Q790" s="51"/>
      <c r="R790" s="4"/>
    </row>
    <row r="791" spans="1:18">
      <c r="A791" s="1"/>
      <c r="B791" s="2"/>
      <c r="C791" s="8"/>
      <c r="D791" s="29"/>
      <c r="E791" s="52"/>
      <c r="F791" s="53"/>
      <c r="G791" s="53"/>
      <c r="H791" s="53"/>
      <c r="I791" s="53"/>
      <c r="J791" s="53"/>
      <c r="K791" s="53"/>
      <c r="L791" s="54"/>
      <c r="M791" s="39"/>
      <c r="N791" s="55"/>
      <c r="O791" s="55"/>
      <c r="P791" s="56"/>
      <c r="Q791" s="28"/>
      <c r="R791" s="4"/>
    </row>
    <row r="792" spans="1:18">
      <c r="A792" s="1"/>
      <c r="B792" s="2"/>
      <c r="C792" s="8"/>
      <c r="D792" s="29"/>
      <c r="E792" s="52"/>
      <c r="F792" s="53"/>
      <c r="G792" s="53"/>
      <c r="H792" s="53"/>
      <c r="I792" s="53"/>
      <c r="J792" s="53"/>
      <c r="K792" s="53"/>
      <c r="L792" s="54"/>
      <c r="M792" s="43" t="s">
        <v>3</v>
      </c>
      <c r="N792" s="43" t="str">
        <f>+VLOOKUP(D803,'PRESUPUESTO OFICIAL '!C:Q,9,FALSE)</f>
        <v>10</v>
      </c>
      <c r="O792" s="43" t="s">
        <v>4</v>
      </c>
      <c r="P792" s="508" t="str">
        <f>+'PRESUPUESTO OFICIAL '!$M$122</f>
        <v>62</v>
      </c>
      <c r="Q792" s="28"/>
      <c r="R792" s="4"/>
    </row>
    <row r="793" spans="1:18">
      <c r="A793" s="1"/>
      <c r="B793" s="2"/>
      <c r="C793" s="8"/>
      <c r="D793" s="29"/>
      <c r="E793" s="30" t="s">
        <v>5</v>
      </c>
      <c r="F793" s="31"/>
      <c r="G793" s="31"/>
      <c r="H793" s="31"/>
      <c r="I793" s="31"/>
      <c r="J793" s="31"/>
      <c r="K793" s="31"/>
      <c r="L793" s="32"/>
      <c r="M793" s="43"/>
      <c r="N793" s="57"/>
      <c r="O793" s="57"/>
      <c r="P793" s="58"/>
      <c r="Q793" s="28"/>
      <c r="R793" s="4"/>
    </row>
    <row r="794" spans="1:18" ht="15.75" thickBot="1">
      <c r="A794" s="1"/>
      <c r="B794" s="2"/>
      <c r="C794" s="8"/>
      <c r="D794" s="59"/>
      <c r="E794" s="60"/>
      <c r="F794" s="60"/>
      <c r="G794" s="60"/>
      <c r="H794" s="60"/>
      <c r="I794" s="60"/>
      <c r="J794" s="60"/>
      <c r="K794" s="60"/>
      <c r="L794" s="60"/>
      <c r="M794" s="60"/>
      <c r="N794" s="61"/>
      <c r="O794" s="61"/>
      <c r="P794" s="62"/>
      <c r="Q794" s="63"/>
      <c r="R794" s="4"/>
    </row>
    <row r="795" spans="1:18">
      <c r="A795" s="1"/>
      <c r="B795" s="2"/>
      <c r="C795" s="8"/>
      <c r="D795" s="64"/>
      <c r="E795" s="65"/>
      <c r="F795" s="65"/>
      <c r="G795" s="65"/>
      <c r="H795" s="65"/>
      <c r="I795" s="65"/>
      <c r="J795" s="65"/>
      <c r="K795" s="65"/>
      <c r="L795" s="65"/>
      <c r="M795" s="66" t="s">
        <v>6</v>
      </c>
      <c r="N795" s="66" t="s">
        <v>7</v>
      </c>
      <c r="O795" s="66" t="s">
        <v>8</v>
      </c>
      <c r="P795" s="67" t="s">
        <v>9</v>
      </c>
      <c r="Q795" s="51"/>
      <c r="R795" s="4"/>
    </row>
    <row r="796" spans="1:18">
      <c r="A796" s="1"/>
      <c r="B796" s="2"/>
      <c r="C796" s="8"/>
      <c r="D796" s="68"/>
      <c r="E796" s="69"/>
      <c r="F796" s="69"/>
      <c r="G796" s="69"/>
      <c r="H796" s="69"/>
      <c r="I796" s="69"/>
      <c r="J796" s="69"/>
      <c r="K796" s="69"/>
      <c r="L796" s="69"/>
      <c r="M796" s="70"/>
      <c r="N796" s="71">
        <f>+Hoja2!B$5</f>
        <v>5</v>
      </c>
      <c r="O796" s="71">
        <f>+Hoja2!C$5</f>
        <v>8</v>
      </c>
      <c r="P796" s="72">
        <f>+Hoja2!D$5</f>
        <v>2026</v>
      </c>
      <c r="Q796" s="73"/>
      <c r="R796" s="4"/>
    </row>
    <row r="797" spans="1:18">
      <c r="A797" s="1"/>
      <c r="B797" s="2"/>
      <c r="C797" s="8"/>
      <c r="D797" s="74"/>
      <c r="E797" s="37"/>
      <c r="F797" s="37"/>
      <c r="G797" s="37"/>
      <c r="H797" s="69"/>
      <c r="I797" s="69"/>
      <c r="J797" s="69"/>
      <c r="K797" s="20"/>
      <c r="L797" s="69"/>
      <c r="M797" s="75"/>
      <c r="N797" s="20"/>
      <c r="O797" s="20"/>
      <c r="P797" s="76"/>
      <c r="Q797" s="73"/>
      <c r="R797" s="4"/>
    </row>
    <row r="798" spans="1:18" ht="15.75" thickBot="1">
      <c r="A798" s="1"/>
      <c r="B798" s="2"/>
      <c r="C798" s="8"/>
      <c r="D798" s="77"/>
      <c r="E798" s="78"/>
      <c r="F798" s="78"/>
      <c r="G798" s="78"/>
      <c r="H798" s="78"/>
      <c r="I798" s="78"/>
      <c r="J798" s="78"/>
      <c r="K798" s="78"/>
      <c r="L798" s="78"/>
      <c r="M798" s="78"/>
      <c r="N798" s="78"/>
      <c r="O798" s="78"/>
      <c r="P798" s="79"/>
      <c r="Q798" s="13"/>
      <c r="R798" s="4"/>
    </row>
    <row r="799" spans="1:18" ht="15.75" thickBot="1">
      <c r="A799" s="1"/>
      <c r="B799" s="2"/>
      <c r="C799" s="8"/>
      <c r="D799" s="80"/>
      <c r="E799" s="81"/>
      <c r="F799" s="81"/>
      <c r="G799" s="81"/>
      <c r="H799" s="81"/>
      <c r="I799" s="81"/>
      <c r="J799" s="20"/>
      <c r="K799" s="20"/>
      <c r="L799" s="81"/>
      <c r="M799" s="81"/>
      <c r="N799" s="81"/>
      <c r="O799" s="81"/>
      <c r="P799" s="82"/>
      <c r="Q799" s="13"/>
      <c r="R799" s="4"/>
    </row>
    <row r="800" spans="1:18">
      <c r="A800" s="1"/>
      <c r="B800" s="2"/>
      <c r="C800" s="8"/>
      <c r="D800" s="83" t="s">
        <v>10</v>
      </c>
      <c r="E800" s="84"/>
      <c r="F800" s="84"/>
      <c r="G800" s="84"/>
      <c r="H800" s="84"/>
      <c r="I800" s="84"/>
      <c r="J800" s="84"/>
      <c r="K800" s="84"/>
      <c r="L800" s="84"/>
      <c r="M800" s="84"/>
      <c r="N800" s="84"/>
      <c r="O800" s="84"/>
      <c r="P800" s="85"/>
      <c r="Q800" s="86"/>
      <c r="R800" s="4"/>
    </row>
    <row r="801" spans="1:18" ht="15.75" thickBot="1">
      <c r="A801" s="1"/>
      <c r="B801" s="2"/>
      <c r="C801" s="8"/>
      <c r="D801" s="87"/>
      <c r="E801" s="20"/>
      <c r="F801" s="20"/>
      <c r="G801" s="20"/>
      <c r="H801" s="20"/>
      <c r="I801" s="20"/>
      <c r="J801" s="20"/>
      <c r="K801" s="20"/>
      <c r="L801" s="20"/>
      <c r="M801" s="20"/>
      <c r="N801" s="20"/>
      <c r="O801" s="20"/>
      <c r="P801" s="88"/>
      <c r="Q801" s="13"/>
      <c r="R801" s="4"/>
    </row>
    <row r="802" spans="1:18">
      <c r="A802" s="1" t="s">
        <v>11</v>
      </c>
      <c r="B802" s="2" t="s">
        <v>12</v>
      </c>
      <c r="C802" s="8"/>
      <c r="D802" s="89" t="s">
        <v>13</v>
      </c>
      <c r="E802" s="90" t="s">
        <v>14</v>
      </c>
      <c r="F802" s="90"/>
      <c r="G802" s="90"/>
      <c r="H802" s="90"/>
      <c r="I802" s="90"/>
      <c r="J802" s="90"/>
      <c r="K802" s="90"/>
      <c r="L802" s="90"/>
      <c r="M802" s="90"/>
      <c r="N802" s="91" t="s">
        <v>15</v>
      </c>
      <c r="O802" s="91"/>
      <c r="P802" s="92" t="s">
        <v>16</v>
      </c>
      <c r="Q802" s="93"/>
      <c r="R802" s="4"/>
    </row>
    <row r="803" spans="1:18" ht="15.75" thickBot="1">
      <c r="A803" s="1"/>
      <c r="B803" s="2"/>
      <c r="C803" s="8"/>
      <c r="D803" s="349">
        <f>+'PRESUPUESTO OFICIAL '!C21</f>
        <v>1.1000000000000001</v>
      </c>
      <c r="E803" s="94" t="str">
        <f>+VLOOKUP(D803,'PRESUPUESTO OFICIAL '!C:H,2,FALSE)</f>
        <v>RELLENO CON MATERIAL DE EXCAVACION COMPACTADO MANUALMENTE CON PISON</v>
      </c>
      <c r="F803" s="94"/>
      <c r="G803" s="94"/>
      <c r="H803" s="94"/>
      <c r="I803" s="94"/>
      <c r="J803" s="94"/>
      <c r="K803" s="94"/>
      <c r="L803" s="94"/>
      <c r="M803" s="94"/>
      <c r="N803" s="94" t="str">
        <f>+VLOOKUP(D803,'PRESUPUESTO OFICIAL '!C:H,3,FALSE)</f>
        <v>M3</v>
      </c>
      <c r="O803" s="95"/>
      <c r="P803" s="96">
        <f>+VLOOKUP(D803,'PRESUPUESTO OFICIAL '!C:H,4,FALSE)</f>
        <v>22.99</v>
      </c>
      <c r="Q803" s="97"/>
      <c r="R803" s="98">
        <f>+P855</f>
        <v>68288</v>
      </c>
    </row>
    <row r="804" spans="1:18" ht="15.75" thickBot="1">
      <c r="A804" s="1"/>
      <c r="B804" s="2"/>
      <c r="C804" s="8"/>
      <c r="D804" s="74" t="s">
        <v>17</v>
      </c>
      <c r="E804" s="37"/>
      <c r="F804" s="37"/>
      <c r="G804" s="37"/>
      <c r="H804" s="37"/>
      <c r="I804" s="37"/>
      <c r="J804" s="37"/>
      <c r="K804" s="37"/>
      <c r="L804" s="37"/>
      <c r="M804" s="37"/>
      <c r="N804" s="37"/>
      <c r="O804" s="37"/>
      <c r="P804" s="99"/>
      <c r="Q804" s="100"/>
      <c r="R804" s="4"/>
    </row>
    <row r="805" spans="1:18">
      <c r="A805" s="1"/>
      <c r="B805" s="2"/>
      <c r="C805" s="8"/>
      <c r="D805" s="101" t="s">
        <v>14</v>
      </c>
      <c r="E805" s="102"/>
      <c r="F805" s="102"/>
      <c r="G805" s="102"/>
      <c r="H805" s="103"/>
      <c r="I805" s="104" t="s">
        <v>18</v>
      </c>
      <c r="J805" s="102"/>
      <c r="K805" s="104" t="s">
        <v>19</v>
      </c>
      <c r="L805" s="105"/>
      <c r="M805" s="106" t="s">
        <v>20</v>
      </c>
      <c r="N805" s="104" t="s">
        <v>21</v>
      </c>
      <c r="O805" s="105"/>
      <c r="P805" s="107" t="s">
        <v>22</v>
      </c>
      <c r="Q805" s="108"/>
      <c r="R805" s="4"/>
    </row>
    <row r="806" spans="1:18">
      <c r="A806" s="1" t="s">
        <v>261</v>
      </c>
      <c r="B806" s="2" t="s">
        <v>23</v>
      </c>
      <c r="C806" s="8"/>
      <c r="D806" s="109" t="str">
        <f>IFERROR(INDEX([239]EQUIPOS!B:B,MATCH(B806,[239]EQUIPOS!A:A,0)),"")</f>
        <v>HERRAMIENTA MENOR (% M.O)</v>
      </c>
      <c r="E806" s="110"/>
      <c r="F806" s="110"/>
      <c r="G806" s="110"/>
      <c r="H806" s="111"/>
      <c r="I806" s="112"/>
      <c r="J806" s="111"/>
      <c r="K806" s="113" t="str">
        <f>IFERROR(INDEX([239]EQUIPOS!C:C,MATCH(B806,[239]EQUIPOS!A:A,0)),"")</f>
        <v>%</v>
      </c>
      <c r="L806" s="114"/>
      <c r="M806" s="115">
        <f>IFERROR(IF(D806="HERRAMIENTA MENOR (% M.O)",P845,INDEX([239]EQUIPOS!D:D,MATCH(B806,[239]EQUIPOS!A:A,0))),"")</f>
        <v>34823.589999999997</v>
      </c>
      <c r="N806" s="116">
        <v>10</v>
      </c>
      <c r="O806" s="117"/>
      <c r="P806" s="118">
        <f t="shared" ref="P806:P811" si="26">IFERROR(ROUND(IF(D806="HERRAMIENTA MENOR (% M.O)",N806%*M806,M806/N806),2)," ")</f>
        <v>3482.36</v>
      </c>
      <c r="Q806" s="119"/>
      <c r="R806" s="4"/>
    </row>
    <row r="807" spans="1:18">
      <c r="A807" s="1">
        <f>+$A$2341</f>
        <v>0</v>
      </c>
      <c r="B807" s="2" t="s">
        <v>266</v>
      </c>
      <c r="C807" s="8"/>
      <c r="D807" s="109"/>
      <c r="E807" s="110"/>
      <c r="F807" s="110"/>
      <c r="G807" s="110"/>
      <c r="H807" s="111"/>
      <c r="I807" s="112"/>
      <c r="J807" s="111"/>
      <c r="K807" s="113" t="str">
        <f>IFERROR(INDEX([239]EQUIPOS!C:C,MATCH(B807,[239]EQUIPOS!A:A,0)),"")</f>
        <v>DIA</v>
      </c>
      <c r="L807" s="114"/>
      <c r="M807" s="115">
        <f>IFERROR(IF(D807="HERRAMIENTA MENOR (% M.O)",P846,INDEX([239]EQUIPOS!D:D,MATCH(B807,[239]EQUIPOS!A:A,0))),"")</f>
        <v>100000</v>
      </c>
      <c r="N807" s="116">
        <f>1/0.13</f>
        <v>7.6923076923076916</v>
      </c>
      <c r="O807" s="117"/>
      <c r="P807" s="118">
        <f t="shared" si="26"/>
        <v>13000</v>
      </c>
      <c r="Q807" s="119"/>
      <c r="R807" s="4"/>
    </row>
    <row r="808" spans="1:18">
      <c r="A808" s="1">
        <f t="shared" ref="A808:A846" si="27">+A807</f>
        <v>0</v>
      </c>
      <c r="B808" s="2"/>
      <c r="C808" s="8"/>
      <c r="D808" s="109" t="str">
        <f>IFERROR(INDEX([239]EQUIPOS!B:B,MATCH(B808,[239]EQUIPOS!A:A,0)),"")</f>
        <v/>
      </c>
      <c r="E808" s="110"/>
      <c r="F808" s="110"/>
      <c r="G808" s="110"/>
      <c r="H808" s="111"/>
      <c r="I808" s="120"/>
      <c r="J808" s="121"/>
      <c r="K808" s="113" t="str">
        <f>IFERROR(INDEX([239]EQUIPOS!C:C,MATCH(B808,[239]EQUIPOS!A:A,0)),"")</f>
        <v/>
      </c>
      <c r="L808" s="114"/>
      <c r="M808" s="115" t="str">
        <f>IFERROR(IF(D808="HERRAMIENTA MENOR (% M.O)",P847,INDEX([239]EQUIPOS!D:D,MATCH(B808,[239]EQUIPOS!A:A,0))),"")</f>
        <v/>
      </c>
      <c r="N808" s="116"/>
      <c r="O808" s="117"/>
      <c r="P808" s="118" t="str">
        <f t="shared" si="26"/>
        <v xml:space="preserve"> </v>
      </c>
      <c r="Q808" s="119"/>
      <c r="R808" s="4"/>
    </row>
    <row r="809" spans="1:18">
      <c r="A809" s="1"/>
      <c r="B809" s="2"/>
      <c r="C809" s="8"/>
      <c r="D809" s="109" t="str">
        <f>IFERROR(INDEX([239]EQUIPOS!B:B,MATCH(B809,[239]EQUIPOS!A:A,0)),"")</f>
        <v/>
      </c>
      <c r="E809" s="110"/>
      <c r="F809" s="110"/>
      <c r="G809" s="110"/>
      <c r="H809" s="111"/>
      <c r="I809" s="120"/>
      <c r="J809" s="121"/>
      <c r="K809" s="113" t="str">
        <f>IFERROR(INDEX([239]EQUIPOS!C:C,MATCH(B809,[239]EQUIPOS!A:A,0)),"")</f>
        <v/>
      </c>
      <c r="L809" s="114"/>
      <c r="M809" s="115" t="str">
        <f>IFERROR(IF(D809="HERRAMIENTA MENOR (% M.O)",P848,INDEX([239]EQUIPOS!D:D,MATCH(B809,[239]EQUIPOS!A:A,0))),"")</f>
        <v/>
      </c>
      <c r="N809" s="116"/>
      <c r="O809" s="117"/>
      <c r="P809" s="118" t="str">
        <f t="shared" si="26"/>
        <v xml:space="preserve"> </v>
      </c>
      <c r="Q809" s="119"/>
      <c r="R809" s="4"/>
    </row>
    <row r="810" spans="1:18">
      <c r="A810" s="1"/>
      <c r="B810" s="2"/>
      <c r="C810" s="8"/>
      <c r="D810" s="109" t="str">
        <f>IFERROR(INDEX([239]EQUIPOS!B:B,MATCH(B810,[239]EQUIPOS!A:A,0)),"")</f>
        <v/>
      </c>
      <c r="E810" s="110"/>
      <c r="F810" s="110"/>
      <c r="G810" s="110"/>
      <c r="H810" s="111"/>
      <c r="I810" s="112"/>
      <c r="J810" s="111"/>
      <c r="K810" s="113" t="str">
        <f>IFERROR(INDEX([239]EQUIPOS!C:C,MATCH(B810,[239]EQUIPOS!A:A,0)),"")</f>
        <v/>
      </c>
      <c r="L810" s="114"/>
      <c r="M810" s="115" t="str">
        <f>IFERROR(IF(D810="HERRAMIENTA MENOR (% M.O)",P849,INDEX([239]EQUIPOS!D:D,MATCH(B810,[239]EQUIPOS!A:A,0))),"")</f>
        <v/>
      </c>
      <c r="N810" s="116"/>
      <c r="O810" s="117"/>
      <c r="P810" s="118" t="str">
        <f t="shared" si="26"/>
        <v xml:space="preserve"> </v>
      </c>
      <c r="Q810" s="119"/>
      <c r="R810" s="4"/>
    </row>
    <row r="811" spans="1:18" ht="15.75" thickBot="1">
      <c r="A811" s="1"/>
      <c r="B811" s="2"/>
      <c r="C811" s="8"/>
      <c r="D811" s="109" t="str">
        <f>IFERROR(INDEX([239]EQUIPOS!B:B,MATCH(B811,[239]EQUIPOS!A:A,0)),"")</f>
        <v/>
      </c>
      <c r="E811" s="78"/>
      <c r="F811" s="78"/>
      <c r="G811" s="78"/>
      <c r="H811" s="122"/>
      <c r="I811" s="123"/>
      <c r="J811" s="122"/>
      <c r="K811" s="113" t="str">
        <f>IFERROR(INDEX([239]EQUIPOS!C:C,MATCH(B811,[239]EQUIPOS!A:A,0)),"")</f>
        <v/>
      </c>
      <c r="L811" s="124"/>
      <c r="M811" s="115" t="str">
        <f>IFERROR(IF(D811="HERRAMIENTA MENOR (% M.O)",P850,INDEX([239]EQUIPOS!D:D,MATCH(B811,[239]EQUIPOS!A:A,0))),"")</f>
        <v/>
      </c>
      <c r="N811" s="125"/>
      <c r="O811" s="126"/>
      <c r="P811" s="127" t="str">
        <f t="shared" si="26"/>
        <v xml:space="preserve"> </v>
      </c>
      <c r="Q811" s="119"/>
      <c r="R811" s="4"/>
    </row>
    <row r="812" spans="1:18" ht="15.75" thickBot="1">
      <c r="A812" s="1"/>
      <c r="B812" s="2"/>
      <c r="C812" s="8"/>
      <c r="D812" s="128" t="s">
        <v>24</v>
      </c>
      <c r="E812" s="129"/>
      <c r="F812" s="129"/>
      <c r="G812" s="129"/>
      <c r="H812" s="129"/>
      <c r="I812" s="129"/>
      <c r="J812" s="129"/>
      <c r="K812" s="129"/>
      <c r="L812" s="129"/>
      <c r="M812" s="129"/>
      <c r="N812" s="129"/>
      <c r="O812" s="130"/>
      <c r="P812" s="131">
        <f>SUM(P806:P811)</f>
        <v>16482.36</v>
      </c>
      <c r="Q812" s="132"/>
      <c r="R812" s="4"/>
    </row>
    <row r="813" spans="1:18" ht="15.75" thickBot="1">
      <c r="A813" s="1"/>
      <c r="B813" s="2"/>
      <c r="C813" s="8"/>
      <c r="D813" s="74" t="s">
        <v>25</v>
      </c>
      <c r="E813" s="37"/>
      <c r="F813" s="37"/>
      <c r="G813" s="37"/>
      <c r="H813" s="37"/>
      <c r="I813" s="37"/>
      <c r="J813" s="37"/>
      <c r="K813" s="37"/>
      <c r="L813" s="37"/>
      <c r="M813" s="37"/>
      <c r="N813" s="37"/>
      <c r="O813" s="37"/>
      <c r="P813" s="99"/>
      <c r="Q813" s="100"/>
      <c r="R813" s="4"/>
    </row>
    <row r="814" spans="1:18">
      <c r="A814" s="1"/>
      <c r="B814" s="2"/>
      <c r="C814" s="8"/>
      <c r="D814" s="101" t="s">
        <v>14</v>
      </c>
      <c r="E814" s="133"/>
      <c r="F814" s="133"/>
      <c r="G814" s="133"/>
      <c r="H814" s="133"/>
      <c r="I814" s="133"/>
      <c r="J814" s="133"/>
      <c r="K814" s="105"/>
      <c r="L814" s="134" t="s">
        <v>15</v>
      </c>
      <c r="M814" s="106" t="s">
        <v>16</v>
      </c>
      <c r="N814" s="104" t="s">
        <v>26</v>
      </c>
      <c r="O814" s="105"/>
      <c r="P814" s="107" t="s">
        <v>22</v>
      </c>
      <c r="Q814" s="108"/>
      <c r="R814" s="4"/>
    </row>
    <row r="815" spans="1:18">
      <c r="A815" s="1"/>
      <c r="B815" s="2" t="s">
        <v>27</v>
      </c>
      <c r="C815" s="8"/>
      <c r="D815" s="109" t="str">
        <f>IFERROR(INDEX([239]MATERIALES!C:C,MATCH(B815,[239]MATERIALES!B:B,0)),"")</f>
        <v>AGUA</v>
      </c>
      <c r="E815" s="135"/>
      <c r="F815" s="135"/>
      <c r="G815" s="135"/>
      <c r="H815" s="135"/>
      <c r="I815" s="135"/>
      <c r="J815" s="135"/>
      <c r="K815" s="136"/>
      <c r="L815" s="137" t="str">
        <f>IFERROR(INDEX([239]MATERIALES!D:D,MATCH(B815,[239]MATERIALES!B:B,0)),"")</f>
        <v>LT</v>
      </c>
      <c r="M815" s="138">
        <v>10</v>
      </c>
      <c r="N815" s="139">
        <f>IFERROR(INDEX([239]MATERIALES!P:P,MATCH(B815,[239]MATERIALES!B:B,0)),"")</f>
        <v>3.65</v>
      </c>
      <c r="O815" s="140"/>
      <c r="P815" s="118">
        <f>IFERROR(ROUND(N815*M815,2),"")</f>
        <v>36.5</v>
      </c>
      <c r="Q815" s="119"/>
      <c r="R815" s="4"/>
    </row>
    <row r="816" spans="1:18">
      <c r="A816" s="1">
        <f t="shared" si="27"/>
        <v>0</v>
      </c>
      <c r="B816" s="2"/>
      <c r="C816" s="8"/>
      <c r="D816" s="109" t="str">
        <f>IFERROR(INDEX([239]MATERIALES!C:C,MATCH(B816,[239]MATERIALES!B:B,0)),"")</f>
        <v/>
      </c>
      <c r="E816" s="135"/>
      <c r="F816" s="135"/>
      <c r="G816" s="135"/>
      <c r="H816" s="135"/>
      <c r="I816" s="135"/>
      <c r="J816" s="135"/>
      <c r="K816" s="136"/>
      <c r="L816" s="137" t="str">
        <f>IFERROR(INDEX([239]MATERIALES!D:D,MATCH(B816,[239]MATERIALES!B:B,0)),"")</f>
        <v/>
      </c>
      <c r="M816" s="138"/>
      <c r="N816" s="139" t="str">
        <f>IFERROR(INDEX([239]MATERIALES!P:P,MATCH(B816,[239]MATERIALES!B:B,0)),"")</f>
        <v/>
      </c>
      <c r="O816" s="140"/>
      <c r="P816" s="118" t="str">
        <f>IFERROR(ROUND(N816*M816,2),"")</f>
        <v/>
      </c>
      <c r="Q816" s="119"/>
      <c r="R816" s="4"/>
    </row>
    <row r="817" spans="1:18">
      <c r="A817" s="1">
        <f t="shared" si="27"/>
        <v>0</v>
      </c>
      <c r="B817" s="2"/>
      <c r="C817" s="8"/>
      <c r="D817" s="109" t="str">
        <f>IFERROR(INDEX([239]MATERIALES!C:C,MATCH(B817,[239]MATERIALES!B:B,0)),"")</f>
        <v/>
      </c>
      <c r="E817" s="110"/>
      <c r="F817" s="110"/>
      <c r="G817" s="110"/>
      <c r="H817" s="110"/>
      <c r="I817" s="110"/>
      <c r="J817" s="110"/>
      <c r="K817" s="111"/>
      <c r="L817" s="137" t="str">
        <f>IFERROR(INDEX([239]MATERIALES!D:D,MATCH(B817,[239]MATERIALES!B:B,0)),"")</f>
        <v/>
      </c>
      <c r="M817" s="138"/>
      <c r="N817" s="139" t="str">
        <f>IFERROR(INDEX([239]MATERIALES!P:P,MATCH(B817,[239]MATERIALES!B:B,0)),"")</f>
        <v/>
      </c>
      <c r="O817" s="140"/>
      <c r="P817" s="118" t="str">
        <f>IFERROR(ROUND(N817*M817,2),"")</f>
        <v/>
      </c>
      <c r="Q817" s="119"/>
      <c r="R817" s="4"/>
    </row>
    <row r="818" spans="1:18">
      <c r="A818" s="1">
        <f t="shared" si="27"/>
        <v>0</v>
      </c>
      <c r="B818" s="2"/>
      <c r="C818" s="8"/>
      <c r="D818" s="109" t="str">
        <f>IFERROR(INDEX([239]MATERIALES!C:C,MATCH(B818,[239]MATERIALES!B:B,0)),"")</f>
        <v/>
      </c>
      <c r="E818" s="110"/>
      <c r="F818" s="110"/>
      <c r="G818" s="110"/>
      <c r="H818" s="110"/>
      <c r="I818" s="110"/>
      <c r="J818" s="110"/>
      <c r="K818" s="111"/>
      <c r="L818" s="137" t="str">
        <f>IFERROR(INDEX([239]MATERIALES!D:D,MATCH(B818,[239]MATERIALES!B:B,0)),"")</f>
        <v/>
      </c>
      <c r="M818" s="138"/>
      <c r="N818" s="139" t="str">
        <f>IFERROR(INDEX([239]MATERIALES!P:P,MATCH(B818,[239]MATERIALES!B:B,0)),"")</f>
        <v/>
      </c>
      <c r="O818" s="140"/>
      <c r="P818" s="118" t="str">
        <f>IFERROR(ROUND(N818*M818,2),"")</f>
        <v/>
      </c>
      <c r="Q818" s="119"/>
      <c r="R818" s="4"/>
    </row>
    <row r="819" spans="1:18">
      <c r="A819" s="1">
        <f t="shared" si="27"/>
        <v>0</v>
      </c>
      <c r="B819" s="2"/>
      <c r="C819" s="8"/>
      <c r="D819" s="109" t="str">
        <f>IFERROR(INDEX([239]MATERIALES!C:C,MATCH(B819,[239]MATERIALES!B:B,0)),"")</f>
        <v/>
      </c>
      <c r="E819" s="110"/>
      <c r="F819" s="110"/>
      <c r="G819" s="110"/>
      <c r="H819" s="110"/>
      <c r="I819" s="110"/>
      <c r="J819" s="110"/>
      <c r="K819" s="111"/>
      <c r="L819" s="137" t="str">
        <f>IFERROR(INDEX([239]MATERIALES!D:D,MATCH(B819,[239]MATERIALES!B:B,0)),"")</f>
        <v/>
      </c>
      <c r="M819" s="138"/>
      <c r="N819" s="139" t="str">
        <f>IFERROR(INDEX([239]MATERIALES!P:P,MATCH(B819,[239]MATERIALES!B:B,0)),"")</f>
        <v/>
      </c>
      <c r="O819" s="140"/>
      <c r="P819" s="118" t="str">
        <f t="shared" ref="P819:P828" si="28">IFERROR(ROUND(N819*M819,2),"")</f>
        <v/>
      </c>
      <c r="Q819" s="119"/>
      <c r="R819" s="4"/>
    </row>
    <row r="820" spans="1:18">
      <c r="A820" s="1">
        <f t="shared" si="27"/>
        <v>0</v>
      </c>
      <c r="B820" s="2"/>
      <c r="C820" s="8"/>
      <c r="D820" s="109" t="str">
        <f>IFERROR(INDEX([239]MATERIALES!C:C,MATCH(B820,[239]MATERIALES!B:B,0)),"")</f>
        <v/>
      </c>
      <c r="E820" s="110"/>
      <c r="F820" s="110"/>
      <c r="G820" s="110"/>
      <c r="H820" s="110"/>
      <c r="I820" s="110"/>
      <c r="J820" s="110"/>
      <c r="K820" s="111"/>
      <c r="L820" s="137" t="str">
        <f>IFERROR(INDEX([239]MATERIALES!D:D,MATCH(B820,[239]MATERIALES!B:B,0)),"")</f>
        <v/>
      </c>
      <c r="M820" s="138"/>
      <c r="N820" s="139" t="str">
        <f>IFERROR(INDEX([239]MATERIALES!P:P,MATCH(B820,[239]MATERIALES!B:B,0)),"")</f>
        <v/>
      </c>
      <c r="O820" s="140"/>
      <c r="P820" s="118" t="str">
        <f t="shared" si="28"/>
        <v/>
      </c>
      <c r="Q820" s="119"/>
      <c r="R820" s="4"/>
    </row>
    <row r="821" spans="1:18">
      <c r="A821" s="1">
        <f t="shared" si="27"/>
        <v>0</v>
      </c>
      <c r="B821" s="2"/>
      <c r="C821" s="8"/>
      <c r="D821" s="109" t="str">
        <f>IFERROR(INDEX([239]MATERIALES!C:C,MATCH(B821,[239]MATERIALES!B:B,0)),"")</f>
        <v/>
      </c>
      <c r="E821" s="110"/>
      <c r="F821" s="110"/>
      <c r="G821" s="110"/>
      <c r="H821" s="110"/>
      <c r="I821" s="110"/>
      <c r="J821" s="110"/>
      <c r="K821" s="111"/>
      <c r="L821" s="137" t="str">
        <f>IFERROR(INDEX([239]MATERIALES!D:D,MATCH(B821,[239]MATERIALES!B:B,0)),"")</f>
        <v/>
      </c>
      <c r="M821" s="138"/>
      <c r="N821" s="139" t="str">
        <f>IFERROR(INDEX([239]MATERIALES!P:P,MATCH(B821,[239]MATERIALES!B:B,0)),"")</f>
        <v/>
      </c>
      <c r="O821" s="140"/>
      <c r="P821" s="118" t="str">
        <f t="shared" si="28"/>
        <v/>
      </c>
      <c r="Q821" s="119"/>
      <c r="R821" s="4"/>
    </row>
    <row r="822" spans="1:18">
      <c r="A822" s="1">
        <f t="shared" si="27"/>
        <v>0</v>
      </c>
      <c r="B822" s="2"/>
      <c r="C822" s="8"/>
      <c r="D822" s="109" t="str">
        <f>IFERROR(INDEX([239]MATERIALES!C:C,MATCH(B822,[239]MATERIALES!B:B,0)),"")</f>
        <v/>
      </c>
      <c r="E822" s="110"/>
      <c r="F822" s="110"/>
      <c r="G822" s="110"/>
      <c r="H822" s="110"/>
      <c r="I822" s="110"/>
      <c r="J822" s="110"/>
      <c r="K822" s="111"/>
      <c r="L822" s="137" t="str">
        <f>IFERROR(INDEX([239]MATERIALES!D:D,MATCH(B822,[239]MATERIALES!B:B,0)),"")</f>
        <v/>
      </c>
      <c r="M822" s="138"/>
      <c r="N822" s="139" t="str">
        <f>IFERROR(INDEX([239]MATERIALES!P:P,MATCH(B822,[239]MATERIALES!B:B,0)),"")</f>
        <v/>
      </c>
      <c r="O822" s="140"/>
      <c r="P822" s="118" t="str">
        <f t="shared" si="28"/>
        <v/>
      </c>
      <c r="Q822" s="119"/>
      <c r="R822" s="4"/>
    </row>
    <row r="823" spans="1:18">
      <c r="A823" s="1">
        <f t="shared" si="27"/>
        <v>0</v>
      </c>
      <c r="B823" s="2"/>
      <c r="C823" s="8"/>
      <c r="D823" s="109" t="str">
        <f>IFERROR(INDEX([239]MATERIALES!C:C,MATCH(B823,[239]MATERIALES!B:B,0)),"")</f>
        <v/>
      </c>
      <c r="E823" s="110"/>
      <c r="F823" s="110"/>
      <c r="G823" s="110"/>
      <c r="H823" s="110"/>
      <c r="I823" s="110"/>
      <c r="J823" s="110"/>
      <c r="K823" s="111"/>
      <c r="L823" s="137" t="str">
        <f>IFERROR(INDEX([239]MATERIALES!D:D,MATCH(B823,[239]MATERIALES!B:B,0)),"")</f>
        <v/>
      </c>
      <c r="M823" s="138"/>
      <c r="N823" s="139" t="str">
        <f>IFERROR(INDEX([239]MATERIALES!P:P,MATCH(B823,[239]MATERIALES!B:B,0)),"")</f>
        <v/>
      </c>
      <c r="O823" s="140"/>
      <c r="P823" s="118" t="str">
        <f t="shared" si="28"/>
        <v/>
      </c>
      <c r="Q823" s="119"/>
      <c r="R823" s="4"/>
    </row>
    <row r="824" spans="1:18">
      <c r="A824" s="1">
        <f t="shared" si="27"/>
        <v>0</v>
      </c>
      <c r="B824" s="2"/>
      <c r="C824" s="8"/>
      <c r="D824" s="109" t="str">
        <f>IFERROR(INDEX([239]MATERIALES!C:C,MATCH(B824,[239]MATERIALES!B:B,0)),"")</f>
        <v/>
      </c>
      <c r="E824" s="110"/>
      <c r="F824" s="110"/>
      <c r="G824" s="110"/>
      <c r="H824" s="110"/>
      <c r="I824" s="110"/>
      <c r="J824" s="110"/>
      <c r="K824" s="111"/>
      <c r="L824" s="137" t="str">
        <f>IFERROR(INDEX([239]MATERIALES!D:D,MATCH(B824,[239]MATERIALES!B:B,0)),"")</f>
        <v/>
      </c>
      <c r="M824" s="138"/>
      <c r="N824" s="139" t="str">
        <f>IFERROR(INDEX([239]MATERIALES!P:P,MATCH(B824,[239]MATERIALES!B:B,0)),"")</f>
        <v/>
      </c>
      <c r="O824" s="140"/>
      <c r="P824" s="118" t="str">
        <f t="shared" si="28"/>
        <v/>
      </c>
      <c r="Q824" s="119"/>
      <c r="R824" s="4"/>
    </row>
    <row r="825" spans="1:18">
      <c r="A825" s="1">
        <f t="shared" si="27"/>
        <v>0</v>
      </c>
      <c r="B825" s="2"/>
      <c r="C825" s="8"/>
      <c r="D825" s="109" t="str">
        <f>IFERROR(INDEX([239]MATERIALES!C:C,MATCH(B825,[239]MATERIALES!B:B,0)),"")</f>
        <v/>
      </c>
      <c r="E825" s="110"/>
      <c r="F825" s="110"/>
      <c r="G825" s="110"/>
      <c r="H825" s="110"/>
      <c r="I825" s="110"/>
      <c r="J825" s="110"/>
      <c r="K825" s="111"/>
      <c r="L825" s="137" t="str">
        <f>IFERROR(INDEX([239]MATERIALES!D:D,MATCH(B825,[239]MATERIALES!B:B,0)),"")</f>
        <v/>
      </c>
      <c r="M825" s="138"/>
      <c r="N825" s="139" t="str">
        <f>IFERROR(INDEX([239]MATERIALES!P:P,MATCH(B825,[239]MATERIALES!B:B,0)),"")</f>
        <v/>
      </c>
      <c r="O825" s="140"/>
      <c r="P825" s="118" t="str">
        <f t="shared" si="28"/>
        <v/>
      </c>
      <c r="Q825" s="119"/>
      <c r="R825" s="4"/>
    </row>
    <row r="826" spans="1:18">
      <c r="A826" s="1">
        <f t="shared" si="27"/>
        <v>0</v>
      </c>
      <c r="B826" s="2"/>
      <c r="C826" s="8"/>
      <c r="D826" s="109" t="str">
        <f>IFERROR(INDEX([239]MATERIALES!C:C,MATCH(B826,[239]MATERIALES!B:B,0)),"")</f>
        <v/>
      </c>
      <c r="E826" s="110"/>
      <c r="F826" s="110"/>
      <c r="G826" s="110"/>
      <c r="H826" s="110"/>
      <c r="I826" s="110"/>
      <c r="J826" s="110"/>
      <c r="K826" s="111"/>
      <c r="L826" s="137" t="str">
        <f>IFERROR(INDEX([239]MATERIALES!D:D,MATCH(B826,[239]MATERIALES!B:B,0)),"")</f>
        <v/>
      </c>
      <c r="M826" s="138"/>
      <c r="N826" s="139" t="str">
        <f>IFERROR(INDEX([239]MATERIALES!P:P,MATCH(B826,[239]MATERIALES!B:B,0)),"")</f>
        <v/>
      </c>
      <c r="O826" s="140"/>
      <c r="P826" s="118" t="str">
        <f t="shared" si="28"/>
        <v/>
      </c>
      <c r="Q826" s="119"/>
      <c r="R826" s="4"/>
    </row>
    <row r="827" spans="1:18">
      <c r="A827" s="1">
        <f t="shared" si="27"/>
        <v>0</v>
      </c>
      <c r="B827" s="2"/>
      <c r="C827" s="8"/>
      <c r="D827" s="109" t="str">
        <f>IFERROR(INDEX([239]MATERIALES!C:C,MATCH(B827,[239]MATERIALES!B:B,0)),"")</f>
        <v/>
      </c>
      <c r="E827" s="110"/>
      <c r="F827" s="110"/>
      <c r="G827" s="110"/>
      <c r="H827" s="110"/>
      <c r="I827" s="110"/>
      <c r="J827" s="110"/>
      <c r="K827" s="111"/>
      <c r="L827" s="137" t="str">
        <f>IFERROR(INDEX([239]MATERIALES!D:D,MATCH(B827,[239]MATERIALES!B:B,0)),"")</f>
        <v/>
      </c>
      <c r="M827" s="138"/>
      <c r="N827" s="139" t="str">
        <f>IFERROR(INDEX([239]MATERIALES!P:P,MATCH(B827,[239]MATERIALES!B:B,0)),"")</f>
        <v/>
      </c>
      <c r="O827" s="140"/>
      <c r="P827" s="118" t="str">
        <f t="shared" si="28"/>
        <v/>
      </c>
      <c r="Q827" s="119"/>
      <c r="R827" s="4"/>
    </row>
    <row r="828" spans="1:18">
      <c r="A828" s="1">
        <f t="shared" si="27"/>
        <v>0</v>
      </c>
      <c r="B828" s="2"/>
      <c r="C828" s="8"/>
      <c r="D828" s="109" t="str">
        <f>IFERROR(INDEX([239]MATERIALES!C:C,MATCH(B828,[239]MATERIALES!B:B,0)),"")</f>
        <v/>
      </c>
      <c r="E828" s="110"/>
      <c r="F828" s="110"/>
      <c r="G828" s="110"/>
      <c r="H828" s="110"/>
      <c r="I828" s="110"/>
      <c r="J828" s="110"/>
      <c r="K828" s="111"/>
      <c r="L828" s="137" t="str">
        <f>IFERROR(INDEX([239]MATERIALES!D:D,MATCH(B828,[239]MATERIALES!B:B,0)),"")</f>
        <v/>
      </c>
      <c r="M828" s="138"/>
      <c r="N828" s="139" t="str">
        <f>IFERROR(INDEX([239]MATERIALES!P:P,MATCH(B828,[239]MATERIALES!B:B,0)),"")</f>
        <v/>
      </c>
      <c r="O828" s="140"/>
      <c r="P828" s="118" t="str">
        <f t="shared" si="28"/>
        <v/>
      </c>
      <c r="Q828" s="119"/>
      <c r="R828" s="4"/>
    </row>
    <row r="829" spans="1:18" ht="15.75" thickBot="1">
      <c r="A829" s="1">
        <f t="shared" si="27"/>
        <v>0</v>
      </c>
      <c r="B829" s="2"/>
      <c r="C829" s="8"/>
      <c r="D829" s="109" t="s">
        <v>28</v>
      </c>
      <c r="E829" s="110"/>
      <c r="F829" s="110"/>
      <c r="G829" s="110"/>
      <c r="H829" s="110"/>
      <c r="I829" s="110"/>
      <c r="J829" s="110"/>
      <c r="K829" s="111"/>
      <c r="L829" s="137" t="s">
        <v>29</v>
      </c>
      <c r="M829" s="138">
        <v>0.05</v>
      </c>
      <c r="N829" s="139">
        <f>SUM(P815:P828)</f>
        <v>36.5</v>
      </c>
      <c r="O829" s="140"/>
      <c r="P829" s="118">
        <f>ROUND(N829*M829,2)</f>
        <v>1.83</v>
      </c>
      <c r="Q829" s="119"/>
      <c r="R829" s="4"/>
    </row>
    <row r="830" spans="1:18" ht="15.75" thickBot="1">
      <c r="A830" s="1">
        <f t="shared" si="27"/>
        <v>0</v>
      </c>
      <c r="B830" s="2"/>
      <c r="C830" s="8"/>
      <c r="D830" s="128" t="s">
        <v>24</v>
      </c>
      <c r="E830" s="129"/>
      <c r="F830" s="129"/>
      <c r="G830" s="129"/>
      <c r="H830" s="129"/>
      <c r="I830" s="129"/>
      <c r="J830" s="129"/>
      <c r="K830" s="129"/>
      <c r="L830" s="129"/>
      <c r="M830" s="129"/>
      <c r="N830" s="129"/>
      <c r="O830" s="130"/>
      <c r="P830" s="131">
        <f>SUM(P815:P829)</f>
        <v>38.33</v>
      </c>
      <c r="Q830" s="119"/>
      <c r="R830" s="4"/>
    </row>
    <row r="831" spans="1:18" ht="15.75" thickBot="1">
      <c r="A831" s="1">
        <f t="shared" si="27"/>
        <v>0</v>
      </c>
      <c r="B831" s="2"/>
      <c r="C831" s="8"/>
      <c r="D831" s="74" t="s">
        <v>30</v>
      </c>
      <c r="E831" s="37"/>
      <c r="F831" s="37"/>
      <c r="G831" s="37"/>
      <c r="H831" s="37"/>
      <c r="I831" s="37"/>
      <c r="J831" s="37"/>
      <c r="K831" s="37"/>
      <c r="L831" s="37"/>
      <c r="M831" s="37"/>
      <c r="N831" s="37"/>
      <c r="O831" s="37"/>
      <c r="P831" s="99"/>
      <c r="Q831" s="100"/>
      <c r="R831" s="4"/>
    </row>
    <row r="832" spans="1:18">
      <c r="A832" s="1">
        <f t="shared" si="27"/>
        <v>0</v>
      </c>
      <c r="B832" s="2"/>
      <c r="C832" s="8"/>
      <c r="D832" s="101" t="s">
        <v>31</v>
      </c>
      <c r="E832" s="133"/>
      <c r="F832" s="133"/>
      <c r="G832" s="133"/>
      <c r="H832" s="133"/>
      <c r="I832" s="133"/>
      <c r="J832" s="133"/>
      <c r="K832" s="106" t="s">
        <v>32</v>
      </c>
      <c r="L832" s="141" t="s">
        <v>33</v>
      </c>
      <c r="M832" s="106" t="s">
        <v>34</v>
      </c>
      <c r="N832" s="104" t="s">
        <v>20</v>
      </c>
      <c r="O832" s="105"/>
      <c r="P832" s="107" t="s">
        <v>22</v>
      </c>
      <c r="Q832" s="108"/>
      <c r="R832" s="4"/>
    </row>
    <row r="833" spans="1:18">
      <c r="A833" s="1">
        <f t="shared" si="27"/>
        <v>0</v>
      </c>
      <c r="B833" s="2"/>
      <c r="C833" s="8"/>
      <c r="D833" s="142" t="str">
        <f>IFERROR(INDEX([239]TRANSPORTES!B:B,MATCH(B833,[239]TRANSPORTES!A:A,0)),"")</f>
        <v/>
      </c>
      <c r="E833" s="143"/>
      <c r="F833" s="143"/>
      <c r="G833" s="143"/>
      <c r="H833" s="143"/>
      <c r="I833" s="143"/>
      <c r="J833" s="143"/>
      <c r="K833" s="220"/>
      <c r="L833" s="145"/>
      <c r="M833" s="146" t="str">
        <f>IFERROR(INDEX([239]TRANSPORTES!C:C,MATCH(B833,[239]TRANSPORTES!A:A,0)),"")</f>
        <v/>
      </c>
      <c r="N833" s="139" t="str">
        <f>IFERROR(INDEX([239]TRANSPORTES!D:D,MATCH(B833,[239]TRANSPORTES!A:A,0)),"")</f>
        <v/>
      </c>
      <c r="O833" s="147"/>
      <c r="P833" s="148" t="str">
        <f>IFERROR(ROUND(K833*N833*L833,2),"")</f>
        <v/>
      </c>
      <c r="Q833" s="119"/>
      <c r="R833" s="4"/>
    </row>
    <row r="834" spans="1:18">
      <c r="A834" s="1">
        <f t="shared" si="27"/>
        <v>0</v>
      </c>
      <c r="B834" s="2"/>
      <c r="C834" s="8"/>
      <c r="D834" s="142" t="str">
        <f>IFERROR(INDEX([239]TRANSPORTES!B:B,MATCH(B834,[239]TRANSPORTES!A:A,0)),"")</f>
        <v/>
      </c>
      <c r="E834" s="143"/>
      <c r="F834" s="143"/>
      <c r="G834" s="143"/>
      <c r="H834" s="143"/>
      <c r="I834" s="143"/>
      <c r="J834" s="143"/>
      <c r="K834" s="144"/>
      <c r="L834" s="145"/>
      <c r="M834" s="146" t="str">
        <f>IFERROR(INDEX([239]TRANSPORTES!C:C,MATCH(B834,[239]TRANSPORTES!A:A,0)),"")</f>
        <v/>
      </c>
      <c r="N834" s="139" t="str">
        <f>IFERROR(INDEX([239]TRANSPORTES!D:D,MATCH(B834,[239]TRANSPORTES!A:A,0)),"")</f>
        <v/>
      </c>
      <c r="O834" s="147"/>
      <c r="P834" s="148" t="str">
        <f>IFERROR(ROUND(K834*N834*L834,2),"")</f>
        <v/>
      </c>
      <c r="Q834" s="119"/>
      <c r="R834" s="4"/>
    </row>
    <row r="835" spans="1:18">
      <c r="A835" s="1">
        <f t="shared" si="27"/>
        <v>0</v>
      </c>
      <c r="B835" s="2"/>
      <c r="C835" s="8"/>
      <c r="D835" s="142" t="str">
        <f>IFERROR(INDEX([239]TRANSPORTES!B:B,MATCH(B835,[239]TRANSPORTES!A:A,0)),"")</f>
        <v/>
      </c>
      <c r="E835" s="143"/>
      <c r="F835" s="143"/>
      <c r="G835" s="143"/>
      <c r="H835" s="143"/>
      <c r="I835" s="143"/>
      <c r="J835" s="143"/>
      <c r="K835" s="144"/>
      <c r="L835" s="145"/>
      <c r="M835" s="146" t="str">
        <f>IFERROR(INDEX([239]TRANSPORTES!C:C,MATCH(B835,[239]TRANSPORTES!A:A,0)),"")</f>
        <v/>
      </c>
      <c r="N835" s="139" t="str">
        <f>IFERROR(INDEX([239]TRANSPORTES!D:D,MATCH(B835,[239]TRANSPORTES!A:A,0)),"")</f>
        <v/>
      </c>
      <c r="O835" s="147"/>
      <c r="P835" s="148" t="str">
        <f>IFERROR(ROUND(K835*N835*L835,2),"")</f>
        <v/>
      </c>
      <c r="Q835" s="119"/>
      <c r="R835" s="4"/>
    </row>
    <row r="836" spans="1:18" ht="15.75" thickBot="1">
      <c r="A836" s="1">
        <f t="shared" si="27"/>
        <v>0</v>
      </c>
      <c r="B836" s="2"/>
      <c r="C836" s="8"/>
      <c r="D836" s="142" t="str">
        <f>IFERROR(INDEX([239]TRANSPORTES!B:B,MATCH(B836,[239]TRANSPORTES!A:A,0)),"")</f>
        <v/>
      </c>
      <c r="E836" s="143"/>
      <c r="F836" s="143"/>
      <c r="G836" s="143"/>
      <c r="H836" s="143"/>
      <c r="I836" s="143"/>
      <c r="J836" s="143"/>
      <c r="K836" s="149"/>
      <c r="L836" s="150"/>
      <c r="M836" s="146" t="str">
        <f>IFERROR(INDEX([239]TRANSPORTES!C:C,MATCH(B836,[239]TRANSPORTES!A:A,0)),"")</f>
        <v/>
      </c>
      <c r="N836" s="139" t="str">
        <f>IFERROR(INDEX([239]TRANSPORTES!D:D,MATCH(B836,[239]TRANSPORTES!A:A,0)),"")</f>
        <v/>
      </c>
      <c r="O836" s="147"/>
      <c r="P836" s="148" t="str">
        <f>IFERROR(ROUND(K836*N836*L836,2),"")</f>
        <v/>
      </c>
      <c r="Q836" s="119"/>
      <c r="R836" s="4"/>
    </row>
    <row r="837" spans="1:18" ht="15.75" thickBot="1">
      <c r="A837" s="1">
        <f t="shared" si="27"/>
        <v>0</v>
      </c>
      <c r="B837" s="2"/>
      <c r="C837" s="8"/>
      <c r="D837" s="128" t="s">
        <v>24</v>
      </c>
      <c r="E837" s="129"/>
      <c r="F837" s="129"/>
      <c r="G837" s="129"/>
      <c r="H837" s="129"/>
      <c r="I837" s="129"/>
      <c r="J837" s="129"/>
      <c r="K837" s="129"/>
      <c r="L837" s="129"/>
      <c r="M837" s="129"/>
      <c r="N837" s="129"/>
      <c r="O837" s="130"/>
      <c r="P837" s="151">
        <f>SUM(P833:P836)</f>
        <v>0</v>
      </c>
      <c r="Q837" s="132"/>
      <c r="R837" s="4"/>
    </row>
    <row r="838" spans="1:18" ht="15.75" thickBot="1">
      <c r="A838" s="1">
        <f t="shared" si="27"/>
        <v>0</v>
      </c>
      <c r="B838" s="2"/>
      <c r="C838" s="8"/>
      <c r="D838" s="74" t="s">
        <v>36</v>
      </c>
      <c r="E838" s="37"/>
      <c r="F838" s="37"/>
      <c r="G838" s="37"/>
      <c r="H838" s="37"/>
      <c r="I838" s="37"/>
      <c r="J838" s="37"/>
      <c r="K838" s="37"/>
      <c r="L838" s="37"/>
      <c r="M838" s="37"/>
      <c r="N838" s="37"/>
      <c r="O838" s="37"/>
      <c r="P838" s="99"/>
      <c r="Q838" s="100"/>
      <c r="R838" s="4"/>
    </row>
    <row r="839" spans="1:18" ht="30">
      <c r="A839" s="1">
        <f t="shared" si="27"/>
        <v>0</v>
      </c>
      <c r="B839" s="2"/>
      <c r="C839" s="8"/>
      <c r="D839" s="101" t="s">
        <v>37</v>
      </c>
      <c r="E839" s="133"/>
      <c r="F839" s="133"/>
      <c r="G839" s="133"/>
      <c r="H839" s="133"/>
      <c r="I839" s="133"/>
      <c r="J839" s="133"/>
      <c r="K839" s="106" t="s">
        <v>38</v>
      </c>
      <c r="L839" s="152" t="s">
        <v>39</v>
      </c>
      <c r="M839" s="153" t="s">
        <v>40</v>
      </c>
      <c r="N839" s="104" t="s">
        <v>21</v>
      </c>
      <c r="O839" s="105"/>
      <c r="P839" s="154" t="s">
        <v>22</v>
      </c>
      <c r="Q839" s="155"/>
      <c r="R839" s="4"/>
    </row>
    <row r="840" spans="1:18">
      <c r="A840" s="1">
        <f t="shared" si="27"/>
        <v>0</v>
      </c>
      <c r="B840" s="2" t="s">
        <v>81</v>
      </c>
      <c r="C840" s="8"/>
      <c r="D840" s="109" t="str">
        <f>IFERROR(INDEX('[239]MANO DE OBRA'!B:B,MATCH(B840,'[239]MANO DE OBRA'!A:A,0)),"")</f>
        <v>AYUDANTE (1)</v>
      </c>
      <c r="E840" s="110"/>
      <c r="F840" s="110"/>
      <c r="G840" s="110"/>
      <c r="H840" s="110"/>
      <c r="I840" s="110"/>
      <c r="J840" s="111"/>
      <c r="K840" s="156">
        <f>IFERROR(INDEX('[239]MANO DE OBRA'!D:D,MATCH(B840,'[239]MANO DE OBRA'!A:A,0)),"")</f>
        <v>71433</v>
      </c>
      <c r="L840" s="157">
        <f>+IF(D840&lt;&gt;"",'[239]FACTOR PRESTACIONAL'!$E$21," ")</f>
        <v>1.95</v>
      </c>
      <c r="M840" s="158">
        <f>IFERROR(K840*L840," ")</f>
        <v>139294.35</v>
      </c>
      <c r="N840" s="159">
        <v>4</v>
      </c>
      <c r="O840" s="160"/>
      <c r="P840" s="161">
        <f>IFERROR(ROUND(M840/N840,2)," ")</f>
        <v>34823.589999999997</v>
      </c>
      <c r="Q840" s="162"/>
      <c r="R840" s="4"/>
    </row>
    <row r="841" spans="1:18">
      <c r="A841" s="1">
        <f t="shared" si="27"/>
        <v>0</v>
      </c>
      <c r="B841" s="2"/>
      <c r="C841" s="8"/>
      <c r="D841" s="109" t="str">
        <f>IFERROR(INDEX('[239]MANO DE OBRA'!B:B,MATCH(B841,'[239]MANO DE OBRA'!A:A,0)),"")</f>
        <v/>
      </c>
      <c r="E841" s="110"/>
      <c r="F841" s="110"/>
      <c r="G841" s="110"/>
      <c r="H841" s="110"/>
      <c r="I841" s="110"/>
      <c r="J841" s="111"/>
      <c r="K841" s="156" t="str">
        <f>IFERROR(INDEX('[239]MANO DE OBRA'!D:D,MATCH(B841,'[239]MANO DE OBRA'!A:A,0)),"")</f>
        <v/>
      </c>
      <c r="L841" s="157" t="str">
        <f>+IF(D841&lt;&gt;"",'[239]FACTOR PRESTACIONAL'!$E$21," ")</f>
        <v xml:space="preserve"> </v>
      </c>
      <c r="M841" s="158" t="str">
        <f>IFERROR(K841*L841," ")</f>
        <v xml:space="preserve"> </v>
      </c>
      <c r="N841" s="159"/>
      <c r="O841" s="160"/>
      <c r="P841" s="161" t="str">
        <f>IFERROR(ROUND(M841/N841,2)," ")</f>
        <v xml:space="preserve"> </v>
      </c>
      <c r="Q841" s="162"/>
      <c r="R841" s="4"/>
    </row>
    <row r="842" spans="1:18">
      <c r="A842" s="1">
        <f t="shared" si="27"/>
        <v>0</v>
      </c>
      <c r="B842" s="2"/>
      <c r="C842" s="8"/>
      <c r="D842" s="109" t="str">
        <f>IFERROR(INDEX('[239]MANO DE OBRA'!B:B,MATCH(B842,'[239]MANO DE OBRA'!A:A,0)),"")</f>
        <v/>
      </c>
      <c r="E842" s="110"/>
      <c r="F842" s="110"/>
      <c r="G842" s="110"/>
      <c r="H842" s="110"/>
      <c r="I842" s="110"/>
      <c r="J842" s="111"/>
      <c r="K842" s="156" t="str">
        <f>IFERROR(INDEX('[239]MANO DE OBRA'!D:D,MATCH(B842,'[239]MANO DE OBRA'!A:A,0)),"")</f>
        <v/>
      </c>
      <c r="L842" s="157" t="str">
        <f>+IF(D842&lt;&gt;"",'[239]FACTOR PRESTACIONAL'!$E$21," ")</f>
        <v xml:space="preserve"> </v>
      </c>
      <c r="M842" s="158" t="str">
        <f>IFERROR(K842*L842," ")</f>
        <v xml:space="preserve"> </v>
      </c>
      <c r="N842" s="159"/>
      <c r="O842" s="160"/>
      <c r="P842" s="161" t="str">
        <f>IFERROR(ROUND(M842/N842,2)," ")</f>
        <v xml:space="preserve"> </v>
      </c>
      <c r="Q842" s="162"/>
      <c r="R842" s="4"/>
    </row>
    <row r="843" spans="1:18">
      <c r="A843" s="1">
        <f t="shared" si="27"/>
        <v>0</v>
      </c>
      <c r="B843" s="2"/>
      <c r="C843" s="8"/>
      <c r="D843" s="109" t="str">
        <f>IFERROR(INDEX('[239]MANO DE OBRA'!B:B,MATCH(B843,'[239]MANO DE OBRA'!A:A,0)),"")</f>
        <v/>
      </c>
      <c r="E843" s="110"/>
      <c r="F843" s="110"/>
      <c r="G843" s="110"/>
      <c r="H843" s="110"/>
      <c r="I843" s="110"/>
      <c r="J843" s="111"/>
      <c r="K843" s="156" t="str">
        <f>IFERROR(INDEX('[239]MANO DE OBRA'!D:D,MATCH(B843,'[239]MANO DE OBRA'!A:A,0)),"")</f>
        <v/>
      </c>
      <c r="L843" s="157" t="str">
        <f>+IF(D843&lt;&gt;"",'[239]FACTOR PRESTACIONAL'!$E$21," ")</f>
        <v xml:space="preserve"> </v>
      </c>
      <c r="M843" s="158" t="str">
        <f>IFERROR(K843*L843," ")</f>
        <v xml:space="preserve"> </v>
      </c>
      <c r="N843" s="159"/>
      <c r="O843" s="160"/>
      <c r="P843" s="161" t="str">
        <f>IFERROR(ROUND(M843/N843,2)," ")</f>
        <v xml:space="preserve"> </v>
      </c>
      <c r="Q843" s="162"/>
      <c r="R843" s="4"/>
    </row>
    <row r="844" spans="1:18" ht="15.75" thickBot="1">
      <c r="A844" s="1">
        <f t="shared" si="27"/>
        <v>0</v>
      </c>
      <c r="B844" s="2"/>
      <c r="C844" s="8"/>
      <c r="D844" s="109" t="str">
        <f>IFERROR(INDEX('[239]MANO DE OBRA'!B:B,MATCH(B844,'[239]MANO DE OBRA'!A:A,0)),"")</f>
        <v/>
      </c>
      <c r="E844" s="110"/>
      <c r="F844" s="110"/>
      <c r="G844" s="110"/>
      <c r="H844" s="110"/>
      <c r="I844" s="110"/>
      <c r="J844" s="111"/>
      <c r="K844" s="156" t="str">
        <f>IFERROR(INDEX('[239]MANO DE OBRA'!D:D,MATCH(B844,'[239]MANO DE OBRA'!A:A,0)),"")</f>
        <v/>
      </c>
      <c r="L844" s="157" t="str">
        <f>+IF(D844&lt;&gt;"",'[239]FACTOR PRESTACIONAL'!$E$21," ")</f>
        <v xml:space="preserve"> </v>
      </c>
      <c r="M844" s="158" t="str">
        <f>IFERROR(K844*L844," ")</f>
        <v xml:space="preserve"> </v>
      </c>
      <c r="N844" s="159"/>
      <c r="O844" s="160"/>
      <c r="P844" s="161" t="str">
        <f>IFERROR(ROUND(M844/N844,2)," ")</f>
        <v xml:space="preserve"> </v>
      </c>
      <c r="Q844" s="119"/>
      <c r="R844" s="4"/>
    </row>
    <row r="845" spans="1:18" ht="15.75" thickBot="1">
      <c r="A845" s="1">
        <f t="shared" si="27"/>
        <v>0</v>
      </c>
      <c r="B845" s="2"/>
      <c r="C845" s="8"/>
      <c r="D845" s="128" t="s">
        <v>24</v>
      </c>
      <c r="E845" s="129"/>
      <c r="F845" s="129"/>
      <c r="G845" s="129"/>
      <c r="H845" s="129"/>
      <c r="I845" s="129"/>
      <c r="J845" s="129"/>
      <c r="K845" s="129"/>
      <c r="L845" s="129"/>
      <c r="M845" s="129"/>
      <c r="N845" s="129"/>
      <c r="O845" s="130"/>
      <c r="P845" s="131">
        <f>SUM(P840:P844)</f>
        <v>34823.589999999997</v>
      </c>
      <c r="Q845" s="119"/>
      <c r="R845" s="4"/>
    </row>
    <row r="846" spans="1:18" ht="15.75" thickBot="1">
      <c r="A846" s="1">
        <f t="shared" si="27"/>
        <v>0</v>
      </c>
      <c r="B846" s="2"/>
      <c r="C846" s="8"/>
      <c r="D846" s="87"/>
      <c r="E846" s="20"/>
      <c r="F846" s="20"/>
      <c r="G846" s="20"/>
      <c r="H846" s="20"/>
      <c r="I846" s="20"/>
      <c r="J846" s="20"/>
      <c r="K846" s="20"/>
      <c r="L846" s="20"/>
      <c r="M846" s="20"/>
      <c r="N846" s="20"/>
      <c r="O846" s="20"/>
      <c r="P846" s="88"/>
      <c r="Q846" s="13"/>
      <c r="R846" s="4"/>
    </row>
    <row r="847" spans="1:18" ht="15.75" thickBot="1">
      <c r="A847" s="1"/>
      <c r="B847" s="2"/>
      <c r="C847" s="8"/>
      <c r="D847" s="163" t="s">
        <v>43</v>
      </c>
      <c r="E847" s="164"/>
      <c r="F847" s="164"/>
      <c r="G847" s="164"/>
      <c r="H847" s="164"/>
      <c r="I847" s="164"/>
      <c r="J847" s="164"/>
      <c r="K847" s="164"/>
      <c r="L847" s="164"/>
      <c r="M847" s="164"/>
      <c r="N847" s="164"/>
      <c r="O847" s="165"/>
      <c r="P847" s="166">
        <f>+P845+P837+P830+P812</f>
        <v>51344.28</v>
      </c>
      <c r="Q847" s="167"/>
      <c r="R847" s="168"/>
    </row>
    <row r="848" spans="1:18" ht="15.75" thickBot="1">
      <c r="A848" s="1"/>
      <c r="B848" s="2"/>
      <c r="C848" s="8"/>
      <c r="D848" s="169"/>
      <c r="E848" s="170"/>
      <c r="F848" s="170"/>
      <c r="G848" s="170"/>
      <c r="H848" s="170"/>
      <c r="I848" s="170"/>
      <c r="J848" s="170"/>
      <c r="K848" s="170"/>
      <c r="L848" s="170"/>
      <c r="M848" s="170"/>
      <c r="N848" s="170"/>
      <c r="O848" s="170"/>
      <c r="P848" s="171"/>
      <c r="Q848" s="100"/>
      <c r="R848" s="4"/>
    </row>
    <row r="849" spans="1:18">
      <c r="A849" s="1"/>
      <c r="B849" s="2"/>
      <c r="C849" s="8"/>
      <c r="D849" s="172" t="s">
        <v>73</v>
      </c>
      <c r="E849" s="173"/>
      <c r="F849" s="173"/>
      <c r="G849" s="173"/>
      <c r="H849" s="173"/>
      <c r="I849" s="173"/>
      <c r="J849" s="173"/>
      <c r="K849" s="141"/>
      <c r="L849" s="174"/>
      <c r="M849" s="153" t="s">
        <v>44</v>
      </c>
      <c r="N849" s="175" t="s">
        <v>45</v>
      </c>
      <c r="O849" s="176"/>
      <c r="P849" s="154"/>
      <c r="Q849" s="155"/>
      <c r="R849" s="4"/>
    </row>
    <row r="850" spans="1:18">
      <c r="A850" s="1"/>
      <c r="B850" s="2"/>
      <c r="C850" s="8"/>
      <c r="D850" s="109" t="s">
        <v>65</v>
      </c>
      <c r="E850" s="110"/>
      <c r="F850" s="110"/>
      <c r="G850" s="110"/>
      <c r="H850" s="110"/>
      <c r="I850" s="110"/>
      <c r="J850" s="110"/>
      <c r="K850" s="177"/>
      <c r="L850" s="178"/>
      <c r="M850" s="179">
        <f>+[239]INICIO!$F$10</f>
        <v>0.24</v>
      </c>
      <c r="N850" s="180">
        <f>ROUND(M850*P847,2)</f>
        <v>12322.63</v>
      </c>
      <c r="O850" s="181"/>
      <c r="P850" s="182"/>
      <c r="Q850" s="119"/>
      <c r="R850" s="4"/>
    </row>
    <row r="851" spans="1:18">
      <c r="A851" s="1"/>
      <c r="B851" s="2"/>
      <c r="C851" s="8"/>
      <c r="D851" s="183" t="s">
        <v>67</v>
      </c>
      <c r="E851" s="61"/>
      <c r="F851" s="61"/>
      <c r="G851" s="61"/>
      <c r="H851" s="61"/>
      <c r="I851" s="61"/>
      <c r="J851" s="61"/>
      <c r="K851" s="177"/>
      <c r="L851" s="178"/>
      <c r="M851" s="179">
        <f>+[239]INICIO!$F$11</f>
        <v>0.02</v>
      </c>
      <c r="N851" s="180">
        <f>ROUND(M851*P847,2)</f>
        <v>1026.8900000000001</v>
      </c>
      <c r="O851" s="181"/>
      <c r="P851" s="182"/>
      <c r="Q851" s="119"/>
      <c r="R851" s="4"/>
    </row>
    <row r="852" spans="1:18" ht="15.75" thickBot="1">
      <c r="A852" s="1"/>
      <c r="B852" s="2"/>
      <c r="C852" s="8"/>
      <c r="D852" s="77" t="s">
        <v>69</v>
      </c>
      <c r="E852" s="78"/>
      <c r="F852" s="78"/>
      <c r="G852" s="78"/>
      <c r="H852" s="78"/>
      <c r="I852" s="78"/>
      <c r="J852" s="78"/>
      <c r="K852" s="184"/>
      <c r="L852" s="185"/>
      <c r="M852" s="179">
        <f>+[239]INICIO!$F$12</f>
        <v>7.0000000000000007E-2</v>
      </c>
      <c r="N852" s="180">
        <f>ROUND(M852*P847,2)</f>
        <v>3594.1</v>
      </c>
      <c r="O852" s="181"/>
      <c r="P852" s="182"/>
      <c r="Q852" s="119"/>
      <c r="R852" s="4"/>
    </row>
    <row r="853" spans="1:18" ht="15.75" thickBot="1">
      <c r="A853" s="1"/>
      <c r="B853" s="2"/>
      <c r="C853" s="8"/>
      <c r="D853" s="128"/>
      <c r="E853" s="129"/>
      <c r="F853" s="129"/>
      <c r="G853" s="129"/>
      <c r="H853" s="129"/>
      <c r="I853" s="129"/>
      <c r="J853" s="129"/>
      <c r="K853" s="129"/>
      <c r="L853" s="129"/>
      <c r="M853" s="129"/>
      <c r="N853" s="129"/>
      <c r="O853" s="130"/>
      <c r="P853" s="131">
        <f>SUM(N850:N852)</f>
        <v>16943.62</v>
      </c>
      <c r="Q853" s="186"/>
      <c r="R853" s="4"/>
    </row>
    <row r="854" spans="1:18" ht="15.75" thickBot="1">
      <c r="A854" s="1"/>
      <c r="B854" s="2"/>
      <c r="C854" s="8"/>
      <c r="D854" s="87"/>
      <c r="E854" s="20"/>
      <c r="F854" s="20"/>
      <c r="G854" s="20"/>
      <c r="H854" s="20"/>
      <c r="I854" s="20"/>
      <c r="J854" s="20"/>
      <c r="K854" s="20"/>
      <c r="L854" s="20"/>
      <c r="M854" s="20"/>
      <c r="N854" s="20"/>
      <c r="O854" s="20"/>
      <c r="P854" s="88"/>
      <c r="Q854" s="13"/>
      <c r="R854" s="4"/>
    </row>
    <row r="855" spans="1:18" ht="15.75" thickBot="1">
      <c r="A855" s="1"/>
      <c r="B855" s="2"/>
      <c r="C855" s="8"/>
      <c r="D855" s="187" t="s">
        <v>46</v>
      </c>
      <c r="E855" s="188"/>
      <c r="F855" s="188"/>
      <c r="G855" s="188"/>
      <c r="H855" s="188"/>
      <c r="I855" s="188"/>
      <c r="J855" s="188"/>
      <c r="K855" s="188"/>
      <c r="L855" s="188"/>
      <c r="M855" s="188"/>
      <c r="N855" s="188"/>
      <c r="O855" s="189"/>
      <c r="P855" s="166">
        <f>ROUND(P853+P847,0)</f>
        <v>68288</v>
      </c>
      <c r="Q855" s="186"/>
      <c r="R855" s="4"/>
    </row>
    <row r="856" spans="1:18">
      <c r="A856" s="1"/>
      <c r="B856" s="2"/>
      <c r="C856" s="8"/>
      <c r="D856" s="80"/>
      <c r="E856" s="81"/>
      <c r="F856" s="81"/>
      <c r="G856" s="81"/>
      <c r="H856" s="81"/>
      <c r="I856" s="81"/>
      <c r="J856" s="81"/>
      <c r="K856" s="81"/>
      <c r="L856" s="81"/>
      <c r="M856" s="81"/>
      <c r="N856" s="81"/>
      <c r="O856" s="81"/>
      <c r="P856" s="82"/>
      <c r="Q856" s="13"/>
      <c r="R856" s="4"/>
    </row>
    <row r="857" spans="1:18">
      <c r="A857" s="1"/>
      <c r="B857" s="2"/>
      <c r="C857" s="8"/>
      <c r="D857" s="87"/>
      <c r="E857" s="20"/>
      <c r="F857" s="20"/>
      <c r="G857" s="20"/>
      <c r="H857" s="20"/>
      <c r="I857" s="20"/>
      <c r="J857" s="20"/>
      <c r="K857" s="20"/>
      <c r="L857" s="20"/>
      <c r="M857" s="20"/>
      <c r="N857" s="20"/>
      <c r="O857" s="20"/>
      <c r="P857" s="88"/>
      <c r="Q857" s="13"/>
      <c r="R857" s="4"/>
    </row>
    <row r="858" spans="1:18">
      <c r="A858" s="1"/>
      <c r="B858" s="2"/>
      <c r="C858" s="8"/>
      <c r="D858" s="87"/>
      <c r="E858" s="20"/>
      <c r="F858" s="20"/>
      <c r="G858" s="20"/>
      <c r="H858" s="20"/>
      <c r="I858" s="20"/>
      <c r="J858" s="20"/>
      <c r="K858" s="20"/>
      <c r="L858" s="20"/>
      <c r="M858" s="20"/>
      <c r="N858" s="20"/>
      <c r="O858" s="20"/>
      <c r="P858" s="88"/>
      <c r="Q858" s="13"/>
      <c r="R858" s="4"/>
    </row>
    <row r="859" spans="1:18">
      <c r="A859" s="1"/>
      <c r="B859" s="2"/>
      <c r="C859" s="8"/>
      <c r="D859" s="87"/>
      <c r="E859" s="20"/>
      <c r="F859" s="20"/>
      <c r="G859" s="20"/>
      <c r="H859" s="20"/>
      <c r="I859" s="20"/>
      <c r="J859" s="20"/>
      <c r="K859" s="20"/>
      <c r="L859" s="20"/>
      <c r="M859" s="20"/>
      <c r="N859" s="20"/>
      <c r="O859" s="20"/>
      <c r="P859" s="88"/>
      <c r="Q859" s="13"/>
      <c r="R859" s="4"/>
    </row>
    <row r="860" spans="1:18">
      <c r="A860" s="1"/>
      <c r="B860" s="2"/>
      <c r="C860" s="8"/>
      <c r="D860" s="219" t="str">
        <f>+[239]INICIO!$B$13</f>
        <v>Proyectó:</v>
      </c>
      <c r="E860" s="49"/>
      <c r="F860" s="49"/>
      <c r="G860" s="49"/>
      <c r="H860" s="49"/>
      <c r="I860" s="49"/>
      <c r="J860" s="49"/>
      <c r="K860" s="20"/>
      <c r="L860" s="69" t="str">
        <f>+[239]INICIO!$B$16</f>
        <v>Aprobó:</v>
      </c>
      <c r="M860" s="49"/>
      <c r="N860" s="49"/>
      <c r="O860" s="49"/>
      <c r="P860" s="88"/>
      <c r="Q860" s="13"/>
      <c r="R860" s="4"/>
    </row>
    <row r="861" spans="1:18">
      <c r="A861" s="1"/>
      <c r="B861" s="2"/>
      <c r="C861" s="8"/>
      <c r="D861" s="87"/>
      <c r="E861" s="20" t="str">
        <f>+Hoja2!C$13</f>
        <v>HELMER EDUARDO BECERRA SANTANDER</v>
      </c>
      <c r="F861" s="20"/>
      <c r="G861" s="20"/>
      <c r="H861" s="20"/>
      <c r="I861" s="20"/>
      <c r="J861" s="20"/>
      <c r="K861" s="20"/>
      <c r="L861" s="20"/>
      <c r="M861" s="20" t="str">
        <f>+Hoja2!$C$16</f>
        <v>JESÚS IVÁN QUIÑONES RUEDA</v>
      </c>
      <c r="N861" s="20"/>
      <c r="O861" s="20"/>
      <c r="P861" s="88"/>
      <c r="Q861" s="190"/>
      <c r="R861" s="4"/>
    </row>
    <row r="862" spans="1:18">
      <c r="A862" s="1"/>
      <c r="B862" s="2"/>
      <c r="C862" s="8"/>
      <c r="D862" s="87"/>
      <c r="E862" s="20" t="str">
        <f>+Hoja2!C$14</f>
        <v>APOYO SEC. DE PLANEACIÓN Y OBRAS PÚBLICAS</v>
      </c>
      <c r="F862" s="20"/>
      <c r="G862" s="20"/>
      <c r="H862" s="20"/>
      <c r="I862" s="20"/>
      <c r="J862" s="20"/>
      <c r="K862" s="20"/>
      <c r="L862" s="20"/>
      <c r="M862" s="20" t="str">
        <f>+Hoja2!$C$17</f>
        <v>SECRETARIO DE PLANEACIÓN Y OBRAS PUBLICAS</v>
      </c>
      <c r="N862" s="20"/>
      <c r="O862" s="20"/>
      <c r="P862" s="88"/>
      <c r="Q862" s="190"/>
      <c r="R862" s="4"/>
    </row>
    <row r="863" spans="1:18">
      <c r="A863" s="1"/>
      <c r="B863" s="2"/>
      <c r="C863" s="8"/>
      <c r="D863" s="68"/>
      <c r="E863" s="20" t="str">
        <f>+Hoja2!C$15</f>
        <v>123769-0701671 NTS</v>
      </c>
      <c r="F863" s="191"/>
      <c r="G863" s="191"/>
      <c r="H863" s="191"/>
      <c r="I863" s="20"/>
      <c r="J863" s="191"/>
      <c r="K863" s="191"/>
      <c r="L863" s="191"/>
      <c r="M863" s="192" t="str">
        <f>+Hoja2!C$18</f>
        <v>A21382020-1090480860</v>
      </c>
      <c r="N863" s="191"/>
      <c r="O863" s="191"/>
      <c r="P863" s="193"/>
      <c r="Q863" s="194"/>
      <c r="R863" s="4"/>
    </row>
    <row r="864" spans="1:18" ht="16.5" thickBot="1">
      <c r="A864" s="1"/>
      <c r="B864" s="2"/>
      <c r="C864" s="8"/>
      <c r="D864" s="195"/>
      <c r="E864" s="150"/>
      <c r="F864" s="150"/>
      <c r="G864" s="150"/>
      <c r="H864" s="150"/>
      <c r="I864" s="150"/>
      <c r="J864" s="150"/>
      <c r="K864" s="150"/>
      <c r="L864" s="150"/>
      <c r="M864" s="150"/>
      <c r="N864" s="150"/>
      <c r="O864" s="150"/>
      <c r="P864" s="196"/>
      <c r="Q864" s="197"/>
      <c r="R864" s="4"/>
    </row>
    <row r="865" spans="1:18" ht="15.75" thickBot="1">
      <c r="A865" s="1"/>
      <c r="B865" s="2"/>
      <c r="C865" s="198"/>
      <c r="D865" s="199"/>
      <c r="E865" s="199"/>
      <c r="F865" s="199"/>
      <c r="G865" s="199"/>
      <c r="H865" s="199"/>
      <c r="I865" s="199"/>
      <c r="J865" s="199"/>
      <c r="K865" s="199"/>
      <c r="L865" s="199"/>
      <c r="M865" s="199"/>
      <c r="N865" s="199"/>
      <c r="O865" s="199"/>
      <c r="P865" s="199"/>
      <c r="Q865" s="200"/>
      <c r="R865" s="4"/>
    </row>
    <row r="866" spans="1:18" ht="16.5" thickTop="1" thickBot="1">
      <c r="A866" s="1"/>
      <c r="B866" s="2"/>
      <c r="C866" s="3"/>
      <c r="D866" s="4"/>
      <c r="E866" s="4"/>
      <c r="F866" s="4"/>
      <c r="G866" s="4"/>
      <c r="H866" s="4"/>
      <c r="I866" s="4"/>
      <c r="J866" s="4"/>
      <c r="K866" s="4"/>
      <c r="L866" s="4"/>
      <c r="M866" s="4"/>
      <c r="N866" s="4"/>
      <c r="O866" s="4"/>
      <c r="P866" s="4"/>
      <c r="Q866" s="4"/>
      <c r="R866" s="4"/>
    </row>
    <row r="867" spans="1:18" ht="15.75" thickTop="1">
      <c r="A867" s="1"/>
      <c r="B867" s="2"/>
      <c r="C867" s="5"/>
      <c r="D867" s="6"/>
      <c r="E867" s="6"/>
      <c r="F867" s="6"/>
      <c r="G867" s="6"/>
      <c r="H867" s="6"/>
      <c r="I867" s="6"/>
      <c r="J867" s="6"/>
      <c r="K867" s="6"/>
      <c r="L867" s="6"/>
      <c r="M867" s="6"/>
      <c r="N867" s="6"/>
      <c r="O867" s="6"/>
      <c r="P867" s="6"/>
      <c r="Q867" s="7"/>
      <c r="R867" s="4"/>
    </row>
    <row r="868" spans="1:18" ht="24">
      <c r="A868" s="1"/>
      <c r="B868" s="2"/>
      <c r="C868" s="8"/>
      <c r="D868" s="9" t="str">
        <f>+[239]INICIO!$C$8</f>
        <v>Análisis de Precios Unitarios- Secretaria de Planeación y Obras Publicas de Cubará, Boyacá.</v>
      </c>
      <c r="E868" s="10"/>
      <c r="F868" s="10"/>
      <c r="G868" s="10"/>
      <c r="H868" s="11"/>
      <c r="I868" s="12"/>
      <c r="J868" s="12"/>
      <c r="K868" s="12"/>
      <c r="L868" s="12"/>
      <c r="M868" s="12"/>
      <c r="N868" s="12"/>
      <c r="O868" s="12"/>
      <c r="P868" s="12"/>
      <c r="Q868" s="13"/>
      <c r="R868" s="4"/>
    </row>
    <row r="869" spans="1:18">
      <c r="A869" s="1"/>
      <c r="B869" s="2"/>
      <c r="C869" s="8"/>
      <c r="D869" s="14" t="s">
        <v>0</v>
      </c>
      <c r="E869" s="15" t="str">
        <f>+[239]INICIO!$C$7</f>
        <v>CCE-EICP-FM-14</v>
      </c>
      <c r="F869" s="16"/>
      <c r="G869" s="17" t="str">
        <f>+[239]INICIO!$B$6</f>
        <v>VERSIÓN</v>
      </c>
      <c r="H869" s="14">
        <f>+[239]INICIO!$C$6</f>
        <v>1</v>
      </c>
      <c r="I869" s="12"/>
      <c r="J869" s="12"/>
      <c r="K869" s="12"/>
      <c r="L869" s="12"/>
      <c r="M869" s="12"/>
      <c r="N869" s="12"/>
      <c r="O869" s="12"/>
      <c r="P869" s="12"/>
      <c r="Q869" s="13"/>
      <c r="R869" s="4"/>
    </row>
    <row r="870" spans="1:18">
      <c r="A870" s="1"/>
      <c r="B870" s="2"/>
      <c r="C870" s="8"/>
      <c r="D870" s="18"/>
      <c r="E870" s="19"/>
      <c r="F870" s="18"/>
      <c r="G870" s="19"/>
      <c r="H870" s="12"/>
      <c r="I870" s="12"/>
      <c r="J870" s="12"/>
      <c r="K870" s="12"/>
      <c r="L870" s="12"/>
      <c r="M870" s="12"/>
      <c r="N870" s="12"/>
      <c r="O870" s="12"/>
      <c r="P870" s="12"/>
      <c r="Q870" s="13"/>
      <c r="R870" s="4"/>
    </row>
    <row r="871" spans="1:18" ht="15.75" thickBot="1">
      <c r="A871" s="1"/>
      <c r="B871" s="2"/>
      <c r="C871" s="8"/>
      <c r="D871" s="20"/>
      <c r="E871" s="20"/>
      <c r="F871" s="20"/>
      <c r="G871" s="20"/>
      <c r="H871" s="20"/>
      <c r="I871" s="20"/>
      <c r="J871" s="20"/>
      <c r="K871" s="20"/>
      <c r="L871" s="20"/>
      <c r="M871" s="20"/>
      <c r="N871" s="20"/>
      <c r="O871" s="20"/>
      <c r="P871" s="20"/>
      <c r="Q871" s="13"/>
      <c r="R871" s="4"/>
    </row>
    <row r="872" spans="1:18">
      <c r="A872" s="1"/>
      <c r="B872" s="2"/>
      <c r="C872" s="8"/>
      <c r="D872" s="21"/>
      <c r="E872" s="22"/>
      <c r="F872" s="23"/>
      <c r="G872" s="23"/>
      <c r="H872" s="23"/>
      <c r="I872" s="23"/>
      <c r="J872" s="23"/>
      <c r="K872" s="23"/>
      <c r="L872" s="24"/>
      <c r="M872" s="25"/>
      <c r="N872" s="26"/>
      <c r="O872" s="26"/>
      <c r="P872" s="27"/>
      <c r="Q872" s="28"/>
      <c r="R872" s="4"/>
    </row>
    <row r="873" spans="1:18">
      <c r="A873" s="1"/>
      <c r="B873" s="2"/>
      <c r="C873" s="8"/>
      <c r="D873" s="29"/>
      <c r="E873" s="30" t="s">
        <v>1</v>
      </c>
      <c r="F873" s="31"/>
      <c r="G873" s="31"/>
      <c r="H873" s="31"/>
      <c r="I873" s="31"/>
      <c r="J873" s="31"/>
      <c r="K873" s="31"/>
      <c r="L873" s="32"/>
      <c r="M873" s="33"/>
      <c r="N873" s="34"/>
      <c r="O873" s="34"/>
      <c r="P873" s="35"/>
      <c r="Q873" s="28"/>
      <c r="R873" s="4"/>
    </row>
    <row r="874" spans="1:18">
      <c r="A874" s="1"/>
      <c r="B874" s="2"/>
      <c r="C874" s="8"/>
      <c r="D874" s="29"/>
      <c r="E874" s="36"/>
      <c r="F874" s="37"/>
      <c r="G874" s="37"/>
      <c r="H874" s="37"/>
      <c r="I874" s="37"/>
      <c r="J874" s="37"/>
      <c r="K874" s="37"/>
      <c r="L874" s="38"/>
      <c r="M874" s="39"/>
      <c r="N874" s="40"/>
      <c r="O874" s="41"/>
      <c r="P874" s="42"/>
      <c r="Q874" s="28"/>
      <c r="R874" s="4"/>
    </row>
    <row r="875" spans="1:18">
      <c r="A875" s="1"/>
      <c r="B875" s="2"/>
      <c r="C875" s="8"/>
      <c r="D875" s="29"/>
      <c r="E875" s="36"/>
      <c r="F875" s="37"/>
      <c r="G875" s="37"/>
      <c r="H875" s="37"/>
      <c r="I875" s="37"/>
      <c r="J875" s="37"/>
      <c r="K875" s="37"/>
      <c r="L875" s="38"/>
      <c r="M875" s="43" t="s">
        <v>2</v>
      </c>
      <c r="N875" s="44"/>
      <c r="O875" s="45">
        <f>+[239]INICIO!$C$6</f>
        <v>1</v>
      </c>
      <c r="P875" s="46"/>
      <c r="Q875" s="28"/>
      <c r="R875" s="4"/>
    </row>
    <row r="876" spans="1:18">
      <c r="A876" s="1"/>
      <c r="B876" s="2"/>
      <c r="C876" s="8"/>
      <c r="D876" s="29"/>
      <c r="E876" s="36"/>
      <c r="F876" s="37"/>
      <c r="G876" s="37"/>
      <c r="H876" s="37"/>
      <c r="I876" s="37"/>
      <c r="J876" s="37"/>
      <c r="K876" s="37"/>
      <c r="L876" s="38"/>
      <c r="M876" s="47"/>
      <c r="N876" s="48"/>
      <c r="O876" s="49"/>
      <c r="P876" s="50"/>
      <c r="Q876" s="51"/>
      <c r="R876" s="4"/>
    </row>
    <row r="877" spans="1:18">
      <c r="A877" s="1"/>
      <c r="B877" s="2"/>
      <c r="C877" s="8"/>
      <c r="D877" s="29"/>
      <c r="E877" s="52"/>
      <c r="F877" s="53"/>
      <c r="G877" s="53"/>
      <c r="H877" s="53"/>
      <c r="I877" s="53"/>
      <c r="J877" s="53"/>
      <c r="K877" s="53"/>
      <c r="L877" s="54"/>
      <c r="M877" s="39"/>
      <c r="N877" s="55"/>
      <c r="O877" s="55"/>
      <c r="P877" s="56"/>
      <c r="Q877" s="28"/>
      <c r="R877" s="4"/>
    </row>
    <row r="878" spans="1:18">
      <c r="A878" s="1"/>
      <c r="B878" s="2"/>
      <c r="C878" s="8"/>
      <c r="D878" s="29"/>
      <c r="E878" s="52"/>
      <c r="F878" s="53"/>
      <c r="G878" s="53"/>
      <c r="H878" s="53"/>
      <c r="I878" s="53"/>
      <c r="J878" s="53"/>
      <c r="K878" s="53"/>
      <c r="L878" s="54"/>
      <c r="M878" s="43" t="s">
        <v>3</v>
      </c>
      <c r="N878" s="43" t="str">
        <f>+VLOOKUP(D889,'PRESUPUESTO OFICIAL '!C:Q,9,FALSE)</f>
        <v>11</v>
      </c>
      <c r="O878" s="43" t="s">
        <v>4</v>
      </c>
      <c r="P878" s="508" t="str">
        <f>+'PRESUPUESTO OFICIAL '!$M$122</f>
        <v>62</v>
      </c>
      <c r="Q878" s="28"/>
      <c r="R878" s="4"/>
    </row>
    <row r="879" spans="1:18">
      <c r="A879" s="1"/>
      <c r="B879" s="2"/>
      <c r="C879" s="8"/>
      <c r="D879" s="29"/>
      <c r="E879" s="30" t="s">
        <v>5</v>
      </c>
      <c r="F879" s="31"/>
      <c r="G879" s="31"/>
      <c r="H879" s="31"/>
      <c r="I879" s="31"/>
      <c r="J879" s="31"/>
      <c r="K879" s="31"/>
      <c r="L879" s="32"/>
      <c r="M879" s="43"/>
      <c r="N879" s="57"/>
      <c r="O879" s="57"/>
      <c r="P879" s="58"/>
      <c r="Q879" s="28"/>
      <c r="R879" s="4"/>
    </row>
    <row r="880" spans="1:18" ht="15.75" thickBot="1">
      <c r="A880" s="1"/>
      <c r="B880" s="2"/>
      <c r="C880" s="8"/>
      <c r="D880" s="59"/>
      <c r="E880" s="60"/>
      <c r="F880" s="60"/>
      <c r="G880" s="60"/>
      <c r="H880" s="60"/>
      <c r="I880" s="60"/>
      <c r="J880" s="60"/>
      <c r="K880" s="60"/>
      <c r="L880" s="60"/>
      <c r="M880" s="60"/>
      <c r="N880" s="61"/>
      <c r="O880" s="61"/>
      <c r="P880" s="62"/>
      <c r="Q880" s="63"/>
      <c r="R880" s="4"/>
    </row>
    <row r="881" spans="1:18">
      <c r="A881" s="1"/>
      <c r="B881" s="2"/>
      <c r="C881" s="8"/>
      <c r="D881" s="64"/>
      <c r="E881" s="65"/>
      <c r="F881" s="65"/>
      <c r="G881" s="65"/>
      <c r="H881" s="65"/>
      <c r="I881" s="65"/>
      <c r="J881" s="65"/>
      <c r="K881" s="65"/>
      <c r="L881" s="65"/>
      <c r="M881" s="66" t="s">
        <v>6</v>
      </c>
      <c r="N881" s="66" t="s">
        <v>7</v>
      </c>
      <c r="O881" s="66" t="s">
        <v>8</v>
      </c>
      <c r="P881" s="67" t="s">
        <v>9</v>
      </c>
      <c r="Q881" s="51"/>
      <c r="R881" s="4"/>
    </row>
    <row r="882" spans="1:18">
      <c r="A882" s="1"/>
      <c r="B882" s="2"/>
      <c r="C882" s="8"/>
      <c r="D882" s="68"/>
      <c r="E882" s="69"/>
      <c r="F882" s="69"/>
      <c r="G882" s="69"/>
      <c r="H882" s="69"/>
      <c r="I882" s="69"/>
      <c r="J882" s="69"/>
      <c r="K882" s="69"/>
      <c r="L882" s="69"/>
      <c r="M882" s="70"/>
      <c r="N882" s="71">
        <f>+Hoja2!B$5</f>
        <v>5</v>
      </c>
      <c r="O882" s="71">
        <f>+Hoja2!C$5</f>
        <v>8</v>
      </c>
      <c r="P882" s="72">
        <f>+Hoja2!D$5</f>
        <v>2026</v>
      </c>
      <c r="Q882" s="73"/>
      <c r="R882" s="4"/>
    </row>
    <row r="883" spans="1:18">
      <c r="A883" s="1"/>
      <c r="B883" s="2"/>
      <c r="C883" s="8"/>
      <c r="D883" s="74"/>
      <c r="E883" s="37"/>
      <c r="F883" s="37"/>
      <c r="G883" s="37"/>
      <c r="H883" s="69"/>
      <c r="I883" s="69"/>
      <c r="J883" s="69"/>
      <c r="K883" s="20"/>
      <c r="L883" s="69"/>
      <c r="M883" s="75"/>
      <c r="N883" s="20"/>
      <c r="O883" s="20"/>
      <c r="P883" s="76"/>
      <c r="Q883" s="73"/>
      <c r="R883" s="4"/>
    </row>
    <row r="884" spans="1:18" ht="15.75" thickBot="1">
      <c r="A884" s="1"/>
      <c r="B884" s="2"/>
      <c r="C884" s="8"/>
      <c r="D884" s="77"/>
      <c r="E884" s="78"/>
      <c r="F884" s="78"/>
      <c r="G884" s="78"/>
      <c r="H884" s="78"/>
      <c r="I884" s="78"/>
      <c r="J884" s="78"/>
      <c r="K884" s="78"/>
      <c r="L884" s="78"/>
      <c r="M884" s="78"/>
      <c r="N884" s="78"/>
      <c r="O884" s="78"/>
      <c r="P884" s="79"/>
      <c r="Q884" s="13"/>
      <c r="R884" s="4"/>
    </row>
    <row r="885" spans="1:18" ht="15.75" thickBot="1">
      <c r="A885" s="1"/>
      <c r="B885" s="2"/>
      <c r="C885" s="8"/>
      <c r="D885" s="80"/>
      <c r="E885" s="81"/>
      <c r="F885" s="81"/>
      <c r="G885" s="81"/>
      <c r="H885" s="81"/>
      <c r="I885" s="81"/>
      <c r="J885" s="20"/>
      <c r="K885" s="20"/>
      <c r="L885" s="81"/>
      <c r="M885" s="81"/>
      <c r="N885" s="81"/>
      <c r="O885" s="81"/>
      <c r="P885" s="82"/>
      <c r="Q885" s="13"/>
      <c r="R885" s="4"/>
    </row>
    <row r="886" spans="1:18">
      <c r="A886" s="1"/>
      <c r="B886" s="2"/>
      <c r="C886" s="8"/>
      <c r="D886" s="83" t="s">
        <v>10</v>
      </c>
      <c r="E886" s="84"/>
      <c r="F886" s="84"/>
      <c r="G886" s="84"/>
      <c r="H886" s="84"/>
      <c r="I886" s="84"/>
      <c r="J886" s="84"/>
      <c r="K886" s="84"/>
      <c r="L886" s="84"/>
      <c r="M886" s="84"/>
      <c r="N886" s="84"/>
      <c r="O886" s="84"/>
      <c r="P886" s="85"/>
      <c r="Q886" s="86"/>
      <c r="R886" s="4"/>
    </row>
    <row r="887" spans="1:18" ht="15.75" thickBot="1">
      <c r="A887" s="1"/>
      <c r="B887" s="2"/>
      <c r="C887" s="8"/>
      <c r="D887" s="87"/>
      <c r="E887" s="20"/>
      <c r="F887" s="20"/>
      <c r="G887" s="20"/>
      <c r="H887" s="20"/>
      <c r="I887" s="20"/>
      <c r="J887" s="20"/>
      <c r="K887" s="20"/>
      <c r="L887" s="20"/>
      <c r="M887" s="20"/>
      <c r="N887" s="20"/>
      <c r="O887" s="20"/>
      <c r="P887" s="88"/>
      <c r="Q887" s="13"/>
      <c r="R887" s="4"/>
    </row>
    <row r="888" spans="1:18">
      <c r="A888" s="1" t="s">
        <v>11</v>
      </c>
      <c r="B888" s="2" t="s">
        <v>12</v>
      </c>
      <c r="C888" s="8"/>
      <c r="D888" s="89" t="s">
        <v>13</v>
      </c>
      <c r="E888" s="90" t="s">
        <v>14</v>
      </c>
      <c r="F888" s="90"/>
      <c r="G888" s="90"/>
      <c r="H888" s="90"/>
      <c r="I888" s="90"/>
      <c r="J888" s="90"/>
      <c r="K888" s="90"/>
      <c r="L888" s="90"/>
      <c r="M888" s="90"/>
      <c r="N888" s="91" t="s">
        <v>15</v>
      </c>
      <c r="O888" s="91"/>
      <c r="P888" s="92" t="s">
        <v>16</v>
      </c>
      <c r="Q888" s="93"/>
      <c r="R888" s="4"/>
    </row>
    <row r="889" spans="1:18" ht="15.75" thickBot="1">
      <c r="A889" s="1"/>
      <c r="B889" s="2"/>
      <c r="C889" s="8"/>
      <c r="D889" s="349">
        <f>+'PRESUPUESTO OFICIAL '!C22</f>
        <v>1.1100000000000001</v>
      </c>
      <c r="E889" s="94" t="str">
        <f>+VLOOKUP(D889,'PRESUPUESTO OFICIAL '!C:H,2,FALSE)</f>
        <v>DESCAPOTE MANUAL HASTA 20 CM (INCLUYE RETIRO Y ACARREO LIBRE HASTA 5 KM)</v>
      </c>
      <c r="F889" s="94"/>
      <c r="G889" s="94"/>
      <c r="H889" s="94"/>
      <c r="I889" s="94"/>
      <c r="J889" s="94"/>
      <c r="K889" s="94"/>
      <c r="L889" s="94"/>
      <c r="M889" s="94"/>
      <c r="N889" s="94" t="str">
        <f>+VLOOKUP(D889,'PRESUPUESTO OFICIAL '!C:H,3,FALSE)</f>
        <v>M2</v>
      </c>
      <c r="O889" s="95"/>
      <c r="P889" s="96">
        <f>+VLOOKUP(D889,'PRESUPUESTO OFICIAL '!C:H,4,FALSE)</f>
        <v>24.54</v>
      </c>
      <c r="Q889" s="97"/>
      <c r="R889" s="98">
        <f>+P941</f>
        <v>18897</v>
      </c>
    </row>
    <row r="890" spans="1:18" ht="15.75" thickBot="1">
      <c r="A890" s="1"/>
      <c r="B890" s="2"/>
      <c r="C890" s="8"/>
      <c r="D890" s="74" t="s">
        <v>17</v>
      </c>
      <c r="E890" s="37"/>
      <c r="F890" s="37"/>
      <c r="G890" s="37"/>
      <c r="H890" s="37"/>
      <c r="I890" s="37"/>
      <c r="J890" s="37"/>
      <c r="K890" s="37"/>
      <c r="L890" s="37"/>
      <c r="M890" s="37"/>
      <c r="N890" s="37"/>
      <c r="O890" s="37"/>
      <c r="P890" s="99"/>
      <c r="Q890" s="100"/>
      <c r="R890" s="4"/>
    </row>
    <row r="891" spans="1:18">
      <c r="A891" s="1"/>
      <c r="B891" s="2"/>
      <c r="C891" s="8"/>
      <c r="D891" s="101" t="s">
        <v>14</v>
      </c>
      <c r="E891" s="102"/>
      <c r="F891" s="102"/>
      <c r="G891" s="102"/>
      <c r="H891" s="103"/>
      <c r="I891" s="104" t="s">
        <v>18</v>
      </c>
      <c r="J891" s="102"/>
      <c r="K891" s="104" t="s">
        <v>19</v>
      </c>
      <c r="L891" s="105"/>
      <c r="M891" s="106" t="s">
        <v>20</v>
      </c>
      <c r="N891" s="104" t="s">
        <v>21</v>
      </c>
      <c r="O891" s="105"/>
      <c r="P891" s="107" t="s">
        <v>22</v>
      </c>
      <c r="Q891" s="108"/>
      <c r="R891" s="4"/>
    </row>
    <row r="892" spans="1:18">
      <c r="A892" s="1" t="e">
        <f>[239]INDICE!#REF!</f>
        <v>#REF!</v>
      </c>
      <c r="B892" s="2" t="s">
        <v>23</v>
      </c>
      <c r="C892" s="8"/>
      <c r="D892" s="109" t="str">
        <f>IFERROR(INDEX([239]EQUIPOS!B:B,MATCH(B892,[239]EQUIPOS!A:A,0)),"")</f>
        <v>HERRAMIENTA MENOR (% M.O)</v>
      </c>
      <c r="E892" s="110"/>
      <c r="F892" s="110"/>
      <c r="G892" s="110"/>
      <c r="H892" s="111"/>
      <c r="I892" s="112"/>
      <c r="J892" s="111"/>
      <c r="K892" s="113" t="str">
        <f>IFERROR(INDEX([239]EQUIPOS!C:C,MATCH(B892,[239]EQUIPOS!A:A,0)),"")</f>
        <v>%</v>
      </c>
      <c r="L892" s="114"/>
      <c r="M892" s="115">
        <f>IFERROR(IF(D892="HERRAMIENTA MENOR (% M.O)",P931,INDEX([239]EQUIPOS!D:D,MATCH(B892,[239]EQUIPOS!A:A,0))),"")</f>
        <v>10198.68</v>
      </c>
      <c r="N892" s="116">
        <v>10</v>
      </c>
      <c r="O892" s="117"/>
      <c r="P892" s="118">
        <f t="shared" ref="P892:P897" si="29">IFERROR(ROUND(IF(D892="HERRAMIENTA MENOR (% M.O)",N892%*M892,M892/N892),2)," ")</f>
        <v>1019.87</v>
      </c>
      <c r="Q892" s="119"/>
      <c r="R892" s="4"/>
    </row>
    <row r="893" spans="1:18">
      <c r="A893" s="1">
        <f>+$A$2341</f>
        <v>0</v>
      </c>
      <c r="B893" s="2"/>
      <c r="C893" s="8"/>
      <c r="D893" s="109" t="str">
        <f>IFERROR(INDEX([239]EQUIPOS!B:B,MATCH(B893,[239]EQUIPOS!A:A,0)),"")</f>
        <v/>
      </c>
      <c r="E893" s="110"/>
      <c r="F893" s="110"/>
      <c r="G893" s="110"/>
      <c r="H893" s="111"/>
      <c r="I893" s="112"/>
      <c r="J893" s="111"/>
      <c r="K893" s="113" t="str">
        <f>IFERROR(INDEX([239]EQUIPOS!C:C,MATCH(B893,[239]EQUIPOS!A:A,0)),"")</f>
        <v/>
      </c>
      <c r="L893" s="114"/>
      <c r="M893" s="115" t="str">
        <f>IFERROR(IF(D893="HERRAMIENTA MENOR (% M.O)",P932,INDEX([239]EQUIPOS!D:D,MATCH(B893,[239]EQUIPOS!A:A,0))),"")</f>
        <v/>
      </c>
      <c r="N893" s="116"/>
      <c r="O893" s="117"/>
      <c r="P893" s="118" t="str">
        <f t="shared" si="29"/>
        <v xml:space="preserve"> </v>
      </c>
      <c r="Q893" s="119"/>
      <c r="R893" s="4"/>
    </row>
    <row r="894" spans="1:18">
      <c r="A894" s="1">
        <f t="shared" ref="A894:A932" si="30">+A893</f>
        <v>0</v>
      </c>
      <c r="B894" s="2"/>
      <c r="C894" s="8"/>
      <c r="D894" s="109" t="str">
        <f>IFERROR(INDEX([239]EQUIPOS!B:B,MATCH(B894,[239]EQUIPOS!A:A,0)),"")</f>
        <v/>
      </c>
      <c r="E894" s="110"/>
      <c r="F894" s="110"/>
      <c r="G894" s="110"/>
      <c r="H894" s="111"/>
      <c r="I894" s="120"/>
      <c r="J894" s="121"/>
      <c r="K894" s="113" t="str">
        <f>IFERROR(INDEX([239]EQUIPOS!C:C,MATCH(B894,[239]EQUIPOS!A:A,0)),"")</f>
        <v/>
      </c>
      <c r="L894" s="114"/>
      <c r="M894" s="115" t="str">
        <f>IFERROR(IF(D894="HERRAMIENTA MENOR (% M.O)",P933,INDEX([239]EQUIPOS!D:D,MATCH(B894,[239]EQUIPOS!A:A,0))),"")</f>
        <v/>
      </c>
      <c r="N894" s="116"/>
      <c r="O894" s="117"/>
      <c r="P894" s="118" t="str">
        <f t="shared" si="29"/>
        <v xml:space="preserve"> </v>
      </c>
      <c r="Q894" s="119"/>
      <c r="R894" s="4"/>
    </row>
    <row r="895" spans="1:18">
      <c r="A895" s="1">
        <f t="shared" si="30"/>
        <v>0</v>
      </c>
      <c r="B895" s="2"/>
      <c r="C895" s="8"/>
      <c r="D895" s="109" t="str">
        <f>IFERROR(INDEX([239]EQUIPOS!B:B,MATCH(B895,[239]EQUIPOS!A:A,0)),"")</f>
        <v/>
      </c>
      <c r="E895" s="110"/>
      <c r="F895" s="110"/>
      <c r="G895" s="110"/>
      <c r="H895" s="111"/>
      <c r="I895" s="120"/>
      <c r="J895" s="121"/>
      <c r="K895" s="113" t="str">
        <f>IFERROR(INDEX([239]EQUIPOS!C:C,MATCH(B895,[239]EQUIPOS!A:A,0)),"")</f>
        <v/>
      </c>
      <c r="L895" s="114"/>
      <c r="M895" s="115" t="str">
        <f>IFERROR(IF(D895="HERRAMIENTA MENOR (% M.O)",P934,INDEX([239]EQUIPOS!D:D,MATCH(B895,[239]EQUIPOS!A:A,0))),"")</f>
        <v/>
      </c>
      <c r="N895" s="116"/>
      <c r="O895" s="117"/>
      <c r="P895" s="118" t="str">
        <f t="shared" si="29"/>
        <v xml:space="preserve"> </v>
      </c>
      <c r="Q895" s="119"/>
      <c r="R895" s="4"/>
    </row>
    <row r="896" spans="1:18">
      <c r="A896" s="1">
        <f t="shared" si="30"/>
        <v>0</v>
      </c>
      <c r="B896" s="2"/>
      <c r="C896" s="8"/>
      <c r="D896" s="109" t="str">
        <f>IFERROR(INDEX([239]EQUIPOS!B:B,MATCH(B896,[239]EQUIPOS!A:A,0)),"")</f>
        <v/>
      </c>
      <c r="E896" s="110"/>
      <c r="F896" s="110"/>
      <c r="G896" s="110"/>
      <c r="H896" s="111"/>
      <c r="I896" s="112"/>
      <c r="J896" s="111"/>
      <c r="K896" s="113" t="str">
        <f>IFERROR(INDEX([239]EQUIPOS!C:C,MATCH(B896,[239]EQUIPOS!A:A,0)),"")</f>
        <v/>
      </c>
      <c r="L896" s="114"/>
      <c r="M896" s="115" t="str">
        <f>IFERROR(IF(D896="HERRAMIENTA MENOR (% M.O)",P935,INDEX([239]EQUIPOS!D:D,MATCH(B896,[239]EQUIPOS!A:A,0))),"")</f>
        <v/>
      </c>
      <c r="N896" s="116"/>
      <c r="O896" s="117"/>
      <c r="P896" s="118" t="str">
        <f t="shared" si="29"/>
        <v xml:space="preserve"> </v>
      </c>
      <c r="Q896" s="119"/>
      <c r="R896" s="4"/>
    </row>
    <row r="897" spans="1:18" ht="15.75" thickBot="1">
      <c r="A897" s="1">
        <f t="shared" si="30"/>
        <v>0</v>
      </c>
      <c r="B897" s="2"/>
      <c r="C897" s="8"/>
      <c r="D897" s="109" t="str">
        <f>IFERROR(INDEX([239]EQUIPOS!B:B,MATCH(B897,[239]EQUIPOS!A:A,0)),"")</f>
        <v/>
      </c>
      <c r="E897" s="78"/>
      <c r="F897" s="78"/>
      <c r="G897" s="78"/>
      <c r="H897" s="122"/>
      <c r="I897" s="123"/>
      <c r="J897" s="122"/>
      <c r="K897" s="113" t="str">
        <f>IFERROR(INDEX([239]EQUIPOS!C:C,MATCH(B897,[239]EQUIPOS!A:A,0)),"")</f>
        <v/>
      </c>
      <c r="L897" s="124"/>
      <c r="M897" s="115" t="str">
        <f>IFERROR(IF(D897="HERRAMIENTA MENOR (% M.O)",P936,INDEX([239]EQUIPOS!D:D,MATCH(B897,[239]EQUIPOS!A:A,0))),"")</f>
        <v/>
      </c>
      <c r="N897" s="125"/>
      <c r="O897" s="126"/>
      <c r="P897" s="127" t="str">
        <f t="shared" si="29"/>
        <v xml:space="preserve"> </v>
      </c>
      <c r="Q897" s="119"/>
      <c r="R897" s="4"/>
    </row>
    <row r="898" spans="1:18" ht="15.75" thickBot="1">
      <c r="A898" s="1">
        <f t="shared" si="30"/>
        <v>0</v>
      </c>
      <c r="B898" s="2"/>
      <c r="C898" s="8"/>
      <c r="D898" s="128" t="s">
        <v>24</v>
      </c>
      <c r="E898" s="129"/>
      <c r="F898" s="129"/>
      <c r="G898" s="129"/>
      <c r="H898" s="129"/>
      <c r="I898" s="129"/>
      <c r="J898" s="129"/>
      <c r="K898" s="129"/>
      <c r="L898" s="129"/>
      <c r="M898" s="129"/>
      <c r="N898" s="129"/>
      <c r="O898" s="130"/>
      <c r="P898" s="131">
        <f>SUM(P892:P897)</f>
        <v>1019.87</v>
      </c>
      <c r="Q898" s="132"/>
      <c r="R898" s="4"/>
    </row>
    <row r="899" spans="1:18" ht="15.75" thickBot="1">
      <c r="A899" s="1">
        <f t="shared" si="30"/>
        <v>0</v>
      </c>
      <c r="B899" s="2"/>
      <c r="C899" s="8"/>
      <c r="D899" s="74" t="s">
        <v>25</v>
      </c>
      <c r="E899" s="37"/>
      <c r="F899" s="37"/>
      <c r="G899" s="37"/>
      <c r="H899" s="37"/>
      <c r="I899" s="37"/>
      <c r="J899" s="37"/>
      <c r="K899" s="37"/>
      <c r="L899" s="37"/>
      <c r="M899" s="37"/>
      <c r="N899" s="37"/>
      <c r="O899" s="37"/>
      <c r="P899" s="99"/>
      <c r="Q899" s="100"/>
      <c r="R899" s="4"/>
    </row>
    <row r="900" spans="1:18">
      <c r="A900" s="1">
        <f t="shared" si="30"/>
        <v>0</v>
      </c>
      <c r="B900" s="2"/>
      <c r="C900" s="8"/>
      <c r="D900" s="101" t="s">
        <v>14</v>
      </c>
      <c r="E900" s="133"/>
      <c r="F900" s="133"/>
      <c r="G900" s="133"/>
      <c r="H900" s="133"/>
      <c r="I900" s="133"/>
      <c r="J900" s="133"/>
      <c r="K900" s="105"/>
      <c r="L900" s="134" t="s">
        <v>15</v>
      </c>
      <c r="M900" s="106" t="s">
        <v>16</v>
      </c>
      <c r="N900" s="104" t="s">
        <v>26</v>
      </c>
      <c r="O900" s="105"/>
      <c r="P900" s="107" t="s">
        <v>22</v>
      </c>
      <c r="Q900" s="108"/>
      <c r="R900" s="4"/>
    </row>
    <row r="901" spans="1:18">
      <c r="A901" s="1">
        <f t="shared" si="30"/>
        <v>0</v>
      </c>
      <c r="B901" s="2"/>
      <c r="C901" s="8"/>
      <c r="D901" s="109" t="str">
        <f>IFERROR(INDEX([239]MATERIALES!C:C,MATCH(B901,[239]MATERIALES!B:B,0)),"")</f>
        <v/>
      </c>
      <c r="E901" s="135"/>
      <c r="F901" s="135"/>
      <c r="G901" s="135"/>
      <c r="H901" s="135"/>
      <c r="I901" s="135"/>
      <c r="J901" s="135"/>
      <c r="K901" s="136"/>
      <c r="L901" s="137" t="str">
        <f>IFERROR(INDEX([239]MATERIALES!D:D,MATCH(B901,[239]MATERIALES!B:B,0)),"")</f>
        <v/>
      </c>
      <c r="M901" s="138"/>
      <c r="N901" s="139" t="str">
        <f>IFERROR(INDEX([239]MATERIALES!P:P,MATCH(B901,[239]MATERIALES!B:B,0)),"")</f>
        <v/>
      </c>
      <c r="O901" s="140"/>
      <c r="P901" s="118" t="str">
        <f>IFERROR(ROUND(N901*M901,2),"")</f>
        <v/>
      </c>
      <c r="Q901" s="119"/>
      <c r="R901" s="4"/>
    </row>
    <row r="902" spans="1:18">
      <c r="A902" s="1">
        <f t="shared" si="30"/>
        <v>0</v>
      </c>
      <c r="B902" s="2"/>
      <c r="C902" s="8"/>
      <c r="D902" s="109" t="str">
        <f>IFERROR(INDEX([239]MATERIALES!C:C,MATCH(B902,[239]MATERIALES!B:B,0)),"")</f>
        <v/>
      </c>
      <c r="E902" s="135"/>
      <c r="F902" s="135"/>
      <c r="G902" s="135"/>
      <c r="H902" s="135"/>
      <c r="I902" s="135"/>
      <c r="J902" s="135"/>
      <c r="K902" s="136"/>
      <c r="L902" s="137" t="str">
        <f>IFERROR(INDEX([239]MATERIALES!D:D,MATCH(B902,[239]MATERIALES!B:B,0)),"")</f>
        <v/>
      </c>
      <c r="M902" s="138"/>
      <c r="N902" s="139" t="str">
        <f>IFERROR(INDEX([239]MATERIALES!P:P,MATCH(B902,[239]MATERIALES!B:B,0)),"")</f>
        <v/>
      </c>
      <c r="O902" s="140"/>
      <c r="P902" s="118" t="str">
        <f>IFERROR(ROUND(N902*M902,2),"")</f>
        <v/>
      </c>
      <c r="Q902" s="119"/>
      <c r="R902" s="4"/>
    </row>
    <row r="903" spans="1:18">
      <c r="A903" s="1">
        <f t="shared" si="30"/>
        <v>0</v>
      </c>
      <c r="B903" s="2"/>
      <c r="C903" s="8"/>
      <c r="D903" s="109" t="str">
        <f>IFERROR(INDEX([239]MATERIALES!C:C,MATCH(B903,[239]MATERIALES!B:B,0)),"")</f>
        <v/>
      </c>
      <c r="E903" s="110"/>
      <c r="F903" s="110"/>
      <c r="G903" s="110"/>
      <c r="H903" s="110"/>
      <c r="I903" s="110"/>
      <c r="J903" s="110"/>
      <c r="K903" s="111"/>
      <c r="L903" s="137" t="str">
        <f>IFERROR(INDEX([239]MATERIALES!D:D,MATCH(B903,[239]MATERIALES!B:B,0)),"")</f>
        <v/>
      </c>
      <c r="M903" s="138"/>
      <c r="N903" s="139" t="str">
        <f>IFERROR(INDEX([239]MATERIALES!P:P,MATCH(B903,[239]MATERIALES!B:B,0)),"")</f>
        <v/>
      </c>
      <c r="O903" s="140"/>
      <c r="P903" s="118" t="str">
        <f>IFERROR(ROUND(N903*M903,2),"")</f>
        <v/>
      </c>
      <c r="Q903" s="119"/>
      <c r="R903" s="4"/>
    </row>
    <row r="904" spans="1:18">
      <c r="A904" s="1">
        <f t="shared" si="30"/>
        <v>0</v>
      </c>
      <c r="B904" s="2"/>
      <c r="C904" s="8"/>
      <c r="D904" s="109" t="str">
        <f>IFERROR(INDEX([239]MATERIALES!C:C,MATCH(B904,[239]MATERIALES!B:B,0)),"")</f>
        <v/>
      </c>
      <c r="E904" s="110"/>
      <c r="F904" s="110"/>
      <c r="G904" s="110"/>
      <c r="H904" s="110"/>
      <c r="I904" s="110"/>
      <c r="J904" s="110"/>
      <c r="K904" s="111"/>
      <c r="L904" s="137" t="str">
        <f>IFERROR(INDEX([239]MATERIALES!D:D,MATCH(B904,[239]MATERIALES!B:B,0)),"")</f>
        <v/>
      </c>
      <c r="M904" s="138"/>
      <c r="N904" s="139" t="str">
        <f>IFERROR(INDEX([239]MATERIALES!P:P,MATCH(B904,[239]MATERIALES!B:B,0)),"")</f>
        <v/>
      </c>
      <c r="O904" s="140"/>
      <c r="P904" s="118" t="str">
        <f>IFERROR(ROUND(N904*M904,2),"")</f>
        <v/>
      </c>
      <c r="Q904" s="119"/>
      <c r="R904" s="4"/>
    </row>
    <row r="905" spans="1:18">
      <c r="A905" s="1">
        <f t="shared" si="30"/>
        <v>0</v>
      </c>
      <c r="B905" s="2"/>
      <c r="C905" s="8"/>
      <c r="D905" s="109" t="str">
        <f>IFERROR(INDEX([239]MATERIALES!C:C,MATCH(B905,[239]MATERIALES!B:B,0)),"")</f>
        <v/>
      </c>
      <c r="E905" s="110"/>
      <c r="F905" s="110"/>
      <c r="G905" s="110"/>
      <c r="H905" s="110"/>
      <c r="I905" s="110"/>
      <c r="J905" s="110"/>
      <c r="K905" s="111"/>
      <c r="L905" s="137" t="str">
        <f>IFERROR(INDEX([239]MATERIALES!D:D,MATCH(B905,[239]MATERIALES!B:B,0)),"")</f>
        <v/>
      </c>
      <c r="M905" s="138"/>
      <c r="N905" s="139" t="str">
        <f>IFERROR(INDEX([239]MATERIALES!P:P,MATCH(B905,[239]MATERIALES!B:B,0)),"")</f>
        <v/>
      </c>
      <c r="O905" s="140"/>
      <c r="P905" s="118" t="str">
        <f t="shared" ref="P905:P914" si="31">IFERROR(ROUND(N905*M905,2),"")</f>
        <v/>
      </c>
      <c r="Q905" s="119"/>
      <c r="R905" s="4"/>
    </row>
    <row r="906" spans="1:18">
      <c r="A906" s="1">
        <f t="shared" si="30"/>
        <v>0</v>
      </c>
      <c r="B906" s="2"/>
      <c r="C906" s="8"/>
      <c r="D906" s="109" t="str">
        <f>IFERROR(INDEX([239]MATERIALES!C:C,MATCH(B906,[239]MATERIALES!B:B,0)),"")</f>
        <v/>
      </c>
      <c r="E906" s="110"/>
      <c r="F906" s="110"/>
      <c r="G906" s="110"/>
      <c r="H906" s="110"/>
      <c r="I906" s="110"/>
      <c r="J906" s="110"/>
      <c r="K906" s="111"/>
      <c r="L906" s="137" t="str">
        <f>IFERROR(INDEX([239]MATERIALES!D:D,MATCH(B906,[239]MATERIALES!B:B,0)),"")</f>
        <v/>
      </c>
      <c r="M906" s="138"/>
      <c r="N906" s="139" t="str">
        <f>IFERROR(INDEX([239]MATERIALES!P:P,MATCH(B906,[239]MATERIALES!B:B,0)),"")</f>
        <v/>
      </c>
      <c r="O906" s="140"/>
      <c r="P906" s="118" t="str">
        <f t="shared" si="31"/>
        <v/>
      </c>
      <c r="Q906" s="119"/>
      <c r="R906" s="4"/>
    </row>
    <row r="907" spans="1:18">
      <c r="A907" s="1">
        <f t="shared" si="30"/>
        <v>0</v>
      </c>
      <c r="B907" s="2"/>
      <c r="C907" s="8"/>
      <c r="D907" s="109" t="str">
        <f>IFERROR(INDEX([239]MATERIALES!C:C,MATCH(B907,[239]MATERIALES!B:B,0)),"")</f>
        <v/>
      </c>
      <c r="E907" s="110"/>
      <c r="F907" s="110"/>
      <c r="G907" s="110"/>
      <c r="H907" s="110"/>
      <c r="I907" s="110"/>
      <c r="J907" s="110"/>
      <c r="K907" s="111"/>
      <c r="L907" s="137" t="str">
        <f>IFERROR(INDEX([239]MATERIALES!D:D,MATCH(B907,[239]MATERIALES!B:B,0)),"")</f>
        <v/>
      </c>
      <c r="M907" s="138"/>
      <c r="N907" s="139" t="str">
        <f>IFERROR(INDEX([239]MATERIALES!P:P,MATCH(B907,[239]MATERIALES!B:B,0)),"")</f>
        <v/>
      </c>
      <c r="O907" s="140"/>
      <c r="P907" s="118" t="str">
        <f t="shared" si="31"/>
        <v/>
      </c>
      <c r="Q907" s="119"/>
      <c r="R907" s="4"/>
    </row>
    <row r="908" spans="1:18">
      <c r="A908" s="1">
        <f t="shared" si="30"/>
        <v>0</v>
      </c>
      <c r="B908" s="2"/>
      <c r="C908" s="8"/>
      <c r="D908" s="109" t="str">
        <f>IFERROR(INDEX([239]MATERIALES!C:C,MATCH(B908,[239]MATERIALES!B:B,0)),"")</f>
        <v/>
      </c>
      <c r="E908" s="110"/>
      <c r="F908" s="110"/>
      <c r="G908" s="110"/>
      <c r="H908" s="110"/>
      <c r="I908" s="110"/>
      <c r="J908" s="110"/>
      <c r="K908" s="111"/>
      <c r="L908" s="137" t="str">
        <f>IFERROR(INDEX([239]MATERIALES!D:D,MATCH(B908,[239]MATERIALES!B:B,0)),"")</f>
        <v/>
      </c>
      <c r="M908" s="138"/>
      <c r="N908" s="139" t="str">
        <f>IFERROR(INDEX([239]MATERIALES!P:P,MATCH(B908,[239]MATERIALES!B:B,0)),"")</f>
        <v/>
      </c>
      <c r="O908" s="140"/>
      <c r="P908" s="118" t="str">
        <f t="shared" si="31"/>
        <v/>
      </c>
      <c r="Q908" s="119"/>
      <c r="R908" s="4"/>
    </row>
    <row r="909" spans="1:18">
      <c r="A909" s="1">
        <f t="shared" si="30"/>
        <v>0</v>
      </c>
      <c r="B909" s="2"/>
      <c r="C909" s="8"/>
      <c r="D909" s="109" t="str">
        <f>IFERROR(INDEX([239]MATERIALES!C:C,MATCH(B909,[239]MATERIALES!B:B,0)),"")</f>
        <v/>
      </c>
      <c r="E909" s="110"/>
      <c r="F909" s="110"/>
      <c r="G909" s="110"/>
      <c r="H909" s="110"/>
      <c r="I909" s="110"/>
      <c r="J909" s="110"/>
      <c r="K909" s="111"/>
      <c r="L909" s="137" t="str">
        <f>IFERROR(INDEX([239]MATERIALES!D:D,MATCH(B909,[239]MATERIALES!B:B,0)),"")</f>
        <v/>
      </c>
      <c r="M909" s="138"/>
      <c r="N909" s="139" t="str">
        <f>IFERROR(INDEX([239]MATERIALES!P:P,MATCH(B909,[239]MATERIALES!B:B,0)),"")</f>
        <v/>
      </c>
      <c r="O909" s="140"/>
      <c r="P909" s="118" t="str">
        <f t="shared" si="31"/>
        <v/>
      </c>
      <c r="Q909" s="119"/>
      <c r="R909" s="4"/>
    </row>
    <row r="910" spans="1:18">
      <c r="A910" s="1">
        <f t="shared" si="30"/>
        <v>0</v>
      </c>
      <c r="B910" s="2"/>
      <c r="C910" s="8"/>
      <c r="D910" s="109" t="str">
        <f>IFERROR(INDEX([239]MATERIALES!C:C,MATCH(B910,[239]MATERIALES!B:B,0)),"")</f>
        <v/>
      </c>
      <c r="E910" s="110"/>
      <c r="F910" s="110"/>
      <c r="G910" s="110"/>
      <c r="H910" s="110"/>
      <c r="I910" s="110"/>
      <c r="J910" s="110"/>
      <c r="K910" s="111"/>
      <c r="L910" s="137" t="str">
        <f>IFERROR(INDEX([239]MATERIALES!D:D,MATCH(B910,[239]MATERIALES!B:B,0)),"")</f>
        <v/>
      </c>
      <c r="M910" s="138"/>
      <c r="N910" s="139" t="str">
        <f>IFERROR(INDEX([239]MATERIALES!P:P,MATCH(B910,[239]MATERIALES!B:B,0)),"")</f>
        <v/>
      </c>
      <c r="O910" s="140"/>
      <c r="P910" s="118" t="str">
        <f t="shared" si="31"/>
        <v/>
      </c>
      <c r="Q910" s="119"/>
      <c r="R910" s="4"/>
    </row>
    <row r="911" spans="1:18">
      <c r="A911" s="1">
        <f t="shared" si="30"/>
        <v>0</v>
      </c>
      <c r="B911" s="2"/>
      <c r="C911" s="8"/>
      <c r="D911" s="109" t="str">
        <f>IFERROR(INDEX([239]MATERIALES!C:C,MATCH(B911,[239]MATERIALES!B:B,0)),"")</f>
        <v/>
      </c>
      <c r="E911" s="110"/>
      <c r="F911" s="110"/>
      <c r="G911" s="110"/>
      <c r="H911" s="110"/>
      <c r="I911" s="110"/>
      <c r="J911" s="110"/>
      <c r="K911" s="111"/>
      <c r="L911" s="137" t="str">
        <f>IFERROR(INDEX([239]MATERIALES!D:D,MATCH(B911,[239]MATERIALES!B:B,0)),"")</f>
        <v/>
      </c>
      <c r="M911" s="138"/>
      <c r="N911" s="139" t="str">
        <f>IFERROR(INDEX([239]MATERIALES!P:P,MATCH(B911,[239]MATERIALES!B:B,0)),"")</f>
        <v/>
      </c>
      <c r="O911" s="140"/>
      <c r="P911" s="118" t="str">
        <f t="shared" si="31"/>
        <v/>
      </c>
      <c r="Q911" s="119"/>
      <c r="R911" s="4"/>
    </row>
    <row r="912" spans="1:18">
      <c r="A912" s="1">
        <f t="shared" si="30"/>
        <v>0</v>
      </c>
      <c r="B912" s="2"/>
      <c r="C912" s="8"/>
      <c r="D912" s="109" t="str">
        <f>IFERROR(INDEX([239]MATERIALES!C:C,MATCH(B912,[239]MATERIALES!B:B,0)),"")</f>
        <v/>
      </c>
      <c r="E912" s="110"/>
      <c r="F912" s="110"/>
      <c r="G912" s="110"/>
      <c r="H912" s="110"/>
      <c r="I912" s="110"/>
      <c r="J912" s="110"/>
      <c r="K912" s="111"/>
      <c r="L912" s="137" t="str">
        <f>IFERROR(INDEX([239]MATERIALES!D:D,MATCH(B912,[239]MATERIALES!B:B,0)),"")</f>
        <v/>
      </c>
      <c r="M912" s="138"/>
      <c r="N912" s="139" t="str">
        <f>IFERROR(INDEX([239]MATERIALES!P:P,MATCH(B912,[239]MATERIALES!B:B,0)),"")</f>
        <v/>
      </c>
      <c r="O912" s="140"/>
      <c r="P912" s="118" t="str">
        <f t="shared" si="31"/>
        <v/>
      </c>
      <c r="Q912" s="119"/>
      <c r="R912" s="4"/>
    </row>
    <row r="913" spans="1:18">
      <c r="A913" s="1">
        <f t="shared" si="30"/>
        <v>0</v>
      </c>
      <c r="B913" s="2"/>
      <c r="C913" s="8"/>
      <c r="D913" s="109" t="str">
        <f>IFERROR(INDEX([239]MATERIALES!C:C,MATCH(B913,[239]MATERIALES!B:B,0)),"")</f>
        <v/>
      </c>
      <c r="E913" s="110"/>
      <c r="F913" s="110"/>
      <c r="G913" s="110"/>
      <c r="H913" s="110"/>
      <c r="I913" s="110"/>
      <c r="J913" s="110"/>
      <c r="K913" s="111"/>
      <c r="L913" s="137" t="str">
        <f>IFERROR(INDEX([239]MATERIALES!D:D,MATCH(B913,[239]MATERIALES!B:B,0)),"")</f>
        <v/>
      </c>
      <c r="M913" s="138"/>
      <c r="N913" s="139" t="str">
        <f>IFERROR(INDEX([239]MATERIALES!P:P,MATCH(B913,[239]MATERIALES!B:B,0)),"")</f>
        <v/>
      </c>
      <c r="O913" s="140"/>
      <c r="P913" s="118" t="str">
        <f t="shared" si="31"/>
        <v/>
      </c>
      <c r="Q913" s="119"/>
      <c r="R913" s="4"/>
    </row>
    <row r="914" spans="1:18">
      <c r="A914" s="1">
        <f t="shared" si="30"/>
        <v>0</v>
      </c>
      <c r="B914" s="2"/>
      <c r="C914" s="8"/>
      <c r="D914" s="109" t="str">
        <f>IFERROR(INDEX([239]MATERIALES!C:C,MATCH(B914,[239]MATERIALES!B:B,0)),"")</f>
        <v/>
      </c>
      <c r="E914" s="110"/>
      <c r="F914" s="110"/>
      <c r="G914" s="110"/>
      <c r="H914" s="110"/>
      <c r="I914" s="110"/>
      <c r="J914" s="110"/>
      <c r="K914" s="111"/>
      <c r="L914" s="137" t="str">
        <f>IFERROR(INDEX([239]MATERIALES!D:D,MATCH(B914,[239]MATERIALES!B:B,0)),"")</f>
        <v/>
      </c>
      <c r="M914" s="138"/>
      <c r="N914" s="139" t="str">
        <f>IFERROR(INDEX([239]MATERIALES!P:P,MATCH(B914,[239]MATERIALES!B:B,0)),"")</f>
        <v/>
      </c>
      <c r="O914" s="140"/>
      <c r="P914" s="118" t="str">
        <f t="shared" si="31"/>
        <v/>
      </c>
      <c r="Q914" s="119"/>
      <c r="R914" s="4"/>
    </row>
    <row r="915" spans="1:18" ht="15.75" thickBot="1">
      <c r="A915" s="1">
        <f t="shared" si="30"/>
        <v>0</v>
      </c>
      <c r="B915" s="2"/>
      <c r="C915" s="8"/>
      <c r="D915" s="109" t="s">
        <v>28</v>
      </c>
      <c r="E915" s="110"/>
      <c r="F915" s="110"/>
      <c r="G915" s="110"/>
      <c r="H915" s="110"/>
      <c r="I915" s="110"/>
      <c r="J915" s="110"/>
      <c r="K915" s="111"/>
      <c r="L915" s="137" t="s">
        <v>29</v>
      </c>
      <c r="M915" s="138">
        <v>0.05</v>
      </c>
      <c r="N915" s="139">
        <f>SUM(P901:P914)</f>
        <v>0</v>
      </c>
      <c r="O915" s="140"/>
      <c r="P915" s="118">
        <f>ROUND(N915*M915,2)</f>
        <v>0</v>
      </c>
      <c r="Q915" s="119"/>
      <c r="R915" s="4"/>
    </row>
    <row r="916" spans="1:18" ht="15.75" thickBot="1">
      <c r="A916" s="1">
        <f t="shared" si="30"/>
        <v>0</v>
      </c>
      <c r="B916" s="2"/>
      <c r="C916" s="8"/>
      <c r="D916" s="128" t="s">
        <v>24</v>
      </c>
      <c r="E916" s="129"/>
      <c r="F916" s="129"/>
      <c r="G916" s="129"/>
      <c r="H916" s="129"/>
      <c r="I916" s="129"/>
      <c r="J916" s="129"/>
      <c r="K916" s="129"/>
      <c r="L916" s="129"/>
      <c r="M916" s="129"/>
      <c r="N916" s="129"/>
      <c r="O916" s="130"/>
      <c r="P916" s="131">
        <f>SUM(P901:P915)</f>
        <v>0</v>
      </c>
      <c r="Q916" s="119"/>
      <c r="R916" s="4"/>
    </row>
    <row r="917" spans="1:18" ht="15.75" thickBot="1">
      <c r="A917" s="1">
        <f t="shared" si="30"/>
        <v>0</v>
      </c>
      <c r="B917" s="2"/>
      <c r="C917" s="8"/>
      <c r="D917" s="74" t="s">
        <v>30</v>
      </c>
      <c r="E917" s="37"/>
      <c r="F917" s="37"/>
      <c r="G917" s="37"/>
      <c r="H917" s="37"/>
      <c r="I917" s="37"/>
      <c r="J917" s="37"/>
      <c r="K917" s="37"/>
      <c r="L917" s="37"/>
      <c r="M917" s="37"/>
      <c r="N917" s="37"/>
      <c r="O917" s="37"/>
      <c r="P917" s="99"/>
      <c r="Q917" s="100"/>
      <c r="R917" s="4"/>
    </row>
    <row r="918" spans="1:18">
      <c r="A918" s="1">
        <f t="shared" si="30"/>
        <v>0</v>
      </c>
      <c r="B918" s="2"/>
      <c r="C918" s="8"/>
      <c r="D918" s="101" t="s">
        <v>31</v>
      </c>
      <c r="E918" s="133"/>
      <c r="F918" s="133"/>
      <c r="G918" s="133"/>
      <c r="H918" s="133"/>
      <c r="I918" s="133"/>
      <c r="J918" s="133"/>
      <c r="K918" s="106" t="s">
        <v>32</v>
      </c>
      <c r="L918" s="141" t="s">
        <v>33</v>
      </c>
      <c r="M918" s="106" t="s">
        <v>34</v>
      </c>
      <c r="N918" s="104" t="s">
        <v>20</v>
      </c>
      <c r="O918" s="105"/>
      <c r="P918" s="107" t="s">
        <v>22</v>
      </c>
      <c r="Q918" s="108"/>
      <c r="R918" s="4"/>
    </row>
    <row r="919" spans="1:18">
      <c r="A919" s="1">
        <f t="shared" si="30"/>
        <v>0</v>
      </c>
      <c r="B919" s="2" t="s">
        <v>259</v>
      </c>
      <c r="C919" s="8"/>
      <c r="D919" s="142" t="str">
        <f>IFERROR(INDEX([239]TRANSPORTES!B:B,MATCH(B919,[239]TRANSPORTES!A:A,0)),"")</f>
        <v>ESCOMBROS / SOBRANTES HASTA 5 KM</v>
      </c>
      <c r="E919" s="143"/>
      <c r="F919" s="143"/>
      <c r="G919" s="143"/>
      <c r="H919" s="143"/>
      <c r="I919" s="143"/>
      <c r="J919" s="143"/>
      <c r="K919" s="220">
        <v>0.26</v>
      </c>
      <c r="L919" s="145">
        <v>5</v>
      </c>
      <c r="M919" s="146" t="str">
        <f>IFERROR(INDEX([239]TRANSPORTES!C:C,MATCH(B919,[239]TRANSPORTES!A:A,0)),"")</f>
        <v>M3/KM</v>
      </c>
      <c r="N919" s="139">
        <f>IFERROR(INDEX([239]TRANSPORTES!D:D,MATCH(B919,[239]TRANSPORTES!A:A,0)),"")</f>
        <v>2300</v>
      </c>
      <c r="O919" s="147"/>
      <c r="P919" s="148">
        <f>IFERROR(ROUND(K919*N919*L919,2),"")</f>
        <v>2990</v>
      </c>
      <c r="Q919" s="119"/>
      <c r="R919" s="4"/>
    </row>
    <row r="920" spans="1:18">
      <c r="A920" s="1">
        <f t="shared" si="30"/>
        <v>0</v>
      </c>
      <c r="B920" s="2"/>
      <c r="C920" s="8"/>
      <c r="D920" s="142" t="str">
        <f>IFERROR(INDEX([239]TRANSPORTES!B:B,MATCH(B920,[239]TRANSPORTES!A:A,0)),"")</f>
        <v/>
      </c>
      <c r="E920" s="143"/>
      <c r="F920" s="143"/>
      <c r="G920" s="143"/>
      <c r="H920" s="143"/>
      <c r="I920" s="143"/>
      <c r="J920" s="143"/>
      <c r="K920" s="144"/>
      <c r="L920" s="145"/>
      <c r="M920" s="146" t="str">
        <f>IFERROR(INDEX([239]TRANSPORTES!C:C,MATCH(B920,[239]TRANSPORTES!A:A,0)),"")</f>
        <v/>
      </c>
      <c r="N920" s="139" t="str">
        <f>IFERROR(INDEX([239]TRANSPORTES!D:D,MATCH(B920,[239]TRANSPORTES!A:A,0)),"")</f>
        <v/>
      </c>
      <c r="O920" s="147"/>
      <c r="P920" s="148" t="str">
        <f>IFERROR(ROUND(K920*N920*L920,2),"")</f>
        <v/>
      </c>
      <c r="Q920" s="119"/>
      <c r="R920" s="4"/>
    </row>
    <row r="921" spans="1:18">
      <c r="A921" s="1">
        <f t="shared" si="30"/>
        <v>0</v>
      </c>
      <c r="B921" s="2"/>
      <c r="C921" s="8"/>
      <c r="D921" s="142" t="str">
        <f>IFERROR(INDEX([239]TRANSPORTES!B:B,MATCH(B921,[239]TRANSPORTES!A:A,0)),"")</f>
        <v/>
      </c>
      <c r="E921" s="143"/>
      <c r="F921" s="143"/>
      <c r="G921" s="143"/>
      <c r="H921" s="143"/>
      <c r="I921" s="143"/>
      <c r="J921" s="143"/>
      <c r="K921" s="144"/>
      <c r="L921" s="145"/>
      <c r="M921" s="146" t="str">
        <f>IFERROR(INDEX([239]TRANSPORTES!C:C,MATCH(B921,[239]TRANSPORTES!A:A,0)),"")</f>
        <v/>
      </c>
      <c r="N921" s="139" t="str">
        <f>IFERROR(INDEX([239]TRANSPORTES!D:D,MATCH(B921,[239]TRANSPORTES!A:A,0)),"")</f>
        <v/>
      </c>
      <c r="O921" s="147"/>
      <c r="P921" s="148" t="str">
        <f>IFERROR(ROUND(K921*N921*L921,2),"")</f>
        <v/>
      </c>
      <c r="Q921" s="119"/>
      <c r="R921" s="4"/>
    </row>
    <row r="922" spans="1:18" ht="15.75" thickBot="1">
      <c r="A922" s="1">
        <f t="shared" si="30"/>
        <v>0</v>
      </c>
      <c r="B922" s="2"/>
      <c r="C922" s="8"/>
      <c r="D922" s="142" t="str">
        <f>IFERROR(INDEX([239]TRANSPORTES!B:B,MATCH(B922,[239]TRANSPORTES!A:A,0)),"")</f>
        <v/>
      </c>
      <c r="E922" s="143"/>
      <c r="F922" s="143"/>
      <c r="G922" s="143"/>
      <c r="H922" s="143"/>
      <c r="I922" s="143"/>
      <c r="J922" s="143"/>
      <c r="K922" s="149"/>
      <c r="L922" s="150"/>
      <c r="M922" s="146" t="str">
        <f>IFERROR(INDEX([239]TRANSPORTES!C:C,MATCH(B922,[239]TRANSPORTES!A:A,0)),"")</f>
        <v/>
      </c>
      <c r="N922" s="139" t="str">
        <f>IFERROR(INDEX([239]TRANSPORTES!D:D,MATCH(B922,[239]TRANSPORTES!A:A,0)),"")</f>
        <v/>
      </c>
      <c r="O922" s="147"/>
      <c r="P922" s="148" t="str">
        <f>IFERROR(ROUND(K922*N922*L922,2),"")</f>
        <v/>
      </c>
      <c r="Q922" s="119"/>
      <c r="R922" s="4"/>
    </row>
    <row r="923" spans="1:18" ht="15.75" thickBot="1">
      <c r="A923" s="1">
        <f t="shared" si="30"/>
        <v>0</v>
      </c>
      <c r="B923" s="2"/>
      <c r="C923" s="8"/>
      <c r="D923" s="128" t="s">
        <v>24</v>
      </c>
      <c r="E923" s="129"/>
      <c r="F923" s="129"/>
      <c r="G923" s="129"/>
      <c r="H923" s="129"/>
      <c r="I923" s="129"/>
      <c r="J923" s="129"/>
      <c r="K923" s="129"/>
      <c r="L923" s="129"/>
      <c r="M923" s="129"/>
      <c r="N923" s="129"/>
      <c r="O923" s="130"/>
      <c r="P923" s="151">
        <f>SUM(P919:P922)</f>
        <v>2990</v>
      </c>
      <c r="Q923" s="132"/>
      <c r="R923" s="4"/>
    </row>
    <row r="924" spans="1:18" ht="15.75" thickBot="1">
      <c r="A924" s="1">
        <f t="shared" si="30"/>
        <v>0</v>
      </c>
      <c r="B924" s="2"/>
      <c r="C924" s="8"/>
      <c r="D924" s="74" t="s">
        <v>36</v>
      </c>
      <c r="E924" s="37"/>
      <c r="F924" s="37"/>
      <c r="G924" s="37"/>
      <c r="H924" s="37"/>
      <c r="I924" s="37"/>
      <c r="J924" s="37"/>
      <c r="K924" s="37"/>
      <c r="L924" s="37"/>
      <c r="M924" s="37"/>
      <c r="N924" s="37"/>
      <c r="O924" s="37"/>
      <c r="P924" s="99"/>
      <c r="Q924" s="100"/>
      <c r="R924" s="4"/>
    </row>
    <row r="925" spans="1:18" ht="30">
      <c r="A925" s="1">
        <f t="shared" si="30"/>
        <v>0</v>
      </c>
      <c r="B925" s="2"/>
      <c r="C925" s="8"/>
      <c r="D925" s="101" t="s">
        <v>37</v>
      </c>
      <c r="E925" s="133"/>
      <c r="F925" s="133"/>
      <c r="G925" s="133"/>
      <c r="H925" s="133"/>
      <c r="I925" s="133"/>
      <c r="J925" s="133"/>
      <c r="K925" s="106" t="s">
        <v>38</v>
      </c>
      <c r="L925" s="152" t="s">
        <v>39</v>
      </c>
      <c r="M925" s="153" t="s">
        <v>40</v>
      </c>
      <c r="N925" s="104" t="s">
        <v>21</v>
      </c>
      <c r="O925" s="105"/>
      <c r="P925" s="154" t="s">
        <v>22</v>
      </c>
      <c r="Q925" s="155"/>
      <c r="R925" s="4"/>
    </row>
    <row r="926" spans="1:18">
      <c r="A926" s="1">
        <f t="shared" si="30"/>
        <v>0</v>
      </c>
      <c r="B926" s="2" t="s">
        <v>41</v>
      </c>
      <c r="C926" s="8"/>
      <c r="D926" s="109" t="str">
        <f>IFERROR(INDEX('[239]MANO DE OBRA'!B:B,MATCH(B926,'[239]MANO DE OBRA'!A:A,0)),"")</f>
        <v>OFICIAL</v>
      </c>
      <c r="E926" s="110"/>
      <c r="F926" s="110"/>
      <c r="G926" s="110"/>
      <c r="H926" s="110"/>
      <c r="I926" s="110"/>
      <c r="J926" s="111"/>
      <c r="K926" s="156">
        <f>IFERROR(INDEX('[239]MANO DE OBRA'!D:D,MATCH(B926,'[239]MANO DE OBRA'!A:A,0)),"")</f>
        <v>95930</v>
      </c>
      <c r="L926" s="157">
        <f>+IF(D926&lt;&gt;"",'[239]FACTOR PRESTACIONAL'!$E$21," ")</f>
        <v>1.95</v>
      </c>
      <c r="M926" s="158">
        <f>IFERROR(K926*L926," ")</f>
        <v>187063.5</v>
      </c>
      <c r="N926" s="159">
        <v>32</v>
      </c>
      <c r="O926" s="160"/>
      <c r="P926" s="161">
        <f>IFERROR(ROUND(M926/N926,2)," ")</f>
        <v>5845.73</v>
      </c>
      <c r="Q926" s="162"/>
      <c r="R926" s="4"/>
    </row>
    <row r="927" spans="1:18">
      <c r="A927" s="1">
        <f t="shared" si="30"/>
        <v>0</v>
      </c>
      <c r="B927" s="2" t="s">
        <v>81</v>
      </c>
      <c r="C927" s="8"/>
      <c r="D927" s="109" t="str">
        <f>IFERROR(INDEX('[239]MANO DE OBRA'!B:B,MATCH(B927,'[239]MANO DE OBRA'!A:A,0)),"")</f>
        <v>AYUDANTE (1)</v>
      </c>
      <c r="E927" s="110"/>
      <c r="F927" s="110"/>
      <c r="G927" s="110"/>
      <c r="H927" s="110"/>
      <c r="I927" s="110"/>
      <c r="J927" s="111"/>
      <c r="K927" s="156">
        <f>IFERROR(INDEX('[239]MANO DE OBRA'!D:D,MATCH(B927,'[239]MANO DE OBRA'!A:A,0)),"")</f>
        <v>71433</v>
      </c>
      <c r="L927" s="157">
        <f>+IF(D927&lt;&gt;"",'[239]FACTOR PRESTACIONAL'!$E$21," ")</f>
        <v>1.95</v>
      </c>
      <c r="M927" s="158">
        <f>IFERROR(K927*L927," ")</f>
        <v>139294.35</v>
      </c>
      <c r="N927" s="159">
        <v>32</v>
      </c>
      <c r="O927" s="160"/>
      <c r="P927" s="161">
        <f>IFERROR(ROUND(M927/N927,2)," ")</f>
        <v>4352.95</v>
      </c>
      <c r="Q927" s="162"/>
      <c r="R927" s="4"/>
    </row>
    <row r="928" spans="1:18">
      <c r="A928" s="1">
        <f t="shared" si="30"/>
        <v>0</v>
      </c>
      <c r="B928" s="2"/>
      <c r="C928" s="8"/>
      <c r="D928" s="109" t="str">
        <f>IFERROR(INDEX('[239]MANO DE OBRA'!B:B,MATCH(B928,'[239]MANO DE OBRA'!A:A,0)),"")</f>
        <v/>
      </c>
      <c r="E928" s="110"/>
      <c r="F928" s="110"/>
      <c r="G928" s="110"/>
      <c r="H928" s="110"/>
      <c r="I928" s="110"/>
      <c r="J928" s="111"/>
      <c r="K928" s="156" t="str">
        <f>IFERROR(INDEX('[239]MANO DE OBRA'!D:D,MATCH(B928,'[239]MANO DE OBRA'!A:A,0)),"")</f>
        <v/>
      </c>
      <c r="L928" s="157" t="str">
        <f>+IF(D928&lt;&gt;"",'[239]FACTOR PRESTACIONAL'!$E$21," ")</f>
        <v xml:space="preserve"> </v>
      </c>
      <c r="M928" s="158" t="str">
        <f>IFERROR(K928*L928," ")</f>
        <v xml:space="preserve"> </v>
      </c>
      <c r="N928" s="159"/>
      <c r="O928" s="160"/>
      <c r="P928" s="161" t="str">
        <f>IFERROR(ROUND(M928/N928,2)," ")</f>
        <v xml:space="preserve"> </v>
      </c>
      <c r="Q928" s="162"/>
      <c r="R928" s="4"/>
    </row>
    <row r="929" spans="1:18">
      <c r="A929" s="1">
        <f t="shared" si="30"/>
        <v>0</v>
      </c>
      <c r="B929" s="2"/>
      <c r="C929" s="8"/>
      <c r="D929" s="109" t="str">
        <f>IFERROR(INDEX('[239]MANO DE OBRA'!B:B,MATCH(B929,'[239]MANO DE OBRA'!A:A,0)),"")</f>
        <v/>
      </c>
      <c r="E929" s="110"/>
      <c r="F929" s="110"/>
      <c r="G929" s="110"/>
      <c r="H929" s="110"/>
      <c r="I929" s="110"/>
      <c r="J929" s="111"/>
      <c r="K929" s="156" t="str">
        <f>IFERROR(INDEX('[239]MANO DE OBRA'!D:D,MATCH(B929,'[239]MANO DE OBRA'!A:A,0)),"")</f>
        <v/>
      </c>
      <c r="L929" s="157" t="str">
        <f>+IF(D929&lt;&gt;"",'[239]FACTOR PRESTACIONAL'!$E$21," ")</f>
        <v xml:space="preserve"> </v>
      </c>
      <c r="M929" s="158" t="str">
        <f>IFERROR(K929*L929," ")</f>
        <v xml:space="preserve"> </v>
      </c>
      <c r="N929" s="159"/>
      <c r="O929" s="160"/>
      <c r="P929" s="161" t="str">
        <f>IFERROR(ROUND(M929/N929,2)," ")</f>
        <v xml:space="preserve"> </v>
      </c>
      <c r="Q929" s="162"/>
      <c r="R929" s="4"/>
    </row>
    <row r="930" spans="1:18" ht="15.75" thickBot="1">
      <c r="A930" s="1">
        <f t="shared" si="30"/>
        <v>0</v>
      </c>
      <c r="B930" s="2"/>
      <c r="C930" s="8"/>
      <c r="D930" s="109" t="str">
        <f>IFERROR(INDEX('[239]MANO DE OBRA'!B:B,MATCH(B930,'[239]MANO DE OBRA'!A:A,0)),"")</f>
        <v/>
      </c>
      <c r="E930" s="110"/>
      <c r="F930" s="110"/>
      <c r="G930" s="110"/>
      <c r="H930" s="110"/>
      <c r="I930" s="110"/>
      <c r="J930" s="111"/>
      <c r="K930" s="156" t="str">
        <f>IFERROR(INDEX('[239]MANO DE OBRA'!D:D,MATCH(B930,'[239]MANO DE OBRA'!A:A,0)),"")</f>
        <v/>
      </c>
      <c r="L930" s="157" t="str">
        <f>+IF(D930&lt;&gt;"",'[239]FACTOR PRESTACIONAL'!$E$21," ")</f>
        <v xml:space="preserve"> </v>
      </c>
      <c r="M930" s="158" t="str">
        <f>IFERROR(K930*L930," ")</f>
        <v xml:space="preserve"> </v>
      </c>
      <c r="N930" s="159"/>
      <c r="O930" s="160"/>
      <c r="P930" s="161" t="str">
        <f>IFERROR(ROUND(M930/N930,2)," ")</f>
        <v xml:space="preserve"> </v>
      </c>
      <c r="Q930" s="119"/>
      <c r="R930" s="4"/>
    </row>
    <row r="931" spans="1:18" ht="15.75" thickBot="1">
      <c r="A931" s="1">
        <f t="shared" si="30"/>
        <v>0</v>
      </c>
      <c r="B931" s="2"/>
      <c r="C931" s="8"/>
      <c r="D931" s="128" t="s">
        <v>24</v>
      </c>
      <c r="E931" s="129"/>
      <c r="F931" s="129"/>
      <c r="G931" s="129"/>
      <c r="H931" s="129"/>
      <c r="I931" s="129"/>
      <c r="J931" s="129"/>
      <c r="K931" s="129"/>
      <c r="L931" s="129"/>
      <c r="M931" s="129"/>
      <c r="N931" s="129"/>
      <c r="O931" s="130"/>
      <c r="P931" s="131">
        <f>SUM(P926:P930)</f>
        <v>10198.68</v>
      </c>
      <c r="Q931" s="119"/>
      <c r="R931" s="4"/>
    </row>
    <row r="932" spans="1:18" ht="15.75" thickBot="1">
      <c r="A932" s="1">
        <f t="shared" si="30"/>
        <v>0</v>
      </c>
      <c r="B932" s="2"/>
      <c r="C932" s="8"/>
      <c r="D932" s="87"/>
      <c r="E932" s="20"/>
      <c r="F932" s="20"/>
      <c r="G932" s="20"/>
      <c r="H932" s="20"/>
      <c r="I932" s="20"/>
      <c r="J932" s="20"/>
      <c r="K932" s="20"/>
      <c r="L932" s="20"/>
      <c r="M932" s="20"/>
      <c r="N932" s="20"/>
      <c r="O932" s="20"/>
      <c r="P932" s="88"/>
      <c r="Q932" s="13"/>
      <c r="R932" s="4"/>
    </row>
    <row r="933" spans="1:18" ht="15.75" thickBot="1">
      <c r="A933" s="1"/>
      <c r="B933" s="2"/>
      <c r="C933" s="8"/>
      <c r="D933" s="163" t="s">
        <v>43</v>
      </c>
      <c r="E933" s="164"/>
      <c r="F933" s="164"/>
      <c r="G933" s="164"/>
      <c r="H933" s="164"/>
      <c r="I933" s="164"/>
      <c r="J933" s="164"/>
      <c r="K933" s="164"/>
      <c r="L933" s="164"/>
      <c r="M933" s="164"/>
      <c r="N933" s="164"/>
      <c r="O933" s="165"/>
      <c r="P933" s="166">
        <f>+P931+P923+P916+P898</f>
        <v>14208.550000000001</v>
      </c>
      <c r="Q933" s="167"/>
      <c r="R933" s="168"/>
    </row>
    <row r="934" spans="1:18" ht="15.75" thickBot="1">
      <c r="A934" s="1"/>
      <c r="B934" s="2"/>
      <c r="C934" s="8"/>
      <c r="D934" s="169"/>
      <c r="E934" s="170"/>
      <c r="F934" s="170"/>
      <c r="G934" s="170"/>
      <c r="H934" s="170"/>
      <c r="I934" s="170"/>
      <c r="J934" s="170"/>
      <c r="K934" s="170"/>
      <c r="L934" s="170"/>
      <c r="M934" s="170"/>
      <c r="N934" s="170"/>
      <c r="O934" s="170"/>
      <c r="P934" s="171"/>
      <c r="Q934" s="100"/>
      <c r="R934" s="4"/>
    </row>
    <row r="935" spans="1:18">
      <c r="A935" s="1"/>
      <c r="B935" s="2"/>
      <c r="C935" s="8"/>
      <c r="D935" s="172" t="s">
        <v>73</v>
      </c>
      <c r="E935" s="173"/>
      <c r="F935" s="173"/>
      <c r="G935" s="173"/>
      <c r="H935" s="173"/>
      <c r="I935" s="173"/>
      <c r="J935" s="173"/>
      <c r="K935" s="141"/>
      <c r="L935" s="174"/>
      <c r="M935" s="153" t="s">
        <v>44</v>
      </c>
      <c r="N935" s="175" t="s">
        <v>45</v>
      </c>
      <c r="O935" s="176"/>
      <c r="P935" s="154"/>
      <c r="Q935" s="155"/>
      <c r="R935" s="4"/>
    </row>
    <row r="936" spans="1:18">
      <c r="A936" s="1"/>
      <c r="B936" s="2"/>
      <c r="C936" s="8"/>
      <c r="D936" s="109" t="s">
        <v>65</v>
      </c>
      <c r="E936" s="110"/>
      <c r="F936" s="110"/>
      <c r="G936" s="110"/>
      <c r="H936" s="110"/>
      <c r="I936" s="110"/>
      <c r="J936" s="110"/>
      <c r="K936" s="177"/>
      <c r="L936" s="178"/>
      <c r="M936" s="179">
        <f>+[239]INICIO!$F$10</f>
        <v>0.24</v>
      </c>
      <c r="N936" s="180">
        <f>ROUND(M936*P933,2)</f>
        <v>3410.05</v>
      </c>
      <c r="O936" s="181"/>
      <c r="P936" s="182"/>
      <c r="Q936" s="119"/>
      <c r="R936" s="4"/>
    </row>
    <row r="937" spans="1:18">
      <c r="A937" s="1"/>
      <c r="B937" s="2"/>
      <c r="C937" s="8"/>
      <c r="D937" s="183" t="s">
        <v>67</v>
      </c>
      <c r="E937" s="61"/>
      <c r="F937" s="61"/>
      <c r="G937" s="61"/>
      <c r="H937" s="61"/>
      <c r="I937" s="61"/>
      <c r="J937" s="61"/>
      <c r="K937" s="177"/>
      <c r="L937" s="178"/>
      <c r="M937" s="179">
        <f>+[239]INICIO!$F$11</f>
        <v>0.02</v>
      </c>
      <c r="N937" s="180">
        <f>ROUND(M937*P933,2)</f>
        <v>284.17</v>
      </c>
      <c r="O937" s="181"/>
      <c r="P937" s="182"/>
      <c r="Q937" s="119"/>
      <c r="R937" s="4"/>
    </row>
    <row r="938" spans="1:18" ht="15.75" thickBot="1">
      <c r="A938" s="1"/>
      <c r="B938" s="2"/>
      <c r="C938" s="8"/>
      <c r="D938" s="77" t="s">
        <v>69</v>
      </c>
      <c r="E938" s="78"/>
      <c r="F938" s="78"/>
      <c r="G938" s="78"/>
      <c r="H938" s="78"/>
      <c r="I938" s="78"/>
      <c r="J938" s="78"/>
      <c r="K938" s="184"/>
      <c r="L938" s="185"/>
      <c r="M938" s="179">
        <f>+[239]INICIO!$F$12</f>
        <v>7.0000000000000007E-2</v>
      </c>
      <c r="N938" s="180">
        <f>ROUND(M938*P933,2)</f>
        <v>994.6</v>
      </c>
      <c r="O938" s="181"/>
      <c r="P938" s="182"/>
      <c r="Q938" s="119"/>
      <c r="R938" s="4"/>
    </row>
    <row r="939" spans="1:18" ht="15.75" thickBot="1">
      <c r="A939" s="1"/>
      <c r="B939" s="2"/>
      <c r="C939" s="8"/>
      <c r="D939" s="128"/>
      <c r="E939" s="129"/>
      <c r="F939" s="129"/>
      <c r="G939" s="129"/>
      <c r="H939" s="129"/>
      <c r="I939" s="129"/>
      <c r="J939" s="129"/>
      <c r="K939" s="129"/>
      <c r="L939" s="129"/>
      <c r="M939" s="129"/>
      <c r="N939" s="129"/>
      <c r="O939" s="130"/>
      <c r="P939" s="131">
        <f>SUM(N936:N938)</f>
        <v>4688.8200000000006</v>
      </c>
      <c r="Q939" s="186"/>
      <c r="R939" s="4"/>
    </row>
    <row r="940" spans="1:18" ht="15.75" thickBot="1">
      <c r="A940" s="1"/>
      <c r="B940" s="2"/>
      <c r="C940" s="8"/>
      <c r="D940" s="87"/>
      <c r="E940" s="20"/>
      <c r="F940" s="20"/>
      <c r="G940" s="20"/>
      <c r="H940" s="20"/>
      <c r="I940" s="20"/>
      <c r="J940" s="20"/>
      <c r="K940" s="20"/>
      <c r="L940" s="20"/>
      <c r="M940" s="20"/>
      <c r="N940" s="20"/>
      <c r="O940" s="20"/>
      <c r="P940" s="88"/>
      <c r="Q940" s="13"/>
      <c r="R940" s="4"/>
    </row>
    <row r="941" spans="1:18" ht="15.75" thickBot="1">
      <c r="A941" s="1"/>
      <c r="B941" s="2"/>
      <c r="C941" s="8"/>
      <c r="D941" s="187" t="s">
        <v>46</v>
      </c>
      <c r="E941" s="188"/>
      <c r="F941" s="188"/>
      <c r="G941" s="188"/>
      <c r="H941" s="188"/>
      <c r="I941" s="188"/>
      <c r="J941" s="188"/>
      <c r="K941" s="188"/>
      <c r="L941" s="188"/>
      <c r="M941" s="188"/>
      <c r="N941" s="188"/>
      <c r="O941" s="189"/>
      <c r="P941" s="166">
        <f>ROUND(P939+P933,0)</f>
        <v>18897</v>
      </c>
      <c r="Q941" s="186"/>
      <c r="R941" s="4"/>
    </row>
    <row r="942" spans="1:18">
      <c r="A942" s="1"/>
      <c r="B942" s="2"/>
      <c r="C942" s="8"/>
      <c r="D942" s="80"/>
      <c r="E942" s="81"/>
      <c r="F942" s="81"/>
      <c r="G942" s="81"/>
      <c r="H942" s="81"/>
      <c r="I942" s="81"/>
      <c r="J942" s="81"/>
      <c r="K942" s="81"/>
      <c r="L942" s="81"/>
      <c r="M942" s="81"/>
      <c r="N942" s="81"/>
      <c r="O942" s="81"/>
      <c r="P942" s="82"/>
      <c r="Q942" s="13"/>
      <c r="R942" s="4"/>
    </row>
    <row r="943" spans="1:18">
      <c r="A943" s="1"/>
      <c r="B943" s="2"/>
      <c r="C943" s="8"/>
      <c r="D943" s="87"/>
      <c r="E943" s="20"/>
      <c r="F943" s="20"/>
      <c r="G943" s="20"/>
      <c r="H943" s="20"/>
      <c r="I943" s="20"/>
      <c r="J943" s="20"/>
      <c r="K943" s="20"/>
      <c r="L943" s="20"/>
      <c r="M943" s="20"/>
      <c r="N943" s="20"/>
      <c r="O943" s="20"/>
      <c r="P943" s="88"/>
      <c r="Q943" s="13"/>
      <c r="R943" s="4"/>
    </row>
    <row r="944" spans="1:18">
      <c r="A944" s="1"/>
      <c r="B944" s="2"/>
      <c r="C944" s="8"/>
      <c r="D944" s="87"/>
      <c r="E944" s="20"/>
      <c r="F944" s="20"/>
      <c r="G944" s="20"/>
      <c r="H944" s="20"/>
      <c r="I944" s="20"/>
      <c r="J944" s="20"/>
      <c r="K944" s="20"/>
      <c r="L944" s="20"/>
      <c r="M944" s="20"/>
      <c r="N944" s="20"/>
      <c r="O944" s="20"/>
      <c r="P944" s="88"/>
      <c r="Q944" s="13"/>
      <c r="R944" s="4"/>
    </row>
    <row r="945" spans="1:18">
      <c r="A945" s="1"/>
      <c r="B945" s="2"/>
      <c r="C945" s="8"/>
      <c r="D945" s="87"/>
      <c r="E945" s="20"/>
      <c r="F945" s="20"/>
      <c r="G945" s="20"/>
      <c r="H945" s="20"/>
      <c r="I945" s="20"/>
      <c r="J945" s="20"/>
      <c r="K945" s="20"/>
      <c r="L945" s="20"/>
      <c r="M945" s="20"/>
      <c r="N945" s="20"/>
      <c r="O945" s="20"/>
      <c r="P945" s="88"/>
      <c r="Q945" s="13"/>
      <c r="R945" s="4"/>
    </row>
    <row r="946" spans="1:18">
      <c r="A946" s="1"/>
      <c r="B946" s="2"/>
      <c r="C946" s="8"/>
      <c r="D946" s="219" t="str">
        <f>+[239]INICIO!$B$13</f>
        <v>Proyectó:</v>
      </c>
      <c r="E946" s="49"/>
      <c r="F946" s="49"/>
      <c r="G946" s="49"/>
      <c r="H946" s="49"/>
      <c r="I946" s="49"/>
      <c r="J946" s="49"/>
      <c r="K946" s="20"/>
      <c r="L946" s="69" t="str">
        <f>+[239]INICIO!$B$16</f>
        <v>Aprobó:</v>
      </c>
      <c r="M946" s="49"/>
      <c r="N946" s="49"/>
      <c r="O946" s="49"/>
      <c r="P946" s="88"/>
      <c r="Q946" s="13"/>
      <c r="R946" s="4"/>
    </row>
    <row r="947" spans="1:18">
      <c r="A947" s="1"/>
      <c r="B947" s="2"/>
      <c r="C947" s="8"/>
      <c r="D947" s="87"/>
      <c r="E947" s="20" t="str">
        <f>+Hoja2!C$13</f>
        <v>HELMER EDUARDO BECERRA SANTANDER</v>
      </c>
      <c r="F947" s="20"/>
      <c r="G947" s="20"/>
      <c r="H947" s="20"/>
      <c r="I947" s="20"/>
      <c r="J947" s="20"/>
      <c r="K947" s="20"/>
      <c r="L947" s="20"/>
      <c r="M947" s="20" t="str">
        <f>+Hoja2!$C$16</f>
        <v>JESÚS IVÁN QUIÑONES RUEDA</v>
      </c>
      <c r="N947" s="20"/>
      <c r="O947" s="20"/>
      <c r="P947" s="88"/>
      <c r="Q947" s="190"/>
      <c r="R947" s="4"/>
    </row>
    <row r="948" spans="1:18">
      <c r="A948" s="1"/>
      <c r="B948" s="2"/>
      <c r="C948" s="8"/>
      <c r="D948" s="87"/>
      <c r="E948" s="20" t="str">
        <f>+Hoja2!C$14</f>
        <v>APOYO SEC. DE PLANEACIÓN Y OBRAS PÚBLICAS</v>
      </c>
      <c r="F948" s="20"/>
      <c r="G948" s="20"/>
      <c r="H948" s="20"/>
      <c r="I948" s="20"/>
      <c r="J948" s="20"/>
      <c r="K948" s="20"/>
      <c r="L948" s="20"/>
      <c r="M948" s="20" t="str">
        <f>+Hoja2!$C$17</f>
        <v>SECRETARIO DE PLANEACIÓN Y OBRAS PUBLICAS</v>
      </c>
      <c r="N948" s="20"/>
      <c r="O948" s="20"/>
      <c r="P948" s="88"/>
      <c r="Q948" s="190"/>
      <c r="R948" s="4"/>
    </row>
    <row r="949" spans="1:18">
      <c r="A949" s="1"/>
      <c r="B949" s="2"/>
      <c r="C949" s="8"/>
      <c r="D949" s="68"/>
      <c r="E949" s="20" t="str">
        <f>+Hoja2!C$15</f>
        <v>123769-0701671 NTS</v>
      </c>
      <c r="F949" s="191"/>
      <c r="G949" s="191"/>
      <c r="H949" s="191"/>
      <c r="I949" s="20"/>
      <c r="J949" s="191"/>
      <c r="K949" s="191"/>
      <c r="L949" s="191"/>
      <c r="M949" s="192" t="str">
        <f>+Hoja2!C$18</f>
        <v>A21382020-1090480860</v>
      </c>
      <c r="N949" s="191"/>
      <c r="O949" s="191"/>
      <c r="P949" s="193"/>
      <c r="Q949" s="194"/>
      <c r="R949" s="4"/>
    </row>
    <row r="950" spans="1:18" ht="16.5" thickBot="1">
      <c r="A950" s="1"/>
      <c r="B950" s="2"/>
      <c r="C950" s="8"/>
      <c r="D950" s="195"/>
      <c r="E950" s="150"/>
      <c r="F950" s="150"/>
      <c r="G950" s="150"/>
      <c r="H950" s="150"/>
      <c r="I950" s="150"/>
      <c r="J950" s="150"/>
      <c r="K950" s="150"/>
      <c r="L950" s="150"/>
      <c r="M950" s="150"/>
      <c r="N950" s="150"/>
      <c r="O950" s="150"/>
      <c r="P950" s="196"/>
      <c r="Q950" s="197"/>
      <c r="R950" s="4"/>
    </row>
    <row r="951" spans="1:18" ht="15.75" thickBot="1">
      <c r="A951" s="1"/>
      <c r="B951" s="2"/>
      <c r="C951" s="198"/>
      <c r="D951" s="199"/>
      <c r="E951" s="199"/>
      <c r="F951" s="199"/>
      <c r="G951" s="199"/>
      <c r="H951" s="199"/>
      <c r="I951" s="199"/>
      <c r="J951" s="199"/>
      <c r="K951" s="199"/>
      <c r="L951" s="199"/>
      <c r="M951" s="199"/>
      <c r="N951" s="199"/>
      <c r="O951" s="199"/>
      <c r="P951" s="199"/>
      <c r="Q951" s="200"/>
      <c r="R951" s="4"/>
    </row>
    <row r="952" spans="1:18" ht="15.75" thickTop="1">
      <c r="A952" s="1"/>
      <c r="B952" s="2"/>
      <c r="C952" s="5"/>
      <c r="D952" s="6"/>
      <c r="E952" s="6"/>
      <c r="F952" s="6"/>
      <c r="G952" s="6"/>
      <c r="H952" s="6"/>
      <c r="I952" s="6"/>
      <c r="J952" s="6"/>
      <c r="K952" s="6"/>
      <c r="L952" s="6"/>
      <c r="M952" s="6"/>
      <c r="N952" s="6"/>
      <c r="O952" s="6"/>
      <c r="P952" s="6"/>
      <c r="Q952" s="7"/>
      <c r="R952" s="4"/>
    </row>
    <row r="953" spans="1:18" ht="24">
      <c r="A953" s="1"/>
      <c r="B953" s="2"/>
      <c r="C953" s="8"/>
      <c r="D953" s="9" t="str">
        <f>+[239]INICIO!$C$8</f>
        <v>Análisis de Precios Unitarios- Secretaria de Planeación y Obras Publicas de Cubará, Boyacá.</v>
      </c>
      <c r="E953" s="10"/>
      <c r="F953" s="10"/>
      <c r="G953" s="10"/>
      <c r="H953" s="11"/>
      <c r="I953" s="12"/>
      <c r="J953" s="12"/>
      <c r="K953" s="12"/>
      <c r="L953" s="12"/>
      <c r="M953" s="12"/>
      <c r="N953" s="12"/>
      <c r="O953" s="12"/>
      <c r="P953" s="12"/>
      <c r="Q953" s="13"/>
      <c r="R953" s="4"/>
    </row>
    <row r="954" spans="1:18">
      <c r="A954" s="1"/>
      <c r="B954" s="2"/>
      <c r="C954" s="8"/>
      <c r="D954" s="14" t="s">
        <v>0</v>
      </c>
      <c r="E954" s="15" t="str">
        <f>+[239]INICIO!$C$7</f>
        <v>CCE-EICP-FM-14</v>
      </c>
      <c r="F954" s="16"/>
      <c r="G954" s="17" t="str">
        <f>+[239]INICIO!$B$6</f>
        <v>VERSIÓN</v>
      </c>
      <c r="H954" s="14">
        <f>+[239]INICIO!$C$6</f>
        <v>1</v>
      </c>
      <c r="I954" s="12"/>
      <c r="J954" s="12"/>
      <c r="K954" s="12"/>
      <c r="L954" s="12"/>
      <c r="M954" s="12"/>
      <c r="N954" s="12"/>
      <c r="O954" s="12"/>
      <c r="P954" s="12"/>
      <c r="Q954" s="13"/>
      <c r="R954" s="4"/>
    </row>
    <row r="955" spans="1:18">
      <c r="A955" s="1"/>
      <c r="B955" s="2"/>
      <c r="C955" s="8"/>
      <c r="D955" s="18"/>
      <c r="E955" s="19"/>
      <c r="F955" s="18"/>
      <c r="G955" s="19"/>
      <c r="H955" s="12"/>
      <c r="I955" s="12"/>
      <c r="J955" s="12"/>
      <c r="K955" s="12"/>
      <c r="L955" s="12"/>
      <c r="M955" s="12"/>
      <c r="N955" s="12"/>
      <c r="O955" s="12"/>
      <c r="P955" s="12"/>
      <c r="Q955" s="13"/>
      <c r="R955" s="4"/>
    </row>
    <row r="956" spans="1:18" ht="15.75" thickBot="1">
      <c r="A956" s="1"/>
      <c r="B956" s="2"/>
      <c r="C956" s="8"/>
      <c r="D956" s="20"/>
      <c r="E956" s="20"/>
      <c r="F956" s="20"/>
      <c r="G956" s="20"/>
      <c r="H956" s="20"/>
      <c r="I956" s="20"/>
      <c r="J956" s="20"/>
      <c r="K956" s="20"/>
      <c r="L956" s="20"/>
      <c r="M956" s="20"/>
      <c r="N956" s="20"/>
      <c r="O956" s="20"/>
      <c r="P956" s="20"/>
      <c r="Q956" s="13"/>
      <c r="R956" s="4"/>
    </row>
    <row r="957" spans="1:18">
      <c r="A957" s="1"/>
      <c r="B957" s="2"/>
      <c r="C957" s="8"/>
      <c r="D957" s="21"/>
      <c r="E957" s="22"/>
      <c r="F957" s="23"/>
      <c r="G957" s="23"/>
      <c r="H957" s="23"/>
      <c r="I957" s="23"/>
      <c r="J957" s="23"/>
      <c r="K957" s="23"/>
      <c r="L957" s="24"/>
      <c r="M957" s="25"/>
      <c r="N957" s="26"/>
      <c r="O957" s="26"/>
      <c r="P957" s="27"/>
      <c r="Q957" s="28"/>
      <c r="R957" s="4"/>
    </row>
    <row r="958" spans="1:18">
      <c r="A958" s="1"/>
      <c r="B958" s="2"/>
      <c r="C958" s="8"/>
      <c r="D958" s="29"/>
      <c r="E958" s="30" t="s">
        <v>1</v>
      </c>
      <c r="F958" s="31"/>
      <c r="G958" s="31"/>
      <c r="H958" s="31"/>
      <c r="I958" s="31"/>
      <c r="J958" s="31"/>
      <c r="K958" s="31"/>
      <c r="L958" s="32"/>
      <c r="M958" s="33"/>
      <c r="N958" s="34"/>
      <c r="O958" s="34"/>
      <c r="P958" s="35"/>
      <c r="Q958" s="28"/>
      <c r="R958" s="4"/>
    </row>
    <row r="959" spans="1:18">
      <c r="A959" s="1"/>
      <c r="B959" s="2"/>
      <c r="C959" s="8"/>
      <c r="D959" s="29"/>
      <c r="E959" s="36"/>
      <c r="F959" s="37"/>
      <c r="G959" s="37"/>
      <c r="H959" s="37"/>
      <c r="I959" s="37"/>
      <c r="J959" s="37"/>
      <c r="K959" s="37"/>
      <c r="L959" s="38"/>
      <c r="M959" s="39"/>
      <c r="N959" s="40"/>
      <c r="O959" s="41"/>
      <c r="P959" s="42"/>
      <c r="Q959" s="28"/>
      <c r="R959" s="4"/>
    </row>
    <row r="960" spans="1:18">
      <c r="A960" s="1"/>
      <c r="B960" s="2"/>
      <c r="C960" s="8"/>
      <c r="D960" s="29"/>
      <c r="E960" s="36"/>
      <c r="F960" s="37"/>
      <c r="G960" s="37"/>
      <c r="H960" s="37"/>
      <c r="I960" s="37"/>
      <c r="J960" s="37"/>
      <c r="K960" s="37"/>
      <c r="L960" s="38"/>
      <c r="M960" s="43" t="s">
        <v>2</v>
      </c>
      <c r="N960" s="44"/>
      <c r="O960" s="45">
        <f>+[239]INICIO!$C$6</f>
        <v>1</v>
      </c>
      <c r="P960" s="46"/>
      <c r="Q960" s="28"/>
      <c r="R960" s="4"/>
    </row>
    <row r="961" spans="1:18">
      <c r="A961" s="1"/>
      <c r="B961" s="2"/>
      <c r="C961" s="8"/>
      <c r="D961" s="29"/>
      <c r="E961" s="36"/>
      <c r="F961" s="37"/>
      <c r="G961" s="37"/>
      <c r="H961" s="37"/>
      <c r="I961" s="37"/>
      <c r="J961" s="37"/>
      <c r="K961" s="37"/>
      <c r="L961" s="38"/>
      <c r="M961" s="47"/>
      <c r="N961" s="48"/>
      <c r="O961" s="49"/>
      <c r="P961" s="50"/>
      <c r="Q961" s="51"/>
      <c r="R961" s="4"/>
    </row>
    <row r="962" spans="1:18">
      <c r="A962" s="1"/>
      <c r="B962" s="2"/>
      <c r="C962" s="8"/>
      <c r="D962" s="29"/>
      <c r="E962" s="52"/>
      <c r="F962" s="53"/>
      <c r="G962" s="53"/>
      <c r="H962" s="53"/>
      <c r="I962" s="53"/>
      <c r="J962" s="53"/>
      <c r="K962" s="53"/>
      <c r="L962" s="54"/>
      <c r="M962" s="39"/>
      <c r="N962" s="55"/>
      <c r="O962" s="55"/>
      <c r="P962" s="56"/>
      <c r="Q962" s="28"/>
      <c r="R962" s="4"/>
    </row>
    <row r="963" spans="1:18">
      <c r="A963" s="1"/>
      <c r="B963" s="2"/>
      <c r="C963" s="8"/>
      <c r="D963" s="29"/>
      <c r="E963" s="52"/>
      <c r="F963" s="53"/>
      <c r="G963" s="53"/>
      <c r="H963" s="53"/>
      <c r="I963" s="53"/>
      <c r="J963" s="53"/>
      <c r="K963" s="53"/>
      <c r="L963" s="54"/>
      <c r="M963" s="43" t="s">
        <v>3</v>
      </c>
      <c r="N963" s="43" t="str">
        <f>+VLOOKUP(D974,'PRESUPUESTO OFICIAL '!C:Q,9,FALSE)</f>
        <v>12</v>
      </c>
      <c r="O963" s="43" t="s">
        <v>4</v>
      </c>
      <c r="P963" s="508" t="str">
        <f>+'PRESUPUESTO OFICIAL '!$M$122</f>
        <v>62</v>
      </c>
      <c r="Q963" s="28"/>
      <c r="R963" s="4"/>
    </row>
    <row r="964" spans="1:18">
      <c r="A964" s="1"/>
      <c r="B964" s="2"/>
      <c r="C964" s="8"/>
      <c r="D964" s="29"/>
      <c r="E964" s="30" t="s">
        <v>5</v>
      </c>
      <c r="F964" s="31"/>
      <c r="G964" s="31"/>
      <c r="H964" s="31"/>
      <c r="I964" s="31"/>
      <c r="J964" s="31"/>
      <c r="K964" s="31"/>
      <c r="L964" s="32"/>
      <c r="M964" s="43"/>
      <c r="N964" s="57"/>
      <c r="O964" s="57"/>
      <c r="P964" s="58"/>
      <c r="Q964" s="28"/>
      <c r="R964" s="4"/>
    </row>
    <row r="965" spans="1:18" ht="15.75" thickBot="1">
      <c r="A965" s="1"/>
      <c r="B965" s="2"/>
      <c r="C965" s="8"/>
      <c r="D965" s="59"/>
      <c r="E965" s="60"/>
      <c r="F965" s="60"/>
      <c r="G965" s="60"/>
      <c r="H965" s="60"/>
      <c r="I965" s="60"/>
      <c r="J965" s="60"/>
      <c r="K965" s="60"/>
      <c r="L965" s="60"/>
      <c r="M965" s="60"/>
      <c r="N965" s="61"/>
      <c r="O965" s="61"/>
      <c r="P965" s="62"/>
      <c r="Q965" s="63"/>
      <c r="R965" s="4"/>
    </row>
    <row r="966" spans="1:18">
      <c r="A966" s="1"/>
      <c r="B966" s="2"/>
      <c r="C966" s="8"/>
      <c r="D966" s="64"/>
      <c r="E966" s="65"/>
      <c r="F966" s="65"/>
      <c r="G966" s="65"/>
      <c r="H966" s="65"/>
      <c r="I966" s="65"/>
      <c r="J966" s="65"/>
      <c r="K966" s="65"/>
      <c r="L966" s="65"/>
      <c r="M966" s="66" t="s">
        <v>6</v>
      </c>
      <c r="N966" s="66" t="s">
        <v>7</v>
      </c>
      <c r="O966" s="66" t="s">
        <v>8</v>
      </c>
      <c r="P966" s="67" t="s">
        <v>9</v>
      </c>
      <c r="Q966" s="51"/>
      <c r="R966" s="4"/>
    </row>
    <row r="967" spans="1:18">
      <c r="A967" s="1"/>
      <c r="B967" s="2"/>
      <c r="C967" s="8"/>
      <c r="D967" s="68"/>
      <c r="E967" s="69"/>
      <c r="F967" s="69"/>
      <c r="G967" s="69"/>
      <c r="H967" s="69"/>
      <c r="I967" s="69"/>
      <c r="J967" s="69"/>
      <c r="K967" s="69"/>
      <c r="L967" s="69"/>
      <c r="M967" s="70"/>
      <c r="N967" s="71">
        <f>+Hoja2!B$5</f>
        <v>5</v>
      </c>
      <c r="O967" s="71">
        <f>+Hoja2!C$5</f>
        <v>8</v>
      </c>
      <c r="P967" s="72">
        <f>+Hoja2!D$5</f>
        <v>2026</v>
      </c>
      <c r="Q967" s="73"/>
      <c r="R967" s="4"/>
    </row>
    <row r="968" spans="1:18">
      <c r="A968" s="1"/>
      <c r="B968" s="2"/>
      <c r="C968" s="8"/>
      <c r="D968" s="74"/>
      <c r="E968" s="37"/>
      <c r="F968" s="37"/>
      <c r="G968" s="37"/>
      <c r="H968" s="69"/>
      <c r="I968" s="69"/>
      <c r="J968" s="69"/>
      <c r="K968" s="20"/>
      <c r="L968" s="69"/>
      <c r="M968" s="75"/>
      <c r="N968" s="20"/>
      <c r="O968" s="20"/>
      <c r="P968" s="76"/>
      <c r="Q968" s="73"/>
      <c r="R968" s="4"/>
    </row>
    <row r="969" spans="1:18" ht="15.75" thickBot="1">
      <c r="A969" s="1"/>
      <c r="B969" s="2"/>
      <c r="C969" s="8"/>
      <c r="D969" s="77"/>
      <c r="E969" s="78"/>
      <c r="F969" s="78"/>
      <c r="G969" s="78"/>
      <c r="H969" s="78"/>
      <c r="I969" s="78"/>
      <c r="J969" s="78"/>
      <c r="K969" s="78"/>
      <c r="L969" s="78"/>
      <c r="M969" s="78"/>
      <c r="N969" s="78"/>
      <c r="O969" s="78"/>
      <c r="P969" s="79"/>
      <c r="Q969" s="13"/>
      <c r="R969" s="4"/>
    </row>
    <row r="970" spans="1:18" ht="15.75" thickBot="1">
      <c r="A970" s="1"/>
      <c r="B970" s="2"/>
      <c r="C970" s="8"/>
      <c r="D970" s="80"/>
      <c r="E970" s="81"/>
      <c r="F970" s="81"/>
      <c r="G970" s="81"/>
      <c r="H970" s="81"/>
      <c r="I970" s="81"/>
      <c r="J970" s="20"/>
      <c r="K970" s="20"/>
      <c r="L970" s="81"/>
      <c r="M970" s="81"/>
      <c r="N970" s="81"/>
      <c r="O970" s="81"/>
      <c r="P970" s="82"/>
      <c r="Q970" s="13"/>
      <c r="R970" s="4"/>
    </row>
    <row r="971" spans="1:18">
      <c r="A971" s="1"/>
      <c r="B971" s="2"/>
      <c r="C971" s="8"/>
      <c r="D971" s="83" t="s">
        <v>10</v>
      </c>
      <c r="E971" s="84"/>
      <c r="F971" s="84"/>
      <c r="G971" s="84"/>
      <c r="H971" s="84"/>
      <c r="I971" s="84"/>
      <c r="J971" s="84"/>
      <c r="K971" s="84"/>
      <c r="L971" s="84"/>
      <c r="M971" s="84"/>
      <c r="N971" s="84"/>
      <c r="O971" s="84"/>
      <c r="P971" s="85"/>
      <c r="Q971" s="86"/>
      <c r="R971" s="4"/>
    </row>
    <row r="972" spans="1:18" ht="15.75" thickBot="1">
      <c r="A972" s="1"/>
      <c r="B972" s="2"/>
      <c r="C972" s="8"/>
      <c r="D972" s="87"/>
      <c r="E972" s="20"/>
      <c r="F972" s="20"/>
      <c r="G972" s="20"/>
      <c r="H972" s="20"/>
      <c r="I972" s="20"/>
      <c r="J972" s="20"/>
      <c r="K972" s="20"/>
      <c r="L972" s="20"/>
      <c r="M972" s="20"/>
      <c r="N972" s="20"/>
      <c r="O972" s="20"/>
      <c r="P972" s="88"/>
      <c r="Q972" s="13"/>
      <c r="R972" s="4"/>
    </row>
    <row r="973" spans="1:18">
      <c r="A973" s="1" t="s">
        <v>11</v>
      </c>
      <c r="B973" s="2" t="s">
        <v>12</v>
      </c>
      <c r="C973" s="8"/>
      <c r="D973" s="89" t="s">
        <v>13</v>
      </c>
      <c r="E973" s="90" t="s">
        <v>14</v>
      </c>
      <c r="F973" s="90"/>
      <c r="G973" s="90"/>
      <c r="H973" s="90"/>
      <c r="I973" s="90"/>
      <c r="J973" s="90"/>
      <c r="K973" s="90"/>
      <c r="L973" s="90"/>
      <c r="M973" s="90"/>
      <c r="N973" s="91" t="s">
        <v>15</v>
      </c>
      <c r="O973" s="91"/>
      <c r="P973" s="92" t="s">
        <v>16</v>
      </c>
      <c r="Q973" s="93"/>
      <c r="R973" s="4"/>
    </row>
    <row r="974" spans="1:18" ht="15.75" thickBot="1">
      <c r="A974" s="1"/>
      <c r="B974" s="2"/>
      <c r="C974" s="8"/>
      <c r="D974" s="349">
        <f>+'PRESUPUESTO OFICIAL '!C23</f>
        <v>1.1200000000000001</v>
      </c>
      <c r="E974" s="94" t="str">
        <f>+VLOOKUP(D974,'PRESUPUESTO OFICIAL '!C:H,2,FALSE)</f>
        <v>EXCAVACIÓN MANUAL EN MATERIAL COMÚN</v>
      </c>
      <c r="F974" s="94"/>
      <c r="G974" s="94"/>
      <c r="H974" s="94"/>
      <c r="I974" s="94"/>
      <c r="J974" s="94"/>
      <c r="K974" s="94"/>
      <c r="L974" s="94"/>
      <c r="M974" s="94"/>
      <c r="N974" s="94" t="str">
        <f>+VLOOKUP(D974,'PRESUPUESTO OFICIAL '!C:H,3,FALSE)</f>
        <v>M3</v>
      </c>
      <c r="O974" s="95"/>
      <c r="P974" s="96">
        <f>+VLOOKUP(D974,'PRESUPUESTO OFICIAL '!C:H,4,FALSE)</f>
        <v>45.16</v>
      </c>
      <c r="Q974" s="97"/>
      <c r="R974" s="98">
        <f>+P1026</f>
        <v>116450</v>
      </c>
    </row>
    <row r="975" spans="1:18" ht="15.75" thickBot="1">
      <c r="A975" s="1"/>
      <c r="B975" s="2"/>
      <c r="C975" s="8"/>
      <c r="D975" s="74"/>
      <c r="E975" s="37"/>
      <c r="F975" s="37"/>
      <c r="G975" s="37"/>
      <c r="H975" s="37"/>
      <c r="I975" s="37"/>
      <c r="J975" s="37"/>
      <c r="K975" s="37"/>
      <c r="L975" s="37"/>
      <c r="M975" s="37"/>
      <c r="N975" s="37"/>
      <c r="O975" s="37"/>
      <c r="P975" s="99"/>
      <c r="Q975" s="100"/>
      <c r="R975" s="4"/>
    </row>
    <row r="976" spans="1:18">
      <c r="A976" s="1"/>
      <c r="B976" s="2"/>
      <c r="C976" s="8"/>
      <c r="D976" s="101" t="s">
        <v>14</v>
      </c>
      <c r="E976" s="102"/>
      <c r="F976" s="102"/>
      <c r="G976" s="102"/>
      <c r="H976" s="103"/>
      <c r="I976" s="104" t="s">
        <v>18</v>
      </c>
      <c r="J976" s="102"/>
      <c r="K976" s="104" t="s">
        <v>19</v>
      </c>
      <c r="L976" s="105"/>
      <c r="M976" s="106" t="s">
        <v>20</v>
      </c>
      <c r="N976" s="104" t="s">
        <v>21</v>
      </c>
      <c r="O976" s="105"/>
      <c r="P976" s="107" t="s">
        <v>22</v>
      </c>
      <c r="Q976" s="108"/>
      <c r="R976" s="4"/>
    </row>
    <row r="977" spans="1:18">
      <c r="A977" s="1" t="e">
        <f>[239]INDICE!#REF!</f>
        <v>#REF!</v>
      </c>
      <c r="B977" s="2" t="s">
        <v>23</v>
      </c>
      <c r="C977" s="8"/>
      <c r="D977" s="109" t="str">
        <f>IFERROR(INDEX([239]EQUIPOS!B:B,MATCH(B977,[239]EQUIPOS!A:A,0)),"")</f>
        <v>HERRAMIENTA MENOR (% M.O)</v>
      </c>
      <c r="E977" s="110"/>
      <c r="F977" s="110"/>
      <c r="G977" s="110"/>
      <c r="H977" s="111"/>
      <c r="I977" s="112"/>
      <c r="J977" s="111"/>
      <c r="K977" s="113" t="str">
        <f>IFERROR(INDEX([239]EQUIPOS!C:C,MATCH(B977,[239]EQUIPOS!A:A,0)),"")</f>
        <v>%</v>
      </c>
      <c r="L977" s="114"/>
      <c r="M977" s="115">
        <f>IFERROR(IF(D977="HERRAMIENTA MENOR (% M.O)",P1016,INDEX([239]EQUIPOS!D:D,MATCH(B977,[239]EQUIPOS!A:A,0))),"")</f>
        <v>79596.77</v>
      </c>
      <c r="N977" s="116">
        <v>10</v>
      </c>
      <c r="O977" s="117"/>
      <c r="P977" s="118">
        <f t="shared" ref="P977:P982" si="32">IFERROR(ROUND(IF(D977="HERRAMIENTA MENOR (% M.O)",N977%*M977,M977/N977),2)," ")</f>
        <v>7959.68</v>
      </c>
      <c r="Q977" s="119"/>
      <c r="R977" s="4"/>
    </row>
    <row r="978" spans="1:18">
      <c r="A978" s="1">
        <f>+$A$2341</f>
        <v>0</v>
      </c>
      <c r="B978" s="2"/>
      <c r="C978" s="8"/>
      <c r="D978" s="109" t="str">
        <f>IFERROR(INDEX([239]EQUIPOS!B:B,MATCH(B978,[239]EQUIPOS!A:A,0)),"")</f>
        <v/>
      </c>
      <c r="E978" s="110"/>
      <c r="F978" s="110"/>
      <c r="G978" s="110"/>
      <c r="H978" s="111"/>
      <c r="I978" s="112"/>
      <c r="J978" s="111"/>
      <c r="K978" s="113" t="str">
        <f>IFERROR(INDEX([239]EQUIPOS!C:C,MATCH(B978,[239]EQUIPOS!A:A,0)),"")</f>
        <v/>
      </c>
      <c r="L978" s="114"/>
      <c r="M978" s="115" t="str">
        <f>IFERROR(IF(D978="HERRAMIENTA MENOR (% M.O)",P1017,INDEX([239]EQUIPOS!D:D,MATCH(B978,[239]EQUIPOS!A:A,0))),"")</f>
        <v/>
      </c>
      <c r="N978" s="116"/>
      <c r="O978" s="117"/>
      <c r="P978" s="118" t="str">
        <f t="shared" si="32"/>
        <v xml:space="preserve"> </v>
      </c>
      <c r="Q978" s="119"/>
      <c r="R978" s="4"/>
    </row>
    <row r="979" spans="1:18">
      <c r="A979" s="1">
        <f t="shared" ref="A979:A1017" si="33">+A978</f>
        <v>0</v>
      </c>
      <c r="B979" s="2"/>
      <c r="C979" s="8"/>
      <c r="D979" s="109" t="str">
        <f>IFERROR(INDEX([239]EQUIPOS!B:B,MATCH(B979,[239]EQUIPOS!A:A,0)),"")</f>
        <v/>
      </c>
      <c r="E979" s="110"/>
      <c r="F979" s="110"/>
      <c r="G979" s="110"/>
      <c r="H979" s="111"/>
      <c r="I979" s="120"/>
      <c r="J979" s="121"/>
      <c r="K979" s="113" t="str">
        <f>IFERROR(INDEX([239]EQUIPOS!C:C,MATCH(B979,[239]EQUIPOS!A:A,0)),"")</f>
        <v/>
      </c>
      <c r="L979" s="114"/>
      <c r="M979" s="115" t="str">
        <f>IFERROR(IF(D979="HERRAMIENTA MENOR (% M.O)",P1018,INDEX([239]EQUIPOS!D:D,MATCH(B979,[239]EQUIPOS!A:A,0))),"")</f>
        <v/>
      </c>
      <c r="N979" s="116"/>
      <c r="O979" s="117"/>
      <c r="P979" s="118" t="str">
        <f t="shared" si="32"/>
        <v xml:space="preserve"> </v>
      </c>
      <c r="Q979" s="119"/>
      <c r="R979" s="4"/>
    </row>
    <row r="980" spans="1:18">
      <c r="A980" s="1">
        <f t="shared" si="33"/>
        <v>0</v>
      </c>
      <c r="B980" s="2"/>
      <c r="C980" s="8"/>
      <c r="D980" s="109" t="str">
        <f>IFERROR(INDEX([239]EQUIPOS!B:B,MATCH(B980,[239]EQUIPOS!A:A,0)),"")</f>
        <v/>
      </c>
      <c r="E980" s="110"/>
      <c r="F980" s="110"/>
      <c r="G980" s="110"/>
      <c r="H980" s="111"/>
      <c r="I980" s="120"/>
      <c r="J980" s="121"/>
      <c r="K980" s="113" t="str">
        <f>IFERROR(INDEX([239]EQUIPOS!C:C,MATCH(B980,[239]EQUIPOS!A:A,0)),"")</f>
        <v/>
      </c>
      <c r="L980" s="114"/>
      <c r="M980" s="115" t="str">
        <f>IFERROR(IF(D980="HERRAMIENTA MENOR (% M.O)",P1019,INDEX([239]EQUIPOS!D:D,MATCH(B980,[239]EQUIPOS!A:A,0))),"")</f>
        <v/>
      </c>
      <c r="N980" s="116"/>
      <c r="O980" s="117"/>
      <c r="P980" s="118" t="str">
        <f t="shared" si="32"/>
        <v xml:space="preserve"> </v>
      </c>
      <c r="Q980" s="119"/>
      <c r="R980" s="4"/>
    </row>
    <row r="981" spans="1:18">
      <c r="A981" s="1">
        <f t="shared" si="33"/>
        <v>0</v>
      </c>
      <c r="B981" s="2"/>
      <c r="C981" s="8"/>
      <c r="D981" s="109" t="str">
        <f>IFERROR(INDEX([239]EQUIPOS!B:B,MATCH(B981,[239]EQUIPOS!A:A,0)),"")</f>
        <v/>
      </c>
      <c r="E981" s="110"/>
      <c r="F981" s="110"/>
      <c r="G981" s="110"/>
      <c r="H981" s="111"/>
      <c r="I981" s="112"/>
      <c r="J981" s="111"/>
      <c r="K981" s="113" t="str">
        <f>IFERROR(INDEX([239]EQUIPOS!C:C,MATCH(B981,[239]EQUIPOS!A:A,0)),"")</f>
        <v/>
      </c>
      <c r="L981" s="114"/>
      <c r="M981" s="115" t="str">
        <f>IFERROR(IF(D981="HERRAMIENTA MENOR (% M.O)",P1020,INDEX([239]EQUIPOS!D:D,MATCH(B981,[239]EQUIPOS!A:A,0))),"")</f>
        <v/>
      </c>
      <c r="N981" s="116"/>
      <c r="O981" s="117"/>
      <c r="P981" s="118" t="str">
        <f t="shared" si="32"/>
        <v xml:space="preserve"> </v>
      </c>
      <c r="Q981" s="119"/>
      <c r="R981" s="4"/>
    </row>
    <row r="982" spans="1:18" ht="15.75" thickBot="1">
      <c r="A982" s="1">
        <f t="shared" si="33"/>
        <v>0</v>
      </c>
      <c r="B982" s="2"/>
      <c r="C982" s="8"/>
      <c r="D982" s="109" t="str">
        <f>IFERROR(INDEX([239]EQUIPOS!B:B,MATCH(B982,[239]EQUIPOS!A:A,0)),"")</f>
        <v/>
      </c>
      <c r="E982" s="78"/>
      <c r="F982" s="78"/>
      <c r="G982" s="78"/>
      <c r="H982" s="122"/>
      <c r="I982" s="123"/>
      <c r="J982" s="122"/>
      <c r="K982" s="113" t="str">
        <f>IFERROR(INDEX([239]EQUIPOS!C:C,MATCH(B982,[239]EQUIPOS!A:A,0)),"")</f>
        <v/>
      </c>
      <c r="L982" s="124"/>
      <c r="M982" s="115" t="str">
        <f>IFERROR(IF(D982="HERRAMIENTA MENOR (% M.O)",P1021,INDEX([239]EQUIPOS!D:D,MATCH(B982,[239]EQUIPOS!A:A,0))),"")</f>
        <v/>
      </c>
      <c r="N982" s="125"/>
      <c r="O982" s="126"/>
      <c r="P982" s="127" t="str">
        <f t="shared" si="32"/>
        <v xml:space="preserve"> </v>
      </c>
      <c r="Q982" s="119"/>
      <c r="R982" s="4"/>
    </row>
    <row r="983" spans="1:18" ht="15.75" thickBot="1">
      <c r="A983" s="1">
        <f t="shared" si="33"/>
        <v>0</v>
      </c>
      <c r="B983" s="2"/>
      <c r="C983" s="8"/>
      <c r="D983" s="128" t="s">
        <v>24</v>
      </c>
      <c r="E983" s="129"/>
      <c r="F983" s="129"/>
      <c r="G983" s="129"/>
      <c r="H983" s="129"/>
      <c r="I983" s="129"/>
      <c r="J983" s="129"/>
      <c r="K983" s="129"/>
      <c r="L983" s="129"/>
      <c r="M983" s="129"/>
      <c r="N983" s="129"/>
      <c r="O983" s="130"/>
      <c r="P983" s="131">
        <f>SUM(P977:P982)</f>
        <v>7959.68</v>
      </c>
      <c r="Q983" s="132"/>
      <c r="R983" s="4"/>
    </row>
    <row r="984" spans="1:18" ht="15.75" thickBot="1">
      <c r="A984" s="1">
        <f t="shared" si="33"/>
        <v>0</v>
      </c>
      <c r="B984" s="2"/>
      <c r="C984" s="8"/>
      <c r="D984" s="74" t="s">
        <v>25</v>
      </c>
      <c r="E984" s="37"/>
      <c r="F984" s="37"/>
      <c r="G984" s="37"/>
      <c r="H984" s="37"/>
      <c r="I984" s="37"/>
      <c r="J984" s="37"/>
      <c r="K984" s="37"/>
      <c r="L984" s="37"/>
      <c r="M984" s="37"/>
      <c r="N984" s="37"/>
      <c r="O984" s="37"/>
      <c r="P984" s="99"/>
      <c r="Q984" s="100"/>
      <c r="R984" s="4"/>
    </row>
    <row r="985" spans="1:18">
      <c r="A985" s="1">
        <f t="shared" si="33"/>
        <v>0</v>
      </c>
      <c r="B985" s="2"/>
      <c r="C985" s="8"/>
      <c r="D985" s="101" t="s">
        <v>14</v>
      </c>
      <c r="E985" s="133"/>
      <c r="F985" s="133"/>
      <c r="G985" s="133"/>
      <c r="H985" s="133"/>
      <c r="I985" s="133"/>
      <c r="J985" s="133"/>
      <c r="K985" s="105"/>
      <c r="L985" s="134" t="s">
        <v>15</v>
      </c>
      <c r="M985" s="106" t="s">
        <v>16</v>
      </c>
      <c r="N985" s="104" t="s">
        <v>26</v>
      </c>
      <c r="O985" s="105"/>
      <c r="P985" s="107" t="s">
        <v>22</v>
      </c>
      <c r="Q985" s="108"/>
      <c r="R985" s="4"/>
    </row>
    <row r="986" spans="1:18">
      <c r="A986" s="1">
        <f t="shared" si="33"/>
        <v>0</v>
      </c>
      <c r="B986" s="2"/>
      <c r="C986" s="8"/>
      <c r="D986" s="109" t="str">
        <f>IFERROR(INDEX([239]MATERIALES!C:C,MATCH(B986,[239]MATERIALES!B:B,0)),"")</f>
        <v/>
      </c>
      <c r="E986" s="135"/>
      <c r="F986" s="135"/>
      <c r="G986" s="135"/>
      <c r="H986" s="135"/>
      <c r="I986" s="135"/>
      <c r="J986" s="135"/>
      <c r="K986" s="136"/>
      <c r="L986" s="137" t="str">
        <f>IFERROR(INDEX([239]MATERIALES!D:D,MATCH(B986,[239]MATERIALES!B:B,0)),"")</f>
        <v/>
      </c>
      <c r="M986" s="138"/>
      <c r="N986" s="139" t="str">
        <f>IFERROR(INDEX([239]MATERIALES!P:P,MATCH(B986,[239]MATERIALES!B:B,0)),"")</f>
        <v/>
      </c>
      <c r="O986" s="140"/>
      <c r="P986" s="118" t="str">
        <f>IFERROR(ROUND(N986*M986,2),"")</f>
        <v/>
      </c>
      <c r="Q986" s="119"/>
      <c r="R986" s="4"/>
    </row>
    <row r="987" spans="1:18">
      <c r="A987" s="1">
        <f t="shared" si="33"/>
        <v>0</v>
      </c>
      <c r="B987" s="2"/>
      <c r="C987" s="8"/>
      <c r="D987" s="109" t="str">
        <f>IFERROR(INDEX([239]MATERIALES!C:C,MATCH(B987,[239]MATERIALES!B:B,0)),"")</f>
        <v/>
      </c>
      <c r="E987" s="135"/>
      <c r="F987" s="135"/>
      <c r="G987" s="135"/>
      <c r="H987" s="135"/>
      <c r="I987" s="135"/>
      <c r="J987" s="135"/>
      <c r="K987" s="136"/>
      <c r="L987" s="137" t="str">
        <f>IFERROR(INDEX([239]MATERIALES!D:D,MATCH(B987,[239]MATERIALES!B:B,0)),"")</f>
        <v/>
      </c>
      <c r="M987" s="138"/>
      <c r="N987" s="139" t="str">
        <f>IFERROR(INDEX([239]MATERIALES!P:P,MATCH(B987,[239]MATERIALES!B:B,0)),"")</f>
        <v/>
      </c>
      <c r="O987" s="140"/>
      <c r="P987" s="118" t="str">
        <f>IFERROR(ROUND(N987*M987,2),"")</f>
        <v/>
      </c>
      <c r="Q987" s="119"/>
      <c r="R987" s="4"/>
    </row>
    <row r="988" spans="1:18">
      <c r="A988" s="1">
        <f t="shared" si="33"/>
        <v>0</v>
      </c>
      <c r="B988" s="2"/>
      <c r="C988" s="8"/>
      <c r="D988" s="109" t="str">
        <f>IFERROR(INDEX([239]MATERIALES!C:C,MATCH(B988,[239]MATERIALES!B:B,0)),"")</f>
        <v/>
      </c>
      <c r="E988" s="110"/>
      <c r="F988" s="110"/>
      <c r="G988" s="110"/>
      <c r="H988" s="110"/>
      <c r="I988" s="110"/>
      <c r="J988" s="110"/>
      <c r="K988" s="111"/>
      <c r="L988" s="137" t="str">
        <f>IFERROR(INDEX([239]MATERIALES!D:D,MATCH(B988,[239]MATERIALES!B:B,0)),"")</f>
        <v/>
      </c>
      <c r="M988" s="138"/>
      <c r="N988" s="139" t="str">
        <f>IFERROR(INDEX([239]MATERIALES!P:P,MATCH(B988,[239]MATERIALES!B:B,0)),"")</f>
        <v/>
      </c>
      <c r="O988" s="140"/>
      <c r="P988" s="118" t="str">
        <f>IFERROR(ROUND(N988*M988,2),"")</f>
        <v/>
      </c>
      <c r="Q988" s="119"/>
      <c r="R988" s="4"/>
    </row>
    <row r="989" spans="1:18">
      <c r="A989" s="1">
        <f t="shared" si="33"/>
        <v>0</v>
      </c>
      <c r="B989" s="2"/>
      <c r="C989" s="8"/>
      <c r="D989" s="109" t="str">
        <f>IFERROR(INDEX([239]MATERIALES!C:C,MATCH(B989,[239]MATERIALES!B:B,0)),"")</f>
        <v/>
      </c>
      <c r="E989" s="110"/>
      <c r="F989" s="110"/>
      <c r="G989" s="110"/>
      <c r="H989" s="110"/>
      <c r="I989" s="110"/>
      <c r="J989" s="110"/>
      <c r="K989" s="111"/>
      <c r="L989" s="137" t="str">
        <f>IFERROR(INDEX([239]MATERIALES!D:D,MATCH(B989,[239]MATERIALES!B:B,0)),"")</f>
        <v/>
      </c>
      <c r="M989" s="138"/>
      <c r="N989" s="139" t="str">
        <f>IFERROR(INDEX([239]MATERIALES!P:P,MATCH(B989,[239]MATERIALES!B:B,0)),"")</f>
        <v/>
      </c>
      <c r="O989" s="140"/>
      <c r="P989" s="118" t="str">
        <f>IFERROR(ROUND(N989*M989,2),"")</f>
        <v/>
      </c>
      <c r="Q989" s="119"/>
      <c r="R989" s="4"/>
    </row>
    <row r="990" spans="1:18">
      <c r="A990" s="1">
        <f t="shared" si="33"/>
        <v>0</v>
      </c>
      <c r="B990" s="2"/>
      <c r="C990" s="8"/>
      <c r="D990" s="109" t="str">
        <f>IFERROR(INDEX([239]MATERIALES!C:C,MATCH(B990,[239]MATERIALES!B:B,0)),"")</f>
        <v/>
      </c>
      <c r="E990" s="110"/>
      <c r="F990" s="110"/>
      <c r="G990" s="110"/>
      <c r="H990" s="110"/>
      <c r="I990" s="110"/>
      <c r="J990" s="110"/>
      <c r="K990" s="111"/>
      <c r="L990" s="137" t="str">
        <f>IFERROR(INDEX([239]MATERIALES!D:D,MATCH(B990,[239]MATERIALES!B:B,0)),"")</f>
        <v/>
      </c>
      <c r="M990" s="138"/>
      <c r="N990" s="139" t="str">
        <f>IFERROR(INDEX([239]MATERIALES!P:P,MATCH(B990,[239]MATERIALES!B:B,0)),"")</f>
        <v/>
      </c>
      <c r="O990" s="140"/>
      <c r="P990" s="118" t="str">
        <f t="shared" ref="P990:P999" si="34">IFERROR(ROUND(N990*M990,2),"")</f>
        <v/>
      </c>
      <c r="Q990" s="119"/>
      <c r="R990" s="4"/>
    </row>
    <row r="991" spans="1:18">
      <c r="A991" s="1">
        <f t="shared" si="33"/>
        <v>0</v>
      </c>
      <c r="B991" s="2"/>
      <c r="C991" s="8"/>
      <c r="D991" s="109" t="str">
        <f>IFERROR(INDEX([239]MATERIALES!C:C,MATCH(B991,[239]MATERIALES!B:B,0)),"")</f>
        <v/>
      </c>
      <c r="E991" s="110"/>
      <c r="F991" s="110"/>
      <c r="G991" s="110"/>
      <c r="H991" s="110"/>
      <c r="I991" s="110"/>
      <c r="J991" s="110"/>
      <c r="K991" s="111"/>
      <c r="L991" s="137" t="str">
        <f>IFERROR(INDEX([239]MATERIALES!D:D,MATCH(B991,[239]MATERIALES!B:B,0)),"")</f>
        <v/>
      </c>
      <c r="M991" s="138"/>
      <c r="N991" s="139" t="str">
        <f>IFERROR(INDEX([239]MATERIALES!P:P,MATCH(B991,[239]MATERIALES!B:B,0)),"")</f>
        <v/>
      </c>
      <c r="O991" s="140"/>
      <c r="P991" s="118" t="str">
        <f t="shared" si="34"/>
        <v/>
      </c>
      <c r="Q991" s="119"/>
      <c r="R991" s="4"/>
    </row>
    <row r="992" spans="1:18">
      <c r="A992" s="1">
        <f t="shared" si="33"/>
        <v>0</v>
      </c>
      <c r="B992" s="2"/>
      <c r="C992" s="8"/>
      <c r="D992" s="109" t="str">
        <f>IFERROR(INDEX([239]MATERIALES!C:C,MATCH(B992,[239]MATERIALES!B:B,0)),"")</f>
        <v/>
      </c>
      <c r="E992" s="110"/>
      <c r="F992" s="110"/>
      <c r="G992" s="110"/>
      <c r="H992" s="110"/>
      <c r="I992" s="110"/>
      <c r="J992" s="110"/>
      <c r="K992" s="111"/>
      <c r="L992" s="137" t="str">
        <f>IFERROR(INDEX([239]MATERIALES!D:D,MATCH(B992,[239]MATERIALES!B:B,0)),"")</f>
        <v/>
      </c>
      <c r="M992" s="138"/>
      <c r="N992" s="139" t="str">
        <f>IFERROR(INDEX([239]MATERIALES!P:P,MATCH(B992,[239]MATERIALES!B:B,0)),"")</f>
        <v/>
      </c>
      <c r="O992" s="140"/>
      <c r="P992" s="118" t="str">
        <f t="shared" si="34"/>
        <v/>
      </c>
      <c r="Q992" s="119"/>
      <c r="R992" s="4"/>
    </row>
    <row r="993" spans="1:18">
      <c r="A993" s="1">
        <f t="shared" si="33"/>
        <v>0</v>
      </c>
      <c r="B993" s="2"/>
      <c r="C993" s="8"/>
      <c r="D993" s="109" t="str">
        <f>IFERROR(INDEX([239]MATERIALES!C:C,MATCH(B993,[239]MATERIALES!B:B,0)),"")</f>
        <v/>
      </c>
      <c r="E993" s="110"/>
      <c r="F993" s="110"/>
      <c r="G993" s="110"/>
      <c r="H993" s="110"/>
      <c r="I993" s="110"/>
      <c r="J993" s="110"/>
      <c r="K993" s="111"/>
      <c r="L993" s="137" t="str">
        <f>IFERROR(INDEX([239]MATERIALES!D:D,MATCH(B993,[239]MATERIALES!B:B,0)),"")</f>
        <v/>
      </c>
      <c r="M993" s="138"/>
      <c r="N993" s="139" t="str">
        <f>IFERROR(INDEX([239]MATERIALES!P:P,MATCH(B993,[239]MATERIALES!B:B,0)),"")</f>
        <v/>
      </c>
      <c r="O993" s="140"/>
      <c r="P993" s="118" t="str">
        <f t="shared" si="34"/>
        <v/>
      </c>
      <c r="Q993" s="119"/>
      <c r="R993" s="4"/>
    </row>
    <row r="994" spans="1:18">
      <c r="A994" s="1">
        <f t="shared" si="33"/>
        <v>0</v>
      </c>
      <c r="B994" s="2"/>
      <c r="C994" s="8"/>
      <c r="D994" s="109" t="str">
        <f>IFERROR(INDEX([239]MATERIALES!C:C,MATCH(B994,[239]MATERIALES!B:B,0)),"")</f>
        <v/>
      </c>
      <c r="E994" s="110"/>
      <c r="F994" s="110"/>
      <c r="G994" s="110"/>
      <c r="H994" s="110"/>
      <c r="I994" s="110"/>
      <c r="J994" s="110"/>
      <c r="K994" s="111"/>
      <c r="L994" s="137" t="str">
        <f>IFERROR(INDEX([239]MATERIALES!D:D,MATCH(B994,[239]MATERIALES!B:B,0)),"")</f>
        <v/>
      </c>
      <c r="M994" s="138"/>
      <c r="N994" s="139" t="str">
        <f>IFERROR(INDEX([239]MATERIALES!P:P,MATCH(B994,[239]MATERIALES!B:B,0)),"")</f>
        <v/>
      </c>
      <c r="O994" s="140"/>
      <c r="P994" s="118" t="str">
        <f t="shared" si="34"/>
        <v/>
      </c>
      <c r="Q994" s="119"/>
      <c r="R994" s="4"/>
    </row>
    <row r="995" spans="1:18">
      <c r="A995" s="1">
        <f t="shared" si="33"/>
        <v>0</v>
      </c>
      <c r="B995" s="2"/>
      <c r="C995" s="8"/>
      <c r="D995" s="109" t="str">
        <f>IFERROR(INDEX([239]MATERIALES!C:C,MATCH(B995,[239]MATERIALES!B:B,0)),"")</f>
        <v/>
      </c>
      <c r="E995" s="110"/>
      <c r="F995" s="110"/>
      <c r="G995" s="110"/>
      <c r="H995" s="110"/>
      <c r="I995" s="110"/>
      <c r="J995" s="110"/>
      <c r="K995" s="111"/>
      <c r="L995" s="137" t="str">
        <f>IFERROR(INDEX([239]MATERIALES!D:D,MATCH(B995,[239]MATERIALES!B:B,0)),"")</f>
        <v/>
      </c>
      <c r="M995" s="138"/>
      <c r="N995" s="139" t="str">
        <f>IFERROR(INDEX([239]MATERIALES!P:P,MATCH(B995,[239]MATERIALES!B:B,0)),"")</f>
        <v/>
      </c>
      <c r="O995" s="140"/>
      <c r="P995" s="118" t="str">
        <f t="shared" si="34"/>
        <v/>
      </c>
      <c r="Q995" s="119"/>
      <c r="R995" s="4"/>
    </row>
    <row r="996" spans="1:18">
      <c r="A996" s="1">
        <f t="shared" si="33"/>
        <v>0</v>
      </c>
      <c r="B996" s="2"/>
      <c r="C996" s="8"/>
      <c r="D996" s="109" t="str">
        <f>IFERROR(INDEX([239]MATERIALES!C:C,MATCH(B996,[239]MATERIALES!B:B,0)),"")</f>
        <v/>
      </c>
      <c r="E996" s="110"/>
      <c r="F996" s="110"/>
      <c r="G996" s="110"/>
      <c r="H996" s="110"/>
      <c r="I996" s="110"/>
      <c r="J996" s="110"/>
      <c r="K996" s="111"/>
      <c r="L996" s="137" t="str">
        <f>IFERROR(INDEX([239]MATERIALES!D:D,MATCH(B996,[239]MATERIALES!B:B,0)),"")</f>
        <v/>
      </c>
      <c r="M996" s="138"/>
      <c r="N996" s="139" t="str">
        <f>IFERROR(INDEX([239]MATERIALES!P:P,MATCH(B996,[239]MATERIALES!B:B,0)),"")</f>
        <v/>
      </c>
      <c r="O996" s="140"/>
      <c r="P996" s="118" t="str">
        <f t="shared" si="34"/>
        <v/>
      </c>
      <c r="Q996" s="119"/>
      <c r="R996" s="4"/>
    </row>
    <row r="997" spans="1:18">
      <c r="A997" s="1">
        <f t="shared" si="33"/>
        <v>0</v>
      </c>
      <c r="B997" s="2"/>
      <c r="C997" s="8"/>
      <c r="D997" s="109" t="str">
        <f>IFERROR(INDEX([239]MATERIALES!C:C,MATCH(B997,[239]MATERIALES!B:B,0)),"")</f>
        <v/>
      </c>
      <c r="E997" s="110"/>
      <c r="F997" s="110"/>
      <c r="G997" s="110"/>
      <c r="H997" s="110"/>
      <c r="I997" s="110"/>
      <c r="J997" s="110"/>
      <c r="K997" s="111"/>
      <c r="L997" s="137" t="str">
        <f>IFERROR(INDEX([239]MATERIALES!D:D,MATCH(B997,[239]MATERIALES!B:B,0)),"")</f>
        <v/>
      </c>
      <c r="M997" s="138"/>
      <c r="N997" s="139" t="str">
        <f>IFERROR(INDEX([239]MATERIALES!P:P,MATCH(B997,[239]MATERIALES!B:B,0)),"")</f>
        <v/>
      </c>
      <c r="O997" s="140"/>
      <c r="P997" s="118" t="str">
        <f t="shared" si="34"/>
        <v/>
      </c>
      <c r="Q997" s="119"/>
      <c r="R997" s="4"/>
    </row>
    <row r="998" spans="1:18">
      <c r="A998" s="1">
        <f t="shared" si="33"/>
        <v>0</v>
      </c>
      <c r="B998" s="2"/>
      <c r="C998" s="8"/>
      <c r="D998" s="109" t="str">
        <f>IFERROR(INDEX([239]MATERIALES!C:C,MATCH(B998,[239]MATERIALES!B:B,0)),"")</f>
        <v/>
      </c>
      <c r="E998" s="110"/>
      <c r="F998" s="110"/>
      <c r="G998" s="110"/>
      <c r="H998" s="110"/>
      <c r="I998" s="110"/>
      <c r="J998" s="110"/>
      <c r="K998" s="111"/>
      <c r="L998" s="137" t="str">
        <f>IFERROR(INDEX([239]MATERIALES!D:D,MATCH(B998,[239]MATERIALES!B:B,0)),"")</f>
        <v/>
      </c>
      <c r="M998" s="138"/>
      <c r="N998" s="139" t="str">
        <f>IFERROR(INDEX([239]MATERIALES!P:P,MATCH(B998,[239]MATERIALES!B:B,0)),"")</f>
        <v/>
      </c>
      <c r="O998" s="140"/>
      <c r="P998" s="118" t="str">
        <f t="shared" si="34"/>
        <v/>
      </c>
      <c r="Q998" s="119"/>
      <c r="R998" s="4"/>
    </row>
    <row r="999" spans="1:18">
      <c r="A999" s="1">
        <f t="shared" si="33"/>
        <v>0</v>
      </c>
      <c r="B999" s="2"/>
      <c r="C999" s="8"/>
      <c r="D999" s="109" t="str">
        <f>IFERROR(INDEX([239]MATERIALES!C:C,MATCH(B999,[239]MATERIALES!B:B,0)),"")</f>
        <v/>
      </c>
      <c r="E999" s="110"/>
      <c r="F999" s="110"/>
      <c r="G999" s="110"/>
      <c r="H999" s="110"/>
      <c r="I999" s="110"/>
      <c r="J999" s="110"/>
      <c r="K999" s="111"/>
      <c r="L999" s="137" t="str">
        <f>IFERROR(INDEX([239]MATERIALES!D:D,MATCH(B999,[239]MATERIALES!B:B,0)),"")</f>
        <v/>
      </c>
      <c r="M999" s="138"/>
      <c r="N999" s="139" t="str">
        <f>IFERROR(INDEX([239]MATERIALES!P:P,MATCH(B999,[239]MATERIALES!B:B,0)),"")</f>
        <v/>
      </c>
      <c r="O999" s="140"/>
      <c r="P999" s="118" t="str">
        <f t="shared" si="34"/>
        <v/>
      </c>
      <c r="Q999" s="119"/>
      <c r="R999" s="4"/>
    </row>
    <row r="1000" spans="1:18" ht="15.75" thickBot="1">
      <c r="A1000" s="1">
        <f t="shared" si="33"/>
        <v>0</v>
      </c>
      <c r="B1000" s="2"/>
      <c r="C1000" s="8"/>
      <c r="D1000" s="109" t="s">
        <v>28</v>
      </c>
      <c r="E1000" s="110"/>
      <c r="F1000" s="110"/>
      <c r="G1000" s="110"/>
      <c r="H1000" s="110"/>
      <c r="I1000" s="110"/>
      <c r="J1000" s="110"/>
      <c r="K1000" s="111"/>
      <c r="L1000" s="137" t="s">
        <v>29</v>
      </c>
      <c r="M1000" s="138">
        <v>0.05</v>
      </c>
      <c r="N1000" s="139">
        <f>SUM(P986:P999)</f>
        <v>0</v>
      </c>
      <c r="O1000" s="140"/>
      <c r="P1000" s="118">
        <f>ROUND(N1000*M1000,2)</f>
        <v>0</v>
      </c>
      <c r="Q1000" s="119"/>
      <c r="R1000" s="4"/>
    </row>
    <row r="1001" spans="1:18" ht="15.75" thickBot="1">
      <c r="A1001" s="1">
        <f t="shared" si="33"/>
        <v>0</v>
      </c>
      <c r="B1001" s="2"/>
      <c r="C1001" s="8"/>
      <c r="D1001" s="128" t="s">
        <v>24</v>
      </c>
      <c r="E1001" s="129"/>
      <c r="F1001" s="129"/>
      <c r="G1001" s="129"/>
      <c r="H1001" s="129"/>
      <c r="I1001" s="129"/>
      <c r="J1001" s="129"/>
      <c r="K1001" s="129"/>
      <c r="L1001" s="129"/>
      <c r="M1001" s="129"/>
      <c r="N1001" s="129"/>
      <c r="O1001" s="130"/>
      <c r="P1001" s="131">
        <f>SUM(P986:P1000)</f>
        <v>0</v>
      </c>
      <c r="Q1001" s="119"/>
      <c r="R1001" s="4"/>
    </row>
    <row r="1002" spans="1:18" ht="15.75" thickBot="1">
      <c r="A1002" s="1">
        <f t="shared" si="33"/>
        <v>0</v>
      </c>
      <c r="B1002" s="2"/>
      <c r="C1002" s="8"/>
      <c r="D1002" s="74" t="s">
        <v>30</v>
      </c>
      <c r="E1002" s="37"/>
      <c r="F1002" s="37"/>
      <c r="G1002" s="37"/>
      <c r="H1002" s="37"/>
      <c r="I1002" s="37"/>
      <c r="J1002" s="37"/>
      <c r="K1002" s="37"/>
      <c r="L1002" s="37"/>
      <c r="M1002" s="37"/>
      <c r="N1002" s="37"/>
      <c r="O1002" s="37"/>
      <c r="P1002" s="99"/>
      <c r="Q1002" s="100"/>
      <c r="R1002" s="4"/>
    </row>
    <row r="1003" spans="1:18">
      <c r="A1003" s="1">
        <f t="shared" si="33"/>
        <v>0</v>
      </c>
      <c r="B1003" s="2"/>
      <c r="C1003" s="8"/>
      <c r="D1003" s="101" t="s">
        <v>31</v>
      </c>
      <c r="E1003" s="133"/>
      <c r="F1003" s="133"/>
      <c r="G1003" s="133"/>
      <c r="H1003" s="133"/>
      <c r="I1003" s="133"/>
      <c r="J1003" s="133"/>
      <c r="K1003" s="106" t="s">
        <v>32</v>
      </c>
      <c r="L1003" s="141" t="s">
        <v>33</v>
      </c>
      <c r="M1003" s="106" t="s">
        <v>34</v>
      </c>
      <c r="N1003" s="104" t="s">
        <v>20</v>
      </c>
      <c r="O1003" s="105"/>
      <c r="P1003" s="107" t="s">
        <v>22</v>
      </c>
      <c r="Q1003" s="108"/>
      <c r="R1003" s="4"/>
    </row>
    <row r="1004" spans="1:18">
      <c r="A1004" s="1">
        <f t="shared" si="33"/>
        <v>0</v>
      </c>
      <c r="B1004" s="2"/>
      <c r="C1004" s="8"/>
      <c r="D1004" s="142" t="str">
        <f>IFERROR(INDEX([239]TRANSPORTES!B:B,MATCH(B1004,[239]TRANSPORTES!A:A,0)),"")</f>
        <v/>
      </c>
      <c r="E1004" s="143"/>
      <c r="F1004" s="143"/>
      <c r="G1004" s="143"/>
      <c r="H1004" s="143"/>
      <c r="I1004" s="143"/>
      <c r="J1004" s="143"/>
      <c r="K1004" s="220"/>
      <c r="L1004" s="145"/>
      <c r="M1004" s="146" t="str">
        <f>IFERROR(INDEX([239]TRANSPORTES!C:C,MATCH(B1004,[239]TRANSPORTES!A:A,0)),"")</f>
        <v/>
      </c>
      <c r="N1004" s="139" t="str">
        <f>IFERROR(INDEX([239]TRANSPORTES!D:D,MATCH(B1004,[239]TRANSPORTES!A:A,0)),"")</f>
        <v/>
      </c>
      <c r="O1004" s="147"/>
      <c r="P1004" s="148" t="str">
        <f>IFERROR(ROUND(K1004*N1004*L1004,2),"")</f>
        <v/>
      </c>
      <c r="Q1004" s="119"/>
      <c r="R1004" s="4"/>
    </row>
    <row r="1005" spans="1:18">
      <c r="A1005" s="1">
        <f t="shared" si="33"/>
        <v>0</v>
      </c>
      <c r="B1005" s="2"/>
      <c r="C1005" s="8"/>
      <c r="D1005" s="142" t="str">
        <f>IFERROR(INDEX([239]TRANSPORTES!B:B,MATCH(B1005,[239]TRANSPORTES!A:A,0)),"")</f>
        <v/>
      </c>
      <c r="E1005" s="143"/>
      <c r="F1005" s="143"/>
      <c r="G1005" s="143"/>
      <c r="H1005" s="143"/>
      <c r="I1005" s="143"/>
      <c r="J1005" s="143"/>
      <c r="K1005" s="144"/>
      <c r="L1005" s="145"/>
      <c r="M1005" s="146" t="str">
        <f>IFERROR(INDEX([239]TRANSPORTES!C:C,MATCH(B1005,[239]TRANSPORTES!A:A,0)),"")</f>
        <v/>
      </c>
      <c r="N1005" s="139" t="str">
        <f>IFERROR(INDEX([239]TRANSPORTES!D:D,MATCH(B1005,[239]TRANSPORTES!A:A,0)),"")</f>
        <v/>
      </c>
      <c r="O1005" s="147"/>
      <c r="P1005" s="148" t="str">
        <f>IFERROR(ROUND(K1005*N1005*L1005,2),"")</f>
        <v/>
      </c>
      <c r="Q1005" s="119"/>
      <c r="R1005" s="4"/>
    </row>
    <row r="1006" spans="1:18">
      <c r="A1006" s="1">
        <f t="shared" si="33"/>
        <v>0</v>
      </c>
      <c r="B1006" s="2"/>
      <c r="C1006" s="8"/>
      <c r="D1006" s="142" t="str">
        <f>IFERROR(INDEX([239]TRANSPORTES!B:B,MATCH(B1006,[239]TRANSPORTES!A:A,0)),"")</f>
        <v/>
      </c>
      <c r="E1006" s="143"/>
      <c r="F1006" s="143"/>
      <c r="G1006" s="143"/>
      <c r="H1006" s="143"/>
      <c r="I1006" s="143"/>
      <c r="J1006" s="143"/>
      <c r="K1006" s="144"/>
      <c r="L1006" s="145"/>
      <c r="M1006" s="146" t="str">
        <f>IFERROR(INDEX([239]TRANSPORTES!C:C,MATCH(B1006,[239]TRANSPORTES!A:A,0)),"")</f>
        <v/>
      </c>
      <c r="N1006" s="139" t="str">
        <f>IFERROR(INDEX([239]TRANSPORTES!D:D,MATCH(B1006,[239]TRANSPORTES!A:A,0)),"")</f>
        <v/>
      </c>
      <c r="O1006" s="147"/>
      <c r="P1006" s="148" t="str">
        <f>IFERROR(ROUND(K1006*N1006*L1006,2),"")</f>
        <v/>
      </c>
      <c r="Q1006" s="119"/>
      <c r="R1006" s="4"/>
    </row>
    <row r="1007" spans="1:18" ht="15.75" thickBot="1">
      <c r="A1007" s="1">
        <f t="shared" si="33"/>
        <v>0</v>
      </c>
      <c r="B1007" s="2"/>
      <c r="C1007" s="8"/>
      <c r="D1007" s="142" t="str">
        <f>IFERROR(INDEX([239]TRANSPORTES!B:B,MATCH(B1007,[239]TRANSPORTES!A:A,0)),"")</f>
        <v/>
      </c>
      <c r="E1007" s="143"/>
      <c r="F1007" s="143"/>
      <c r="G1007" s="143"/>
      <c r="H1007" s="143"/>
      <c r="I1007" s="143"/>
      <c r="J1007" s="143"/>
      <c r="K1007" s="149"/>
      <c r="L1007" s="150"/>
      <c r="M1007" s="146" t="str">
        <f>IFERROR(INDEX([239]TRANSPORTES!C:C,MATCH(B1007,[239]TRANSPORTES!A:A,0)),"")</f>
        <v/>
      </c>
      <c r="N1007" s="139" t="str">
        <f>IFERROR(INDEX([239]TRANSPORTES!D:D,MATCH(B1007,[239]TRANSPORTES!A:A,0)),"")</f>
        <v/>
      </c>
      <c r="O1007" s="147"/>
      <c r="P1007" s="148" t="str">
        <f>IFERROR(ROUND(K1007*N1007*L1007,2),"")</f>
        <v/>
      </c>
      <c r="Q1007" s="119"/>
      <c r="R1007" s="4"/>
    </row>
    <row r="1008" spans="1:18" ht="15.75" thickBot="1">
      <c r="A1008" s="1">
        <f t="shared" si="33"/>
        <v>0</v>
      </c>
      <c r="B1008" s="2"/>
      <c r="C1008" s="8"/>
      <c r="D1008" s="128" t="s">
        <v>24</v>
      </c>
      <c r="E1008" s="129"/>
      <c r="F1008" s="129"/>
      <c r="G1008" s="129"/>
      <c r="H1008" s="129"/>
      <c r="I1008" s="129"/>
      <c r="J1008" s="129"/>
      <c r="K1008" s="129"/>
      <c r="L1008" s="129"/>
      <c r="M1008" s="129"/>
      <c r="N1008" s="129"/>
      <c r="O1008" s="130"/>
      <c r="P1008" s="151">
        <f>SUM(P1004:P1007)</f>
        <v>0</v>
      </c>
      <c r="Q1008" s="132"/>
      <c r="R1008" s="4"/>
    </row>
    <row r="1009" spans="1:18" ht="15.75" thickBot="1">
      <c r="A1009" s="1">
        <f t="shared" si="33"/>
        <v>0</v>
      </c>
      <c r="B1009" s="2"/>
      <c r="C1009" s="8"/>
      <c r="D1009" s="74" t="s">
        <v>36</v>
      </c>
      <c r="E1009" s="37"/>
      <c r="F1009" s="37"/>
      <c r="G1009" s="37"/>
      <c r="H1009" s="37"/>
      <c r="I1009" s="37"/>
      <c r="J1009" s="37"/>
      <c r="K1009" s="37"/>
      <c r="L1009" s="37"/>
      <c r="M1009" s="37"/>
      <c r="N1009" s="37"/>
      <c r="O1009" s="37"/>
      <c r="P1009" s="99"/>
      <c r="Q1009" s="100"/>
      <c r="R1009" s="4"/>
    </row>
    <row r="1010" spans="1:18" ht="30">
      <c r="A1010" s="1">
        <f t="shared" si="33"/>
        <v>0</v>
      </c>
      <c r="B1010" s="2"/>
      <c r="C1010" s="8"/>
      <c r="D1010" s="101" t="s">
        <v>37</v>
      </c>
      <c r="E1010" s="133"/>
      <c r="F1010" s="133"/>
      <c r="G1010" s="133"/>
      <c r="H1010" s="133"/>
      <c r="I1010" s="133"/>
      <c r="J1010" s="133"/>
      <c r="K1010" s="106" t="s">
        <v>38</v>
      </c>
      <c r="L1010" s="152" t="s">
        <v>39</v>
      </c>
      <c r="M1010" s="153" t="s">
        <v>40</v>
      </c>
      <c r="N1010" s="104" t="s">
        <v>21</v>
      </c>
      <c r="O1010" s="105"/>
      <c r="P1010" s="154" t="s">
        <v>22</v>
      </c>
      <c r="Q1010" s="155"/>
      <c r="R1010" s="4"/>
    </row>
    <row r="1011" spans="1:18">
      <c r="A1011" s="1">
        <f t="shared" si="33"/>
        <v>0</v>
      </c>
      <c r="B1011" s="2" t="s">
        <v>42</v>
      </c>
      <c r="C1011" s="8"/>
      <c r="D1011" s="109" t="str">
        <f>IFERROR(INDEX('[239]MANO DE OBRA'!B:B,MATCH(B1011,'[239]MANO DE OBRA'!A:A,0)),"")</f>
        <v>AYUDANTE (2)</v>
      </c>
      <c r="E1011" s="110"/>
      <c r="F1011" s="110"/>
      <c r="G1011" s="110"/>
      <c r="H1011" s="110"/>
      <c r="I1011" s="110"/>
      <c r="J1011" s="111"/>
      <c r="K1011" s="156">
        <f>IFERROR(INDEX('[239]MANO DE OBRA'!D:D,MATCH(B1011,'[239]MANO DE OBRA'!A:A,0)),"")</f>
        <v>142866</v>
      </c>
      <c r="L1011" s="157">
        <f>+IF(D1011&lt;&gt;"",'[239]FACTOR PRESTACIONAL'!$E$21," ")</f>
        <v>1.95</v>
      </c>
      <c r="M1011" s="158">
        <f>IFERROR(K1011*L1011," ")</f>
        <v>278588.7</v>
      </c>
      <c r="N1011" s="159">
        <v>3.5</v>
      </c>
      <c r="O1011" s="160"/>
      <c r="P1011" s="161">
        <f>IFERROR(ROUND(M1011/N1011,2)," ")</f>
        <v>79596.77</v>
      </c>
      <c r="Q1011" s="162"/>
      <c r="R1011" s="4"/>
    </row>
    <row r="1012" spans="1:18">
      <c r="A1012" s="1">
        <f t="shared" si="33"/>
        <v>0</v>
      </c>
      <c r="B1012" s="2"/>
      <c r="C1012" s="8"/>
      <c r="D1012" s="109" t="str">
        <f>IFERROR(INDEX('[239]MANO DE OBRA'!B:B,MATCH(B1012,'[239]MANO DE OBRA'!A:A,0)),"")</f>
        <v/>
      </c>
      <c r="E1012" s="110"/>
      <c r="F1012" s="110"/>
      <c r="G1012" s="110"/>
      <c r="H1012" s="110"/>
      <c r="I1012" s="110"/>
      <c r="J1012" s="111"/>
      <c r="K1012" s="156" t="str">
        <f>IFERROR(INDEX('[239]MANO DE OBRA'!D:D,MATCH(B1012,'[239]MANO DE OBRA'!A:A,0)),"")</f>
        <v/>
      </c>
      <c r="L1012" s="157" t="str">
        <f>+IF(D1012&lt;&gt;"",'[239]FACTOR PRESTACIONAL'!$E$21," ")</f>
        <v xml:space="preserve"> </v>
      </c>
      <c r="M1012" s="158" t="str">
        <f>IFERROR(K1012*L1012," ")</f>
        <v xml:space="preserve"> </v>
      </c>
      <c r="N1012" s="159"/>
      <c r="O1012" s="160"/>
      <c r="P1012" s="161" t="str">
        <f>IFERROR(ROUND(M1012/N1012,2)," ")</f>
        <v xml:space="preserve"> </v>
      </c>
      <c r="Q1012" s="162"/>
      <c r="R1012" s="4"/>
    </row>
    <row r="1013" spans="1:18">
      <c r="A1013" s="1">
        <f t="shared" si="33"/>
        <v>0</v>
      </c>
      <c r="B1013" s="2"/>
      <c r="C1013" s="8"/>
      <c r="D1013" s="109" t="str">
        <f>IFERROR(INDEX('[239]MANO DE OBRA'!B:B,MATCH(B1013,'[239]MANO DE OBRA'!A:A,0)),"")</f>
        <v/>
      </c>
      <c r="E1013" s="110"/>
      <c r="F1013" s="110"/>
      <c r="G1013" s="110"/>
      <c r="H1013" s="110"/>
      <c r="I1013" s="110"/>
      <c r="J1013" s="111"/>
      <c r="K1013" s="156" t="str">
        <f>IFERROR(INDEX('[239]MANO DE OBRA'!D:D,MATCH(B1013,'[239]MANO DE OBRA'!A:A,0)),"")</f>
        <v/>
      </c>
      <c r="L1013" s="157" t="str">
        <f>+IF(D1013&lt;&gt;"",'[239]FACTOR PRESTACIONAL'!$E$21," ")</f>
        <v xml:space="preserve"> </v>
      </c>
      <c r="M1013" s="158" t="str">
        <f>IFERROR(K1013*L1013," ")</f>
        <v xml:space="preserve"> </v>
      </c>
      <c r="N1013" s="159"/>
      <c r="O1013" s="160"/>
      <c r="P1013" s="161" t="str">
        <f>IFERROR(ROUND(M1013/N1013,2)," ")</f>
        <v xml:space="preserve"> </v>
      </c>
      <c r="Q1013" s="162"/>
      <c r="R1013" s="4"/>
    </row>
    <row r="1014" spans="1:18">
      <c r="A1014" s="1">
        <f t="shared" si="33"/>
        <v>0</v>
      </c>
      <c r="B1014" s="2"/>
      <c r="C1014" s="8"/>
      <c r="D1014" s="109" t="str">
        <f>IFERROR(INDEX('[239]MANO DE OBRA'!B:B,MATCH(B1014,'[239]MANO DE OBRA'!A:A,0)),"")</f>
        <v/>
      </c>
      <c r="E1014" s="110"/>
      <c r="F1014" s="110"/>
      <c r="G1014" s="110"/>
      <c r="H1014" s="110"/>
      <c r="I1014" s="110"/>
      <c r="J1014" s="111"/>
      <c r="K1014" s="156" t="str">
        <f>IFERROR(INDEX('[239]MANO DE OBRA'!D:D,MATCH(B1014,'[239]MANO DE OBRA'!A:A,0)),"")</f>
        <v/>
      </c>
      <c r="L1014" s="157" t="str">
        <f>+IF(D1014&lt;&gt;"",'[239]FACTOR PRESTACIONAL'!$E$21," ")</f>
        <v xml:space="preserve"> </v>
      </c>
      <c r="M1014" s="158" t="str">
        <f>IFERROR(K1014*L1014," ")</f>
        <v xml:space="preserve"> </v>
      </c>
      <c r="N1014" s="159"/>
      <c r="O1014" s="160"/>
      <c r="P1014" s="161" t="str">
        <f>IFERROR(ROUND(M1014/N1014,2)," ")</f>
        <v xml:space="preserve"> </v>
      </c>
      <c r="Q1014" s="162"/>
      <c r="R1014" s="4"/>
    </row>
    <row r="1015" spans="1:18" ht="15.75" thickBot="1">
      <c r="A1015" s="1">
        <f t="shared" si="33"/>
        <v>0</v>
      </c>
      <c r="B1015" s="2"/>
      <c r="C1015" s="8"/>
      <c r="D1015" s="109" t="str">
        <f>IFERROR(INDEX('[239]MANO DE OBRA'!B:B,MATCH(B1015,'[239]MANO DE OBRA'!A:A,0)),"")</f>
        <v/>
      </c>
      <c r="E1015" s="110"/>
      <c r="F1015" s="110"/>
      <c r="G1015" s="110"/>
      <c r="H1015" s="110"/>
      <c r="I1015" s="110"/>
      <c r="J1015" s="111"/>
      <c r="K1015" s="156" t="str">
        <f>IFERROR(INDEX('[239]MANO DE OBRA'!D:D,MATCH(B1015,'[239]MANO DE OBRA'!A:A,0)),"")</f>
        <v/>
      </c>
      <c r="L1015" s="157" t="str">
        <f>+IF(D1015&lt;&gt;"",'[239]FACTOR PRESTACIONAL'!$E$21," ")</f>
        <v xml:space="preserve"> </v>
      </c>
      <c r="M1015" s="158" t="str">
        <f>IFERROR(K1015*L1015," ")</f>
        <v xml:space="preserve"> </v>
      </c>
      <c r="N1015" s="159"/>
      <c r="O1015" s="160"/>
      <c r="P1015" s="161" t="str">
        <f>IFERROR(ROUND(M1015/N1015,2)," ")</f>
        <v xml:space="preserve"> </v>
      </c>
      <c r="Q1015" s="119"/>
      <c r="R1015" s="4"/>
    </row>
    <row r="1016" spans="1:18" ht="15.75" thickBot="1">
      <c r="A1016" s="1">
        <f t="shared" si="33"/>
        <v>0</v>
      </c>
      <c r="B1016" s="2"/>
      <c r="C1016" s="8"/>
      <c r="D1016" s="128" t="s">
        <v>24</v>
      </c>
      <c r="E1016" s="129"/>
      <c r="F1016" s="129"/>
      <c r="G1016" s="129"/>
      <c r="H1016" s="129"/>
      <c r="I1016" s="129"/>
      <c r="J1016" s="129"/>
      <c r="K1016" s="129"/>
      <c r="L1016" s="129"/>
      <c r="M1016" s="129"/>
      <c r="N1016" s="129"/>
      <c r="O1016" s="130"/>
      <c r="P1016" s="131">
        <f>SUM(P1011:P1015)</f>
        <v>79596.77</v>
      </c>
      <c r="Q1016" s="119"/>
      <c r="R1016" s="4"/>
    </row>
    <row r="1017" spans="1:18" ht="15.75" thickBot="1">
      <c r="A1017" s="1">
        <f t="shared" si="33"/>
        <v>0</v>
      </c>
      <c r="B1017" s="2"/>
      <c r="C1017" s="8"/>
      <c r="D1017" s="87"/>
      <c r="E1017" s="20"/>
      <c r="F1017" s="20"/>
      <c r="G1017" s="20"/>
      <c r="H1017" s="20"/>
      <c r="I1017" s="20"/>
      <c r="J1017" s="20"/>
      <c r="K1017" s="20"/>
      <c r="L1017" s="20"/>
      <c r="M1017" s="20"/>
      <c r="N1017" s="20"/>
      <c r="O1017" s="20"/>
      <c r="P1017" s="88"/>
      <c r="Q1017" s="13"/>
      <c r="R1017" s="4"/>
    </row>
    <row r="1018" spans="1:18" ht="15.75" thickBot="1">
      <c r="A1018" s="1"/>
      <c r="B1018" s="2"/>
      <c r="C1018" s="8"/>
      <c r="D1018" s="163" t="s">
        <v>43</v>
      </c>
      <c r="E1018" s="164"/>
      <c r="F1018" s="164"/>
      <c r="G1018" s="164"/>
      <c r="H1018" s="164"/>
      <c r="I1018" s="164"/>
      <c r="J1018" s="164"/>
      <c r="K1018" s="164"/>
      <c r="L1018" s="164"/>
      <c r="M1018" s="164"/>
      <c r="N1018" s="164"/>
      <c r="O1018" s="165"/>
      <c r="P1018" s="166">
        <f>+P1016+P1008+P1001+P983</f>
        <v>87556.450000000012</v>
      </c>
      <c r="Q1018" s="167"/>
      <c r="R1018" s="168"/>
    </row>
    <row r="1019" spans="1:18" ht="15.75" thickBot="1">
      <c r="A1019" s="1"/>
      <c r="B1019" s="2"/>
      <c r="C1019" s="8"/>
      <c r="D1019" s="169"/>
      <c r="E1019" s="170"/>
      <c r="F1019" s="170"/>
      <c r="G1019" s="170"/>
      <c r="H1019" s="170"/>
      <c r="I1019" s="170"/>
      <c r="J1019" s="170"/>
      <c r="K1019" s="170"/>
      <c r="L1019" s="170"/>
      <c r="M1019" s="170"/>
      <c r="N1019" s="170"/>
      <c r="O1019" s="170"/>
      <c r="P1019" s="171"/>
      <c r="Q1019" s="100"/>
      <c r="R1019" s="4"/>
    </row>
    <row r="1020" spans="1:18">
      <c r="A1020" s="1"/>
      <c r="B1020" s="2"/>
      <c r="C1020" s="8"/>
      <c r="D1020" s="172" t="s">
        <v>73</v>
      </c>
      <c r="E1020" s="173"/>
      <c r="F1020" s="173"/>
      <c r="G1020" s="173"/>
      <c r="H1020" s="173"/>
      <c r="I1020" s="173"/>
      <c r="J1020" s="173"/>
      <c r="K1020" s="141"/>
      <c r="L1020" s="174"/>
      <c r="M1020" s="153" t="s">
        <v>44</v>
      </c>
      <c r="N1020" s="175" t="s">
        <v>45</v>
      </c>
      <c r="O1020" s="176"/>
      <c r="P1020" s="154"/>
      <c r="Q1020" s="155"/>
      <c r="R1020" s="4"/>
    </row>
    <row r="1021" spans="1:18">
      <c r="A1021" s="1"/>
      <c r="B1021" s="2"/>
      <c r="C1021" s="8"/>
      <c r="D1021" s="109" t="s">
        <v>65</v>
      </c>
      <c r="E1021" s="110"/>
      <c r="F1021" s="110"/>
      <c r="G1021" s="110"/>
      <c r="H1021" s="110"/>
      <c r="I1021" s="110"/>
      <c r="J1021" s="110"/>
      <c r="K1021" s="177"/>
      <c r="L1021" s="178"/>
      <c r="M1021" s="179">
        <f>+[239]INICIO!$F$10</f>
        <v>0.24</v>
      </c>
      <c r="N1021" s="180">
        <f>ROUND(M1021*P1018,2)</f>
        <v>21013.55</v>
      </c>
      <c r="O1021" s="181"/>
      <c r="P1021" s="182"/>
      <c r="Q1021" s="119"/>
      <c r="R1021" s="4"/>
    </row>
    <row r="1022" spans="1:18">
      <c r="A1022" s="1"/>
      <c r="B1022" s="2"/>
      <c r="C1022" s="8"/>
      <c r="D1022" s="183" t="s">
        <v>67</v>
      </c>
      <c r="E1022" s="61"/>
      <c r="F1022" s="61"/>
      <c r="G1022" s="61"/>
      <c r="H1022" s="61"/>
      <c r="I1022" s="61"/>
      <c r="J1022" s="61"/>
      <c r="K1022" s="177"/>
      <c r="L1022" s="178"/>
      <c r="M1022" s="179">
        <f>+[239]INICIO!$F$11</f>
        <v>0.02</v>
      </c>
      <c r="N1022" s="180">
        <f>ROUND(M1022*P1018,2)</f>
        <v>1751.13</v>
      </c>
      <c r="O1022" s="181"/>
      <c r="P1022" s="182"/>
      <c r="Q1022" s="119"/>
      <c r="R1022" s="4"/>
    </row>
    <row r="1023" spans="1:18" ht="15.75" thickBot="1">
      <c r="A1023" s="1"/>
      <c r="B1023" s="2"/>
      <c r="C1023" s="8"/>
      <c r="D1023" s="77" t="s">
        <v>69</v>
      </c>
      <c r="E1023" s="78"/>
      <c r="F1023" s="78"/>
      <c r="G1023" s="78"/>
      <c r="H1023" s="78"/>
      <c r="I1023" s="78"/>
      <c r="J1023" s="78"/>
      <c r="K1023" s="184"/>
      <c r="L1023" s="185"/>
      <c r="M1023" s="179">
        <f>+[239]INICIO!$F$12</f>
        <v>7.0000000000000007E-2</v>
      </c>
      <c r="N1023" s="180">
        <f>ROUND(M1023*P1018,2)</f>
        <v>6128.95</v>
      </c>
      <c r="O1023" s="181"/>
      <c r="P1023" s="182"/>
      <c r="Q1023" s="119"/>
      <c r="R1023" s="4"/>
    </row>
    <row r="1024" spans="1:18" ht="15.75" thickBot="1">
      <c r="A1024" s="1"/>
      <c r="B1024" s="2"/>
      <c r="C1024" s="8"/>
      <c r="D1024" s="128"/>
      <c r="E1024" s="129"/>
      <c r="F1024" s="129"/>
      <c r="G1024" s="129"/>
      <c r="H1024" s="129"/>
      <c r="I1024" s="129"/>
      <c r="J1024" s="129"/>
      <c r="K1024" s="129"/>
      <c r="L1024" s="129"/>
      <c r="M1024" s="129"/>
      <c r="N1024" s="129"/>
      <c r="O1024" s="130"/>
      <c r="P1024" s="131">
        <f>SUM(N1021:N1023)</f>
        <v>28893.63</v>
      </c>
      <c r="Q1024" s="186"/>
      <c r="R1024" s="4"/>
    </row>
    <row r="1025" spans="1:18" ht="15.75" thickBot="1">
      <c r="A1025" s="1"/>
      <c r="B1025" s="2"/>
      <c r="C1025" s="8"/>
      <c r="D1025" s="87"/>
      <c r="E1025" s="20"/>
      <c r="F1025" s="20"/>
      <c r="G1025" s="20"/>
      <c r="H1025" s="20"/>
      <c r="I1025" s="20"/>
      <c r="J1025" s="20"/>
      <c r="K1025" s="20"/>
      <c r="L1025" s="20"/>
      <c r="M1025" s="20"/>
      <c r="N1025" s="20"/>
      <c r="O1025" s="20"/>
      <c r="P1025" s="88"/>
      <c r="Q1025" s="13"/>
      <c r="R1025" s="4"/>
    </row>
    <row r="1026" spans="1:18" ht="15.75" thickBot="1">
      <c r="A1026" s="1"/>
      <c r="B1026" s="2"/>
      <c r="C1026" s="8"/>
      <c r="D1026" s="187" t="s">
        <v>46</v>
      </c>
      <c r="E1026" s="188"/>
      <c r="F1026" s="188"/>
      <c r="G1026" s="188"/>
      <c r="H1026" s="188"/>
      <c r="I1026" s="188"/>
      <c r="J1026" s="188"/>
      <c r="K1026" s="188"/>
      <c r="L1026" s="188"/>
      <c r="M1026" s="188"/>
      <c r="N1026" s="188"/>
      <c r="O1026" s="189"/>
      <c r="P1026" s="166">
        <f>ROUND(P1024+P1018,0)</f>
        <v>116450</v>
      </c>
      <c r="Q1026" s="186"/>
      <c r="R1026" s="4"/>
    </row>
    <row r="1027" spans="1:18">
      <c r="A1027" s="1"/>
      <c r="B1027" s="2"/>
      <c r="C1027" s="8"/>
      <c r="D1027" s="80"/>
      <c r="E1027" s="81"/>
      <c r="F1027" s="81"/>
      <c r="G1027" s="81"/>
      <c r="H1027" s="81"/>
      <c r="I1027" s="81"/>
      <c r="J1027" s="81"/>
      <c r="K1027" s="81"/>
      <c r="L1027" s="81"/>
      <c r="M1027" s="81"/>
      <c r="N1027" s="81"/>
      <c r="O1027" s="81"/>
      <c r="P1027" s="82"/>
      <c r="Q1027" s="13"/>
      <c r="R1027" s="4"/>
    </row>
    <row r="1028" spans="1:18">
      <c r="A1028" s="1"/>
      <c r="B1028" s="2"/>
      <c r="C1028" s="8"/>
      <c r="D1028" s="87"/>
      <c r="E1028" s="20"/>
      <c r="F1028" s="20"/>
      <c r="G1028" s="20"/>
      <c r="H1028" s="20"/>
      <c r="I1028" s="20"/>
      <c r="J1028" s="20"/>
      <c r="K1028" s="20"/>
      <c r="L1028" s="20"/>
      <c r="M1028" s="20"/>
      <c r="N1028" s="20"/>
      <c r="O1028" s="20"/>
      <c r="P1028" s="88"/>
      <c r="Q1028" s="13"/>
      <c r="R1028" s="4"/>
    </row>
    <row r="1029" spans="1:18">
      <c r="A1029" s="1"/>
      <c r="B1029" s="2"/>
      <c r="C1029" s="8"/>
      <c r="D1029" s="87"/>
      <c r="E1029" s="20"/>
      <c r="F1029" s="20"/>
      <c r="G1029" s="20"/>
      <c r="H1029" s="20"/>
      <c r="I1029" s="20"/>
      <c r="J1029" s="20"/>
      <c r="K1029" s="20"/>
      <c r="L1029" s="20"/>
      <c r="M1029" s="20"/>
      <c r="N1029" s="20"/>
      <c r="O1029" s="20"/>
      <c r="P1029" s="88"/>
      <c r="Q1029" s="13"/>
      <c r="R1029" s="4"/>
    </row>
    <row r="1030" spans="1:18">
      <c r="A1030" s="1"/>
      <c r="B1030" s="2"/>
      <c r="C1030" s="8"/>
      <c r="D1030" s="87"/>
      <c r="E1030" s="20"/>
      <c r="F1030" s="20"/>
      <c r="G1030" s="20"/>
      <c r="H1030" s="20"/>
      <c r="I1030" s="20"/>
      <c r="J1030" s="20"/>
      <c r="K1030" s="20"/>
      <c r="L1030" s="20"/>
      <c r="M1030" s="20"/>
      <c r="N1030" s="20"/>
      <c r="O1030" s="20"/>
      <c r="P1030" s="88"/>
      <c r="Q1030" s="13"/>
      <c r="R1030" s="4"/>
    </row>
    <row r="1031" spans="1:18">
      <c r="A1031" s="1"/>
      <c r="B1031" s="2"/>
      <c r="C1031" s="8"/>
      <c r="D1031" s="219" t="str">
        <f>+[239]INICIO!$B$13</f>
        <v>Proyectó:</v>
      </c>
      <c r="E1031" s="49"/>
      <c r="F1031" s="49"/>
      <c r="G1031" s="49"/>
      <c r="H1031" s="49"/>
      <c r="I1031" s="49"/>
      <c r="J1031" s="49"/>
      <c r="K1031" s="20"/>
      <c r="L1031" s="69" t="str">
        <f>+[239]INICIO!$B$16</f>
        <v>Aprobó:</v>
      </c>
      <c r="M1031" s="49"/>
      <c r="N1031" s="49"/>
      <c r="O1031" s="49"/>
      <c r="P1031" s="88"/>
      <c r="Q1031" s="13"/>
      <c r="R1031" s="4"/>
    </row>
    <row r="1032" spans="1:18">
      <c r="A1032" s="1"/>
      <c r="B1032" s="2"/>
      <c r="C1032" s="8"/>
      <c r="D1032" s="87"/>
      <c r="E1032" s="20" t="str">
        <f>+Hoja2!C$13</f>
        <v>HELMER EDUARDO BECERRA SANTANDER</v>
      </c>
      <c r="F1032" s="20"/>
      <c r="G1032" s="20"/>
      <c r="H1032" s="20"/>
      <c r="I1032" s="20"/>
      <c r="J1032" s="20"/>
      <c r="K1032" s="20"/>
      <c r="L1032" s="20"/>
      <c r="M1032" s="20" t="str">
        <f>+Hoja2!$C$16</f>
        <v>JESÚS IVÁN QUIÑONES RUEDA</v>
      </c>
      <c r="N1032" s="20"/>
      <c r="O1032" s="20"/>
      <c r="P1032" s="88"/>
      <c r="Q1032" s="190"/>
      <c r="R1032" s="4"/>
    </row>
    <row r="1033" spans="1:18">
      <c r="A1033" s="1"/>
      <c r="B1033" s="2"/>
      <c r="C1033" s="8"/>
      <c r="D1033" s="87"/>
      <c r="E1033" s="20" t="str">
        <f>+Hoja2!C$14</f>
        <v>APOYO SEC. DE PLANEACIÓN Y OBRAS PÚBLICAS</v>
      </c>
      <c r="F1033" s="20"/>
      <c r="G1033" s="20"/>
      <c r="H1033" s="20"/>
      <c r="I1033" s="20"/>
      <c r="J1033" s="20"/>
      <c r="K1033" s="20"/>
      <c r="L1033" s="20"/>
      <c r="M1033" s="20" t="str">
        <f>+Hoja2!$C$17</f>
        <v>SECRETARIO DE PLANEACIÓN Y OBRAS PUBLICAS</v>
      </c>
      <c r="N1033" s="20"/>
      <c r="O1033" s="20"/>
      <c r="P1033" s="88"/>
      <c r="Q1033" s="190"/>
      <c r="R1033" s="4"/>
    </row>
    <row r="1034" spans="1:18">
      <c r="A1034" s="1"/>
      <c r="B1034" s="2"/>
      <c r="C1034" s="8"/>
      <c r="D1034" s="68"/>
      <c r="E1034" s="20" t="str">
        <f>+Hoja2!C$15</f>
        <v>123769-0701671 NTS</v>
      </c>
      <c r="F1034" s="191"/>
      <c r="G1034" s="191"/>
      <c r="H1034" s="191"/>
      <c r="I1034" s="20"/>
      <c r="J1034" s="191"/>
      <c r="K1034" s="191"/>
      <c r="L1034" s="191"/>
      <c r="M1034" s="192" t="str">
        <f>+Hoja2!C$18</f>
        <v>A21382020-1090480860</v>
      </c>
      <c r="N1034" s="191"/>
      <c r="O1034" s="191"/>
      <c r="P1034" s="193"/>
      <c r="Q1034" s="194"/>
      <c r="R1034" s="4"/>
    </row>
    <row r="1035" spans="1:18" ht="16.5" thickBot="1">
      <c r="A1035" s="1"/>
      <c r="B1035" s="2"/>
      <c r="C1035" s="8"/>
      <c r="D1035" s="195"/>
      <c r="E1035" s="150"/>
      <c r="F1035" s="150"/>
      <c r="G1035" s="150"/>
      <c r="H1035" s="150"/>
      <c r="I1035" s="150"/>
      <c r="J1035" s="150"/>
      <c r="K1035" s="150"/>
      <c r="L1035" s="150"/>
      <c r="M1035" s="150"/>
      <c r="N1035" s="150"/>
      <c r="O1035" s="150"/>
      <c r="P1035" s="196"/>
      <c r="Q1035" s="197"/>
      <c r="R1035" s="4"/>
    </row>
    <row r="1036" spans="1:18" ht="15.75" thickBot="1">
      <c r="A1036" s="1"/>
      <c r="B1036" s="2"/>
      <c r="C1036" s="198"/>
      <c r="D1036" s="199"/>
      <c r="E1036" s="199"/>
      <c r="F1036" s="199"/>
      <c r="G1036" s="199"/>
      <c r="H1036" s="199"/>
      <c r="I1036" s="199"/>
      <c r="J1036" s="199"/>
      <c r="K1036" s="199"/>
      <c r="L1036" s="199"/>
      <c r="M1036" s="199"/>
      <c r="N1036" s="199"/>
      <c r="O1036" s="199"/>
      <c r="P1036" s="199"/>
      <c r="Q1036" s="200"/>
      <c r="R1036" s="4"/>
    </row>
    <row r="1037" spans="1:18" ht="16.5" thickTop="1" thickBot="1"/>
    <row r="1038" spans="1:18" ht="15.75" thickTop="1">
      <c r="A1038" s="1"/>
      <c r="B1038" s="2"/>
      <c r="C1038" s="5"/>
      <c r="D1038" s="6"/>
      <c r="E1038" s="6"/>
      <c r="F1038" s="6"/>
      <c r="G1038" s="6"/>
      <c r="H1038" s="6"/>
      <c r="I1038" s="6"/>
      <c r="J1038" s="6"/>
      <c r="K1038" s="6"/>
      <c r="L1038" s="6"/>
      <c r="M1038" s="6"/>
      <c r="N1038" s="6"/>
      <c r="O1038" s="6"/>
      <c r="P1038" s="6"/>
      <c r="Q1038" s="7"/>
      <c r="R1038" s="4"/>
    </row>
    <row r="1039" spans="1:18" ht="24">
      <c r="A1039" s="1"/>
      <c r="B1039" s="2"/>
      <c r="C1039" s="8"/>
      <c r="D1039" s="9" t="str">
        <f>+[239]INICIO!$C$8</f>
        <v>Análisis de Precios Unitarios- Secretaria de Planeación y Obras Publicas de Cubará, Boyacá.</v>
      </c>
      <c r="E1039" s="10"/>
      <c r="F1039" s="10"/>
      <c r="G1039" s="10"/>
      <c r="H1039" s="11"/>
      <c r="I1039" s="12"/>
      <c r="J1039" s="12"/>
      <c r="K1039" s="12"/>
      <c r="L1039" s="12"/>
      <c r="M1039" s="12"/>
      <c r="N1039" s="12"/>
      <c r="O1039" s="12"/>
      <c r="P1039" s="12"/>
      <c r="Q1039" s="13"/>
      <c r="R1039" s="4"/>
    </row>
    <row r="1040" spans="1:18">
      <c r="A1040" s="1"/>
      <c r="B1040" s="2"/>
      <c r="C1040" s="8"/>
      <c r="D1040" s="14" t="s">
        <v>0</v>
      </c>
      <c r="E1040" s="15" t="str">
        <f>+[239]INICIO!$C$7</f>
        <v>CCE-EICP-FM-14</v>
      </c>
      <c r="F1040" s="16"/>
      <c r="G1040" s="17" t="str">
        <f>+[239]INICIO!$B$6</f>
        <v>VERSIÓN</v>
      </c>
      <c r="H1040" s="14">
        <f>+[239]INICIO!$C$6</f>
        <v>1</v>
      </c>
      <c r="I1040" s="12"/>
      <c r="J1040" s="12"/>
      <c r="K1040" s="12"/>
      <c r="L1040" s="12"/>
      <c r="M1040" s="12"/>
      <c r="N1040" s="12"/>
      <c r="O1040" s="12"/>
      <c r="P1040" s="12"/>
      <c r="Q1040" s="13"/>
      <c r="R1040" s="4"/>
    </row>
    <row r="1041" spans="1:18">
      <c r="A1041" s="1"/>
      <c r="B1041" s="2"/>
      <c r="C1041" s="8"/>
      <c r="D1041" s="18"/>
      <c r="E1041" s="19"/>
      <c r="F1041" s="18"/>
      <c r="G1041" s="19"/>
      <c r="H1041" s="12"/>
      <c r="I1041" s="12"/>
      <c r="J1041" s="12"/>
      <c r="K1041" s="12"/>
      <c r="L1041" s="12"/>
      <c r="M1041" s="12"/>
      <c r="N1041" s="12"/>
      <c r="O1041" s="12"/>
      <c r="P1041" s="12"/>
      <c r="Q1041" s="13"/>
      <c r="R1041" s="4"/>
    </row>
    <row r="1042" spans="1:18" ht="15.75" thickBot="1">
      <c r="A1042" s="1"/>
      <c r="B1042" s="2"/>
      <c r="C1042" s="8"/>
      <c r="D1042" s="20"/>
      <c r="E1042" s="20"/>
      <c r="F1042" s="20"/>
      <c r="G1042" s="20"/>
      <c r="H1042" s="20"/>
      <c r="I1042" s="20"/>
      <c r="J1042" s="20"/>
      <c r="K1042" s="20"/>
      <c r="L1042" s="20"/>
      <c r="M1042" s="20"/>
      <c r="N1042" s="20"/>
      <c r="O1042" s="20"/>
      <c r="P1042" s="20"/>
      <c r="Q1042" s="13"/>
      <c r="R1042" s="4"/>
    </row>
    <row r="1043" spans="1:18">
      <c r="A1043" s="1"/>
      <c r="B1043" s="2"/>
      <c r="C1043" s="8"/>
      <c r="D1043" s="21"/>
      <c r="E1043" s="22"/>
      <c r="F1043" s="23"/>
      <c r="G1043" s="23"/>
      <c r="H1043" s="23"/>
      <c r="I1043" s="23"/>
      <c r="J1043" s="23"/>
      <c r="K1043" s="23"/>
      <c r="L1043" s="24"/>
      <c r="M1043" s="25"/>
      <c r="N1043" s="26"/>
      <c r="O1043" s="26"/>
      <c r="P1043" s="27"/>
      <c r="Q1043" s="28"/>
      <c r="R1043" s="4"/>
    </row>
    <row r="1044" spans="1:18">
      <c r="A1044" s="1"/>
      <c r="B1044" s="2"/>
      <c r="C1044" s="8"/>
      <c r="D1044" s="29"/>
      <c r="E1044" s="30" t="s">
        <v>1</v>
      </c>
      <c r="F1044" s="31"/>
      <c r="G1044" s="31"/>
      <c r="H1044" s="31"/>
      <c r="I1044" s="31"/>
      <c r="J1044" s="31"/>
      <c r="K1044" s="31"/>
      <c r="L1044" s="32"/>
      <c r="M1044" s="33"/>
      <c r="N1044" s="34"/>
      <c r="O1044" s="34"/>
      <c r="P1044" s="35"/>
      <c r="Q1044" s="28"/>
      <c r="R1044" s="4"/>
    </row>
    <row r="1045" spans="1:18">
      <c r="A1045" s="1"/>
      <c r="B1045" s="2"/>
      <c r="C1045" s="8"/>
      <c r="D1045" s="29"/>
      <c r="E1045" s="36"/>
      <c r="F1045" s="37"/>
      <c r="G1045" s="37"/>
      <c r="H1045" s="37"/>
      <c r="I1045" s="37"/>
      <c r="J1045" s="37"/>
      <c r="K1045" s="37"/>
      <c r="L1045" s="38"/>
      <c r="M1045" s="39"/>
      <c r="N1045" s="40"/>
      <c r="O1045" s="41"/>
      <c r="P1045" s="42"/>
      <c r="Q1045" s="28"/>
      <c r="R1045" s="4"/>
    </row>
    <row r="1046" spans="1:18">
      <c r="A1046" s="1"/>
      <c r="B1046" s="2"/>
      <c r="C1046" s="8"/>
      <c r="D1046" s="29"/>
      <c r="E1046" s="36"/>
      <c r="F1046" s="37"/>
      <c r="G1046" s="37"/>
      <c r="H1046" s="37"/>
      <c r="I1046" s="37"/>
      <c r="J1046" s="37"/>
      <c r="K1046" s="37"/>
      <c r="L1046" s="38"/>
      <c r="M1046" s="43" t="s">
        <v>2</v>
      </c>
      <c r="N1046" s="44"/>
      <c r="O1046" s="45">
        <f>+[239]INICIO!$C$6</f>
        <v>1</v>
      </c>
      <c r="P1046" s="46"/>
      <c r="Q1046" s="28"/>
      <c r="R1046" s="4"/>
    </row>
    <row r="1047" spans="1:18">
      <c r="A1047" s="1"/>
      <c r="B1047" s="2"/>
      <c r="C1047" s="8"/>
      <c r="D1047" s="29"/>
      <c r="E1047" s="36"/>
      <c r="F1047" s="37"/>
      <c r="G1047" s="37"/>
      <c r="H1047" s="37"/>
      <c r="I1047" s="37"/>
      <c r="J1047" s="37"/>
      <c r="K1047" s="37"/>
      <c r="L1047" s="38"/>
      <c r="M1047" s="47"/>
      <c r="N1047" s="48"/>
      <c r="O1047" s="49"/>
      <c r="P1047" s="50"/>
      <c r="Q1047" s="51"/>
      <c r="R1047" s="4"/>
    </row>
    <row r="1048" spans="1:18">
      <c r="A1048" s="1"/>
      <c r="B1048" s="2"/>
      <c r="C1048" s="8"/>
      <c r="D1048" s="29"/>
      <c r="E1048" s="52"/>
      <c r="F1048" s="53"/>
      <c r="G1048" s="53"/>
      <c r="H1048" s="53"/>
      <c r="I1048" s="53"/>
      <c r="J1048" s="53"/>
      <c r="K1048" s="53"/>
      <c r="L1048" s="54"/>
      <c r="M1048" s="39"/>
      <c r="N1048" s="55"/>
      <c r="O1048" s="55"/>
      <c r="P1048" s="56"/>
      <c r="Q1048" s="28"/>
      <c r="R1048" s="4"/>
    </row>
    <row r="1049" spans="1:18">
      <c r="A1049" s="1"/>
      <c r="B1049" s="2"/>
      <c r="C1049" s="8"/>
      <c r="D1049" s="29"/>
      <c r="E1049" s="52"/>
      <c r="F1049" s="53"/>
      <c r="G1049" s="53"/>
      <c r="H1049" s="53"/>
      <c r="I1049" s="53"/>
      <c r="J1049" s="53"/>
      <c r="K1049" s="53"/>
      <c r="L1049" s="54"/>
      <c r="M1049" s="43" t="s">
        <v>3</v>
      </c>
      <c r="N1049" s="43" t="str">
        <f>+VLOOKUP(D1060,'PRESUPUESTO OFICIAL '!C:Q,9,FALSE)</f>
        <v>13</v>
      </c>
      <c r="O1049" s="43" t="s">
        <v>4</v>
      </c>
      <c r="P1049" s="508" t="str">
        <f>+'PRESUPUESTO OFICIAL '!$M$122</f>
        <v>62</v>
      </c>
      <c r="Q1049" s="28"/>
      <c r="R1049" s="4"/>
    </row>
    <row r="1050" spans="1:18">
      <c r="A1050" s="1"/>
      <c r="B1050" s="2"/>
      <c r="C1050" s="8"/>
      <c r="D1050" s="29"/>
      <c r="E1050" s="30" t="s">
        <v>5</v>
      </c>
      <c r="F1050" s="31"/>
      <c r="G1050" s="31"/>
      <c r="H1050" s="31"/>
      <c r="I1050" s="31"/>
      <c r="J1050" s="31"/>
      <c r="K1050" s="31"/>
      <c r="L1050" s="32"/>
      <c r="M1050" s="43"/>
      <c r="N1050" s="57"/>
      <c r="O1050" s="57"/>
      <c r="P1050" s="58"/>
      <c r="Q1050" s="28"/>
      <c r="R1050" s="4"/>
    </row>
    <row r="1051" spans="1:18" ht="15.75" thickBot="1">
      <c r="A1051" s="1"/>
      <c r="B1051" s="2"/>
      <c r="C1051" s="8"/>
      <c r="D1051" s="59"/>
      <c r="E1051" s="60"/>
      <c r="F1051" s="60"/>
      <c r="G1051" s="60"/>
      <c r="H1051" s="60"/>
      <c r="I1051" s="60"/>
      <c r="J1051" s="60"/>
      <c r="K1051" s="60"/>
      <c r="L1051" s="60"/>
      <c r="M1051" s="60"/>
      <c r="N1051" s="61"/>
      <c r="O1051" s="61"/>
      <c r="P1051" s="62"/>
      <c r="Q1051" s="63"/>
      <c r="R1051" s="4"/>
    </row>
    <row r="1052" spans="1:18">
      <c r="A1052" s="1"/>
      <c r="B1052" s="2"/>
      <c r="C1052" s="8"/>
      <c r="D1052" s="64"/>
      <c r="E1052" s="65"/>
      <c r="F1052" s="65"/>
      <c r="G1052" s="65"/>
      <c r="H1052" s="65"/>
      <c r="I1052" s="65"/>
      <c r="J1052" s="65"/>
      <c r="K1052" s="65"/>
      <c r="L1052" s="65"/>
      <c r="M1052" s="66" t="s">
        <v>6</v>
      </c>
      <c r="N1052" s="66" t="s">
        <v>7</v>
      </c>
      <c r="O1052" s="66" t="s">
        <v>8</v>
      </c>
      <c r="P1052" s="67" t="s">
        <v>9</v>
      </c>
      <c r="Q1052" s="51"/>
      <c r="R1052" s="4"/>
    </row>
    <row r="1053" spans="1:18">
      <c r="A1053" s="1"/>
      <c r="B1053" s="2"/>
      <c r="C1053" s="8"/>
      <c r="D1053" s="68"/>
      <c r="E1053" s="69"/>
      <c r="F1053" s="69"/>
      <c r="G1053" s="69"/>
      <c r="H1053" s="69"/>
      <c r="I1053" s="69"/>
      <c r="J1053" s="69"/>
      <c r="K1053" s="69"/>
      <c r="L1053" s="69"/>
      <c r="M1053" s="70"/>
      <c r="N1053" s="71">
        <f>+Hoja2!B$5</f>
        <v>5</v>
      </c>
      <c r="O1053" s="71">
        <f>+Hoja2!C$5</f>
        <v>8</v>
      </c>
      <c r="P1053" s="72">
        <f>+Hoja2!D$5</f>
        <v>2026</v>
      </c>
      <c r="Q1053" s="73"/>
      <c r="R1053" s="4"/>
    </row>
    <row r="1054" spans="1:18">
      <c r="A1054" s="1"/>
      <c r="B1054" s="2"/>
      <c r="C1054" s="8"/>
      <c r="D1054" s="74"/>
      <c r="E1054" s="37"/>
      <c r="F1054" s="37"/>
      <c r="G1054" s="37"/>
      <c r="H1054" s="69"/>
      <c r="I1054" s="69"/>
      <c r="J1054" s="69"/>
      <c r="K1054" s="20"/>
      <c r="L1054" s="69"/>
      <c r="M1054" s="75"/>
      <c r="N1054" s="20"/>
      <c r="O1054" s="20"/>
      <c r="P1054" s="76"/>
      <c r="Q1054" s="73"/>
      <c r="R1054" s="4"/>
    </row>
    <row r="1055" spans="1:18" ht="15.75" thickBot="1">
      <c r="A1055" s="1"/>
      <c r="B1055" s="2"/>
      <c r="C1055" s="8"/>
      <c r="D1055" s="77"/>
      <c r="E1055" s="78"/>
      <c r="F1055" s="78"/>
      <c r="G1055" s="78"/>
      <c r="H1055" s="78"/>
      <c r="I1055" s="78"/>
      <c r="J1055" s="78"/>
      <c r="K1055" s="78"/>
      <c r="L1055" s="78"/>
      <c r="M1055" s="78"/>
      <c r="N1055" s="78"/>
      <c r="O1055" s="78"/>
      <c r="P1055" s="79"/>
      <c r="Q1055" s="13"/>
      <c r="R1055" s="4"/>
    </row>
    <row r="1056" spans="1:18" ht="15.75" thickBot="1">
      <c r="A1056" s="1"/>
      <c r="B1056" s="2"/>
      <c r="C1056" s="8"/>
      <c r="D1056" s="80"/>
      <c r="E1056" s="81"/>
      <c r="F1056" s="81"/>
      <c r="G1056" s="81"/>
      <c r="H1056" s="81"/>
      <c r="I1056" s="81"/>
      <c r="J1056" s="20"/>
      <c r="K1056" s="20"/>
      <c r="L1056" s="81"/>
      <c r="M1056" s="81"/>
      <c r="N1056" s="81"/>
      <c r="O1056" s="81"/>
      <c r="P1056" s="82"/>
      <c r="Q1056" s="13"/>
      <c r="R1056" s="4"/>
    </row>
    <row r="1057" spans="1:18">
      <c r="A1057" s="1"/>
      <c r="B1057" s="2"/>
      <c r="C1057" s="8"/>
      <c r="D1057" s="83" t="s">
        <v>10</v>
      </c>
      <c r="E1057" s="84"/>
      <c r="F1057" s="84"/>
      <c r="G1057" s="84"/>
      <c r="H1057" s="84"/>
      <c r="I1057" s="84"/>
      <c r="J1057" s="84"/>
      <c r="K1057" s="84"/>
      <c r="L1057" s="84"/>
      <c r="M1057" s="84"/>
      <c r="N1057" s="84"/>
      <c r="O1057" s="84"/>
      <c r="P1057" s="85"/>
      <c r="Q1057" s="86"/>
      <c r="R1057" s="4"/>
    </row>
    <row r="1058" spans="1:18" ht="15.75" thickBot="1">
      <c r="A1058" s="1"/>
      <c r="B1058" s="2"/>
      <c r="C1058" s="8"/>
      <c r="D1058" s="87"/>
      <c r="E1058" s="20"/>
      <c r="F1058" s="20"/>
      <c r="G1058" s="20"/>
      <c r="H1058" s="20"/>
      <c r="I1058" s="20"/>
      <c r="J1058" s="20"/>
      <c r="K1058" s="20"/>
      <c r="L1058" s="20"/>
      <c r="M1058" s="20"/>
      <c r="N1058" s="20"/>
      <c r="O1058" s="20"/>
      <c r="P1058" s="88"/>
      <c r="Q1058" s="13"/>
      <c r="R1058" s="4"/>
    </row>
    <row r="1059" spans="1:18">
      <c r="A1059" s="1" t="s">
        <v>11</v>
      </c>
      <c r="B1059" s="2" t="s">
        <v>12</v>
      </c>
      <c r="C1059" s="8"/>
      <c r="D1059" s="89" t="s">
        <v>13</v>
      </c>
      <c r="E1059" s="90" t="s">
        <v>14</v>
      </c>
      <c r="F1059" s="90"/>
      <c r="G1059" s="90"/>
      <c r="H1059" s="90"/>
      <c r="I1059" s="90"/>
      <c r="J1059" s="90"/>
      <c r="K1059" s="90"/>
      <c r="L1059" s="90"/>
      <c r="M1059" s="90"/>
      <c r="N1059" s="91" t="s">
        <v>15</v>
      </c>
      <c r="O1059" s="91"/>
      <c r="P1059" s="92" t="s">
        <v>16</v>
      </c>
      <c r="Q1059" s="93"/>
      <c r="R1059" s="4"/>
    </row>
    <row r="1060" spans="1:18" ht="15.75" thickBot="1">
      <c r="A1060" s="1"/>
      <c r="B1060" s="2"/>
      <c r="C1060" s="8"/>
      <c r="D1060" s="349">
        <f>+'PRESUPUESTO OFICIAL '!C24</f>
        <v>1.1299999999999999</v>
      </c>
      <c r="E1060" s="94" t="str">
        <f>+VLOOKUP(D1060,'PRESUPUESTO OFICIAL '!C:H,2,FALSE)</f>
        <v>EXCAVACIÓN MANUAL EN MATERIAL CONGLOMERADO</v>
      </c>
      <c r="F1060" s="94"/>
      <c r="G1060" s="94"/>
      <c r="H1060" s="94"/>
      <c r="I1060" s="94"/>
      <c r="J1060" s="94"/>
      <c r="K1060" s="94"/>
      <c r="L1060" s="94"/>
      <c r="M1060" s="94"/>
      <c r="N1060" s="94" t="str">
        <f>+VLOOKUP(D1060,'PRESUPUESTO OFICIAL '!C:H,3,FALSE)</f>
        <v>M3</v>
      </c>
      <c r="O1060" s="95"/>
      <c r="P1060" s="96">
        <f>+VLOOKUP(D1060,'PRESUPUESTO OFICIAL '!C:H,4,FALSE)</f>
        <v>2.4500000000000002</v>
      </c>
      <c r="Q1060" s="97"/>
      <c r="R1060" s="98">
        <f>+P1112</f>
        <v>163030</v>
      </c>
    </row>
    <row r="1061" spans="1:18" ht="15.75" thickBot="1">
      <c r="A1061" s="1"/>
      <c r="B1061" s="2"/>
      <c r="C1061" s="8"/>
      <c r="D1061" s="74" t="s">
        <v>17</v>
      </c>
      <c r="E1061" s="37"/>
      <c r="F1061" s="37"/>
      <c r="G1061" s="37"/>
      <c r="H1061" s="37"/>
      <c r="I1061" s="37"/>
      <c r="J1061" s="37"/>
      <c r="K1061" s="37"/>
      <c r="L1061" s="37"/>
      <c r="M1061" s="37"/>
      <c r="N1061" s="37"/>
      <c r="O1061" s="37"/>
      <c r="P1061" s="99"/>
      <c r="Q1061" s="100"/>
      <c r="R1061" s="4"/>
    </row>
    <row r="1062" spans="1:18">
      <c r="A1062" s="1"/>
      <c r="B1062" s="2"/>
      <c r="C1062" s="8"/>
      <c r="D1062" s="101" t="s">
        <v>14</v>
      </c>
      <c r="E1062" s="102"/>
      <c r="F1062" s="102"/>
      <c r="G1062" s="102"/>
      <c r="H1062" s="103"/>
      <c r="I1062" s="104" t="s">
        <v>18</v>
      </c>
      <c r="J1062" s="102"/>
      <c r="K1062" s="104" t="s">
        <v>19</v>
      </c>
      <c r="L1062" s="105"/>
      <c r="M1062" s="106" t="s">
        <v>20</v>
      </c>
      <c r="N1062" s="104" t="s">
        <v>21</v>
      </c>
      <c r="O1062" s="105"/>
      <c r="P1062" s="107" t="s">
        <v>22</v>
      </c>
      <c r="Q1062" s="108"/>
      <c r="R1062" s="4"/>
    </row>
    <row r="1063" spans="1:18">
      <c r="A1063" s="1" t="e">
        <f>[239]INDICE!#REF!</f>
        <v>#REF!</v>
      </c>
      <c r="B1063" s="2" t="s">
        <v>23</v>
      </c>
      <c r="C1063" s="8"/>
      <c r="D1063" s="109" t="str">
        <f>IFERROR(INDEX([239]EQUIPOS!B:B,MATCH(B1063,[239]EQUIPOS!A:A,0)),"")</f>
        <v>HERRAMIENTA MENOR (% M.O)</v>
      </c>
      <c r="E1063" s="110"/>
      <c r="F1063" s="110"/>
      <c r="G1063" s="110"/>
      <c r="H1063" s="111"/>
      <c r="I1063" s="112"/>
      <c r="J1063" s="111"/>
      <c r="K1063" s="113" t="str">
        <f>IFERROR(INDEX([239]EQUIPOS!C:C,MATCH(B1063,[239]EQUIPOS!A:A,0)),"")</f>
        <v>%</v>
      </c>
      <c r="L1063" s="114"/>
      <c r="M1063" s="115">
        <f>IFERROR(IF(D1063="HERRAMIENTA MENOR (% M.O)",P1102,INDEX([239]EQUIPOS!D:D,MATCH(B1063,[239]EQUIPOS!A:A,0))),"")</f>
        <v>111435.48</v>
      </c>
      <c r="N1063" s="116">
        <v>10</v>
      </c>
      <c r="O1063" s="117"/>
      <c r="P1063" s="118">
        <f t="shared" ref="P1063:P1068" si="35">IFERROR(ROUND(IF(D1063="HERRAMIENTA MENOR (% M.O)",N1063%*M1063,M1063/N1063),2)," ")</f>
        <v>11143.55</v>
      </c>
      <c r="Q1063" s="119"/>
      <c r="R1063" s="4"/>
    </row>
    <row r="1064" spans="1:18">
      <c r="A1064" s="1">
        <f>+$A$2341</f>
        <v>0</v>
      </c>
      <c r="B1064" s="2"/>
      <c r="C1064" s="8"/>
      <c r="D1064" s="109" t="str">
        <f>IFERROR(INDEX([239]EQUIPOS!B:B,MATCH(B1064,[239]EQUIPOS!A:A,0)),"")</f>
        <v/>
      </c>
      <c r="E1064" s="110"/>
      <c r="F1064" s="110"/>
      <c r="G1064" s="110"/>
      <c r="H1064" s="111"/>
      <c r="I1064" s="112"/>
      <c r="J1064" s="111"/>
      <c r="K1064" s="113" t="str">
        <f>IFERROR(INDEX([239]EQUIPOS!C:C,MATCH(B1064,[239]EQUIPOS!A:A,0)),"")</f>
        <v/>
      </c>
      <c r="L1064" s="114"/>
      <c r="M1064" s="115" t="str">
        <f>IFERROR(IF(D1064="HERRAMIENTA MENOR (% M.O)",P1103,INDEX([239]EQUIPOS!D:D,MATCH(B1064,[239]EQUIPOS!A:A,0))),"")</f>
        <v/>
      </c>
      <c r="N1064" s="116"/>
      <c r="O1064" s="117"/>
      <c r="P1064" s="118" t="str">
        <f t="shared" si="35"/>
        <v xml:space="preserve"> </v>
      </c>
      <c r="Q1064" s="119"/>
      <c r="R1064" s="4"/>
    </row>
    <row r="1065" spans="1:18">
      <c r="A1065" s="1">
        <f t="shared" ref="A1065:A1103" si="36">+A1064</f>
        <v>0</v>
      </c>
      <c r="B1065" s="2"/>
      <c r="C1065" s="8"/>
      <c r="D1065" s="109" t="str">
        <f>IFERROR(INDEX([239]EQUIPOS!B:B,MATCH(B1065,[239]EQUIPOS!A:A,0)),"")</f>
        <v/>
      </c>
      <c r="E1065" s="110"/>
      <c r="F1065" s="110"/>
      <c r="G1065" s="110"/>
      <c r="H1065" s="111"/>
      <c r="I1065" s="120"/>
      <c r="J1065" s="121"/>
      <c r="K1065" s="113" t="str">
        <f>IFERROR(INDEX([239]EQUIPOS!C:C,MATCH(B1065,[239]EQUIPOS!A:A,0)),"")</f>
        <v/>
      </c>
      <c r="L1065" s="114"/>
      <c r="M1065" s="115" t="str">
        <f>IFERROR(IF(D1065="HERRAMIENTA MENOR (% M.O)",P1104,INDEX([239]EQUIPOS!D:D,MATCH(B1065,[239]EQUIPOS!A:A,0))),"")</f>
        <v/>
      </c>
      <c r="N1065" s="116"/>
      <c r="O1065" s="117"/>
      <c r="P1065" s="118" t="str">
        <f t="shared" si="35"/>
        <v xml:space="preserve"> </v>
      </c>
      <c r="Q1065" s="119"/>
      <c r="R1065" s="4"/>
    </row>
    <row r="1066" spans="1:18">
      <c r="A1066" s="1">
        <f t="shared" si="36"/>
        <v>0</v>
      </c>
      <c r="B1066" s="2"/>
      <c r="C1066" s="8"/>
      <c r="D1066" s="109" t="str">
        <f>IFERROR(INDEX([239]EQUIPOS!B:B,MATCH(B1066,[239]EQUIPOS!A:A,0)),"")</f>
        <v/>
      </c>
      <c r="E1066" s="110"/>
      <c r="F1066" s="110"/>
      <c r="G1066" s="110"/>
      <c r="H1066" s="111"/>
      <c r="I1066" s="120"/>
      <c r="J1066" s="121"/>
      <c r="K1066" s="113" t="str">
        <f>IFERROR(INDEX([239]EQUIPOS!C:C,MATCH(B1066,[239]EQUIPOS!A:A,0)),"")</f>
        <v/>
      </c>
      <c r="L1066" s="114"/>
      <c r="M1066" s="115" t="str">
        <f>IFERROR(IF(D1066="HERRAMIENTA MENOR (% M.O)",P1105,INDEX([239]EQUIPOS!D:D,MATCH(B1066,[239]EQUIPOS!A:A,0))),"")</f>
        <v/>
      </c>
      <c r="N1066" s="116"/>
      <c r="O1066" s="117"/>
      <c r="P1066" s="118" t="str">
        <f t="shared" si="35"/>
        <v xml:space="preserve"> </v>
      </c>
      <c r="Q1066" s="119"/>
      <c r="R1066" s="4"/>
    </row>
    <row r="1067" spans="1:18">
      <c r="A1067" s="1">
        <f t="shared" si="36"/>
        <v>0</v>
      </c>
      <c r="B1067" s="2"/>
      <c r="C1067" s="8"/>
      <c r="D1067" s="109" t="str">
        <f>IFERROR(INDEX([239]EQUIPOS!B:B,MATCH(B1067,[239]EQUIPOS!A:A,0)),"")</f>
        <v/>
      </c>
      <c r="E1067" s="110"/>
      <c r="F1067" s="110"/>
      <c r="G1067" s="110"/>
      <c r="H1067" s="111"/>
      <c r="I1067" s="112"/>
      <c r="J1067" s="111"/>
      <c r="K1067" s="113" t="str">
        <f>IFERROR(INDEX([239]EQUIPOS!C:C,MATCH(B1067,[239]EQUIPOS!A:A,0)),"")</f>
        <v/>
      </c>
      <c r="L1067" s="114"/>
      <c r="M1067" s="115" t="str">
        <f>IFERROR(IF(D1067="HERRAMIENTA MENOR (% M.O)",P1106,INDEX([239]EQUIPOS!D:D,MATCH(B1067,[239]EQUIPOS!A:A,0))),"")</f>
        <v/>
      </c>
      <c r="N1067" s="116"/>
      <c r="O1067" s="117"/>
      <c r="P1067" s="118" t="str">
        <f t="shared" si="35"/>
        <v xml:space="preserve"> </v>
      </c>
      <c r="Q1067" s="119"/>
      <c r="R1067" s="4"/>
    </row>
    <row r="1068" spans="1:18" ht="15.75" thickBot="1">
      <c r="A1068" s="1">
        <f t="shared" si="36"/>
        <v>0</v>
      </c>
      <c r="B1068" s="2"/>
      <c r="C1068" s="8"/>
      <c r="D1068" s="109" t="str">
        <f>IFERROR(INDEX([239]EQUIPOS!B:B,MATCH(B1068,[239]EQUIPOS!A:A,0)),"")</f>
        <v/>
      </c>
      <c r="E1068" s="78"/>
      <c r="F1068" s="78"/>
      <c r="G1068" s="78"/>
      <c r="H1068" s="122"/>
      <c r="I1068" s="123"/>
      <c r="J1068" s="122"/>
      <c r="K1068" s="113" t="str">
        <f>IFERROR(INDEX([239]EQUIPOS!C:C,MATCH(B1068,[239]EQUIPOS!A:A,0)),"")</f>
        <v/>
      </c>
      <c r="L1068" s="124"/>
      <c r="M1068" s="115" t="str">
        <f>IFERROR(IF(D1068="HERRAMIENTA MENOR (% M.O)",P1107,INDEX([239]EQUIPOS!D:D,MATCH(B1068,[239]EQUIPOS!A:A,0))),"")</f>
        <v/>
      </c>
      <c r="N1068" s="125"/>
      <c r="O1068" s="126"/>
      <c r="P1068" s="127" t="str">
        <f t="shared" si="35"/>
        <v xml:space="preserve"> </v>
      </c>
      <c r="Q1068" s="119"/>
      <c r="R1068" s="4"/>
    </row>
    <row r="1069" spans="1:18" ht="15.75" thickBot="1">
      <c r="A1069" s="1">
        <f t="shared" si="36"/>
        <v>0</v>
      </c>
      <c r="B1069" s="2"/>
      <c r="C1069" s="8"/>
      <c r="D1069" s="128" t="s">
        <v>24</v>
      </c>
      <c r="E1069" s="129"/>
      <c r="F1069" s="129"/>
      <c r="G1069" s="129"/>
      <c r="H1069" s="129"/>
      <c r="I1069" s="129"/>
      <c r="J1069" s="129"/>
      <c r="K1069" s="129"/>
      <c r="L1069" s="129"/>
      <c r="M1069" s="129"/>
      <c r="N1069" s="129"/>
      <c r="O1069" s="130"/>
      <c r="P1069" s="131">
        <f>SUM(P1063:P1068)</f>
        <v>11143.55</v>
      </c>
      <c r="Q1069" s="132"/>
      <c r="R1069" s="4"/>
    </row>
    <row r="1070" spans="1:18" ht="15.75" thickBot="1">
      <c r="A1070" s="1">
        <f t="shared" si="36"/>
        <v>0</v>
      </c>
      <c r="B1070" s="2"/>
      <c r="C1070" s="8"/>
      <c r="D1070" s="74" t="s">
        <v>25</v>
      </c>
      <c r="E1070" s="37"/>
      <c r="F1070" s="37"/>
      <c r="G1070" s="37"/>
      <c r="H1070" s="37"/>
      <c r="I1070" s="37"/>
      <c r="J1070" s="37"/>
      <c r="K1070" s="37"/>
      <c r="L1070" s="37"/>
      <c r="M1070" s="37"/>
      <c r="N1070" s="37"/>
      <c r="O1070" s="37"/>
      <c r="P1070" s="99"/>
      <c r="Q1070" s="100"/>
      <c r="R1070" s="4"/>
    </row>
    <row r="1071" spans="1:18">
      <c r="A1071" s="1">
        <f t="shared" si="36"/>
        <v>0</v>
      </c>
      <c r="B1071" s="2"/>
      <c r="C1071" s="8"/>
      <c r="D1071" s="101" t="s">
        <v>14</v>
      </c>
      <c r="E1071" s="133"/>
      <c r="F1071" s="133"/>
      <c r="G1071" s="133"/>
      <c r="H1071" s="133"/>
      <c r="I1071" s="133"/>
      <c r="J1071" s="133"/>
      <c r="K1071" s="105"/>
      <c r="L1071" s="134" t="s">
        <v>15</v>
      </c>
      <c r="M1071" s="106" t="s">
        <v>16</v>
      </c>
      <c r="N1071" s="104" t="s">
        <v>26</v>
      </c>
      <c r="O1071" s="105"/>
      <c r="P1071" s="107" t="s">
        <v>22</v>
      </c>
      <c r="Q1071" s="108"/>
      <c r="R1071" s="4"/>
    </row>
    <row r="1072" spans="1:18">
      <c r="A1072" s="1">
        <f t="shared" si="36"/>
        <v>0</v>
      </c>
      <c r="B1072" s="2"/>
      <c r="C1072" s="8"/>
      <c r="D1072" s="109" t="str">
        <f>IFERROR(INDEX([239]MATERIALES!C:C,MATCH(B1072,[239]MATERIALES!B:B,0)),"")</f>
        <v/>
      </c>
      <c r="E1072" s="135"/>
      <c r="F1072" s="135"/>
      <c r="G1072" s="135"/>
      <c r="H1072" s="135"/>
      <c r="I1072" s="135"/>
      <c r="J1072" s="135"/>
      <c r="K1072" s="136"/>
      <c r="L1072" s="137" t="str">
        <f>IFERROR(INDEX([239]MATERIALES!D:D,MATCH(B1072,[239]MATERIALES!B:B,0)),"")</f>
        <v/>
      </c>
      <c r="M1072" s="138"/>
      <c r="N1072" s="139" t="str">
        <f>IFERROR(INDEX([239]MATERIALES!P:P,MATCH(B1072,[239]MATERIALES!B:B,0)),"")</f>
        <v/>
      </c>
      <c r="O1072" s="140"/>
      <c r="P1072" s="118" t="str">
        <f>IFERROR(ROUND(N1072*M1072,2),"")</f>
        <v/>
      </c>
      <c r="Q1072" s="119"/>
      <c r="R1072" s="4"/>
    </row>
    <row r="1073" spans="1:18">
      <c r="A1073" s="1">
        <f t="shared" si="36"/>
        <v>0</v>
      </c>
      <c r="B1073" s="2"/>
      <c r="C1073" s="8"/>
      <c r="D1073" s="109" t="str">
        <f>IFERROR(INDEX([239]MATERIALES!C:C,MATCH(B1073,[239]MATERIALES!B:B,0)),"")</f>
        <v/>
      </c>
      <c r="E1073" s="135"/>
      <c r="F1073" s="135"/>
      <c r="G1073" s="135"/>
      <c r="H1073" s="135"/>
      <c r="I1073" s="135"/>
      <c r="J1073" s="135"/>
      <c r="K1073" s="136"/>
      <c r="L1073" s="137" t="str">
        <f>IFERROR(INDEX([239]MATERIALES!D:D,MATCH(B1073,[239]MATERIALES!B:B,0)),"")</f>
        <v/>
      </c>
      <c r="M1073" s="138"/>
      <c r="N1073" s="139" t="str">
        <f>IFERROR(INDEX([239]MATERIALES!P:P,MATCH(B1073,[239]MATERIALES!B:B,0)),"")</f>
        <v/>
      </c>
      <c r="O1073" s="140"/>
      <c r="P1073" s="118" t="str">
        <f>IFERROR(ROUND(N1073*M1073,2),"")</f>
        <v/>
      </c>
      <c r="Q1073" s="119"/>
      <c r="R1073" s="4"/>
    </row>
    <row r="1074" spans="1:18">
      <c r="A1074" s="1">
        <f t="shared" si="36"/>
        <v>0</v>
      </c>
      <c r="B1074" s="2"/>
      <c r="C1074" s="8"/>
      <c r="D1074" s="109" t="str">
        <f>IFERROR(INDEX([239]MATERIALES!C:C,MATCH(B1074,[239]MATERIALES!B:B,0)),"")</f>
        <v/>
      </c>
      <c r="E1074" s="110"/>
      <c r="F1074" s="110"/>
      <c r="G1074" s="110"/>
      <c r="H1074" s="110"/>
      <c r="I1074" s="110"/>
      <c r="J1074" s="110"/>
      <c r="K1074" s="111"/>
      <c r="L1074" s="137" t="str">
        <f>IFERROR(INDEX([239]MATERIALES!D:D,MATCH(B1074,[239]MATERIALES!B:B,0)),"")</f>
        <v/>
      </c>
      <c r="M1074" s="138"/>
      <c r="N1074" s="139" t="str">
        <f>IFERROR(INDEX([239]MATERIALES!P:P,MATCH(B1074,[239]MATERIALES!B:B,0)),"")</f>
        <v/>
      </c>
      <c r="O1074" s="140"/>
      <c r="P1074" s="118" t="str">
        <f>IFERROR(ROUND(N1074*M1074,2),"")</f>
        <v/>
      </c>
      <c r="Q1074" s="119"/>
      <c r="R1074" s="4"/>
    </row>
    <row r="1075" spans="1:18">
      <c r="A1075" s="1">
        <f t="shared" si="36"/>
        <v>0</v>
      </c>
      <c r="B1075" s="2"/>
      <c r="C1075" s="8"/>
      <c r="D1075" s="109" t="str">
        <f>IFERROR(INDEX([239]MATERIALES!C:C,MATCH(B1075,[239]MATERIALES!B:B,0)),"")</f>
        <v/>
      </c>
      <c r="E1075" s="110"/>
      <c r="F1075" s="110"/>
      <c r="G1075" s="110"/>
      <c r="H1075" s="110"/>
      <c r="I1075" s="110"/>
      <c r="J1075" s="110"/>
      <c r="K1075" s="111"/>
      <c r="L1075" s="137" t="str">
        <f>IFERROR(INDEX([239]MATERIALES!D:D,MATCH(B1075,[239]MATERIALES!B:B,0)),"")</f>
        <v/>
      </c>
      <c r="M1075" s="138"/>
      <c r="N1075" s="139" t="str">
        <f>IFERROR(INDEX([239]MATERIALES!P:P,MATCH(B1075,[239]MATERIALES!B:B,0)),"")</f>
        <v/>
      </c>
      <c r="O1075" s="140"/>
      <c r="P1075" s="118" t="str">
        <f>IFERROR(ROUND(N1075*M1075,2),"")</f>
        <v/>
      </c>
      <c r="Q1075" s="119"/>
      <c r="R1075" s="4"/>
    </row>
    <row r="1076" spans="1:18">
      <c r="A1076" s="1">
        <f t="shared" si="36"/>
        <v>0</v>
      </c>
      <c r="B1076" s="2"/>
      <c r="C1076" s="8"/>
      <c r="D1076" s="109" t="str">
        <f>IFERROR(INDEX([239]MATERIALES!C:C,MATCH(B1076,[239]MATERIALES!B:B,0)),"")</f>
        <v/>
      </c>
      <c r="E1076" s="110"/>
      <c r="F1076" s="110"/>
      <c r="G1076" s="110"/>
      <c r="H1076" s="110"/>
      <c r="I1076" s="110"/>
      <c r="J1076" s="110"/>
      <c r="K1076" s="111"/>
      <c r="L1076" s="137" t="str">
        <f>IFERROR(INDEX([239]MATERIALES!D:D,MATCH(B1076,[239]MATERIALES!B:B,0)),"")</f>
        <v/>
      </c>
      <c r="M1076" s="138"/>
      <c r="N1076" s="139" t="str">
        <f>IFERROR(INDEX([239]MATERIALES!P:P,MATCH(B1076,[239]MATERIALES!B:B,0)),"")</f>
        <v/>
      </c>
      <c r="O1076" s="140"/>
      <c r="P1076" s="118" t="str">
        <f t="shared" ref="P1076:P1085" si="37">IFERROR(ROUND(N1076*M1076,2),"")</f>
        <v/>
      </c>
      <c r="Q1076" s="119"/>
      <c r="R1076" s="4"/>
    </row>
    <row r="1077" spans="1:18">
      <c r="A1077" s="1">
        <f t="shared" si="36"/>
        <v>0</v>
      </c>
      <c r="B1077" s="2"/>
      <c r="C1077" s="8"/>
      <c r="D1077" s="109" t="str">
        <f>IFERROR(INDEX([239]MATERIALES!C:C,MATCH(B1077,[239]MATERIALES!B:B,0)),"")</f>
        <v/>
      </c>
      <c r="E1077" s="110"/>
      <c r="F1077" s="110"/>
      <c r="G1077" s="110"/>
      <c r="H1077" s="110"/>
      <c r="I1077" s="110"/>
      <c r="J1077" s="110"/>
      <c r="K1077" s="111"/>
      <c r="L1077" s="137" t="str">
        <f>IFERROR(INDEX([239]MATERIALES!D:D,MATCH(B1077,[239]MATERIALES!B:B,0)),"")</f>
        <v/>
      </c>
      <c r="M1077" s="138"/>
      <c r="N1077" s="139" t="str">
        <f>IFERROR(INDEX([239]MATERIALES!P:P,MATCH(B1077,[239]MATERIALES!B:B,0)),"")</f>
        <v/>
      </c>
      <c r="O1077" s="140"/>
      <c r="P1077" s="118" t="str">
        <f t="shared" si="37"/>
        <v/>
      </c>
      <c r="Q1077" s="119"/>
      <c r="R1077" s="4"/>
    </row>
    <row r="1078" spans="1:18">
      <c r="A1078" s="1">
        <f t="shared" si="36"/>
        <v>0</v>
      </c>
      <c r="B1078" s="2"/>
      <c r="C1078" s="8"/>
      <c r="D1078" s="109" t="str">
        <f>IFERROR(INDEX([239]MATERIALES!C:C,MATCH(B1078,[239]MATERIALES!B:B,0)),"")</f>
        <v/>
      </c>
      <c r="E1078" s="110"/>
      <c r="F1078" s="110"/>
      <c r="G1078" s="110"/>
      <c r="H1078" s="110"/>
      <c r="I1078" s="110"/>
      <c r="J1078" s="110"/>
      <c r="K1078" s="111"/>
      <c r="L1078" s="137" t="str">
        <f>IFERROR(INDEX([239]MATERIALES!D:D,MATCH(B1078,[239]MATERIALES!B:B,0)),"")</f>
        <v/>
      </c>
      <c r="M1078" s="138"/>
      <c r="N1078" s="139" t="str">
        <f>IFERROR(INDEX([239]MATERIALES!P:P,MATCH(B1078,[239]MATERIALES!B:B,0)),"")</f>
        <v/>
      </c>
      <c r="O1078" s="140"/>
      <c r="P1078" s="118" t="str">
        <f t="shared" si="37"/>
        <v/>
      </c>
      <c r="Q1078" s="119"/>
      <c r="R1078" s="4"/>
    </row>
    <row r="1079" spans="1:18">
      <c r="A1079" s="1">
        <f t="shared" si="36"/>
        <v>0</v>
      </c>
      <c r="B1079" s="2"/>
      <c r="C1079" s="8"/>
      <c r="D1079" s="109" t="str">
        <f>IFERROR(INDEX([239]MATERIALES!C:C,MATCH(B1079,[239]MATERIALES!B:B,0)),"")</f>
        <v/>
      </c>
      <c r="E1079" s="110"/>
      <c r="F1079" s="110"/>
      <c r="G1079" s="110"/>
      <c r="H1079" s="110"/>
      <c r="I1079" s="110"/>
      <c r="J1079" s="110"/>
      <c r="K1079" s="111"/>
      <c r="L1079" s="137" t="str">
        <f>IFERROR(INDEX([239]MATERIALES!D:D,MATCH(B1079,[239]MATERIALES!B:B,0)),"")</f>
        <v/>
      </c>
      <c r="M1079" s="138"/>
      <c r="N1079" s="139" t="str">
        <f>IFERROR(INDEX([239]MATERIALES!P:P,MATCH(B1079,[239]MATERIALES!B:B,0)),"")</f>
        <v/>
      </c>
      <c r="O1079" s="140"/>
      <c r="P1079" s="118" t="str">
        <f t="shared" si="37"/>
        <v/>
      </c>
      <c r="Q1079" s="119"/>
      <c r="R1079" s="4"/>
    </row>
    <row r="1080" spans="1:18">
      <c r="A1080" s="1">
        <f t="shared" si="36"/>
        <v>0</v>
      </c>
      <c r="B1080" s="2"/>
      <c r="C1080" s="8"/>
      <c r="D1080" s="109" t="str">
        <f>IFERROR(INDEX([239]MATERIALES!C:C,MATCH(B1080,[239]MATERIALES!B:B,0)),"")</f>
        <v/>
      </c>
      <c r="E1080" s="110"/>
      <c r="F1080" s="110"/>
      <c r="G1080" s="110"/>
      <c r="H1080" s="110"/>
      <c r="I1080" s="110"/>
      <c r="J1080" s="110"/>
      <c r="K1080" s="111"/>
      <c r="L1080" s="137" t="str">
        <f>IFERROR(INDEX([239]MATERIALES!D:D,MATCH(B1080,[239]MATERIALES!B:B,0)),"")</f>
        <v/>
      </c>
      <c r="M1080" s="138"/>
      <c r="N1080" s="139" t="str">
        <f>IFERROR(INDEX([239]MATERIALES!P:P,MATCH(B1080,[239]MATERIALES!B:B,0)),"")</f>
        <v/>
      </c>
      <c r="O1080" s="140"/>
      <c r="P1080" s="118" t="str">
        <f t="shared" si="37"/>
        <v/>
      </c>
      <c r="Q1080" s="119"/>
      <c r="R1080" s="4"/>
    </row>
    <row r="1081" spans="1:18">
      <c r="A1081" s="1">
        <f t="shared" si="36"/>
        <v>0</v>
      </c>
      <c r="B1081" s="2"/>
      <c r="C1081" s="8"/>
      <c r="D1081" s="109" t="str">
        <f>IFERROR(INDEX([239]MATERIALES!C:C,MATCH(B1081,[239]MATERIALES!B:B,0)),"")</f>
        <v/>
      </c>
      <c r="E1081" s="110"/>
      <c r="F1081" s="110"/>
      <c r="G1081" s="110"/>
      <c r="H1081" s="110"/>
      <c r="I1081" s="110"/>
      <c r="J1081" s="110"/>
      <c r="K1081" s="111"/>
      <c r="L1081" s="137" t="str">
        <f>IFERROR(INDEX([239]MATERIALES!D:D,MATCH(B1081,[239]MATERIALES!B:B,0)),"")</f>
        <v/>
      </c>
      <c r="M1081" s="138"/>
      <c r="N1081" s="139" t="str">
        <f>IFERROR(INDEX([239]MATERIALES!P:P,MATCH(B1081,[239]MATERIALES!B:B,0)),"")</f>
        <v/>
      </c>
      <c r="O1081" s="140"/>
      <c r="P1081" s="118" t="str">
        <f t="shared" si="37"/>
        <v/>
      </c>
      <c r="Q1081" s="119"/>
      <c r="R1081" s="4"/>
    </row>
    <row r="1082" spans="1:18">
      <c r="A1082" s="1">
        <f t="shared" si="36"/>
        <v>0</v>
      </c>
      <c r="B1082" s="2"/>
      <c r="C1082" s="8"/>
      <c r="D1082" s="109" t="str">
        <f>IFERROR(INDEX([239]MATERIALES!C:C,MATCH(B1082,[239]MATERIALES!B:B,0)),"")</f>
        <v/>
      </c>
      <c r="E1082" s="110"/>
      <c r="F1082" s="110"/>
      <c r="G1082" s="110"/>
      <c r="H1082" s="110"/>
      <c r="I1082" s="110"/>
      <c r="J1082" s="110"/>
      <c r="K1082" s="111"/>
      <c r="L1082" s="137" t="str">
        <f>IFERROR(INDEX([239]MATERIALES!D:D,MATCH(B1082,[239]MATERIALES!B:B,0)),"")</f>
        <v/>
      </c>
      <c r="M1082" s="138"/>
      <c r="N1082" s="139" t="str">
        <f>IFERROR(INDEX([239]MATERIALES!P:P,MATCH(B1082,[239]MATERIALES!B:B,0)),"")</f>
        <v/>
      </c>
      <c r="O1082" s="140"/>
      <c r="P1082" s="118" t="str">
        <f t="shared" si="37"/>
        <v/>
      </c>
      <c r="Q1082" s="119"/>
      <c r="R1082" s="4"/>
    </row>
    <row r="1083" spans="1:18">
      <c r="A1083" s="1">
        <f t="shared" si="36"/>
        <v>0</v>
      </c>
      <c r="B1083" s="2"/>
      <c r="C1083" s="8"/>
      <c r="D1083" s="109" t="str">
        <f>IFERROR(INDEX([239]MATERIALES!C:C,MATCH(B1083,[239]MATERIALES!B:B,0)),"")</f>
        <v/>
      </c>
      <c r="E1083" s="110"/>
      <c r="F1083" s="110"/>
      <c r="G1083" s="110"/>
      <c r="H1083" s="110"/>
      <c r="I1083" s="110"/>
      <c r="J1083" s="110"/>
      <c r="K1083" s="111"/>
      <c r="L1083" s="137" t="str">
        <f>IFERROR(INDEX([239]MATERIALES!D:D,MATCH(B1083,[239]MATERIALES!B:B,0)),"")</f>
        <v/>
      </c>
      <c r="M1083" s="138"/>
      <c r="N1083" s="139" t="str">
        <f>IFERROR(INDEX([239]MATERIALES!P:P,MATCH(B1083,[239]MATERIALES!B:B,0)),"")</f>
        <v/>
      </c>
      <c r="O1083" s="140"/>
      <c r="P1083" s="118" t="str">
        <f t="shared" si="37"/>
        <v/>
      </c>
      <c r="Q1083" s="119"/>
      <c r="R1083" s="4"/>
    </row>
    <row r="1084" spans="1:18">
      <c r="A1084" s="1">
        <f t="shared" si="36"/>
        <v>0</v>
      </c>
      <c r="B1084" s="2"/>
      <c r="C1084" s="8"/>
      <c r="D1084" s="109" t="str">
        <f>IFERROR(INDEX([239]MATERIALES!C:C,MATCH(B1084,[239]MATERIALES!B:B,0)),"")</f>
        <v/>
      </c>
      <c r="E1084" s="110"/>
      <c r="F1084" s="110"/>
      <c r="G1084" s="110"/>
      <c r="H1084" s="110"/>
      <c r="I1084" s="110"/>
      <c r="J1084" s="110"/>
      <c r="K1084" s="111"/>
      <c r="L1084" s="137" t="str">
        <f>IFERROR(INDEX([239]MATERIALES!D:D,MATCH(B1084,[239]MATERIALES!B:B,0)),"")</f>
        <v/>
      </c>
      <c r="M1084" s="138"/>
      <c r="N1084" s="139" t="str">
        <f>IFERROR(INDEX([239]MATERIALES!P:P,MATCH(B1084,[239]MATERIALES!B:B,0)),"")</f>
        <v/>
      </c>
      <c r="O1084" s="140"/>
      <c r="P1084" s="118" t="str">
        <f t="shared" si="37"/>
        <v/>
      </c>
      <c r="Q1084" s="119"/>
      <c r="R1084" s="4"/>
    </row>
    <row r="1085" spans="1:18">
      <c r="A1085" s="1">
        <f t="shared" si="36"/>
        <v>0</v>
      </c>
      <c r="B1085" s="2"/>
      <c r="C1085" s="8"/>
      <c r="D1085" s="109" t="str">
        <f>IFERROR(INDEX([239]MATERIALES!C:C,MATCH(B1085,[239]MATERIALES!B:B,0)),"")</f>
        <v/>
      </c>
      <c r="E1085" s="110"/>
      <c r="F1085" s="110"/>
      <c r="G1085" s="110"/>
      <c r="H1085" s="110"/>
      <c r="I1085" s="110"/>
      <c r="J1085" s="110"/>
      <c r="K1085" s="111"/>
      <c r="L1085" s="137" t="str">
        <f>IFERROR(INDEX([239]MATERIALES!D:D,MATCH(B1085,[239]MATERIALES!B:B,0)),"")</f>
        <v/>
      </c>
      <c r="M1085" s="138"/>
      <c r="N1085" s="139" t="str">
        <f>IFERROR(INDEX([239]MATERIALES!P:P,MATCH(B1085,[239]MATERIALES!B:B,0)),"")</f>
        <v/>
      </c>
      <c r="O1085" s="140"/>
      <c r="P1085" s="118" t="str">
        <f t="shared" si="37"/>
        <v/>
      </c>
      <c r="Q1085" s="119"/>
      <c r="R1085" s="4"/>
    </row>
    <row r="1086" spans="1:18" ht="15.75" thickBot="1">
      <c r="A1086" s="1">
        <f t="shared" si="36"/>
        <v>0</v>
      </c>
      <c r="B1086" s="2"/>
      <c r="C1086" s="8"/>
      <c r="D1086" s="109" t="s">
        <v>28</v>
      </c>
      <c r="E1086" s="110"/>
      <c r="F1086" s="110"/>
      <c r="G1086" s="110"/>
      <c r="H1086" s="110"/>
      <c r="I1086" s="110"/>
      <c r="J1086" s="110"/>
      <c r="K1086" s="111"/>
      <c r="L1086" s="137" t="s">
        <v>29</v>
      </c>
      <c r="M1086" s="138">
        <v>0.05</v>
      </c>
      <c r="N1086" s="139">
        <f>SUM(P1072:P1085)</f>
        <v>0</v>
      </c>
      <c r="O1086" s="140"/>
      <c r="P1086" s="118">
        <f>ROUND(N1086*M1086,2)</f>
        <v>0</v>
      </c>
      <c r="Q1086" s="119"/>
      <c r="R1086" s="4"/>
    </row>
    <row r="1087" spans="1:18" ht="15.75" thickBot="1">
      <c r="A1087" s="1">
        <f t="shared" si="36"/>
        <v>0</v>
      </c>
      <c r="B1087" s="2"/>
      <c r="C1087" s="8"/>
      <c r="D1087" s="128" t="s">
        <v>24</v>
      </c>
      <c r="E1087" s="129"/>
      <c r="F1087" s="129"/>
      <c r="G1087" s="129"/>
      <c r="H1087" s="129"/>
      <c r="I1087" s="129"/>
      <c r="J1087" s="129"/>
      <c r="K1087" s="129"/>
      <c r="L1087" s="129"/>
      <c r="M1087" s="129"/>
      <c r="N1087" s="129"/>
      <c r="O1087" s="130"/>
      <c r="P1087" s="131">
        <f>SUM(P1072:P1086)</f>
        <v>0</v>
      </c>
      <c r="Q1087" s="119"/>
      <c r="R1087" s="4"/>
    </row>
    <row r="1088" spans="1:18" ht="15.75" thickBot="1">
      <c r="A1088" s="1">
        <f t="shared" si="36"/>
        <v>0</v>
      </c>
      <c r="B1088" s="2"/>
      <c r="C1088" s="8"/>
      <c r="D1088" s="74" t="s">
        <v>30</v>
      </c>
      <c r="E1088" s="37"/>
      <c r="F1088" s="37"/>
      <c r="G1088" s="37"/>
      <c r="H1088" s="37"/>
      <c r="I1088" s="37"/>
      <c r="J1088" s="37"/>
      <c r="K1088" s="37"/>
      <c r="L1088" s="37"/>
      <c r="M1088" s="37"/>
      <c r="N1088" s="37"/>
      <c r="O1088" s="37"/>
      <c r="P1088" s="99"/>
      <c r="Q1088" s="100"/>
      <c r="R1088" s="4"/>
    </row>
    <row r="1089" spans="1:18">
      <c r="A1089" s="1">
        <f t="shared" si="36"/>
        <v>0</v>
      </c>
      <c r="B1089" s="2"/>
      <c r="C1089" s="8"/>
      <c r="D1089" s="101" t="s">
        <v>31</v>
      </c>
      <c r="E1089" s="133"/>
      <c r="F1089" s="133"/>
      <c r="G1089" s="133"/>
      <c r="H1089" s="133"/>
      <c r="I1089" s="133"/>
      <c r="J1089" s="133"/>
      <c r="K1089" s="106" t="s">
        <v>32</v>
      </c>
      <c r="L1089" s="141" t="s">
        <v>33</v>
      </c>
      <c r="M1089" s="106" t="s">
        <v>34</v>
      </c>
      <c r="N1089" s="104" t="s">
        <v>20</v>
      </c>
      <c r="O1089" s="105"/>
      <c r="P1089" s="107" t="s">
        <v>22</v>
      </c>
      <c r="Q1089" s="108"/>
      <c r="R1089" s="4"/>
    </row>
    <row r="1090" spans="1:18">
      <c r="A1090" s="1">
        <f t="shared" si="36"/>
        <v>0</v>
      </c>
      <c r="B1090" s="2"/>
      <c r="C1090" s="8"/>
      <c r="D1090" s="142" t="str">
        <f>IFERROR(INDEX([239]TRANSPORTES!B:B,MATCH(B1090,[239]TRANSPORTES!A:A,0)),"")</f>
        <v/>
      </c>
      <c r="E1090" s="143"/>
      <c r="F1090" s="143"/>
      <c r="G1090" s="143"/>
      <c r="H1090" s="143"/>
      <c r="I1090" s="143"/>
      <c r="J1090" s="143"/>
      <c r="K1090" s="220"/>
      <c r="L1090" s="145"/>
      <c r="M1090" s="146" t="str">
        <f>IFERROR(INDEX([239]TRANSPORTES!C:C,MATCH(B1090,[239]TRANSPORTES!A:A,0)),"")</f>
        <v/>
      </c>
      <c r="N1090" s="139" t="str">
        <f>IFERROR(INDEX([239]TRANSPORTES!D:D,MATCH(B1090,[239]TRANSPORTES!A:A,0)),"")</f>
        <v/>
      </c>
      <c r="O1090" s="147"/>
      <c r="P1090" s="148" t="str">
        <f>IFERROR(ROUND(K1090*N1090*L1090,2),"")</f>
        <v/>
      </c>
      <c r="Q1090" s="119"/>
      <c r="R1090" s="4"/>
    </row>
    <row r="1091" spans="1:18">
      <c r="A1091" s="1">
        <f t="shared" si="36"/>
        <v>0</v>
      </c>
      <c r="B1091" s="2"/>
      <c r="C1091" s="8"/>
      <c r="D1091" s="142" t="str">
        <f>IFERROR(INDEX([239]TRANSPORTES!B:B,MATCH(B1091,[239]TRANSPORTES!A:A,0)),"")</f>
        <v/>
      </c>
      <c r="E1091" s="143"/>
      <c r="F1091" s="143"/>
      <c r="G1091" s="143"/>
      <c r="H1091" s="143"/>
      <c r="I1091" s="143"/>
      <c r="J1091" s="143"/>
      <c r="K1091" s="144"/>
      <c r="L1091" s="145"/>
      <c r="M1091" s="146" t="str">
        <f>IFERROR(INDEX([239]TRANSPORTES!C:C,MATCH(B1091,[239]TRANSPORTES!A:A,0)),"")</f>
        <v/>
      </c>
      <c r="N1091" s="139" t="str">
        <f>IFERROR(INDEX([239]TRANSPORTES!D:D,MATCH(B1091,[239]TRANSPORTES!A:A,0)),"")</f>
        <v/>
      </c>
      <c r="O1091" s="147"/>
      <c r="P1091" s="148" t="str">
        <f>IFERROR(ROUND(K1091*N1091*L1091,2),"")</f>
        <v/>
      </c>
      <c r="Q1091" s="119"/>
      <c r="R1091" s="4"/>
    </row>
    <row r="1092" spans="1:18">
      <c r="A1092" s="1">
        <f t="shared" si="36"/>
        <v>0</v>
      </c>
      <c r="B1092" s="2"/>
      <c r="C1092" s="8"/>
      <c r="D1092" s="142" t="str">
        <f>IFERROR(INDEX([239]TRANSPORTES!B:B,MATCH(B1092,[239]TRANSPORTES!A:A,0)),"")</f>
        <v/>
      </c>
      <c r="E1092" s="143"/>
      <c r="F1092" s="143"/>
      <c r="G1092" s="143"/>
      <c r="H1092" s="143"/>
      <c r="I1092" s="143"/>
      <c r="J1092" s="143"/>
      <c r="K1092" s="144"/>
      <c r="L1092" s="145"/>
      <c r="M1092" s="146" t="str">
        <f>IFERROR(INDEX([239]TRANSPORTES!C:C,MATCH(B1092,[239]TRANSPORTES!A:A,0)),"")</f>
        <v/>
      </c>
      <c r="N1092" s="139" t="str">
        <f>IFERROR(INDEX([239]TRANSPORTES!D:D,MATCH(B1092,[239]TRANSPORTES!A:A,0)),"")</f>
        <v/>
      </c>
      <c r="O1092" s="147"/>
      <c r="P1092" s="148" t="str">
        <f>IFERROR(ROUND(K1092*N1092*L1092,2),"")</f>
        <v/>
      </c>
      <c r="Q1092" s="119"/>
      <c r="R1092" s="4"/>
    </row>
    <row r="1093" spans="1:18" ht="15.75" thickBot="1">
      <c r="A1093" s="1">
        <f t="shared" si="36"/>
        <v>0</v>
      </c>
      <c r="B1093" s="2"/>
      <c r="C1093" s="8"/>
      <c r="D1093" s="142" t="str">
        <f>IFERROR(INDEX([239]TRANSPORTES!B:B,MATCH(B1093,[239]TRANSPORTES!A:A,0)),"")</f>
        <v/>
      </c>
      <c r="E1093" s="143"/>
      <c r="F1093" s="143"/>
      <c r="G1093" s="143"/>
      <c r="H1093" s="143"/>
      <c r="I1093" s="143"/>
      <c r="J1093" s="143"/>
      <c r="K1093" s="149"/>
      <c r="L1093" s="150"/>
      <c r="M1093" s="146" t="str">
        <f>IFERROR(INDEX([239]TRANSPORTES!C:C,MATCH(B1093,[239]TRANSPORTES!A:A,0)),"")</f>
        <v/>
      </c>
      <c r="N1093" s="139" t="str">
        <f>IFERROR(INDEX([239]TRANSPORTES!D:D,MATCH(B1093,[239]TRANSPORTES!A:A,0)),"")</f>
        <v/>
      </c>
      <c r="O1093" s="147"/>
      <c r="P1093" s="148" t="str">
        <f>IFERROR(ROUND(K1093*N1093*L1093,2),"")</f>
        <v/>
      </c>
      <c r="Q1093" s="119"/>
      <c r="R1093" s="4"/>
    </row>
    <row r="1094" spans="1:18" ht="15.75" thickBot="1">
      <c r="A1094" s="1">
        <f t="shared" si="36"/>
        <v>0</v>
      </c>
      <c r="B1094" s="2"/>
      <c r="C1094" s="8"/>
      <c r="D1094" s="128" t="s">
        <v>24</v>
      </c>
      <c r="E1094" s="129"/>
      <c r="F1094" s="129"/>
      <c r="G1094" s="129"/>
      <c r="H1094" s="129"/>
      <c r="I1094" s="129"/>
      <c r="J1094" s="129"/>
      <c r="K1094" s="129"/>
      <c r="L1094" s="129"/>
      <c r="M1094" s="129"/>
      <c r="N1094" s="129"/>
      <c r="O1094" s="130"/>
      <c r="P1094" s="151">
        <f>SUM(P1090:P1093)</f>
        <v>0</v>
      </c>
      <c r="Q1094" s="132"/>
      <c r="R1094" s="4"/>
    </row>
    <row r="1095" spans="1:18" ht="15.75" thickBot="1">
      <c r="A1095" s="1">
        <f t="shared" si="36"/>
        <v>0</v>
      </c>
      <c r="B1095" s="2"/>
      <c r="C1095" s="8"/>
      <c r="D1095" s="74" t="s">
        <v>36</v>
      </c>
      <c r="E1095" s="37"/>
      <c r="F1095" s="37"/>
      <c r="G1095" s="37"/>
      <c r="H1095" s="37"/>
      <c r="I1095" s="37"/>
      <c r="J1095" s="37"/>
      <c r="K1095" s="37"/>
      <c r="L1095" s="37"/>
      <c r="M1095" s="37"/>
      <c r="N1095" s="37"/>
      <c r="O1095" s="37"/>
      <c r="P1095" s="99"/>
      <c r="Q1095" s="100"/>
      <c r="R1095" s="4"/>
    </row>
    <row r="1096" spans="1:18" ht="30">
      <c r="A1096" s="1">
        <f t="shared" si="36"/>
        <v>0</v>
      </c>
      <c r="B1096" s="2"/>
      <c r="C1096" s="8"/>
      <c r="D1096" s="101" t="s">
        <v>37</v>
      </c>
      <c r="E1096" s="133"/>
      <c r="F1096" s="133"/>
      <c r="G1096" s="133"/>
      <c r="H1096" s="133"/>
      <c r="I1096" s="133"/>
      <c r="J1096" s="133"/>
      <c r="K1096" s="106" t="s">
        <v>38</v>
      </c>
      <c r="L1096" s="152" t="s">
        <v>39</v>
      </c>
      <c r="M1096" s="153" t="s">
        <v>40</v>
      </c>
      <c r="N1096" s="104" t="s">
        <v>21</v>
      </c>
      <c r="O1096" s="105"/>
      <c r="P1096" s="154" t="s">
        <v>22</v>
      </c>
      <c r="Q1096" s="155"/>
      <c r="R1096" s="4"/>
    </row>
    <row r="1097" spans="1:18">
      <c r="A1097" s="1">
        <f t="shared" si="36"/>
        <v>0</v>
      </c>
      <c r="B1097" s="2" t="s">
        <v>42</v>
      </c>
      <c r="C1097" s="8"/>
      <c r="D1097" s="109" t="str">
        <f>IFERROR(INDEX('[239]MANO DE OBRA'!B:B,MATCH(B1097,'[239]MANO DE OBRA'!A:A,0)),"")</f>
        <v>AYUDANTE (2)</v>
      </c>
      <c r="E1097" s="110"/>
      <c r="F1097" s="110"/>
      <c r="G1097" s="110"/>
      <c r="H1097" s="110"/>
      <c r="I1097" s="110"/>
      <c r="J1097" s="111"/>
      <c r="K1097" s="156">
        <f>IFERROR(INDEX('[239]MANO DE OBRA'!D:D,MATCH(B1097,'[239]MANO DE OBRA'!A:A,0)),"")</f>
        <v>142866</v>
      </c>
      <c r="L1097" s="157">
        <f>+IF(D1097&lt;&gt;"",'[239]FACTOR PRESTACIONAL'!$E$21," ")</f>
        <v>1.95</v>
      </c>
      <c r="M1097" s="158">
        <f>IFERROR(K1097*L1097," ")</f>
        <v>278588.7</v>
      </c>
      <c r="N1097" s="159">
        <v>2.5</v>
      </c>
      <c r="O1097" s="160"/>
      <c r="P1097" s="161">
        <f>IFERROR(ROUND(M1097/N1097,2)," ")</f>
        <v>111435.48</v>
      </c>
      <c r="Q1097" s="162"/>
      <c r="R1097" s="4"/>
    </row>
    <row r="1098" spans="1:18">
      <c r="A1098" s="1">
        <f t="shared" si="36"/>
        <v>0</v>
      </c>
      <c r="B1098" s="2"/>
      <c r="C1098" s="8"/>
      <c r="D1098" s="109" t="str">
        <f>IFERROR(INDEX('[239]MANO DE OBRA'!B:B,MATCH(B1098,'[239]MANO DE OBRA'!A:A,0)),"")</f>
        <v/>
      </c>
      <c r="E1098" s="110"/>
      <c r="F1098" s="110"/>
      <c r="G1098" s="110"/>
      <c r="H1098" s="110"/>
      <c r="I1098" s="110"/>
      <c r="J1098" s="111"/>
      <c r="K1098" s="156" t="str">
        <f>IFERROR(INDEX('[239]MANO DE OBRA'!D:D,MATCH(B1098,'[239]MANO DE OBRA'!A:A,0)),"")</f>
        <v/>
      </c>
      <c r="L1098" s="157" t="str">
        <f>+IF(D1098&lt;&gt;"",'[239]FACTOR PRESTACIONAL'!$E$21," ")</f>
        <v xml:space="preserve"> </v>
      </c>
      <c r="M1098" s="158" t="str">
        <f>IFERROR(K1098*L1098," ")</f>
        <v xml:space="preserve"> </v>
      </c>
      <c r="N1098" s="159"/>
      <c r="O1098" s="160"/>
      <c r="P1098" s="161" t="str">
        <f>IFERROR(ROUND(M1098/N1098,2)," ")</f>
        <v xml:space="preserve"> </v>
      </c>
      <c r="Q1098" s="162"/>
      <c r="R1098" s="4"/>
    </row>
    <row r="1099" spans="1:18">
      <c r="A1099" s="1">
        <f t="shared" si="36"/>
        <v>0</v>
      </c>
      <c r="B1099" s="2"/>
      <c r="C1099" s="8"/>
      <c r="D1099" s="109" t="str">
        <f>IFERROR(INDEX('[239]MANO DE OBRA'!B:B,MATCH(B1099,'[239]MANO DE OBRA'!A:A,0)),"")</f>
        <v/>
      </c>
      <c r="E1099" s="110"/>
      <c r="F1099" s="110"/>
      <c r="G1099" s="110"/>
      <c r="H1099" s="110"/>
      <c r="I1099" s="110"/>
      <c r="J1099" s="111"/>
      <c r="K1099" s="156" t="str">
        <f>IFERROR(INDEX('[239]MANO DE OBRA'!D:D,MATCH(B1099,'[239]MANO DE OBRA'!A:A,0)),"")</f>
        <v/>
      </c>
      <c r="L1099" s="157" t="str">
        <f>+IF(D1099&lt;&gt;"",'[239]FACTOR PRESTACIONAL'!$E$21," ")</f>
        <v xml:space="preserve"> </v>
      </c>
      <c r="M1099" s="158" t="str">
        <f>IFERROR(K1099*L1099," ")</f>
        <v xml:space="preserve"> </v>
      </c>
      <c r="N1099" s="159"/>
      <c r="O1099" s="160"/>
      <c r="P1099" s="161" t="str">
        <f>IFERROR(ROUND(M1099/N1099,2)," ")</f>
        <v xml:space="preserve"> </v>
      </c>
      <c r="Q1099" s="162"/>
      <c r="R1099" s="4"/>
    </row>
    <row r="1100" spans="1:18">
      <c r="A1100" s="1">
        <f t="shared" si="36"/>
        <v>0</v>
      </c>
      <c r="B1100" s="2"/>
      <c r="C1100" s="8"/>
      <c r="D1100" s="109" t="str">
        <f>IFERROR(INDEX('[239]MANO DE OBRA'!B:B,MATCH(B1100,'[239]MANO DE OBRA'!A:A,0)),"")</f>
        <v/>
      </c>
      <c r="E1100" s="110"/>
      <c r="F1100" s="110"/>
      <c r="G1100" s="110"/>
      <c r="H1100" s="110"/>
      <c r="I1100" s="110"/>
      <c r="J1100" s="111"/>
      <c r="K1100" s="156" t="str">
        <f>IFERROR(INDEX('[239]MANO DE OBRA'!D:D,MATCH(B1100,'[239]MANO DE OBRA'!A:A,0)),"")</f>
        <v/>
      </c>
      <c r="L1100" s="157" t="str">
        <f>+IF(D1100&lt;&gt;"",'[239]FACTOR PRESTACIONAL'!$E$21," ")</f>
        <v xml:space="preserve"> </v>
      </c>
      <c r="M1100" s="158" t="str">
        <f>IFERROR(K1100*L1100," ")</f>
        <v xml:space="preserve"> </v>
      </c>
      <c r="N1100" s="159"/>
      <c r="O1100" s="160"/>
      <c r="P1100" s="161" t="str">
        <f>IFERROR(ROUND(M1100/N1100,2)," ")</f>
        <v xml:space="preserve"> </v>
      </c>
      <c r="Q1100" s="162"/>
      <c r="R1100" s="4"/>
    </row>
    <row r="1101" spans="1:18" ht="15.75" thickBot="1">
      <c r="A1101" s="1">
        <f t="shared" si="36"/>
        <v>0</v>
      </c>
      <c r="B1101" s="2"/>
      <c r="C1101" s="8"/>
      <c r="D1101" s="109" t="str">
        <f>IFERROR(INDEX('[239]MANO DE OBRA'!B:B,MATCH(B1101,'[239]MANO DE OBRA'!A:A,0)),"")</f>
        <v/>
      </c>
      <c r="E1101" s="110"/>
      <c r="F1101" s="110"/>
      <c r="G1101" s="110"/>
      <c r="H1101" s="110"/>
      <c r="I1101" s="110"/>
      <c r="J1101" s="111"/>
      <c r="K1101" s="156" t="str">
        <f>IFERROR(INDEX('[239]MANO DE OBRA'!D:D,MATCH(B1101,'[239]MANO DE OBRA'!A:A,0)),"")</f>
        <v/>
      </c>
      <c r="L1101" s="157" t="str">
        <f>+IF(D1101&lt;&gt;"",'[239]FACTOR PRESTACIONAL'!$E$21," ")</f>
        <v xml:space="preserve"> </v>
      </c>
      <c r="M1101" s="158" t="str">
        <f>IFERROR(K1101*L1101," ")</f>
        <v xml:space="preserve"> </v>
      </c>
      <c r="N1101" s="159"/>
      <c r="O1101" s="160"/>
      <c r="P1101" s="161" t="str">
        <f>IFERROR(ROUND(M1101/N1101,2)," ")</f>
        <v xml:space="preserve"> </v>
      </c>
      <c r="Q1101" s="119"/>
      <c r="R1101" s="4"/>
    </row>
    <row r="1102" spans="1:18" ht="15.75" thickBot="1">
      <c r="A1102" s="1">
        <f t="shared" si="36"/>
        <v>0</v>
      </c>
      <c r="B1102" s="2"/>
      <c r="C1102" s="8"/>
      <c r="D1102" s="128" t="s">
        <v>24</v>
      </c>
      <c r="E1102" s="129"/>
      <c r="F1102" s="129"/>
      <c r="G1102" s="129"/>
      <c r="H1102" s="129"/>
      <c r="I1102" s="129"/>
      <c r="J1102" s="129"/>
      <c r="K1102" s="129"/>
      <c r="L1102" s="129"/>
      <c r="M1102" s="129"/>
      <c r="N1102" s="129"/>
      <c r="O1102" s="130"/>
      <c r="P1102" s="131">
        <f>SUM(P1097:P1101)</f>
        <v>111435.48</v>
      </c>
      <c r="Q1102" s="119"/>
      <c r="R1102" s="4"/>
    </row>
    <row r="1103" spans="1:18" ht="15.75" thickBot="1">
      <c r="A1103" s="1">
        <f t="shared" si="36"/>
        <v>0</v>
      </c>
      <c r="B1103" s="2"/>
      <c r="C1103" s="8"/>
      <c r="D1103" s="87"/>
      <c r="E1103" s="20"/>
      <c r="F1103" s="20"/>
      <c r="G1103" s="20"/>
      <c r="H1103" s="20"/>
      <c r="I1103" s="20"/>
      <c r="J1103" s="20"/>
      <c r="K1103" s="20"/>
      <c r="L1103" s="20"/>
      <c r="M1103" s="20"/>
      <c r="N1103" s="20"/>
      <c r="O1103" s="20"/>
      <c r="P1103" s="88"/>
      <c r="Q1103" s="13"/>
      <c r="R1103" s="4"/>
    </row>
    <row r="1104" spans="1:18" ht="15.75" thickBot="1">
      <c r="A1104" s="1"/>
      <c r="B1104" s="2"/>
      <c r="C1104" s="8"/>
      <c r="D1104" s="163" t="s">
        <v>43</v>
      </c>
      <c r="E1104" s="164"/>
      <c r="F1104" s="164"/>
      <c r="G1104" s="164"/>
      <c r="H1104" s="164"/>
      <c r="I1104" s="164"/>
      <c r="J1104" s="164"/>
      <c r="K1104" s="164"/>
      <c r="L1104" s="164"/>
      <c r="M1104" s="164"/>
      <c r="N1104" s="164"/>
      <c r="O1104" s="165"/>
      <c r="P1104" s="166">
        <f>+P1102+P1094+P1087+P1069</f>
        <v>122579.03</v>
      </c>
      <c r="Q1104" s="167"/>
      <c r="R1104" s="168"/>
    </row>
    <row r="1105" spans="1:18" ht="15.75" thickBot="1">
      <c r="A1105" s="1"/>
      <c r="B1105" s="2"/>
      <c r="C1105" s="8"/>
      <c r="D1105" s="169"/>
      <c r="E1105" s="170"/>
      <c r="F1105" s="170"/>
      <c r="G1105" s="170"/>
      <c r="H1105" s="170"/>
      <c r="I1105" s="170"/>
      <c r="J1105" s="170"/>
      <c r="K1105" s="170"/>
      <c r="L1105" s="170"/>
      <c r="M1105" s="170"/>
      <c r="N1105" s="170"/>
      <c r="O1105" s="170"/>
      <c r="P1105" s="171"/>
      <c r="Q1105" s="100"/>
      <c r="R1105" s="4"/>
    </row>
    <row r="1106" spans="1:18">
      <c r="A1106" s="1"/>
      <c r="B1106" s="2"/>
      <c r="C1106" s="8"/>
      <c r="D1106" s="172" t="s">
        <v>73</v>
      </c>
      <c r="E1106" s="173"/>
      <c r="F1106" s="173"/>
      <c r="G1106" s="173"/>
      <c r="H1106" s="173"/>
      <c r="I1106" s="173"/>
      <c r="J1106" s="173"/>
      <c r="K1106" s="141"/>
      <c r="L1106" s="174"/>
      <c r="M1106" s="153" t="s">
        <v>44</v>
      </c>
      <c r="N1106" s="175" t="s">
        <v>45</v>
      </c>
      <c r="O1106" s="176"/>
      <c r="P1106" s="154"/>
      <c r="Q1106" s="155"/>
      <c r="R1106" s="4"/>
    </row>
    <row r="1107" spans="1:18">
      <c r="A1107" s="1"/>
      <c r="B1107" s="2"/>
      <c r="C1107" s="8"/>
      <c r="D1107" s="109" t="s">
        <v>65</v>
      </c>
      <c r="E1107" s="110"/>
      <c r="F1107" s="110"/>
      <c r="G1107" s="110"/>
      <c r="H1107" s="110"/>
      <c r="I1107" s="110"/>
      <c r="J1107" s="110"/>
      <c r="K1107" s="177"/>
      <c r="L1107" s="178"/>
      <c r="M1107" s="179">
        <f>+[239]INICIO!$F$10</f>
        <v>0.24</v>
      </c>
      <c r="N1107" s="180">
        <f>ROUND(M1107*P1104,2)</f>
        <v>29418.97</v>
      </c>
      <c r="O1107" s="181"/>
      <c r="P1107" s="182"/>
      <c r="Q1107" s="119"/>
      <c r="R1107" s="4"/>
    </row>
    <row r="1108" spans="1:18">
      <c r="A1108" s="1"/>
      <c r="B1108" s="2"/>
      <c r="C1108" s="8"/>
      <c r="D1108" s="183" t="s">
        <v>67</v>
      </c>
      <c r="E1108" s="61"/>
      <c r="F1108" s="61"/>
      <c r="G1108" s="61"/>
      <c r="H1108" s="61"/>
      <c r="I1108" s="61"/>
      <c r="J1108" s="61"/>
      <c r="K1108" s="177"/>
      <c r="L1108" s="178"/>
      <c r="M1108" s="179">
        <f>+[239]INICIO!$F$11</f>
        <v>0.02</v>
      </c>
      <c r="N1108" s="180">
        <f>ROUND(M1108*P1104,2)</f>
        <v>2451.58</v>
      </c>
      <c r="O1108" s="181"/>
      <c r="P1108" s="182"/>
      <c r="Q1108" s="119"/>
      <c r="R1108" s="4"/>
    </row>
    <row r="1109" spans="1:18" ht="15.75" thickBot="1">
      <c r="A1109" s="1"/>
      <c r="B1109" s="2"/>
      <c r="C1109" s="8"/>
      <c r="D1109" s="77" t="s">
        <v>69</v>
      </c>
      <c r="E1109" s="78"/>
      <c r="F1109" s="78"/>
      <c r="G1109" s="78"/>
      <c r="H1109" s="78"/>
      <c r="I1109" s="78"/>
      <c r="J1109" s="78"/>
      <c r="K1109" s="184"/>
      <c r="L1109" s="185"/>
      <c r="M1109" s="179">
        <f>+[239]INICIO!$F$12</f>
        <v>7.0000000000000007E-2</v>
      </c>
      <c r="N1109" s="180">
        <f>ROUND(M1109*P1104,2)</f>
        <v>8580.5300000000007</v>
      </c>
      <c r="O1109" s="181"/>
      <c r="P1109" s="182"/>
      <c r="Q1109" s="119"/>
      <c r="R1109" s="4"/>
    </row>
    <row r="1110" spans="1:18" ht="15.75" thickBot="1">
      <c r="A1110" s="1"/>
      <c r="B1110" s="2"/>
      <c r="C1110" s="8"/>
      <c r="D1110" s="128"/>
      <c r="E1110" s="129"/>
      <c r="F1110" s="129"/>
      <c r="G1110" s="129"/>
      <c r="H1110" s="129"/>
      <c r="I1110" s="129"/>
      <c r="J1110" s="129"/>
      <c r="K1110" s="129"/>
      <c r="L1110" s="129"/>
      <c r="M1110" s="129"/>
      <c r="N1110" s="129"/>
      <c r="O1110" s="130"/>
      <c r="P1110" s="131">
        <f>SUM(N1107:N1109)</f>
        <v>40451.08</v>
      </c>
      <c r="Q1110" s="186"/>
      <c r="R1110" s="4"/>
    </row>
    <row r="1111" spans="1:18" ht="15.75" thickBot="1">
      <c r="A1111" s="1"/>
      <c r="B1111" s="2"/>
      <c r="C1111" s="8"/>
      <c r="D1111" s="87"/>
      <c r="E1111" s="20"/>
      <c r="F1111" s="20"/>
      <c r="G1111" s="20"/>
      <c r="H1111" s="20"/>
      <c r="I1111" s="20"/>
      <c r="J1111" s="20"/>
      <c r="K1111" s="20"/>
      <c r="L1111" s="20"/>
      <c r="M1111" s="20"/>
      <c r="N1111" s="20"/>
      <c r="O1111" s="20"/>
      <c r="P1111" s="88"/>
      <c r="Q1111" s="13"/>
      <c r="R1111" s="4"/>
    </row>
    <row r="1112" spans="1:18" ht="15.75" thickBot="1">
      <c r="A1112" s="1"/>
      <c r="B1112" s="2"/>
      <c r="C1112" s="8"/>
      <c r="D1112" s="187" t="s">
        <v>46</v>
      </c>
      <c r="E1112" s="188"/>
      <c r="F1112" s="188"/>
      <c r="G1112" s="188"/>
      <c r="H1112" s="188"/>
      <c r="I1112" s="188"/>
      <c r="J1112" s="188"/>
      <c r="K1112" s="188"/>
      <c r="L1112" s="188"/>
      <c r="M1112" s="188"/>
      <c r="N1112" s="188"/>
      <c r="O1112" s="189"/>
      <c r="P1112" s="166">
        <f>ROUND(P1110+P1104,0)</f>
        <v>163030</v>
      </c>
      <c r="Q1112" s="186"/>
      <c r="R1112" s="4"/>
    </row>
    <row r="1113" spans="1:18">
      <c r="A1113" s="1"/>
      <c r="B1113" s="2"/>
      <c r="C1113" s="8"/>
      <c r="D1113" s="80"/>
      <c r="E1113" s="81"/>
      <c r="F1113" s="81"/>
      <c r="G1113" s="81"/>
      <c r="H1113" s="81"/>
      <c r="I1113" s="81"/>
      <c r="J1113" s="81"/>
      <c r="K1113" s="81"/>
      <c r="L1113" s="81"/>
      <c r="M1113" s="81"/>
      <c r="N1113" s="81"/>
      <c r="O1113" s="81"/>
      <c r="P1113" s="82"/>
      <c r="Q1113" s="13"/>
      <c r="R1113" s="4"/>
    </row>
    <row r="1114" spans="1:18">
      <c r="A1114" s="1"/>
      <c r="B1114" s="2"/>
      <c r="C1114" s="8"/>
      <c r="D1114" s="87"/>
      <c r="E1114" s="20"/>
      <c r="F1114" s="20"/>
      <c r="G1114" s="20"/>
      <c r="H1114" s="20"/>
      <c r="I1114" s="20"/>
      <c r="J1114" s="20"/>
      <c r="K1114" s="20"/>
      <c r="L1114" s="20"/>
      <c r="M1114" s="20"/>
      <c r="N1114" s="20"/>
      <c r="O1114" s="20"/>
      <c r="P1114" s="88"/>
      <c r="Q1114" s="13"/>
      <c r="R1114" s="4"/>
    </row>
    <row r="1115" spans="1:18">
      <c r="A1115" s="1"/>
      <c r="B1115" s="2"/>
      <c r="C1115" s="8"/>
      <c r="D1115" s="87"/>
      <c r="E1115" s="20"/>
      <c r="F1115" s="20"/>
      <c r="G1115" s="20"/>
      <c r="H1115" s="20"/>
      <c r="I1115" s="20"/>
      <c r="J1115" s="20"/>
      <c r="K1115" s="20"/>
      <c r="L1115" s="20"/>
      <c r="M1115" s="20"/>
      <c r="N1115" s="20"/>
      <c r="O1115" s="20"/>
      <c r="P1115" s="88"/>
      <c r="Q1115" s="13"/>
      <c r="R1115" s="4"/>
    </row>
    <row r="1116" spans="1:18">
      <c r="A1116" s="1"/>
      <c r="B1116" s="2"/>
      <c r="C1116" s="8"/>
      <c r="D1116" s="87"/>
      <c r="E1116" s="20"/>
      <c r="F1116" s="20"/>
      <c r="G1116" s="20"/>
      <c r="H1116" s="20"/>
      <c r="I1116" s="20"/>
      <c r="J1116" s="20"/>
      <c r="K1116" s="20"/>
      <c r="L1116" s="20"/>
      <c r="M1116" s="20"/>
      <c r="N1116" s="20"/>
      <c r="O1116" s="20"/>
      <c r="P1116" s="88"/>
      <c r="Q1116" s="13"/>
      <c r="R1116" s="4"/>
    </row>
    <row r="1117" spans="1:18">
      <c r="A1117" s="1"/>
      <c r="B1117" s="2"/>
      <c r="C1117" s="8"/>
      <c r="D1117" s="219" t="str">
        <f>+[239]INICIO!$B$13</f>
        <v>Proyectó:</v>
      </c>
      <c r="E1117" s="49"/>
      <c r="F1117" s="49"/>
      <c r="G1117" s="49"/>
      <c r="H1117" s="49"/>
      <c r="I1117" s="49"/>
      <c r="J1117" s="49"/>
      <c r="K1117" s="20"/>
      <c r="L1117" s="69" t="str">
        <f>+[239]INICIO!$B$16</f>
        <v>Aprobó:</v>
      </c>
      <c r="M1117" s="49"/>
      <c r="N1117" s="49"/>
      <c r="O1117" s="49"/>
      <c r="P1117" s="88"/>
      <c r="Q1117" s="13"/>
      <c r="R1117" s="4"/>
    </row>
    <row r="1118" spans="1:18">
      <c r="A1118" s="1"/>
      <c r="B1118" s="2"/>
      <c r="C1118" s="8"/>
      <c r="D1118" s="87"/>
      <c r="E1118" s="20" t="str">
        <f>+Hoja2!C$13</f>
        <v>HELMER EDUARDO BECERRA SANTANDER</v>
      </c>
      <c r="F1118" s="20"/>
      <c r="G1118" s="20"/>
      <c r="H1118" s="20"/>
      <c r="I1118" s="20"/>
      <c r="J1118" s="20"/>
      <c r="K1118" s="20"/>
      <c r="L1118" s="20"/>
      <c r="M1118" s="20" t="str">
        <f>+Hoja2!$C$16</f>
        <v>JESÚS IVÁN QUIÑONES RUEDA</v>
      </c>
      <c r="N1118" s="20"/>
      <c r="O1118" s="20"/>
      <c r="P1118" s="88"/>
      <c r="Q1118" s="190"/>
      <c r="R1118" s="4"/>
    </row>
    <row r="1119" spans="1:18">
      <c r="A1119" s="1"/>
      <c r="B1119" s="2"/>
      <c r="C1119" s="8"/>
      <c r="D1119" s="87"/>
      <c r="E1119" s="20" t="str">
        <f>+Hoja2!C$14</f>
        <v>APOYO SEC. DE PLANEACIÓN Y OBRAS PÚBLICAS</v>
      </c>
      <c r="F1119" s="20"/>
      <c r="G1119" s="20"/>
      <c r="H1119" s="20"/>
      <c r="I1119" s="20"/>
      <c r="J1119" s="20"/>
      <c r="K1119" s="20"/>
      <c r="L1119" s="20"/>
      <c r="M1119" s="20" t="str">
        <f>+Hoja2!$C$17</f>
        <v>SECRETARIO DE PLANEACIÓN Y OBRAS PUBLICAS</v>
      </c>
      <c r="N1119" s="20"/>
      <c r="O1119" s="20"/>
      <c r="P1119" s="88"/>
      <c r="Q1119" s="190"/>
      <c r="R1119" s="4"/>
    </row>
    <row r="1120" spans="1:18">
      <c r="A1120" s="1"/>
      <c r="B1120" s="2"/>
      <c r="C1120" s="8"/>
      <c r="D1120" s="68"/>
      <c r="E1120" s="20" t="str">
        <f>+Hoja2!C$15</f>
        <v>123769-0701671 NTS</v>
      </c>
      <c r="F1120" s="191"/>
      <c r="G1120" s="191"/>
      <c r="H1120" s="191"/>
      <c r="I1120" s="20"/>
      <c r="J1120" s="191"/>
      <c r="K1120" s="191"/>
      <c r="L1120" s="191"/>
      <c r="M1120" s="192" t="str">
        <f>+Hoja2!C$18</f>
        <v>A21382020-1090480860</v>
      </c>
      <c r="N1120" s="191"/>
      <c r="O1120" s="191"/>
      <c r="P1120" s="193"/>
      <c r="Q1120" s="194"/>
      <c r="R1120" s="4"/>
    </row>
    <row r="1121" spans="1:18" ht="16.5" thickBot="1">
      <c r="A1121" s="1"/>
      <c r="B1121" s="2"/>
      <c r="C1121" s="8"/>
      <c r="D1121" s="195"/>
      <c r="E1121" s="150"/>
      <c r="F1121" s="150"/>
      <c r="G1121" s="150"/>
      <c r="H1121" s="150"/>
      <c r="I1121" s="150"/>
      <c r="J1121" s="150"/>
      <c r="K1121" s="150"/>
      <c r="L1121" s="150"/>
      <c r="M1121" s="150"/>
      <c r="N1121" s="150"/>
      <c r="O1121" s="150"/>
      <c r="P1121" s="196"/>
      <c r="Q1121" s="197"/>
      <c r="R1121" s="4"/>
    </row>
    <row r="1122" spans="1:18" ht="15.75" thickBot="1">
      <c r="A1122" s="1"/>
      <c r="B1122" s="2"/>
      <c r="C1122" s="198"/>
      <c r="D1122" s="199"/>
      <c r="E1122" s="199"/>
      <c r="F1122" s="199"/>
      <c r="G1122" s="199"/>
      <c r="H1122" s="199"/>
      <c r="I1122" s="199"/>
      <c r="J1122" s="199"/>
      <c r="K1122" s="199"/>
      <c r="L1122" s="199"/>
      <c r="M1122" s="199"/>
      <c r="N1122" s="199"/>
      <c r="O1122" s="199"/>
      <c r="P1122" s="199"/>
      <c r="Q1122" s="200"/>
      <c r="R1122" s="4"/>
    </row>
    <row r="1123" spans="1:18" ht="15.75" thickTop="1"/>
    <row r="1124" spans="1:18" ht="15.75" thickBot="1"/>
    <row r="1125" spans="1:18" ht="15.75" thickTop="1">
      <c r="A1125" s="1"/>
      <c r="B1125" s="2"/>
      <c r="C1125" s="5"/>
      <c r="D1125" s="6"/>
      <c r="E1125" s="6"/>
      <c r="F1125" s="6"/>
      <c r="G1125" s="6"/>
      <c r="H1125" s="6"/>
      <c r="I1125" s="6"/>
      <c r="J1125" s="6"/>
      <c r="K1125" s="6"/>
      <c r="L1125" s="6"/>
      <c r="M1125" s="6"/>
      <c r="N1125" s="6"/>
      <c r="O1125" s="6"/>
      <c r="P1125" s="6"/>
      <c r="Q1125" s="7"/>
      <c r="R1125" s="4"/>
    </row>
    <row r="1126" spans="1:18" ht="24">
      <c r="A1126" s="1"/>
      <c r="B1126" s="2"/>
      <c r="C1126" s="8"/>
      <c r="D1126" s="9" t="str">
        <f>+[239]INICIO!$C$8</f>
        <v>Análisis de Precios Unitarios- Secretaria de Planeación y Obras Publicas de Cubará, Boyacá.</v>
      </c>
      <c r="E1126" s="10"/>
      <c r="F1126" s="10"/>
      <c r="G1126" s="10"/>
      <c r="H1126" s="11"/>
      <c r="I1126" s="12"/>
      <c r="J1126" s="12"/>
      <c r="K1126" s="12"/>
      <c r="L1126" s="12"/>
      <c r="M1126" s="12"/>
      <c r="N1126" s="12"/>
      <c r="O1126" s="12"/>
      <c r="P1126" s="12"/>
      <c r="Q1126" s="13"/>
      <c r="R1126" s="4"/>
    </row>
    <row r="1127" spans="1:18">
      <c r="A1127" s="1"/>
      <c r="B1127" s="2"/>
      <c r="C1127" s="8"/>
      <c r="D1127" s="14" t="s">
        <v>0</v>
      </c>
      <c r="E1127" s="15" t="str">
        <f>+[239]INICIO!$C$7</f>
        <v>CCE-EICP-FM-14</v>
      </c>
      <c r="F1127" s="16"/>
      <c r="G1127" s="17" t="str">
        <f>+[239]INICIO!$B$6</f>
        <v>VERSIÓN</v>
      </c>
      <c r="H1127" s="14">
        <f>+[239]INICIO!$C$6</f>
        <v>1</v>
      </c>
      <c r="I1127" s="12"/>
      <c r="J1127" s="12"/>
      <c r="K1127" s="12"/>
      <c r="L1127" s="12"/>
      <c r="M1127" s="12"/>
      <c r="N1127" s="12"/>
      <c r="O1127" s="12"/>
      <c r="P1127" s="12"/>
      <c r="Q1127" s="13"/>
      <c r="R1127" s="4"/>
    </row>
    <row r="1128" spans="1:18">
      <c r="A1128" s="1"/>
      <c r="B1128" s="2"/>
      <c r="C1128" s="8"/>
      <c r="D1128" s="18"/>
      <c r="E1128" s="19"/>
      <c r="F1128" s="18"/>
      <c r="G1128" s="19"/>
      <c r="H1128" s="12"/>
      <c r="I1128" s="12"/>
      <c r="J1128" s="12"/>
      <c r="K1128" s="12"/>
      <c r="L1128" s="12"/>
      <c r="M1128" s="12"/>
      <c r="N1128" s="12"/>
      <c r="O1128" s="12"/>
      <c r="P1128" s="12"/>
      <c r="Q1128" s="13"/>
      <c r="R1128" s="4"/>
    </row>
    <row r="1129" spans="1:18" ht="15.75" thickBot="1">
      <c r="A1129" s="1"/>
      <c r="B1129" s="2"/>
      <c r="C1129" s="8"/>
      <c r="D1129" s="20"/>
      <c r="E1129" s="20"/>
      <c r="F1129" s="20"/>
      <c r="G1129" s="20"/>
      <c r="H1129" s="20"/>
      <c r="I1129" s="20"/>
      <c r="J1129" s="20"/>
      <c r="K1129" s="20"/>
      <c r="L1129" s="20"/>
      <c r="M1129" s="20"/>
      <c r="N1129" s="20"/>
      <c r="O1129" s="20"/>
      <c r="P1129" s="20"/>
      <c r="Q1129" s="13"/>
      <c r="R1129" s="4"/>
    </row>
    <row r="1130" spans="1:18">
      <c r="A1130" s="1"/>
      <c r="B1130" s="2"/>
      <c r="C1130" s="8"/>
      <c r="D1130" s="21"/>
      <c r="E1130" s="22"/>
      <c r="F1130" s="23"/>
      <c r="G1130" s="23"/>
      <c r="H1130" s="23"/>
      <c r="I1130" s="23"/>
      <c r="J1130" s="23"/>
      <c r="K1130" s="23"/>
      <c r="L1130" s="24"/>
      <c r="M1130" s="25"/>
      <c r="N1130" s="26"/>
      <c r="O1130" s="26"/>
      <c r="P1130" s="27"/>
      <c r="Q1130" s="28"/>
      <c r="R1130" s="4"/>
    </row>
    <row r="1131" spans="1:18">
      <c r="A1131" s="1"/>
      <c r="B1131" s="2"/>
      <c r="C1131" s="8"/>
      <c r="D1131" s="29"/>
      <c r="E1131" s="30" t="s">
        <v>1</v>
      </c>
      <c r="F1131" s="31"/>
      <c r="G1131" s="31"/>
      <c r="H1131" s="31"/>
      <c r="I1131" s="31"/>
      <c r="J1131" s="31"/>
      <c r="K1131" s="31"/>
      <c r="L1131" s="32"/>
      <c r="M1131" s="33"/>
      <c r="N1131" s="34"/>
      <c r="O1131" s="34"/>
      <c r="P1131" s="35"/>
      <c r="Q1131" s="28"/>
      <c r="R1131" s="4"/>
    </row>
    <row r="1132" spans="1:18">
      <c r="A1132" s="1"/>
      <c r="B1132" s="2"/>
      <c r="C1132" s="8"/>
      <c r="D1132" s="29"/>
      <c r="E1132" s="36"/>
      <c r="F1132" s="37"/>
      <c r="G1132" s="37"/>
      <c r="H1132" s="37"/>
      <c r="I1132" s="37"/>
      <c r="J1132" s="37"/>
      <c r="K1132" s="37"/>
      <c r="L1132" s="38"/>
      <c r="M1132" s="39"/>
      <c r="N1132" s="40"/>
      <c r="O1132" s="41"/>
      <c r="P1132" s="42"/>
      <c r="Q1132" s="28"/>
      <c r="R1132" s="4"/>
    </row>
    <row r="1133" spans="1:18">
      <c r="A1133" s="1"/>
      <c r="B1133" s="2"/>
      <c r="C1133" s="8"/>
      <c r="D1133" s="29"/>
      <c r="E1133" s="36"/>
      <c r="F1133" s="37"/>
      <c r="G1133" s="37"/>
      <c r="H1133" s="37"/>
      <c r="I1133" s="37"/>
      <c r="J1133" s="37"/>
      <c r="K1133" s="37"/>
      <c r="L1133" s="38"/>
      <c r="M1133" s="43" t="s">
        <v>2</v>
      </c>
      <c r="N1133" s="44"/>
      <c r="O1133" s="45">
        <f>+[239]INICIO!$C$6</f>
        <v>1</v>
      </c>
      <c r="P1133" s="46"/>
      <c r="Q1133" s="28"/>
      <c r="R1133" s="4"/>
    </row>
    <row r="1134" spans="1:18">
      <c r="A1134" s="1"/>
      <c r="B1134" s="2"/>
      <c r="C1134" s="8"/>
      <c r="D1134" s="29"/>
      <c r="E1134" s="36"/>
      <c r="F1134" s="37"/>
      <c r="G1134" s="37"/>
      <c r="H1134" s="37"/>
      <c r="I1134" s="37"/>
      <c r="J1134" s="37"/>
      <c r="K1134" s="37"/>
      <c r="L1134" s="38"/>
      <c r="M1134" s="47"/>
      <c r="N1134" s="48"/>
      <c r="O1134" s="49"/>
      <c r="P1134" s="50"/>
      <c r="Q1134" s="51"/>
      <c r="R1134" s="4"/>
    </row>
    <row r="1135" spans="1:18">
      <c r="A1135" s="1"/>
      <c r="B1135" s="2"/>
      <c r="C1135" s="8"/>
      <c r="D1135" s="29"/>
      <c r="E1135" s="52"/>
      <c r="F1135" s="53"/>
      <c r="G1135" s="53"/>
      <c r="H1135" s="53"/>
      <c r="I1135" s="53"/>
      <c r="J1135" s="53"/>
      <c r="K1135" s="53"/>
      <c r="L1135" s="54"/>
      <c r="M1135" s="39"/>
      <c r="N1135" s="55"/>
      <c r="O1135" s="55"/>
      <c r="P1135" s="56"/>
      <c r="Q1135" s="28"/>
      <c r="R1135" s="4"/>
    </row>
    <row r="1136" spans="1:18">
      <c r="A1136" s="1"/>
      <c r="B1136" s="2"/>
      <c r="C1136" s="8"/>
      <c r="D1136" s="29"/>
      <c r="E1136" s="52"/>
      <c r="F1136" s="53"/>
      <c r="G1136" s="53"/>
      <c r="H1136" s="53"/>
      <c r="I1136" s="53"/>
      <c r="J1136" s="53"/>
      <c r="K1136" s="53"/>
      <c r="L1136" s="54"/>
      <c r="M1136" s="43" t="s">
        <v>3</v>
      </c>
      <c r="N1136" s="43" t="str">
        <f>+VLOOKUP(D1147,'PRESUPUESTO OFICIAL '!C:Q,9,FALSE)</f>
        <v>14</v>
      </c>
      <c r="O1136" s="43" t="s">
        <v>4</v>
      </c>
      <c r="P1136" s="508" t="str">
        <f>+'PRESUPUESTO OFICIAL '!$M$122</f>
        <v>62</v>
      </c>
      <c r="Q1136" s="28"/>
      <c r="R1136" s="4"/>
    </row>
    <row r="1137" spans="1:18">
      <c r="A1137" s="1"/>
      <c r="B1137" s="2"/>
      <c r="C1137" s="8"/>
      <c r="D1137" s="29"/>
      <c r="E1137" s="30" t="s">
        <v>5</v>
      </c>
      <c r="F1137" s="31"/>
      <c r="G1137" s="31"/>
      <c r="H1137" s="31"/>
      <c r="I1137" s="31"/>
      <c r="J1137" s="31"/>
      <c r="K1137" s="31"/>
      <c r="L1137" s="32"/>
      <c r="M1137" s="43"/>
      <c r="N1137" s="57"/>
      <c r="O1137" s="57"/>
      <c r="P1137" s="58"/>
      <c r="Q1137" s="28"/>
      <c r="R1137" s="4"/>
    </row>
    <row r="1138" spans="1:18" ht="15.75" thickBot="1">
      <c r="A1138" s="1"/>
      <c r="B1138" s="2"/>
      <c r="C1138" s="8"/>
      <c r="D1138" s="59"/>
      <c r="E1138" s="60"/>
      <c r="F1138" s="60"/>
      <c r="G1138" s="60"/>
      <c r="H1138" s="60"/>
      <c r="I1138" s="60"/>
      <c r="J1138" s="60"/>
      <c r="K1138" s="60"/>
      <c r="L1138" s="60"/>
      <c r="M1138" s="60"/>
      <c r="N1138" s="61"/>
      <c r="O1138" s="61"/>
      <c r="P1138" s="62"/>
      <c r="Q1138" s="63"/>
      <c r="R1138" s="4"/>
    </row>
    <row r="1139" spans="1:18">
      <c r="A1139" s="1"/>
      <c r="B1139" s="2"/>
      <c r="C1139" s="8"/>
      <c r="D1139" s="64"/>
      <c r="E1139" s="65"/>
      <c r="F1139" s="65"/>
      <c r="G1139" s="65"/>
      <c r="H1139" s="65"/>
      <c r="I1139" s="65"/>
      <c r="J1139" s="65"/>
      <c r="K1139" s="65"/>
      <c r="L1139" s="65"/>
      <c r="M1139" s="66" t="s">
        <v>6</v>
      </c>
      <c r="N1139" s="66" t="s">
        <v>7</v>
      </c>
      <c r="O1139" s="66" t="s">
        <v>8</v>
      </c>
      <c r="P1139" s="67" t="s">
        <v>9</v>
      </c>
      <c r="Q1139" s="51"/>
      <c r="R1139" s="4"/>
    </row>
    <row r="1140" spans="1:18">
      <c r="A1140" s="1"/>
      <c r="B1140" s="2"/>
      <c r="C1140" s="8"/>
      <c r="D1140" s="68"/>
      <c r="E1140" s="69"/>
      <c r="F1140" s="69"/>
      <c r="G1140" s="69"/>
      <c r="H1140" s="69"/>
      <c r="I1140" s="69"/>
      <c r="J1140" s="69"/>
      <c r="K1140" s="69"/>
      <c r="L1140" s="69"/>
      <c r="M1140" s="70"/>
      <c r="N1140" s="71">
        <f>+Hoja2!B$5</f>
        <v>5</v>
      </c>
      <c r="O1140" s="71">
        <f>+Hoja2!C$5</f>
        <v>8</v>
      </c>
      <c r="P1140" s="72">
        <f>+Hoja2!D$5</f>
        <v>2026</v>
      </c>
      <c r="Q1140" s="73"/>
      <c r="R1140" s="4"/>
    </row>
    <row r="1141" spans="1:18">
      <c r="A1141" s="1"/>
      <c r="B1141" s="2"/>
      <c r="C1141" s="8"/>
      <c r="D1141" s="74"/>
      <c r="E1141" s="37"/>
      <c r="F1141" s="37"/>
      <c r="G1141" s="37"/>
      <c r="H1141" s="69"/>
      <c r="I1141" s="69"/>
      <c r="J1141" s="69"/>
      <c r="K1141" s="20"/>
      <c r="L1141" s="69"/>
      <c r="M1141" s="75"/>
      <c r="N1141" s="20"/>
      <c r="O1141" s="20"/>
      <c r="P1141" s="76"/>
      <c r="Q1141" s="73"/>
      <c r="R1141" s="4"/>
    </row>
    <row r="1142" spans="1:18" ht="15.75" thickBot="1">
      <c r="A1142" s="1"/>
      <c r="B1142" s="2"/>
      <c r="C1142" s="8"/>
      <c r="D1142" s="77"/>
      <c r="E1142" s="78"/>
      <c r="F1142" s="78"/>
      <c r="G1142" s="78"/>
      <c r="H1142" s="78"/>
      <c r="I1142" s="78"/>
      <c r="J1142" s="78"/>
      <c r="K1142" s="78"/>
      <c r="L1142" s="78"/>
      <c r="M1142" s="78"/>
      <c r="N1142" s="78"/>
      <c r="O1142" s="78"/>
      <c r="P1142" s="79"/>
      <c r="Q1142" s="13"/>
      <c r="R1142" s="4"/>
    </row>
    <row r="1143" spans="1:18" ht="15.75" thickBot="1">
      <c r="A1143" s="1"/>
      <c r="B1143" s="2"/>
      <c r="C1143" s="8"/>
      <c r="D1143" s="80"/>
      <c r="E1143" s="81"/>
      <c r="F1143" s="81"/>
      <c r="G1143" s="81"/>
      <c r="H1143" s="81"/>
      <c r="I1143" s="81"/>
      <c r="J1143" s="20"/>
      <c r="K1143" s="20"/>
      <c r="L1143" s="81"/>
      <c r="M1143" s="81"/>
      <c r="N1143" s="81"/>
      <c r="O1143" s="81"/>
      <c r="P1143" s="82"/>
      <c r="Q1143" s="13"/>
      <c r="R1143" s="4"/>
    </row>
    <row r="1144" spans="1:18">
      <c r="A1144" s="1"/>
      <c r="B1144" s="2"/>
      <c r="C1144" s="8"/>
      <c r="D1144" s="83" t="s">
        <v>10</v>
      </c>
      <c r="E1144" s="84"/>
      <c r="F1144" s="84"/>
      <c r="G1144" s="84"/>
      <c r="H1144" s="84"/>
      <c r="I1144" s="84"/>
      <c r="J1144" s="84"/>
      <c r="K1144" s="84"/>
      <c r="L1144" s="84"/>
      <c r="M1144" s="84"/>
      <c r="N1144" s="84"/>
      <c r="O1144" s="84"/>
      <c r="P1144" s="85"/>
      <c r="Q1144" s="86"/>
      <c r="R1144" s="4"/>
    </row>
    <row r="1145" spans="1:18" ht="15.75" thickBot="1">
      <c r="A1145" s="1"/>
      <c r="B1145" s="2"/>
      <c r="C1145" s="8"/>
      <c r="D1145" s="87"/>
      <c r="E1145" s="20"/>
      <c r="F1145" s="20"/>
      <c r="G1145" s="20"/>
      <c r="H1145" s="20"/>
      <c r="I1145" s="20"/>
      <c r="J1145" s="20"/>
      <c r="K1145" s="20"/>
      <c r="L1145" s="20"/>
      <c r="M1145" s="20"/>
      <c r="N1145" s="20"/>
      <c r="O1145" s="20"/>
      <c r="P1145" s="88"/>
      <c r="Q1145" s="13"/>
      <c r="R1145" s="4"/>
    </row>
    <row r="1146" spans="1:18">
      <c r="A1146" s="1" t="s">
        <v>11</v>
      </c>
      <c r="B1146" s="2" t="s">
        <v>12</v>
      </c>
      <c r="C1146" s="8"/>
      <c r="D1146" s="89" t="s">
        <v>13</v>
      </c>
      <c r="E1146" s="90" t="s">
        <v>14</v>
      </c>
      <c r="F1146" s="90"/>
      <c r="G1146" s="90"/>
      <c r="H1146" s="90"/>
      <c r="I1146" s="90"/>
      <c r="J1146" s="90"/>
      <c r="K1146" s="90"/>
      <c r="L1146" s="90"/>
      <c r="M1146" s="90"/>
      <c r="N1146" s="91" t="s">
        <v>15</v>
      </c>
      <c r="O1146" s="91"/>
      <c r="P1146" s="92" t="s">
        <v>16</v>
      </c>
      <c r="Q1146" s="93"/>
      <c r="R1146" s="4"/>
    </row>
    <row r="1147" spans="1:18" ht="38.25" customHeight="1" thickBot="1">
      <c r="A1147" s="1"/>
      <c r="B1147" s="2"/>
      <c r="C1147" s="8"/>
      <c r="D1147" s="349">
        <f>+'PRESUPUESTO OFICIAL '!C25</f>
        <v>1.1399999999999999</v>
      </c>
      <c r="E1147" s="94" t="str">
        <f>+VLOOKUP(D1147,'PRESUPUESTO OFICIAL '!C:H,2,FALSE)</f>
        <v>SUMINISTRO, EXTENDIDA Y COMPACTACIÓN DE MATERIAL PARA AFIRMADO HASTA UN DIÁMETRO DE 2".</v>
      </c>
      <c r="F1147" s="94"/>
      <c r="G1147" s="94"/>
      <c r="H1147" s="94"/>
      <c r="I1147" s="94"/>
      <c r="J1147" s="94"/>
      <c r="K1147" s="94"/>
      <c r="L1147" s="94"/>
      <c r="M1147" s="94"/>
      <c r="N1147" s="94" t="str">
        <f>+VLOOKUP(D1147,'PRESUPUESTO OFICIAL '!C:H,3,FALSE)</f>
        <v>M3</v>
      </c>
      <c r="O1147" s="95"/>
      <c r="P1147" s="96">
        <f>+VLOOKUP(D1147,'PRESUPUESTO OFICIAL '!C:H,4,FALSE)</f>
        <v>43.09</v>
      </c>
      <c r="Q1147" s="97"/>
      <c r="R1147" s="98">
        <f>+P1199</f>
        <v>179734</v>
      </c>
    </row>
    <row r="1148" spans="1:18" ht="15.75" thickBot="1">
      <c r="A1148" s="1"/>
      <c r="B1148" s="2"/>
      <c r="C1148" s="8"/>
      <c r="D1148" s="74" t="s">
        <v>17</v>
      </c>
      <c r="E1148" s="37"/>
      <c r="F1148" s="37"/>
      <c r="G1148" s="37"/>
      <c r="H1148" s="37"/>
      <c r="I1148" s="37"/>
      <c r="J1148" s="37"/>
      <c r="K1148" s="37"/>
      <c r="L1148" s="37"/>
      <c r="M1148" s="37"/>
      <c r="N1148" s="37"/>
      <c r="O1148" s="37"/>
      <c r="P1148" s="99"/>
      <c r="Q1148" s="100"/>
      <c r="R1148" s="4"/>
    </row>
    <row r="1149" spans="1:18">
      <c r="A1149" s="1"/>
      <c r="B1149" s="2"/>
      <c r="C1149" s="8"/>
      <c r="D1149" s="101" t="s">
        <v>14</v>
      </c>
      <c r="E1149" s="102"/>
      <c r="F1149" s="102"/>
      <c r="G1149" s="102"/>
      <c r="H1149" s="103"/>
      <c r="I1149" s="104" t="s">
        <v>18</v>
      </c>
      <c r="J1149" s="102"/>
      <c r="K1149" s="104" t="s">
        <v>19</v>
      </c>
      <c r="L1149" s="105"/>
      <c r="M1149" s="106" t="s">
        <v>20</v>
      </c>
      <c r="N1149" s="104" t="s">
        <v>21</v>
      </c>
      <c r="O1149" s="105"/>
      <c r="P1149" s="107" t="s">
        <v>22</v>
      </c>
      <c r="Q1149" s="108"/>
      <c r="R1149" s="4"/>
    </row>
    <row r="1150" spans="1:18">
      <c r="A1150" s="1" t="e">
        <f>[239]INDICE!#REF!</f>
        <v>#REF!</v>
      </c>
      <c r="B1150" s="2" t="s">
        <v>23</v>
      </c>
      <c r="C1150" s="8"/>
      <c r="D1150" s="109" t="str">
        <f>IFERROR(INDEX([239]EQUIPOS!B:B,MATCH(B1150,[239]EQUIPOS!A:A,0)),"")</f>
        <v>HERRAMIENTA MENOR (% M.O)</v>
      </c>
      <c r="E1150" s="110"/>
      <c r="F1150" s="110"/>
      <c r="G1150" s="110"/>
      <c r="H1150" s="111"/>
      <c r="I1150" s="112"/>
      <c r="J1150" s="111"/>
      <c r="K1150" s="113" t="str">
        <f>IFERROR(INDEX([239]EQUIPOS!C:C,MATCH(B1150,[239]EQUIPOS!A:A,0)),"")</f>
        <v>%</v>
      </c>
      <c r="L1150" s="114"/>
      <c r="M1150" s="115">
        <f>IFERROR(IF(D1150="HERRAMIENTA MENOR (% M.O)",P1189,INDEX([239]EQUIPOS!D:D,MATCH(B1150,[239]EQUIPOS!A:A,0))),"")</f>
        <v>40794.729999999996</v>
      </c>
      <c r="N1150" s="116">
        <v>10</v>
      </c>
      <c r="O1150" s="117"/>
      <c r="P1150" s="118">
        <f t="shared" ref="P1150:P1155" si="38">IFERROR(ROUND(IF(D1150="HERRAMIENTA MENOR (% M.O)",N1150%*M1150,M1150/N1150),2)," ")</f>
        <v>4079.47</v>
      </c>
      <c r="Q1150" s="119"/>
      <c r="R1150" s="4"/>
    </row>
    <row r="1151" spans="1:18">
      <c r="A1151" s="1">
        <f>+$A$2341</f>
        <v>0</v>
      </c>
      <c r="B1151" s="2" t="s">
        <v>266</v>
      </c>
      <c r="C1151" s="8"/>
      <c r="D1151" s="109" t="str">
        <f>IFERROR(INDEX([239]EQUIPOS!B:B,MATCH(B1151,[239]EQUIPOS!A:A,0)),"")</f>
        <v>VIBRO COMPACTADOR TIPO RANA</v>
      </c>
      <c r="E1151" s="110"/>
      <c r="F1151" s="110"/>
      <c r="G1151" s="110"/>
      <c r="H1151" s="111"/>
      <c r="I1151" s="112"/>
      <c r="J1151" s="111"/>
      <c r="K1151" s="113" t="str">
        <f>IFERROR(INDEX([239]EQUIPOS!C:C,MATCH(B1151,[239]EQUIPOS!A:A,0)),"")</f>
        <v>DIA</v>
      </c>
      <c r="L1151" s="114"/>
      <c r="M1151" s="115">
        <f>IFERROR(IF(D1151="HERRAMIENTA MENOR (% M.O)",P1190,INDEX([239]EQUIPOS!D:D,MATCH(B1151,[239]EQUIPOS!A:A,0))),"")</f>
        <v>100000</v>
      </c>
      <c r="N1151" s="116">
        <v>24</v>
      </c>
      <c r="O1151" s="117"/>
      <c r="P1151" s="118">
        <f t="shared" si="38"/>
        <v>4166.67</v>
      </c>
      <c r="Q1151" s="119"/>
      <c r="R1151" s="4"/>
    </row>
    <row r="1152" spans="1:18">
      <c r="A1152" s="1">
        <f t="shared" ref="A1152:A1190" si="39">+A1151</f>
        <v>0</v>
      </c>
      <c r="B1152" s="2"/>
      <c r="C1152" s="8"/>
      <c r="D1152" s="109" t="str">
        <f>IFERROR(INDEX([239]EQUIPOS!B:B,MATCH(B1152,[239]EQUIPOS!A:A,0)),"")</f>
        <v/>
      </c>
      <c r="E1152" s="110"/>
      <c r="F1152" s="110"/>
      <c r="G1152" s="110"/>
      <c r="H1152" s="111"/>
      <c r="I1152" s="120"/>
      <c r="J1152" s="121"/>
      <c r="K1152" s="113" t="str">
        <f>IFERROR(INDEX([239]EQUIPOS!C:C,MATCH(B1152,[239]EQUIPOS!A:A,0)),"")</f>
        <v/>
      </c>
      <c r="L1152" s="114"/>
      <c r="M1152" s="115" t="str">
        <f>IFERROR(IF(D1152="HERRAMIENTA MENOR (% M.O)",P1191,INDEX([239]EQUIPOS!D:D,MATCH(B1152,[239]EQUIPOS!A:A,0))),"")</f>
        <v/>
      </c>
      <c r="N1152" s="116"/>
      <c r="O1152" s="117"/>
      <c r="P1152" s="118" t="str">
        <f t="shared" si="38"/>
        <v xml:space="preserve"> </v>
      </c>
      <c r="Q1152" s="119"/>
      <c r="R1152" s="4"/>
    </row>
    <row r="1153" spans="1:18">
      <c r="A1153" s="1">
        <f t="shared" si="39"/>
        <v>0</v>
      </c>
      <c r="B1153" s="2"/>
      <c r="C1153" s="8"/>
      <c r="D1153" s="109" t="str">
        <f>IFERROR(INDEX([239]EQUIPOS!B:B,MATCH(B1153,[239]EQUIPOS!A:A,0)),"")</f>
        <v/>
      </c>
      <c r="E1153" s="110"/>
      <c r="F1153" s="110"/>
      <c r="G1153" s="110"/>
      <c r="H1153" s="111"/>
      <c r="I1153" s="120"/>
      <c r="J1153" s="121"/>
      <c r="K1153" s="113" t="str">
        <f>IFERROR(INDEX([239]EQUIPOS!C:C,MATCH(B1153,[239]EQUIPOS!A:A,0)),"")</f>
        <v/>
      </c>
      <c r="L1153" s="114"/>
      <c r="M1153" s="115" t="str">
        <f>IFERROR(IF(D1153="HERRAMIENTA MENOR (% M.O)",P1192,INDEX([239]EQUIPOS!D:D,MATCH(B1153,[239]EQUIPOS!A:A,0))),"")</f>
        <v/>
      </c>
      <c r="N1153" s="116"/>
      <c r="O1153" s="117"/>
      <c r="P1153" s="118" t="str">
        <f t="shared" si="38"/>
        <v xml:space="preserve"> </v>
      </c>
      <c r="Q1153" s="119"/>
      <c r="R1153" s="4"/>
    </row>
    <row r="1154" spans="1:18">
      <c r="A1154" s="1">
        <f t="shared" si="39"/>
        <v>0</v>
      </c>
      <c r="B1154" s="2"/>
      <c r="C1154" s="8"/>
      <c r="D1154" s="109" t="str">
        <f>IFERROR(INDEX([239]EQUIPOS!B:B,MATCH(B1154,[239]EQUIPOS!A:A,0)),"")</f>
        <v/>
      </c>
      <c r="E1154" s="110"/>
      <c r="F1154" s="110"/>
      <c r="G1154" s="110"/>
      <c r="H1154" s="111"/>
      <c r="I1154" s="112"/>
      <c r="J1154" s="111"/>
      <c r="K1154" s="113" t="str">
        <f>IFERROR(INDEX([239]EQUIPOS!C:C,MATCH(B1154,[239]EQUIPOS!A:A,0)),"")</f>
        <v/>
      </c>
      <c r="L1154" s="114"/>
      <c r="M1154" s="115" t="str">
        <f>IFERROR(IF(D1154="HERRAMIENTA MENOR (% M.O)",P1193,INDEX([239]EQUIPOS!D:D,MATCH(B1154,[239]EQUIPOS!A:A,0))),"")</f>
        <v/>
      </c>
      <c r="N1154" s="116"/>
      <c r="O1154" s="117"/>
      <c r="P1154" s="118" t="str">
        <f t="shared" si="38"/>
        <v xml:space="preserve"> </v>
      </c>
      <c r="Q1154" s="119"/>
      <c r="R1154" s="4"/>
    </row>
    <row r="1155" spans="1:18" ht="15.75" thickBot="1">
      <c r="A1155" s="1">
        <f t="shared" si="39"/>
        <v>0</v>
      </c>
      <c r="B1155" s="2"/>
      <c r="C1155" s="8"/>
      <c r="D1155" s="109" t="str">
        <f>IFERROR(INDEX([239]EQUIPOS!B:B,MATCH(B1155,[239]EQUIPOS!A:A,0)),"")</f>
        <v/>
      </c>
      <c r="E1155" s="78"/>
      <c r="F1155" s="78"/>
      <c r="G1155" s="78"/>
      <c r="H1155" s="122"/>
      <c r="I1155" s="123"/>
      <c r="J1155" s="122"/>
      <c r="K1155" s="113" t="str">
        <f>IFERROR(INDEX([239]EQUIPOS!C:C,MATCH(B1155,[239]EQUIPOS!A:A,0)),"")</f>
        <v/>
      </c>
      <c r="L1155" s="124"/>
      <c r="M1155" s="115" t="str">
        <f>IFERROR(IF(D1155="HERRAMIENTA MENOR (% M.O)",P1194,INDEX([239]EQUIPOS!D:D,MATCH(B1155,[239]EQUIPOS!A:A,0))),"")</f>
        <v/>
      </c>
      <c r="N1155" s="125"/>
      <c r="O1155" s="126"/>
      <c r="P1155" s="127" t="str">
        <f t="shared" si="38"/>
        <v xml:space="preserve"> </v>
      </c>
      <c r="Q1155" s="119"/>
      <c r="R1155" s="4"/>
    </row>
    <row r="1156" spans="1:18" ht="15.75" thickBot="1">
      <c r="A1156" s="1">
        <f t="shared" si="39"/>
        <v>0</v>
      </c>
      <c r="B1156" s="2"/>
      <c r="C1156" s="8"/>
      <c r="D1156" s="128" t="s">
        <v>24</v>
      </c>
      <c r="E1156" s="129"/>
      <c r="F1156" s="129"/>
      <c r="G1156" s="129"/>
      <c r="H1156" s="129"/>
      <c r="I1156" s="129"/>
      <c r="J1156" s="129"/>
      <c r="K1156" s="129"/>
      <c r="L1156" s="129"/>
      <c r="M1156" s="129"/>
      <c r="N1156" s="129"/>
      <c r="O1156" s="130"/>
      <c r="P1156" s="131">
        <f>SUM(P1150:P1155)</f>
        <v>8246.14</v>
      </c>
      <c r="Q1156" s="132"/>
      <c r="R1156" s="4"/>
    </row>
    <row r="1157" spans="1:18" ht="15.75" thickBot="1">
      <c r="A1157" s="1">
        <f t="shared" si="39"/>
        <v>0</v>
      </c>
      <c r="B1157" s="2"/>
      <c r="C1157" s="8"/>
      <c r="D1157" s="74" t="s">
        <v>25</v>
      </c>
      <c r="E1157" s="37"/>
      <c r="F1157" s="37"/>
      <c r="G1157" s="37"/>
      <c r="H1157" s="37"/>
      <c r="I1157" s="37"/>
      <c r="J1157" s="37"/>
      <c r="K1157" s="37"/>
      <c r="L1157" s="37"/>
      <c r="M1157" s="37"/>
      <c r="N1157" s="37"/>
      <c r="O1157" s="37"/>
      <c r="P1157" s="99"/>
      <c r="Q1157" s="100"/>
      <c r="R1157" s="4"/>
    </row>
    <row r="1158" spans="1:18">
      <c r="A1158" s="1">
        <f t="shared" si="39"/>
        <v>0</v>
      </c>
      <c r="B1158" s="2"/>
      <c r="C1158" s="8"/>
      <c r="D1158" s="101" t="s">
        <v>14</v>
      </c>
      <c r="E1158" s="133"/>
      <c r="F1158" s="133"/>
      <c r="G1158" s="133"/>
      <c r="H1158" s="133"/>
      <c r="I1158" s="133"/>
      <c r="J1158" s="133"/>
      <c r="K1158" s="105"/>
      <c r="L1158" s="134" t="s">
        <v>15</v>
      </c>
      <c r="M1158" s="106" t="s">
        <v>16</v>
      </c>
      <c r="N1158" s="104" t="s">
        <v>26</v>
      </c>
      <c r="O1158" s="105"/>
      <c r="P1158" s="107" t="s">
        <v>22</v>
      </c>
      <c r="Q1158" s="108"/>
      <c r="R1158" s="4"/>
    </row>
    <row r="1159" spans="1:18">
      <c r="A1159" s="1">
        <f t="shared" si="39"/>
        <v>0</v>
      </c>
      <c r="B1159" s="2" t="s">
        <v>267</v>
      </c>
      <c r="C1159" s="8"/>
      <c r="D1159" s="109" t="s">
        <v>268</v>
      </c>
      <c r="E1159" s="135"/>
      <c r="F1159" s="135"/>
      <c r="G1159" s="135"/>
      <c r="H1159" s="135"/>
      <c r="I1159" s="135"/>
      <c r="J1159" s="135"/>
      <c r="K1159" s="136"/>
      <c r="L1159" s="137" t="str">
        <f>IFERROR(INDEX([239]MATERIALES!D:D,MATCH(B1159,[239]MATERIALES!B:B,0)),"")</f>
        <v>M3</v>
      </c>
      <c r="M1159" s="138">
        <v>1.3</v>
      </c>
      <c r="N1159" s="139">
        <v>50741.599999999999</v>
      </c>
      <c r="O1159" s="140"/>
      <c r="P1159" s="118">
        <f>IFERROR(ROUND(N1159*M1159,2),"")</f>
        <v>65964.08</v>
      </c>
      <c r="Q1159" s="119"/>
      <c r="R1159" s="4"/>
    </row>
    <row r="1160" spans="1:18">
      <c r="A1160" s="1">
        <f t="shared" si="39"/>
        <v>0</v>
      </c>
      <c r="B1160" s="2"/>
      <c r="C1160" s="8"/>
      <c r="D1160" s="109" t="str">
        <f>IFERROR(INDEX([239]MATERIALES!C:C,MATCH(B1160,[239]MATERIALES!B:B,0)),"")</f>
        <v/>
      </c>
      <c r="E1160" s="135"/>
      <c r="F1160" s="135"/>
      <c r="G1160" s="135"/>
      <c r="H1160" s="135"/>
      <c r="I1160" s="135"/>
      <c r="J1160" s="135"/>
      <c r="K1160" s="136"/>
      <c r="L1160" s="137" t="str">
        <f>IFERROR(INDEX([239]MATERIALES!D:D,MATCH(B1160,[239]MATERIALES!B:B,0)),"")</f>
        <v/>
      </c>
      <c r="M1160" s="138"/>
      <c r="N1160" s="139" t="str">
        <f>IFERROR(INDEX([239]MATERIALES!P:P,MATCH(B1160,[239]MATERIALES!B:B,0)),"")</f>
        <v/>
      </c>
      <c r="O1160" s="140"/>
      <c r="P1160" s="118" t="str">
        <f>IFERROR(ROUND(N1160*M1160,2),"")</f>
        <v/>
      </c>
      <c r="Q1160" s="119"/>
      <c r="R1160" s="4"/>
    </row>
    <row r="1161" spans="1:18">
      <c r="A1161" s="1">
        <f t="shared" si="39"/>
        <v>0</v>
      </c>
      <c r="B1161" s="2"/>
      <c r="C1161" s="8"/>
      <c r="D1161" s="109" t="str">
        <f>IFERROR(INDEX([239]MATERIALES!C:C,MATCH(B1161,[239]MATERIALES!B:B,0)),"")</f>
        <v/>
      </c>
      <c r="E1161" s="110"/>
      <c r="F1161" s="110"/>
      <c r="G1161" s="110"/>
      <c r="H1161" s="110"/>
      <c r="I1161" s="110"/>
      <c r="J1161" s="110"/>
      <c r="K1161" s="111"/>
      <c r="L1161" s="137" t="str">
        <f>IFERROR(INDEX([239]MATERIALES!D:D,MATCH(B1161,[239]MATERIALES!B:B,0)),"")</f>
        <v/>
      </c>
      <c r="M1161" s="138"/>
      <c r="N1161" s="139" t="str">
        <f>IFERROR(INDEX([239]MATERIALES!P:P,MATCH(B1161,[239]MATERIALES!B:B,0)),"")</f>
        <v/>
      </c>
      <c r="O1161" s="140"/>
      <c r="P1161" s="118" t="str">
        <f>IFERROR(ROUND(N1161*M1161,2),"")</f>
        <v/>
      </c>
      <c r="Q1161" s="119"/>
      <c r="R1161" s="4"/>
    </row>
    <row r="1162" spans="1:18">
      <c r="A1162" s="1">
        <f t="shared" si="39"/>
        <v>0</v>
      </c>
      <c r="B1162" s="2"/>
      <c r="C1162" s="8"/>
      <c r="D1162" s="109" t="str">
        <f>IFERROR(INDEX([239]MATERIALES!C:C,MATCH(B1162,[239]MATERIALES!B:B,0)),"")</f>
        <v/>
      </c>
      <c r="E1162" s="110"/>
      <c r="F1162" s="110"/>
      <c r="G1162" s="110"/>
      <c r="H1162" s="110"/>
      <c r="I1162" s="110"/>
      <c r="J1162" s="110"/>
      <c r="K1162" s="111"/>
      <c r="L1162" s="137" t="str">
        <f>IFERROR(INDEX([239]MATERIALES!D:D,MATCH(B1162,[239]MATERIALES!B:B,0)),"")</f>
        <v/>
      </c>
      <c r="M1162" s="138"/>
      <c r="N1162" s="139" t="str">
        <f>IFERROR(INDEX([239]MATERIALES!P:P,MATCH(B1162,[239]MATERIALES!B:B,0)),"")</f>
        <v/>
      </c>
      <c r="O1162" s="140"/>
      <c r="P1162" s="118" t="str">
        <f>IFERROR(ROUND(N1162*M1162,2),"")</f>
        <v/>
      </c>
      <c r="Q1162" s="119"/>
      <c r="R1162" s="4"/>
    </row>
    <row r="1163" spans="1:18">
      <c r="A1163" s="1">
        <f t="shared" si="39"/>
        <v>0</v>
      </c>
      <c r="B1163" s="2"/>
      <c r="C1163" s="8"/>
      <c r="D1163" s="109" t="str">
        <f>IFERROR(INDEX([239]MATERIALES!C:C,MATCH(B1163,[239]MATERIALES!B:B,0)),"")</f>
        <v/>
      </c>
      <c r="E1163" s="110"/>
      <c r="F1163" s="110"/>
      <c r="G1163" s="110"/>
      <c r="H1163" s="110"/>
      <c r="I1163" s="110"/>
      <c r="J1163" s="110"/>
      <c r="K1163" s="111"/>
      <c r="L1163" s="137" t="str">
        <f>IFERROR(INDEX([239]MATERIALES!D:D,MATCH(B1163,[239]MATERIALES!B:B,0)),"")</f>
        <v/>
      </c>
      <c r="M1163" s="138"/>
      <c r="N1163" s="139" t="str">
        <f>IFERROR(INDEX([239]MATERIALES!P:P,MATCH(B1163,[239]MATERIALES!B:B,0)),"")</f>
        <v/>
      </c>
      <c r="O1163" s="140"/>
      <c r="P1163" s="118" t="str">
        <f t="shared" ref="P1163:P1172" si="40">IFERROR(ROUND(N1163*M1163,2),"")</f>
        <v/>
      </c>
      <c r="Q1163" s="119"/>
      <c r="R1163" s="4"/>
    </row>
    <row r="1164" spans="1:18">
      <c r="A1164" s="1">
        <f t="shared" si="39"/>
        <v>0</v>
      </c>
      <c r="B1164" s="2"/>
      <c r="C1164" s="8"/>
      <c r="D1164" s="109" t="str">
        <f>IFERROR(INDEX([239]MATERIALES!C:C,MATCH(B1164,[239]MATERIALES!B:B,0)),"")</f>
        <v/>
      </c>
      <c r="E1164" s="110"/>
      <c r="F1164" s="110"/>
      <c r="G1164" s="110"/>
      <c r="H1164" s="110"/>
      <c r="I1164" s="110"/>
      <c r="J1164" s="110"/>
      <c r="K1164" s="111"/>
      <c r="L1164" s="137" t="str">
        <f>IFERROR(INDEX([239]MATERIALES!D:D,MATCH(B1164,[239]MATERIALES!B:B,0)),"")</f>
        <v/>
      </c>
      <c r="M1164" s="138"/>
      <c r="N1164" s="139" t="str">
        <f>IFERROR(INDEX([239]MATERIALES!P:P,MATCH(B1164,[239]MATERIALES!B:B,0)),"")</f>
        <v/>
      </c>
      <c r="O1164" s="140"/>
      <c r="P1164" s="118" t="str">
        <f t="shared" si="40"/>
        <v/>
      </c>
      <c r="Q1164" s="119"/>
      <c r="R1164" s="4"/>
    </row>
    <row r="1165" spans="1:18">
      <c r="A1165" s="1">
        <f t="shared" si="39"/>
        <v>0</v>
      </c>
      <c r="B1165" s="2"/>
      <c r="C1165" s="8"/>
      <c r="D1165" s="109" t="str">
        <f>IFERROR(INDEX([239]MATERIALES!C:C,MATCH(B1165,[239]MATERIALES!B:B,0)),"")</f>
        <v/>
      </c>
      <c r="E1165" s="110"/>
      <c r="F1165" s="110"/>
      <c r="G1165" s="110"/>
      <c r="H1165" s="110"/>
      <c r="I1165" s="110"/>
      <c r="J1165" s="110"/>
      <c r="K1165" s="111"/>
      <c r="L1165" s="137" t="str">
        <f>IFERROR(INDEX([239]MATERIALES!D:D,MATCH(B1165,[239]MATERIALES!B:B,0)),"")</f>
        <v/>
      </c>
      <c r="M1165" s="138"/>
      <c r="N1165" s="139" t="str">
        <f>IFERROR(INDEX([239]MATERIALES!P:P,MATCH(B1165,[239]MATERIALES!B:B,0)),"")</f>
        <v/>
      </c>
      <c r="O1165" s="140"/>
      <c r="P1165" s="118" t="str">
        <f t="shared" si="40"/>
        <v/>
      </c>
      <c r="Q1165" s="119"/>
      <c r="R1165" s="4"/>
    </row>
    <row r="1166" spans="1:18">
      <c r="A1166" s="1">
        <f t="shared" si="39"/>
        <v>0</v>
      </c>
      <c r="B1166" s="2"/>
      <c r="C1166" s="8"/>
      <c r="D1166" s="109" t="str">
        <f>IFERROR(INDEX([239]MATERIALES!C:C,MATCH(B1166,[239]MATERIALES!B:B,0)),"")</f>
        <v/>
      </c>
      <c r="E1166" s="110"/>
      <c r="F1166" s="110"/>
      <c r="G1166" s="110"/>
      <c r="H1166" s="110"/>
      <c r="I1166" s="110"/>
      <c r="J1166" s="110"/>
      <c r="K1166" s="111"/>
      <c r="L1166" s="137" t="str">
        <f>IFERROR(INDEX([239]MATERIALES!D:D,MATCH(B1166,[239]MATERIALES!B:B,0)),"")</f>
        <v/>
      </c>
      <c r="M1166" s="138"/>
      <c r="N1166" s="139" t="str">
        <f>IFERROR(INDEX([239]MATERIALES!P:P,MATCH(B1166,[239]MATERIALES!B:B,0)),"")</f>
        <v/>
      </c>
      <c r="O1166" s="140"/>
      <c r="P1166" s="118" t="str">
        <f t="shared" si="40"/>
        <v/>
      </c>
      <c r="Q1166" s="119"/>
      <c r="R1166" s="4"/>
    </row>
    <row r="1167" spans="1:18">
      <c r="A1167" s="1">
        <f t="shared" si="39"/>
        <v>0</v>
      </c>
      <c r="B1167" s="2"/>
      <c r="C1167" s="8"/>
      <c r="D1167" s="109" t="str">
        <f>IFERROR(INDEX([239]MATERIALES!C:C,MATCH(B1167,[239]MATERIALES!B:B,0)),"")</f>
        <v/>
      </c>
      <c r="E1167" s="110"/>
      <c r="F1167" s="110"/>
      <c r="G1167" s="110"/>
      <c r="H1167" s="110"/>
      <c r="I1167" s="110"/>
      <c r="J1167" s="110"/>
      <c r="K1167" s="111"/>
      <c r="L1167" s="137" t="str">
        <f>IFERROR(INDEX([239]MATERIALES!D:D,MATCH(B1167,[239]MATERIALES!B:B,0)),"")</f>
        <v/>
      </c>
      <c r="M1167" s="138"/>
      <c r="N1167" s="139" t="str">
        <f>IFERROR(INDEX([239]MATERIALES!P:P,MATCH(B1167,[239]MATERIALES!B:B,0)),"")</f>
        <v/>
      </c>
      <c r="O1167" s="140"/>
      <c r="P1167" s="118" t="str">
        <f t="shared" si="40"/>
        <v/>
      </c>
      <c r="Q1167" s="119"/>
      <c r="R1167" s="4"/>
    </row>
    <row r="1168" spans="1:18">
      <c r="A1168" s="1">
        <f t="shared" si="39"/>
        <v>0</v>
      </c>
      <c r="B1168" s="2"/>
      <c r="C1168" s="8"/>
      <c r="D1168" s="109" t="str">
        <f>IFERROR(INDEX([239]MATERIALES!C:C,MATCH(B1168,[239]MATERIALES!B:B,0)),"")</f>
        <v/>
      </c>
      <c r="E1168" s="110"/>
      <c r="F1168" s="110"/>
      <c r="G1168" s="110"/>
      <c r="H1168" s="110"/>
      <c r="I1168" s="110"/>
      <c r="J1168" s="110"/>
      <c r="K1168" s="111"/>
      <c r="L1168" s="137" t="str">
        <f>IFERROR(INDEX([239]MATERIALES!D:D,MATCH(B1168,[239]MATERIALES!B:B,0)),"")</f>
        <v/>
      </c>
      <c r="M1168" s="138"/>
      <c r="N1168" s="139" t="str">
        <f>IFERROR(INDEX([239]MATERIALES!P:P,MATCH(B1168,[239]MATERIALES!B:B,0)),"")</f>
        <v/>
      </c>
      <c r="O1168" s="140"/>
      <c r="P1168" s="118" t="str">
        <f t="shared" si="40"/>
        <v/>
      </c>
      <c r="Q1168" s="119"/>
      <c r="R1168" s="4"/>
    </row>
    <row r="1169" spans="1:18">
      <c r="A1169" s="1">
        <f t="shared" si="39"/>
        <v>0</v>
      </c>
      <c r="B1169" s="2"/>
      <c r="C1169" s="8"/>
      <c r="D1169" s="109" t="str">
        <f>IFERROR(INDEX([239]MATERIALES!C:C,MATCH(B1169,[239]MATERIALES!B:B,0)),"")</f>
        <v/>
      </c>
      <c r="E1169" s="110"/>
      <c r="F1169" s="110"/>
      <c r="G1169" s="110"/>
      <c r="H1169" s="110"/>
      <c r="I1169" s="110"/>
      <c r="J1169" s="110"/>
      <c r="K1169" s="111"/>
      <c r="L1169" s="137" t="str">
        <f>IFERROR(INDEX([239]MATERIALES!D:D,MATCH(B1169,[239]MATERIALES!B:B,0)),"")</f>
        <v/>
      </c>
      <c r="M1169" s="138"/>
      <c r="N1169" s="139" t="str">
        <f>IFERROR(INDEX([239]MATERIALES!P:P,MATCH(B1169,[239]MATERIALES!B:B,0)),"")</f>
        <v/>
      </c>
      <c r="O1169" s="140"/>
      <c r="P1169" s="118" t="str">
        <f t="shared" si="40"/>
        <v/>
      </c>
      <c r="Q1169" s="119"/>
      <c r="R1169" s="4"/>
    </row>
    <row r="1170" spans="1:18">
      <c r="A1170" s="1">
        <f t="shared" si="39"/>
        <v>0</v>
      </c>
      <c r="B1170" s="2"/>
      <c r="C1170" s="8"/>
      <c r="D1170" s="109" t="str">
        <f>IFERROR(INDEX([239]MATERIALES!C:C,MATCH(B1170,[239]MATERIALES!B:B,0)),"")</f>
        <v/>
      </c>
      <c r="E1170" s="110"/>
      <c r="F1170" s="110"/>
      <c r="G1170" s="110"/>
      <c r="H1170" s="110"/>
      <c r="I1170" s="110"/>
      <c r="J1170" s="110"/>
      <c r="K1170" s="111"/>
      <c r="L1170" s="137" t="str">
        <f>IFERROR(INDEX([239]MATERIALES!D:D,MATCH(B1170,[239]MATERIALES!B:B,0)),"")</f>
        <v/>
      </c>
      <c r="M1170" s="138"/>
      <c r="N1170" s="139" t="str">
        <f>IFERROR(INDEX([239]MATERIALES!P:P,MATCH(B1170,[239]MATERIALES!B:B,0)),"")</f>
        <v/>
      </c>
      <c r="O1170" s="140"/>
      <c r="P1170" s="118" t="str">
        <f t="shared" si="40"/>
        <v/>
      </c>
      <c r="Q1170" s="119"/>
      <c r="R1170" s="4"/>
    </row>
    <row r="1171" spans="1:18">
      <c r="A1171" s="1">
        <f t="shared" si="39"/>
        <v>0</v>
      </c>
      <c r="B1171" s="2"/>
      <c r="C1171" s="8"/>
      <c r="D1171" s="109" t="str">
        <f>IFERROR(INDEX([239]MATERIALES!C:C,MATCH(B1171,[239]MATERIALES!B:B,0)),"")</f>
        <v/>
      </c>
      <c r="E1171" s="110"/>
      <c r="F1171" s="110"/>
      <c r="G1171" s="110"/>
      <c r="H1171" s="110"/>
      <c r="I1171" s="110"/>
      <c r="J1171" s="110"/>
      <c r="K1171" s="111"/>
      <c r="L1171" s="137" t="str">
        <f>IFERROR(INDEX([239]MATERIALES!D:D,MATCH(B1171,[239]MATERIALES!B:B,0)),"")</f>
        <v/>
      </c>
      <c r="M1171" s="138"/>
      <c r="N1171" s="139" t="str">
        <f>IFERROR(INDEX([239]MATERIALES!P:P,MATCH(B1171,[239]MATERIALES!B:B,0)),"")</f>
        <v/>
      </c>
      <c r="O1171" s="140"/>
      <c r="P1171" s="118" t="str">
        <f t="shared" si="40"/>
        <v/>
      </c>
      <c r="Q1171" s="119"/>
      <c r="R1171" s="4"/>
    </row>
    <row r="1172" spans="1:18">
      <c r="A1172" s="1">
        <f t="shared" si="39"/>
        <v>0</v>
      </c>
      <c r="B1172" s="2"/>
      <c r="C1172" s="8"/>
      <c r="D1172" s="109" t="str">
        <f>IFERROR(INDEX([239]MATERIALES!C:C,MATCH(B1172,[239]MATERIALES!B:B,0)),"")</f>
        <v/>
      </c>
      <c r="E1172" s="110"/>
      <c r="F1172" s="110"/>
      <c r="G1172" s="110"/>
      <c r="H1172" s="110"/>
      <c r="I1172" s="110"/>
      <c r="J1172" s="110"/>
      <c r="K1172" s="111"/>
      <c r="L1172" s="137" t="str">
        <f>IFERROR(INDEX([239]MATERIALES!D:D,MATCH(B1172,[239]MATERIALES!B:B,0)),"")</f>
        <v/>
      </c>
      <c r="M1172" s="138"/>
      <c r="N1172" s="139" t="str">
        <f>IFERROR(INDEX([239]MATERIALES!P:P,MATCH(B1172,[239]MATERIALES!B:B,0)),"")</f>
        <v/>
      </c>
      <c r="O1172" s="140"/>
      <c r="P1172" s="118" t="str">
        <f t="shared" si="40"/>
        <v/>
      </c>
      <c r="Q1172" s="119"/>
      <c r="R1172" s="4"/>
    </row>
    <row r="1173" spans="1:18" ht="15.75" thickBot="1">
      <c r="A1173" s="1">
        <f t="shared" si="39"/>
        <v>0</v>
      </c>
      <c r="B1173" s="2"/>
      <c r="C1173" s="8"/>
      <c r="D1173" s="109" t="s">
        <v>28</v>
      </c>
      <c r="E1173" s="110"/>
      <c r="F1173" s="110"/>
      <c r="G1173" s="110"/>
      <c r="H1173" s="110"/>
      <c r="I1173" s="110"/>
      <c r="J1173" s="110"/>
      <c r="K1173" s="111"/>
      <c r="L1173" s="137" t="s">
        <v>29</v>
      </c>
      <c r="M1173" s="138">
        <v>0.05</v>
      </c>
      <c r="N1173" s="139">
        <f>SUM(P1159:P1172)</f>
        <v>65964.08</v>
      </c>
      <c r="O1173" s="140"/>
      <c r="P1173" s="118">
        <f>ROUND(N1173*M1173,2)</f>
        <v>3298.2</v>
      </c>
      <c r="Q1173" s="119"/>
      <c r="R1173" s="4"/>
    </row>
    <row r="1174" spans="1:18" ht="15.75" thickBot="1">
      <c r="A1174" s="1">
        <f t="shared" si="39"/>
        <v>0</v>
      </c>
      <c r="B1174" s="2"/>
      <c r="C1174" s="8"/>
      <c r="D1174" s="128" t="s">
        <v>24</v>
      </c>
      <c r="E1174" s="129"/>
      <c r="F1174" s="129"/>
      <c r="G1174" s="129"/>
      <c r="H1174" s="129"/>
      <c r="I1174" s="129"/>
      <c r="J1174" s="129"/>
      <c r="K1174" s="129"/>
      <c r="L1174" s="129"/>
      <c r="M1174" s="129"/>
      <c r="N1174" s="129"/>
      <c r="O1174" s="130"/>
      <c r="P1174" s="131">
        <f>SUM(P1159:P1173)</f>
        <v>69262.28</v>
      </c>
      <c r="Q1174" s="119"/>
      <c r="R1174" s="4"/>
    </row>
    <row r="1175" spans="1:18" ht="15.75" thickBot="1">
      <c r="A1175" s="1">
        <f t="shared" si="39"/>
        <v>0</v>
      </c>
      <c r="B1175" s="2"/>
      <c r="C1175" s="8"/>
      <c r="D1175" s="74" t="s">
        <v>30</v>
      </c>
      <c r="E1175" s="37"/>
      <c r="F1175" s="37"/>
      <c r="G1175" s="37"/>
      <c r="H1175" s="37"/>
      <c r="I1175" s="37"/>
      <c r="J1175" s="37"/>
      <c r="K1175" s="37"/>
      <c r="L1175" s="37"/>
      <c r="M1175" s="37"/>
      <c r="N1175" s="37"/>
      <c r="O1175" s="37"/>
      <c r="P1175" s="99"/>
      <c r="Q1175" s="100"/>
      <c r="R1175" s="4"/>
    </row>
    <row r="1176" spans="1:18">
      <c r="A1176" s="1">
        <f t="shared" si="39"/>
        <v>0</v>
      </c>
      <c r="B1176" s="2"/>
      <c r="C1176" s="8"/>
      <c r="D1176" s="101" t="s">
        <v>31</v>
      </c>
      <c r="E1176" s="133"/>
      <c r="F1176" s="133"/>
      <c r="G1176" s="133"/>
      <c r="H1176" s="133"/>
      <c r="I1176" s="133"/>
      <c r="J1176" s="133"/>
      <c r="K1176" s="106" t="s">
        <v>32</v>
      </c>
      <c r="L1176" s="141" t="s">
        <v>33</v>
      </c>
      <c r="M1176" s="106" t="s">
        <v>34</v>
      </c>
      <c r="N1176" s="104" t="s">
        <v>20</v>
      </c>
      <c r="O1176" s="105"/>
      <c r="P1176" s="107" t="s">
        <v>22</v>
      </c>
      <c r="Q1176" s="108"/>
      <c r="R1176" s="4"/>
    </row>
    <row r="1177" spans="1:18">
      <c r="A1177" s="1">
        <f t="shared" si="39"/>
        <v>0</v>
      </c>
      <c r="B1177" s="2" t="s">
        <v>35</v>
      </c>
      <c r="C1177" s="8"/>
      <c r="D1177" s="142" t="str">
        <f>IFERROR(INDEX([239]TRANSPORTES!B:B,MATCH(B1177,[239]TRANSPORTES!A:A,0)),"")</f>
        <v>AGREGADOS DESPUÉS DE 5 KM</v>
      </c>
      <c r="E1177" s="143"/>
      <c r="F1177" s="143"/>
      <c r="G1177" s="143"/>
      <c r="H1177" s="143"/>
      <c r="I1177" s="143"/>
      <c r="J1177" s="143"/>
      <c r="K1177" s="220">
        <v>1.3</v>
      </c>
      <c r="L1177" s="145">
        <v>7</v>
      </c>
      <c r="M1177" s="146" t="str">
        <f>IFERROR(INDEX([239]TRANSPORTES!C:C,MATCH(B1177,[239]TRANSPORTES!A:A,0)),"")</f>
        <v>M3/KM</v>
      </c>
      <c r="N1177" s="139">
        <f>IFERROR(INDEX([239]TRANSPORTES!D:D,MATCH(B1177,[239]TRANSPORTES!A:A,0)),"")</f>
        <v>1850</v>
      </c>
      <c r="O1177" s="147"/>
      <c r="P1177" s="148">
        <f>IFERROR(ROUND(K1177*N1177*L1177,2),"")</f>
        <v>16835</v>
      </c>
      <c r="Q1177" s="119"/>
      <c r="R1177" s="4"/>
    </row>
    <row r="1178" spans="1:18">
      <c r="A1178" s="1">
        <f t="shared" si="39"/>
        <v>0</v>
      </c>
      <c r="B1178" s="2"/>
      <c r="C1178" s="8"/>
      <c r="D1178" s="142" t="str">
        <f>IFERROR(INDEX([239]TRANSPORTES!B:B,MATCH(B1178,[239]TRANSPORTES!A:A,0)),"")</f>
        <v/>
      </c>
      <c r="E1178" s="143"/>
      <c r="F1178" s="143"/>
      <c r="G1178" s="143"/>
      <c r="H1178" s="143"/>
      <c r="I1178" s="143"/>
      <c r="J1178" s="143"/>
      <c r="K1178" s="144"/>
      <c r="L1178" s="145"/>
      <c r="M1178" s="146" t="str">
        <f>IFERROR(INDEX([239]TRANSPORTES!C:C,MATCH(B1178,[239]TRANSPORTES!A:A,0)),"")</f>
        <v/>
      </c>
      <c r="N1178" s="139" t="str">
        <f>IFERROR(INDEX([239]TRANSPORTES!D:D,MATCH(B1178,[239]TRANSPORTES!A:A,0)),"")</f>
        <v/>
      </c>
      <c r="O1178" s="147"/>
      <c r="P1178" s="148" t="str">
        <f>IFERROR(ROUND(K1178*N1178*L1178,2),"")</f>
        <v/>
      </c>
      <c r="Q1178" s="119"/>
      <c r="R1178" s="4"/>
    </row>
    <row r="1179" spans="1:18">
      <c r="A1179" s="1">
        <f t="shared" si="39"/>
        <v>0</v>
      </c>
      <c r="B1179" s="2"/>
      <c r="C1179" s="8"/>
      <c r="D1179" s="142" t="str">
        <f>IFERROR(INDEX([239]TRANSPORTES!B:B,MATCH(B1179,[239]TRANSPORTES!A:A,0)),"")</f>
        <v/>
      </c>
      <c r="E1179" s="143"/>
      <c r="F1179" s="143"/>
      <c r="G1179" s="143"/>
      <c r="H1179" s="143"/>
      <c r="I1179" s="143"/>
      <c r="J1179" s="143"/>
      <c r="K1179" s="144"/>
      <c r="L1179" s="145"/>
      <c r="M1179" s="146" t="str">
        <f>IFERROR(INDEX([239]TRANSPORTES!C:C,MATCH(B1179,[239]TRANSPORTES!A:A,0)),"")</f>
        <v/>
      </c>
      <c r="N1179" s="139" t="str">
        <f>IFERROR(INDEX([239]TRANSPORTES!D:D,MATCH(B1179,[239]TRANSPORTES!A:A,0)),"")</f>
        <v/>
      </c>
      <c r="O1179" s="147"/>
      <c r="P1179" s="148" t="str">
        <f>IFERROR(ROUND(K1179*N1179*L1179,2),"")</f>
        <v/>
      </c>
      <c r="Q1179" s="119"/>
      <c r="R1179" s="4"/>
    </row>
    <row r="1180" spans="1:18" ht="15.75" thickBot="1">
      <c r="A1180" s="1">
        <f t="shared" si="39"/>
        <v>0</v>
      </c>
      <c r="B1180" s="2"/>
      <c r="C1180" s="8"/>
      <c r="D1180" s="142" t="str">
        <f>IFERROR(INDEX([239]TRANSPORTES!B:B,MATCH(B1180,[239]TRANSPORTES!A:A,0)),"")</f>
        <v/>
      </c>
      <c r="E1180" s="143"/>
      <c r="F1180" s="143"/>
      <c r="G1180" s="143"/>
      <c r="H1180" s="143"/>
      <c r="I1180" s="143"/>
      <c r="J1180" s="143"/>
      <c r="K1180" s="149"/>
      <c r="L1180" s="150"/>
      <c r="M1180" s="146" t="str">
        <f>IFERROR(INDEX([239]TRANSPORTES!C:C,MATCH(B1180,[239]TRANSPORTES!A:A,0)),"")</f>
        <v/>
      </c>
      <c r="N1180" s="139" t="str">
        <f>IFERROR(INDEX([239]TRANSPORTES!D:D,MATCH(B1180,[239]TRANSPORTES!A:A,0)),"")</f>
        <v/>
      </c>
      <c r="O1180" s="147"/>
      <c r="P1180" s="148" t="str">
        <f>IFERROR(ROUND(K1180*N1180*L1180,2),"")</f>
        <v/>
      </c>
      <c r="Q1180" s="119"/>
      <c r="R1180" s="4"/>
    </row>
    <row r="1181" spans="1:18" ht="15.75" thickBot="1">
      <c r="A1181" s="1">
        <f t="shared" si="39"/>
        <v>0</v>
      </c>
      <c r="B1181" s="2"/>
      <c r="C1181" s="8"/>
      <c r="D1181" s="128" t="s">
        <v>24</v>
      </c>
      <c r="E1181" s="129"/>
      <c r="F1181" s="129"/>
      <c r="G1181" s="129"/>
      <c r="H1181" s="129"/>
      <c r="I1181" s="129"/>
      <c r="J1181" s="129"/>
      <c r="K1181" s="129"/>
      <c r="L1181" s="129"/>
      <c r="M1181" s="129"/>
      <c r="N1181" s="129"/>
      <c r="O1181" s="130"/>
      <c r="P1181" s="151">
        <f>SUM(P1177:P1180)</f>
        <v>16835</v>
      </c>
      <c r="Q1181" s="132"/>
      <c r="R1181" s="4"/>
    </row>
    <row r="1182" spans="1:18" ht="15.75" thickBot="1">
      <c r="A1182" s="1">
        <f t="shared" si="39"/>
        <v>0</v>
      </c>
      <c r="B1182" s="2"/>
      <c r="C1182" s="8"/>
      <c r="D1182" s="74" t="s">
        <v>36</v>
      </c>
      <c r="E1182" s="37"/>
      <c r="F1182" s="37"/>
      <c r="G1182" s="37"/>
      <c r="H1182" s="37"/>
      <c r="I1182" s="37"/>
      <c r="J1182" s="37"/>
      <c r="K1182" s="37"/>
      <c r="L1182" s="37"/>
      <c r="M1182" s="37"/>
      <c r="N1182" s="37"/>
      <c r="O1182" s="37"/>
      <c r="P1182" s="99"/>
      <c r="Q1182" s="100"/>
      <c r="R1182" s="4"/>
    </row>
    <row r="1183" spans="1:18" ht="30">
      <c r="A1183" s="1">
        <f t="shared" si="39"/>
        <v>0</v>
      </c>
      <c r="B1183" s="2"/>
      <c r="C1183" s="8"/>
      <c r="D1183" s="101" t="s">
        <v>37</v>
      </c>
      <c r="E1183" s="133"/>
      <c r="F1183" s="133"/>
      <c r="G1183" s="133"/>
      <c r="H1183" s="133"/>
      <c r="I1183" s="133"/>
      <c r="J1183" s="133"/>
      <c r="K1183" s="106" t="s">
        <v>38</v>
      </c>
      <c r="L1183" s="152" t="s">
        <v>39</v>
      </c>
      <c r="M1183" s="153" t="s">
        <v>40</v>
      </c>
      <c r="N1183" s="104" t="s">
        <v>21</v>
      </c>
      <c r="O1183" s="105"/>
      <c r="P1183" s="154" t="s">
        <v>22</v>
      </c>
      <c r="Q1183" s="155"/>
      <c r="R1183" s="4"/>
    </row>
    <row r="1184" spans="1:18">
      <c r="A1184" s="1">
        <f t="shared" si="39"/>
        <v>0</v>
      </c>
      <c r="B1184" s="2" t="s">
        <v>41</v>
      </c>
      <c r="C1184" s="8"/>
      <c r="D1184" s="109" t="str">
        <f>IFERROR(INDEX('[239]MANO DE OBRA'!B:B,MATCH(B1184,'[239]MANO DE OBRA'!A:A,0)),"")</f>
        <v>OFICIAL</v>
      </c>
      <c r="E1184" s="110"/>
      <c r="F1184" s="110"/>
      <c r="G1184" s="110"/>
      <c r="H1184" s="110"/>
      <c r="I1184" s="110"/>
      <c r="J1184" s="111"/>
      <c r="K1184" s="156">
        <f>IFERROR(INDEX('[239]MANO DE OBRA'!D:D,MATCH(B1184,'[239]MANO DE OBRA'!A:A,0)),"")</f>
        <v>95930</v>
      </c>
      <c r="L1184" s="157">
        <f>+IF(D1184&lt;&gt;"",'[239]FACTOR PRESTACIONAL'!$E$21," ")</f>
        <v>1.95</v>
      </c>
      <c r="M1184" s="158">
        <f>IFERROR(K1184*L1184," ")</f>
        <v>187063.5</v>
      </c>
      <c r="N1184" s="159">
        <v>8</v>
      </c>
      <c r="O1184" s="160"/>
      <c r="P1184" s="161">
        <f>IFERROR(ROUND(M1184/N1184,2)," ")</f>
        <v>23382.94</v>
      </c>
      <c r="Q1184" s="162"/>
      <c r="R1184" s="4"/>
    </row>
    <row r="1185" spans="1:18">
      <c r="A1185" s="1">
        <f t="shared" si="39"/>
        <v>0</v>
      </c>
      <c r="B1185" s="2" t="s">
        <v>81</v>
      </c>
      <c r="C1185" s="8"/>
      <c r="D1185" s="109" t="str">
        <f>IFERROR(INDEX('[239]MANO DE OBRA'!B:B,MATCH(B1185,'[239]MANO DE OBRA'!A:A,0)),"")</f>
        <v>AYUDANTE (1)</v>
      </c>
      <c r="E1185" s="110"/>
      <c r="F1185" s="110"/>
      <c r="G1185" s="110"/>
      <c r="H1185" s="110"/>
      <c r="I1185" s="110"/>
      <c r="J1185" s="111"/>
      <c r="K1185" s="156">
        <f>IFERROR(INDEX('[239]MANO DE OBRA'!D:D,MATCH(B1185,'[239]MANO DE OBRA'!A:A,0)),"")</f>
        <v>71433</v>
      </c>
      <c r="L1185" s="157">
        <f>+IF(D1185&lt;&gt;"",'[239]FACTOR PRESTACIONAL'!$E$21," ")</f>
        <v>1.95</v>
      </c>
      <c r="M1185" s="158">
        <f>IFERROR(K1185*L1185," ")</f>
        <v>139294.35</v>
      </c>
      <c r="N1185" s="159">
        <v>8</v>
      </c>
      <c r="O1185" s="160"/>
      <c r="P1185" s="161">
        <f>IFERROR(ROUND(M1185/N1185,2)," ")</f>
        <v>17411.79</v>
      </c>
      <c r="Q1185" s="162"/>
      <c r="R1185" s="4"/>
    </row>
    <row r="1186" spans="1:18">
      <c r="A1186" s="1">
        <f t="shared" si="39"/>
        <v>0</v>
      </c>
      <c r="B1186" s="2"/>
      <c r="C1186" s="8"/>
      <c r="D1186" s="109" t="str">
        <f>IFERROR(INDEX('[239]MANO DE OBRA'!B:B,MATCH(B1186,'[239]MANO DE OBRA'!A:A,0)),"")</f>
        <v/>
      </c>
      <c r="E1186" s="110"/>
      <c r="F1186" s="110"/>
      <c r="G1186" s="110"/>
      <c r="H1186" s="110"/>
      <c r="I1186" s="110"/>
      <c r="J1186" s="111"/>
      <c r="K1186" s="156" t="str">
        <f>IFERROR(INDEX('[239]MANO DE OBRA'!D:D,MATCH(B1186,'[239]MANO DE OBRA'!A:A,0)),"")</f>
        <v/>
      </c>
      <c r="L1186" s="157" t="str">
        <f>+IF(D1186&lt;&gt;"",'[239]FACTOR PRESTACIONAL'!$E$21," ")</f>
        <v xml:space="preserve"> </v>
      </c>
      <c r="M1186" s="158" t="str">
        <f>IFERROR(K1186*L1186," ")</f>
        <v xml:space="preserve"> </v>
      </c>
      <c r="N1186" s="159"/>
      <c r="O1186" s="160"/>
      <c r="P1186" s="161" t="str">
        <f>IFERROR(ROUND(M1186/N1186,2)," ")</f>
        <v xml:space="preserve"> </v>
      </c>
      <c r="Q1186" s="162"/>
      <c r="R1186" s="4"/>
    </row>
    <row r="1187" spans="1:18">
      <c r="A1187" s="1">
        <f t="shared" si="39"/>
        <v>0</v>
      </c>
      <c r="B1187" s="2"/>
      <c r="C1187" s="8"/>
      <c r="D1187" s="109" t="str">
        <f>IFERROR(INDEX('[239]MANO DE OBRA'!B:B,MATCH(B1187,'[239]MANO DE OBRA'!A:A,0)),"")</f>
        <v/>
      </c>
      <c r="E1187" s="110"/>
      <c r="F1187" s="110"/>
      <c r="G1187" s="110"/>
      <c r="H1187" s="110"/>
      <c r="I1187" s="110"/>
      <c r="J1187" s="111"/>
      <c r="K1187" s="156" t="str">
        <f>IFERROR(INDEX('[239]MANO DE OBRA'!D:D,MATCH(B1187,'[239]MANO DE OBRA'!A:A,0)),"")</f>
        <v/>
      </c>
      <c r="L1187" s="157" t="str">
        <f>+IF(D1187&lt;&gt;"",'[239]FACTOR PRESTACIONAL'!$E$21," ")</f>
        <v xml:space="preserve"> </v>
      </c>
      <c r="M1187" s="158" t="str">
        <f>IFERROR(K1187*L1187," ")</f>
        <v xml:space="preserve"> </v>
      </c>
      <c r="N1187" s="159"/>
      <c r="O1187" s="160"/>
      <c r="P1187" s="161" t="str">
        <f>IFERROR(ROUND(M1187/N1187,2)," ")</f>
        <v xml:space="preserve"> </v>
      </c>
      <c r="Q1187" s="162"/>
      <c r="R1187" s="4"/>
    </row>
    <row r="1188" spans="1:18" ht="15.75" thickBot="1">
      <c r="A1188" s="1">
        <f t="shared" si="39"/>
        <v>0</v>
      </c>
      <c r="B1188" s="2"/>
      <c r="C1188" s="8"/>
      <c r="D1188" s="109" t="str">
        <f>IFERROR(INDEX('[239]MANO DE OBRA'!B:B,MATCH(B1188,'[239]MANO DE OBRA'!A:A,0)),"")</f>
        <v/>
      </c>
      <c r="E1188" s="110"/>
      <c r="F1188" s="110"/>
      <c r="G1188" s="110"/>
      <c r="H1188" s="110"/>
      <c r="I1188" s="110"/>
      <c r="J1188" s="111"/>
      <c r="K1188" s="156" t="str">
        <f>IFERROR(INDEX('[239]MANO DE OBRA'!D:D,MATCH(B1188,'[239]MANO DE OBRA'!A:A,0)),"")</f>
        <v/>
      </c>
      <c r="L1188" s="157" t="str">
        <f>+IF(D1188&lt;&gt;"",'[239]FACTOR PRESTACIONAL'!$E$21," ")</f>
        <v xml:space="preserve"> </v>
      </c>
      <c r="M1188" s="158" t="str">
        <f>IFERROR(K1188*L1188," ")</f>
        <v xml:space="preserve"> </v>
      </c>
      <c r="N1188" s="159"/>
      <c r="O1188" s="160"/>
      <c r="P1188" s="161" t="str">
        <f>IFERROR(ROUND(M1188/N1188,2)," ")</f>
        <v xml:space="preserve"> </v>
      </c>
      <c r="Q1188" s="119"/>
      <c r="R1188" s="4"/>
    </row>
    <row r="1189" spans="1:18" ht="15.75" thickBot="1">
      <c r="A1189" s="1">
        <f t="shared" si="39"/>
        <v>0</v>
      </c>
      <c r="B1189" s="2"/>
      <c r="C1189" s="8"/>
      <c r="D1189" s="128" t="s">
        <v>24</v>
      </c>
      <c r="E1189" s="129"/>
      <c r="F1189" s="129"/>
      <c r="G1189" s="129"/>
      <c r="H1189" s="129"/>
      <c r="I1189" s="129"/>
      <c r="J1189" s="129"/>
      <c r="K1189" s="129"/>
      <c r="L1189" s="129"/>
      <c r="M1189" s="129"/>
      <c r="N1189" s="129"/>
      <c r="O1189" s="130"/>
      <c r="P1189" s="131">
        <f>SUM(P1184:P1188)</f>
        <v>40794.729999999996</v>
      </c>
      <c r="Q1189" s="119"/>
      <c r="R1189" s="4"/>
    </row>
    <row r="1190" spans="1:18" ht="15.75" thickBot="1">
      <c r="A1190" s="1">
        <f t="shared" si="39"/>
        <v>0</v>
      </c>
      <c r="B1190" s="2"/>
      <c r="C1190" s="8"/>
      <c r="D1190" s="87"/>
      <c r="E1190" s="20"/>
      <c r="F1190" s="20"/>
      <c r="G1190" s="20"/>
      <c r="H1190" s="20"/>
      <c r="I1190" s="20"/>
      <c r="J1190" s="20"/>
      <c r="K1190" s="20"/>
      <c r="L1190" s="20"/>
      <c r="M1190" s="20"/>
      <c r="N1190" s="20"/>
      <c r="O1190" s="20"/>
      <c r="P1190" s="88"/>
      <c r="Q1190" s="13"/>
      <c r="R1190" s="4"/>
    </row>
    <row r="1191" spans="1:18" ht="15.75" thickBot="1">
      <c r="A1191" s="1"/>
      <c r="B1191" s="2"/>
      <c r="C1191" s="8"/>
      <c r="D1191" s="163" t="s">
        <v>43</v>
      </c>
      <c r="E1191" s="164"/>
      <c r="F1191" s="164"/>
      <c r="G1191" s="164"/>
      <c r="H1191" s="164"/>
      <c r="I1191" s="164"/>
      <c r="J1191" s="164"/>
      <c r="K1191" s="164"/>
      <c r="L1191" s="164"/>
      <c r="M1191" s="164"/>
      <c r="N1191" s="164"/>
      <c r="O1191" s="165"/>
      <c r="P1191" s="166">
        <f>+P1189+P1181+P1174+P1156</f>
        <v>135138.15</v>
      </c>
      <c r="Q1191" s="167"/>
      <c r="R1191" s="168"/>
    </row>
    <row r="1192" spans="1:18" ht="15.75" thickBot="1">
      <c r="A1192" s="1"/>
      <c r="B1192" s="2"/>
      <c r="C1192" s="8"/>
      <c r="D1192" s="169"/>
      <c r="E1192" s="170"/>
      <c r="F1192" s="170"/>
      <c r="G1192" s="170"/>
      <c r="H1192" s="170"/>
      <c r="I1192" s="170"/>
      <c r="J1192" s="170"/>
      <c r="K1192" s="170"/>
      <c r="L1192" s="170"/>
      <c r="M1192" s="170"/>
      <c r="N1192" s="170"/>
      <c r="O1192" s="170"/>
      <c r="P1192" s="171"/>
      <c r="Q1192" s="100"/>
      <c r="R1192" s="4"/>
    </row>
    <row r="1193" spans="1:18">
      <c r="A1193" s="1"/>
      <c r="B1193" s="2"/>
      <c r="C1193" s="8"/>
      <c r="D1193" s="172" t="s">
        <v>73</v>
      </c>
      <c r="E1193" s="173"/>
      <c r="F1193" s="173"/>
      <c r="G1193" s="173"/>
      <c r="H1193" s="173"/>
      <c r="I1193" s="173"/>
      <c r="J1193" s="173"/>
      <c r="K1193" s="141"/>
      <c r="L1193" s="174"/>
      <c r="M1193" s="153" t="s">
        <v>44</v>
      </c>
      <c r="N1193" s="175" t="s">
        <v>45</v>
      </c>
      <c r="O1193" s="176"/>
      <c r="P1193" s="154"/>
      <c r="Q1193" s="155"/>
      <c r="R1193" s="4"/>
    </row>
    <row r="1194" spans="1:18">
      <c r="A1194" s="1"/>
      <c r="B1194" s="2"/>
      <c r="C1194" s="8"/>
      <c r="D1194" s="109" t="s">
        <v>65</v>
      </c>
      <c r="E1194" s="110"/>
      <c r="F1194" s="110"/>
      <c r="G1194" s="110"/>
      <c r="H1194" s="110"/>
      <c r="I1194" s="110"/>
      <c r="J1194" s="110"/>
      <c r="K1194" s="177"/>
      <c r="L1194" s="178"/>
      <c r="M1194" s="179">
        <f>+[239]INICIO!$F$10</f>
        <v>0.24</v>
      </c>
      <c r="N1194" s="180">
        <f>ROUND(M1194*P1191,2)</f>
        <v>32433.16</v>
      </c>
      <c r="O1194" s="181"/>
      <c r="P1194" s="182"/>
      <c r="Q1194" s="119"/>
      <c r="R1194" s="4"/>
    </row>
    <row r="1195" spans="1:18">
      <c r="A1195" s="1"/>
      <c r="B1195" s="2"/>
      <c r="C1195" s="8"/>
      <c r="D1195" s="183" t="s">
        <v>67</v>
      </c>
      <c r="E1195" s="61"/>
      <c r="F1195" s="61"/>
      <c r="G1195" s="61"/>
      <c r="H1195" s="61"/>
      <c r="I1195" s="61"/>
      <c r="J1195" s="61"/>
      <c r="K1195" s="177"/>
      <c r="L1195" s="178"/>
      <c r="M1195" s="179">
        <f>+[239]INICIO!$F$11</f>
        <v>0.02</v>
      </c>
      <c r="N1195" s="180">
        <f>ROUND(M1195*P1191,2)</f>
        <v>2702.76</v>
      </c>
      <c r="O1195" s="181"/>
      <c r="P1195" s="182"/>
      <c r="Q1195" s="119"/>
      <c r="R1195" s="4"/>
    </row>
    <row r="1196" spans="1:18" ht="15.75" thickBot="1">
      <c r="A1196" s="1"/>
      <c r="B1196" s="2"/>
      <c r="C1196" s="8"/>
      <c r="D1196" s="77" t="s">
        <v>69</v>
      </c>
      <c r="E1196" s="78"/>
      <c r="F1196" s="78"/>
      <c r="G1196" s="78"/>
      <c r="H1196" s="78"/>
      <c r="I1196" s="78"/>
      <c r="J1196" s="78"/>
      <c r="K1196" s="184"/>
      <c r="L1196" s="185"/>
      <c r="M1196" s="179">
        <f>+[239]INICIO!$F$12</f>
        <v>7.0000000000000007E-2</v>
      </c>
      <c r="N1196" s="180">
        <f>ROUND(M1196*P1191,2)</f>
        <v>9459.67</v>
      </c>
      <c r="O1196" s="181"/>
      <c r="P1196" s="182"/>
      <c r="Q1196" s="119"/>
      <c r="R1196" s="4"/>
    </row>
    <row r="1197" spans="1:18" ht="15.75" thickBot="1">
      <c r="A1197" s="1"/>
      <c r="B1197" s="2"/>
      <c r="C1197" s="8"/>
      <c r="D1197" s="128"/>
      <c r="E1197" s="129"/>
      <c r="F1197" s="129"/>
      <c r="G1197" s="129"/>
      <c r="H1197" s="129"/>
      <c r="I1197" s="129"/>
      <c r="J1197" s="129"/>
      <c r="K1197" s="129"/>
      <c r="L1197" s="129"/>
      <c r="M1197" s="129"/>
      <c r="N1197" s="129"/>
      <c r="O1197" s="130"/>
      <c r="P1197" s="131">
        <f>SUM(N1194:N1196)</f>
        <v>44595.59</v>
      </c>
      <c r="Q1197" s="186"/>
      <c r="R1197" s="4"/>
    </row>
    <row r="1198" spans="1:18" ht="15.75" thickBot="1">
      <c r="A1198" s="1"/>
      <c r="B1198" s="2"/>
      <c r="C1198" s="8"/>
      <c r="D1198" s="87"/>
      <c r="E1198" s="20"/>
      <c r="F1198" s="20"/>
      <c r="G1198" s="20"/>
      <c r="H1198" s="20"/>
      <c r="I1198" s="20"/>
      <c r="J1198" s="20"/>
      <c r="K1198" s="20"/>
      <c r="L1198" s="20"/>
      <c r="M1198" s="20"/>
      <c r="N1198" s="20"/>
      <c r="O1198" s="20"/>
      <c r="P1198" s="88"/>
      <c r="Q1198" s="13"/>
      <c r="R1198" s="4"/>
    </row>
    <row r="1199" spans="1:18" ht="15.75" thickBot="1">
      <c r="A1199" s="1"/>
      <c r="B1199" s="2"/>
      <c r="C1199" s="8"/>
      <c r="D1199" s="187" t="s">
        <v>46</v>
      </c>
      <c r="E1199" s="188"/>
      <c r="F1199" s="188"/>
      <c r="G1199" s="188"/>
      <c r="H1199" s="188"/>
      <c r="I1199" s="188"/>
      <c r="J1199" s="188"/>
      <c r="K1199" s="188"/>
      <c r="L1199" s="188"/>
      <c r="M1199" s="188"/>
      <c r="N1199" s="188"/>
      <c r="O1199" s="189"/>
      <c r="P1199" s="166">
        <f>ROUND(P1197+P1191,0)</f>
        <v>179734</v>
      </c>
      <c r="Q1199" s="186"/>
      <c r="R1199" s="4"/>
    </row>
    <row r="1200" spans="1:18">
      <c r="A1200" s="1"/>
      <c r="B1200" s="2"/>
      <c r="C1200" s="8"/>
      <c r="D1200" s="80"/>
      <c r="E1200" s="81"/>
      <c r="F1200" s="81"/>
      <c r="G1200" s="81"/>
      <c r="H1200" s="81"/>
      <c r="I1200" s="81"/>
      <c r="J1200" s="81"/>
      <c r="K1200" s="81"/>
      <c r="L1200" s="81"/>
      <c r="M1200" s="81"/>
      <c r="N1200" s="81"/>
      <c r="O1200" s="81"/>
      <c r="P1200" s="82"/>
      <c r="Q1200" s="13"/>
      <c r="R1200" s="4"/>
    </row>
    <row r="1201" spans="1:18">
      <c r="A1201" s="1"/>
      <c r="B1201" s="2"/>
      <c r="C1201" s="8"/>
      <c r="D1201" s="87"/>
      <c r="E1201" s="20"/>
      <c r="F1201" s="20"/>
      <c r="G1201" s="20"/>
      <c r="H1201" s="20"/>
      <c r="I1201" s="20"/>
      <c r="J1201" s="20"/>
      <c r="K1201" s="20"/>
      <c r="L1201" s="20"/>
      <c r="M1201" s="20"/>
      <c r="N1201" s="20"/>
      <c r="O1201" s="20"/>
      <c r="P1201" s="88"/>
      <c r="Q1201" s="13"/>
      <c r="R1201" s="4"/>
    </row>
    <row r="1202" spans="1:18">
      <c r="A1202" s="1"/>
      <c r="B1202" s="2"/>
      <c r="C1202" s="8"/>
      <c r="D1202" s="87"/>
      <c r="E1202" s="20"/>
      <c r="F1202" s="20"/>
      <c r="G1202" s="20"/>
      <c r="H1202" s="20"/>
      <c r="I1202" s="20"/>
      <c r="J1202" s="20"/>
      <c r="K1202" s="20"/>
      <c r="L1202" s="20"/>
      <c r="M1202" s="20"/>
      <c r="N1202" s="20"/>
      <c r="O1202" s="20"/>
      <c r="P1202" s="88"/>
      <c r="Q1202" s="13"/>
      <c r="R1202" s="4"/>
    </row>
    <row r="1203" spans="1:18">
      <c r="A1203" s="1"/>
      <c r="B1203" s="2"/>
      <c r="C1203" s="8"/>
      <c r="D1203" s="87"/>
      <c r="E1203" s="20"/>
      <c r="F1203" s="20"/>
      <c r="G1203" s="20"/>
      <c r="H1203" s="20"/>
      <c r="I1203" s="20"/>
      <c r="J1203" s="20"/>
      <c r="K1203" s="20"/>
      <c r="L1203" s="20"/>
      <c r="M1203" s="20"/>
      <c r="N1203" s="20"/>
      <c r="O1203" s="20"/>
      <c r="P1203" s="88"/>
      <c r="Q1203" s="13"/>
      <c r="R1203" s="4"/>
    </row>
    <row r="1204" spans="1:18">
      <c r="A1204" s="1"/>
      <c r="B1204" s="2"/>
      <c r="C1204" s="8"/>
      <c r="D1204" s="219" t="str">
        <f>+[239]INICIO!$B$13</f>
        <v>Proyectó:</v>
      </c>
      <c r="E1204" s="49"/>
      <c r="F1204" s="49"/>
      <c r="G1204" s="49"/>
      <c r="H1204" s="49"/>
      <c r="I1204" s="49"/>
      <c r="J1204" s="49"/>
      <c r="K1204" s="20"/>
      <c r="L1204" s="69" t="str">
        <f>+[239]INICIO!$B$16</f>
        <v>Aprobó:</v>
      </c>
      <c r="M1204" s="49"/>
      <c r="N1204" s="49"/>
      <c r="O1204" s="49"/>
      <c r="P1204" s="88"/>
      <c r="Q1204" s="13"/>
      <c r="R1204" s="4"/>
    </row>
    <row r="1205" spans="1:18">
      <c r="A1205" s="1"/>
      <c r="B1205" s="2"/>
      <c r="C1205" s="8"/>
      <c r="D1205" s="87"/>
      <c r="E1205" s="20" t="str">
        <f>+Hoja2!C$13</f>
        <v>HELMER EDUARDO BECERRA SANTANDER</v>
      </c>
      <c r="F1205" s="20"/>
      <c r="G1205" s="20"/>
      <c r="H1205" s="20"/>
      <c r="I1205" s="20"/>
      <c r="J1205" s="20"/>
      <c r="K1205" s="20"/>
      <c r="L1205" s="20"/>
      <c r="M1205" s="20" t="str">
        <f>+Hoja2!$C$16</f>
        <v>JESÚS IVÁN QUIÑONES RUEDA</v>
      </c>
      <c r="N1205" s="20"/>
      <c r="O1205" s="20"/>
      <c r="P1205" s="88"/>
      <c r="Q1205" s="190"/>
      <c r="R1205" s="4"/>
    </row>
    <row r="1206" spans="1:18">
      <c r="A1206" s="1"/>
      <c r="B1206" s="2"/>
      <c r="C1206" s="8"/>
      <c r="D1206" s="87"/>
      <c r="E1206" s="20" t="str">
        <f>+Hoja2!C$14</f>
        <v>APOYO SEC. DE PLANEACIÓN Y OBRAS PÚBLICAS</v>
      </c>
      <c r="F1206" s="20"/>
      <c r="G1206" s="20"/>
      <c r="H1206" s="20"/>
      <c r="I1206" s="20"/>
      <c r="J1206" s="20"/>
      <c r="K1206" s="20"/>
      <c r="L1206" s="20"/>
      <c r="M1206" s="20" t="str">
        <f>+Hoja2!$C$17</f>
        <v>SECRETARIO DE PLANEACIÓN Y OBRAS PUBLICAS</v>
      </c>
      <c r="N1206" s="20"/>
      <c r="O1206" s="20"/>
      <c r="P1206" s="88"/>
      <c r="Q1206" s="190"/>
      <c r="R1206" s="4"/>
    </row>
    <row r="1207" spans="1:18">
      <c r="A1207" s="1"/>
      <c r="B1207" s="2"/>
      <c r="C1207" s="8"/>
      <c r="D1207" s="68"/>
      <c r="E1207" s="20" t="str">
        <f>+Hoja2!C$15</f>
        <v>123769-0701671 NTS</v>
      </c>
      <c r="F1207" s="191"/>
      <c r="G1207" s="191"/>
      <c r="H1207" s="191"/>
      <c r="I1207" s="20"/>
      <c r="J1207" s="191"/>
      <c r="K1207" s="191"/>
      <c r="L1207" s="191"/>
      <c r="M1207" s="192" t="str">
        <f>+Hoja2!C$18</f>
        <v>A21382020-1090480860</v>
      </c>
      <c r="N1207" s="191"/>
      <c r="O1207" s="191"/>
      <c r="P1207" s="193"/>
      <c r="Q1207" s="194"/>
      <c r="R1207" s="4"/>
    </row>
    <row r="1208" spans="1:18" ht="16.5" thickBot="1">
      <c r="A1208" s="1"/>
      <c r="B1208" s="2"/>
      <c r="C1208" s="8"/>
      <c r="D1208" s="195"/>
      <c r="E1208" s="150"/>
      <c r="F1208" s="150"/>
      <c r="G1208" s="150"/>
      <c r="H1208" s="150"/>
      <c r="I1208" s="150"/>
      <c r="J1208" s="150"/>
      <c r="K1208" s="150"/>
      <c r="L1208" s="150"/>
      <c r="M1208" s="150"/>
      <c r="N1208" s="150"/>
      <c r="O1208" s="150"/>
      <c r="P1208" s="196"/>
      <c r="Q1208" s="197"/>
      <c r="R1208" s="4"/>
    </row>
    <row r="1209" spans="1:18" ht="15.75" thickBot="1">
      <c r="A1209" s="1"/>
      <c r="B1209" s="2"/>
      <c r="C1209" s="198"/>
      <c r="D1209" s="199"/>
      <c r="E1209" s="199"/>
      <c r="F1209" s="199"/>
      <c r="G1209" s="199"/>
      <c r="H1209" s="199"/>
      <c r="I1209" s="199"/>
      <c r="J1209" s="199"/>
      <c r="K1209" s="199"/>
      <c r="L1209" s="199"/>
      <c r="M1209" s="199"/>
      <c r="N1209" s="199"/>
      <c r="O1209" s="199"/>
      <c r="P1209" s="199"/>
      <c r="Q1209" s="200"/>
      <c r="R1209" s="4"/>
    </row>
    <row r="1210" spans="1:18" ht="15.75" thickTop="1"/>
    <row r="1211" spans="1:18" ht="15.75" thickBot="1"/>
    <row r="1212" spans="1:18" ht="15.75" thickTop="1">
      <c r="A1212" s="1"/>
      <c r="B1212" s="2"/>
      <c r="C1212" s="5"/>
      <c r="D1212" s="6"/>
      <c r="E1212" s="6"/>
      <c r="F1212" s="6"/>
      <c r="G1212" s="6"/>
      <c r="H1212" s="6"/>
      <c r="I1212" s="6"/>
      <c r="J1212" s="6"/>
      <c r="K1212" s="6"/>
      <c r="L1212" s="6"/>
      <c r="M1212" s="6"/>
      <c r="N1212" s="6"/>
      <c r="O1212" s="6"/>
      <c r="P1212" s="6"/>
      <c r="Q1212" s="7"/>
      <c r="R1212" s="4"/>
    </row>
    <row r="1213" spans="1:18" ht="24">
      <c r="A1213" s="1"/>
      <c r="B1213" s="2"/>
      <c r="C1213" s="8"/>
      <c r="D1213" s="9" t="str">
        <f>+[239]INICIO!$C$8</f>
        <v>Análisis de Precios Unitarios- Secretaria de Planeación y Obras Publicas de Cubará, Boyacá.</v>
      </c>
      <c r="E1213" s="10"/>
      <c r="F1213" s="10"/>
      <c r="G1213" s="10"/>
      <c r="H1213" s="11"/>
      <c r="I1213" s="12"/>
      <c r="J1213" s="12"/>
      <c r="K1213" s="12"/>
      <c r="L1213" s="12"/>
      <c r="M1213" s="12"/>
      <c r="N1213" s="12"/>
      <c r="O1213" s="12"/>
      <c r="P1213" s="12"/>
      <c r="Q1213" s="13"/>
      <c r="R1213" s="4"/>
    </row>
    <row r="1214" spans="1:18">
      <c r="A1214" s="1"/>
      <c r="B1214" s="2"/>
      <c r="C1214" s="8"/>
      <c r="D1214" s="14" t="s">
        <v>0</v>
      </c>
      <c r="E1214" s="15" t="str">
        <f>+[239]INICIO!$C$7</f>
        <v>CCE-EICP-FM-14</v>
      </c>
      <c r="F1214" s="16"/>
      <c r="G1214" s="17" t="str">
        <f>+[239]INICIO!$B$6</f>
        <v>VERSIÓN</v>
      </c>
      <c r="H1214" s="14">
        <f>+[239]INICIO!$C$6</f>
        <v>1</v>
      </c>
      <c r="I1214" s="12"/>
      <c r="J1214" s="12"/>
      <c r="K1214" s="12"/>
      <c r="L1214" s="12"/>
      <c r="M1214" s="12"/>
      <c r="N1214" s="12"/>
      <c r="O1214" s="12"/>
      <c r="P1214" s="12"/>
      <c r="Q1214" s="13"/>
      <c r="R1214" s="4"/>
    </row>
    <row r="1215" spans="1:18">
      <c r="A1215" s="1"/>
      <c r="B1215" s="2"/>
      <c r="C1215" s="8"/>
      <c r="D1215" s="18"/>
      <c r="E1215" s="19"/>
      <c r="F1215" s="18"/>
      <c r="G1215" s="19"/>
      <c r="H1215" s="12"/>
      <c r="I1215" s="12"/>
      <c r="J1215" s="12"/>
      <c r="K1215" s="12"/>
      <c r="L1215" s="12"/>
      <c r="M1215" s="12"/>
      <c r="N1215" s="12"/>
      <c r="O1215" s="12"/>
      <c r="P1215" s="12"/>
      <c r="Q1215" s="13"/>
      <c r="R1215" s="4"/>
    </row>
    <row r="1216" spans="1:18" ht="15.75" thickBot="1">
      <c r="A1216" s="1"/>
      <c r="B1216" s="2"/>
      <c r="C1216" s="8"/>
      <c r="D1216" s="20"/>
      <c r="E1216" s="20"/>
      <c r="F1216" s="20"/>
      <c r="G1216" s="20"/>
      <c r="H1216" s="20"/>
      <c r="I1216" s="20"/>
      <c r="J1216" s="20"/>
      <c r="K1216" s="20"/>
      <c r="L1216" s="20"/>
      <c r="M1216" s="20"/>
      <c r="N1216" s="20"/>
      <c r="O1216" s="20"/>
      <c r="P1216" s="20"/>
      <c r="Q1216" s="13"/>
      <c r="R1216" s="4"/>
    </row>
    <row r="1217" spans="1:18">
      <c r="A1217" s="1"/>
      <c r="B1217" s="2"/>
      <c r="C1217" s="8"/>
      <c r="D1217" s="21"/>
      <c r="E1217" s="22"/>
      <c r="F1217" s="23"/>
      <c r="G1217" s="23"/>
      <c r="H1217" s="23"/>
      <c r="I1217" s="23"/>
      <c r="J1217" s="23"/>
      <c r="K1217" s="23"/>
      <c r="L1217" s="24"/>
      <c r="M1217" s="25"/>
      <c r="N1217" s="26"/>
      <c r="O1217" s="26"/>
      <c r="P1217" s="27"/>
      <c r="Q1217" s="28"/>
      <c r="R1217" s="4"/>
    </row>
    <row r="1218" spans="1:18">
      <c r="A1218" s="1"/>
      <c r="B1218" s="2"/>
      <c r="C1218" s="8"/>
      <c r="D1218" s="29"/>
      <c r="E1218" s="30" t="s">
        <v>1</v>
      </c>
      <c r="F1218" s="31"/>
      <c r="G1218" s="31"/>
      <c r="H1218" s="31"/>
      <c r="I1218" s="31"/>
      <c r="J1218" s="31"/>
      <c r="K1218" s="31"/>
      <c r="L1218" s="32"/>
      <c r="M1218" s="33"/>
      <c r="N1218" s="34"/>
      <c r="O1218" s="34"/>
      <c r="P1218" s="35"/>
      <c r="Q1218" s="28"/>
      <c r="R1218" s="4"/>
    </row>
    <row r="1219" spans="1:18">
      <c r="A1219" s="1"/>
      <c r="B1219" s="2"/>
      <c r="C1219" s="8"/>
      <c r="D1219" s="29"/>
      <c r="E1219" s="36"/>
      <c r="F1219" s="37"/>
      <c r="G1219" s="37"/>
      <c r="H1219" s="37"/>
      <c r="I1219" s="37"/>
      <c r="J1219" s="37"/>
      <c r="K1219" s="37"/>
      <c r="L1219" s="38"/>
      <c r="M1219" s="39"/>
      <c r="N1219" s="40"/>
      <c r="O1219" s="41"/>
      <c r="P1219" s="42"/>
      <c r="Q1219" s="28"/>
      <c r="R1219" s="4"/>
    </row>
    <row r="1220" spans="1:18">
      <c r="A1220" s="1"/>
      <c r="B1220" s="2"/>
      <c r="C1220" s="8"/>
      <c r="D1220" s="29"/>
      <c r="E1220" s="36"/>
      <c r="F1220" s="37"/>
      <c r="G1220" s="37"/>
      <c r="H1220" s="37"/>
      <c r="I1220" s="37"/>
      <c r="J1220" s="37"/>
      <c r="K1220" s="37"/>
      <c r="L1220" s="38"/>
      <c r="M1220" s="43" t="s">
        <v>2</v>
      </c>
      <c r="N1220" s="44"/>
      <c r="O1220" s="45">
        <f>+[239]INICIO!$C$6</f>
        <v>1</v>
      </c>
      <c r="P1220" s="46"/>
      <c r="Q1220" s="28"/>
      <c r="R1220" s="4"/>
    </row>
    <row r="1221" spans="1:18">
      <c r="A1221" s="1"/>
      <c r="B1221" s="2"/>
      <c r="C1221" s="8"/>
      <c r="D1221" s="29"/>
      <c r="E1221" s="36"/>
      <c r="F1221" s="37"/>
      <c r="G1221" s="37"/>
      <c r="H1221" s="37"/>
      <c r="I1221" s="37"/>
      <c r="J1221" s="37"/>
      <c r="K1221" s="37"/>
      <c r="L1221" s="38"/>
      <c r="M1221" s="47"/>
      <c r="N1221" s="48"/>
      <c r="O1221" s="49"/>
      <c r="P1221" s="50"/>
      <c r="Q1221" s="51"/>
      <c r="R1221" s="4"/>
    </row>
    <row r="1222" spans="1:18">
      <c r="A1222" s="1"/>
      <c r="B1222" s="2"/>
      <c r="C1222" s="8"/>
      <c r="D1222" s="29"/>
      <c r="E1222" s="52"/>
      <c r="F1222" s="53"/>
      <c r="G1222" s="53"/>
      <c r="H1222" s="53"/>
      <c r="I1222" s="53"/>
      <c r="J1222" s="53"/>
      <c r="K1222" s="53"/>
      <c r="L1222" s="54"/>
      <c r="M1222" s="39"/>
      <c r="N1222" s="55"/>
      <c r="O1222" s="55"/>
      <c r="P1222" s="56"/>
      <c r="Q1222" s="28"/>
      <c r="R1222" s="4"/>
    </row>
    <row r="1223" spans="1:18">
      <c r="A1223" s="1"/>
      <c r="B1223" s="2"/>
      <c r="C1223" s="8"/>
      <c r="D1223" s="29"/>
      <c r="E1223" s="52"/>
      <c r="F1223" s="53"/>
      <c r="G1223" s="53"/>
      <c r="H1223" s="53"/>
      <c r="I1223" s="53"/>
      <c r="J1223" s="53"/>
      <c r="K1223" s="53"/>
      <c r="L1223" s="54"/>
      <c r="M1223" s="43" t="s">
        <v>3</v>
      </c>
      <c r="N1223" s="43" t="str">
        <f>+VLOOKUP(D1234,'PRESUPUESTO OFICIAL '!C:Q,9,FALSE)</f>
        <v>15</v>
      </c>
      <c r="O1223" s="43" t="s">
        <v>4</v>
      </c>
      <c r="P1223" s="508" t="str">
        <f>+'PRESUPUESTO OFICIAL '!$M$122</f>
        <v>62</v>
      </c>
      <c r="Q1223" s="28"/>
      <c r="R1223" s="4"/>
    </row>
    <row r="1224" spans="1:18">
      <c r="A1224" s="1"/>
      <c r="B1224" s="2"/>
      <c r="C1224" s="8"/>
      <c r="D1224" s="29"/>
      <c r="E1224" s="30" t="s">
        <v>5</v>
      </c>
      <c r="F1224" s="31"/>
      <c r="G1224" s="31"/>
      <c r="H1224" s="31"/>
      <c r="I1224" s="31"/>
      <c r="J1224" s="31"/>
      <c r="K1224" s="31"/>
      <c r="L1224" s="32"/>
      <c r="M1224" s="43"/>
      <c r="N1224" s="57"/>
      <c r="O1224" s="57"/>
      <c r="P1224" s="58"/>
      <c r="Q1224" s="28"/>
      <c r="R1224" s="4"/>
    </row>
    <row r="1225" spans="1:18" ht="15.75" thickBot="1">
      <c r="A1225" s="1"/>
      <c r="B1225" s="2"/>
      <c r="C1225" s="8"/>
      <c r="D1225" s="59"/>
      <c r="E1225" s="60"/>
      <c r="F1225" s="60"/>
      <c r="G1225" s="60"/>
      <c r="H1225" s="60"/>
      <c r="I1225" s="60"/>
      <c r="J1225" s="60"/>
      <c r="K1225" s="60"/>
      <c r="L1225" s="60"/>
      <c r="M1225" s="60"/>
      <c r="N1225" s="61"/>
      <c r="O1225" s="61"/>
      <c r="P1225" s="62"/>
      <c r="Q1225" s="63"/>
      <c r="R1225" s="4"/>
    </row>
    <row r="1226" spans="1:18">
      <c r="A1226" s="1"/>
      <c r="B1226" s="2"/>
      <c r="C1226" s="8"/>
      <c r="D1226" s="64"/>
      <c r="E1226" s="65"/>
      <c r="F1226" s="65"/>
      <c r="G1226" s="65"/>
      <c r="H1226" s="65"/>
      <c r="I1226" s="65"/>
      <c r="J1226" s="65"/>
      <c r="K1226" s="65"/>
      <c r="L1226" s="65"/>
      <c r="M1226" s="66" t="s">
        <v>6</v>
      </c>
      <c r="N1226" s="66" t="s">
        <v>7</v>
      </c>
      <c r="O1226" s="66" t="s">
        <v>8</v>
      </c>
      <c r="P1226" s="67" t="s">
        <v>9</v>
      </c>
      <c r="Q1226" s="51"/>
      <c r="R1226" s="4"/>
    </row>
    <row r="1227" spans="1:18">
      <c r="A1227" s="1"/>
      <c r="B1227" s="2"/>
      <c r="C1227" s="8"/>
      <c r="D1227" s="68"/>
      <c r="E1227" s="69"/>
      <c r="F1227" s="69"/>
      <c r="G1227" s="69"/>
      <c r="H1227" s="69"/>
      <c r="I1227" s="69"/>
      <c r="J1227" s="69"/>
      <c r="K1227" s="69"/>
      <c r="L1227" s="69"/>
      <c r="M1227" s="70"/>
      <c r="N1227" s="71">
        <f>+Hoja2!B$5</f>
        <v>5</v>
      </c>
      <c r="O1227" s="71">
        <f>+Hoja2!C$5</f>
        <v>8</v>
      </c>
      <c r="P1227" s="72">
        <f>+Hoja2!D$5</f>
        <v>2026</v>
      </c>
      <c r="Q1227" s="73"/>
      <c r="R1227" s="4"/>
    </row>
    <row r="1228" spans="1:18">
      <c r="A1228" s="1"/>
      <c r="B1228" s="2"/>
      <c r="C1228" s="8"/>
      <c r="D1228" s="74"/>
      <c r="E1228" s="37"/>
      <c r="F1228" s="37"/>
      <c r="G1228" s="37"/>
      <c r="H1228" s="69"/>
      <c r="I1228" s="69"/>
      <c r="J1228" s="69"/>
      <c r="K1228" s="20"/>
      <c r="L1228" s="69"/>
      <c r="M1228" s="75"/>
      <c r="N1228" s="20"/>
      <c r="O1228" s="20"/>
      <c r="P1228" s="76"/>
      <c r="Q1228" s="73"/>
      <c r="R1228" s="4"/>
    </row>
    <row r="1229" spans="1:18" ht="15.75" thickBot="1">
      <c r="A1229" s="1"/>
      <c r="B1229" s="2"/>
      <c r="C1229" s="8"/>
      <c r="D1229" s="77"/>
      <c r="E1229" s="78"/>
      <c r="F1229" s="78"/>
      <c r="G1229" s="78"/>
      <c r="H1229" s="78"/>
      <c r="I1229" s="78"/>
      <c r="J1229" s="78"/>
      <c r="K1229" s="78"/>
      <c r="L1229" s="78"/>
      <c r="M1229" s="78"/>
      <c r="N1229" s="78"/>
      <c r="O1229" s="78"/>
      <c r="P1229" s="79"/>
      <c r="Q1229" s="13"/>
      <c r="R1229" s="4"/>
    </row>
    <row r="1230" spans="1:18" ht="15.75" thickBot="1">
      <c r="A1230" s="1"/>
      <c r="B1230" s="2"/>
      <c r="C1230" s="8"/>
      <c r="D1230" s="80"/>
      <c r="E1230" s="81"/>
      <c r="F1230" s="81"/>
      <c r="G1230" s="81"/>
      <c r="H1230" s="81"/>
      <c r="I1230" s="81"/>
      <c r="J1230" s="20"/>
      <c r="K1230" s="20"/>
      <c r="L1230" s="81"/>
      <c r="M1230" s="81"/>
      <c r="N1230" s="81"/>
      <c r="O1230" s="81"/>
      <c r="P1230" s="82"/>
      <c r="Q1230" s="13"/>
      <c r="R1230" s="4"/>
    </row>
    <row r="1231" spans="1:18">
      <c r="A1231" s="1"/>
      <c r="B1231" s="2"/>
      <c r="C1231" s="8"/>
      <c r="D1231" s="83" t="s">
        <v>10</v>
      </c>
      <c r="E1231" s="84"/>
      <c r="F1231" s="84"/>
      <c r="G1231" s="84"/>
      <c r="H1231" s="84"/>
      <c r="I1231" s="84"/>
      <c r="J1231" s="84"/>
      <c r="K1231" s="84"/>
      <c r="L1231" s="84"/>
      <c r="M1231" s="84"/>
      <c r="N1231" s="84"/>
      <c r="O1231" s="84"/>
      <c r="P1231" s="85"/>
      <c r="Q1231" s="86"/>
      <c r="R1231" s="4"/>
    </row>
    <row r="1232" spans="1:18" ht="15.75" thickBot="1">
      <c r="A1232" s="1"/>
      <c r="B1232" s="2"/>
      <c r="C1232" s="8"/>
      <c r="D1232" s="87"/>
      <c r="E1232" s="20"/>
      <c r="F1232" s="20"/>
      <c r="G1232" s="20"/>
      <c r="H1232" s="20"/>
      <c r="I1232" s="20"/>
      <c r="J1232" s="20"/>
      <c r="K1232" s="20"/>
      <c r="L1232" s="20"/>
      <c r="M1232" s="20"/>
      <c r="N1232" s="20"/>
      <c r="O1232" s="20"/>
      <c r="P1232" s="88"/>
      <c r="Q1232" s="13"/>
      <c r="R1232" s="4"/>
    </row>
    <row r="1233" spans="1:18">
      <c r="A1233" s="1" t="s">
        <v>11</v>
      </c>
      <c r="B1233" s="2" t="s">
        <v>12</v>
      </c>
      <c r="C1233" s="8"/>
      <c r="D1233" s="89" t="s">
        <v>13</v>
      </c>
      <c r="E1233" s="90" t="s">
        <v>14</v>
      </c>
      <c r="F1233" s="90"/>
      <c r="G1233" s="90"/>
      <c r="H1233" s="90"/>
      <c r="I1233" s="90"/>
      <c r="J1233" s="90"/>
      <c r="K1233" s="90"/>
      <c r="L1233" s="90"/>
      <c r="M1233" s="90"/>
      <c r="N1233" s="91" t="s">
        <v>15</v>
      </c>
      <c r="O1233" s="91"/>
      <c r="P1233" s="92" t="s">
        <v>16</v>
      </c>
      <c r="Q1233" s="93"/>
      <c r="R1233" s="4"/>
    </row>
    <row r="1234" spans="1:18" ht="38.25" customHeight="1" thickBot="1">
      <c r="A1234" s="1"/>
      <c r="B1234" s="2"/>
      <c r="C1234" s="8"/>
      <c r="D1234" s="349">
        <f>+'PRESUPUESTO OFICIAL '!C26</f>
        <v>1.1499999999999999</v>
      </c>
      <c r="E1234" s="94" t="str">
        <f>+VLOOKUP(D1234,'PRESUPUESTO OFICIAL '!C:H,2,FALSE)</f>
        <v>DESMONTE DE CUBIERTA EN LÁMINA</v>
      </c>
      <c r="F1234" s="94"/>
      <c r="G1234" s="94"/>
      <c r="H1234" s="94"/>
      <c r="I1234" s="94"/>
      <c r="J1234" s="94"/>
      <c r="K1234" s="94"/>
      <c r="L1234" s="94"/>
      <c r="M1234" s="94"/>
      <c r="N1234" s="94" t="str">
        <f>+VLOOKUP(D1234,'PRESUPUESTO OFICIAL '!C:H,3,FALSE)</f>
        <v>M2</v>
      </c>
      <c r="O1234" s="95"/>
      <c r="P1234" s="96">
        <f>+VLOOKUP(D1234,'PRESUPUESTO OFICIAL '!C:H,4,FALSE)</f>
        <v>121.33</v>
      </c>
      <c r="Q1234" s="97"/>
      <c r="R1234" s="98">
        <f>+P1286</f>
        <v>15306</v>
      </c>
    </row>
    <row r="1235" spans="1:18" ht="15.75" thickBot="1">
      <c r="A1235" s="1"/>
      <c r="B1235" s="2"/>
      <c r="C1235" s="8"/>
      <c r="D1235" s="74" t="s">
        <v>17</v>
      </c>
      <c r="E1235" s="37"/>
      <c r="F1235" s="37"/>
      <c r="G1235" s="37"/>
      <c r="H1235" s="37"/>
      <c r="I1235" s="37"/>
      <c r="J1235" s="37"/>
      <c r="K1235" s="37"/>
      <c r="L1235" s="37"/>
      <c r="M1235" s="37"/>
      <c r="N1235" s="37"/>
      <c r="O1235" s="37"/>
      <c r="P1235" s="99"/>
      <c r="Q1235" s="100"/>
      <c r="R1235" s="4"/>
    </row>
    <row r="1236" spans="1:18">
      <c r="A1236" s="1"/>
      <c r="B1236" s="2"/>
      <c r="C1236" s="8"/>
      <c r="D1236" s="101" t="s">
        <v>14</v>
      </c>
      <c r="E1236" s="102"/>
      <c r="F1236" s="102"/>
      <c r="G1236" s="102"/>
      <c r="H1236" s="103"/>
      <c r="I1236" s="104" t="s">
        <v>18</v>
      </c>
      <c r="J1236" s="102"/>
      <c r="K1236" s="104" t="s">
        <v>19</v>
      </c>
      <c r="L1236" s="105"/>
      <c r="M1236" s="106" t="s">
        <v>20</v>
      </c>
      <c r="N1236" s="104" t="s">
        <v>21</v>
      </c>
      <c r="O1236" s="105"/>
      <c r="P1236" s="107" t="s">
        <v>22</v>
      </c>
      <c r="Q1236" s="108"/>
      <c r="R1236" s="4"/>
    </row>
    <row r="1237" spans="1:18">
      <c r="A1237" s="1" t="e">
        <f>[239]INDICE!#REF!</f>
        <v>#REF!</v>
      </c>
      <c r="B1237" s="2" t="s">
        <v>23</v>
      </c>
      <c r="C1237" s="8"/>
      <c r="D1237" s="109" t="str">
        <f>IFERROR(INDEX([239]EQUIPOS!B:B,MATCH(B1237,[239]EQUIPOS!A:A,0)),"")</f>
        <v>HERRAMIENTA MENOR (% M.O)</v>
      </c>
      <c r="E1237" s="110"/>
      <c r="F1237" s="110"/>
      <c r="G1237" s="110"/>
      <c r="H1237" s="111"/>
      <c r="I1237" s="112"/>
      <c r="J1237" s="111"/>
      <c r="K1237" s="113" t="str">
        <f>IFERROR(INDEX([239]EQUIPOS!C:C,MATCH(B1237,[239]EQUIPOS!A:A,0)),"")</f>
        <v>%</v>
      </c>
      <c r="L1237" s="114"/>
      <c r="M1237" s="115">
        <f>IFERROR(IF(D1237="HERRAMIENTA MENOR (% M.O)",P1276,INDEX([239]EQUIPOS!D:D,MATCH(B1237,[239]EQUIPOS!A:A,0))),"")</f>
        <v>10198.68</v>
      </c>
      <c r="N1237" s="116">
        <v>11</v>
      </c>
      <c r="O1237" s="117"/>
      <c r="P1237" s="118">
        <f t="shared" ref="P1237:P1242" si="41">IFERROR(ROUND(IF(D1237="HERRAMIENTA MENOR (% M.O)",N1237%*M1237,M1237/N1237),2)," ")</f>
        <v>1121.8499999999999</v>
      </c>
      <c r="Q1237" s="119"/>
      <c r="R1237" s="4"/>
    </row>
    <row r="1238" spans="1:18">
      <c r="A1238" s="1">
        <f>+$A$2341</f>
        <v>0</v>
      </c>
      <c r="B1238" s="2" t="s">
        <v>258</v>
      </c>
      <c r="C1238" s="8"/>
      <c r="D1238" s="109" t="str">
        <f>IFERROR(INDEX([239]EQUIPOS!B:B,MATCH(B1238,[239]EQUIPOS!A:A,0)),"")</f>
        <v>SECCIÓN DE ANDAMIO (02)</v>
      </c>
      <c r="E1238" s="110"/>
      <c r="F1238" s="110"/>
      <c r="G1238" s="110"/>
      <c r="H1238" s="111"/>
      <c r="I1238" s="112"/>
      <c r="J1238" s="111"/>
      <c r="K1238" s="113"/>
      <c r="L1238" s="114"/>
      <c r="M1238" s="115">
        <f>IFERROR(IF(D1238="HERRAMIENTA MENOR (% M.O)",P1277,INDEX([239]EQUIPOS!D:D,MATCH(B1238,[239]EQUIPOS!A:A,0))),"")</f>
        <v>6000</v>
      </c>
      <c r="N1238" s="116">
        <f>+N1272</f>
        <v>32</v>
      </c>
      <c r="O1238" s="117"/>
      <c r="P1238" s="118">
        <f t="shared" si="41"/>
        <v>187.5</v>
      </c>
      <c r="Q1238" s="119"/>
      <c r="R1238" s="4"/>
    </row>
    <row r="1239" spans="1:18">
      <c r="A1239" s="1">
        <f t="shared" ref="A1239:A1277" si="42">+A1238</f>
        <v>0</v>
      </c>
      <c r="B1239" s="2"/>
      <c r="C1239" s="8"/>
      <c r="D1239" s="109" t="str">
        <f>IFERROR(INDEX([239]EQUIPOS!B:B,MATCH(B1239,[239]EQUIPOS!A:A,0)),"")</f>
        <v/>
      </c>
      <c r="E1239" s="110"/>
      <c r="F1239" s="110"/>
      <c r="G1239" s="110"/>
      <c r="H1239" s="111"/>
      <c r="I1239" s="120"/>
      <c r="J1239" s="121"/>
      <c r="K1239" s="113" t="str">
        <f>IFERROR(INDEX([239]EQUIPOS!C:C,MATCH(B1239,[239]EQUIPOS!A:A,0)),"")</f>
        <v/>
      </c>
      <c r="L1239" s="114"/>
      <c r="M1239" s="115" t="str">
        <f>IFERROR(IF(D1239="HERRAMIENTA MENOR (% M.O)",P1278,INDEX([239]EQUIPOS!D:D,MATCH(B1239,[239]EQUIPOS!A:A,0))),"")</f>
        <v/>
      </c>
      <c r="N1239" s="116"/>
      <c r="O1239" s="117"/>
      <c r="P1239" s="118" t="str">
        <f t="shared" si="41"/>
        <v xml:space="preserve"> </v>
      </c>
      <c r="Q1239" s="119"/>
      <c r="R1239" s="4"/>
    </row>
    <row r="1240" spans="1:18">
      <c r="A1240" s="1">
        <f t="shared" si="42"/>
        <v>0</v>
      </c>
      <c r="B1240" s="2"/>
      <c r="C1240" s="8"/>
      <c r="D1240" s="109" t="str">
        <f>IFERROR(INDEX([239]EQUIPOS!B:B,MATCH(B1240,[239]EQUIPOS!A:A,0)),"")</f>
        <v/>
      </c>
      <c r="E1240" s="110"/>
      <c r="F1240" s="110"/>
      <c r="G1240" s="110"/>
      <c r="H1240" s="111"/>
      <c r="I1240" s="120"/>
      <c r="J1240" s="121"/>
      <c r="K1240" s="113" t="str">
        <f>IFERROR(INDEX([239]EQUIPOS!C:C,MATCH(B1240,[239]EQUIPOS!A:A,0)),"")</f>
        <v/>
      </c>
      <c r="L1240" s="114"/>
      <c r="M1240" s="115" t="str">
        <f>IFERROR(IF(D1240="HERRAMIENTA MENOR (% M.O)",P1279,INDEX([239]EQUIPOS!D:D,MATCH(B1240,[239]EQUIPOS!A:A,0))),"")</f>
        <v/>
      </c>
      <c r="N1240" s="116"/>
      <c r="O1240" s="117"/>
      <c r="P1240" s="118" t="str">
        <f t="shared" si="41"/>
        <v xml:space="preserve"> </v>
      </c>
      <c r="Q1240" s="119"/>
      <c r="R1240" s="4"/>
    </row>
    <row r="1241" spans="1:18">
      <c r="A1241" s="1">
        <f t="shared" si="42"/>
        <v>0</v>
      </c>
      <c r="B1241" s="2"/>
      <c r="C1241" s="8"/>
      <c r="D1241" s="109" t="str">
        <f>IFERROR(INDEX([239]EQUIPOS!B:B,MATCH(B1241,[239]EQUIPOS!A:A,0)),"")</f>
        <v/>
      </c>
      <c r="E1241" s="110"/>
      <c r="F1241" s="110"/>
      <c r="G1241" s="110"/>
      <c r="H1241" s="111"/>
      <c r="I1241" s="112"/>
      <c r="J1241" s="111"/>
      <c r="K1241" s="113" t="str">
        <f>IFERROR(INDEX([239]EQUIPOS!C:C,MATCH(B1241,[239]EQUIPOS!A:A,0)),"")</f>
        <v/>
      </c>
      <c r="L1241" s="114"/>
      <c r="M1241" s="115" t="str">
        <f>IFERROR(IF(D1241="HERRAMIENTA MENOR (% M.O)",P1280,INDEX([239]EQUIPOS!D:D,MATCH(B1241,[239]EQUIPOS!A:A,0))),"")</f>
        <v/>
      </c>
      <c r="N1241" s="116"/>
      <c r="O1241" s="117"/>
      <c r="P1241" s="118" t="str">
        <f t="shared" si="41"/>
        <v xml:space="preserve"> </v>
      </c>
      <c r="Q1241" s="119"/>
      <c r="R1241" s="4"/>
    </row>
    <row r="1242" spans="1:18" ht="15.75" thickBot="1">
      <c r="A1242" s="1">
        <f t="shared" si="42"/>
        <v>0</v>
      </c>
      <c r="B1242" s="2"/>
      <c r="C1242" s="8"/>
      <c r="D1242" s="109" t="str">
        <f>IFERROR(INDEX([239]EQUIPOS!B:B,MATCH(B1242,[239]EQUIPOS!A:A,0)),"")</f>
        <v/>
      </c>
      <c r="E1242" s="78"/>
      <c r="F1242" s="78"/>
      <c r="G1242" s="78"/>
      <c r="H1242" s="122"/>
      <c r="I1242" s="123"/>
      <c r="J1242" s="122"/>
      <c r="K1242" s="113" t="str">
        <f>IFERROR(INDEX([239]EQUIPOS!C:C,MATCH(B1242,[239]EQUIPOS!A:A,0)),"")</f>
        <v/>
      </c>
      <c r="L1242" s="124"/>
      <c r="M1242" s="115" t="str">
        <f>IFERROR(IF(D1242="HERRAMIENTA MENOR (% M.O)",P1281,INDEX([239]EQUIPOS!D:D,MATCH(B1242,[239]EQUIPOS!A:A,0))),"")</f>
        <v/>
      </c>
      <c r="N1242" s="125"/>
      <c r="O1242" s="126"/>
      <c r="P1242" s="127" t="str">
        <f t="shared" si="41"/>
        <v xml:space="preserve"> </v>
      </c>
      <c r="Q1242" s="119"/>
      <c r="R1242" s="4"/>
    </row>
    <row r="1243" spans="1:18" ht="15.75" thickBot="1">
      <c r="A1243" s="1">
        <f t="shared" si="42"/>
        <v>0</v>
      </c>
      <c r="B1243" s="2"/>
      <c r="C1243" s="8"/>
      <c r="D1243" s="128" t="s">
        <v>24</v>
      </c>
      <c r="E1243" s="129"/>
      <c r="F1243" s="129"/>
      <c r="G1243" s="129"/>
      <c r="H1243" s="129"/>
      <c r="I1243" s="129"/>
      <c r="J1243" s="129"/>
      <c r="K1243" s="129"/>
      <c r="L1243" s="129"/>
      <c r="M1243" s="129"/>
      <c r="N1243" s="129"/>
      <c r="O1243" s="130"/>
      <c r="P1243" s="131">
        <f>SUM(P1237:P1242)</f>
        <v>1309.3499999999999</v>
      </c>
      <c r="Q1243" s="132"/>
      <c r="R1243" s="4"/>
    </row>
    <row r="1244" spans="1:18" ht="15.75" thickBot="1">
      <c r="A1244" s="1">
        <f t="shared" si="42"/>
        <v>0</v>
      </c>
      <c r="B1244" s="2"/>
      <c r="C1244" s="8"/>
      <c r="D1244" s="74" t="s">
        <v>25</v>
      </c>
      <c r="E1244" s="37"/>
      <c r="F1244" s="37"/>
      <c r="G1244" s="37"/>
      <c r="H1244" s="37"/>
      <c r="I1244" s="37"/>
      <c r="J1244" s="37"/>
      <c r="K1244" s="37"/>
      <c r="L1244" s="37"/>
      <c r="M1244" s="37"/>
      <c r="N1244" s="37"/>
      <c r="O1244" s="37"/>
      <c r="P1244" s="99"/>
      <c r="Q1244" s="100"/>
      <c r="R1244" s="4"/>
    </row>
    <row r="1245" spans="1:18">
      <c r="A1245" s="1">
        <f t="shared" si="42"/>
        <v>0</v>
      </c>
      <c r="B1245" s="2"/>
      <c r="C1245" s="8"/>
      <c r="D1245" s="101" t="s">
        <v>14</v>
      </c>
      <c r="E1245" s="133"/>
      <c r="F1245" s="133"/>
      <c r="G1245" s="133"/>
      <c r="H1245" s="133"/>
      <c r="I1245" s="133"/>
      <c r="J1245" s="133"/>
      <c r="K1245" s="105"/>
      <c r="L1245" s="134" t="s">
        <v>15</v>
      </c>
      <c r="M1245" s="106" t="s">
        <v>16</v>
      </c>
      <c r="N1245" s="104" t="s">
        <v>26</v>
      </c>
      <c r="O1245" s="105"/>
      <c r="P1245" s="107" t="s">
        <v>22</v>
      </c>
      <c r="Q1245" s="108"/>
      <c r="R1245" s="4"/>
    </row>
    <row r="1246" spans="1:18">
      <c r="A1246" s="1">
        <f t="shared" si="42"/>
        <v>0</v>
      </c>
      <c r="B1246" s="2"/>
      <c r="C1246" s="8"/>
      <c r="D1246" s="109" t="str">
        <f>IFERROR(INDEX([239]MATERIALES!C:C,MATCH(B1246,[239]MATERIALES!B:B,0)),"")</f>
        <v/>
      </c>
      <c r="E1246" s="135"/>
      <c r="F1246" s="135"/>
      <c r="G1246" s="135"/>
      <c r="H1246" s="135"/>
      <c r="I1246" s="135"/>
      <c r="J1246" s="135"/>
      <c r="K1246" s="136"/>
      <c r="L1246" s="137" t="str">
        <f>IFERROR(INDEX([239]MATERIALES!D:D,MATCH(B1246,[239]MATERIALES!B:B,0)),"")</f>
        <v/>
      </c>
      <c r="M1246" s="138"/>
      <c r="N1246" s="139" t="str">
        <f>IFERROR(INDEX([239]MATERIALES!P:P,MATCH(B1246,[239]MATERIALES!B:B,0)),"")</f>
        <v/>
      </c>
      <c r="O1246" s="140"/>
      <c r="P1246" s="118" t="str">
        <f>IFERROR(ROUND(N1246*M1246,2),"")</f>
        <v/>
      </c>
      <c r="Q1246" s="119"/>
      <c r="R1246" s="4"/>
    </row>
    <row r="1247" spans="1:18">
      <c r="A1247" s="1">
        <f t="shared" si="42"/>
        <v>0</v>
      </c>
      <c r="B1247" s="2"/>
      <c r="C1247" s="8"/>
      <c r="D1247" s="109"/>
      <c r="E1247" s="135"/>
      <c r="F1247" s="135"/>
      <c r="G1247" s="135"/>
      <c r="H1247" s="135"/>
      <c r="I1247" s="135"/>
      <c r="J1247" s="135"/>
      <c r="K1247" s="136"/>
      <c r="L1247" s="137"/>
      <c r="M1247" s="138"/>
      <c r="N1247" s="139"/>
      <c r="O1247" s="140"/>
      <c r="P1247" s="118"/>
      <c r="Q1247" s="119"/>
      <c r="R1247" s="4"/>
    </row>
    <row r="1248" spans="1:18">
      <c r="A1248" s="1">
        <f t="shared" si="42"/>
        <v>0</v>
      </c>
      <c r="B1248" s="2"/>
      <c r="C1248" s="8"/>
      <c r="D1248" s="109"/>
      <c r="E1248" s="110"/>
      <c r="F1248" s="110"/>
      <c r="G1248" s="110"/>
      <c r="H1248" s="110"/>
      <c r="I1248" s="110"/>
      <c r="J1248" s="110"/>
      <c r="K1248" s="111"/>
      <c r="L1248" s="137"/>
      <c r="M1248" s="138"/>
      <c r="N1248" s="139"/>
      <c r="O1248" s="140"/>
      <c r="P1248" s="118"/>
      <c r="Q1248" s="119"/>
      <c r="R1248" s="4"/>
    </row>
    <row r="1249" spans="1:18">
      <c r="A1249" s="1">
        <f t="shared" si="42"/>
        <v>0</v>
      </c>
      <c r="B1249" s="2"/>
      <c r="C1249" s="8"/>
      <c r="D1249" s="109" t="str">
        <f>IFERROR(INDEX([239]MATERIALES!C:C,MATCH(B1249,[239]MATERIALES!B:B,0)),"")</f>
        <v/>
      </c>
      <c r="E1249" s="110"/>
      <c r="F1249" s="110"/>
      <c r="G1249" s="110"/>
      <c r="H1249" s="110"/>
      <c r="I1249" s="110"/>
      <c r="J1249" s="110"/>
      <c r="K1249" s="111"/>
      <c r="L1249" s="137" t="str">
        <f>IFERROR(INDEX([239]MATERIALES!D:D,MATCH(B1249,[239]MATERIALES!B:B,0)),"")</f>
        <v/>
      </c>
      <c r="M1249" s="138"/>
      <c r="N1249" s="139" t="str">
        <f>IFERROR(INDEX([239]MATERIALES!P:P,MATCH(B1249,[239]MATERIALES!B:B,0)),"")</f>
        <v/>
      </c>
      <c r="O1249" s="140"/>
      <c r="P1249" s="118" t="str">
        <f t="shared" ref="P1249:P1259" si="43">IFERROR(ROUND(N1249*M1249,2),"")</f>
        <v/>
      </c>
      <c r="Q1249" s="119"/>
      <c r="R1249" s="4"/>
    </row>
    <row r="1250" spans="1:18">
      <c r="A1250" s="1">
        <f t="shared" si="42"/>
        <v>0</v>
      </c>
      <c r="B1250" s="2"/>
      <c r="C1250" s="8"/>
      <c r="D1250" s="109" t="str">
        <f>IFERROR(INDEX([239]MATERIALES!C:C,MATCH(B1250,[239]MATERIALES!B:B,0)),"")</f>
        <v/>
      </c>
      <c r="E1250" s="110"/>
      <c r="F1250" s="110"/>
      <c r="G1250" s="110"/>
      <c r="H1250" s="110"/>
      <c r="I1250" s="110"/>
      <c r="J1250" s="110"/>
      <c r="K1250" s="111"/>
      <c r="L1250" s="137" t="str">
        <f>IFERROR(INDEX([239]MATERIALES!D:D,MATCH(B1250,[239]MATERIALES!B:B,0)),"")</f>
        <v/>
      </c>
      <c r="M1250" s="138"/>
      <c r="N1250" s="139" t="str">
        <f>IFERROR(INDEX([239]MATERIALES!P:P,MATCH(B1250,[239]MATERIALES!B:B,0)),"")</f>
        <v/>
      </c>
      <c r="O1250" s="140"/>
      <c r="P1250" s="118" t="str">
        <f t="shared" si="43"/>
        <v/>
      </c>
      <c r="Q1250" s="119"/>
      <c r="R1250" s="4"/>
    </row>
    <row r="1251" spans="1:18">
      <c r="A1251" s="1">
        <f t="shared" si="42"/>
        <v>0</v>
      </c>
      <c r="B1251" s="2"/>
      <c r="C1251" s="8"/>
      <c r="D1251" s="109" t="str">
        <f>IFERROR(INDEX([239]MATERIALES!C:C,MATCH(B1251,[239]MATERIALES!B:B,0)),"")</f>
        <v/>
      </c>
      <c r="E1251" s="110"/>
      <c r="F1251" s="110"/>
      <c r="G1251" s="110"/>
      <c r="H1251" s="110"/>
      <c r="I1251" s="110"/>
      <c r="J1251" s="110"/>
      <c r="K1251" s="111"/>
      <c r="L1251" s="137" t="str">
        <f>IFERROR(INDEX([239]MATERIALES!D:D,MATCH(B1251,[239]MATERIALES!B:B,0)),"")</f>
        <v/>
      </c>
      <c r="M1251" s="138"/>
      <c r="N1251" s="139" t="str">
        <f>IFERROR(INDEX([239]MATERIALES!P:P,MATCH(B1251,[239]MATERIALES!B:B,0)),"")</f>
        <v/>
      </c>
      <c r="O1251" s="140"/>
      <c r="P1251" s="118" t="str">
        <f t="shared" si="43"/>
        <v/>
      </c>
      <c r="Q1251" s="119"/>
      <c r="R1251" s="4"/>
    </row>
    <row r="1252" spans="1:18">
      <c r="A1252" s="1">
        <f t="shared" si="42"/>
        <v>0</v>
      </c>
      <c r="B1252" s="2"/>
      <c r="C1252" s="8"/>
      <c r="D1252" s="109" t="str">
        <f>IFERROR(INDEX([239]MATERIALES!C:C,MATCH(B1252,[239]MATERIALES!B:B,0)),"")</f>
        <v/>
      </c>
      <c r="E1252" s="110"/>
      <c r="F1252" s="110"/>
      <c r="G1252" s="110"/>
      <c r="H1252" s="110"/>
      <c r="I1252" s="110"/>
      <c r="J1252" s="110"/>
      <c r="K1252" s="111"/>
      <c r="L1252" s="137" t="str">
        <f>IFERROR(INDEX([239]MATERIALES!D:D,MATCH(B1252,[239]MATERIALES!B:B,0)),"")</f>
        <v/>
      </c>
      <c r="M1252" s="138"/>
      <c r="N1252" s="139" t="str">
        <f>IFERROR(INDEX([239]MATERIALES!P:P,MATCH(B1252,[239]MATERIALES!B:B,0)),"")</f>
        <v/>
      </c>
      <c r="O1252" s="140"/>
      <c r="P1252" s="118" t="str">
        <f t="shared" si="43"/>
        <v/>
      </c>
      <c r="Q1252" s="119"/>
      <c r="R1252" s="4"/>
    </row>
    <row r="1253" spans="1:18">
      <c r="A1253" s="1">
        <f t="shared" si="42"/>
        <v>0</v>
      </c>
      <c r="B1253" s="2"/>
      <c r="C1253" s="8"/>
      <c r="D1253" s="109" t="str">
        <f>IFERROR(INDEX([239]MATERIALES!C:C,MATCH(B1253,[239]MATERIALES!B:B,0)),"")</f>
        <v/>
      </c>
      <c r="E1253" s="110"/>
      <c r="F1253" s="110"/>
      <c r="G1253" s="110"/>
      <c r="H1253" s="110"/>
      <c r="I1253" s="110"/>
      <c r="J1253" s="110"/>
      <c r="K1253" s="111"/>
      <c r="L1253" s="137" t="str">
        <f>IFERROR(INDEX([239]MATERIALES!D:D,MATCH(B1253,[239]MATERIALES!B:B,0)),"")</f>
        <v/>
      </c>
      <c r="M1253" s="138"/>
      <c r="N1253" s="139" t="str">
        <f>IFERROR(INDEX([239]MATERIALES!P:P,MATCH(B1253,[239]MATERIALES!B:B,0)),"")</f>
        <v/>
      </c>
      <c r="O1253" s="140"/>
      <c r="P1253" s="118" t="str">
        <f t="shared" si="43"/>
        <v/>
      </c>
      <c r="Q1253" s="119"/>
      <c r="R1253" s="4"/>
    </row>
    <row r="1254" spans="1:18">
      <c r="A1254" s="1">
        <f t="shared" si="42"/>
        <v>0</v>
      </c>
      <c r="B1254" s="2"/>
      <c r="C1254" s="8"/>
      <c r="D1254" s="109" t="str">
        <f>IFERROR(INDEX([239]MATERIALES!C:C,MATCH(B1254,[239]MATERIALES!B:B,0)),"")</f>
        <v/>
      </c>
      <c r="E1254" s="110"/>
      <c r="F1254" s="110"/>
      <c r="G1254" s="110"/>
      <c r="H1254" s="110"/>
      <c r="I1254" s="110"/>
      <c r="J1254" s="110"/>
      <c r="K1254" s="111"/>
      <c r="L1254" s="137" t="str">
        <f>IFERROR(INDEX([239]MATERIALES!D:D,MATCH(B1254,[239]MATERIALES!B:B,0)),"")</f>
        <v/>
      </c>
      <c r="M1254" s="138"/>
      <c r="N1254" s="139" t="str">
        <f>IFERROR(INDEX([239]MATERIALES!P:P,MATCH(B1254,[239]MATERIALES!B:B,0)),"")</f>
        <v/>
      </c>
      <c r="O1254" s="140"/>
      <c r="P1254" s="118" t="str">
        <f t="shared" si="43"/>
        <v/>
      </c>
      <c r="Q1254" s="119"/>
      <c r="R1254" s="4"/>
    </row>
    <row r="1255" spans="1:18">
      <c r="A1255" s="1">
        <f t="shared" si="42"/>
        <v>0</v>
      </c>
      <c r="B1255" s="2"/>
      <c r="C1255" s="8"/>
      <c r="D1255" s="109" t="str">
        <f>IFERROR(INDEX([239]MATERIALES!C:C,MATCH(B1255,[239]MATERIALES!B:B,0)),"")</f>
        <v/>
      </c>
      <c r="E1255" s="110"/>
      <c r="F1255" s="110"/>
      <c r="G1255" s="110"/>
      <c r="H1255" s="110"/>
      <c r="I1255" s="110"/>
      <c r="J1255" s="110"/>
      <c r="K1255" s="111"/>
      <c r="L1255" s="137" t="str">
        <f>IFERROR(INDEX([239]MATERIALES!D:D,MATCH(B1255,[239]MATERIALES!B:B,0)),"")</f>
        <v/>
      </c>
      <c r="M1255" s="138"/>
      <c r="N1255" s="139" t="str">
        <f>IFERROR(INDEX([239]MATERIALES!P:P,MATCH(B1255,[239]MATERIALES!B:B,0)),"")</f>
        <v/>
      </c>
      <c r="O1255" s="140"/>
      <c r="P1255" s="118" t="str">
        <f t="shared" si="43"/>
        <v/>
      </c>
      <c r="Q1255" s="119"/>
      <c r="R1255" s="4"/>
    </row>
    <row r="1256" spans="1:18">
      <c r="A1256" s="1">
        <f t="shared" si="42"/>
        <v>0</v>
      </c>
      <c r="B1256" s="2"/>
      <c r="C1256" s="8"/>
      <c r="D1256" s="109" t="str">
        <f>IFERROR(INDEX([239]MATERIALES!C:C,MATCH(B1256,[239]MATERIALES!B:B,0)),"")</f>
        <v/>
      </c>
      <c r="E1256" s="110"/>
      <c r="F1256" s="110"/>
      <c r="G1256" s="110"/>
      <c r="H1256" s="110"/>
      <c r="I1256" s="110"/>
      <c r="J1256" s="110"/>
      <c r="K1256" s="111"/>
      <c r="L1256" s="137" t="str">
        <f>IFERROR(INDEX([239]MATERIALES!D:D,MATCH(B1256,[239]MATERIALES!B:B,0)),"")</f>
        <v/>
      </c>
      <c r="M1256" s="138"/>
      <c r="N1256" s="139" t="str">
        <f>IFERROR(INDEX([239]MATERIALES!P:P,MATCH(B1256,[239]MATERIALES!B:B,0)),"")</f>
        <v/>
      </c>
      <c r="O1256" s="140"/>
      <c r="P1256" s="118" t="str">
        <f t="shared" si="43"/>
        <v/>
      </c>
      <c r="Q1256" s="119"/>
      <c r="R1256" s="4"/>
    </row>
    <row r="1257" spans="1:18">
      <c r="A1257" s="1">
        <f t="shared" si="42"/>
        <v>0</v>
      </c>
      <c r="B1257" s="2"/>
      <c r="C1257" s="8"/>
      <c r="D1257" s="109" t="str">
        <f>IFERROR(INDEX([239]MATERIALES!C:C,MATCH(B1257,[239]MATERIALES!B:B,0)),"")</f>
        <v/>
      </c>
      <c r="E1257" s="110"/>
      <c r="F1257" s="110"/>
      <c r="G1257" s="110"/>
      <c r="H1257" s="110"/>
      <c r="I1257" s="110"/>
      <c r="J1257" s="110"/>
      <c r="K1257" s="111"/>
      <c r="L1257" s="137" t="str">
        <f>IFERROR(INDEX([239]MATERIALES!D:D,MATCH(B1257,[239]MATERIALES!B:B,0)),"")</f>
        <v/>
      </c>
      <c r="M1257" s="138"/>
      <c r="N1257" s="139" t="str">
        <f>IFERROR(INDEX([239]MATERIALES!P:P,MATCH(B1257,[239]MATERIALES!B:B,0)),"")</f>
        <v/>
      </c>
      <c r="O1257" s="140"/>
      <c r="P1257" s="118" t="str">
        <f t="shared" si="43"/>
        <v/>
      </c>
      <c r="Q1257" s="119"/>
      <c r="R1257" s="4"/>
    </row>
    <row r="1258" spans="1:18">
      <c r="A1258" s="1">
        <f t="shared" si="42"/>
        <v>0</v>
      </c>
      <c r="B1258" s="2"/>
      <c r="C1258" s="8"/>
      <c r="D1258" s="109" t="str">
        <f>IFERROR(INDEX([239]MATERIALES!C:C,MATCH(B1258,[239]MATERIALES!B:B,0)),"")</f>
        <v/>
      </c>
      <c r="E1258" s="110"/>
      <c r="F1258" s="110"/>
      <c r="G1258" s="110"/>
      <c r="H1258" s="110"/>
      <c r="I1258" s="110"/>
      <c r="J1258" s="110"/>
      <c r="K1258" s="111"/>
      <c r="L1258" s="137" t="str">
        <f>IFERROR(INDEX([239]MATERIALES!D:D,MATCH(B1258,[239]MATERIALES!B:B,0)),"")</f>
        <v/>
      </c>
      <c r="M1258" s="138"/>
      <c r="N1258" s="139" t="str">
        <f>IFERROR(INDEX([239]MATERIALES!P:P,MATCH(B1258,[239]MATERIALES!B:B,0)),"")</f>
        <v/>
      </c>
      <c r="O1258" s="140"/>
      <c r="P1258" s="118" t="str">
        <f t="shared" si="43"/>
        <v/>
      </c>
      <c r="Q1258" s="119"/>
      <c r="R1258" s="4"/>
    </row>
    <row r="1259" spans="1:18">
      <c r="A1259" s="1">
        <f t="shared" si="42"/>
        <v>0</v>
      </c>
      <c r="B1259" s="2"/>
      <c r="C1259" s="8"/>
      <c r="D1259" s="109" t="str">
        <f>IFERROR(INDEX([239]MATERIALES!C:C,MATCH(B1259,[239]MATERIALES!B:B,0)),"")</f>
        <v/>
      </c>
      <c r="E1259" s="110"/>
      <c r="F1259" s="110"/>
      <c r="G1259" s="110"/>
      <c r="H1259" s="110"/>
      <c r="I1259" s="110"/>
      <c r="J1259" s="110"/>
      <c r="K1259" s="111"/>
      <c r="L1259" s="137" t="str">
        <f>IFERROR(INDEX([239]MATERIALES!D:D,MATCH(B1259,[239]MATERIALES!B:B,0)),"")</f>
        <v/>
      </c>
      <c r="M1259" s="138"/>
      <c r="N1259" s="139" t="str">
        <f>IFERROR(INDEX([239]MATERIALES!P:P,MATCH(B1259,[239]MATERIALES!B:B,0)),"")</f>
        <v/>
      </c>
      <c r="O1259" s="140"/>
      <c r="P1259" s="118" t="str">
        <f t="shared" si="43"/>
        <v/>
      </c>
      <c r="Q1259" s="119"/>
      <c r="R1259" s="4"/>
    </row>
    <row r="1260" spans="1:18" ht="15.75" thickBot="1">
      <c r="A1260" s="1">
        <f t="shared" si="42"/>
        <v>0</v>
      </c>
      <c r="B1260" s="2"/>
      <c r="C1260" s="8"/>
      <c r="D1260" s="109" t="s">
        <v>28</v>
      </c>
      <c r="E1260" s="110"/>
      <c r="F1260" s="110"/>
      <c r="G1260" s="110"/>
      <c r="H1260" s="110"/>
      <c r="I1260" s="110"/>
      <c r="J1260" s="110"/>
      <c r="K1260" s="111"/>
      <c r="L1260" s="137" t="s">
        <v>29</v>
      </c>
      <c r="M1260" s="138">
        <v>1.05</v>
      </c>
      <c r="N1260" s="139">
        <f>SUM(P1246:P1259)</f>
        <v>0</v>
      </c>
      <c r="O1260" s="140"/>
      <c r="P1260" s="118">
        <f>ROUND(N1260*M1260,2)</f>
        <v>0</v>
      </c>
      <c r="Q1260" s="119"/>
      <c r="R1260" s="4"/>
    </row>
    <row r="1261" spans="1:18" ht="15.75" thickBot="1">
      <c r="A1261" s="1">
        <f t="shared" si="42"/>
        <v>0</v>
      </c>
      <c r="B1261" s="2"/>
      <c r="C1261" s="8"/>
      <c r="D1261" s="128" t="s">
        <v>24</v>
      </c>
      <c r="E1261" s="129"/>
      <c r="F1261" s="129"/>
      <c r="G1261" s="129"/>
      <c r="H1261" s="129"/>
      <c r="I1261" s="129"/>
      <c r="J1261" s="129"/>
      <c r="K1261" s="129"/>
      <c r="L1261" s="129"/>
      <c r="M1261" s="129"/>
      <c r="N1261" s="129"/>
      <c r="O1261" s="130"/>
      <c r="P1261" s="131">
        <f>SUM(P1246:P1260)</f>
        <v>0</v>
      </c>
      <c r="Q1261" s="119"/>
      <c r="R1261" s="4"/>
    </row>
    <row r="1262" spans="1:18" ht="15.75" thickBot="1">
      <c r="A1262" s="1">
        <f t="shared" si="42"/>
        <v>0</v>
      </c>
      <c r="B1262" s="2"/>
      <c r="C1262" s="8"/>
      <c r="D1262" s="74" t="s">
        <v>30</v>
      </c>
      <c r="E1262" s="37"/>
      <c r="F1262" s="37"/>
      <c r="G1262" s="37"/>
      <c r="H1262" s="37"/>
      <c r="I1262" s="37"/>
      <c r="J1262" s="37"/>
      <c r="K1262" s="37"/>
      <c r="L1262" s="37"/>
      <c r="M1262" s="37"/>
      <c r="N1262" s="37"/>
      <c r="O1262" s="37"/>
      <c r="P1262" s="99"/>
      <c r="Q1262" s="100"/>
      <c r="R1262" s="4"/>
    </row>
    <row r="1263" spans="1:18">
      <c r="A1263" s="1">
        <f t="shared" si="42"/>
        <v>0</v>
      </c>
      <c r="B1263" s="2"/>
      <c r="C1263" s="8"/>
      <c r="D1263" s="101" t="s">
        <v>31</v>
      </c>
      <c r="E1263" s="133"/>
      <c r="F1263" s="133"/>
      <c r="G1263" s="133"/>
      <c r="H1263" s="133"/>
      <c r="I1263" s="133"/>
      <c r="J1263" s="133"/>
      <c r="K1263" s="106" t="s">
        <v>32</v>
      </c>
      <c r="L1263" s="141" t="s">
        <v>33</v>
      </c>
      <c r="M1263" s="106" t="s">
        <v>34</v>
      </c>
      <c r="N1263" s="104" t="s">
        <v>20</v>
      </c>
      <c r="O1263" s="105"/>
      <c r="P1263" s="107" t="s">
        <v>22</v>
      </c>
      <c r="Q1263" s="108"/>
      <c r="R1263" s="4"/>
    </row>
    <row r="1264" spans="1:18">
      <c r="A1264" s="1">
        <f t="shared" si="42"/>
        <v>0</v>
      </c>
      <c r="B1264" s="2"/>
      <c r="C1264" s="8"/>
      <c r="D1264" s="142" t="str">
        <f>IFERROR(INDEX([239]TRANSPORTES!B:B,MATCH(B1264,[239]TRANSPORTES!A:A,0)),"")</f>
        <v/>
      </c>
      <c r="E1264" s="143"/>
      <c r="F1264" s="143"/>
      <c r="G1264" s="143"/>
      <c r="H1264" s="143"/>
      <c r="I1264" s="143"/>
      <c r="J1264" s="143"/>
      <c r="K1264" s="220"/>
      <c r="L1264" s="145"/>
      <c r="M1264" s="146" t="str">
        <f>IFERROR(INDEX([239]TRANSPORTES!C:C,MATCH(B1264,[239]TRANSPORTES!A:A,0)),"")</f>
        <v/>
      </c>
      <c r="N1264" s="139" t="str">
        <f>IFERROR(INDEX([239]TRANSPORTES!D:D,MATCH(B1264,[239]TRANSPORTES!A:A,0)),"")</f>
        <v/>
      </c>
      <c r="O1264" s="147"/>
      <c r="P1264" s="148" t="str">
        <f>IFERROR(ROUND(K1264*N1264*L1264,2),"")</f>
        <v/>
      </c>
      <c r="Q1264" s="119"/>
      <c r="R1264" s="4"/>
    </row>
    <row r="1265" spans="1:18">
      <c r="A1265" s="1">
        <f t="shared" si="42"/>
        <v>0</v>
      </c>
      <c r="B1265" s="2"/>
      <c r="C1265" s="8"/>
      <c r="D1265" s="142" t="str">
        <f>IFERROR(INDEX([239]TRANSPORTES!B:B,MATCH(B1265,[239]TRANSPORTES!A:A,0)),"")</f>
        <v/>
      </c>
      <c r="E1265" s="143"/>
      <c r="F1265" s="143"/>
      <c r="G1265" s="143"/>
      <c r="H1265" s="143"/>
      <c r="I1265" s="143"/>
      <c r="J1265" s="143"/>
      <c r="K1265" s="144"/>
      <c r="L1265" s="145"/>
      <c r="M1265" s="146" t="str">
        <f>IFERROR(INDEX([239]TRANSPORTES!C:C,MATCH(B1265,[239]TRANSPORTES!A:A,0)),"")</f>
        <v/>
      </c>
      <c r="N1265" s="139" t="str">
        <f>IFERROR(INDEX([239]TRANSPORTES!D:D,MATCH(B1265,[239]TRANSPORTES!A:A,0)),"")</f>
        <v/>
      </c>
      <c r="O1265" s="147"/>
      <c r="P1265" s="148" t="str">
        <f>IFERROR(ROUND(K1265*N1265*L1265,2),"")</f>
        <v/>
      </c>
      <c r="Q1265" s="119"/>
      <c r="R1265" s="4"/>
    </row>
    <row r="1266" spans="1:18">
      <c r="A1266" s="1">
        <f t="shared" si="42"/>
        <v>0</v>
      </c>
      <c r="B1266" s="2"/>
      <c r="C1266" s="8"/>
      <c r="D1266" s="142" t="str">
        <f>IFERROR(INDEX([239]TRANSPORTES!B:B,MATCH(B1266,[239]TRANSPORTES!A:A,0)),"")</f>
        <v/>
      </c>
      <c r="E1266" s="143"/>
      <c r="F1266" s="143"/>
      <c r="G1266" s="143"/>
      <c r="H1266" s="143"/>
      <c r="I1266" s="143"/>
      <c r="J1266" s="143"/>
      <c r="K1266" s="144"/>
      <c r="L1266" s="145"/>
      <c r="M1266" s="146" t="str">
        <f>IFERROR(INDEX([239]TRANSPORTES!C:C,MATCH(B1266,[239]TRANSPORTES!A:A,0)),"")</f>
        <v/>
      </c>
      <c r="N1266" s="139" t="str">
        <f>IFERROR(INDEX([239]TRANSPORTES!D:D,MATCH(B1266,[239]TRANSPORTES!A:A,0)),"")</f>
        <v/>
      </c>
      <c r="O1266" s="147"/>
      <c r="P1266" s="148" t="str">
        <f>IFERROR(ROUND(K1266*N1266*L1266,2),"")</f>
        <v/>
      </c>
      <c r="Q1266" s="119"/>
      <c r="R1266" s="4"/>
    </row>
    <row r="1267" spans="1:18" ht="15.75" thickBot="1">
      <c r="A1267" s="1">
        <f t="shared" si="42"/>
        <v>0</v>
      </c>
      <c r="B1267" s="2"/>
      <c r="C1267" s="8"/>
      <c r="D1267" s="142" t="str">
        <f>IFERROR(INDEX([239]TRANSPORTES!B:B,MATCH(B1267,[239]TRANSPORTES!A:A,0)),"")</f>
        <v/>
      </c>
      <c r="E1267" s="143"/>
      <c r="F1267" s="143"/>
      <c r="G1267" s="143"/>
      <c r="H1267" s="143"/>
      <c r="I1267" s="143"/>
      <c r="J1267" s="143"/>
      <c r="K1267" s="149"/>
      <c r="L1267" s="150"/>
      <c r="M1267" s="146" t="str">
        <f>IFERROR(INDEX([239]TRANSPORTES!C:C,MATCH(B1267,[239]TRANSPORTES!A:A,0)),"")</f>
        <v/>
      </c>
      <c r="N1267" s="139" t="str">
        <f>IFERROR(INDEX([239]TRANSPORTES!D:D,MATCH(B1267,[239]TRANSPORTES!A:A,0)),"")</f>
        <v/>
      </c>
      <c r="O1267" s="147"/>
      <c r="P1267" s="148" t="str">
        <f>IFERROR(ROUND(K1267*N1267*L1267,2),"")</f>
        <v/>
      </c>
      <c r="Q1267" s="119"/>
      <c r="R1267" s="4"/>
    </row>
    <row r="1268" spans="1:18" ht="15.75" thickBot="1">
      <c r="A1268" s="1">
        <f t="shared" si="42"/>
        <v>0</v>
      </c>
      <c r="B1268" s="2"/>
      <c r="C1268" s="8"/>
      <c r="D1268" s="128" t="s">
        <v>24</v>
      </c>
      <c r="E1268" s="129"/>
      <c r="F1268" s="129"/>
      <c r="G1268" s="129"/>
      <c r="H1268" s="129"/>
      <c r="I1268" s="129"/>
      <c r="J1268" s="129"/>
      <c r="K1268" s="129"/>
      <c r="L1268" s="129"/>
      <c r="M1268" s="129"/>
      <c r="N1268" s="129"/>
      <c r="O1268" s="130"/>
      <c r="P1268" s="151">
        <f>SUM(P1264:P1267)</f>
        <v>0</v>
      </c>
      <c r="Q1268" s="132"/>
      <c r="R1268" s="4"/>
    </row>
    <row r="1269" spans="1:18" ht="15.75" thickBot="1">
      <c r="A1269" s="1">
        <f t="shared" si="42"/>
        <v>0</v>
      </c>
      <c r="B1269" s="2"/>
      <c r="C1269" s="8"/>
      <c r="D1269" s="74" t="s">
        <v>36</v>
      </c>
      <c r="E1269" s="37"/>
      <c r="F1269" s="37"/>
      <c r="G1269" s="37"/>
      <c r="H1269" s="37"/>
      <c r="I1269" s="37"/>
      <c r="J1269" s="37"/>
      <c r="K1269" s="37"/>
      <c r="L1269" s="37"/>
      <c r="M1269" s="37"/>
      <c r="N1269" s="37"/>
      <c r="O1269" s="37"/>
      <c r="P1269" s="99"/>
      <c r="Q1269" s="100"/>
      <c r="R1269" s="4"/>
    </row>
    <row r="1270" spans="1:18" ht="30">
      <c r="A1270" s="1">
        <f t="shared" si="42"/>
        <v>0</v>
      </c>
      <c r="B1270" s="2"/>
      <c r="C1270" s="8"/>
      <c r="D1270" s="101" t="s">
        <v>37</v>
      </c>
      <c r="E1270" s="133"/>
      <c r="F1270" s="133"/>
      <c r="G1270" s="133"/>
      <c r="H1270" s="133"/>
      <c r="I1270" s="133"/>
      <c r="J1270" s="133"/>
      <c r="K1270" s="106" t="s">
        <v>38</v>
      </c>
      <c r="L1270" s="152" t="s">
        <v>39</v>
      </c>
      <c r="M1270" s="153" t="s">
        <v>40</v>
      </c>
      <c r="N1270" s="104" t="s">
        <v>21</v>
      </c>
      <c r="O1270" s="105"/>
      <c r="P1270" s="154" t="s">
        <v>22</v>
      </c>
      <c r="Q1270" s="155"/>
      <c r="R1270" s="4"/>
    </row>
    <row r="1271" spans="1:18">
      <c r="A1271" s="1">
        <f t="shared" si="42"/>
        <v>0</v>
      </c>
      <c r="B1271" s="2" t="s">
        <v>41</v>
      </c>
      <c r="C1271" s="8"/>
      <c r="D1271" s="109" t="str">
        <f>IFERROR(INDEX('[239]MANO DE OBRA'!B:B,MATCH(B1271,'[239]MANO DE OBRA'!A:A,0)),"")</f>
        <v>OFICIAL</v>
      </c>
      <c r="E1271" s="110"/>
      <c r="F1271" s="110"/>
      <c r="G1271" s="110"/>
      <c r="H1271" s="110"/>
      <c r="I1271" s="110"/>
      <c r="J1271" s="111"/>
      <c r="K1271" s="156">
        <f>IFERROR(INDEX('[239]MANO DE OBRA'!D:D,MATCH(B1271,'[239]MANO DE OBRA'!A:A,0)),"")</f>
        <v>95930</v>
      </c>
      <c r="L1271" s="157">
        <f>+IF(D1271&lt;&gt;"",'[239]FACTOR PRESTACIONAL'!$E$21," ")</f>
        <v>1.95</v>
      </c>
      <c r="M1271" s="158">
        <f>IFERROR(K1271*L1271," ")</f>
        <v>187063.5</v>
      </c>
      <c r="N1271" s="159">
        <v>32</v>
      </c>
      <c r="O1271" s="160"/>
      <c r="P1271" s="161">
        <f>IFERROR(ROUND(M1271/N1271,2)," ")</f>
        <v>5845.73</v>
      </c>
      <c r="Q1271" s="162"/>
      <c r="R1271" s="4"/>
    </row>
    <row r="1272" spans="1:18">
      <c r="A1272" s="1">
        <f t="shared" si="42"/>
        <v>0</v>
      </c>
      <c r="B1272" s="2" t="s">
        <v>81</v>
      </c>
      <c r="C1272" s="8"/>
      <c r="D1272" s="109" t="str">
        <f>IFERROR(INDEX('[239]MANO DE OBRA'!B:B,MATCH(B1272,'[239]MANO DE OBRA'!A:A,0)),"")</f>
        <v>AYUDANTE (1)</v>
      </c>
      <c r="E1272" s="110"/>
      <c r="F1272" s="110"/>
      <c r="G1272" s="110"/>
      <c r="H1272" s="110"/>
      <c r="I1272" s="110"/>
      <c r="J1272" s="111"/>
      <c r="K1272" s="156">
        <f>IFERROR(INDEX('[239]MANO DE OBRA'!D:D,MATCH(B1272,'[239]MANO DE OBRA'!A:A,0)),"")</f>
        <v>71433</v>
      </c>
      <c r="L1272" s="157">
        <f>+IF(D1272&lt;&gt;"",'[239]FACTOR PRESTACIONAL'!$E$21," ")</f>
        <v>1.95</v>
      </c>
      <c r="M1272" s="158">
        <f>IFERROR(K1272*L1272," ")</f>
        <v>139294.35</v>
      </c>
      <c r="N1272" s="159">
        <f>+N1271</f>
        <v>32</v>
      </c>
      <c r="O1272" s="160"/>
      <c r="P1272" s="161">
        <f>IFERROR(ROUND(M1272/N1272,2)," ")</f>
        <v>4352.95</v>
      </c>
      <c r="Q1272" s="162"/>
      <c r="R1272" s="4"/>
    </row>
    <row r="1273" spans="1:18">
      <c r="A1273" s="1">
        <f t="shared" si="42"/>
        <v>0</v>
      </c>
      <c r="B1273" s="2"/>
      <c r="C1273" s="8"/>
      <c r="D1273" s="109" t="str">
        <f>IFERROR(INDEX('[239]MANO DE OBRA'!B:B,MATCH(B1273,'[239]MANO DE OBRA'!A:A,0)),"")</f>
        <v/>
      </c>
      <c r="E1273" s="110"/>
      <c r="F1273" s="110"/>
      <c r="G1273" s="110"/>
      <c r="H1273" s="110"/>
      <c r="I1273" s="110"/>
      <c r="J1273" s="111"/>
      <c r="K1273" s="156" t="str">
        <f>IFERROR(INDEX('[239]MANO DE OBRA'!D:D,MATCH(B1273,'[239]MANO DE OBRA'!A:A,0)),"")</f>
        <v/>
      </c>
      <c r="L1273" s="157" t="str">
        <f>+IF(D1273&lt;&gt;"",'[239]FACTOR PRESTACIONAL'!$E$21," ")</f>
        <v xml:space="preserve"> </v>
      </c>
      <c r="M1273" s="158" t="str">
        <f>IFERROR(K1273*L1273," ")</f>
        <v xml:space="preserve"> </v>
      </c>
      <c r="N1273" s="159"/>
      <c r="O1273" s="160"/>
      <c r="P1273" s="161" t="str">
        <f>IFERROR(ROUND(M1273/N1273,2)," ")</f>
        <v xml:space="preserve"> </v>
      </c>
      <c r="Q1273" s="162"/>
      <c r="R1273" s="4"/>
    </row>
    <row r="1274" spans="1:18">
      <c r="A1274" s="1">
        <f t="shared" si="42"/>
        <v>0</v>
      </c>
      <c r="B1274" s="2"/>
      <c r="C1274" s="8"/>
      <c r="D1274" s="109" t="str">
        <f>IFERROR(INDEX('[239]MANO DE OBRA'!B:B,MATCH(B1274,'[239]MANO DE OBRA'!A:A,0)),"")</f>
        <v/>
      </c>
      <c r="E1274" s="110"/>
      <c r="F1274" s="110"/>
      <c r="G1274" s="110"/>
      <c r="H1274" s="110"/>
      <c r="I1274" s="110"/>
      <c r="J1274" s="111"/>
      <c r="K1274" s="156" t="str">
        <f>IFERROR(INDEX('[239]MANO DE OBRA'!D:D,MATCH(B1274,'[239]MANO DE OBRA'!A:A,0)),"")</f>
        <v/>
      </c>
      <c r="L1274" s="157" t="str">
        <f>+IF(D1274&lt;&gt;"",'[239]FACTOR PRESTACIONAL'!$E$21," ")</f>
        <v xml:space="preserve"> </v>
      </c>
      <c r="M1274" s="158" t="str">
        <f>IFERROR(K1274*L1274," ")</f>
        <v xml:space="preserve"> </v>
      </c>
      <c r="N1274" s="159"/>
      <c r="O1274" s="160"/>
      <c r="P1274" s="161" t="str">
        <f>IFERROR(ROUND(M1274/N1274,2)," ")</f>
        <v xml:space="preserve"> </v>
      </c>
      <c r="Q1274" s="162"/>
      <c r="R1274" s="4"/>
    </row>
    <row r="1275" spans="1:18" ht="15.75" thickBot="1">
      <c r="A1275" s="1">
        <f t="shared" si="42"/>
        <v>0</v>
      </c>
      <c r="B1275" s="2"/>
      <c r="C1275" s="8"/>
      <c r="D1275" s="109" t="str">
        <f>IFERROR(INDEX('[239]MANO DE OBRA'!B:B,MATCH(B1275,'[239]MANO DE OBRA'!A:A,0)),"")</f>
        <v/>
      </c>
      <c r="E1275" s="110"/>
      <c r="F1275" s="110"/>
      <c r="G1275" s="110"/>
      <c r="H1275" s="110"/>
      <c r="I1275" s="110"/>
      <c r="J1275" s="111"/>
      <c r="K1275" s="156" t="str">
        <f>IFERROR(INDEX('[239]MANO DE OBRA'!D:D,MATCH(B1275,'[239]MANO DE OBRA'!A:A,0)),"")</f>
        <v/>
      </c>
      <c r="L1275" s="157" t="str">
        <f>+IF(D1275&lt;&gt;"",'[239]FACTOR PRESTACIONAL'!$E$21," ")</f>
        <v xml:space="preserve"> </v>
      </c>
      <c r="M1275" s="158" t="str">
        <f>IFERROR(K1275*L1275," ")</f>
        <v xml:space="preserve"> </v>
      </c>
      <c r="N1275" s="159"/>
      <c r="O1275" s="160"/>
      <c r="P1275" s="161" t="str">
        <f>IFERROR(ROUND(M1275/N1275,2)," ")</f>
        <v xml:space="preserve"> </v>
      </c>
      <c r="Q1275" s="119"/>
      <c r="R1275" s="4"/>
    </row>
    <row r="1276" spans="1:18" ht="15.75" thickBot="1">
      <c r="A1276" s="1">
        <f t="shared" si="42"/>
        <v>0</v>
      </c>
      <c r="B1276" s="2"/>
      <c r="C1276" s="8"/>
      <c r="D1276" s="128" t="s">
        <v>24</v>
      </c>
      <c r="E1276" s="129"/>
      <c r="F1276" s="129"/>
      <c r="G1276" s="129"/>
      <c r="H1276" s="129"/>
      <c r="I1276" s="129"/>
      <c r="J1276" s="129"/>
      <c r="K1276" s="129"/>
      <c r="L1276" s="129"/>
      <c r="M1276" s="129"/>
      <c r="N1276" s="129"/>
      <c r="O1276" s="130"/>
      <c r="P1276" s="131">
        <f>SUM(P1271:P1275)</f>
        <v>10198.68</v>
      </c>
      <c r="Q1276" s="119"/>
      <c r="R1276" s="4"/>
    </row>
    <row r="1277" spans="1:18" ht="15.75" thickBot="1">
      <c r="A1277" s="1">
        <f t="shared" si="42"/>
        <v>0</v>
      </c>
      <c r="B1277" s="2"/>
      <c r="C1277" s="8"/>
      <c r="D1277" s="87"/>
      <c r="E1277" s="20"/>
      <c r="F1277" s="20"/>
      <c r="G1277" s="20"/>
      <c r="H1277" s="20"/>
      <c r="I1277" s="20"/>
      <c r="J1277" s="20"/>
      <c r="K1277" s="20"/>
      <c r="L1277" s="20"/>
      <c r="M1277" s="20"/>
      <c r="N1277" s="20"/>
      <c r="O1277" s="20"/>
      <c r="P1277" s="88"/>
      <c r="Q1277" s="13"/>
      <c r="R1277" s="4"/>
    </row>
    <row r="1278" spans="1:18" ht="15.75" thickBot="1">
      <c r="A1278" s="1"/>
      <c r="B1278" s="2"/>
      <c r="C1278" s="8"/>
      <c r="D1278" s="163" t="s">
        <v>43</v>
      </c>
      <c r="E1278" s="164"/>
      <c r="F1278" s="164"/>
      <c r="G1278" s="164"/>
      <c r="H1278" s="164"/>
      <c r="I1278" s="164"/>
      <c r="J1278" s="164"/>
      <c r="K1278" s="164"/>
      <c r="L1278" s="164"/>
      <c r="M1278" s="164"/>
      <c r="N1278" s="164"/>
      <c r="O1278" s="165"/>
      <c r="P1278" s="166">
        <f>+P1276+P1268+P1261+P1243</f>
        <v>11508.03</v>
      </c>
      <c r="Q1278" s="167"/>
      <c r="R1278" s="168"/>
    </row>
    <row r="1279" spans="1:18" ht="15.75" thickBot="1">
      <c r="A1279" s="1"/>
      <c r="B1279" s="2"/>
      <c r="C1279" s="8"/>
      <c r="D1279" s="169"/>
      <c r="E1279" s="170"/>
      <c r="F1279" s="170"/>
      <c r="G1279" s="170"/>
      <c r="H1279" s="170"/>
      <c r="I1279" s="170"/>
      <c r="J1279" s="170"/>
      <c r="K1279" s="170"/>
      <c r="L1279" s="170"/>
      <c r="M1279" s="170"/>
      <c r="N1279" s="170"/>
      <c r="O1279" s="170"/>
      <c r="P1279" s="171"/>
      <c r="Q1279" s="100"/>
      <c r="R1279" s="4"/>
    </row>
    <row r="1280" spans="1:18">
      <c r="A1280" s="1"/>
      <c r="B1280" s="2"/>
      <c r="C1280" s="8"/>
      <c r="D1280" s="172" t="s">
        <v>73</v>
      </c>
      <c r="E1280" s="173"/>
      <c r="F1280" s="173"/>
      <c r="G1280" s="173"/>
      <c r="H1280" s="173"/>
      <c r="I1280" s="173"/>
      <c r="J1280" s="173"/>
      <c r="K1280" s="141"/>
      <c r="L1280" s="174"/>
      <c r="M1280" s="153" t="s">
        <v>44</v>
      </c>
      <c r="N1280" s="175" t="s">
        <v>45</v>
      </c>
      <c r="O1280" s="176"/>
      <c r="P1280" s="154"/>
      <c r="Q1280" s="155"/>
      <c r="R1280" s="4"/>
    </row>
    <row r="1281" spans="1:18">
      <c r="A1281" s="1"/>
      <c r="B1281" s="2"/>
      <c r="C1281" s="8"/>
      <c r="D1281" s="109" t="s">
        <v>65</v>
      </c>
      <c r="E1281" s="110"/>
      <c r="F1281" s="110"/>
      <c r="G1281" s="110"/>
      <c r="H1281" s="110"/>
      <c r="I1281" s="110"/>
      <c r="J1281" s="110"/>
      <c r="K1281" s="177"/>
      <c r="L1281" s="178"/>
      <c r="M1281" s="179">
        <f>+[239]INICIO!$F$10</f>
        <v>0.24</v>
      </c>
      <c r="N1281" s="180">
        <f>ROUND(M1281*P1278,2)</f>
        <v>2761.93</v>
      </c>
      <c r="O1281" s="181"/>
      <c r="P1281" s="182"/>
      <c r="Q1281" s="119"/>
      <c r="R1281" s="4"/>
    </row>
    <row r="1282" spans="1:18">
      <c r="A1282" s="1"/>
      <c r="B1282" s="2"/>
      <c r="C1282" s="8"/>
      <c r="D1282" s="183" t="s">
        <v>67</v>
      </c>
      <c r="E1282" s="61"/>
      <c r="F1282" s="61"/>
      <c r="G1282" s="61"/>
      <c r="H1282" s="61"/>
      <c r="I1282" s="61"/>
      <c r="J1282" s="61"/>
      <c r="K1282" s="177"/>
      <c r="L1282" s="178"/>
      <c r="M1282" s="179">
        <f>+[239]INICIO!$F$11</f>
        <v>0.02</v>
      </c>
      <c r="N1282" s="180">
        <f>ROUND(M1282*P1278,2)</f>
        <v>230.16</v>
      </c>
      <c r="O1282" s="181"/>
      <c r="P1282" s="182"/>
      <c r="Q1282" s="119"/>
      <c r="R1282" s="4"/>
    </row>
    <row r="1283" spans="1:18" ht="15.75" thickBot="1">
      <c r="A1283" s="1"/>
      <c r="B1283" s="2"/>
      <c r="C1283" s="8"/>
      <c r="D1283" s="77" t="s">
        <v>69</v>
      </c>
      <c r="E1283" s="78"/>
      <c r="F1283" s="78"/>
      <c r="G1283" s="78"/>
      <c r="H1283" s="78"/>
      <c r="I1283" s="78"/>
      <c r="J1283" s="78"/>
      <c r="K1283" s="184"/>
      <c r="L1283" s="185"/>
      <c r="M1283" s="179">
        <f>+[239]INICIO!$F$12</f>
        <v>7.0000000000000007E-2</v>
      </c>
      <c r="N1283" s="180">
        <f>ROUND(M1283*P1278,2)</f>
        <v>805.56</v>
      </c>
      <c r="O1283" s="181"/>
      <c r="P1283" s="182"/>
      <c r="Q1283" s="119"/>
      <c r="R1283" s="4"/>
    </row>
    <row r="1284" spans="1:18" ht="15.75" thickBot="1">
      <c r="A1284" s="1"/>
      <c r="B1284" s="2"/>
      <c r="C1284" s="8"/>
      <c r="D1284" s="128"/>
      <c r="E1284" s="129"/>
      <c r="F1284" s="129"/>
      <c r="G1284" s="129"/>
      <c r="H1284" s="129"/>
      <c r="I1284" s="129"/>
      <c r="J1284" s="129"/>
      <c r="K1284" s="129"/>
      <c r="L1284" s="129"/>
      <c r="M1284" s="129"/>
      <c r="N1284" s="129"/>
      <c r="O1284" s="130"/>
      <c r="P1284" s="131">
        <f>SUM(N1281:N1283)</f>
        <v>3797.6499999999996</v>
      </c>
      <c r="Q1284" s="186"/>
      <c r="R1284" s="4"/>
    </row>
    <row r="1285" spans="1:18" ht="15.75" thickBot="1">
      <c r="A1285" s="1"/>
      <c r="B1285" s="2"/>
      <c r="C1285" s="8"/>
      <c r="D1285" s="87"/>
      <c r="E1285" s="20"/>
      <c r="F1285" s="20"/>
      <c r="G1285" s="20"/>
      <c r="H1285" s="20"/>
      <c r="I1285" s="20"/>
      <c r="J1285" s="20"/>
      <c r="K1285" s="20"/>
      <c r="L1285" s="20"/>
      <c r="M1285" s="20"/>
      <c r="N1285" s="20"/>
      <c r="O1285" s="20"/>
      <c r="P1285" s="88"/>
      <c r="Q1285" s="13"/>
      <c r="R1285" s="4"/>
    </row>
    <row r="1286" spans="1:18" ht="15.75" thickBot="1">
      <c r="A1286" s="1"/>
      <c r="B1286" s="2"/>
      <c r="C1286" s="8"/>
      <c r="D1286" s="187" t="s">
        <v>46</v>
      </c>
      <c r="E1286" s="188"/>
      <c r="F1286" s="188"/>
      <c r="G1286" s="188"/>
      <c r="H1286" s="188"/>
      <c r="I1286" s="188"/>
      <c r="J1286" s="188"/>
      <c r="K1286" s="188"/>
      <c r="L1286" s="188"/>
      <c r="M1286" s="188"/>
      <c r="N1286" s="188"/>
      <c r="O1286" s="189"/>
      <c r="P1286" s="166">
        <f>ROUND(P1284+P1278,0)</f>
        <v>15306</v>
      </c>
      <c r="Q1286" s="186"/>
      <c r="R1286" s="4"/>
    </row>
    <row r="1287" spans="1:18">
      <c r="A1287" s="1"/>
      <c r="B1287" s="2"/>
      <c r="C1287" s="8"/>
      <c r="D1287" s="80"/>
      <c r="E1287" s="81"/>
      <c r="F1287" s="81"/>
      <c r="G1287" s="81"/>
      <c r="H1287" s="81"/>
      <c r="I1287" s="81"/>
      <c r="J1287" s="81"/>
      <c r="K1287" s="81"/>
      <c r="L1287" s="81"/>
      <c r="M1287" s="81"/>
      <c r="N1287" s="81"/>
      <c r="O1287" s="81"/>
      <c r="P1287" s="82"/>
      <c r="Q1287" s="13"/>
      <c r="R1287" s="4"/>
    </row>
    <row r="1288" spans="1:18">
      <c r="A1288" s="1"/>
      <c r="B1288" s="2"/>
      <c r="C1288" s="8"/>
      <c r="D1288" s="87"/>
      <c r="E1288" s="20"/>
      <c r="F1288" s="20"/>
      <c r="G1288" s="20"/>
      <c r="H1288" s="20"/>
      <c r="I1288" s="20"/>
      <c r="J1288" s="20"/>
      <c r="K1288" s="20"/>
      <c r="L1288" s="20"/>
      <c r="M1288" s="20"/>
      <c r="N1288" s="20"/>
      <c r="O1288" s="20"/>
      <c r="P1288" s="88"/>
      <c r="Q1288" s="13"/>
      <c r="R1288" s="4"/>
    </row>
    <row r="1289" spans="1:18">
      <c r="A1289" s="1"/>
      <c r="B1289" s="2"/>
      <c r="C1289" s="8"/>
      <c r="D1289" s="87"/>
      <c r="E1289" s="20"/>
      <c r="F1289" s="20"/>
      <c r="G1289" s="20"/>
      <c r="H1289" s="20"/>
      <c r="I1289" s="20"/>
      <c r="J1289" s="20"/>
      <c r="K1289" s="20"/>
      <c r="L1289" s="20"/>
      <c r="M1289" s="20"/>
      <c r="N1289" s="20"/>
      <c r="O1289" s="20"/>
      <c r="P1289" s="88"/>
      <c r="Q1289" s="13"/>
      <c r="R1289" s="4"/>
    </row>
    <row r="1290" spans="1:18">
      <c r="A1290" s="1"/>
      <c r="B1290" s="2"/>
      <c r="C1290" s="8"/>
      <c r="D1290" s="87"/>
      <c r="E1290" s="20"/>
      <c r="F1290" s="20"/>
      <c r="G1290" s="20"/>
      <c r="H1290" s="20"/>
      <c r="I1290" s="20"/>
      <c r="J1290" s="20"/>
      <c r="K1290" s="20"/>
      <c r="L1290" s="20"/>
      <c r="M1290" s="20"/>
      <c r="N1290" s="20"/>
      <c r="O1290" s="20"/>
      <c r="P1290" s="88"/>
      <c r="Q1290" s="13"/>
      <c r="R1290" s="4"/>
    </row>
    <row r="1291" spans="1:18">
      <c r="A1291" s="1"/>
      <c r="B1291" s="2"/>
      <c r="C1291" s="8"/>
      <c r="D1291" s="219" t="str">
        <f>+[239]INICIO!$B$13</f>
        <v>Proyectó:</v>
      </c>
      <c r="E1291" s="49"/>
      <c r="F1291" s="49"/>
      <c r="G1291" s="49"/>
      <c r="H1291" s="49"/>
      <c r="I1291" s="49"/>
      <c r="J1291" s="49"/>
      <c r="K1291" s="20"/>
      <c r="L1291" s="69" t="str">
        <f>+[239]INICIO!$B$16</f>
        <v>Aprobó:</v>
      </c>
      <c r="M1291" s="49"/>
      <c r="N1291" s="49"/>
      <c r="O1291" s="49"/>
      <c r="P1291" s="88"/>
      <c r="Q1291" s="13"/>
      <c r="R1291" s="4"/>
    </row>
    <row r="1292" spans="1:18">
      <c r="A1292" s="1"/>
      <c r="B1292" s="2"/>
      <c r="C1292" s="8"/>
      <c r="D1292" s="87"/>
      <c r="E1292" s="20" t="str">
        <f>+Hoja2!C$13</f>
        <v>HELMER EDUARDO BECERRA SANTANDER</v>
      </c>
      <c r="F1292" s="20"/>
      <c r="G1292" s="20"/>
      <c r="H1292" s="20"/>
      <c r="I1292" s="20"/>
      <c r="J1292" s="20"/>
      <c r="K1292" s="20"/>
      <c r="L1292" s="20"/>
      <c r="M1292" s="20" t="str">
        <f>+Hoja2!$C$16</f>
        <v>JESÚS IVÁN QUIÑONES RUEDA</v>
      </c>
      <c r="N1292" s="20"/>
      <c r="O1292" s="20"/>
      <c r="P1292" s="88"/>
      <c r="Q1292" s="190"/>
      <c r="R1292" s="4"/>
    </row>
    <row r="1293" spans="1:18">
      <c r="A1293" s="1"/>
      <c r="B1293" s="2"/>
      <c r="C1293" s="8"/>
      <c r="D1293" s="87"/>
      <c r="E1293" s="20" t="str">
        <f>+Hoja2!C$14</f>
        <v>APOYO SEC. DE PLANEACIÓN Y OBRAS PÚBLICAS</v>
      </c>
      <c r="F1293" s="20"/>
      <c r="G1293" s="20"/>
      <c r="H1293" s="20"/>
      <c r="I1293" s="20"/>
      <c r="J1293" s="20"/>
      <c r="K1293" s="20"/>
      <c r="L1293" s="20"/>
      <c r="M1293" s="20" t="str">
        <f>+Hoja2!$C$17</f>
        <v>SECRETARIO DE PLANEACIÓN Y OBRAS PUBLICAS</v>
      </c>
      <c r="N1293" s="20"/>
      <c r="O1293" s="20"/>
      <c r="P1293" s="88"/>
      <c r="Q1293" s="190"/>
      <c r="R1293" s="4"/>
    </row>
    <row r="1294" spans="1:18">
      <c r="A1294" s="1"/>
      <c r="B1294" s="2"/>
      <c r="C1294" s="8"/>
      <c r="D1294" s="68"/>
      <c r="E1294" s="20" t="str">
        <f>+Hoja2!C$15</f>
        <v>123769-0701671 NTS</v>
      </c>
      <c r="F1294" s="191"/>
      <c r="G1294" s="191"/>
      <c r="H1294" s="191"/>
      <c r="I1294" s="20"/>
      <c r="J1294" s="191"/>
      <c r="K1294" s="191"/>
      <c r="L1294" s="191"/>
      <c r="M1294" s="192" t="str">
        <f>+Hoja2!C$18</f>
        <v>A21382020-1090480860</v>
      </c>
      <c r="N1294" s="191"/>
      <c r="O1294" s="191"/>
      <c r="P1294" s="193"/>
      <c r="Q1294" s="194"/>
      <c r="R1294" s="4"/>
    </row>
    <row r="1295" spans="1:18" ht="16.5" thickBot="1">
      <c r="A1295" s="1"/>
      <c r="B1295" s="2"/>
      <c r="C1295" s="8"/>
      <c r="D1295" s="195"/>
      <c r="E1295" s="150"/>
      <c r="F1295" s="150"/>
      <c r="G1295" s="150"/>
      <c r="H1295" s="150"/>
      <c r="I1295" s="150"/>
      <c r="J1295" s="150"/>
      <c r="K1295" s="150"/>
      <c r="L1295" s="150"/>
      <c r="M1295" s="150"/>
      <c r="N1295" s="150"/>
      <c r="O1295" s="150"/>
      <c r="P1295" s="196"/>
      <c r="Q1295" s="197"/>
      <c r="R1295" s="4"/>
    </row>
    <row r="1296" spans="1:18" ht="15.75" thickBot="1">
      <c r="A1296" s="1"/>
      <c r="B1296" s="2"/>
      <c r="C1296" s="198"/>
      <c r="D1296" s="199"/>
      <c r="E1296" s="199"/>
      <c r="F1296" s="199"/>
      <c r="G1296" s="199"/>
      <c r="H1296" s="199"/>
      <c r="I1296" s="199"/>
      <c r="J1296" s="199"/>
      <c r="K1296" s="199"/>
      <c r="L1296" s="199"/>
      <c r="M1296" s="199"/>
      <c r="N1296" s="199"/>
      <c r="O1296" s="199"/>
      <c r="P1296" s="199"/>
      <c r="Q1296" s="200"/>
      <c r="R1296" s="4"/>
    </row>
    <row r="1297" ht="15.75" thickTop="1"/>
  </sheetData>
  <pageMargins left="0.7" right="0.7" top="0.75" bottom="0.75" header="0.3" footer="0.3"/>
  <pageSetup scale="49" orientation="portrait" r:id="rId1"/>
  <rowBreaks count="14" manualBreakCount="14">
    <brk id="86" min="2" max="16" man="1"/>
    <brk id="172" min="2" max="16" man="1"/>
    <brk id="259" min="2" max="16" man="1"/>
    <brk id="346" min="2" max="16" man="1"/>
    <brk id="432" min="2" max="16" man="1"/>
    <brk id="518" min="2" max="16" man="1"/>
    <brk id="606" min="2" max="16" man="1"/>
    <brk id="693" min="2" max="16" man="1"/>
    <brk id="779" min="2" max="16" man="1"/>
    <brk id="865" min="2" max="16" man="1"/>
    <brk id="951" min="2" max="16" man="1"/>
    <brk id="1036" min="2" max="16" man="1"/>
    <brk id="1123" min="2" max="16" man="1"/>
    <brk id="1210" min="2" max="16" man="1"/>
  </rowBreaks>
  <colBreaks count="1" manualBreakCount="1">
    <brk id="17" max="8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BF2B76-63CC-4A19-AFFA-80C9A98F2467}">
  <dimension ref="A1:Y1553"/>
  <sheetViews>
    <sheetView view="pageBreakPreview" topLeftCell="A70" zoomScale="80" zoomScaleNormal="100" zoomScaleSheetLayoutView="80" workbookViewId="0">
      <selection activeCell="T75" sqref="T75"/>
    </sheetView>
  </sheetViews>
  <sheetFormatPr baseColWidth="10" defaultRowHeight="15"/>
  <cols>
    <col min="1" max="1" width="15.42578125" customWidth="1"/>
    <col min="2" max="2" width="11.28515625" bestFit="1" customWidth="1"/>
    <col min="3" max="3" width="4.28515625" customWidth="1"/>
    <col min="4" max="4" width="13.7109375" bestFit="1" customWidth="1"/>
    <col min="7" max="7" width="6.42578125" hidden="1" customWidth="1"/>
    <col min="8" max="8" width="11.5703125" customWidth="1"/>
    <col min="9" max="10" width="11.42578125" customWidth="1"/>
    <col min="11" max="11" width="15.5703125" customWidth="1"/>
    <col min="12" max="12" width="11.5703125" customWidth="1"/>
    <col min="13" max="13" width="15.140625" customWidth="1"/>
    <col min="14" max="15" width="11.5703125" bestFit="1" customWidth="1"/>
    <col min="16" max="16" width="21.28515625" customWidth="1"/>
    <col min="17" max="17" width="4.28515625" customWidth="1"/>
    <col min="18" max="18" width="18" customWidth="1"/>
    <col min="22" max="22" width="25" customWidth="1"/>
    <col min="24" max="24" width="12.85546875" bestFit="1" customWidth="1"/>
  </cols>
  <sheetData>
    <row r="1" spans="1:18" ht="15.75" thickBot="1">
      <c r="A1" s="1"/>
      <c r="B1" s="2"/>
      <c r="C1" s="3"/>
      <c r="D1" s="4"/>
      <c r="E1" s="4"/>
      <c r="F1" s="4"/>
      <c r="G1" s="4"/>
      <c r="H1" s="4"/>
      <c r="I1" s="4"/>
      <c r="J1" s="4"/>
      <c r="K1" s="4"/>
      <c r="L1" s="4"/>
      <c r="M1" s="4"/>
      <c r="N1" s="4"/>
      <c r="O1" s="4"/>
      <c r="P1" s="4"/>
      <c r="Q1" s="4"/>
      <c r="R1" s="4"/>
    </row>
    <row r="2" spans="1:18" ht="15.75" thickTop="1">
      <c r="A2" s="1"/>
      <c r="B2" s="2"/>
      <c r="C2" s="5"/>
      <c r="D2" s="6"/>
      <c r="E2" s="6"/>
      <c r="F2" s="6"/>
      <c r="G2" s="6"/>
      <c r="H2" s="6"/>
      <c r="I2" s="6"/>
      <c r="J2" s="6"/>
      <c r="K2" s="6"/>
      <c r="L2" s="6"/>
      <c r="M2" s="6"/>
      <c r="N2" s="6"/>
      <c r="O2" s="6"/>
      <c r="P2" s="6"/>
      <c r="Q2" s="7"/>
      <c r="R2" s="4"/>
    </row>
    <row r="3" spans="1:18" ht="24">
      <c r="A3" s="1"/>
      <c r="B3" s="2"/>
      <c r="C3" s="8"/>
      <c r="D3" s="9" t="str">
        <f>+[239]INICIO!$C$8</f>
        <v>Análisis de Precios Unitarios- Secretaria de Planeación y Obras Publicas de Cubará, Boyacá.</v>
      </c>
      <c r="E3" s="10"/>
      <c r="F3" s="10"/>
      <c r="G3" s="10"/>
      <c r="H3" s="11"/>
      <c r="I3" s="12"/>
      <c r="J3" s="12"/>
      <c r="K3" s="12"/>
      <c r="L3" s="12"/>
      <c r="M3" s="12"/>
      <c r="N3" s="12"/>
      <c r="O3" s="12"/>
      <c r="P3" s="12"/>
      <c r="Q3" s="13"/>
      <c r="R3" s="4"/>
    </row>
    <row r="4" spans="1:18">
      <c r="A4" s="1"/>
      <c r="B4" s="2"/>
      <c r="C4" s="8"/>
      <c r="D4" s="14" t="s">
        <v>0</v>
      </c>
      <c r="E4" s="15" t="str">
        <f>+[239]INICIO!$C$7</f>
        <v>CCE-EICP-FM-14</v>
      </c>
      <c r="F4" s="16"/>
      <c r="G4" s="17" t="str">
        <f>+[239]INICIO!$B$6</f>
        <v>VERSIÓN</v>
      </c>
      <c r="H4" s="14">
        <f>+[239]INICIO!$C$6</f>
        <v>1</v>
      </c>
      <c r="I4" s="12"/>
      <c r="J4" s="12"/>
      <c r="K4" s="12"/>
      <c r="L4" s="12"/>
      <c r="M4" s="12"/>
      <c r="N4" s="12"/>
      <c r="O4" s="12"/>
      <c r="P4" s="12"/>
      <c r="Q4" s="13"/>
      <c r="R4" s="4"/>
    </row>
    <row r="5" spans="1:18">
      <c r="A5" s="1"/>
      <c r="B5" s="2"/>
      <c r="C5" s="8"/>
      <c r="D5" s="18"/>
      <c r="E5" s="19"/>
      <c r="F5" s="18"/>
      <c r="G5" s="19"/>
      <c r="H5" s="12"/>
      <c r="I5" s="12"/>
      <c r="J5" s="12"/>
      <c r="K5" s="12"/>
      <c r="L5" s="12"/>
      <c r="M5" s="12"/>
      <c r="N5" s="12"/>
      <c r="O5" s="12"/>
      <c r="P5" s="12"/>
      <c r="Q5" s="13"/>
      <c r="R5" s="4"/>
    </row>
    <row r="6" spans="1:18" ht="15.75" thickBot="1">
      <c r="A6" s="1"/>
      <c r="B6" s="2"/>
      <c r="C6" s="8"/>
      <c r="D6" s="20"/>
      <c r="E6" s="20"/>
      <c r="F6" s="20"/>
      <c r="G6" s="20"/>
      <c r="H6" s="20"/>
      <c r="I6" s="20"/>
      <c r="J6" s="20"/>
      <c r="K6" s="20"/>
      <c r="L6" s="20"/>
      <c r="M6" s="20"/>
      <c r="N6" s="20"/>
      <c r="O6" s="20"/>
      <c r="P6" s="20"/>
      <c r="Q6" s="13"/>
      <c r="R6" s="4"/>
    </row>
    <row r="7" spans="1:18">
      <c r="A7" s="1"/>
      <c r="B7" s="2"/>
      <c r="C7" s="8"/>
      <c r="D7" s="21"/>
      <c r="E7" s="22"/>
      <c r="F7" s="23"/>
      <c r="G7" s="23"/>
      <c r="H7" s="23"/>
      <c r="I7" s="23"/>
      <c r="J7" s="23"/>
      <c r="K7" s="23"/>
      <c r="L7" s="24"/>
      <c r="M7" s="25"/>
      <c r="N7" s="26"/>
      <c r="O7" s="26"/>
      <c r="P7" s="27"/>
      <c r="Q7" s="28"/>
      <c r="R7" s="4"/>
    </row>
    <row r="8" spans="1:18">
      <c r="A8" s="1"/>
      <c r="B8" s="2"/>
      <c r="C8" s="8"/>
      <c r="D8" s="29"/>
      <c r="E8" s="30" t="s">
        <v>1</v>
      </c>
      <c r="F8" s="31"/>
      <c r="G8" s="31"/>
      <c r="H8" s="31"/>
      <c r="I8" s="31"/>
      <c r="J8" s="31"/>
      <c r="K8" s="31"/>
      <c r="L8" s="32"/>
      <c r="M8" s="33"/>
      <c r="N8" s="34"/>
      <c r="O8" s="34"/>
      <c r="P8" s="35"/>
      <c r="Q8" s="28"/>
      <c r="R8" s="4"/>
    </row>
    <row r="9" spans="1:18">
      <c r="A9" s="1"/>
      <c r="B9" s="2"/>
      <c r="C9" s="8"/>
      <c r="D9" s="29"/>
      <c r="E9" s="36"/>
      <c r="F9" s="37"/>
      <c r="G9" s="37"/>
      <c r="H9" s="37"/>
      <c r="I9" s="37"/>
      <c r="J9" s="37"/>
      <c r="K9" s="37"/>
      <c r="L9" s="38"/>
      <c r="M9" s="39"/>
      <c r="N9" s="40"/>
      <c r="O9" s="41"/>
      <c r="P9" s="42"/>
      <c r="Q9" s="28"/>
      <c r="R9" s="4"/>
    </row>
    <row r="10" spans="1:18">
      <c r="A10" s="1"/>
      <c r="B10" s="2"/>
      <c r="C10" s="8"/>
      <c r="D10" s="29"/>
      <c r="E10" s="36"/>
      <c r="F10" s="37"/>
      <c r="G10" s="37"/>
      <c r="H10" s="37"/>
      <c r="I10" s="37"/>
      <c r="J10" s="37"/>
      <c r="K10" s="37"/>
      <c r="L10" s="38"/>
      <c r="M10" s="43" t="s">
        <v>2</v>
      </c>
      <c r="N10" s="44"/>
      <c r="O10" s="45">
        <f>+[239]INICIO!$C$6</f>
        <v>1</v>
      </c>
      <c r="P10" s="46"/>
      <c r="Q10" s="28"/>
      <c r="R10" s="4"/>
    </row>
    <row r="11" spans="1:18">
      <c r="A11" s="1"/>
      <c r="B11" s="2"/>
      <c r="C11" s="8"/>
      <c r="D11" s="29"/>
      <c r="E11" s="36"/>
      <c r="F11" s="37"/>
      <c r="G11" s="37"/>
      <c r="H11" s="37"/>
      <c r="I11" s="37"/>
      <c r="J11" s="37"/>
      <c r="K11" s="37"/>
      <c r="L11" s="38"/>
      <c r="M11" s="47"/>
      <c r="N11" s="48"/>
      <c r="O11" s="49"/>
      <c r="P11" s="50"/>
      <c r="Q11" s="51"/>
      <c r="R11" s="4"/>
    </row>
    <row r="12" spans="1:18">
      <c r="A12" s="1"/>
      <c r="B12" s="2"/>
      <c r="C12" s="8"/>
      <c r="D12" s="29"/>
      <c r="E12" s="52"/>
      <c r="F12" s="53"/>
      <c r="G12" s="53"/>
      <c r="H12" s="53"/>
      <c r="I12" s="53"/>
      <c r="J12" s="53"/>
      <c r="K12" s="53"/>
      <c r="L12" s="54"/>
      <c r="M12" s="39"/>
      <c r="N12" s="55"/>
      <c r="O12" s="55"/>
      <c r="P12" s="56"/>
      <c r="Q12" s="28"/>
      <c r="R12" s="4"/>
    </row>
    <row r="13" spans="1:18">
      <c r="A13" s="1"/>
      <c r="B13" s="2"/>
      <c r="C13" s="8"/>
      <c r="D13" s="29"/>
      <c r="E13" s="52"/>
      <c r="F13" s="53"/>
      <c r="G13" s="53"/>
      <c r="H13" s="53"/>
      <c r="I13" s="53"/>
      <c r="J13" s="53"/>
      <c r="K13" s="53"/>
      <c r="L13" s="54"/>
      <c r="M13" s="43" t="s">
        <v>3</v>
      </c>
      <c r="N13" s="43" t="str">
        <f>+VLOOKUP(D24,'PRESUPUESTO OFICIAL '!C:Q,9,FALSE)</f>
        <v>37</v>
      </c>
      <c r="O13" s="43" t="s">
        <v>4</v>
      </c>
      <c r="P13" s="508" t="str">
        <f>+'PRESUPUESTO OFICIAL '!$M$122</f>
        <v>62</v>
      </c>
      <c r="Q13" s="28"/>
      <c r="R13" s="4"/>
    </row>
    <row r="14" spans="1:18">
      <c r="A14" s="1"/>
      <c r="B14" s="2"/>
      <c r="C14" s="8"/>
      <c r="D14" s="29"/>
      <c r="E14" s="30" t="s">
        <v>5</v>
      </c>
      <c r="F14" s="31"/>
      <c r="G14" s="31"/>
      <c r="H14" s="31"/>
      <c r="I14" s="31"/>
      <c r="J14" s="31"/>
      <c r="K14" s="31"/>
      <c r="L14" s="32"/>
      <c r="M14" s="43"/>
      <c r="N14" s="57"/>
      <c r="O14" s="57"/>
      <c r="P14" s="58"/>
      <c r="Q14" s="28"/>
      <c r="R14" s="4"/>
    </row>
    <row r="15" spans="1:18" ht="15.75" thickBot="1">
      <c r="A15" s="1"/>
      <c r="B15" s="2"/>
      <c r="C15" s="8"/>
      <c r="D15" s="59"/>
      <c r="E15" s="60"/>
      <c r="F15" s="60"/>
      <c r="G15" s="60"/>
      <c r="H15" s="60"/>
      <c r="I15" s="60"/>
      <c r="J15" s="60"/>
      <c r="K15" s="60"/>
      <c r="L15" s="60"/>
      <c r="M15" s="60"/>
      <c r="N15" s="61"/>
      <c r="O15" s="61"/>
      <c r="P15" s="62"/>
      <c r="Q15" s="63"/>
      <c r="R15" s="4"/>
    </row>
    <row r="16" spans="1:18">
      <c r="A16" s="1"/>
      <c r="B16" s="2"/>
      <c r="C16" s="8"/>
      <c r="D16" s="64"/>
      <c r="E16" s="65"/>
      <c r="F16" s="65"/>
      <c r="G16" s="65"/>
      <c r="H16" s="65"/>
      <c r="I16" s="65"/>
      <c r="J16" s="65"/>
      <c r="K16" s="65"/>
      <c r="L16" s="65"/>
      <c r="M16" s="66" t="s">
        <v>6</v>
      </c>
      <c r="N16" s="66" t="s">
        <v>7</v>
      </c>
      <c r="O16" s="66" t="s">
        <v>8</v>
      </c>
      <c r="P16" s="67" t="s">
        <v>9</v>
      </c>
      <c r="Q16" s="51"/>
      <c r="R16" s="4"/>
    </row>
    <row r="17" spans="1:18">
      <c r="A17" s="1"/>
      <c r="B17" s="2"/>
      <c r="C17" s="8"/>
      <c r="D17" s="68"/>
      <c r="E17" s="69"/>
      <c r="F17" s="69"/>
      <c r="G17" s="69"/>
      <c r="H17" s="69"/>
      <c r="I17" s="69"/>
      <c r="J17" s="69"/>
      <c r="K17" s="69"/>
      <c r="L17" s="69"/>
      <c r="M17" s="70"/>
      <c r="N17" s="71">
        <f>+Hoja2!B$5</f>
        <v>5</v>
      </c>
      <c r="O17" s="71">
        <f>+Hoja2!C$5</f>
        <v>8</v>
      </c>
      <c r="P17" s="72">
        <f>+Hoja2!D$5</f>
        <v>2026</v>
      </c>
      <c r="Q17" s="73"/>
      <c r="R17" s="4"/>
    </row>
    <row r="18" spans="1:18">
      <c r="A18" s="1"/>
      <c r="B18" s="2"/>
      <c r="C18" s="8"/>
      <c r="D18" s="74"/>
      <c r="E18" s="37"/>
      <c r="F18" s="37"/>
      <c r="G18" s="37"/>
      <c r="H18" s="69"/>
      <c r="I18" s="69"/>
      <c r="J18" s="69"/>
      <c r="K18" s="20"/>
      <c r="L18" s="69"/>
      <c r="M18" s="75"/>
      <c r="N18" s="20"/>
      <c r="O18" s="20"/>
      <c r="P18" s="76"/>
      <c r="Q18" s="73"/>
      <c r="R18" s="4"/>
    </row>
    <row r="19" spans="1:18" ht="15.75" thickBot="1">
      <c r="A19" s="1"/>
      <c r="B19" s="2"/>
      <c r="C19" s="8"/>
      <c r="D19" s="77"/>
      <c r="E19" s="78"/>
      <c r="F19" s="78"/>
      <c r="G19" s="78"/>
      <c r="H19" s="78"/>
      <c r="I19" s="78"/>
      <c r="J19" s="78"/>
      <c r="K19" s="78"/>
      <c r="L19" s="78"/>
      <c r="M19" s="78"/>
      <c r="N19" s="78"/>
      <c r="O19" s="78"/>
      <c r="P19" s="79"/>
      <c r="Q19" s="13"/>
      <c r="R19" s="4"/>
    </row>
    <row r="20" spans="1:18" ht="15.75" thickBot="1">
      <c r="A20" s="1"/>
      <c r="B20" s="2"/>
      <c r="C20" s="8"/>
      <c r="D20" s="80"/>
      <c r="E20" s="81"/>
      <c r="F20" s="81"/>
      <c r="G20" s="81"/>
      <c r="H20" s="81"/>
      <c r="I20" s="81"/>
      <c r="J20" s="20"/>
      <c r="K20" s="20"/>
      <c r="L20" s="81"/>
      <c r="M20" s="81"/>
      <c r="N20" s="81"/>
      <c r="O20" s="81"/>
      <c r="P20" s="82"/>
      <c r="Q20" s="13"/>
      <c r="R20" s="4"/>
    </row>
    <row r="21" spans="1:18">
      <c r="A21" s="1"/>
      <c r="B21" s="2"/>
      <c r="C21" s="8"/>
      <c r="D21" s="83" t="s">
        <v>10</v>
      </c>
      <c r="E21" s="84"/>
      <c r="F21" s="84"/>
      <c r="G21" s="84"/>
      <c r="H21" s="84"/>
      <c r="I21" s="84"/>
      <c r="J21" s="84"/>
      <c r="K21" s="84"/>
      <c r="L21" s="84"/>
      <c r="M21" s="84"/>
      <c r="N21" s="84"/>
      <c r="O21" s="84"/>
      <c r="P21" s="85"/>
      <c r="Q21" s="86"/>
      <c r="R21" s="4"/>
    </row>
    <row r="22" spans="1:18" ht="15.75" thickBot="1">
      <c r="A22" s="1"/>
      <c r="B22" s="2"/>
      <c r="C22" s="8"/>
      <c r="D22" s="87"/>
      <c r="E22" s="20"/>
      <c r="F22" s="20"/>
      <c r="G22" s="20"/>
      <c r="H22" s="20"/>
      <c r="I22" s="20"/>
      <c r="J22" s="20"/>
      <c r="K22" s="20"/>
      <c r="L22" s="20"/>
      <c r="M22" s="20"/>
      <c r="N22" s="20"/>
      <c r="O22" s="20"/>
      <c r="P22" s="88"/>
      <c r="Q22" s="13"/>
      <c r="R22" s="4"/>
    </row>
    <row r="23" spans="1:18">
      <c r="A23" s="1" t="s">
        <v>11</v>
      </c>
      <c r="B23" s="2" t="s">
        <v>12</v>
      </c>
      <c r="C23" s="8"/>
      <c r="D23" s="89" t="s">
        <v>13</v>
      </c>
      <c r="E23" s="90" t="s">
        <v>14</v>
      </c>
      <c r="F23" s="90"/>
      <c r="G23" s="90"/>
      <c r="H23" s="90"/>
      <c r="I23" s="90"/>
      <c r="J23" s="90"/>
      <c r="K23" s="90"/>
      <c r="L23" s="90"/>
      <c r="M23" s="90"/>
      <c r="N23" s="91" t="s">
        <v>15</v>
      </c>
      <c r="O23" s="91"/>
      <c r="P23" s="92" t="s">
        <v>16</v>
      </c>
      <c r="Q23" s="93"/>
      <c r="R23" s="4"/>
    </row>
    <row r="24" spans="1:18" ht="29.25" thickBot="1">
      <c r="A24" s="1"/>
      <c r="B24" s="2"/>
      <c r="C24" s="8"/>
      <c r="D24" s="349">
        <f>+'PRESUPUESTO OFICIAL '!C61</f>
        <v>5.01</v>
      </c>
      <c r="E24" s="94" t="str">
        <f>+VLOOKUP(D24,'PRESUPUESTO OFICIAL '!C:H,2,FALSE)</f>
        <v>SUMINISTRO E INSTALACIÓN DE ALIMENTADOR PARCIAL MONOFÁSICO EN CABLE DE COBRE No.12 AWG ( F,N,T). (INCLUYE TUBO PVC DE 1/2")</v>
      </c>
      <c r="F24" s="94"/>
      <c r="G24" s="94"/>
      <c r="H24" s="94"/>
      <c r="I24" s="94"/>
      <c r="J24" s="94"/>
      <c r="K24" s="94"/>
      <c r="L24" s="94"/>
      <c r="M24" s="94"/>
      <c r="N24" s="94" t="str">
        <f>+VLOOKUP(D24,'PRESUPUESTO OFICIAL '!C:H,3,FALSE)</f>
        <v>M</v>
      </c>
      <c r="O24" s="95"/>
      <c r="P24" s="96">
        <f>+VLOOKUP(D24,'PRESUPUESTO OFICIAL '!C:H,4,FALSE)</f>
        <v>341.62</v>
      </c>
      <c r="Q24" s="97"/>
      <c r="R24" s="98">
        <f>+P76</f>
        <v>50836</v>
      </c>
    </row>
    <row r="25" spans="1:18" ht="15.75" thickBot="1">
      <c r="A25" s="1"/>
      <c r="B25" s="2"/>
      <c r="C25" s="8"/>
      <c r="D25" s="74" t="s">
        <v>17</v>
      </c>
      <c r="E25" s="37"/>
      <c r="F25" s="37"/>
      <c r="G25" s="37"/>
      <c r="H25" s="37"/>
      <c r="I25" s="37"/>
      <c r="J25" s="37"/>
      <c r="K25" s="37"/>
      <c r="L25" s="37"/>
      <c r="M25" s="37"/>
      <c r="N25" s="37"/>
      <c r="O25" s="37"/>
      <c r="P25" s="99"/>
      <c r="Q25" s="100"/>
      <c r="R25" s="4"/>
    </row>
    <row r="26" spans="1:18">
      <c r="A26" s="1"/>
      <c r="B26" s="2"/>
      <c r="C26" s="8"/>
      <c r="D26" s="101" t="s">
        <v>14</v>
      </c>
      <c r="E26" s="102"/>
      <c r="F26" s="102"/>
      <c r="G26" s="102"/>
      <c r="H26" s="103"/>
      <c r="I26" s="104" t="s">
        <v>18</v>
      </c>
      <c r="J26" s="102"/>
      <c r="K26" s="104" t="s">
        <v>19</v>
      </c>
      <c r="L26" s="105"/>
      <c r="M26" s="106" t="s">
        <v>20</v>
      </c>
      <c r="N26" s="104" t="s">
        <v>21</v>
      </c>
      <c r="O26" s="105"/>
      <c r="P26" s="107" t="s">
        <v>22</v>
      </c>
      <c r="Q26" s="108"/>
      <c r="R26" s="4"/>
    </row>
    <row r="27" spans="1:18">
      <c r="A27" s="1" t="e">
        <f>[239]INDICE!#REF!</f>
        <v>#REF!</v>
      </c>
      <c r="B27" s="2" t="s">
        <v>23</v>
      </c>
      <c r="C27" s="8"/>
      <c r="D27" s="109" t="str">
        <f>IFERROR(INDEX([239]EQUIPOS!B:B,MATCH(B27,[239]EQUIPOS!A:A,0)),"")</f>
        <v>HERRAMIENTA MENOR (% M.O)</v>
      </c>
      <c r="E27" s="110"/>
      <c r="F27" s="110"/>
      <c r="G27" s="110"/>
      <c r="H27" s="111"/>
      <c r="I27" s="112"/>
      <c r="J27" s="111"/>
      <c r="K27" s="113" t="str">
        <f>IFERROR(INDEX([239]EQUIPOS!C:C,MATCH(B27,[239]EQUIPOS!A:A,0)),"")</f>
        <v>%</v>
      </c>
      <c r="L27" s="114"/>
      <c r="M27" s="115">
        <f>IFERROR(IF(D27="HERRAMIENTA MENOR (% M.O)",P66,INDEX([239]EQUIPOS!D:D,MATCH(B27,[239]EQUIPOS!A:A,0))),"")</f>
        <v>18796.54</v>
      </c>
      <c r="N27" s="116">
        <v>10</v>
      </c>
      <c r="O27" s="117"/>
      <c r="P27" s="118">
        <f t="shared" ref="P27:P32" si="0">IFERROR(ROUND(IF(D27="HERRAMIENTA MENOR (% M.O)",N27%*M27,M27/N27),2)," ")</f>
        <v>1879.65</v>
      </c>
      <c r="Q27" s="119"/>
      <c r="R27" s="4"/>
    </row>
    <row r="28" spans="1:18">
      <c r="A28" s="1">
        <f>+$A$2593</f>
        <v>0</v>
      </c>
      <c r="B28" s="2"/>
      <c r="C28" s="8"/>
      <c r="D28" s="109" t="str">
        <f>IFERROR(INDEX([239]EQUIPOS!B:B,MATCH(B28,[239]EQUIPOS!A:A,0)),"")</f>
        <v/>
      </c>
      <c r="E28" s="110"/>
      <c r="F28" s="110"/>
      <c r="G28" s="110"/>
      <c r="H28" s="111"/>
      <c r="I28" s="112"/>
      <c r="J28" s="111"/>
      <c r="K28" s="113" t="str">
        <f>IFERROR(INDEX([239]EQUIPOS!C:C,MATCH(B28,[239]EQUIPOS!A:A,0)),"")</f>
        <v/>
      </c>
      <c r="L28" s="114"/>
      <c r="M28" s="115" t="str">
        <f>IFERROR(IF(D28="HERRAMIENTA MENOR (% M.O)",P67,INDEX([239]EQUIPOS!D:D,MATCH(B28,[239]EQUIPOS!A:A,0))),"")</f>
        <v/>
      </c>
      <c r="N28" s="116"/>
      <c r="O28" s="117"/>
      <c r="P28" s="118" t="str">
        <f t="shared" si="0"/>
        <v xml:space="preserve"> </v>
      </c>
      <c r="Q28" s="119"/>
      <c r="R28" s="4"/>
    </row>
    <row r="29" spans="1:18">
      <c r="A29" s="1">
        <f t="shared" ref="A29:A67" si="1">+A28</f>
        <v>0</v>
      </c>
      <c r="B29" s="2"/>
      <c r="C29" s="8"/>
      <c r="D29" s="109" t="str">
        <f>IFERROR(INDEX([239]EQUIPOS!B:B,MATCH(B29,[239]EQUIPOS!A:A,0)),"")</f>
        <v/>
      </c>
      <c r="E29" s="110"/>
      <c r="F29" s="110"/>
      <c r="G29" s="110"/>
      <c r="H29" s="111"/>
      <c r="I29" s="120"/>
      <c r="J29" s="121"/>
      <c r="K29" s="113" t="str">
        <f>IFERROR(INDEX([239]EQUIPOS!C:C,MATCH(B29,[239]EQUIPOS!A:A,0)),"")</f>
        <v/>
      </c>
      <c r="L29" s="114"/>
      <c r="M29" s="115" t="str">
        <f>IFERROR(IF(D29="HERRAMIENTA MENOR (% M.O)",P68,INDEX([239]EQUIPOS!D:D,MATCH(B29,[239]EQUIPOS!A:A,0))),"")</f>
        <v/>
      </c>
      <c r="N29" s="116"/>
      <c r="O29" s="117"/>
      <c r="P29" s="118" t="str">
        <f t="shared" si="0"/>
        <v xml:space="preserve"> </v>
      </c>
      <c r="Q29" s="119"/>
      <c r="R29" s="4"/>
    </row>
    <row r="30" spans="1:18">
      <c r="A30" s="1">
        <f t="shared" si="1"/>
        <v>0</v>
      </c>
      <c r="B30" s="2"/>
      <c r="C30" s="8"/>
      <c r="D30" s="109" t="str">
        <f>IFERROR(INDEX([239]EQUIPOS!B:B,MATCH(B30,[239]EQUIPOS!A:A,0)),"")</f>
        <v/>
      </c>
      <c r="E30" s="110"/>
      <c r="F30" s="110"/>
      <c r="G30" s="110"/>
      <c r="H30" s="111"/>
      <c r="I30" s="120"/>
      <c r="J30" s="121"/>
      <c r="K30" s="113" t="str">
        <f>IFERROR(INDEX([239]EQUIPOS!C:C,MATCH(B30,[239]EQUIPOS!A:A,0)),"")</f>
        <v/>
      </c>
      <c r="L30" s="114"/>
      <c r="M30" s="115" t="str">
        <f>IFERROR(IF(D30="HERRAMIENTA MENOR (% M.O)",P69,INDEX([239]EQUIPOS!D:D,MATCH(B30,[239]EQUIPOS!A:A,0))),"")</f>
        <v/>
      </c>
      <c r="N30" s="116"/>
      <c r="O30" s="117"/>
      <c r="P30" s="118" t="str">
        <f t="shared" si="0"/>
        <v xml:space="preserve"> </v>
      </c>
      <c r="Q30" s="119"/>
      <c r="R30" s="4"/>
    </row>
    <row r="31" spans="1:18">
      <c r="A31" s="1">
        <f t="shared" si="1"/>
        <v>0</v>
      </c>
      <c r="B31" s="2"/>
      <c r="C31" s="8"/>
      <c r="D31" s="109" t="str">
        <f>IFERROR(INDEX([239]EQUIPOS!B:B,MATCH(B31,[239]EQUIPOS!A:A,0)),"")</f>
        <v/>
      </c>
      <c r="E31" s="110"/>
      <c r="F31" s="110"/>
      <c r="G31" s="110"/>
      <c r="H31" s="111"/>
      <c r="I31" s="112"/>
      <c r="J31" s="111"/>
      <c r="K31" s="113" t="str">
        <f>IFERROR(INDEX([239]EQUIPOS!C:C,MATCH(B31,[239]EQUIPOS!A:A,0)),"")</f>
        <v/>
      </c>
      <c r="L31" s="114"/>
      <c r="M31" s="115" t="str">
        <f>IFERROR(IF(D31="HERRAMIENTA MENOR (% M.O)",P70,INDEX([239]EQUIPOS!D:D,MATCH(B31,[239]EQUIPOS!A:A,0))),"")</f>
        <v/>
      </c>
      <c r="N31" s="116"/>
      <c r="O31" s="117"/>
      <c r="P31" s="118" t="str">
        <f t="shared" si="0"/>
        <v xml:space="preserve"> </v>
      </c>
      <c r="Q31" s="119"/>
      <c r="R31" s="4"/>
    </row>
    <row r="32" spans="1:18" ht="15.75" thickBot="1">
      <c r="A32" s="1">
        <f t="shared" si="1"/>
        <v>0</v>
      </c>
      <c r="B32" s="2"/>
      <c r="C32" s="8"/>
      <c r="D32" s="109" t="str">
        <f>IFERROR(INDEX([239]EQUIPOS!B:B,MATCH(B32,[239]EQUIPOS!A:A,0)),"")</f>
        <v/>
      </c>
      <c r="E32" s="78"/>
      <c r="F32" s="78"/>
      <c r="G32" s="78"/>
      <c r="H32" s="122"/>
      <c r="I32" s="123"/>
      <c r="J32" s="122"/>
      <c r="K32" s="113" t="str">
        <f>IFERROR(INDEX([239]EQUIPOS!C:C,MATCH(B32,[239]EQUIPOS!A:A,0)),"")</f>
        <v/>
      </c>
      <c r="L32" s="124"/>
      <c r="M32" s="115" t="str">
        <f>IFERROR(IF(D32="HERRAMIENTA MENOR (% M.O)",P71,INDEX([239]EQUIPOS!D:D,MATCH(B32,[239]EQUIPOS!A:A,0))),"")</f>
        <v/>
      </c>
      <c r="N32" s="125"/>
      <c r="O32" s="126"/>
      <c r="P32" s="127" t="str">
        <f t="shared" si="0"/>
        <v xml:space="preserve"> </v>
      </c>
      <c r="Q32" s="119"/>
      <c r="R32" s="4"/>
    </row>
    <row r="33" spans="1:18" ht="15.75" thickBot="1">
      <c r="A33" s="1">
        <f t="shared" si="1"/>
        <v>0</v>
      </c>
      <c r="B33" s="2"/>
      <c r="C33" s="8"/>
      <c r="D33" s="128" t="s">
        <v>24</v>
      </c>
      <c r="E33" s="129"/>
      <c r="F33" s="129"/>
      <c r="G33" s="129"/>
      <c r="H33" s="129"/>
      <c r="I33" s="129"/>
      <c r="J33" s="129"/>
      <c r="K33" s="129"/>
      <c r="L33" s="129"/>
      <c r="M33" s="129"/>
      <c r="N33" s="129"/>
      <c r="O33" s="130"/>
      <c r="P33" s="131">
        <f>SUM(P27:P32)</f>
        <v>1879.65</v>
      </c>
      <c r="Q33" s="132"/>
      <c r="R33" s="4"/>
    </row>
    <row r="34" spans="1:18" ht="15.75" thickBot="1">
      <c r="A34" s="1">
        <f t="shared" si="1"/>
        <v>0</v>
      </c>
      <c r="B34" s="2"/>
      <c r="C34" s="8"/>
      <c r="D34" s="74" t="s">
        <v>25</v>
      </c>
      <c r="E34" s="37"/>
      <c r="F34" s="37"/>
      <c r="G34" s="37"/>
      <c r="H34" s="37"/>
      <c r="I34" s="37"/>
      <c r="J34" s="37"/>
      <c r="K34" s="37"/>
      <c r="L34" s="37"/>
      <c r="M34" s="37"/>
      <c r="N34" s="37"/>
      <c r="O34" s="37"/>
      <c r="P34" s="99"/>
      <c r="Q34" s="100"/>
      <c r="R34" s="4"/>
    </row>
    <row r="35" spans="1:18">
      <c r="A35" s="1">
        <f t="shared" si="1"/>
        <v>0</v>
      </c>
      <c r="B35" s="2"/>
      <c r="C35" s="8"/>
      <c r="D35" s="101" t="s">
        <v>14</v>
      </c>
      <c r="E35" s="133"/>
      <c r="F35" s="133"/>
      <c r="G35" s="133"/>
      <c r="H35" s="133"/>
      <c r="I35" s="133"/>
      <c r="J35" s="133"/>
      <c r="K35" s="105"/>
      <c r="L35" s="134" t="s">
        <v>15</v>
      </c>
      <c r="M35" s="106" t="s">
        <v>16</v>
      </c>
      <c r="N35" s="104" t="s">
        <v>26</v>
      </c>
      <c r="O35" s="105"/>
      <c r="P35" s="107" t="s">
        <v>22</v>
      </c>
      <c r="Q35" s="108"/>
      <c r="R35" s="4"/>
    </row>
    <row r="36" spans="1:18">
      <c r="A36" s="1">
        <f t="shared" si="1"/>
        <v>0</v>
      </c>
      <c r="B36" s="2" t="s">
        <v>314</v>
      </c>
      <c r="C36" s="8"/>
      <c r="D36" s="109" t="str">
        <f>IFERROR(INDEX([239]MATERIALES!C:C,MATCH(B36,[239]MATERIALES!B:B,0)),"")</f>
        <v>TUBERÍA CONDUIT PVC 1/2" DB</v>
      </c>
      <c r="E36" s="135"/>
      <c r="F36" s="135"/>
      <c r="G36" s="135"/>
      <c r="H36" s="135"/>
      <c r="I36" s="135"/>
      <c r="J36" s="135"/>
      <c r="K36" s="136"/>
      <c r="L36" s="137" t="str">
        <f>IFERROR(INDEX([239]MATERIALES!D:D,MATCH(B36,[239]MATERIALES!B:B,0)),"")</f>
        <v>M</v>
      </c>
      <c r="M36" s="138">
        <v>1</v>
      </c>
      <c r="N36" s="139">
        <f>IFERROR(INDEX([239]MATERIALES!P:P,MATCH(B36,[239]MATERIALES!B:B,0)),"")</f>
        <v>3850</v>
      </c>
      <c r="O36" s="140"/>
      <c r="P36" s="118">
        <f>IFERROR(ROUND(N36*M36,2),"")</f>
        <v>3850</v>
      </c>
      <c r="Q36" s="119"/>
      <c r="R36" s="4"/>
    </row>
    <row r="37" spans="1:18">
      <c r="A37" s="1">
        <f t="shared" si="1"/>
        <v>0</v>
      </c>
      <c r="B37" s="2" t="s">
        <v>315</v>
      </c>
      <c r="C37" s="8"/>
      <c r="D37" s="109" t="str">
        <f>IFERROR(INDEX([239]MATERIALES!C:C,MATCH(B37,[239]MATERIALES!B:B,0)),"")</f>
        <v>CURVA PVC CONDUIT 90° DE 1/2"</v>
      </c>
      <c r="E37" s="135"/>
      <c r="F37" s="135"/>
      <c r="G37" s="135"/>
      <c r="H37" s="135"/>
      <c r="I37" s="135"/>
      <c r="J37" s="135"/>
      <c r="K37" s="136"/>
      <c r="L37" s="137" t="str">
        <f>IFERROR(INDEX([239]MATERIALES!D:D,MATCH(B37,[239]MATERIALES!B:B,0)),"")</f>
        <v>UND</v>
      </c>
      <c r="M37" s="138">
        <v>0.33</v>
      </c>
      <c r="N37" s="139">
        <f>IFERROR(INDEX([239]MATERIALES!P:P,MATCH(B37,[239]MATERIALES!B:B,0)),"")</f>
        <v>1070.1600000000001</v>
      </c>
      <c r="O37" s="140"/>
      <c r="P37" s="118">
        <f>IFERROR(ROUND(N37*M37,2),"")</f>
        <v>353.15</v>
      </c>
      <c r="Q37" s="119"/>
      <c r="R37" s="4"/>
    </row>
    <row r="38" spans="1:18">
      <c r="A38" s="1">
        <f t="shared" si="1"/>
        <v>0</v>
      </c>
      <c r="B38" s="2" t="s">
        <v>316</v>
      </c>
      <c r="C38" s="8"/>
      <c r="D38" s="109" t="str">
        <f>IFERROR(INDEX([239]MATERIALES!C:C,MATCH(B38,[239]MATERIALES!B:B,0)),"")</f>
        <v>UNION CONDUIT PVC 1/2"</v>
      </c>
      <c r="E38" s="110"/>
      <c r="F38" s="110"/>
      <c r="G38" s="110"/>
      <c r="H38" s="110"/>
      <c r="I38" s="110"/>
      <c r="J38" s="110"/>
      <c r="K38" s="111"/>
      <c r="L38" s="137" t="str">
        <f>IFERROR(INDEX([239]MATERIALES!D:D,MATCH(B38,[239]MATERIALES!B:B,0)),"")</f>
        <v>UND</v>
      </c>
      <c r="M38" s="138">
        <v>0.33</v>
      </c>
      <c r="N38" s="139">
        <f>IFERROR(INDEX([239]MATERIALES!P:P,MATCH(B38,[239]MATERIALES!B:B,0)),"")</f>
        <v>682.24</v>
      </c>
      <c r="O38" s="140"/>
      <c r="P38" s="118">
        <f>IFERROR(ROUND(N38*M38,2),"")</f>
        <v>225.14</v>
      </c>
      <c r="Q38" s="119"/>
      <c r="R38" s="4"/>
    </row>
    <row r="39" spans="1:18">
      <c r="A39" s="1">
        <f t="shared" si="1"/>
        <v>0</v>
      </c>
      <c r="B39" s="2" t="s">
        <v>317</v>
      </c>
      <c r="C39" s="8"/>
      <c r="D39" s="109" t="str">
        <f>IFERROR(INDEX([239]MATERIALES!C:C,MATCH(B39,[239]MATERIALES!B:B,0)),"")</f>
        <v>ADAPTADOR TERMINAL PVC CONDUIT DE 1/2"</v>
      </c>
      <c r="E39" s="110"/>
      <c r="F39" s="110"/>
      <c r="G39" s="110"/>
      <c r="H39" s="110"/>
      <c r="I39" s="110"/>
      <c r="J39" s="110"/>
      <c r="K39" s="111"/>
      <c r="L39" s="137" t="str">
        <f>IFERROR(INDEX([239]MATERIALES!D:D,MATCH(B39,[239]MATERIALES!B:B,0)),"")</f>
        <v>UND</v>
      </c>
      <c r="M39" s="138">
        <v>0.2</v>
      </c>
      <c r="N39" s="139">
        <f>IFERROR(INDEX([239]MATERIALES!P:P,MATCH(B39,[239]MATERIALES!B:B,0)),"")</f>
        <v>750</v>
      </c>
      <c r="O39" s="140"/>
      <c r="P39" s="118">
        <f>IFERROR(ROUND(N39*M39,2),"")</f>
        <v>150</v>
      </c>
      <c r="Q39" s="119"/>
      <c r="R39" s="4"/>
    </row>
    <row r="40" spans="1:18">
      <c r="A40" s="1">
        <f t="shared" si="1"/>
        <v>0</v>
      </c>
      <c r="B40" s="2" t="s">
        <v>318</v>
      </c>
      <c r="C40" s="8"/>
      <c r="D40" s="109" t="str">
        <f>IFERROR(INDEX([239]MATERIALES!C:C,MATCH(B40,[239]MATERIALES!B:B,0)),"")</f>
        <v>CABLE DE COBRE AISLADO THHN/THWN AWG No. 12</v>
      </c>
      <c r="E40" s="110"/>
      <c r="F40" s="110"/>
      <c r="G40" s="110"/>
      <c r="H40" s="110"/>
      <c r="I40" s="110"/>
      <c r="J40" s="110"/>
      <c r="K40" s="111"/>
      <c r="L40" s="137" t="str">
        <f>IFERROR(INDEX([239]MATERIALES!D:D,MATCH(B40,[239]MATERIALES!B:B,0)),"")</f>
        <v>M</v>
      </c>
      <c r="M40" s="138">
        <v>3</v>
      </c>
      <c r="N40" s="139">
        <f>IFERROR(INDEX([239]MATERIALES!P:P,MATCH(B40,[239]MATERIALES!B:B,0)),"")</f>
        <v>3850</v>
      </c>
      <c r="O40" s="140"/>
      <c r="P40" s="118">
        <f t="shared" ref="P40:P49" si="2">IFERROR(ROUND(N40*M40,2),"")</f>
        <v>11550</v>
      </c>
      <c r="Q40" s="119"/>
      <c r="R40" s="4"/>
    </row>
    <row r="41" spans="1:18">
      <c r="A41" s="1">
        <f t="shared" si="1"/>
        <v>0</v>
      </c>
      <c r="B41" s="2" t="s">
        <v>319</v>
      </c>
      <c r="C41" s="8"/>
      <c r="D41" s="109" t="str">
        <f>IFERROR(INDEX([239]MATERIALES!C:C,MATCH(B41,[239]MATERIALES!B:B,0)),"")</f>
        <v>LUBRICANTE PARA ALAMBRADO DE CABLES</v>
      </c>
      <c r="E41" s="110"/>
      <c r="F41" s="110"/>
      <c r="G41" s="110"/>
      <c r="H41" s="110"/>
      <c r="I41" s="110"/>
      <c r="J41" s="110"/>
      <c r="K41" s="111"/>
      <c r="L41" s="137" t="str">
        <f>IFERROR(INDEX([239]MATERIALES!D:D,MATCH(B41,[239]MATERIALES!B:B,0)),"")</f>
        <v>UND</v>
      </c>
      <c r="M41" s="352">
        <v>7.0000000000000001E-3</v>
      </c>
      <c r="N41" s="139">
        <f>IFERROR(INDEX([239]MATERIALES!P:P,MATCH(B41,[239]MATERIALES!B:B,0)),"")</f>
        <v>34008</v>
      </c>
      <c r="O41" s="140"/>
      <c r="P41" s="118">
        <f t="shared" si="2"/>
        <v>238.06</v>
      </c>
      <c r="Q41" s="119"/>
      <c r="R41" s="4"/>
    </row>
    <row r="42" spans="1:18">
      <c r="A42" s="1">
        <f t="shared" si="1"/>
        <v>0</v>
      </c>
      <c r="B42" s="2" t="s">
        <v>320</v>
      </c>
      <c r="C42" s="8"/>
      <c r="D42" s="109" t="str">
        <f>IFERROR(INDEX([239]MATERIALES!C:C,MATCH(B42,[239]MATERIALES!B:B,0)),"")</f>
        <v>LIMPIADOR PVC X 1/4 (ELÉCTRICO)</v>
      </c>
      <c r="E42" s="110"/>
      <c r="F42" s="110"/>
      <c r="G42" s="110"/>
      <c r="H42" s="110"/>
      <c r="I42" s="110"/>
      <c r="J42" s="110"/>
      <c r="K42" s="111"/>
      <c r="L42" s="137" t="str">
        <f>IFERROR(INDEX([239]MATERIALES!D:D,MATCH(B42,[239]MATERIALES!B:B,0)),"")</f>
        <v>UND</v>
      </c>
      <c r="M42" s="138">
        <v>3.0000000000000001E-3</v>
      </c>
      <c r="N42" s="139">
        <f>IFERROR(INDEX([239]MATERIALES!P:P,MATCH(B42,[239]MATERIALES!B:B,0)),"")</f>
        <v>47471.839999999997</v>
      </c>
      <c r="O42" s="140"/>
      <c r="P42" s="118">
        <f t="shared" si="2"/>
        <v>142.41999999999999</v>
      </c>
      <c r="Q42" s="119"/>
      <c r="R42" s="4"/>
    </row>
    <row r="43" spans="1:18">
      <c r="A43" s="1">
        <f t="shared" si="1"/>
        <v>0</v>
      </c>
      <c r="B43" s="2" t="s">
        <v>294</v>
      </c>
      <c r="C43" s="8"/>
      <c r="D43" s="109" t="str">
        <f>IFERROR(INDEX([239]MATERIALES!C:C,MATCH(B43,[239]MATERIALES!B:B,0)),"")</f>
        <v>SOLDADURA LIQUIDA PVC 1/4"</v>
      </c>
      <c r="E43" s="110"/>
      <c r="F43" s="110"/>
      <c r="G43" s="110"/>
      <c r="H43" s="110"/>
      <c r="I43" s="110"/>
      <c r="J43" s="110"/>
      <c r="K43" s="111"/>
      <c r="L43" s="137" t="str">
        <f>IFERROR(INDEX([239]MATERIALES!D:D,MATCH(B43,[239]MATERIALES!B:B,0)),"")</f>
        <v>GAL</v>
      </c>
      <c r="M43" s="138">
        <v>3.0000000000000001E-3</v>
      </c>
      <c r="N43" s="139">
        <f>IFERROR(INDEX([239]MATERIALES!P:P,MATCH(B43,[239]MATERIALES!B:B,0)),"")</f>
        <v>67444</v>
      </c>
      <c r="O43" s="140"/>
      <c r="P43" s="118">
        <f t="shared" si="2"/>
        <v>202.33</v>
      </c>
      <c r="Q43" s="119"/>
      <c r="R43" s="4"/>
    </row>
    <row r="44" spans="1:18">
      <c r="A44" s="1">
        <f t="shared" si="1"/>
        <v>0</v>
      </c>
      <c r="B44" s="2"/>
      <c r="C44" s="8"/>
      <c r="D44" s="109" t="str">
        <f>IFERROR(INDEX([239]MATERIALES!C:C,MATCH(B44,[239]MATERIALES!B:B,0)),"")</f>
        <v/>
      </c>
      <c r="E44" s="110"/>
      <c r="F44" s="110"/>
      <c r="G44" s="110"/>
      <c r="H44" s="110"/>
      <c r="I44" s="110"/>
      <c r="J44" s="110"/>
      <c r="K44" s="111"/>
      <c r="L44" s="137" t="str">
        <f>IFERROR(INDEX([239]MATERIALES!D:D,MATCH(B44,[239]MATERIALES!B:B,0)),"")</f>
        <v/>
      </c>
      <c r="M44" s="138"/>
      <c r="N44" s="139" t="str">
        <f>IFERROR(INDEX([239]MATERIALES!P:P,MATCH(B44,[239]MATERIALES!B:B,0)),"")</f>
        <v/>
      </c>
      <c r="O44" s="140"/>
      <c r="P44" s="118" t="str">
        <f t="shared" si="2"/>
        <v/>
      </c>
      <c r="Q44" s="119"/>
      <c r="R44" s="4"/>
    </row>
    <row r="45" spans="1:18">
      <c r="A45" s="1">
        <f t="shared" si="1"/>
        <v>0</v>
      </c>
      <c r="B45" s="2"/>
      <c r="C45" s="8"/>
      <c r="D45" s="109" t="str">
        <f>IFERROR(INDEX([239]MATERIALES!C:C,MATCH(B45,[239]MATERIALES!B:B,0)),"")</f>
        <v/>
      </c>
      <c r="E45" s="110"/>
      <c r="F45" s="110"/>
      <c r="G45" s="110"/>
      <c r="H45" s="110"/>
      <c r="I45" s="110"/>
      <c r="J45" s="110"/>
      <c r="K45" s="111"/>
      <c r="L45" s="137" t="str">
        <f>IFERROR(INDEX([239]MATERIALES!D:D,MATCH(B45,[239]MATERIALES!B:B,0)),"")</f>
        <v/>
      </c>
      <c r="M45" s="138"/>
      <c r="N45" s="139" t="str">
        <f>IFERROR(INDEX([239]MATERIALES!P:P,MATCH(B45,[239]MATERIALES!B:B,0)),"")</f>
        <v/>
      </c>
      <c r="O45" s="140"/>
      <c r="P45" s="118" t="str">
        <f t="shared" si="2"/>
        <v/>
      </c>
      <c r="Q45" s="119"/>
      <c r="R45" s="4"/>
    </row>
    <row r="46" spans="1:18">
      <c r="A46" s="1">
        <f t="shared" si="1"/>
        <v>0</v>
      </c>
      <c r="B46" s="2"/>
      <c r="C46" s="8"/>
      <c r="D46" s="109" t="str">
        <f>IFERROR(INDEX([239]MATERIALES!C:C,MATCH(B46,[239]MATERIALES!B:B,0)),"")</f>
        <v/>
      </c>
      <c r="E46" s="110"/>
      <c r="F46" s="110"/>
      <c r="G46" s="110"/>
      <c r="H46" s="110"/>
      <c r="I46" s="110"/>
      <c r="J46" s="110"/>
      <c r="K46" s="111"/>
      <c r="L46" s="137" t="str">
        <f>IFERROR(INDEX([239]MATERIALES!D:D,MATCH(B46,[239]MATERIALES!B:B,0)),"")</f>
        <v/>
      </c>
      <c r="M46" s="138"/>
      <c r="N46" s="139" t="str">
        <f>IFERROR(INDEX([239]MATERIALES!P:P,MATCH(B46,[239]MATERIALES!B:B,0)),"")</f>
        <v/>
      </c>
      <c r="O46" s="140"/>
      <c r="P46" s="118" t="str">
        <f t="shared" si="2"/>
        <v/>
      </c>
      <c r="Q46" s="119"/>
      <c r="R46" s="4"/>
    </row>
    <row r="47" spans="1:18">
      <c r="A47" s="1">
        <f t="shared" si="1"/>
        <v>0</v>
      </c>
      <c r="B47" s="2"/>
      <c r="C47" s="8"/>
      <c r="D47" s="109" t="str">
        <f>IFERROR(INDEX([239]MATERIALES!C:C,MATCH(B47,[239]MATERIALES!B:B,0)),"")</f>
        <v/>
      </c>
      <c r="E47" s="110"/>
      <c r="F47" s="110"/>
      <c r="G47" s="110"/>
      <c r="H47" s="110"/>
      <c r="I47" s="110"/>
      <c r="J47" s="110"/>
      <c r="K47" s="111"/>
      <c r="L47" s="137" t="str">
        <f>IFERROR(INDEX([239]MATERIALES!D:D,MATCH(B47,[239]MATERIALES!B:B,0)),"")</f>
        <v/>
      </c>
      <c r="M47" s="138"/>
      <c r="N47" s="139" t="str">
        <f>IFERROR(INDEX([239]MATERIALES!P:P,MATCH(B47,[239]MATERIALES!B:B,0)),"")</f>
        <v/>
      </c>
      <c r="O47" s="140"/>
      <c r="P47" s="118" t="str">
        <f t="shared" si="2"/>
        <v/>
      </c>
      <c r="Q47" s="119"/>
      <c r="R47" s="4"/>
    </row>
    <row r="48" spans="1:18">
      <c r="A48" s="1">
        <f t="shared" si="1"/>
        <v>0</v>
      </c>
      <c r="B48" s="2"/>
      <c r="C48" s="8"/>
      <c r="D48" s="109" t="str">
        <f>IFERROR(INDEX([239]MATERIALES!C:C,MATCH(B48,[239]MATERIALES!B:B,0)),"")</f>
        <v/>
      </c>
      <c r="E48" s="110"/>
      <c r="F48" s="110"/>
      <c r="G48" s="110"/>
      <c r="H48" s="110"/>
      <c r="I48" s="110"/>
      <c r="J48" s="110"/>
      <c r="K48" s="111"/>
      <c r="L48" s="137" t="str">
        <f>IFERROR(INDEX([239]MATERIALES!D:D,MATCH(B48,[239]MATERIALES!B:B,0)),"")</f>
        <v/>
      </c>
      <c r="M48" s="138"/>
      <c r="N48" s="139" t="str">
        <f>IFERROR(INDEX([239]MATERIALES!P:P,MATCH(B48,[239]MATERIALES!B:B,0)),"")</f>
        <v/>
      </c>
      <c r="O48" s="140"/>
      <c r="P48" s="118" t="str">
        <f t="shared" si="2"/>
        <v/>
      </c>
      <c r="Q48" s="119"/>
      <c r="R48" s="4"/>
    </row>
    <row r="49" spans="1:18">
      <c r="A49" s="1">
        <f t="shared" si="1"/>
        <v>0</v>
      </c>
      <c r="B49" s="2"/>
      <c r="C49" s="8"/>
      <c r="D49" s="109" t="str">
        <f>IFERROR(INDEX([239]MATERIALES!C:C,MATCH(B49,[239]MATERIALES!B:B,0)),"")</f>
        <v/>
      </c>
      <c r="E49" s="110"/>
      <c r="F49" s="110"/>
      <c r="G49" s="110"/>
      <c r="H49" s="110"/>
      <c r="I49" s="110"/>
      <c r="J49" s="110"/>
      <c r="K49" s="111"/>
      <c r="L49" s="137" t="str">
        <f>IFERROR(INDEX([239]MATERIALES!D:D,MATCH(B49,[239]MATERIALES!B:B,0)),"")</f>
        <v/>
      </c>
      <c r="M49" s="138"/>
      <c r="N49" s="139" t="str">
        <f>IFERROR(INDEX([239]MATERIALES!P:P,MATCH(B49,[239]MATERIALES!B:B,0)),"")</f>
        <v/>
      </c>
      <c r="O49" s="140"/>
      <c r="P49" s="118" t="str">
        <f t="shared" si="2"/>
        <v/>
      </c>
      <c r="Q49" s="119"/>
      <c r="R49" s="4"/>
    </row>
    <row r="50" spans="1:18" ht="15.75" thickBot="1">
      <c r="A50" s="1">
        <f t="shared" si="1"/>
        <v>0</v>
      </c>
      <c r="B50" s="2"/>
      <c r="C50" s="8"/>
      <c r="D50" s="109" t="s">
        <v>28</v>
      </c>
      <c r="E50" s="110"/>
      <c r="F50" s="110"/>
      <c r="G50" s="110"/>
      <c r="H50" s="110"/>
      <c r="I50" s="110"/>
      <c r="J50" s="110"/>
      <c r="K50" s="111"/>
      <c r="L50" s="137" t="s">
        <v>29</v>
      </c>
      <c r="M50" s="138">
        <v>0.05</v>
      </c>
      <c r="N50" s="139">
        <f>SUM(P36:P49)</f>
        <v>16711.100000000002</v>
      </c>
      <c r="O50" s="140"/>
      <c r="P50" s="118">
        <f>ROUND(N50*M50,2)</f>
        <v>835.56</v>
      </c>
      <c r="Q50" s="119"/>
      <c r="R50" s="4"/>
    </row>
    <row r="51" spans="1:18" ht="15.75" thickBot="1">
      <c r="A51" s="1">
        <f t="shared" si="1"/>
        <v>0</v>
      </c>
      <c r="B51" s="2"/>
      <c r="C51" s="8"/>
      <c r="D51" s="128" t="s">
        <v>24</v>
      </c>
      <c r="E51" s="129"/>
      <c r="F51" s="129"/>
      <c r="G51" s="129"/>
      <c r="H51" s="129"/>
      <c r="I51" s="129"/>
      <c r="J51" s="129"/>
      <c r="K51" s="129"/>
      <c r="L51" s="129"/>
      <c r="M51" s="129"/>
      <c r="N51" s="129"/>
      <c r="O51" s="130"/>
      <c r="P51" s="131">
        <f>SUM(P36:P50)</f>
        <v>17546.660000000003</v>
      </c>
      <c r="Q51" s="119"/>
      <c r="R51" s="4"/>
    </row>
    <row r="52" spans="1:18" ht="15.75" thickBot="1">
      <c r="A52" s="1">
        <f t="shared" si="1"/>
        <v>0</v>
      </c>
      <c r="B52" s="2"/>
      <c r="C52" s="8"/>
      <c r="D52" s="74" t="s">
        <v>30</v>
      </c>
      <c r="E52" s="37"/>
      <c r="F52" s="37"/>
      <c r="G52" s="37"/>
      <c r="H52" s="37"/>
      <c r="I52" s="37"/>
      <c r="J52" s="37"/>
      <c r="K52" s="37"/>
      <c r="L52" s="37"/>
      <c r="M52" s="37"/>
      <c r="N52" s="37"/>
      <c r="O52" s="37"/>
      <c r="P52" s="99"/>
      <c r="Q52" s="100"/>
      <c r="R52" s="4"/>
    </row>
    <row r="53" spans="1:18">
      <c r="A53" s="1">
        <f t="shared" si="1"/>
        <v>0</v>
      </c>
      <c r="B53" s="2"/>
      <c r="C53" s="8"/>
      <c r="D53" s="101" t="s">
        <v>31</v>
      </c>
      <c r="E53" s="133"/>
      <c r="F53" s="133"/>
      <c r="G53" s="133"/>
      <c r="H53" s="133"/>
      <c r="I53" s="133"/>
      <c r="J53" s="133"/>
      <c r="K53" s="106" t="s">
        <v>32</v>
      </c>
      <c r="L53" s="141" t="s">
        <v>33</v>
      </c>
      <c r="M53" s="106" t="s">
        <v>34</v>
      </c>
      <c r="N53" s="104" t="s">
        <v>20</v>
      </c>
      <c r="O53" s="105"/>
      <c r="P53" s="107" t="s">
        <v>22</v>
      </c>
      <c r="Q53" s="108"/>
      <c r="R53" s="4"/>
    </row>
    <row r="54" spans="1:18">
      <c r="A54" s="1">
        <f t="shared" si="1"/>
        <v>0</v>
      </c>
      <c r="B54" s="2"/>
      <c r="C54" s="8"/>
      <c r="D54" s="142" t="str">
        <f>IFERROR(INDEX([239]TRANSPORTES!B:B,MATCH(B54,[239]TRANSPORTES!A:A,0)),"")</f>
        <v/>
      </c>
      <c r="E54" s="143"/>
      <c r="F54" s="143"/>
      <c r="G54" s="143"/>
      <c r="H54" s="143"/>
      <c r="I54" s="143"/>
      <c r="J54" s="143"/>
      <c r="K54" s="220"/>
      <c r="L54" s="145"/>
      <c r="M54" s="146" t="str">
        <f>IFERROR(INDEX([239]TRANSPORTES!C:C,MATCH(B54,[239]TRANSPORTES!A:A,0)),"")</f>
        <v/>
      </c>
      <c r="N54" s="139" t="str">
        <f>IFERROR(INDEX([239]TRANSPORTES!D:D,MATCH(B54,[239]TRANSPORTES!A:A,0)),"")</f>
        <v/>
      </c>
      <c r="O54" s="147"/>
      <c r="P54" s="148" t="str">
        <f>IFERROR(ROUND(K54*N54*L54,2),"")</f>
        <v/>
      </c>
      <c r="Q54" s="119"/>
      <c r="R54" s="4"/>
    </row>
    <row r="55" spans="1:18">
      <c r="A55" s="1">
        <f t="shared" si="1"/>
        <v>0</v>
      </c>
      <c r="B55" s="2"/>
      <c r="C55" s="8"/>
      <c r="D55" s="142" t="str">
        <f>IFERROR(INDEX([239]TRANSPORTES!B:B,MATCH(B55,[239]TRANSPORTES!A:A,0)),"")</f>
        <v/>
      </c>
      <c r="E55" s="143"/>
      <c r="F55" s="143"/>
      <c r="G55" s="143"/>
      <c r="H55" s="143"/>
      <c r="I55" s="143"/>
      <c r="J55" s="143"/>
      <c r="K55" s="144"/>
      <c r="L55" s="145"/>
      <c r="M55" s="146" t="str">
        <f>IFERROR(INDEX([239]TRANSPORTES!C:C,MATCH(B55,[239]TRANSPORTES!A:A,0)),"")</f>
        <v/>
      </c>
      <c r="N55" s="139" t="str">
        <f>IFERROR(INDEX([239]TRANSPORTES!D:D,MATCH(B55,[239]TRANSPORTES!A:A,0)),"")</f>
        <v/>
      </c>
      <c r="O55" s="147"/>
      <c r="P55" s="148" t="str">
        <f>IFERROR(ROUND(K55*N55*L55,2),"")</f>
        <v/>
      </c>
      <c r="Q55" s="119"/>
      <c r="R55" s="4"/>
    </row>
    <row r="56" spans="1:18">
      <c r="A56" s="1">
        <f t="shared" si="1"/>
        <v>0</v>
      </c>
      <c r="B56" s="2"/>
      <c r="C56" s="8"/>
      <c r="D56" s="142" t="str">
        <f>IFERROR(INDEX([239]TRANSPORTES!B:B,MATCH(B56,[239]TRANSPORTES!A:A,0)),"")</f>
        <v/>
      </c>
      <c r="E56" s="143"/>
      <c r="F56" s="143"/>
      <c r="G56" s="143"/>
      <c r="H56" s="143"/>
      <c r="I56" s="143"/>
      <c r="J56" s="143"/>
      <c r="K56" s="144"/>
      <c r="L56" s="145"/>
      <c r="M56" s="146" t="str">
        <f>IFERROR(INDEX([239]TRANSPORTES!C:C,MATCH(B56,[239]TRANSPORTES!A:A,0)),"")</f>
        <v/>
      </c>
      <c r="N56" s="139" t="str">
        <f>IFERROR(INDEX([239]TRANSPORTES!D:D,MATCH(B56,[239]TRANSPORTES!A:A,0)),"")</f>
        <v/>
      </c>
      <c r="O56" s="147"/>
      <c r="P56" s="148" t="str">
        <f>IFERROR(ROUND(K56*N56*L56,2),"")</f>
        <v/>
      </c>
      <c r="Q56" s="119"/>
      <c r="R56" s="4"/>
    </row>
    <row r="57" spans="1:18" ht="15.75" thickBot="1">
      <c r="A57" s="1">
        <f t="shared" si="1"/>
        <v>0</v>
      </c>
      <c r="B57" s="2"/>
      <c r="C57" s="8"/>
      <c r="D57" s="142" t="str">
        <f>IFERROR(INDEX([239]TRANSPORTES!B:B,MATCH(B57,[239]TRANSPORTES!A:A,0)),"")</f>
        <v/>
      </c>
      <c r="E57" s="143"/>
      <c r="F57" s="143"/>
      <c r="G57" s="143"/>
      <c r="H57" s="143"/>
      <c r="I57" s="143"/>
      <c r="J57" s="143"/>
      <c r="K57" s="149"/>
      <c r="L57" s="150"/>
      <c r="M57" s="146" t="str">
        <f>IFERROR(INDEX([239]TRANSPORTES!C:C,MATCH(B57,[239]TRANSPORTES!A:A,0)),"")</f>
        <v/>
      </c>
      <c r="N57" s="139" t="str">
        <f>IFERROR(INDEX([239]TRANSPORTES!D:D,MATCH(B57,[239]TRANSPORTES!A:A,0)),"")</f>
        <v/>
      </c>
      <c r="O57" s="147"/>
      <c r="P57" s="148" t="str">
        <f>IFERROR(ROUND(K57*N57*L57,2),"")</f>
        <v/>
      </c>
      <c r="Q57" s="119"/>
      <c r="R57" s="4"/>
    </row>
    <row r="58" spans="1:18" ht="15.75" thickBot="1">
      <c r="A58" s="1">
        <f t="shared" si="1"/>
        <v>0</v>
      </c>
      <c r="B58" s="2"/>
      <c r="C58" s="8"/>
      <c r="D58" s="128" t="s">
        <v>24</v>
      </c>
      <c r="E58" s="129"/>
      <c r="F58" s="129"/>
      <c r="G58" s="129"/>
      <c r="H58" s="129"/>
      <c r="I58" s="129"/>
      <c r="J58" s="129"/>
      <c r="K58" s="129"/>
      <c r="L58" s="129"/>
      <c r="M58" s="129"/>
      <c r="N58" s="129"/>
      <c r="O58" s="130"/>
      <c r="P58" s="151">
        <f>SUM(P54:P57)</f>
        <v>0</v>
      </c>
      <c r="Q58" s="132"/>
      <c r="R58" s="4"/>
    </row>
    <row r="59" spans="1:18" ht="15.75" thickBot="1">
      <c r="A59" s="1">
        <f t="shared" si="1"/>
        <v>0</v>
      </c>
      <c r="B59" s="2"/>
      <c r="C59" s="8"/>
      <c r="D59" s="74" t="s">
        <v>36</v>
      </c>
      <c r="E59" s="37"/>
      <c r="F59" s="37"/>
      <c r="G59" s="37"/>
      <c r="H59" s="37"/>
      <c r="I59" s="37"/>
      <c r="J59" s="37"/>
      <c r="K59" s="37"/>
      <c r="L59" s="37"/>
      <c r="M59" s="37"/>
      <c r="N59" s="37"/>
      <c r="O59" s="37"/>
      <c r="P59" s="99"/>
      <c r="Q59" s="100"/>
      <c r="R59" s="4"/>
    </row>
    <row r="60" spans="1:18" ht="30">
      <c r="A60" s="1">
        <f t="shared" si="1"/>
        <v>0</v>
      </c>
      <c r="B60" s="2"/>
      <c r="C60" s="8"/>
      <c r="D60" s="101" t="s">
        <v>37</v>
      </c>
      <c r="E60" s="133"/>
      <c r="F60" s="133"/>
      <c r="G60" s="133"/>
      <c r="H60" s="133"/>
      <c r="I60" s="133"/>
      <c r="J60" s="133"/>
      <c r="K60" s="106" t="s">
        <v>38</v>
      </c>
      <c r="L60" s="152" t="s">
        <v>39</v>
      </c>
      <c r="M60" s="153" t="s">
        <v>40</v>
      </c>
      <c r="N60" s="104" t="s">
        <v>21</v>
      </c>
      <c r="O60" s="105"/>
      <c r="P60" s="154" t="s">
        <v>22</v>
      </c>
      <c r="Q60" s="155"/>
      <c r="R60" s="4"/>
    </row>
    <row r="61" spans="1:18">
      <c r="A61" s="1">
        <f t="shared" si="1"/>
        <v>0</v>
      </c>
      <c r="B61" s="2" t="s">
        <v>321</v>
      </c>
      <c r="C61" s="8"/>
      <c r="D61" s="109" t="str">
        <f>IFERROR(INDEX('[239]MANO DE OBRA'!B:B,MATCH(B61,'[239]MANO DE OBRA'!A:A,0)),"")</f>
        <v>ELÉCTRICO</v>
      </c>
      <c r="E61" s="110"/>
      <c r="F61" s="110"/>
      <c r="G61" s="110"/>
      <c r="H61" s="110"/>
      <c r="I61" s="110"/>
      <c r="J61" s="111"/>
      <c r="K61" s="156">
        <f>IFERROR(INDEX('[239]MANO DE OBRA'!D:D,MATCH(B61,'[239]MANO DE OBRA'!A:A,0)),"")</f>
        <v>121352</v>
      </c>
      <c r="L61" s="157">
        <f>+IF(D61&lt;&gt;"",'[239]FACTOR PRESTACIONAL'!$E$21," ")</f>
        <v>1.95</v>
      </c>
      <c r="M61" s="158">
        <f>IFERROR(K61*L61," ")</f>
        <v>236636.4</v>
      </c>
      <c r="N61" s="159">
        <v>20</v>
      </c>
      <c r="O61" s="160"/>
      <c r="P61" s="161">
        <f>IFERROR(ROUND(M61/N61,2)," ")</f>
        <v>11831.82</v>
      </c>
      <c r="Q61" s="162"/>
      <c r="R61" s="4"/>
    </row>
    <row r="62" spans="1:18">
      <c r="A62" s="1">
        <f t="shared" si="1"/>
        <v>0</v>
      </c>
      <c r="B62" s="2" t="s">
        <v>81</v>
      </c>
      <c r="C62" s="8"/>
      <c r="D62" s="109" t="str">
        <f>IFERROR(INDEX('[239]MANO DE OBRA'!B:B,MATCH(B62,'[239]MANO DE OBRA'!A:A,0)),"")</f>
        <v>AYUDANTE (1)</v>
      </c>
      <c r="E62" s="110"/>
      <c r="F62" s="110"/>
      <c r="G62" s="110"/>
      <c r="H62" s="110"/>
      <c r="I62" s="110"/>
      <c r="J62" s="111"/>
      <c r="K62" s="156">
        <f>IFERROR(INDEX('[239]MANO DE OBRA'!D:D,MATCH(B62,'[239]MANO DE OBRA'!A:A,0)),"")</f>
        <v>71433</v>
      </c>
      <c r="L62" s="157">
        <f>+IF(D62&lt;&gt;"",'[239]FACTOR PRESTACIONAL'!$E$21," ")</f>
        <v>1.95</v>
      </c>
      <c r="M62" s="158">
        <f>IFERROR(K62*L62," ")</f>
        <v>139294.35</v>
      </c>
      <c r="N62" s="159">
        <v>20</v>
      </c>
      <c r="O62" s="160"/>
      <c r="P62" s="161">
        <f>IFERROR(ROUND(M62/N62,2)," ")</f>
        <v>6964.72</v>
      </c>
      <c r="Q62" s="162"/>
      <c r="R62" s="4"/>
    </row>
    <row r="63" spans="1:18">
      <c r="A63" s="1">
        <f t="shared" si="1"/>
        <v>0</v>
      </c>
      <c r="B63" s="2"/>
      <c r="C63" s="8"/>
      <c r="D63" s="109" t="str">
        <f>IFERROR(INDEX('[239]MANO DE OBRA'!B:B,MATCH(B63,'[239]MANO DE OBRA'!A:A,0)),"")</f>
        <v/>
      </c>
      <c r="E63" s="110"/>
      <c r="F63" s="110"/>
      <c r="G63" s="110"/>
      <c r="H63" s="110"/>
      <c r="I63" s="110"/>
      <c r="J63" s="111"/>
      <c r="K63" s="156" t="str">
        <f>IFERROR(INDEX('[239]MANO DE OBRA'!D:D,MATCH(B63,'[239]MANO DE OBRA'!A:A,0)),"")</f>
        <v/>
      </c>
      <c r="L63" s="157" t="str">
        <f>+IF(D63&lt;&gt;"",'[239]FACTOR PRESTACIONAL'!$E$21," ")</f>
        <v xml:space="preserve"> </v>
      </c>
      <c r="M63" s="158" t="str">
        <f>IFERROR(K63*L63," ")</f>
        <v xml:space="preserve"> </v>
      </c>
      <c r="N63" s="159"/>
      <c r="O63" s="160"/>
      <c r="P63" s="161" t="str">
        <f>IFERROR(ROUND(M63/N63,2)," ")</f>
        <v xml:space="preserve"> </v>
      </c>
      <c r="Q63" s="162"/>
      <c r="R63" s="4"/>
    </row>
    <row r="64" spans="1:18">
      <c r="A64" s="1">
        <f t="shared" si="1"/>
        <v>0</v>
      </c>
      <c r="B64" s="2"/>
      <c r="C64" s="8"/>
      <c r="D64" s="109" t="str">
        <f>IFERROR(INDEX('[239]MANO DE OBRA'!B:B,MATCH(B64,'[239]MANO DE OBRA'!A:A,0)),"")</f>
        <v/>
      </c>
      <c r="E64" s="110"/>
      <c r="F64" s="110"/>
      <c r="G64" s="110"/>
      <c r="H64" s="110"/>
      <c r="I64" s="110"/>
      <c r="J64" s="111"/>
      <c r="K64" s="156" t="str">
        <f>IFERROR(INDEX('[239]MANO DE OBRA'!D:D,MATCH(B64,'[239]MANO DE OBRA'!A:A,0)),"")</f>
        <v/>
      </c>
      <c r="L64" s="157" t="str">
        <f>+IF(D64&lt;&gt;"",'[239]FACTOR PRESTACIONAL'!$E$21," ")</f>
        <v xml:space="preserve"> </v>
      </c>
      <c r="M64" s="158" t="str">
        <f>IFERROR(K64*L64," ")</f>
        <v xml:space="preserve"> </v>
      </c>
      <c r="N64" s="159"/>
      <c r="O64" s="160"/>
      <c r="P64" s="161" t="str">
        <f>IFERROR(ROUND(M64/N64,2)," ")</f>
        <v xml:space="preserve"> </v>
      </c>
      <c r="Q64" s="162"/>
      <c r="R64" s="4"/>
    </row>
    <row r="65" spans="1:18" ht="15.75" thickBot="1">
      <c r="A65" s="1">
        <f t="shared" si="1"/>
        <v>0</v>
      </c>
      <c r="B65" s="2"/>
      <c r="C65" s="8"/>
      <c r="D65" s="109" t="str">
        <f>IFERROR(INDEX('[239]MANO DE OBRA'!B:B,MATCH(B65,'[239]MANO DE OBRA'!A:A,0)),"")</f>
        <v/>
      </c>
      <c r="E65" s="110"/>
      <c r="F65" s="110"/>
      <c r="G65" s="110"/>
      <c r="H65" s="110"/>
      <c r="I65" s="110"/>
      <c r="J65" s="111"/>
      <c r="K65" s="156" t="str">
        <f>IFERROR(INDEX('[239]MANO DE OBRA'!D:D,MATCH(B65,'[239]MANO DE OBRA'!A:A,0)),"")</f>
        <v/>
      </c>
      <c r="L65" s="157" t="str">
        <f>+IF(D65&lt;&gt;"",'[239]FACTOR PRESTACIONAL'!$E$21," ")</f>
        <v xml:space="preserve"> </v>
      </c>
      <c r="M65" s="158" t="str">
        <f>IFERROR(K65*L65," ")</f>
        <v xml:space="preserve"> </v>
      </c>
      <c r="N65" s="159"/>
      <c r="O65" s="160"/>
      <c r="P65" s="161" t="str">
        <f>IFERROR(ROUND(M65/N65,2)," ")</f>
        <v xml:space="preserve"> </v>
      </c>
      <c r="Q65" s="119"/>
      <c r="R65" s="4"/>
    </row>
    <row r="66" spans="1:18" ht="15.75" thickBot="1">
      <c r="A66" s="1">
        <f t="shared" si="1"/>
        <v>0</v>
      </c>
      <c r="B66" s="2"/>
      <c r="C66" s="8"/>
      <c r="D66" s="128" t="s">
        <v>24</v>
      </c>
      <c r="E66" s="129"/>
      <c r="F66" s="129"/>
      <c r="G66" s="129"/>
      <c r="H66" s="129"/>
      <c r="I66" s="129"/>
      <c r="J66" s="129"/>
      <c r="K66" s="129"/>
      <c r="L66" s="129"/>
      <c r="M66" s="129"/>
      <c r="N66" s="129"/>
      <c r="O66" s="130"/>
      <c r="P66" s="131">
        <f>SUM(P61:P65)</f>
        <v>18796.54</v>
      </c>
      <c r="Q66" s="119"/>
      <c r="R66" s="4"/>
    </row>
    <row r="67" spans="1:18" ht="15.75" thickBot="1">
      <c r="A67" s="1">
        <f t="shared" si="1"/>
        <v>0</v>
      </c>
      <c r="B67" s="2"/>
      <c r="C67" s="8"/>
      <c r="D67" s="87"/>
      <c r="E67" s="20"/>
      <c r="F67" s="20"/>
      <c r="G67" s="20"/>
      <c r="H67" s="20"/>
      <c r="I67" s="20"/>
      <c r="J67" s="20"/>
      <c r="K67" s="20"/>
      <c r="L67" s="20"/>
      <c r="M67" s="20"/>
      <c r="N67" s="20"/>
      <c r="O67" s="20"/>
      <c r="P67" s="88"/>
      <c r="Q67" s="13"/>
      <c r="R67" s="4"/>
    </row>
    <row r="68" spans="1:18" ht="15.75" thickBot="1">
      <c r="A68" s="1"/>
      <c r="B68" s="2"/>
      <c r="C68" s="8"/>
      <c r="D68" s="163" t="s">
        <v>43</v>
      </c>
      <c r="E68" s="164"/>
      <c r="F68" s="164"/>
      <c r="G68" s="164"/>
      <c r="H68" s="164"/>
      <c r="I68" s="164"/>
      <c r="J68" s="164"/>
      <c r="K68" s="164"/>
      <c r="L68" s="164"/>
      <c r="M68" s="164"/>
      <c r="N68" s="164"/>
      <c r="O68" s="165"/>
      <c r="P68" s="166">
        <f>+P66+P58+P51+P33</f>
        <v>38222.850000000006</v>
      </c>
      <c r="Q68" s="167"/>
      <c r="R68" s="168"/>
    </row>
    <row r="69" spans="1:18" ht="15.75" thickBot="1">
      <c r="A69" s="1"/>
      <c r="B69" s="2"/>
      <c r="C69" s="8"/>
      <c r="D69" s="169"/>
      <c r="E69" s="170"/>
      <c r="F69" s="170"/>
      <c r="G69" s="170"/>
      <c r="H69" s="170"/>
      <c r="I69" s="170"/>
      <c r="J69" s="170"/>
      <c r="K69" s="170"/>
      <c r="L69" s="170"/>
      <c r="M69" s="170"/>
      <c r="N69" s="170"/>
      <c r="O69" s="170"/>
      <c r="P69" s="171"/>
      <c r="Q69" s="100"/>
      <c r="R69" s="4"/>
    </row>
    <row r="70" spans="1:18">
      <c r="A70" s="1"/>
      <c r="B70" s="2"/>
      <c r="C70" s="8"/>
      <c r="D70" s="172" t="s">
        <v>73</v>
      </c>
      <c r="E70" s="173"/>
      <c r="F70" s="173"/>
      <c r="G70" s="173"/>
      <c r="H70" s="173"/>
      <c r="I70" s="173"/>
      <c r="J70" s="173"/>
      <c r="K70" s="141"/>
      <c r="L70" s="174"/>
      <c r="M70" s="153" t="s">
        <v>44</v>
      </c>
      <c r="N70" s="175" t="s">
        <v>45</v>
      </c>
      <c r="O70" s="176"/>
      <c r="P70" s="154"/>
      <c r="Q70" s="155"/>
      <c r="R70" s="4"/>
    </row>
    <row r="71" spans="1:18">
      <c r="A71" s="1"/>
      <c r="B71" s="2"/>
      <c r="C71" s="8"/>
      <c r="D71" s="109" t="s">
        <v>65</v>
      </c>
      <c r="E71" s="110"/>
      <c r="F71" s="110"/>
      <c r="G71" s="110"/>
      <c r="H71" s="110"/>
      <c r="I71" s="110"/>
      <c r="J71" s="110"/>
      <c r="K71" s="177"/>
      <c r="L71" s="178"/>
      <c r="M71" s="179">
        <f>+[239]INICIO!$F$10</f>
        <v>0.24</v>
      </c>
      <c r="N71" s="180">
        <f>ROUND(M71*P68,2)</f>
        <v>9173.48</v>
      </c>
      <c r="O71" s="181"/>
      <c r="P71" s="182"/>
      <c r="Q71" s="119"/>
      <c r="R71" s="4"/>
    </row>
    <row r="72" spans="1:18">
      <c r="A72" s="1"/>
      <c r="B72" s="2"/>
      <c r="C72" s="8"/>
      <c r="D72" s="183" t="s">
        <v>67</v>
      </c>
      <c r="E72" s="61"/>
      <c r="F72" s="61"/>
      <c r="G72" s="61"/>
      <c r="H72" s="61"/>
      <c r="I72" s="61"/>
      <c r="J72" s="61"/>
      <c r="K72" s="177"/>
      <c r="L72" s="178"/>
      <c r="M72" s="179">
        <f>+[239]INICIO!$F$11</f>
        <v>0.02</v>
      </c>
      <c r="N72" s="180">
        <f>ROUND(M72*P68,2)</f>
        <v>764.46</v>
      </c>
      <c r="O72" s="181"/>
      <c r="P72" s="182"/>
      <c r="Q72" s="119"/>
      <c r="R72" s="4"/>
    </row>
    <row r="73" spans="1:18" ht="15.75" thickBot="1">
      <c r="A73" s="1"/>
      <c r="B73" s="2"/>
      <c r="C73" s="8"/>
      <c r="D73" s="77" t="s">
        <v>69</v>
      </c>
      <c r="E73" s="78"/>
      <c r="F73" s="78"/>
      <c r="G73" s="78"/>
      <c r="H73" s="78"/>
      <c r="I73" s="78"/>
      <c r="J73" s="78"/>
      <c r="K73" s="184"/>
      <c r="L73" s="185"/>
      <c r="M73" s="179">
        <f>+[239]INICIO!$F$12</f>
        <v>7.0000000000000007E-2</v>
      </c>
      <c r="N73" s="180">
        <f>ROUND(M73*P68,2)</f>
        <v>2675.6</v>
      </c>
      <c r="O73" s="181"/>
      <c r="P73" s="182"/>
      <c r="Q73" s="119"/>
      <c r="R73" s="4"/>
    </row>
    <row r="74" spans="1:18" ht="15.75" thickBot="1">
      <c r="A74" s="1"/>
      <c r="B74" s="2"/>
      <c r="C74" s="8"/>
      <c r="D74" s="128"/>
      <c r="E74" s="129"/>
      <c r="F74" s="129"/>
      <c r="G74" s="129"/>
      <c r="H74" s="129"/>
      <c r="I74" s="129"/>
      <c r="J74" s="129"/>
      <c r="K74" s="129"/>
      <c r="L74" s="129"/>
      <c r="M74" s="129"/>
      <c r="N74" s="129"/>
      <c r="O74" s="130"/>
      <c r="P74" s="131">
        <f>SUM(N71:N73)</f>
        <v>12613.539999999999</v>
      </c>
      <c r="Q74" s="186"/>
      <c r="R74" s="4"/>
    </row>
    <row r="75" spans="1:18" ht="15.75" thickBot="1">
      <c r="A75" s="1"/>
      <c r="B75" s="2"/>
      <c r="C75" s="8"/>
      <c r="D75" s="87"/>
      <c r="E75" s="20"/>
      <c r="F75" s="20"/>
      <c r="G75" s="20"/>
      <c r="H75" s="20"/>
      <c r="I75" s="20"/>
      <c r="J75" s="20"/>
      <c r="K75" s="20"/>
      <c r="L75" s="20"/>
      <c r="M75" s="20"/>
      <c r="N75" s="20"/>
      <c r="O75" s="20"/>
      <c r="P75" s="88"/>
      <c r="Q75" s="13"/>
      <c r="R75" s="4"/>
    </row>
    <row r="76" spans="1:18" ht="15.75" thickBot="1">
      <c r="A76" s="1"/>
      <c r="B76" s="2"/>
      <c r="C76" s="8"/>
      <c r="D76" s="187" t="s">
        <v>46</v>
      </c>
      <c r="E76" s="188"/>
      <c r="F76" s="188"/>
      <c r="G76" s="188"/>
      <c r="H76" s="188"/>
      <c r="I76" s="188"/>
      <c r="J76" s="188"/>
      <c r="K76" s="188"/>
      <c r="L76" s="188"/>
      <c r="M76" s="188"/>
      <c r="N76" s="188"/>
      <c r="O76" s="189"/>
      <c r="P76" s="166">
        <f>ROUND(P74+P68,0)</f>
        <v>50836</v>
      </c>
      <c r="Q76" s="186"/>
      <c r="R76" s="4"/>
    </row>
    <row r="77" spans="1:18">
      <c r="A77" s="1"/>
      <c r="B77" s="2"/>
      <c r="C77" s="8"/>
      <c r="D77" s="80"/>
      <c r="E77" s="81"/>
      <c r="F77" s="81"/>
      <c r="G77" s="81"/>
      <c r="H77" s="81"/>
      <c r="I77" s="81"/>
      <c r="J77" s="81"/>
      <c r="K77" s="81"/>
      <c r="L77" s="81"/>
      <c r="M77" s="81"/>
      <c r="N77" s="81"/>
      <c r="O77" s="81"/>
      <c r="P77" s="82"/>
      <c r="Q77" s="13"/>
      <c r="R77" s="4"/>
    </row>
    <row r="78" spans="1:18">
      <c r="A78" s="1"/>
      <c r="B78" s="2"/>
      <c r="C78" s="8"/>
      <c r="D78" s="87"/>
      <c r="E78" s="20"/>
      <c r="F78" s="20"/>
      <c r="G78" s="20"/>
      <c r="H78" s="20"/>
      <c r="I78" s="20"/>
      <c r="J78" s="20"/>
      <c r="K78" s="20"/>
      <c r="L78" s="20"/>
      <c r="M78" s="20"/>
      <c r="N78" s="20"/>
      <c r="O78" s="20"/>
      <c r="P78" s="88"/>
      <c r="Q78" s="13"/>
      <c r="R78" s="4"/>
    </row>
    <row r="79" spans="1:18">
      <c r="A79" s="1"/>
      <c r="B79" s="2"/>
      <c r="C79" s="8"/>
      <c r="D79" s="87"/>
      <c r="E79" s="20"/>
      <c r="F79" s="20"/>
      <c r="G79" s="20"/>
      <c r="H79" s="20"/>
      <c r="I79" s="20"/>
      <c r="J79" s="20"/>
      <c r="K79" s="20"/>
      <c r="L79" s="20"/>
      <c r="M79" s="20"/>
      <c r="N79" s="20"/>
      <c r="O79" s="20"/>
      <c r="P79" s="88"/>
      <c r="Q79" s="13"/>
      <c r="R79" s="4"/>
    </row>
    <row r="80" spans="1:18">
      <c r="A80" s="1"/>
      <c r="B80" s="2"/>
      <c r="C80" s="8"/>
      <c r="D80" s="87"/>
      <c r="E80" s="20"/>
      <c r="F80" s="20"/>
      <c r="G80" s="20"/>
      <c r="H80" s="20"/>
      <c r="I80" s="20"/>
      <c r="J80" s="20"/>
      <c r="K80" s="20"/>
      <c r="L80" s="20"/>
      <c r="M80" s="20"/>
      <c r="N80" s="20"/>
      <c r="O80" s="20"/>
      <c r="P80" s="88"/>
      <c r="Q80" s="13"/>
      <c r="R80" s="4"/>
    </row>
    <row r="81" spans="1:18">
      <c r="A81" s="1"/>
      <c r="B81" s="2"/>
      <c r="C81" s="8"/>
      <c r="D81" s="219" t="str">
        <f>+[239]INICIO!$B$13</f>
        <v>Proyectó:</v>
      </c>
      <c r="E81" s="49"/>
      <c r="F81" s="49"/>
      <c r="G81" s="49"/>
      <c r="H81" s="49"/>
      <c r="I81" s="49"/>
      <c r="J81" s="49"/>
      <c r="K81" s="20"/>
      <c r="L81" s="69" t="str">
        <f>+[239]INICIO!$B$16</f>
        <v>Aprobó:</v>
      </c>
      <c r="M81" s="49"/>
      <c r="N81" s="49"/>
      <c r="O81" s="49"/>
      <c r="P81" s="88"/>
      <c r="Q81" s="13"/>
      <c r="R81" s="4"/>
    </row>
    <row r="82" spans="1:18">
      <c r="A82" s="1"/>
      <c r="B82" s="2"/>
      <c r="C82" s="8"/>
      <c r="D82" s="87"/>
      <c r="E82" s="20" t="str">
        <f>+Hoja2!C$13</f>
        <v>HELMER EDUARDO BECERRA SANTANDER</v>
      </c>
      <c r="F82" s="20"/>
      <c r="G82" s="20"/>
      <c r="H82" s="20"/>
      <c r="I82" s="20"/>
      <c r="J82" s="20"/>
      <c r="K82" s="20"/>
      <c r="L82" s="20"/>
      <c r="M82" s="20" t="str">
        <f>+Hoja2!$C$16</f>
        <v>JESÚS IVÁN QUIÑONES RUEDA</v>
      </c>
      <c r="N82" s="20"/>
      <c r="O82" s="20"/>
      <c r="P82" s="88"/>
      <c r="Q82" s="190"/>
      <c r="R82" s="4"/>
    </row>
    <row r="83" spans="1:18">
      <c r="A83" s="1"/>
      <c r="B83" s="2"/>
      <c r="C83" s="8"/>
      <c r="D83" s="87"/>
      <c r="E83" s="20" t="str">
        <f>+Hoja2!C$14</f>
        <v>APOYO SEC. DE PLANEACIÓN Y OBRAS PÚBLICAS</v>
      </c>
      <c r="F83" s="20"/>
      <c r="G83" s="20"/>
      <c r="H83" s="20"/>
      <c r="I83" s="20"/>
      <c r="J83" s="20"/>
      <c r="K83" s="20"/>
      <c r="L83" s="20"/>
      <c r="M83" s="20" t="str">
        <f>+Hoja2!$C$17</f>
        <v>SECRETARIO DE PLANEACIÓN Y OBRAS PUBLICAS</v>
      </c>
      <c r="N83" s="20"/>
      <c r="O83" s="20"/>
      <c r="P83" s="88"/>
      <c r="Q83" s="190"/>
      <c r="R83" s="4"/>
    </row>
    <row r="84" spans="1:18">
      <c r="A84" s="1"/>
      <c r="B84" s="2"/>
      <c r="C84" s="8"/>
      <c r="D84" s="68"/>
      <c r="E84" s="20" t="str">
        <f>+Hoja2!C$15</f>
        <v>123769-0701671 NTS</v>
      </c>
      <c r="F84" s="191"/>
      <c r="G84" s="191"/>
      <c r="H84" s="191"/>
      <c r="I84" s="20"/>
      <c r="J84" s="191"/>
      <c r="K84" s="191"/>
      <c r="L84" s="191"/>
      <c r="M84" s="192" t="str">
        <f>+Hoja2!C$18</f>
        <v>A21382020-1090480860</v>
      </c>
      <c r="N84" s="191"/>
      <c r="O84" s="191"/>
      <c r="P84" s="193"/>
      <c r="Q84" s="194"/>
      <c r="R84" s="4"/>
    </row>
    <row r="85" spans="1:18" ht="16.5" thickBot="1">
      <c r="A85" s="1"/>
      <c r="B85" s="2"/>
      <c r="C85" s="8"/>
      <c r="D85" s="195"/>
      <c r="E85" s="150"/>
      <c r="F85" s="150"/>
      <c r="G85" s="150"/>
      <c r="H85" s="150"/>
      <c r="I85" s="150"/>
      <c r="J85" s="150"/>
      <c r="K85" s="150"/>
      <c r="L85" s="150"/>
      <c r="M85" s="150"/>
      <c r="N85" s="150"/>
      <c r="O85" s="150"/>
      <c r="P85" s="196"/>
      <c r="Q85" s="197"/>
      <c r="R85" s="4"/>
    </row>
    <row r="86" spans="1:18" ht="15.75" thickBot="1">
      <c r="A86" s="1"/>
      <c r="B86" s="2"/>
      <c r="C86" s="198"/>
      <c r="D86" s="199"/>
      <c r="E86" s="199"/>
      <c r="F86" s="199"/>
      <c r="G86" s="199"/>
      <c r="H86" s="199"/>
      <c r="I86" s="199"/>
      <c r="J86" s="199"/>
      <c r="K86" s="199"/>
      <c r="L86" s="199"/>
      <c r="M86" s="199"/>
      <c r="N86" s="199"/>
      <c r="O86" s="199"/>
      <c r="P86" s="199"/>
      <c r="Q86" s="200"/>
      <c r="R86" s="4"/>
    </row>
    <row r="87" spans="1:18" ht="16.5" thickTop="1" thickBot="1">
      <c r="A87" s="1"/>
      <c r="B87" s="2"/>
      <c r="C87" s="3"/>
      <c r="D87" s="4"/>
      <c r="E87" s="4"/>
      <c r="F87" s="4"/>
      <c r="G87" s="4"/>
      <c r="H87" s="4"/>
      <c r="I87" s="4"/>
      <c r="J87" s="4"/>
      <c r="K87" s="4"/>
      <c r="L87" s="4"/>
      <c r="M87" s="4"/>
      <c r="N87" s="4"/>
      <c r="O87" s="4"/>
      <c r="P87" s="4"/>
      <c r="Q87" s="4"/>
      <c r="R87" s="4"/>
    </row>
    <row r="88" spans="1:18" ht="15.75" thickTop="1">
      <c r="A88" s="1"/>
      <c r="B88" s="2"/>
      <c r="C88" s="5"/>
      <c r="D88" s="6"/>
      <c r="E88" s="6"/>
      <c r="F88" s="6"/>
      <c r="G88" s="6"/>
      <c r="H88" s="6"/>
      <c r="I88" s="6"/>
      <c r="J88" s="6"/>
      <c r="K88" s="6"/>
      <c r="L88" s="6"/>
      <c r="M88" s="6"/>
      <c r="N88" s="6"/>
      <c r="O88" s="6"/>
      <c r="P88" s="6"/>
      <c r="Q88" s="7"/>
      <c r="R88" s="4"/>
    </row>
    <row r="89" spans="1:18" ht="24">
      <c r="A89" s="1"/>
      <c r="B89" s="2"/>
      <c r="C89" s="8"/>
      <c r="D89" s="9" t="str">
        <f>+[239]INICIO!$C$8</f>
        <v>Análisis de Precios Unitarios- Secretaria de Planeación y Obras Publicas de Cubará, Boyacá.</v>
      </c>
      <c r="E89" s="10"/>
      <c r="F89" s="10"/>
      <c r="G89" s="10"/>
      <c r="H89" s="11"/>
      <c r="I89" s="12"/>
      <c r="J89" s="12"/>
      <c r="K89" s="12"/>
      <c r="L89" s="12"/>
      <c r="M89" s="12"/>
      <c r="N89" s="12"/>
      <c r="O89" s="12"/>
      <c r="P89" s="12"/>
      <c r="Q89" s="13"/>
      <c r="R89" s="4"/>
    </row>
    <row r="90" spans="1:18">
      <c r="A90" s="1"/>
      <c r="B90" s="2"/>
      <c r="C90" s="8"/>
      <c r="D90" s="14" t="s">
        <v>0</v>
      </c>
      <c r="E90" s="15" t="str">
        <f>+[239]INICIO!$C$7</f>
        <v>CCE-EICP-FM-14</v>
      </c>
      <c r="F90" s="16"/>
      <c r="G90" s="17" t="str">
        <f>+[239]INICIO!$B$6</f>
        <v>VERSIÓN</v>
      </c>
      <c r="H90" s="14">
        <f>+[239]INICIO!$C$6</f>
        <v>1</v>
      </c>
      <c r="I90" s="12"/>
      <c r="J90" s="12"/>
      <c r="K90" s="12"/>
      <c r="L90" s="12"/>
      <c r="M90" s="12"/>
      <c r="N90" s="12"/>
      <c r="O90" s="12"/>
      <c r="P90" s="12"/>
      <c r="Q90" s="13"/>
      <c r="R90" s="4"/>
    </row>
    <row r="91" spans="1:18">
      <c r="A91" s="1"/>
      <c r="B91" s="2"/>
      <c r="C91" s="8"/>
      <c r="D91" s="18"/>
      <c r="E91" s="19"/>
      <c r="F91" s="18"/>
      <c r="G91" s="19"/>
      <c r="H91" s="12"/>
      <c r="I91" s="12"/>
      <c r="J91" s="12"/>
      <c r="K91" s="12"/>
      <c r="L91" s="12"/>
      <c r="M91" s="12"/>
      <c r="N91" s="12"/>
      <c r="O91" s="12"/>
      <c r="P91" s="12"/>
      <c r="Q91" s="13"/>
      <c r="R91" s="4"/>
    </row>
    <row r="92" spans="1:18" ht="15.75" thickBot="1">
      <c r="A92" s="1"/>
      <c r="B92" s="2"/>
      <c r="C92" s="8"/>
      <c r="D92" s="20"/>
      <c r="E92" s="20"/>
      <c r="F92" s="20"/>
      <c r="G92" s="20"/>
      <c r="H92" s="20"/>
      <c r="I92" s="20"/>
      <c r="J92" s="20"/>
      <c r="K92" s="20"/>
      <c r="L92" s="20"/>
      <c r="M92" s="20"/>
      <c r="N92" s="20"/>
      <c r="O92" s="20"/>
      <c r="P92" s="20"/>
      <c r="Q92" s="13"/>
      <c r="R92" s="4"/>
    </row>
    <row r="93" spans="1:18">
      <c r="A93" s="1"/>
      <c r="B93" s="2"/>
      <c r="C93" s="8"/>
      <c r="D93" s="21"/>
      <c r="E93" s="22"/>
      <c r="F93" s="23"/>
      <c r="G93" s="23"/>
      <c r="H93" s="23"/>
      <c r="I93" s="23"/>
      <c r="J93" s="23"/>
      <c r="K93" s="23"/>
      <c r="L93" s="24"/>
      <c r="M93" s="25"/>
      <c r="N93" s="26"/>
      <c r="O93" s="26"/>
      <c r="P93" s="27"/>
      <c r="Q93" s="28"/>
      <c r="R93" s="4"/>
    </row>
    <row r="94" spans="1:18">
      <c r="A94" s="1"/>
      <c r="B94" s="2"/>
      <c r="C94" s="8"/>
      <c r="D94" s="29"/>
      <c r="E94" s="30" t="s">
        <v>1</v>
      </c>
      <c r="F94" s="31"/>
      <c r="G94" s="31"/>
      <c r="H94" s="31"/>
      <c r="I94" s="31"/>
      <c r="J94" s="31"/>
      <c r="K94" s="31"/>
      <c r="L94" s="32"/>
      <c r="M94" s="33"/>
      <c r="N94" s="34"/>
      <c r="O94" s="34"/>
      <c r="P94" s="35"/>
      <c r="Q94" s="28"/>
      <c r="R94" s="4"/>
    </row>
    <row r="95" spans="1:18">
      <c r="A95" s="1"/>
      <c r="B95" s="2"/>
      <c r="C95" s="8"/>
      <c r="D95" s="29"/>
      <c r="E95" s="36"/>
      <c r="F95" s="37"/>
      <c r="G95" s="37"/>
      <c r="H95" s="37"/>
      <c r="I95" s="37"/>
      <c r="J95" s="37"/>
      <c r="K95" s="37"/>
      <c r="L95" s="38"/>
      <c r="M95" s="39"/>
      <c r="N95" s="40"/>
      <c r="O95" s="41"/>
      <c r="P95" s="42"/>
      <c r="Q95" s="28"/>
      <c r="R95" s="4"/>
    </row>
    <row r="96" spans="1:18">
      <c r="A96" s="1"/>
      <c r="B96" s="2"/>
      <c r="C96" s="8"/>
      <c r="D96" s="29"/>
      <c r="E96" s="36"/>
      <c r="F96" s="37"/>
      <c r="G96" s="37"/>
      <c r="H96" s="37"/>
      <c r="I96" s="37"/>
      <c r="J96" s="37"/>
      <c r="K96" s="37"/>
      <c r="L96" s="38"/>
      <c r="M96" s="43" t="s">
        <v>2</v>
      </c>
      <c r="N96" s="44"/>
      <c r="O96" s="45">
        <f>+[239]INICIO!$C$6</f>
        <v>1</v>
      </c>
      <c r="P96" s="46"/>
      <c r="Q96" s="28"/>
      <c r="R96" s="4"/>
    </row>
    <row r="97" spans="1:18">
      <c r="A97" s="1"/>
      <c r="B97" s="2"/>
      <c r="C97" s="8"/>
      <c r="D97" s="29"/>
      <c r="E97" s="36"/>
      <c r="F97" s="37"/>
      <c r="G97" s="37"/>
      <c r="H97" s="37"/>
      <c r="I97" s="37"/>
      <c r="J97" s="37"/>
      <c r="K97" s="37"/>
      <c r="L97" s="38"/>
      <c r="M97" s="47"/>
      <c r="N97" s="48"/>
      <c r="O97" s="49"/>
      <c r="P97" s="50"/>
      <c r="Q97" s="51"/>
      <c r="R97" s="4"/>
    </row>
    <row r="98" spans="1:18">
      <c r="A98" s="1"/>
      <c r="B98" s="2"/>
      <c r="C98" s="8"/>
      <c r="D98" s="29"/>
      <c r="E98" s="52"/>
      <c r="F98" s="53"/>
      <c r="G98" s="53"/>
      <c r="H98" s="53"/>
      <c r="I98" s="53"/>
      <c r="J98" s="53"/>
      <c r="K98" s="53"/>
      <c r="L98" s="54"/>
      <c r="M98" s="39"/>
      <c r="N98" s="55"/>
      <c r="O98" s="55"/>
      <c r="P98" s="56"/>
      <c r="Q98" s="28"/>
      <c r="R98" s="4"/>
    </row>
    <row r="99" spans="1:18">
      <c r="A99" s="1"/>
      <c r="B99" s="2"/>
      <c r="C99" s="8"/>
      <c r="D99" s="29"/>
      <c r="E99" s="52"/>
      <c r="F99" s="53"/>
      <c r="G99" s="53"/>
      <c r="H99" s="53"/>
      <c r="I99" s="53"/>
      <c r="J99" s="53"/>
      <c r="K99" s="53"/>
      <c r="L99" s="54"/>
      <c r="M99" s="43" t="s">
        <v>3</v>
      </c>
      <c r="N99" s="43" t="str">
        <f>+VLOOKUP(D110,'PRESUPUESTO OFICIAL '!C:Q,9,FALSE)</f>
        <v>38</v>
      </c>
      <c r="O99" s="43" t="s">
        <v>4</v>
      </c>
      <c r="P99" s="508" t="str">
        <f>+'PRESUPUESTO OFICIAL '!$M$122</f>
        <v>62</v>
      </c>
      <c r="Q99" s="28"/>
      <c r="R99" s="4"/>
    </row>
    <row r="100" spans="1:18">
      <c r="A100" s="1"/>
      <c r="B100" s="2"/>
      <c r="C100" s="8"/>
      <c r="D100" s="29"/>
      <c r="E100" s="30" t="s">
        <v>5</v>
      </c>
      <c r="F100" s="31"/>
      <c r="G100" s="31"/>
      <c r="H100" s="31"/>
      <c r="I100" s="31"/>
      <c r="J100" s="31"/>
      <c r="K100" s="31"/>
      <c r="L100" s="32"/>
      <c r="M100" s="43"/>
      <c r="N100" s="57"/>
      <c r="O100" s="57"/>
      <c r="P100" s="58"/>
      <c r="Q100" s="28"/>
      <c r="R100" s="4"/>
    </row>
    <row r="101" spans="1:18" ht="15.75" thickBot="1">
      <c r="A101" s="1"/>
      <c r="B101" s="2"/>
      <c r="C101" s="8"/>
      <c r="D101" s="59"/>
      <c r="E101" s="60"/>
      <c r="F101" s="60"/>
      <c r="G101" s="60"/>
      <c r="H101" s="60"/>
      <c r="I101" s="60"/>
      <c r="J101" s="60"/>
      <c r="K101" s="60"/>
      <c r="L101" s="60"/>
      <c r="M101" s="60"/>
      <c r="N101" s="61"/>
      <c r="O101" s="61"/>
      <c r="P101" s="62"/>
      <c r="Q101" s="63"/>
      <c r="R101" s="4"/>
    </row>
    <row r="102" spans="1:18">
      <c r="A102" s="1"/>
      <c r="B102" s="2"/>
      <c r="C102" s="8"/>
      <c r="D102" s="64"/>
      <c r="E102" s="65"/>
      <c r="F102" s="65"/>
      <c r="G102" s="65"/>
      <c r="H102" s="65"/>
      <c r="I102" s="65"/>
      <c r="J102" s="65"/>
      <c r="K102" s="65"/>
      <c r="L102" s="65"/>
      <c r="M102" s="66" t="s">
        <v>6</v>
      </c>
      <c r="N102" s="66" t="s">
        <v>7</v>
      </c>
      <c r="O102" s="66" t="s">
        <v>8</v>
      </c>
      <c r="P102" s="67" t="s">
        <v>9</v>
      </c>
      <c r="Q102" s="51"/>
      <c r="R102" s="4"/>
    </row>
    <row r="103" spans="1:18">
      <c r="A103" s="1"/>
      <c r="B103" s="2"/>
      <c r="C103" s="8"/>
      <c r="D103" s="68"/>
      <c r="E103" s="69"/>
      <c r="F103" s="69"/>
      <c r="G103" s="69"/>
      <c r="H103" s="69"/>
      <c r="I103" s="69"/>
      <c r="J103" s="69"/>
      <c r="K103" s="69"/>
      <c r="L103" s="69"/>
      <c r="M103" s="70"/>
      <c r="N103" s="71">
        <f>+Hoja2!B$5</f>
        <v>5</v>
      </c>
      <c r="O103" s="71">
        <f>+Hoja2!C$5</f>
        <v>8</v>
      </c>
      <c r="P103" s="72">
        <f>+Hoja2!D$5</f>
        <v>2026</v>
      </c>
      <c r="Q103" s="73"/>
      <c r="R103" s="4"/>
    </row>
    <row r="104" spans="1:18">
      <c r="A104" s="1"/>
      <c r="B104" s="2"/>
      <c r="C104" s="8"/>
      <c r="D104" s="74"/>
      <c r="E104" s="37"/>
      <c r="F104" s="37"/>
      <c r="G104" s="37"/>
      <c r="H104" s="69"/>
      <c r="I104" s="69"/>
      <c r="J104" s="69"/>
      <c r="K104" s="20"/>
      <c r="L104" s="69"/>
      <c r="M104" s="75"/>
      <c r="N104" s="20"/>
      <c r="O104" s="20"/>
      <c r="P104" s="76"/>
      <c r="Q104" s="73"/>
      <c r="R104" s="4"/>
    </row>
    <row r="105" spans="1:18" ht="15.75" thickBot="1">
      <c r="A105" s="1"/>
      <c r="B105" s="2"/>
      <c r="C105" s="8"/>
      <c r="D105" s="77"/>
      <c r="E105" s="78"/>
      <c r="F105" s="78"/>
      <c r="G105" s="78"/>
      <c r="H105" s="78"/>
      <c r="I105" s="78"/>
      <c r="J105" s="78"/>
      <c r="K105" s="78"/>
      <c r="L105" s="78"/>
      <c r="M105" s="78"/>
      <c r="N105" s="78"/>
      <c r="O105" s="78"/>
      <c r="P105" s="79"/>
      <c r="Q105" s="13"/>
      <c r="R105" s="4"/>
    </row>
    <row r="106" spans="1:18" ht="15.75" thickBot="1">
      <c r="A106" s="1"/>
      <c r="B106" s="2"/>
      <c r="C106" s="8"/>
      <c r="D106" s="80"/>
      <c r="E106" s="81"/>
      <c r="F106" s="81"/>
      <c r="G106" s="81"/>
      <c r="H106" s="81"/>
      <c r="I106" s="81"/>
      <c r="J106" s="20"/>
      <c r="K106" s="20"/>
      <c r="L106" s="81"/>
      <c r="M106" s="81"/>
      <c r="N106" s="81"/>
      <c r="O106" s="81"/>
      <c r="P106" s="82"/>
      <c r="Q106" s="13"/>
      <c r="R106" s="4"/>
    </row>
    <row r="107" spans="1:18">
      <c r="A107" s="1"/>
      <c r="B107" s="2"/>
      <c r="C107" s="8"/>
      <c r="D107" s="83" t="s">
        <v>10</v>
      </c>
      <c r="E107" s="84"/>
      <c r="F107" s="84"/>
      <c r="G107" s="84"/>
      <c r="H107" s="84"/>
      <c r="I107" s="84"/>
      <c r="J107" s="84"/>
      <c r="K107" s="84"/>
      <c r="L107" s="84"/>
      <c r="M107" s="84"/>
      <c r="N107" s="84"/>
      <c r="O107" s="84"/>
      <c r="P107" s="85"/>
      <c r="Q107" s="86"/>
      <c r="R107" s="4"/>
    </row>
    <row r="108" spans="1:18" ht="15.75" thickBot="1">
      <c r="A108" s="1"/>
      <c r="B108" s="2"/>
      <c r="C108" s="8"/>
      <c r="D108" s="87"/>
      <c r="E108" s="20"/>
      <c r="F108" s="20"/>
      <c r="G108" s="20"/>
      <c r="H108" s="20"/>
      <c r="I108" s="20"/>
      <c r="J108" s="20"/>
      <c r="K108" s="20"/>
      <c r="L108" s="20"/>
      <c r="M108" s="20"/>
      <c r="N108" s="20"/>
      <c r="O108" s="20"/>
      <c r="P108" s="88"/>
      <c r="Q108" s="13"/>
      <c r="R108" s="4"/>
    </row>
    <row r="109" spans="1:18">
      <c r="A109" s="1" t="s">
        <v>11</v>
      </c>
      <c r="B109" s="2" t="s">
        <v>12</v>
      </c>
      <c r="C109" s="8"/>
      <c r="D109" s="89" t="s">
        <v>13</v>
      </c>
      <c r="E109" s="90" t="s">
        <v>14</v>
      </c>
      <c r="F109" s="90"/>
      <c r="G109" s="90"/>
      <c r="H109" s="90"/>
      <c r="I109" s="90"/>
      <c r="J109" s="90"/>
      <c r="K109" s="90"/>
      <c r="L109" s="90"/>
      <c r="M109" s="90"/>
      <c r="N109" s="91" t="s">
        <v>15</v>
      </c>
      <c r="O109" s="91"/>
      <c r="P109" s="92" t="s">
        <v>16</v>
      </c>
      <c r="Q109" s="93"/>
      <c r="R109" s="4"/>
    </row>
    <row r="110" spans="1:18" ht="15.75" thickBot="1">
      <c r="A110" s="1"/>
      <c r="B110" s="2"/>
      <c r="C110" s="8"/>
      <c r="D110" s="349">
        <f>+'PRESUPUESTO OFICIAL '!C62</f>
        <v>5.0199999999999996</v>
      </c>
      <c r="E110" s="94" t="str">
        <f>+VLOOKUP(D110,'PRESUPUESTO OFICIAL '!C:H,2,FALSE)</f>
        <v xml:space="preserve">SUMINISTRO E INSTALACION DE INTERRUPTOR SENCILLO </v>
      </c>
      <c r="F110" s="94"/>
      <c r="G110" s="94"/>
      <c r="H110" s="94"/>
      <c r="I110" s="94"/>
      <c r="J110" s="94"/>
      <c r="K110" s="94"/>
      <c r="L110" s="94"/>
      <c r="M110" s="94"/>
      <c r="N110" s="94" t="str">
        <f>+VLOOKUP(D110,'PRESUPUESTO OFICIAL '!C:H,3,FALSE)</f>
        <v>UND</v>
      </c>
      <c r="O110" s="95"/>
      <c r="P110" s="96">
        <f>+VLOOKUP(D110,'PRESUPUESTO OFICIAL '!C:H,4,FALSE)</f>
        <v>21</v>
      </c>
      <c r="Q110" s="97"/>
      <c r="R110" s="98">
        <f>+P162</f>
        <v>29906</v>
      </c>
    </row>
    <row r="111" spans="1:18" ht="15.75" thickBot="1">
      <c r="A111" s="1"/>
      <c r="B111" s="2"/>
      <c r="C111" s="8"/>
      <c r="D111" s="74" t="s">
        <v>17</v>
      </c>
      <c r="E111" s="37"/>
      <c r="F111" s="37"/>
      <c r="G111" s="37"/>
      <c r="H111" s="37"/>
      <c r="I111" s="37"/>
      <c r="J111" s="37"/>
      <c r="K111" s="37"/>
      <c r="L111" s="37"/>
      <c r="M111" s="37"/>
      <c r="N111" s="37"/>
      <c r="O111" s="37"/>
      <c r="P111" s="99"/>
      <c r="Q111" s="100"/>
      <c r="R111" s="4"/>
    </row>
    <row r="112" spans="1:18">
      <c r="A112" s="1"/>
      <c r="B112" s="2"/>
      <c r="C112" s="8"/>
      <c r="D112" s="101" t="s">
        <v>14</v>
      </c>
      <c r="E112" s="102"/>
      <c r="F112" s="102"/>
      <c r="G112" s="102"/>
      <c r="H112" s="103"/>
      <c r="I112" s="104" t="s">
        <v>18</v>
      </c>
      <c r="J112" s="102"/>
      <c r="K112" s="104" t="s">
        <v>19</v>
      </c>
      <c r="L112" s="105"/>
      <c r="M112" s="106" t="s">
        <v>20</v>
      </c>
      <c r="N112" s="104" t="s">
        <v>21</v>
      </c>
      <c r="O112" s="105"/>
      <c r="P112" s="107" t="s">
        <v>22</v>
      </c>
      <c r="Q112" s="108"/>
      <c r="R112" s="4"/>
    </row>
    <row r="113" spans="1:18">
      <c r="A113" s="1" t="e">
        <f>[239]INDICE!#REF!</f>
        <v>#REF!</v>
      </c>
      <c r="B113" s="2" t="s">
        <v>23</v>
      </c>
      <c r="C113" s="8"/>
      <c r="D113" s="109" t="str">
        <f>IFERROR(INDEX([239]EQUIPOS!B:B,MATCH(B113,[239]EQUIPOS!A:A,0)),"")</f>
        <v>HERRAMIENTA MENOR (% M.O)</v>
      </c>
      <c r="E113" s="110"/>
      <c r="F113" s="110"/>
      <c r="G113" s="110"/>
      <c r="H113" s="111"/>
      <c r="I113" s="112"/>
      <c r="J113" s="111"/>
      <c r="K113" s="113" t="str">
        <f>IFERROR(INDEX([239]EQUIPOS!C:C,MATCH(B113,[239]EQUIPOS!A:A,0)),"")</f>
        <v>%</v>
      </c>
      <c r="L113" s="114"/>
      <c r="M113" s="115">
        <f>IFERROR(IF(D113="HERRAMIENTA MENOR (% M.O)",P152,INDEX([239]EQUIPOS!D:D,MATCH(B113,[239]EQUIPOS!A:A,0))),"")</f>
        <v>12423.41</v>
      </c>
      <c r="N113" s="116">
        <v>10</v>
      </c>
      <c r="O113" s="117"/>
      <c r="P113" s="118">
        <f t="shared" ref="P113:P118" si="3">IFERROR(ROUND(IF(D113="HERRAMIENTA MENOR (% M.O)",N113%*M113,M113/N113),2)," ")</f>
        <v>1242.3399999999999</v>
      </c>
      <c r="Q113" s="119"/>
      <c r="R113" s="4"/>
    </row>
    <row r="114" spans="1:18">
      <c r="A114" s="1">
        <f>+$A$2593</f>
        <v>0</v>
      </c>
      <c r="B114" s="2"/>
      <c r="C114" s="8"/>
      <c r="D114" s="109" t="str">
        <f>IFERROR(INDEX([239]EQUIPOS!B:B,MATCH(B114,[239]EQUIPOS!A:A,0)),"")</f>
        <v/>
      </c>
      <c r="E114" s="110"/>
      <c r="F114" s="110"/>
      <c r="G114" s="110"/>
      <c r="H114" s="111"/>
      <c r="I114" s="112"/>
      <c r="J114" s="111"/>
      <c r="K114" s="113" t="str">
        <f>IFERROR(INDEX([239]EQUIPOS!C:C,MATCH(B114,[239]EQUIPOS!A:A,0)),"")</f>
        <v/>
      </c>
      <c r="L114" s="114"/>
      <c r="M114" s="115" t="str">
        <f>IFERROR(IF(D114="HERRAMIENTA MENOR (% M.O)",P153,INDEX([239]EQUIPOS!D:D,MATCH(B114,[239]EQUIPOS!A:A,0))),"")</f>
        <v/>
      </c>
      <c r="N114" s="116"/>
      <c r="O114" s="117"/>
      <c r="P114" s="118" t="str">
        <f t="shared" si="3"/>
        <v xml:space="preserve"> </v>
      </c>
      <c r="Q114" s="119"/>
      <c r="R114" s="4"/>
    </row>
    <row r="115" spans="1:18">
      <c r="A115" s="1">
        <f t="shared" ref="A115:A153" si="4">+A114</f>
        <v>0</v>
      </c>
      <c r="B115" s="2"/>
      <c r="C115" s="8"/>
      <c r="D115" s="109" t="str">
        <f>IFERROR(INDEX([239]EQUIPOS!B:B,MATCH(B115,[239]EQUIPOS!A:A,0)),"")</f>
        <v/>
      </c>
      <c r="E115" s="110"/>
      <c r="F115" s="110"/>
      <c r="G115" s="110"/>
      <c r="H115" s="111"/>
      <c r="I115" s="120"/>
      <c r="J115" s="121"/>
      <c r="K115" s="113" t="str">
        <f>IFERROR(INDEX([239]EQUIPOS!C:C,MATCH(B115,[239]EQUIPOS!A:A,0)),"")</f>
        <v/>
      </c>
      <c r="L115" s="114"/>
      <c r="M115" s="115" t="str">
        <f>IFERROR(IF(D115="HERRAMIENTA MENOR (% M.O)",P154,INDEX([239]EQUIPOS!D:D,MATCH(B115,[239]EQUIPOS!A:A,0))),"")</f>
        <v/>
      </c>
      <c r="N115" s="116"/>
      <c r="O115" s="117"/>
      <c r="P115" s="118" t="str">
        <f t="shared" si="3"/>
        <v xml:space="preserve"> </v>
      </c>
      <c r="Q115" s="119"/>
      <c r="R115" s="4"/>
    </row>
    <row r="116" spans="1:18">
      <c r="A116" s="1">
        <f t="shared" si="4"/>
        <v>0</v>
      </c>
      <c r="B116" s="2"/>
      <c r="C116" s="8"/>
      <c r="D116" s="109" t="str">
        <f>IFERROR(INDEX([239]EQUIPOS!B:B,MATCH(B116,[239]EQUIPOS!A:A,0)),"")</f>
        <v/>
      </c>
      <c r="E116" s="110"/>
      <c r="F116" s="110"/>
      <c r="G116" s="110"/>
      <c r="H116" s="111"/>
      <c r="I116" s="120"/>
      <c r="J116" s="121"/>
      <c r="K116" s="113" t="str">
        <f>IFERROR(INDEX([239]EQUIPOS!C:C,MATCH(B116,[239]EQUIPOS!A:A,0)),"")</f>
        <v/>
      </c>
      <c r="L116" s="114"/>
      <c r="M116" s="115" t="str">
        <f>IFERROR(IF(D116="HERRAMIENTA MENOR (% M.O)",P155,INDEX([239]EQUIPOS!D:D,MATCH(B116,[239]EQUIPOS!A:A,0))),"")</f>
        <v/>
      </c>
      <c r="N116" s="116"/>
      <c r="O116" s="117"/>
      <c r="P116" s="118" t="str">
        <f t="shared" si="3"/>
        <v xml:space="preserve"> </v>
      </c>
      <c r="Q116" s="119"/>
      <c r="R116" s="4"/>
    </row>
    <row r="117" spans="1:18">
      <c r="A117" s="1">
        <f t="shared" si="4"/>
        <v>0</v>
      </c>
      <c r="B117" s="2"/>
      <c r="C117" s="8"/>
      <c r="D117" s="109" t="str">
        <f>IFERROR(INDEX([239]EQUIPOS!B:B,MATCH(B117,[239]EQUIPOS!A:A,0)),"")</f>
        <v/>
      </c>
      <c r="E117" s="110"/>
      <c r="F117" s="110"/>
      <c r="G117" s="110"/>
      <c r="H117" s="111"/>
      <c r="I117" s="112"/>
      <c r="J117" s="111"/>
      <c r="K117" s="113" t="str">
        <f>IFERROR(INDEX([239]EQUIPOS!C:C,MATCH(B117,[239]EQUIPOS!A:A,0)),"")</f>
        <v/>
      </c>
      <c r="L117" s="114"/>
      <c r="M117" s="115" t="str">
        <f>IFERROR(IF(D117="HERRAMIENTA MENOR (% M.O)",P156,INDEX([239]EQUIPOS!D:D,MATCH(B117,[239]EQUIPOS!A:A,0))),"")</f>
        <v/>
      </c>
      <c r="N117" s="116"/>
      <c r="O117" s="117"/>
      <c r="P117" s="118" t="str">
        <f t="shared" si="3"/>
        <v xml:space="preserve"> </v>
      </c>
      <c r="Q117" s="119"/>
      <c r="R117" s="4"/>
    </row>
    <row r="118" spans="1:18" ht="15.75" thickBot="1">
      <c r="A118" s="1">
        <f t="shared" si="4"/>
        <v>0</v>
      </c>
      <c r="B118" s="2"/>
      <c r="C118" s="8"/>
      <c r="D118" s="109" t="str">
        <f>IFERROR(INDEX([239]EQUIPOS!B:B,MATCH(B118,[239]EQUIPOS!A:A,0)),"")</f>
        <v/>
      </c>
      <c r="E118" s="78"/>
      <c r="F118" s="78"/>
      <c r="G118" s="78"/>
      <c r="H118" s="122"/>
      <c r="I118" s="123"/>
      <c r="J118" s="122"/>
      <c r="K118" s="113" t="str">
        <f>IFERROR(INDEX([239]EQUIPOS!C:C,MATCH(B118,[239]EQUIPOS!A:A,0)),"")</f>
        <v/>
      </c>
      <c r="L118" s="124"/>
      <c r="M118" s="115" t="str">
        <f>IFERROR(IF(D118="HERRAMIENTA MENOR (% M.O)",P157,INDEX([239]EQUIPOS!D:D,MATCH(B118,[239]EQUIPOS!A:A,0))),"")</f>
        <v/>
      </c>
      <c r="N118" s="125"/>
      <c r="O118" s="126"/>
      <c r="P118" s="127" t="str">
        <f t="shared" si="3"/>
        <v xml:space="preserve"> </v>
      </c>
      <c r="Q118" s="119"/>
      <c r="R118" s="4"/>
    </row>
    <row r="119" spans="1:18" ht="15.75" thickBot="1">
      <c r="A119" s="1">
        <f t="shared" si="4"/>
        <v>0</v>
      </c>
      <c r="B119" s="2"/>
      <c r="C119" s="8"/>
      <c r="D119" s="128" t="s">
        <v>24</v>
      </c>
      <c r="E119" s="129"/>
      <c r="F119" s="129"/>
      <c r="G119" s="129"/>
      <c r="H119" s="129"/>
      <c r="I119" s="129"/>
      <c r="J119" s="129"/>
      <c r="K119" s="129"/>
      <c r="L119" s="129"/>
      <c r="M119" s="129"/>
      <c r="N119" s="129"/>
      <c r="O119" s="130"/>
      <c r="P119" s="131">
        <f>SUM(P113:P118)</f>
        <v>1242.3399999999999</v>
      </c>
      <c r="Q119" s="132"/>
      <c r="R119" s="4"/>
    </row>
    <row r="120" spans="1:18" ht="15.75" thickBot="1">
      <c r="A120" s="1">
        <f t="shared" si="4"/>
        <v>0</v>
      </c>
      <c r="B120" s="2"/>
      <c r="C120" s="8"/>
      <c r="D120" s="74" t="s">
        <v>25</v>
      </c>
      <c r="E120" s="37"/>
      <c r="F120" s="37"/>
      <c r="G120" s="37"/>
      <c r="H120" s="37"/>
      <c r="I120" s="37"/>
      <c r="J120" s="37"/>
      <c r="K120" s="37"/>
      <c r="L120" s="37"/>
      <c r="M120" s="37"/>
      <c r="N120" s="37"/>
      <c r="O120" s="37"/>
      <c r="P120" s="99"/>
      <c r="Q120" s="100"/>
      <c r="R120" s="4"/>
    </row>
    <row r="121" spans="1:18">
      <c r="A121" s="1">
        <f t="shared" si="4"/>
        <v>0</v>
      </c>
      <c r="B121" s="2"/>
      <c r="C121" s="8"/>
      <c r="D121" s="101" t="s">
        <v>14</v>
      </c>
      <c r="E121" s="133"/>
      <c r="F121" s="133"/>
      <c r="G121" s="133"/>
      <c r="H121" s="133"/>
      <c r="I121" s="133"/>
      <c r="J121" s="133"/>
      <c r="K121" s="105"/>
      <c r="L121" s="134" t="s">
        <v>15</v>
      </c>
      <c r="M121" s="106" t="s">
        <v>16</v>
      </c>
      <c r="N121" s="104" t="s">
        <v>26</v>
      </c>
      <c r="O121" s="105"/>
      <c r="P121" s="107" t="s">
        <v>22</v>
      </c>
      <c r="Q121" s="108"/>
      <c r="R121" s="4"/>
    </row>
    <row r="122" spans="1:18">
      <c r="A122" s="1">
        <f t="shared" si="4"/>
        <v>0</v>
      </c>
      <c r="B122" s="2" t="s">
        <v>322</v>
      </c>
      <c r="C122" s="8"/>
      <c r="D122" s="109" t="str">
        <f>IFERROR(INDEX([239]MATERIALES!C:C,MATCH(B122,[239]MATERIALES!B:B,0)),"")</f>
        <v>INTERRUPTOR SENCILLO</v>
      </c>
      <c r="E122" s="135"/>
      <c r="F122" s="135"/>
      <c r="G122" s="135"/>
      <c r="H122" s="135"/>
      <c r="I122" s="135"/>
      <c r="J122" s="135"/>
      <c r="K122" s="136"/>
      <c r="L122" s="137" t="str">
        <f>IFERROR(INDEX([239]MATERIALES!D:D,MATCH(B122,[239]MATERIALES!B:B,0)),"")</f>
        <v>UND</v>
      </c>
      <c r="M122" s="138">
        <v>1</v>
      </c>
      <c r="N122" s="139">
        <f>IFERROR(INDEX([239]MATERIALES!P:P,MATCH(B122,[239]MATERIALES!B:B,0)),"")</f>
        <v>8400</v>
      </c>
      <c r="O122" s="140"/>
      <c r="P122" s="118">
        <f>IFERROR(ROUND(N122*M122,2),"")</f>
        <v>8400</v>
      </c>
      <c r="Q122" s="119"/>
      <c r="R122" s="4"/>
    </row>
    <row r="123" spans="1:18">
      <c r="A123" s="1">
        <f t="shared" si="4"/>
        <v>0</v>
      </c>
      <c r="B123" s="2"/>
      <c r="C123" s="8"/>
      <c r="D123" s="109"/>
      <c r="E123" s="135"/>
      <c r="F123" s="135"/>
      <c r="G123" s="135"/>
      <c r="H123" s="135"/>
      <c r="I123" s="135"/>
      <c r="J123" s="135"/>
      <c r="K123" s="136"/>
      <c r="L123" s="137" t="str">
        <f>IFERROR(INDEX([239]MATERIALES!D:D,MATCH(B123,[239]MATERIALES!B:B,0)),"")</f>
        <v/>
      </c>
      <c r="M123" s="138"/>
      <c r="N123" s="139" t="str">
        <f>IFERROR(INDEX([239]MATERIALES!P:P,MATCH(B123,[239]MATERIALES!B:B,0)),"")</f>
        <v/>
      </c>
      <c r="O123" s="140"/>
      <c r="P123" s="118" t="str">
        <f>IFERROR(ROUND(N123*M123,2),"")</f>
        <v/>
      </c>
      <c r="Q123" s="119"/>
      <c r="R123" s="4"/>
    </row>
    <row r="124" spans="1:18">
      <c r="A124" s="1">
        <f t="shared" si="4"/>
        <v>0</v>
      </c>
      <c r="B124" s="2"/>
      <c r="C124" s="8"/>
      <c r="D124" s="109"/>
      <c r="E124" s="110"/>
      <c r="F124" s="110"/>
      <c r="G124" s="110"/>
      <c r="H124" s="110"/>
      <c r="I124" s="110"/>
      <c r="J124" s="110"/>
      <c r="K124" s="111"/>
      <c r="L124" s="137" t="str">
        <f>IFERROR(INDEX([239]MATERIALES!D:D,MATCH(B124,[239]MATERIALES!B:B,0)),"")</f>
        <v/>
      </c>
      <c r="M124" s="138"/>
      <c r="N124" s="139" t="str">
        <f>IFERROR(INDEX([239]MATERIALES!P:P,MATCH(B124,[239]MATERIALES!B:B,0)),"")</f>
        <v/>
      </c>
      <c r="O124" s="140"/>
      <c r="P124" s="118" t="str">
        <f>IFERROR(ROUND(N124*M124,2),"")</f>
        <v/>
      </c>
      <c r="Q124" s="119"/>
      <c r="R124" s="4"/>
    </row>
    <row r="125" spans="1:18">
      <c r="A125" s="1">
        <f t="shared" si="4"/>
        <v>0</v>
      </c>
      <c r="B125" s="2"/>
      <c r="C125" s="8"/>
      <c r="D125" s="109"/>
      <c r="E125" s="110"/>
      <c r="F125" s="110"/>
      <c r="G125" s="110"/>
      <c r="H125" s="110"/>
      <c r="I125" s="110"/>
      <c r="J125" s="110"/>
      <c r="K125" s="111"/>
      <c r="L125" s="137" t="str">
        <f>IFERROR(INDEX([239]MATERIALES!D:D,MATCH(B125,[239]MATERIALES!B:B,0)),"")</f>
        <v/>
      </c>
      <c r="M125" s="138"/>
      <c r="N125" s="139" t="str">
        <f>IFERROR(INDEX([239]MATERIALES!P:P,MATCH(B125,[239]MATERIALES!B:B,0)),"")</f>
        <v/>
      </c>
      <c r="O125" s="140"/>
      <c r="P125" s="118" t="str">
        <f>IFERROR(ROUND(N125*M125,2),"")</f>
        <v/>
      </c>
      <c r="Q125" s="119"/>
      <c r="R125" s="4"/>
    </row>
    <row r="126" spans="1:18">
      <c r="A126" s="1">
        <f t="shared" si="4"/>
        <v>0</v>
      </c>
      <c r="B126" s="2"/>
      <c r="C126" s="8"/>
      <c r="D126" s="109"/>
      <c r="E126" s="110"/>
      <c r="F126" s="110"/>
      <c r="G126" s="110"/>
      <c r="H126" s="110"/>
      <c r="I126" s="110"/>
      <c r="J126" s="110"/>
      <c r="K126" s="111"/>
      <c r="L126" s="137" t="str">
        <f>IFERROR(INDEX([239]MATERIALES!D:D,MATCH(B126,[239]MATERIALES!B:B,0)),"")</f>
        <v/>
      </c>
      <c r="M126" s="138"/>
      <c r="N126" s="139" t="str">
        <f>IFERROR(INDEX([239]MATERIALES!P:P,MATCH(B126,[239]MATERIALES!B:B,0)),"")</f>
        <v/>
      </c>
      <c r="O126" s="140"/>
      <c r="P126" s="118" t="str">
        <f t="shared" ref="P126:P135" si="5">IFERROR(ROUND(N126*M126,2),"")</f>
        <v/>
      </c>
      <c r="Q126" s="119"/>
      <c r="R126" s="4"/>
    </row>
    <row r="127" spans="1:18">
      <c r="A127" s="1">
        <f t="shared" si="4"/>
        <v>0</v>
      </c>
      <c r="B127" s="2"/>
      <c r="C127" s="8"/>
      <c r="D127" s="109"/>
      <c r="E127" s="110"/>
      <c r="F127" s="110"/>
      <c r="G127" s="110"/>
      <c r="H127" s="110"/>
      <c r="I127" s="110"/>
      <c r="J127" s="110"/>
      <c r="K127" s="111"/>
      <c r="L127" s="137" t="str">
        <f>IFERROR(INDEX([239]MATERIALES!D:D,MATCH(B127,[239]MATERIALES!B:B,0)),"")</f>
        <v/>
      </c>
      <c r="M127" s="138"/>
      <c r="N127" s="139" t="str">
        <f>IFERROR(INDEX([239]MATERIALES!P:P,MATCH(B127,[239]MATERIALES!B:B,0)),"")</f>
        <v/>
      </c>
      <c r="O127" s="140"/>
      <c r="P127" s="118" t="str">
        <f t="shared" si="5"/>
        <v/>
      </c>
      <c r="Q127" s="119"/>
      <c r="R127" s="4"/>
    </row>
    <row r="128" spans="1:18">
      <c r="A128" s="1">
        <f t="shared" si="4"/>
        <v>0</v>
      </c>
      <c r="B128" s="2"/>
      <c r="C128" s="8"/>
      <c r="D128" s="109"/>
      <c r="E128" s="110"/>
      <c r="F128" s="110"/>
      <c r="G128" s="110"/>
      <c r="H128" s="110"/>
      <c r="I128" s="110"/>
      <c r="J128" s="110"/>
      <c r="K128" s="111"/>
      <c r="L128" s="137" t="str">
        <f>IFERROR(INDEX([239]MATERIALES!D:D,MATCH(B128,[239]MATERIALES!B:B,0)),"")</f>
        <v/>
      </c>
      <c r="M128" s="138"/>
      <c r="N128" s="139" t="str">
        <f>IFERROR(INDEX([239]MATERIALES!P:P,MATCH(B128,[239]MATERIALES!B:B,0)),"")</f>
        <v/>
      </c>
      <c r="O128" s="140"/>
      <c r="P128" s="118" t="str">
        <f t="shared" si="5"/>
        <v/>
      </c>
      <c r="Q128" s="119"/>
      <c r="R128" s="4"/>
    </row>
    <row r="129" spans="1:18">
      <c r="A129" s="1">
        <f t="shared" si="4"/>
        <v>0</v>
      </c>
      <c r="B129" s="2"/>
      <c r="C129" s="8"/>
      <c r="D129" s="109"/>
      <c r="E129" s="110"/>
      <c r="F129" s="110"/>
      <c r="G129" s="110"/>
      <c r="H129" s="110"/>
      <c r="I129" s="110"/>
      <c r="J129" s="110"/>
      <c r="K129" s="111"/>
      <c r="L129" s="137" t="str">
        <f>IFERROR(INDEX([239]MATERIALES!D:D,MATCH(B129,[239]MATERIALES!B:B,0)),"")</f>
        <v/>
      </c>
      <c r="M129" s="138"/>
      <c r="N129" s="139" t="str">
        <f>IFERROR(INDEX([239]MATERIALES!P:P,MATCH(B129,[239]MATERIALES!B:B,0)),"")</f>
        <v/>
      </c>
      <c r="O129" s="140"/>
      <c r="P129" s="118" t="str">
        <f t="shared" si="5"/>
        <v/>
      </c>
      <c r="Q129" s="119"/>
      <c r="R129" s="4"/>
    </row>
    <row r="130" spans="1:18">
      <c r="A130" s="1">
        <f t="shared" si="4"/>
        <v>0</v>
      </c>
      <c r="B130" s="2"/>
      <c r="C130" s="8"/>
      <c r="D130" s="109"/>
      <c r="E130" s="110"/>
      <c r="F130" s="110"/>
      <c r="G130" s="110"/>
      <c r="H130" s="110"/>
      <c r="I130" s="110"/>
      <c r="J130" s="110"/>
      <c r="K130" s="111"/>
      <c r="L130" s="137" t="str">
        <f>IFERROR(INDEX([239]MATERIALES!D:D,MATCH(B130,[239]MATERIALES!B:B,0)),"")</f>
        <v/>
      </c>
      <c r="M130" s="138"/>
      <c r="N130" s="139" t="str">
        <f>IFERROR(INDEX([239]MATERIALES!P:P,MATCH(B130,[239]MATERIALES!B:B,0)),"")</f>
        <v/>
      </c>
      <c r="O130" s="140"/>
      <c r="P130" s="118" t="str">
        <f t="shared" si="5"/>
        <v/>
      </c>
      <c r="Q130" s="119"/>
      <c r="R130" s="4"/>
    </row>
    <row r="131" spans="1:18">
      <c r="A131" s="1">
        <f t="shared" si="4"/>
        <v>0</v>
      </c>
      <c r="B131" s="2"/>
      <c r="C131" s="8"/>
      <c r="D131" s="109"/>
      <c r="E131" s="110"/>
      <c r="F131" s="110"/>
      <c r="G131" s="110"/>
      <c r="H131" s="110"/>
      <c r="I131" s="110"/>
      <c r="J131" s="110"/>
      <c r="K131" s="111"/>
      <c r="L131" s="137" t="str">
        <f>IFERROR(INDEX([239]MATERIALES!D:D,MATCH(B131,[239]MATERIALES!B:B,0)),"")</f>
        <v/>
      </c>
      <c r="M131" s="138"/>
      <c r="N131" s="139" t="str">
        <f>IFERROR(INDEX([239]MATERIALES!P:P,MATCH(B131,[239]MATERIALES!B:B,0)),"")</f>
        <v/>
      </c>
      <c r="O131" s="140"/>
      <c r="P131" s="118" t="str">
        <f t="shared" si="5"/>
        <v/>
      </c>
      <c r="Q131" s="119"/>
      <c r="R131" s="4"/>
    </row>
    <row r="132" spans="1:18">
      <c r="A132" s="1">
        <f t="shared" si="4"/>
        <v>0</v>
      </c>
      <c r="B132" s="2"/>
      <c r="C132" s="8"/>
      <c r="D132" s="109"/>
      <c r="E132" s="110"/>
      <c r="F132" s="110"/>
      <c r="G132" s="110"/>
      <c r="H132" s="110"/>
      <c r="I132" s="110"/>
      <c r="J132" s="110"/>
      <c r="K132" s="111"/>
      <c r="L132" s="137" t="str">
        <f>IFERROR(INDEX([239]MATERIALES!D:D,MATCH(B132,[239]MATERIALES!B:B,0)),"")</f>
        <v/>
      </c>
      <c r="M132" s="138"/>
      <c r="N132" s="139" t="str">
        <f>IFERROR(INDEX([239]MATERIALES!P:P,MATCH(B132,[239]MATERIALES!B:B,0)),"")</f>
        <v/>
      </c>
      <c r="O132" s="140"/>
      <c r="P132" s="118" t="str">
        <f t="shared" si="5"/>
        <v/>
      </c>
      <c r="Q132" s="119"/>
      <c r="R132" s="4"/>
    </row>
    <row r="133" spans="1:18">
      <c r="A133" s="1">
        <f t="shared" si="4"/>
        <v>0</v>
      </c>
      <c r="B133" s="2"/>
      <c r="C133" s="8"/>
      <c r="D133" s="109" t="str">
        <f>IFERROR(INDEX([239]MATERIALES!C:C,MATCH(B133,[239]MATERIALES!B:B,0)),"")</f>
        <v/>
      </c>
      <c r="E133" s="110"/>
      <c r="F133" s="110"/>
      <c r="G133" s="110"/>
      <c r="H133" s="110"/>
      <c r="I133" s="110"/>
      <c r="J133" s="110"/>
      <c r="K133" s="111"/>
      <c r="L133" s="137" t="str">
        <f>IFERROR(INDEX([239]MATERIALES!D:D,MATCH(B133,[239]MATERIALES!B:B,0)),"")</f>
        <v/>
      </c>
      <c r="M133" s="138"/>
      <c r="N133" s="139" t="str">
        <f>IFERROR(INDEX([239]MATERIALES!P:P,MATCH(B133,[239]MATERIALES!B:B,0)),"")</f>
        <v/>
      </c>
      <c r="O133" s="140"/>
      <c r="P133" s="118" t="str">
        <f t="shared" si="5"/>
        <v/>
      </c>
      <c r="Q133" s="119"/>
      <c r="R133" s="4"/>
    </row>
    <row r="134" spans="1:18">
      <c r="A134" s="1">
        <f t="shared" si="4"/>
        <v>0</v>
      </c>
      <c r="B134" s="2"/>
      <c r="C134" s="8"/>
      <c r="D134" s="109" t="str">
        <f>IFERROR(INDEX([239]MATERIALES!C:C,MATCH(B134,[239]MATERIALES!B:B,0)),"")</f>
        <v/>
      </c>
      <c r="E134" s="110"/>
      <c r="F134" s="110"/>
      <c r="G134" s="110"/>
      <c r="H134" s="110"/>
      <c r="I134" s="110"/>
      <c r="J134" s="110"/>
      <c r="K134" s="111"/>
      <c r="L134" s="137" t="str">
        <f>IFERROR(INDEX([239]MATERIALES!D:D,MATCH(B134,[239]MATERIALES!B:B,0)),"")</f>
        <v/>
      </c>
      <c r="M134" s="138"/>
      <c r="N134" s="139" t="str">
        <f>IFERROR(INDEX([239]MATERIALES!P:P,MATCH(B134,[239]MATERIALES!B:B,0)),"")</f>
        <v/>
      </c>
      <c r="O134" s="140"/>
      <c r="P134" s="118" t="str">
        <f t="shared" si="5"/>
        <v/>
      </c>
      <c r="Q134" s="119"/>
      <c r="R134" s="4"/>
    </row>
    <row r="135" spans="1:18">
      <c r="A135" s="1">
        <f t="shared" si="4"/>
        <v>0</v>
      </c>
      <c r="B135" s="2"/>
      <c r="C135" s="8"/>
      <c r="D135" s="109" t="str">
        <f>IFERROR(INDEX([239]MATERIALES!C:C,MATCH(B135,[239]MATERIALES!B:B,0)),"")</f>
        <v/>
      </c>
      <c r="E135" s="110"/>
      <c r="F135" s="110"/>
      <c r="G135" s="110"/>
      <c r="H135" s="110"/>
      <c r="I135" s="110"/>
      <c r="J135" s="110"/>
      <c r="K135" s="111"/>
      <c r="L135" s="137" t="str">
        <f>IFERROR(INDEX([239]MATERIALES!D:D,MATCH(B135,[239]MATERIALES!B:B,0)),"")</f>
        <v/>
      </c>
      <c r="M135" s="138"/>
      <c r="N135" s="139" t="str">
        <f>IFERROR(INDEX([239]MATERIALES!P:P,MATCH(B135,[239]MATERIALES!B:B,0)),"")</f>
        <v/>
      </c>
      <c r="O135" s="140"/>
      <c r="P135" s="118" t="str">
        <f t="shared" si="5"/>
        <v/>
      </c>
      <c r="Q135" s="119"/>
      <c r="R135" s="4"/>
    </row>
    <row r="136" spans="1:18" ht="15.75" thickBot="1">
      <c r="A136" s="1">
        <f t="shared" si="4"/>
        <v>0</v>
      </c>
      <c r="B136" s="2"/>
      <c r="C136" s="8"/>
      <c r="D136" s="109" t="s">
        <v>28</v>
      </c>
      <c r="E136" s="110"/>
      <c r="F136" s="110"/>
      <c r="G136" s="110"/>
      <c r="H136" s="110"/>
      <c r="I136" s="110"/>
      <c r="J136" s="110"/>
      <c r="K136" s="111"/>
      <c r="L136" s="137" t="s">
        <v>29</v>
      </c>
      <c r="M136" s="138">
        <v>0.05</v>
      </c>
      <c r="N136" s="139">
        <f>SUM(P122:P135)</f>
        <v>8400</v>
      </c>
      <c r="O136" s="140"/>
      <c r="P136" s="118">
        <f>ROUND(N136*M136,2)</f>
        <v>420</v>
      </c>
      <c r="Q136" s="119"/>
      <c r="R136" s="4"/>
    </row>
    <row r="137" spans="1:18" ht="15.75" thickBot="1">
      <c r="A137" s="1">
        <f t="shared" si="4"/>
        <v>0</v>
      </c>
      <c r="B137" s="2"/>
      <c r="C137" s="8"/>
      <c r="D137" s="128" t="s">
        <v>24</v>
      </c>
      <c r="E137" s="129"/>
      <c r="F137" s="129"/>
      <c r="G137" s="129"/>
      <c r="H137" s="129"/>
      <c r="I137" s="129"/>
      <c r="J137" s="129"/>
      <c r="K137" s="129"/>
      <c r="L137" s="129"/>
      <c r="M137" s="129"/>
      <c r="N137" s="129"/>
      <c r="O137" s="130"/>
      <c r="P137" s="131">
        <f>SUM(P122:P136)</f>
        <v>8820</v>
      </c>
      <c r="Q137" s="119"/>
      <c r="R137" s="4"/>
    </row>
    <row r="138" spans="1:18" ht="15.75" thickBot="1">
      <c r="A138" s="1">
        <f t="shared" si="4"/>
        <v>0</v>
      </c>
      <c r="B138" s="2"/>
      <c r="C138" s="8"/>
      <c r="D138" s="74" t="s">
        <v>30</v>
      </c>
      <c r="E138" s="37"/>
      <c r="F138" s="37"/>
      <c r="G138" s="37"/>
      <c r="H138" s="37"/>
      <c r="I138" s="37"/>
      <c r="J138" s="37"/>
      <c r="K138" s="37"/>
      <c r="L138" s="37"/>
      <c r="M138" s="37"/>
      <c r="N138" s="37"/>
      <c r="O138" s="37"/>
      <c r="P138" s="99"/>
      <c r="Q138" s="100"/>
      <c r="R138" s="4"/>
    </row>
    <row r="139" spans="1:18">
      <c r="A139" s="1">
        <f t="shared" si="4"/>
        <v>0</v>
      </c>
      <c r="B139" s="2"/>
      <c r="C139" s="8"/>
      <c r="D139" s="101" t="s">
        <v>31</v>
      </c>
      <c r="E139" s="133"/>
      <c r="F139" s="133"/>
      <c r="G139" s="133"/>
      <c r="H139" s="133"/>
      <c r="I139" s="133"/>
      <c r="J139" s="133"/>
      <c r="K139" s="106" t="s">
        <v>32</v>
      </c>
      <c r="L139" s="141" t="s">
        <v>33</v>
      </c>
      <c r="M139" s="106" t="s">
        <v>34</v>
      </c>
      <c r="N139" s="104" t="s">
        <v>20</v>
      </c>
      <c r="O139" s="105"/>
      <c r="P139" s="107" t="s">
        <v>22</v>
      </c>
      <c r="Q139" s="108"/>
      <c r="R139" s="4"/>
    </row>
    <row r="140" spans="1:18">
      <c r="A140" s="1">
        <f t="shared" si="4"/>
        <v>0</v>
      </c>
      <c r="B140" s="2"/>
      <c r="C140" s="8"/>
      <c r="D140" s="142" t="str">
        <f>IFERROR(INDEX([239]TRANSPORTES!B:B,MATCH(B140,[239]TRANSPORTES!A:A,0)),"")</f>
        <v/>
      </c>
      <c r="E140" s="143"/>
      <c r="F140" s="143"/>
      <c r="G140" s="143"/>
      <c r="H140" s="143"/>
      <c r="I140" s="143"/>
      <c r="J140" s="143"/>
      <c r="K140" s="220"/>
      <c r="L140" s="145"/>
      <c r="M140" s="146" t="str">
        <f>IFERROR(INDEX([239]TRANSPORTES!C:C,MATCH(B140,[239]TRANSPORTES!A:A,0)),"")</f>
        <v/>
      </c>
      <c r="N140" s="139" t="str">
        <f>IFERROR(INDEX([239]TRANSPORTES!D:D,MATCH(B140,[239]TRANSPORTES!A:A,0)),"")</f>
        <v/>
      </c>
      <c r="O140" s="147"/>
      <c r="P140" s="148" t="str">
        <f>IFERROR(ROUND(K140*N140*L140,2),"")</f>
        <v/>
      </c>
      <c r="Q140" s="119"/>
      <c r="R140" s="4"/>
    </row>
    <row r="141" spans="1:18">
      <c r="A141" s="1">
        <f t="shared" si="4"/>
        <v>0</v>
      </c>
      <c r="B141" s="2"/>
      <c r="C141" s="8"/>
      <c r="D141" s="142" t="str">
        <f>IFERROR(INDEX([239]TRANSPORTES!B:B,MATCH(B141,[239]TRANSPORTES!A:A,0)),"")</f>
        <v/>
      </c>
      <c r="E141" s="143"/>
      <c r="F141" s="143"/>
      <c r="G141" s="143"/>
      <c r="H141" s="143"/>
      <c r="I141" s="143"/>
      <c r="J141" s="143"/>
      <c r="K141" s="144"/>
      <c r="L141" s="145"/>
      <c r="M141" s="146" t="str">
        <f>IFERROR(INDEX([239]TRANSPORTES!C:C,MATCH(B141,[239]TRANSPORTES!A:A,0)),"")</f>
        <v/>
      </c>
      <c r="N141" s="139" t="str">
        <f>IFERROR(INDEX([239]TRANSPORTES!D:D,MATCH(B141,[239]TRANSPORTES!A:A,0)),"")</f>
        <v/>
      </c>
      <c r="O141" s="147"/>
      <c r="P141" s="148" t="str">
        <f>IFERROR(ROUND(K141*N141*L141,2),"")</f>
        <v/>
      </c>
      <c r="Q141" s="119"/>
      <c r="R141" s="4"/>
    </row>
    <row r="142" spans="1:18">
      <c r="A142" s="1">
        <f t="shared" si="4"/>
        <v>0</v>
      </c>
      <c r="B142" s="2"/>
      <c r="C142" s="8"/>
      <c r="D142" s="142" t="str">
        <f>IFERROR(INDEX([239]TRANSPORTES!B:B,MATCH(B142,[239]TRANSPORTES!A:A,0)),"")</f>
        <v/>
      </c>
      <c r="E142" s="143"/>
      <c r="F142" s="143"/>
      <c r="G142" s="143"/>
      <c r="H142" s="143"/>
      <c r="I142" s="143"/>
      <c r="J142" s="143"/>
      <c r="K142" s="144"/>
      <c r="L142" s="145"/>
      <c r="M142" s="146" t="str">
        <f>IFERROR(INDEX([239]TRANSPORTES!C:C,MATCH(B142,[239]TRANSPORTES!A:A,0)),"")</f>
        <v/>
      </c>
      <c r="N142" s="139" t="str">
        <f>IFERROR(INDEX([239]TRANSPORTES!D:D,MATCH(B142,[239]TRANSPORTES!A:A,0)),"")</f>
        <v/>
      </c>
      <c r="O142" s="147"/>
      <c r="P142" s="148" t="str">
        <f>IFERROR(ROUND(K142*N142*L142,2),"")</f>
        <v/>
      </c>
      <c r="Q142" s="119"/>
      <c r="R142" s="4"/>
    </row>
    <row r="143" spans="1:18" ht="15.75" thickBot="1">
      <c r="A143" s="1">
        <f t="shared" si="4"/>
        <v>0</v>
      </c>
      <c r="B143" s="2"/>
      <c r="C143" s="8"/>
      <c r="D143" s="142" t="str">
        <f>IFERROR(INDEX([239]TRANSPORTES!B:B,MATCH(B143,[239]TRANSPORTES!A:A,0)),"")</f>
        <v/>
      </c>
      <c r="E143" s="143"/>
      <c r="F143" s="143"/>
      <c r="G143" s="143"/>
      <c r="H143" s="143"/>
      <c r="I143" s="143"/>
      <c r="J143" s="143"/>
      <c r="K143" s="149"/>
      <c r="L143" s="150"/>
      <c r="M143" s="146" t="str">
        <f>IFERROR(INDEX([239]TRANSPORTES!C:C,MATCH(B143,[239]TRANSPORTES!A:A,0)),"")</f>
        <v/>
      </c>
      <c r="N143" s="139" t="str">
        <f>IFERROR(INDEX([239]TRANSPORTES!D:D,MATCH(B143,[239]TRANSPORTES!A:A,0)),"")</f>
        <v/>
      </c>
      <c r="O143" s="147"/>
      <c r="P143" s="148" t="str">
        <f>IFERROR(ROUND(K143*N143*L143,2),"")</f>
        <v/>
      </c>
      <c r="Q143" s="119"/>
      <c r="R143" s="4"/>
    </row>
    <row r="144" spans="1:18" ht="15.75" thickBot="1">
      <c r="A144" s="1">
        <f t="shared" si="4"/>
        <v>0</v>
      </c>
      <c r="B144" s="2"/>
      <c r="C144" s="8"/>
      <c r="D144" s="128" t="s">
        <v>24</v>
      </c>
      <c r="E144" s="129"/>
      <c r="F144" s="129"/>
      <c r="G144" s="129"/>
      <c r="H144" s="129"/>
      <c r="I144" s="129"/>
      <c r="J144" s="129"/>
      <c r="K144" s="129"/>
      <c r="L144" s="129"/>
      <c r="M144" s="129"/>
      <c r="N144" s="129"/>
      <c r="O144" s="130"/>
      <c r="P144" s="151">
        <f>SUM(P140:P143)</f>
        <v>0</v>
      </c>
      <c r="Q144" s="132"/>
      <c r="R144" s="4"/>
    </row>
    <row r="145" spans="1:18" ht="15.75" thickBot="1">
      <c r="A145" s="1">
        <f t="shared" si="4"/>
        <v>0</v>
      </c>
      <c r="B145" s="2"/>
      <c r="C145" s="8"/>
      <c r="D145" s="74" t="s">
        <v>36</v>
      </c>
      <c r="E145" s="37"/>
      <c r="F145" s="37"/>
      <c r="G145" s="37"/>
      <c r="H145" s="37"/>
      <c r="I145" s="37"/>
      <c r="J145" s="37"/>
      <c r="K145" s="37"/>
      <c r="L145" s="37"/>
      <c r="M145" s="37"/>
      <c r="N145" s="37"/>
      <c r="O145" s="37"/>
      <c r="P145" s="99"/>
      <c r="Q145" s="100"/>
      <c r="R145" s="4"/>
    </row>
    <row r="146" spans="1:18" ht="30">
      <c r="A146" s="1">
        <f t="shared" si="4"/>
        <v>0</v>
      </c>
      <c r="B146" s="2"/>
      <c r="C146" s="8"/>
      <c r="D146" s="101" t="s">
        <v>37</v>
      </c>
      <c r="E146" s="133"/>
      <c r="F146" s="133"/>
      <c r="G146" s="133"/>
      <c r="H146" s="133"/>
      <c r="I146" s="133"/>
      <c r="J146" s="133"/>
      <c r="K146" s="106" t="s">
        <v>38</v>
      </c>
      <c r="L146" s="152" t="s">
        <v>39</v>
      </c>
      <c r="M146" s="153" t="s">
        <v>40</v>
      </c>
      <c r="N146" s="104" t="s">
        <v>21</v>
      </c>
      <c r="O146" s="105"/>
      <c r="P146" s="154" t="s">
        <v>22</v>
      </c>
      <c r="Q146" s="155"/>
      <c r="R146" s="4"/>
    </row>
    <row r="147" spans="1:18">
      <c r="A147" s="1">
        <f t="shared" si="4"/>
        <v>0</v>
      </c>
      <c r="B147" s="2" t="s">
        <v>321</v>
      </c>
      <c r="C147" s="8"/>
      <c r="D147" s="109" t="str">
        <f>IFERROR(INDEX('[239]MANO DE OBRA'!B:B,MATCH(B147,'[239]MANO DE OBRA'!A:A,0)),"")</f>
        <v>ELÉCTRICO</v>
      </c>
      <c r="E147" s="110"/>
      <c r="F147" s="110"/>
      <c r="G147" s="110"/>
      <c r="H147" s="110"/>
      <c r="I147" s="110"/>
      <c r="J147" s="111"/>
      <c r="K147" s="156">
        <f>IFERROR(INDEX('[239]MANO DE OBRA'!D:D,MATCH(B147,'[239]MANO DE OBRA'!A:A,0)),"")</f>
        <v>121352</v>
      </c>
      <c r="L147" s="157">
        <f>+IF(D147&lt;&gt;"",'[239]FACTOR PRESTACIONAL'!$E$21," ")</f>
        <v>1.95</v>
      </c>
      <c r="M147" s="158">
        <f>IFERROR(K147*L147," ")</f>
        <v>236636.4</v>
      </c>
      <c r="N147" s="159">
        <f>8/0.42</f>
        <v>19.047619047619047</v>
      </c>
      <c r="O147" s="160"/>
      <c r="P147" s="161">
        <f>IFERROR(ROUND(M147/N147,2)," ")</f>
        <v>12423.41</v>
      </c>
      <c r="Q147" s="162"/>
      <c r="R147" s="4"/>
    </row>
    <row r="148" spans="1:18">
      <c r="A148" s="1">
        <f t="shared" si="4"/>
        <v>0</v>
      </c>
      <c r="B148" s="2"/>
      <c r="C148" s="8"/>
      <c r="D148" s="109"/>
      <c r="E148" s="110"/>
      <c r="F148" s="110"/>
      <c r="G148" s="110"/>
      <c r="H148" s="110"/>
      <c r="I148" s="110"/>
      <c r="J148" s="111"/>
      <c r="K148" s="156"/>
      <c r="L148" s="157"/>
      <c r="M148" s="158"/>
      <c r="N148" s="159"/>
      <c r="O148" s="160"/>
      <c r="P148" s="161"/>
      <c r="Q148" s="162"/>
      <c r="R148" s="4"/>
    </row>
    <row r="149" spans="1:18">
      <c r="A149" s="1">
        <f t="shared" si="4"/>
        <v>0</v>
      </c>
      <c r="B149" s="2"/>
      <c r="C149" s="8"/>
      <c r="D149" s="109" t="str">
        <f>IFERROR(INDEX('[239]MANO DE OBRA'!B:B,MATCH(B149,'[239]MANO DE OBRA'!A:A,0)),"")</f>
        <v/>
      </c>
      <c r="E149" s="110"/>
      <c r="F149" s="110"/>
      <c r="G149" s="110"/>
      <c r="H149" s="110"/>
      <c r="I149" s="110"/>
      <c r="J149" s="111"/>
      <c r="K149" s="156" t="str">
        <f>IFERROR(INDEX('[239]MANO DE OBRA'!D:D,MATCH(B149,'[239]MANO DE OBRA'!A:A,0)),"")</f>
        <v/>
      </c>
      <c r="L149" s="157" t="str">
        <f>+IF(D149&lt;&gt;"",'[239]FACTOR PRESTACIONAL'!$E$21," ")</f>
        <v xml:space="preserve"> </v>
      </c>
      <c r="M149" s="158" t="str">
        <f>IFERROR(K149*L149," ")</f>
        <v xml:space="preserve"> </v>
      </c>
      <c r="N149" s="159"/>
      <c r="O149" s="160"/>
      <c r="P149" s="161" t="str">
        <f>IFERROR(ROUND(M149/N149,2)," ")</f>
        <v xml:space="preserve"> </v>
      </c>
      <c r="Q149" s="162"/>
      <c r="R149" s="4"/>
    </row>
    <row r="150" spans="1:18">
      <c r="A150" s="1">
        <f t="shared" si="4"/>
        <v>0</v>
      </c>
      <c r="B150" s="2"/>
      <c r="C150" s="8"/>
      <c r="D150" s="109" t="str">
        <f>IFERROR(INDEX('[239]MANO DE OBRA'!B:B,MATCH(B150,'[239]MANO DE OBRA'!A:A,0)),"")</f>
        <v/>
      </c>
      <c r="E150" s="110"/>
      <c r="F150" s="110"/>
      <c r="G150" s="110"/>
      <c r="H150" s="110"/>
      <c r="I150" s="110"/>
      <c r="J150" s="111"/>
      <c r="K150" s="156" t="str">
        <f>IFERROR(INDEX('[239]MANO DE OBRA'!D:D,MATCH(B150,'[239]MANO DE OBRA'!A:A,0)),"")</f>
        <v/>
      </c>
      <c r="L150" s="157" t="str">
        <f>+IF(D150&lt;&gt;"",'[239]FACTOR PRESTACIONAL'!$E$21," ")</f>
        <v xml:space="preserve"> </v>
      </c>
      <c r="M150" s="158" t="str">
        <f>IFERROR(K150*L150," ")</f>
        <v xml:space="preserve"> </v>
      </c>
      <c r="N150" s="159"/>
      <c r="O150" s="160"/>
      <c r="P150" s="161" t="str">
        <f>IFERROR(ROUND(M150/N150,2)," ")</f>
        <v xml:space="preserve"> </v>
      </c>
      <c r="Q150" s="162"/>
      <c r="R150" s="4"/>
    </row>
    <row r="151" spans="1:18" ht="15.75" thickBot="1">
      <c r="A151" s="1">
        <f t="shared" si="4"/>
        <v>0</v>
      </c>
      <c r="B151" s="2"/>
      <c r="C151" s="8"/>
      <c r="D151" s="109" t="str">
        <f>IFERROR(INDEX('[239]MANO DE OBRA'!B:B,MATCH(B151,'[239]MANO DE OBRA'!A:A,0)),"")</f>
        <v/>
      </c>
      <c r="E151" s="110"/>
      <c r="F151" s="110"/>
      <c r="G151" s="110"/>
      <c r="H151" s="110"/>
      <c r="I151" s="110"/>
      <c r="J151" s="111"/>
      <c r="K151" s="156" t="str">
        <f>IFERROR(INDEX('[239]MANO DE OBRA'!D:D,MATCH(B151,'[239]MANO DE OBRA'!A:A,0)),"")</f>
        <v/>
      </c>
      <c r="L151" s="157" t="str">
        <f>+IF(D151&lt;&gt;"",'[239]FACTOR PRESTACIONAL'!$E$21," ")</f>
        <v xml:space="preserve"> </v>
      </c>
      <c r="M151" s="158" t="str">
        <f>IFERROR(K151*L151," ")</f>
        <v xml:space="preserve"> </v>
      </c>
      <c r="N151" s="159"/>
      <c r="O151" s="160"/>
      <c r="P151" s="161" t="str">
        <f>IFERROR(ROUND(M151/N151,2)," ")</f>
        <v xml:space="preserve"> </v>
      </c>
      <c r="Q151" s="119"/>
      <c r="R151" s="4"/>
    </row>
    <row r="152" spans="1:18" ht="15.75" thickBot="1">
      <c r="A152" s="1">
        <f t="shared" si="4"/>
        <v>0</v>
      </c>
      <c r="B152" s="2"/>
      <c r="C152" s="8"/>
      <c r="D152" s="128" t="s">
        <v>24</v>
      </c>
      <c r="E152" s="129"/>
      <c r="F152" s="129"/>
      <c r="G152" s="129"/>
      <c r="H152" s="129"/>
      <c r="I152" s="129"/>
      <c r="J152" s="129"/>
      <c r="K152" s="129"/>
      <c r="L152" s="129"/>
      <c r="M152" s="129"/>
      <c r="N152" s="129"/>
      <c r="O152" s="130"/>
      <c r="P152" s="131">
        <f>SUM(P147:P151)</f>
        <v>12423.41</v>
      </c>
      <c r="Q152" s="119"/>
      <c r="R152" s="4"/>
    </row>
    <row r="153" spans="1:18" ht="15.75" thickBot="1">
      <c r="A153" s="1">
        <f t="shared" si="4"/>
        <v>0</v>
      </c>
      <c r="B153" s="2"/>
      <c r="C153" s="8"/>
      <c r="D153" s="87"/>
      <c r="E153" s="20"/>
      <c r="F153" s="20"/>
      <c r="G153" s="20"/>
      <c r="H153" s="20"/>
      <c r="I153" s="20"/>
      <c r="J153" s="20"/>
      <c r="K153" s="20"/>
      <c r="L153" s="20"/>
      <c r="M153" s="20"/>
      <c r="N153" s="20"/>
      <c r="O153" s="20"/>
      <c r="P153" s="88"/>
      <c r="Q153" s="13"/>
      <c r="R153" s="4"/>
    </row>
    <row r="154" spans="1:18" ht="15.75" thickBot="1">
      <c r="A154" s="1"/>
      <c r="B154" s="2"/>
      <c r="C154" s="8"/>
      <c r="D154" s="163" t="s">
        <v>43</v>
      </c>
      <c r="E154" s="164"/>
      <c r="F154" s="164"/>
      <c r="G154" s="164"/>
      <c r="H154" s="164"/>
      <c r="I154" s="164"/>
      <c r="J154" s="164"/>
      <c r="K154" s="164"/>
      <c r="L154" s="164"/>
      <c r="M154" s="164"/>
      <c r="N154" s="164"/>
      <c r="O154" s="165"/>
      <c r="P154" s="166">
        <f>+P152+P144+P137+P119</f>
        <v>22485.75</v>
      </c>
      <c r="Q154" s="167"/>
      <c r="R154" s="168"/>
    </row>
    <row r="155" spans="1:18" ht="15.75" thickBot="1">
      <c r="A155" s="1"/>
      <c r="B155" s="2"/>
      <c r="C155" s="8"/>
      <c r="D155" s="169"/>
      <c r="E155" s="170"/>
      <c r="F155" s="170"/>
      <c r="G155" s="170"/>
      <c r="H155" s="170"/>
      <c r="I155" s="170"/>
      <c r="J155" s="170"/>
      <c r="K155" s="170"/>
      <c r="L155" s="170"/>
      <c r="M155" s="170"/>
      <c r="N155" s="170"/>
      <c r="O155" s="170"/>
      <c r="P155" s="171"/>
      <c r="Q155" s="100"/>
      <c r="R155" s="4"/>
    </row>
    <row r="156" spans="1:18">
      <c r="A156" s="1"/>
      <c r="B156" s="2"/>
      <c r="C156" s="8"/>
      <c r="D156" s="172" t="s">
        <v>73</v>
      </c>
      <c r="E156" s="173"/>
      <c r="F156" s="173"/>
      <c r="G156" s="173"/>
      <c r="H156" s="173"/>
      <c r="I156" s="173"/>
      <c r="J156" s="173"/>
      <c r="K156" s="141"/>
      <c r="L156" s="174"/>
      <c r="M156" s="153" t="s">
        <v>44</v>
      </c>
      <c r="N156" s="175" t="s">
        <v>45</v>
      </c>
      <c r="O156" s="176"/>
      <c r="P156" s="154"/>
      <c r="Q156" s="155"/>
      <c r="R156" s="4"/>
    </row>
    <row r="157" spans="1:18">
      <c r="A157" s="1"/>
      <c r="B157" s="2"/>
      <c r="C157" s="8"/>
      <c r="D157" s="109" t="s">
        <v>65</v>
      </c>
      <c r="E157" s="110"/>
      <c r="F157" s="110"/>
      <c r="G157" s="110"/>
      <c r="H157" s="110"/>
      <c r="I157" s="110"/>
      <c r="J157" s="110"/>
      <c r="K157" s="177"/>
      <c r="L157" s="178"/>
      <c r="M157" s="179">
        <f>+[239]INICIO!$F$10</f>
        <v>0.24</v>
      </c>
      <c r="N157" s="180">
        <f>ROUND(M157*P154,2)</f>
        <v>5396.58</v>
      </c>
      <c r="O157" s="181"/>
      <c r="P157" s="182"/>
      <c r="Q157" s="119"/>
      <c r="R157" s="4"/>
    </row>
    <row r="158" spans="1:18">
      <c r="A158" s="1"/>
      <c r="B158" s="2"/>
      <c r="C158" s="8"/>
      <c r="D158" s="183" t="s">
        <v>67</v>
      </c>
      <c r="E158" s="61"/>
      <c r="F158" s="61"/>
      <c r="G158" s="61"/>
      <c r="H158" s="61"/>
      <c r="I158" s="61"/>
      <c r="J158" s="61"/>
      <c r="K158" s="177"/>
      <c r="L158" s="178"/>
      <c r="M158" s="179">
        <f>+[239]INICIO!$F$11</f>
        <v>0.02</v>
      </c>
      <c r="N158" s="180">
        <f>ROUND(M158*P154,2)</f>
        <v>449.72</v>
      </c>
      <c r="O158" s="181"/>
      <c r="P158" s="182"/>
      <c r="Q158" s="119"/>
      <c r="R158" s="4"/>
    </row>
    <row r="159" spans="1:18" ht="15.75" thickBot="1">
      <c r="A159" s="1"/>
      <c r="B159" s="2"/>
      <c r="C159" s="8"/>
      <c r="D159" s="77" t="s">
        <v>69</v>
      </c>
      <c r="E159" s="78"/>
      <c r="F159" s="78"/>
      <c r="G159" s="78"/>
      <c r="H159" s="78"/>
      <c r="I159" s="78"/>
      <c r="J159" s="78"/>
      <c r="K159" s="184"/>
      <c r="L159" s="185"/>
      <c r="M159" s="179">
        <f>+[239]INICIO!$F$12</f>
        <v>7.0000000000000007E-2</v>
      </c>
      <c r="N159" s="180">
        <f>ROUND(M159*P154,2)</f>
        <v>1574</v>
      </c>
      <c r="O159" s="181"/>
      <c r="P159" s="182"/>
      <c r="Q159" s="119"/>
      <c r="R159" s="4"/>
    </row>
    <row r="160" spans="1:18" ht="15.75" thickBot="1">
      <c r="A160" s="1"/>
      <c r="B160" s="2"/>
      <c r="C160" s="8"/>
      <c r="D160" s="128"/>
      <c r="E160" s="129"/>
      <c r="F160" s="129"/>
      <c r="G160" s="129"/>
      <c r="H160" s="129"/>
      <c r="I160" s="129"/>
      <c r="J160" s="129"/>
      <c r="K160" s="129"/>
      <c r="L160" s="129"/>
      <c r="M160" s="129"/>
      <c r="N160" s="129"/>
      <c r="O160" s="130"/>
      <c r="P160" s="131">
        <f>SUM(N157:N159)</f>
        <v>7420.3</v>
      </c>
      <c r="Q160" s="186"/>
      <c r="R160" s="4"/>
    </row>
    <row r="161" spans="1:18" ht="15.75" thickBot="1">
      <c r="A161" s="1"/>
      <c r="B161" s="2"/>
      <c r="C161" s="8"/>
      <c r="D161" s="87"/>
      <c r="E161" s="20"/>
      <c r="F161" s="20"/>
      <c r="G161" s="20"/>
      <c r="H161" s="20"/>
      <c r="I161" s="20"/>
      <c r="J161" s="20"/>
      <c r="K161" s="20"/>
      <c r="L161" s="20"/>
      <c r="M161" s="20"/>
      <c r="N161" s="20"/>
      <c r="O161" s="20"/>
      <c r="P161" s="88"/>
      <c r="Q161" s="13"/>
      <c r="R161" s="4"/>
    </row>
    <row r="162" spans="1:18" ht="15.75" thickBot="1">
      <c r="A162" s="1"/>
      <c r="B162" s="2"/>
      <c r="C162" s="8"/>
      <c r="D162" s="187" t="s">
        <v>46</v>
      </c>
      <c r="E162" s="188"/>
      <c r="F162" s="188"/>
      <c r="G162" s="188"/>
      <c r="H162" s="188"/>
      <c r="I162" s="188"/>
      <c r="J162" s="188"/>
      <c r="K162" s="188"/>
      <c r="L162" s="188"/>
      <c r="M162" s="188"/>
      <c r="N162" s="188"/>
      <c r="O162" s="189"/>
      <c r="P162" s="166">
        <f>ROUND(P160+P154,0)</f>
        <v>29906</v>
      </c>
      <c r="Q162" s="186"/>
      <c r="R162" s="4"/>
    </row>
    <row r="163" spans="1:18">
      <c r="A163" s="1"/>
      <c r="B163" s="2"/>
      <c r="C163" s="8"/>
      <c r="D163" s="80"/>
      <c r="E163" s="81"/>
      <c r="F163" s="81"/>
      <c r="G163" s="81"/>
      <c r="H163" s="81"/>
      <c r="I163" s="81"/>
      <c r="J163" s="81"/>
      <c r="K163" s="81"/>
      <c r="L163" s="81"/>
      <c r="M163" s="81"/>
      <c r="N163" s="81"/>
      <c r="O163" s="81"/>
      <c r="P163" s="82"/>
      <c r="Q163" s="13"/>
      <c r="R163" s="4"/>
    </row>
    <row r="164" spans="1:18">
      <c r="A164" s="1"/>
      <c r="B164" s="2"/>
      <c r="C164" s="8"/>
      <c r="D164" s="87"/>
      <c r="E164" s="20"/>
      <c r="F164" s="20"/>
      <c r="G164" s="20"/>
      <c r="H164" s="20"/>
      <c r="I164" s="20"/>
      <c r="J164" s="20"/>
      <c r="K164" s="20"/>
      <c r="L164" s="20"/>
      <c r="M164" s="20"/>
      <c r="N164" s="20"/>
      <c r="O164" s="20"/>
      <c r="P164" s="88"/>
      <c r="Q164" s="13"/>
      <c r="R164" s="4"/>
    </row>
    <row r="165" spans="1:18">
      <c r="A165" s="1"/>
      <c r="B165" s="2"/>
      <c r="C165" s="8"/>
      <c r="D165" s="87"/>
      <c r="E165" s="20"/>
      <c r="F165" s="20"/>
      <c r="G165" s="20"/>
      <c r="H165" s="20"/>
      <c r="I165" s="20"/>
      <c r="J165" s="20"/>
      <c r="K165" s="20"/>
      <c r="L165" s="20"/>
      <c r="M165" s="20"/>
      <c r="N165" s="20"/>
      <c r="O165" s="20"/>
      <c r="P165" s="88"/>
      <c r="Q165" s="13"/>
      <c r="R165" s="4"/>
    </row>
    <row r="166" spans="1:18">
      <c r="A166" s="1"/>
      <c r="B166" s="2"/>
      <c r="C166" s="8"/>
      <c r="D166" s="87"/>
      <c r="E166" s="20"/>
      <c r="F166" s="20"/>
      <c r="G166" s="20"/>
      <c r="H166" s="20"/>
      <c r="I166" s="20"/>
      <c r="J166" s="20"/>
      <c r="K166" s="20"/>
      <c r="L166" s="20"/>
      <c r="M166" s="20"/>
      <c r="N166" s="20"/>
      <c r="O166" s="20"/>
      <c r="P166" s="88"/>
      <c r="Q166" s="13"/>
      <c r="R166" s="4"/>
    </row>
    <row r="167" spans="1:18">
      <c r="A167" s="1"/>
      <c r="B167" s="2"/>
      <c r="C167" s="8"/>
      <c r="D167" s="219" t="str">
        <f>+[239]INICIO!$B$13</f>
        <v>Proyectó:</v>
      </c>
      <c r="E167" s="49"/>
      <c r="F167" s="49"/>
      <c r="G167" s="49"/>
      <c r="H167" s="49"/>
      <c r="I167" s="49"/>
      <c r="J167" s="49"/>
      <c r="K167" s="20"/>
      <c r="L167" s="69" t="str">
        <f>+[239]INICIO!$B$16</f>
        <v>Aprobó:</v>
      </c>
      <c r="M167" s="49"/>
      <c r="N167" s="49"/>
      <c r="O167" s="49"/>
      <c r="P167" s="88"/>
      <c r="Q167" s="13"/>
      <c r="R167" s="4"/>
    </row>
    <row r="168" spans="1:18">
      <c r="A168" s="1"/>
      <c r="B168" s="2"/>
      <c r="C168" s="8"/>
      <c r="D168" s="87"/>
      <c r="E168" s="20" t="str">
        <f>+Hoja2!C$13</f>
        <v>HELMER EDUARDO BECERRA SANTANDER</v>
      </c>
      <c r="F168" s="20"/>
      <c r="G168" s="20"/>
      <c r="H168" s="20"/>
      <c r="I168" s="20"/>
      <c r="J168" s="20"/>
      <c r="K168" s="20"/>
      <c r="L168" s="20"/>
      <c r="M168" s="20" t="str">
        <f>+Hoja2!$C$16</f>
        <v>JESÚS IVÁN QUIÑONES RUEDA</v>
      </c>
      <c r="N168" s="20"/>
      <c r="O168" s="20"/>
      <c r="P168" s="88"/>
      <c r="Q168" s="190"/>
      <c r="R168" s="4"/>
    </row>
    <row r="169" spans="1:18">
      <c r="A169" s="1"/>
      <c r="B169" s="2"/>
      <c r="C169" s="8"/>
      <c r="D169" s="87"/>
      <c r="E169" s="20" t="str">
        <f>+Hoja2!C$14</f>
        <v>APOYO SEC. DE PLANEACIÓN Y OBRAS PÚBLICAS</v>
      </c>
      <c r="F169" s="20"/>
      <c r="G169" s="20"/>
      <c r="H169" s="20"/>
      <c r="I169" s="20"/>
      <c r="J169" s="20"/>
      <c r="K169" s="20"/>
      <c r="L169" s="20"/>
      <c r="M169" s="20" t="str">
        <f>+Hoja2!$C$17</f>
        <v>SECRETARIO DE PLANEACIÓN Y OBRAS PUBLICAS</v>
      </c>
      <c r="N169" s="20"/>
      <c r="O169" s="20"/>
      <c r="P169" s="88"/>
      <c r="Q169" s="190"/>
      <c r="R169" s="4"/>
    </row>
    <row r="170" spans="1:18">
      <c r="A170" s="1"/>
      <c r="B170" s="2"/>
      <c r="C170" s="8"/>
      <c r="D170" s="68"/>
      <c r="E170" s="20" t="str">
        <f>+Hoja2!C$15</f>
        <v>123769-0701671 NTS</v>
      </c>
      <c r="F170" s="191"/>
      <c r="G170" s="191"/>
      <c r="H170" s="191"/>
      <c r="I170" s="20"/>
      <c r="J170" s="191"/>
      <c r="K170" s="191"/>
      <c r="L170" s="191"/>
      <c r="M170" s="192" t="str">
        <f>+Hoja2!C$18</f>
        <v>A21382020-1090480860</v>
      </c>
      <c r="N170" s="191"/>
      <c r="O170" s="191"/>
      <c r="P170" s="193"/>
      <c r="Q170" s="194"/>
      <c r="R170" s="4"/>
    </row>
    <row r="171" spans="1:18" ht="16.5" thickBot="1">
      <c r="A171" s="1"/>
      <c r="B171" s="2"/>
      <c r="C171" s="8"/>
      <c r="D171" s="195"/>
      <c r="E171" s="150"/>
      <c r="F171" s="150"/>
      <c r="G171" s="150"/>
      <c r="H171" s="150"/>
      <c r="I171" s="150"/>
      <c r="J171" s="150"/>
      <c r="K171" s="150"/>
      <c r="L171" s="150"/>
      <c r="M171" s="150"/>
      <c r="N171" s="150"/>
      <c r="O171" s="150"/>
      <c r="P171" s="196"/>
      <c r="Q171" s="197"/>
      <c r="R171" s="4"/>
    </row>
    <row r="172" spans="1:18" ht="15.75" thickBot="1">
      <c r="A172" s="1"/>
      <c r="B172" s="2"/>
      <c r="C172" s="198"/>
      <c r="D172" s="199"/>
      <c r="E172" s="199"/>
      <c r="F172" s="199"/>
      <c r="G172" s="199"/>
      <c r="H172" s="199"/>
      <c r="I172" s="199"/>
      <c r="J172" s="199"/>
      <c r="K172" s="199"/>
      <c r="L172" s="199"/>
      <c r="M172" s="199"/>
      <c r="N172" s="199"/>
      <c r="O172" s="199"/>
      <c r="P172" s="199"/>
      <c r="Q172" s="200"/>
      <c r="R172" s="4"/>
    </row>
    <row r="173" spans="1:18" ht="15.75" thickTop="1">
      <c r="A173" s="1"/>
      <c r="B173" s="2"/>
      <c r="C173" s="5"/>
      <c r="D173" s="6"/>
      <c r="E173" s="6"/>
      <c r="F173" s="6"/>
      <c r="G173" s="6"/>
      <c r="H173" s="6"/>
      <c r="I173" s="6"/>
      <c r="J173" s="6"/>
      <c r="K173" s="6"/>
      <c r="L173" s="6"/>
      <c r="M173" s="6"/>
      <c r="N173" s="6"/>
      <c r="O173" s="6"/>
      <c r="P173" s="6"/>
      <c r="Q173" s="7"/>
      <c r="R173" s="4"/>
    </row>
    <row r="174" spans="1:18" ht="24">
      <c r="A174" s="1"/>
      <c r="B174" s="2"/>
      <c r="C174" s="8"/>
      <c r="D174" s="9" t="str">
        <f>+[239]INICIO!$C$8</f>
        <v>Análisis de Precios Unitarios- Secretaria de Planeación y Obras Publicas de Cubará, Boyacá.</v>
      </c>
      <c r="E174" s="10"/>
      <c r="F174" s="10"/>
      <c r="G174" s="10"/>
      <c r="H174" s="11"/>
      <c r="I174" s="12"/>
      <c r="J174" s="12"/>
      <c r="K174" s="12"/>
      <c r="L174" s="12"/>
      <c r="M174" s="12"/>
      <c r="N174" s="12"/>
      <c r="O174" s="12"/>
      <c r="P174" s="12"/>
      <c r="Q174" s="13"/>
      <c r="R174" s="4"/>
    </row>
    <row r="175" spans="1:18">
      <c r="A175" s="1"/>
      <c r="B175" s="2"/>
      <c r="C175" s="8"/>
      <c r="D175" s="14" t="s">
        <v>0</v>
      </c>
      <c r="E175" s="15" t="str">
        <f>+[239]INICIO!$C$7</f>
        <v>CCE-EICP-FM-14</v>
      </c>
      <c r="F175" s="16"/>
      <c r="G175" s="17" t="str">
        <f>+[239]INICIO!$B$6</f>
        <v>VERSIÓN</v>
      </c>
      <c r="H175" s="14">
        <f>+[239]INICIO!$C$6</f>
        <v>1</v>
      </c>
      <c r="I175" s="12"/>
      <c r="J175" s="12"/>
      <c r="K175" s="12"/>
      <c r="L175" s="12"/>
      <c r="M175" s="12"/>
      <c r="N175" s="12"/>
      <c r="O175" s="12"/>
      <c r="P175" s="12"/>
      <c r="Q175" s="13"/>
      <c r="R175" s="4"/>
    </row>
    <row r="176" spans="1:18">
      <c r="A176" s="1"/>
      <c r="B176" s="2"/>
      <c r="C176" s="8"/>
      <c r="D176" s="18"/>
      <c r="E176" s="19"/>
      <c r="F176" s="18"/>
      <c r="G176" s="19"/>
      <c r="H176" s="12"/>
      <c r="I176" s="12"/>
      <c r="J176" s="12"/>
      <c r="K176" s="12"/>
      <c r="L176" s="12"/>
      <c r="M176" s="12"/>
      <c r="N176" s="12"/>
      <c r="O176" s="12"/>
      <c r="P176" s="12"/>
      <c r="Q176" s="13"/>
      <c r="R176" s="4"/>
    </row>
    <row r="177" spans="1:18" ht="15.75" thickBot="1">
      <c r="A177" s="1"/>
      <c r="B177" s="2"/>
      <c r="C177" s="8"/>
      <c r="D177" s="20"/>
      <c r="E177" s="20"/>
      <c r="F177" s="20"/>
      <c r="G177" s="20"/>
      <c r="H177" s="20"/>
      <c r="I177" s="20"/>
      <c r="J177" s="20"/>
      <c r="K177" s="20"/>
      <c r="L177" s="20"/>
      <c r="M177" s="20"/>
      <c r="N177" s="20"/>
      <c r="O177" s="20"/>
      <c r="P177" s="20"/>
      <c r="Q177" s="13"/>
      <c r="R177" s="4"/>
    </row>
    <row r="178" spans="1:18">
      <c r="A178" s="1"/>
      <c r="B178" s="2"/>
      <c r="C178" s="8"/>
      <c r="D178" s="21"/>
      <c r="E178" s="22"/>
      <c r="F178" s="23"/>
      <c r="G178" s="23"/>
      <c r="H178" s="23"/>
      <c r="I178" s="23"/>
      <c r="J178" s="23"/>
      <c r="K178" s="23"/>
      <c r="L178" s="24"/>
      <c r="M178" s="25"/>
      <c r="N178" s="26"/>
      <c r="O178" s="26"/>
      <c r="P178" s="27"/>
      <c r="Q178" s="28"/>
      <c r="R178" s="4"/>
    </row>
    <row r="179" spans="1:18">
      <c r="A179" s="1"/>
      <c r="B179" s="2"/>
      <c r="C179" s="8"/>
      <c r="D179" s="29"/>
      <c r="E179" s="30" t="s">
        <v>1</v>
      </c>
      <c r="F179" s="31"/>
      <c r="G179" s="31"/>
      <c r="H179" s="31"/>
      <c r="I179" s="31"/>
      <c r="J179" s="31"/>
      <c r="K179" s="31"/>
      <c r="L179" s="32"/>
      <c r="M179" s="33"/>
      <c r="N179" s="34"/>
      <c r="O179" s="34"/>
      <c r="P179" s="35"/>
      <c r="Q179" s="28"/>
      <c r="R179" s="4"/>
    </row>
    <row r="180" spans="1:18">
      <c r="A180" s="1"/>
      <c r="B180" s="2"/>
      <c r="C180" s="8"/>
      <c r="D180" s="29"/>
      <c r="E180" s="36"/>
      <c r="F180" s="37"/>
      <c r="G180" s="37"/>
      <c r="H180" s="37"/>
      <c r="I180" s="37"/>
      <c r="J180" s="37"/>
      <c r="K180" s="37"/>
      <c r="L180" s="38"/>
      <c r="M180" s="39"/>
      <c r="N180" s="40"/>
      <c r="O180" s="41"/>
      <c r="P180" s="42"/>
      <c r="Q180" s="28"/>
      <c r="R180" s="4"/>
    </row>
    <row r="181" spans="1:18">
      <c r="A181" s="1"/>
      <c r="B181" s="2"/>
      <c r="C181" s="8"/>
      <c r="D181" s="29"/>
      <c r="E181" s="36"/>
      <c r="F181" s="37"/>
      <c r="G181" s="37"/>
      <c r="H181" s="37"/>
      <c r="I181" s="37"/>
      <c r="J181" s="37"/>
      <c r="K181" s="37"/>
      <c r="L181" s="38"/>
      <c r="M181" s="43" t="s">
        <v>2</v>
      </c>
      <c r="N181" s="44"/>
      <c r="O181" s="45">
        <f>+[239]INICIO!$C$6</f>
        <v>1</v>
      </c>
      <c r="P181" s="46"/>
      <c r="Q181" s="28"/>
      <c r="R181" s="4"/>
    </row>
    <row r="182" spans="1:18">
      <c r="A182" s="1"/>
      <c r="B182" s="2"/>
      <c r="C182" s="8"/>
      <c r="D182" s="29"/>
      <c r="E182" s="36"/>
      <c r="F182" s="37"/>
      <c r="G182" s="37"/>
      <c r="H182" s="37"/>
      <c r="I182" s="37"/>
      <c r="J182" s="37"/>
      <c r="K182" s="37"/>
      <c r="L182" s="38"/>
      <c r="M182" s="47"/>
      <c r="N182" s="48"/>
      <c r="O182" s="49"/>
      <c r="P182" s="50"/>
      <c r="Q182" s="51"/>
      <c r="R182" s="4"/>
    </row>
    <row r="183" spans="1:18">
      <c r="A183" s="1"/>
      <c r="B183" s="2"/>
      <c r="C183" s="8"/>
      <c r="D183" s="29"/>
      <c r="E183" s="52"/>
      <c r="F183" s="53"/>
      <c r="G183" s="53"/>
      <c r="H183" s="53"/>
      <c r="I183" s="53"/>
      <c r="J183" s="53"/>
      <c r="K183" s="53"/>
      <c r="L183" s="54"/>
      <c r="M183" s="39"/>
      <c r="N183" s="55"/>
      <c r="O183" s="55"/>
      <c r="P183" s="56"/>
      <c r="Q183" s="28"/>
      <c r="R183" s="4"/>
    </row>
    <row r="184" spans="1:18">
      <c r="A184" s="1"/>
      <c r="B184" s="2"/>
      <c r="C184" s="8"/>
      <c r="D184" s="29"/>
      <c r="E184" s="52"/>
      <c r="F184" s="53"/>
      <c r="G184" s="53"/>
      <c r="H184" s="53"/>
      <c r="I184" s="53"/>
      <c r="J184" s="53"/>
      <c r="K184" s="53"/>
      <c r="L184" s="54"/>
      <c r="M184" s="43" t="s">
        <v>3</v>
      </c>
      <c r="N184" s="43" t="str">
        <f>+VLOOKUP(D195,'PRESUPUESTO OFICIAL '!C:Q,9,FALSE)</f>
        <v>39</v>
      </c>
      <c r="O184" s="43" t="s">
        <v>4</v>
      </c>
      <c r="P184" s="508" t="str">
        <f>+'PRESUPUESTO OFICIAL '!$M$122</f>
        <v>62</v>
      </c>
      <c r="Q184" s="28"/>
      <c r="R184" s="4"/>
    </row>
    <row r="185" spans="1:18">
      <c r="A185" s="1"/>
      <c r="B185" s="2"/>
      <c r="C185" s="8"/>
      <c r="D185" s="29"/>
      <c r="E185" s="30" t="s">
        <v>5</v>
      </c>
      <c r="F185" s="31"/>
      <c r="G185" s="31"/>
      <c r="H185" s="31"/>
      <c r="I185" s="31"/>
      <c r="J185" s="31"/>
      <c r="K185" s="31"/>
      <c r="L185" s="32"/>
      <c r="M185" s="43"/>
      <c r="N185" s="57"/>
      <c r="O185" s="57"/>
      <c r="P185" s="58"/>
      <c r="Q185" s="28"/>
      <c r="R185" s="4"/>
    </row>
    <row r="186" spans="1:18" ht="15.75" thickBot="1">
      <c r="A186" s="1"/>
      <c r="B186" s="2"/>
      <c r="C186" s="8"/>
      <c r="D186" s="59"/>
      <c r="E186" s="60"/>
      <c r="F186" s="60"/>
      <c r="G186" s="60"/>
      <c r="H186" s="60"/>
      <c r="I186" s="60"/>
      <c r="J186" s="60"/>
      <c r="K186" s="60"/>
      <c r="L186" s="60"/>
      <c r="M186" s="60"/>
      <c r="N186" s="61"/>
      <c r="O186" s="61"/>
      <c r="P186" s="62"/>
      <c r="Q186" s="63"/>
      <c r="R186" s="4"/>
    </row>
    <row r="187" spans="1:18">
      <c r="A187" s="1"/>
      <c r="B187" s="2"/>
      <c r="C187" s="8"/>
      <c r="D187" s="64"/>
      <c r="E187" s="65"/>
      <c r="F187" s="65"/>
      <c r="G187" s="65"/>
      <c r="H187" s="65"/>
      <c r="I187" s="65"/>
      <c r="J187" s="65"/>
      <c r="K187" s="65"/>
      <c r="L187" s="65"/>
      <c r="M187" s="66" t="s">
        <v>6</v>
      </c>
      <c r="N187" s="66" t="s">
        <v>7</v>
      </c>
      <c r="O187" s="66" t="s">
        <v>8</v>
      </c>
      <c r="P187" s="67" t="s">
        <v>9</v>
      </c>
      <c r="Q187" s="51"/>
      <c r="R187" s="4"/>
    </row>
    <row r="188" spans="1:18">
      <c r="A188" s="1"/>
      <c r="B188" s="2"/>
      <c r="C188" s="8"/>
      <c r="D188" s="68"/>
      <c r="E188" s="69"/>
      <c r="F188" s="69"/>
      <c r="G188" s="69"/>
      <c r="H188" s="69"/>
      <c r="I188" s="69"/>
      <c r="J188" s="69"/>
      <c r="K188" s="69"/>
      <c r="L188" s="69"/>
      <c r="M188" s="70"/>
      <c r="N188" s="71">
        <f>+Hoja2!B$5</f>
        <v>5</v>
      </c>
      <c r="O188" s="71">
        <f>+Hoja2!C$5</f>
        <v>8</v>
      </c>
      <c r="P188" s="72">
        <f>+Hoja2!D$5</f>
        <v>2026</v>
      </c>
      <c r="Q188" s="73"/>
      <c r="R188" s="4"/>
    </row>
    <row r="189" spans="1:18">
      <c r="A189" s="1"/>
      <c r="B189" s="2"/>
      <c r="C189" s="8"/>
      <c r="D189" s="74"/>
      <c r="E189" s="37"/>
      <c r="F189" s="37"/>
      <c r="G189" s="37"/>
      <c r="H189" s="69"/>
      <c r="I189" s="69"/>
      <c r="J189" s="69"/>
      <c r="K189" s="20"/>
      <c r="L189" s="69"/>
      <c r="M189" s="75"/>
      <c r="N189" s="20"/>
      <c r="O189" s="20"/>
      <c r="P189" s="76"/>
      <c r="Q189" s="73"/>
      <c r="R189" s="4"/>
    </row>
    <row r="190" spans="1:18" ht="15.75" thickBot="1">
      <c r="A190" s="1"/>
      <c r="B190" s="2"/>
      <c r="C190" s="8"/>
      <c r="D190" s="77"/>
      <c r="E190" s="78"/>
      <c r="F190" s="78"/>
      <c r="G190" s="78"/>
      <c r="H190" s="78"/>
      <c r="I190" s="78"/>
      <c r="J190" s="78"/>
      <c r="K190" s="78"/>
      <c r="L190" s="78"/>
      <c r="M190" s="78"/>
      <c r="N190" s="78"/>
      <c r="O190" s="78"/>
      <c r="P190" s="79"/>
      <c r="Q190" s="13"/>
      <c r="R190" s="4"/>
    </row>
    <row r="191" spans="1:18" ht="15.75" thickBot="1">
      <c r="A191" s="1"/>
      <c r="B191" s="2"/>
      <c r="C191" s="8"/>
      <c r="D191" s="80"/>
      <c r="E191" s="81"/>
      <c r="F191" s="81"/>
      <c r="G191" s="81"/>
      <c r="H191" s="81"/>
      <c r="I191" s="81"/>
      <c r="J191" s="20"/>
      <c r="K191" s="20"/>
      <c r="L191" s="81"/>
      <c r="M191" s="81"/>
      <c r="N191" s="81"/>
      <c r="O191" s="81"/>
      <c r="P191" s="82"/>
      <c r="Q191" s="13"/>
      <c r="R191" s="4"/>
    </row>
    <row r="192" spans="1:18">
      <c r="A192" s="1"/>
      <c r="B192" s="2"/>
      <c r="C192" s="8"/>
      <c r="D192" s="83" t="s">
        <v>10</v>
      </c>
      <c r="E192" s="84"/>
      <c r="F192" s="84"/>
      <c r="G192" s="84"/>
      <c r="H192" s="84"/>
      <c r="I192" s="84"/>
      <c r="J192" s="84"/>
      <c r="K192" s="84"/>
      <c r="L192" s="84"/>
      <c r="M192" s="84"/>
      <c r="N192" s="84"/>
      <c r="O192" s="84"/>
      <c r="P192" s="85"/>
      <c r="Q192" s="86"/>
      <c r="R192" s="4"/>
    </row>
    <row r="193" spans="1:18" ht="15.75" thickBot="1">
      <c r="A193" s="1"/>
      <c r="B193" s="2"/>
      <c r="C193" s="8"/>
      <c r="D193" s="87"/>
      <c r="E193" s="20"/>
      <c r="F193" s="20"/>
      <c r="G193" s="20"/>
      <c r="H193" s="20"/>
      <c r="I193" s="20"/>
      <c r="J193" s="20"/>
      <c r="K193" s="20"/>
      <c r="L193" s="20"/>
      <c r="M193" s="20"/>
      <c r="N193" s="20"/>
      <c r="O193" s="20"/>
      <c r="P193" s="88"/>
      <c r="Q193" s="13"/>
      <c r="R193" s="4"/>
    </row>
    <row r="194" spans="1:18">
      <c r="A194" s="1" t="s">
        <v>11</v>
      </c>
      <c r="B194" s="2" t="s">
        <v>12</v>
      </c>
      <c r="C194" s="8"/>
      <c r="D194" s="89" t="s">
        <v>13</v>
      </c>
      <c r="E194" s="90" t="s">
        <v>14</v>
      </c>
      <c r="F194" s="90"/>
      <c r="G194" s="90"/>
      <c r="H194" s="90"/>
      <c r="I194" s="90"/>
      <c r="J194" s="90"/>
      <c r="K194" s="90"/>
      <c r="L194" s="90"/>
      <c r="M194" s="90"/>
      <c r="N194" s="91" t="s">
        <v>15</v>
      </c>
      <c r="O194" s="91"/>
      <c r="P194" s="92" t="s">
        <v>16</v>
      </c>
      <c r="Q194" s="93"/>
      <c r="R194" s="4"/>
    </row>
    <row r="195" spans="1:18" ht="15.75" thickBot="1">
      <c r="A195" s="1"/>
      <c r="B195" s="2"/>
      <c r="C195" s="8"/>
      <c r="D195" s="349">
        <f>+'PRESUPUESTO OFICIAL '!C63</f>
        <v>5.03</v>
      </c>
      <c r="E195" s="94" t="str">
        <f>+VLOOKUP(D195,'PRESUPUESTO OFICIAL '!C:H,2,FALSE)</f>
        <v xml:space="preserve">SUMINISTRO E INSTALACION DE INTERRUPTOR DOBLE </v>
      </c>
      <c r="F195" s="94"/>
      <c r="G195" s="94"/>
      <c r="H195" s="94"/>
      <c r="I195" s="94"/>
      <c r="J195" s="94"/>
      <c r="K195" s="94"/>
      <c r="L195" s="94"/>
      <c r="M195" s="94"/>
      <c r="N195" s="94" t="str">
        <f>+VLOOKUP(D195,'PRESUPUESTO OFICIAL '!C:H,3,FALSE)</f>
        <v>UND</v>
      </c>
      <c r="O195" s="95"/>
      <c r="P195" s="96">
        <f>+VLOOKUP(D195,'PRESUPUESTO OFICIAL '!C:H,4,FALSE)</f>
        <v>11</v>
      </c>
      <c r="Q195" s="97"/>
      <c r="R195" s="98">
        <f>+P247</f>
        <v>36693</v>
      </c>
    </row>
    <row r="196" spans="1:18" ht="15.75" thickBot="1">
      <c r="A196" s="1"/>
      <c r="B196" s="2"/>
      <c r="C196" s="8"/>
      <c r="D196" s="74" t="s">
        <v>17</v>
      </c>
      <c r="E196" s="37"/>
      <c r="F196" s="37"/>
      <c r="G196" s="37"/>
      <c r="H196" s="37"/>
      <c r="I196" s="37"/>
      <c r="J196" s="37"/>
      <c r="K196" s="37"/>
      <c r="L196" s="37"/>
      <c r="M196" s="37"/>
      <c r="N196" s="37"/>
      <c r="O196" s="37"/>
      <c r="P196" s="99"/>
      <c r="Q196" s="100"/>
      <c r="R196" s="4"/>
    </row>
    <row r="197" spans="1:18">
      <c r="A197" s="1"/>
      <c r="B197" s="2"/>
      <c r="C197" s="8"/>
      <c r="D197" s="101" t="s">
        <v>14</v>
      </c>
      <c r="E197" s="102"/>
      <c r="F197" s="102"/>
      <c r="G197" s="102"/>
      <c r="H197" s="103"/>
      <c r="I197" s="104" t="s">
        <v>18</v>
      </c>
      <c r="J197" s="102"/>
      <c r="K197" s="104" t="s">
        <v>19</v>
      </c>
      <c r="L197" s="105"/>
      <c r="M197" s="106" t="s">
        <v>20</v>
      </c>
      <c r="N197" s="104" t="s">
        <v>21</v>
      </c>
      <c r="O197" s="105"/>
      <c r="P197" s="107" t="s">
        <v>22</v>
      </c>
      <c r="Q197" s="108"/>
      <c r="R197" s="4"/>
    </row>
    <row r="198" spans="1:18">
      <c r="A198" s="1" t="e">
        <f>[239]INDICE!#REF!</f>
        <v>#REF!</v>
      </c>
      <c r="B198" s="2" t="s">
        <v>23</v>
      </c>
      <c r="C198" s="8"/>
      <c r="D198" s="109" t="str">
        <f>IFERROR(INDEX([239]EQUIPOS!B:B,MATCH(B198,[239]EQUIPOS!A:A,0)),"")</f>
        <v>HERRAMIENTA MENOR (% M.O)</v>
      </c>
      <c r="E198" s="110"/>
      <c r="F198" s="110"/>
      <c r="G198" s="110"/>
      <c r="H198" s="111"/>
      <c r="I198" s="112"/>
      <c r="J198" s="111"/>
      <c r="K198" s="113" t="str">
        <f>IFERROR(INDEX([239]EQUIPOS!C:C,MATCH(B198,[239]EQUIPOS!A:A,0)),"")</f>
        <v>%</v>
      </c>
      <c r="L198" s="114"/>
      <c r="M198" s="115">
        <f>IFERROR(IF(D198="HERRAMIENTA MENOR (% M.O)",P237,INDEX([239]EQUIPOS!D:D,MATCH(B198,[239]EQUIPOS!A:A,0))),"")</f>
        <v>12423.41</v>
      </c>
      <c r="N198" s="116">
        <v>10</v>
      </c>
      <c r="O198" s="117"/>
      <c r="P198" s="118">
        <f t="shared" ref="P198:P203" si="6">IFERROR(ROUND(IF(D198="HERRAMIENTA MENOR (% M.O)",N198%*M198,M198/N198),2)," ")</f>
        <v>1242.3399999999999</v>
      </c>
      <c r="Q198" s="119"/>
      <c r="R198" s="4"/>
    </row>
    <row r="199" spans="1:18">
      <c r="A199" s="1">
        <f>+$A$2593</f>
        <v>0</v>
      </c>
      <c r="B199" s="2"/>
      <c r="C199" s="8"/>
      <c r="D199" s="109" t="str">
        <f>IFERROR(INDEX([239]EQUIPOS!B:B,MATCH(B199,[239]EQUIPOS!A:A,0)),"")</f>
        <v/>
      </c>
      <c r="E199" s="110"/>
      <c r="F199" s="110"/>
      <c r="G199" s="110"/>
      <c r="H199" s="111"/>
      <c r="I199" s="112"/>
      <c r="J199" s="111"/>
      <c r="K199" s="113" t="str">
        <f>IFERROR(INDEX([239]EQUIPOS!C:C,MATCH(B199,[239]EQUIPOS!A:A,0)),"")</f>
        <v/>
      </c>
      <c r="L199" s="114"/>
      <c r="M199" s="115" t="str">
        <f>IFERROR(IF(D199="HERRAMIENTA MENOR (% M.O)",P238,INDEX([239]EQUIPOS!D:D,MATCH(B199,[239]EQUIPOS!A:A,0))),"")</f>
        <v/>
      </c>
      <c r="N199" s="116"/>
      <c r="O199" s="117"/>
      <c r="P199" s="118" t="str">
        <f t="shared" si="6"/>
        <v xml:space="preserve"> </v>
      </c>
      <c r="Q199" s="119"/>
      <c r="R199" s="4"/>
    </row>
    <row r="200" spans="1:18">
      <c r="A200" s="1">
        <f t="shared" ref="A200:A238" si="7">+A199</f>
        <v>0</v>
      </c>
      <c r="B200" s="2"/>
      <c r="C200" s="8"/>
      <c r="D200" s="109" t="str">
        <f>IFERROR(INDEX([239]EQUIPOS!B:B,MATCH(B200,[239]EQUIPOS!A:A,0)),"")</f>
        <v/>
      </c>
      <c r="E200" s="110"/>
      <c r="F200" s="110"/>
      <c r="G200" s="110"/>
      <c r="H200" s="111"/>
      <c r="I200" s="120"/>
      <c r="J200" s="121"/>
      <c r="K200" s="113" t="str">
        <f>IFERROR(INDEX([239]EQUIPOS!C:C,MATCH(B200,[239]EQUIPOS!A:A,0)),"")</f>
        <v/>
      </c>
      <c r="L200" s="114"/>
      <c r="M200" s="115" t="str">
        <f>IFERROR(IF(D200="HERRAMIENTA MENOR (% M.O)",P239,INDEX([239]EQUIPOS!D:D,MATCH(B200,[239]EQUIPOS!A:A,0))),"")</f>
        <v/>
      </c>
      <c r="N200" s="116"/>
      <c r="O200" s="117"/>
      <c r="P200" s="118" t="str">
        <f t="shared" si="6"/>
        <v xml:space="preserve"> </v>
      </c>
      <c r="Q200" s="119"/>
      <c r="R200" s="4"/>
    </row>
    <row r="201" spans="1:18">
      <c r="A201" s="1">
        <f t="shared" si="7"/>
        <v>0</v>
      </c>
      <c r="B201" s="2"/>
      <c r="C201" s="8"/>
      <c r="D201" s="109" t="str">
        <f>IFERROR(INDEX([239]EQUIPOS!B:B,MATCH(B201,[239]EQUIPOS!A:A,0)),"")</f>
        <v/>
      </c>
      <c r="E201" s="110"/>
      <c r="F201" s="110"/>
      <c r="G201" s="110"/>
      <c r="H201" s="111"/>
      <c r="I201" s="120"/>
      <c r="J201" s="121"/>
      <c r="K201" s="113" t="str">
        <f>IFERROR(INDEX([239]EQUIPOS!C:C,MATCH(B201,[239]EQUIPOS!A:A,0)),"")</f>
        <v/>
      </c>
      <c r="L201" s="114"/>
      <c r="M201" s="115" t="str">
        <f>IFERROR(IF(D201="HERRAMIENTA MENOR (% M.O)",P240,INDEX([239]EQUIPOS!D:D,MATCH(B201,[239]EQUIPOS!A:A,0))),"")</f>
        <v/>
      </c>
      <c r="N201" s="116"/>
      <c r="O201" s="117"/>
      <c r="P201" s="118" t="str">
        <f t="shared" si="6"/>
        <v xml:space="preserve"> </v>
      </c>
      <c r="Q201" s="119"/>
      <c r="R201" s="4"/>
    </row>
    <row r="202" spans="1:18">
      <c r="A202" s="1">
        <f t="shared" si="7"/>
        <v>0</v>
      </c>
      <c r="B202" s="2"/>
      <c r="C202" s="8"/>
      <c r="D202" s="109" t="str">
        <f>IFERROR(INDEX([239]EQUIPOS!B:B,MATCH(B202,[239]EQUIPOS!A:A,0)),"")</f>
        <v/>
      </c>
      <c r="E202" s="110"/>
      <c r="F202" s="110"/>
      <c r="G202" s="110"/>
      <c r="H202" s="111"/>
      <c r="I202" s="112"/>
      <c r="J202" s="111"/>
      <c r="K202" s="113" t="str">
        <f>IFERROR(INDEX([239]EQUIPOS!C:C,MATCH(B202,[239]EQUIPOS!A:A,0)),"")</f>
        <v/>
      </c>
      <c r="L202" s="114"/>
      <c r="M202" s="115" t="str">
        <f>IFERROR(IF(D202="HERRAMIENTA MENOR (% M.O)",P241,INDEX([239]EQUIPOS!D:D,MATCH(B202,[239]EQUIPOS!A:A,0))),"")</f>
        <v/>
      </c>
      <c r="N202" s="116"/>
      <c r="O202" s="117"/>
      <c r="P202" s="118" t="str">
        <f t="shared" si="6"/>
        <v xml:space="preserve"> </v>
      </c>
      <c r="Q202" s="119"/>
      <c r="R202" s="4"/>
    </row>
    <row r="203" spans="1:18" ht="15.75" thickBot="1">
      <c r="A203" s="1">
        <f t="shared" si="7"/>
        <v>0</v>
      </c>
      <c r="B203" s="2"/>
      <c r="C203" s="8"/>
      <c r="D203" s="109" t="str">
        <f>IFERROR(INDEX([239]EQUIPOS!B:B,MATCH(B203,[239]EQUIPOS!A:A,0)),"")</f>
        <v/>
      </c>
      <c r="E203" s="78"/>
      <c r="F203" s="78"/>
      <c r="G203" s="78"/>
      <c r="H203" s="122"/>
      <c r="I203" s="123"/>
      <c r="J203" s="122"/>
      <c r="K203" s="113" t="str">
        <f>IFERROR(INDEX([239]EQUIPOS!C:C,MATCH(B203,[239]EQUIPOS!A:A,0)),"")</f>
        <v/>
      </c>
      <c r="L203" s="124"/>
      <c r="M203" s="115" t="str">
        <f>IFERROR(IF(D203="HERRAMIENTA MENOR (% M.O)",P242,INDEX([239]EQUIPOS!D:D,MATCH(B203,[239]EQUIPOS!A:A,0))),"")</f>
        <v/>
      </c>
      <c r="N203" s="125"/>
      <c r="O203" s="126"/>
      <c r="P203" s="127" t="str">
        <f t="shared" si="6"/>
        <v xml:space="preserve"> </v>
      </c>
      <c r="Q203" s="119"/>
      <c r="R203" s="4"/>
    </row>
    <row r="204" spans="1:18" ht="15.75" thickBot="1">
      <c r="A204" s="1">
        <f t="shared" si="7"/>
        <v>0</v>
      </c>
      <c r="B204" s="2"/>
      <c r="C204" s="8"/>
      <c r="D204" s="128" t="s">
        <v>24</v>
      </c>
      <c r="E204" s="129"/>
      <c r="F204" s="129"/>
      <c r="G204" s="129"/>
      <c r="H204" s="129"/>
      <c r="I204" s="129"/>
      <c r="J204" s="129"/>
      <c r="K204" s="129"/>
      <c r="L204" s="129"/>
      <c r="M204" s="129"/>
      <c r="N204" s="129"/>
      <c r="O204" s="130"/>
      <c r="P204" s="131">
        <f>SUM(P198:P203)</f>
        <v>1242.3399999999999</v>
      </c>
      <c r="Q204" s="132"/>
      <c r="R204" s="4"/>
    </row>
    <row r="205" spans="1:18" ht="15.75" thickBot="1">
      <c r="A205" s="1">
        <f t="shared" si="7"/>
        <v>0</v>
      </c>
      <c r="B205" s="2"/>
      <c r="C205" s="8"/>
      <c r="D205" s="74" t="s">
        <v>25</v>
      </c>
      <c r="E205" s="37"/>
      <c r="F205" s="37"/>
      <c r="G205" s="37"/>
      <c r="H205" s="37"/>
      <c r="I205" s="37"/>
      <c r="J205" s="37"/>
      <c r="K205" s="37"/>
      <c r="L205" s="37"/>
      <c r="M205" s="37"/>
      <c r="N205" s="37"/>
      <c r="O205" s="37"/>
      <c r="P205" s="99"/>
      <c r="Q205" s="100"/>
      <c r="R205" s="4"/>
    </row>
    <row r="206" spans="1:18">
      <c r="A206" s="1">
        <f t="shared" si="7"/>
        <v>0</v>
      </c>
      <c r="B206" s="2"/>
      <c r="C206" s="8"/>
      <c r="D206" s="101" t="s">
        <v>14</v>
      </c>
      <c r="E206" s="133"/>
      <c r="F206" s="133"/>
      <c r="G206" s="133"/>
      <c r="H206" s="133"/>
      <c r="I206" s="133"/>
      <c r="J206" s="133"/>
      <c r="K206" s="105"/>
      <c r="L206" s="134" t="s">
        <v>15</v>
      </c>
      <c r="M206" s="106" t="s">
        <v>16</v>
      </c>
      <c r="N206" s="104" t="s">
        <v>26</v>
      </c>
      <c r="O206" s="105"/>
      <c r="P206" s="107" t="s">
        <v>22</v>
      </c>
      <c r="Q206" s="108"/>
      <c r="R206" s="4"/>
    </row>
    <row r="207" spans="1:18">
      <c r="A207" s="1">
        <f t="shared" si="7"/>
        <v>0</v>
      </c>
      <c r="B207" s="2" t="s">
        <v>323</v>
      </c>
      <c r="C207" s="8"/>
      <c r="D207" s="109" t="str">
        <f>IFERROR(INDEX([239]MATERIALES!C:C,MATCH(B207,[239]MATERIALES!B:B,0)),"")</f>
        <v>INTERRUPTOR DOBLE</v>
      </c>
      <c r="E207" s="135"/>
      <c r="F207" s="135"/>
      <c r="G207" s="135"/>
      <c r="H207" s="135"/>
      <c r="I207" s="135"/>
      <c r="J207" s="135"/>
      <c r="K207" s="136"/>
      <c r="L207" s="137" t="str">
        <f>IFERROR(INDEX([239]MATERIALES!D:D,MATCH(B207,[239]MATERIALES!B:B,0)),"")</f>
        <v>UND</v>
      </c>
      <c r="M207" s="138">
        <v>1</v>
      </c>
      <c r="N207" s="139">
        <f>IFERROR(INDEX([239]MATERIALES!P:P,MATCH(B207,[239]MATERIALES!B:B,0)),"")</f>
        <v>13260</v>
      </c>
      <c r="O207" s="140"/>
      <c r="P207" s="118">
        <f>IFERROR(ROUND(N207*M207,2),"")</f>
        <v>13260</v>
      </c>
      <c r="Q207" s="119"/>
      <c r="R207" s="4"/>
    </row>
    <row r="208" spans="1:18">
      <c r="A208" s="2">
        <f t="shared" si="7"/>
        <v>0</v>
      </c>
      <c r="B208" s="2"/>
      <c r="C208" s="8"/>
      <c r="D208" s="109"/>
      <c r="E208" s="135"/>
      <c r="F208" s="135"/>
      <c r="G208" s="135"/>
      <c r="H208" s="135"/>
      <c r="I208" s="135"/>
      <c r="J208" s="135"/>
      <c r="K208" s="136"/>
      <c r="L208" s="137" t="str">
        <f>IFERROR(INDEX([239]MATERIALES!D:D,MATCH(B208,[239]MATERIALES!B:B,0)),"")</f>
        <v/>
      </c>
      <c r="M208" s="138"/>
      <c r="N208" s="139" t="str">
        <f>IFERROR(INDEX([239]MATERIALES!P:P,MATCH(B208,[239]MATERIALES!B:B,0)),"")</f>
        <v/>
      </c>
      <c r="O208" s="140"/>
      <c r="P208" s="118" t="str">
        <f>IFERROR(ROUND(N208*M208,2),"")</f>
        <v/>
      </c>
      <c r="Q208" s="119"/>
      <c r="R208" s="4"/>
    </row>
    <row r="209" spans="1:18">
      <c r="A209" s="2">
        <f t="shared" si="7"/>
        <v>0</v>
      </c>
      <c r="B209" s="2"/>
      <c r="C209" s="8"/>
      <c r="D209" s="109"/>
      <c r="E209" s="110"/>
      <c r="F209" s="110"/>
      <c r="G209" s="110"/>
      <c r="H209" s="110"/>
      <c r="I209" s="110"/>
      <c r="J209" s="110"/>
      <c r="K209" s="111"/>
      <c r="L209" s="137" t="str">
        <f>IFERROR(INDEX([239]MATERIALES!D:D,MATCH(B209,[239]MATERIALES!B:B,0)),"")</f>
        <v/>
      </c>
      <c r="M209" s="138"/>
      <c r="N209" s="139" t="str">
        <f>IFERROR(INDEX([239]MATERIALES!P:P,MATCH(B209,[239]MATERIALES!B:B,0)),"")</f>
        <v/>
      </c>
      <c r="O209" s="140"/>
      <c r="P209" s="118" t="str">
        <f>IFERROR(ROUND(N209*M209,2),"")</f>
        <v/>
      </c>
      <c r="Q209" s="119"/>
      <c r="R209" s="4"/>
    </row>
    <row r="210" spans="1:18">
      <c r="A210" s="2">
        <f t="shared" si="7"/>
        <v>0</v>
      </c>
      <c r="B210" s="2"/>
      <c r="C210" s="8"/>
      <c r="D210" s="109"/>
      <c r="E210" s="110"/>
      <c r="F210" s="110"/>
      <c r="G210" s="110"/>
      <c r="H210" s="110"/>
      <c r="I210" s="110"/>
      <c r="J210" s="110"/>
      <c r="K210" s="111"/>
      <c r="L210" s="137" t="str">
        <f>IFERROR(INDEX([239]MATERIALES!D:D,MATCH(B210,[239]MATERIALES!B:B,0)),"")</f>
        <v/>
      </c>
      <c r="M210" s="138"/>
      <c r="N210" s="139" t="str">
        <f>IFERROR(INDEX([239]MATERIALES!P:P,MATCH(B210,[239]MATERIALES!B:B,0)),"")</f>
        <v/>
      </c>
      <c r="O210" s="140"/>
      <c r="P210" s="118" t="str">
        <f>IFERROR(ROUND(N210*M210,2),"")</f>
        <v/>
      </c>
      <c r="Q210" s="119"/>
      <c r="R210" s="4"/>
    </row>
    <row r="211" spans="1:18">
      <c r="A211" s="2">
        <f t="shared" si="7"/>
        <v>0</v>
      </c>
      <c r="B211" s="2"/>
      <c r="C211" s="8"/>
      <c r="D211" s="109"/>
      <c r="E211" s="110"/>
      <c r="F211" s="110"/>
      <c r="G211" s="110"/>
      <c r="H211" s="110"/>
      <c r="I211" s="110"/>
      <c r="J211" s="110"/>
      <c r="K211" s="111"/>
      <c r="L211" s="137" t="str">
        <f>IFERROR(INDEX([239]MATERIALES!D:D,MATCH(B211,[239]MATERIALES!B:B,0)),"")</f>
        <v/>
      </c>
      <c r="M211" s="138"/>
      <c r="N211" s="139" t="str">
        <f>IFERROR(INDEX([239]MATERIALES!P:P,MATCH(B211,[239]MATERIALES!B:B,0)),"")</f>
        <v/>
      </c>
      <c r="O211" s="140"/>
      <c r="P211" s="118" t="str">
        <f t="shared" ref="P211:P220" si="8">IFERROR(ROUND(N211*M211,2),"")</f>
        <v/>
      </c>
      <c r="Q211" s="119"/>
      <c r="R211" s="4"/>
    </row>
    <row r="212" spans="1:18">
      <c r="A212" s="1">
        <f t="shared" si="7"/>
        <v>0</v>
      </c>
      <c r="B212" s="2"/>
      <c r="C212" s="8"/>
      <c r="D212" s="109"/>
      <c r="E212" s="110"/>
      <c r="F212" s="110"/>
      <c r="G212" s="110"/>
      <c r="H212" s="110"/>
      <c r="I212" s="110"/>
      <c r="J212" s="110"/>
      <c r="K212" s="111"/>
      <c r="L212" s="137" t="str">
        <f>IFERROR(INDEX([239]MATERIALES!D:D,MATCH(B212,[239]MATERIALES!B:B,0)),"")</f>
        <v/>
      </c>
      <c r="M212" s="138"/>
      <c r="N212" s="139" t="str">
        <f>IFERROR(INDEX([239]MATERIALES!P:P,MATCH(B212,[239]MATERIALES!B:B,0)),"")</f>
        <v/>
      </c>
      <c r="O212" s="140"/>
      <c r="P212" s="118" t="str">
        <f t="shared" si="8"/>
        <v/>
      </c>
      <c r="Q212" s="119"/>
      <c r="R212" s="4"/>
    </row>
    <row r="213" spans="1:18">
      <c r="A213" s="1">
        <f t="shared" si="7"/>
        <v>0</v>
      </c>
      <c r="B213" s="2"/>
      <c r="C213" s="8"/>
      <c r="D213" s="109"/>
      <c r="E213" s="110"/>
      <c r="F213" s="110"/>
      <c r="G213" s="110"/>
      <c r="H213" s="110"/>
      <c r="I213" s="110"/>
      <c r="J213" s="110"/>
      <c r="K213" s="111"/>
      <c r="L213" s="137" t="str">
        <f>IFERROR(INDEX([239]MATERIALES!D:D,MATCH(B213,[239]MATERIALES!B:B,0)),"")</f>
        <v/>
      </c>
      <c r="M213" s="138"/>
      <c r="N213" s="139" t="str">
        <f>IFERROR(INDEX([239]MATERIALES!P:P,MATCH(B213,[239]MATERIALES!B:B,0)),"")</f>
        <v/>
      </c>
      <c r="O213" s="140"/>
      <c r="P213" s="118" t="str">
        <f t="shared" si="8"/>
        <v/>
      </c>
      <c r="Q213" s="119"/>
      <c r="R213" s="4"/>
    </row>
    <row r="214" spans="1:18">
      <c r="A214" s="1">
        <f t="shared" si="7"/>
        <v>0</v>
      </c>
      <c r="B214" s="2"/>
      <c r="C214" s="8"/>
      <c r="D214" s="109"/>
      <c r="E214" s="110"/>
      <c r="F214" s="110"/>
      <c r="G214" s="110"/>
      <c r="H214" s="110"/>
      <c r="I214" s="110"/>
      <c r="J214" s="110"/>
      <c r="K214" s="111"/>
      <c r="L214" s="137" t="str">
        <f>IFERROR(INDEX([239]MATERIALES!D:D,MATCH(B214,[239]MATERIALES!B:B,0)),"")</f>
        <v/>
      </c>
      <c r="M214" s="138"/>
      <c r="N214" s="139" t="str">
        <f>IFERROR(INDEX([239]MATERIALES!P:P,MATCH(B214,[239]MATERIALES!B:B,0)),"")</f>
        <v/>
      </c>
      <c r="O214" s="140"/>
      <c r="P214" s="118" t="str">
        <f t="shared" si="8"/>
        <v/>
      </c>
      <c r="Q214" s="119"/>
      <c r="R214" s="4"/>
    </row>
    <row r="215" spans="1:18">
      <c r="A215" s="1">
        <f t="shared" si="7"/>
        <v>0</v>
      </c>
      <c r="B215" s="2"/>
      <c r="C215" s="8"/>
      <c r="D215" s="109"/>
      <c r="E215" s="110"/>
      <c r="F215" s="110"/>
      <c r="G215" s="110"/>
      <c r="H215" s="110"/>
      <c r="I215" s="110"/>
      <c r="J215" s="110"/>
      <c r="K215" s="111"/>
      <c r="L215" s="137" t="str">
        <f>IFERROR(INDEX([239]MATERIALES!D:D,MATCH(B215,[239]MATERIALES!B:B,0)),"")</f>
        <v/>
      </c>
      <c r="M215" s="138"/>
      <c r="N215" s="139" t="str">
        <f>IFERROR(INDEX([239]MATERIALES!P:P,MATCH(B215,[239]MATERIALES!B:B,0)),"")</f>
        <v/>
      </c>
      <c r="O215" s="140"/>
      <c r="P215" s="118" t="str">
        <f t="shared" si="8"/>
        <v/>
      </c>
      <c r="Q215" s="119"/>
      <c r="R215" s="4"/>
    </row>
    <row r="216" spans="1:18">
      <c r="A216" s="1">
        <f t="shared" si="7"/>
        <v>0</v>
      </c>
      <c r="B216" s="2"/>
      <c r="C216" s="8"/>
      <c r="D216" s="109"/>
      <c r="E216" s="110"/>
      <c r="F216" s="110"/>
      <c r="G216" s="110"/>
      <c r="H216" s="110"/>
      <c r="I216" s="110"/>
      <c r="J216" s="110"/>
      <c r="K216" s="111"/>
      <c r="L216" s="137" t="str">
        <f>IFERROR(INDEX([239]MATERIALES!D:D,MATCH(B216,[239]MATERIALES!B:B,0)),"")</f>
        <v/>
      </c>
      <c r="M216" s="138"/>
      <c r="N216" s="139" t="str">
        <f>IFERROR(INDEX([239]MATERIALES!P:P,MATCH(B216,[239]MATERIALES!B:B,0)),"")</f>
        <v/>
      </c>
      <c r="O216" s="140"/>
      <c r="P216" s="118" t="str">
        <f t="shared" si="8"/>
        <v/>
      </c>
      <c r="Q216" s="119"/>
      <c r="R216" s="4"/>
    </row>
    <row r="217" spans="1:18">
      <c r="A217" s="1">
        <f t="shared" si="7"/>
        <v>0</v>
      </c>
      <c r="B217" s="2"/>
      <c r="C217" s="8"/>
      <c r="D217" s="109"/>
      <c r="E217" s="110"/>
      <c r="F217" s="110"/>
      <c r="G217" s="110"/>
      <c r="H217" s="110"/>
      <c r="I217" s="110"/>
      <c r="J217" s="110"/>
      <c r="K217" s="111"/>
      <c r="L217" s="137" t="str">
        <f>IFERROR(INDEX([239]MATERIALES!D:D,MATCH(B217,[239]MATERIALES!B:B,0)),"")</f>
        <v/>
      </c>
      <c r="M217" s="138"/>
      <c r="N217" s="139" t="str">
        <f>IFERROR(INDEX([239]MATERIALES!P:P,MATCH(B217,[239]MATERIALES!B:B,0)),"")</f>
        <v/>
      </c>
      <c r="O217" s="140"/>
      <c r="P217" s="118" t="str">
        <f t="shared" si="8"/>
        <v/>
      </c>
      <c r="Q217" s="119"/>
      <c r="R217" s="4"/>
    </row>
    <row r="218" spans="1:18">
      <c r="A218" s="1">
        <f t="shared" si="7"/>
        <v>0</v>
      </c>
      <c r="B218" s="2"/>
      <c r="C218" s="8"/>
      <c r="D218" s="109" t="str">
        <f>IFERROR(INDEX([239]MATERIALES!C:C,MATCH(B218,[239]MATERIALES!B:B,0)),"")</f>
        <v/>
      </c>
      <c r="E218" s="110"/>
      <c r="F218" s="110"/>
      <c r="G218" s="110"/>
      <c r="H218" s="110"/>
      <c r="I218" s="110"/>
      <c r="J218" s="110"/>
      <c r="K218" s="111"/>
      <c r="L218" s="137" t="str">
        <f>IFERROR(INDEX([239]MATERIALES!D:D,MATCH(B218,[239]MATERIALES!B:B,0)),"")</f>
        <v/>
      </c>
      <c r="M218" s="138"/>
      <c r="N218" s="139" t="str">
        <f>IFERROR(INDEX([239]MATERIALES!P:P,MATCH(B218,[239]MATERIALES!B:B,0)),"")</f>
        <v/>
      </c>
      <c r="O218" s="140"/>
      <c r="P218" s="118" t="str">
        <f t="shared" si="8"/>
        <v/>
      </c>
      <c r="Q218" s="119"/>
      <c r="R218" s="4"/>
    </row>
    <row r="219" spans="1:18">
      <c r="A219" s="1">
        <f t="shared" si="7"/>
        <v>0</v>
      </c>
      <c r="B219" s="2"/>
      <c r="C219" s="8"/>
      <c r="D219" s="109" t="str">
        <f>IFERROR(INDEX([239]MATERIALES!C:C,MATCH(B219,[239]MATERIALES!B:B,0)),"")</f>
        <v/>
      </c>
      <c r="E219" s="110"/>
      <c r="F219" s="110"/>
      <c r="G219" s="110"/>
      <c r="H219" s="110"/>
      <c r="I219" s="110"/>
      <c r="J219" s="110"/>
      <c r="K219" s="111"/>
      <c r="L219" s="137" t="str">
        <f>IFERROR(INDEX([239]MATERIALES!D:D,MATCH(B219,[239]MATERIALES!B:B,0)),"")</f>
        <v/>
      </c>
      <c r="M219" s="138"/>
      <c r="N219" s="139" t="str">
        <f>IFERROR(INDEX([239]MATERIALES!P:P,MATCH(B219,[239]MATERIALES!B:B,0)),"")</f>
        <v/>
      </c>
      <c r="O219" s="140"/>
      <c r="P219" s="118" t="str">
        <f t="shared" si="8"/>
        <v/>
      </c>
      <c r="Q219" s="119"/>
      <c r="R219" s="4"/>
    </row>
    <row r="220" spans="1:18">
      <c r="A220" s="1">
        <f t="shared" si="7"/>
        <v>0</v>
      </c>
      <c r="B220" s="2"/>
      <c r="C220" s="8"/>
      <c r="D220" s="109" t="str">
        <f>IFERROR(INDEX([239]MATERIALES!C:C,MATCH(B220,[239]MATERIALES!B:B,0)),"")</f>
        <v/>
      </c>
      <c r="E220" s="110"/>
      <c r="F220" s="110"/>
      <c r="G220" s="110"/>
      <c r="H220" s="110"/>
      <c r="I220" s="110"/>
      <c r="J220" s="110"/>
      <c r="K220" s="111"/>
      <c r="L220" s="137" t="str">
        <f>IFERROR(INDEX([239]MATERIALES!D:D,MATCH(B220,[239]MATERIALES!B:B,0)),"")</f>
        <v/>
      </c>
      <c r="M220" s="138"/>
      <c r="N220" s="139" t="str">
        <f>IFERROR(INDEX([239]MATERIALES!P:P,MATCH(B220,[239]MATERIALES!B:B,0)),"")</f>
        <v/>
      </c>
      <c r="O220" s="140"/>
      <c r="P220" s="118" t="str">
        <f t="shared" si="8"/>
        <v/>
      </c>
      <c r="Q220" s="119"/>
      <c r="R220" s="4"/>
    </row>
    <row r="221" spans="1:18" ht="15.75" thickBot="1">
      <c r="A221" s="1">
        <f t="shared" si="7"/>
        <v>0</v>
      </c>
      <c r="B221" s="2"/>
      <c r="C221" s="8"/>
      <c r="D221" s="109" t="s">
        <v>28</v>
      </c>
      <c r="E221" s="110"/>
      <c r="F221" s="110"/>
      <c r="G221" s="110"/>
      <c r="H221" s="110"/>
      <c r="I221" s="110"/>
      <c r="J221" s="110"/>
      <c r="K221" s="111"/>
      <c r="L221" s="137" t="s">
        <v>29</v>
      </c>
      <c r="M221" s="138">
        <v>0.05</v>
      </c>
      <c r="N221" s="139">
        <f>SUM(P207:P220)</f>
        <v>13260</v>
      </c>
      <c r="O221" s="140"/>
      <c r="P221" s="118">
        <f>ROUND(N221*M221,2)</f>
        <v>663</v>
      </c>
      <c r="Q221" s="119"/>
      <c r="R221" s="4"/>
    </row>
    <row r="222" spans="1:18" ht="15.75" thickBot="1">
      <c r="A222" s="1">
        <f t="shared" si="7"/>
        <v>0</v>
      </c>
      <c r="B222" s="2"/>
      <c r="C222" s="8"/>
      <c r="D222" s="128" t="s">
        <v>24</v>
      </c>
      <c r="E222" s="129"/>
      <c r="F222" s="129"/>
      <c r="G222" s="129"/>
      <c r="H222" s="129"/>
      <c r="I222" s="129"/>
      <c r="J222" s="129"/>
      <c r="K222" s="129"/>
      <c r="L222" s="129"/>
      <c r="M222" s="129"/>
      <c r="N222" s="129"/>
      <c r="O222" s="130"/>
      <c r="P222" s="131">
        <f>SUM(P207:P221)</f>
        <v>13923</v>
      </c>
      <c r="Q222" s="119"/>
      <c r="R222" s="4"/>
    </row>
    <row r="223" spans="1:18" ht="15.75" thickBot="1">
      <c r="A223" s="1">
        <f t="shared" si="7"/>
        <v>0</v>
      </c>
      <c r="B223" s="2"/>
      <c r="C223" s="8"/>
      <c r="D223" s="74" t="s">
        <v>30</v>
      </c>
      <c r="E223" s="37"/>
      <c r="F223" s="37"/>
      <c r="G223" s="37"/>
      <c r="H223" s="37"/>
      <c r="I223" s="37"/>
      <c r="J223" s="37"/>
      <c r="K223" s="37"/>
      <c r="L223" s="37"/>
      <c r="M223" s="37"/>
      <c r="N223" s="37"/>
      <c r="O223" s="37"/>
      <c r="P223" s="99"/>
      <c r="Q223" s="100"/>
      <c r="R223" s="4"/>
    </row>
    <row r="224" spans="1:18">
      <c r="A224" s="1">
        <f t="shared" si="7"/>
        <v>0</v>
      </c>
      <c r="B224" s="2"/>
      <c r="C224" s="8"/>
      <c r="D224" s="101" t="s">
        <v>31</v>
      </c>
      <c r="E224" s="133"/>
      <c r="F224" s="133"/>
      <c r="G224" s="133"/>
      <c r="H224" s="133"/>
      <c r="I224" s="133"/>
      <c r="J224" s="133"/>
      <c r="K224" s="106" t="s">
        <v>32</v>
      </c>
      <c r="L224" s="141" t="s">
        <v>33</v>
      </c>
      <c r="M224" s="106" t="s">
        <v>34</v>
      </c>
      <c r="N224" s="104" t="s">
        <v>20</v>
      </c>
      <c r="O224" s="105"/>
      <c r="P224" s="107" t="s">
        <v>22</v>
      </c>
      <c r="Q224" s="108"/>
      <c r="R224" s="4"/>
    </row>
    <row r="225" spans="1:18">
      <c r="A225" s="1">
        <f t="shared" si="7"/>
        <v>0</v>
      </c>
      <c r="B225" s="2"/>
      <c r="C225" s="8"/>
      <c r="D225" s="142" t="str">
        <f>IFERROR(INDEX([239]TRANSPORTES!B:B,MATCH(B225,[239]TRANSPORTES!A:A,0)),"")</f>
        <v/>
      </c>
      <c r="E225" s="143"/>
      <c r="F225" s="143"/>
      <c r="G225" s="143"/>
      <c r="H225" s="143"/>
      <c r="I225" s="143"/>
      <c r="J225" s="143"/>
      <c r="K225" s="220"/>
      <c r="L225" s="145"/>
      <c r="M225" s="146" t="str">
        <f>IFERROR(INDEX([239]TRANSPORTES!C:C,MATCH(B225,[239]TRANSPORTES!A:A,0)),"")</f>
        <v/>
      </c>
      <c r="N225" s="139" t="str">
        <f>IFERROR(INDEX([239]TRANSPORTES!D:D,MATCH(B225,[239]TRANSPORTES!A:A,0)),"")</f>
        <v/>
      </c>
      <c r="O225" s="147"/>
      <c r="P225" s="148" t="str">
        <f>IFERROR(ROUND(K225*N225*L225,2),"")</f>
        <v/>
      </c>
      <c r="Q225" s="119"/>
      <c r="R225" s="4"/>
    </row>
    <row r="226" spans="1:18">
      <c r="A226" s="1">
        <f t="shared" si="7"/>
        <v>0</v>
      </c>
      <c r="B226" s="2"/>
      <c r="C226" s="8"/>
      <c r="D226" s="142" t="str">
        <f>IFERROR(INDEX([239]TRANSPORTES!B:B,MATCH(B226,[239]TRANSPORTES!A:A,0)),"")</f>
        <v/>
      </c>
      <c r="E226" s="143"/>
      <c r="F226" s="143"/>
      <c r="G226" s="143"/>
      <c r="H226" s="143"/>
      <c r="I226" s="143"/>
      <c r="J226" s="143"/>
      <c r="K226" s="144"/>
      <c r="L226" s="145"/>
      <c r="M226" s="146" t="str">
        <f>IFERROR(INDEX([239]TRANSPORTES!C:C,MATCH(B226,[239]TRANSPORTES!A:A,0)),"")</f>
        <v/>
      </c>
      <c r="N226" s="139" t="str">
        <f>IFERROR(INDEX([239]TRANSPORTES!D:D,MATCH(B226,[239]TRANSPORTES!A:A,0)),"")</f>
        <v/>
      </c>
      <c r="O226" s="147"/>
      <c r="P226" s="148" t="str">
        <f>IFERROR(ROUND(K226*N226*L226,2),"")</f>
        <v/>
      </c>
      <c r="Q226" s="119"/>
      <c r="R226" s="4"/>
    </row>
    <row r="227" spans="1:18">
      <c r="A227" s="1">
        <f t="shared" si="7"/>
        <v>0</v>
      </c>
      <c r="B227" s="2"/>
      <c r="C227" s="8"/>
      <c r="D227" s="142" t="str">
        <f>IFERROR(INDEX([239]TRANSPORTES!B:B,MATCH(B227,[239]TRANSPORTES!A:A,0)),"")</f>
        <v/>
      </c>
      <c r="E227" s="143"/>
      <c r="F227" s="143"/>
      <c r="G227" s="143"/>
      <c r="H227" s="143"/>
      <c r="I227" s="143"/>
      <c r="J227" s="143"/>
      <c r="K227" s="144"/>
      <c r="L227" s="145"/>
      <c r="M227" s="146" t="str">
        <f>IFERROR(INDEX([239]TRANSPORTES!C:C,MATCH(B227,[239]TRANSPORTES!A:A,0)),"")</f>
        <v/>
      </c>
      <c r="N227" s="139" t="str">
        <f>IFERROR(INDEX([239]TRANSPORTES!D:D,MATCH(B227,[239]TRANSPORTES!A:A,0)),"")</f>
        <v/>
      </c>
      <c r="O227" s="147"/>
      <c r="P227" s="148" t="str">
        <f>IFERROR(ROUND(K227*N227*L227,2),"")</f>
        <v/>
      </c>
      <c r="Q227" s="119"/>
      <c r="R227" s="4"/>
    </row>
    <row r="228" spans="1:18" ht="15.75" thickBot="1">
      <c r="A228" s="1">
        <f t="shared" si="7"/>
        <v>0</v>
      </c>
      <c r="B228" s="2"/>
      <c r="C228" s="8"/>
      <c r="D228" s="142" t="str">
        <f>IFERROR(INDEX([239]TRANSPORTES!B:B,MATCH(B228,[239]TRANSPORTES!A:A,0)),"")</f>
        <v/>
      </c>
      <c r="E228" s="143"/>
      <c r="F228" s="143"/>
      <c r="G228" s="143"/>
      <c r="H228" s="143"/>
      <c r="I228" s="143"/>
      <c r="J228" s="143"/>
      <c r="K228" s="149"/>
      <c r="L228" s="150"/>
      <c r="M228" s="146" t="str">
        <f>IFERROR(INDEX([239]TRANSPORTES!C:C,MATCH(B228,[239]TRANSPORTES!A:A,0)),"")</f>
        <v/>
      </c>
      <c r="N228" s="139" t="str">
        <f>IFERROR(INDEX([239]TRANSPORTES!D:D,MATCH(B228,[239]TRANSPORTES!A:A,0)),"")</f>
        <v/>
      </c>
      <c r="O228" s="147"/>
      <c r="P228" s="148" t="str">
        <f>IFERROR(ROUND(K228*N228*L228,2),"")</f>
        <v/>
      </c>
      <c r="Q228" s="119"/>
      <c r="R228" s="4"/>
    </row>
    <row r="229" spans="1:18" ht="15.75" thickBot="1">
      <c r="A229" s="1">
        <f t="shared" si="7"/>
        <v>0</v>
      </c>
      <c r="B229" s="2"/>
      <c r="C229" s="8"/>
      <c r="D229" s="128" t="s">
        <v>24</v>
      </c>
      <c r="E229" s="129"/>
      <c r="F229" s="129"/>
      <c r="G229" s="129"/>
      <c r="H229" s="129"/>
      <c r="I229" s="129"/>
      <c r="J229" s="129"/>
      <c r="K229" s="129"/>
      <c r="L229" s="129"/>
      <c r="M229" s="129"/>
      <c r="N229" s="129"/>
      <c r="O229" s="130"/>
      <c r="P229" s="151">
        <f>SUM(P225:P228)</f>
        <v>0</v>
      </c>
      <c r="Q229" s="132"/>
      <c r="R229" s="4"/>
    </row>
    <row r="230" spans="1:18" ht="15.75" thickBot="1">
      <c r="A230" s="1">
        <f t="shared" si="7"/>
        <v>0</v>
      </c>
      <c r="B230" s="2"/>
      <c r="C230" s="8"/>
      <c r="D230" s="74" t="s">
        <v>36</v>
      </c>
      <c r="E230" s="37"/>
      <c r="F230" s="37"/>
      <c r="G230" s="37"/>
      <c r="H230" s="37"/>
      <c r="I230" s="37"/>
      <c r="J230" s="37"/>
      <c r="K230" s="37"/>
      <c r="L230" s="37"/>
      <c r="M230" s="37"/>
      <c r="N230" s="37"/>
      <c r="O230" s="37"/>
      <c r="P230" s="99"/>
      <c r="Q230" s="100"/>
      <c r="R230" s="4"/>
    </row>
    <row r="231" spans="1:18" ht="30">
      <c r="A231" s="1">
        <f t="shared" si="7"/>
        <v>0</v>
      </c>
      <c r="B231" s="2"/>
      <c r="C231" s="8"/>
      <c r="D231" s="101" t="s">
        <v>37</v>
      </c>
      <c r="E231" s="133"/>
      <c r="F231" s="133"/>
      <c r="G231" s="133"/>
      <c r="H231" s="133"/>
      <c r="I231" s="133"/>
      <c r="J231" s="133"/>
      <c r="K231" s="106" t="s">
        <v>38</v>
      </c>
      <c r="L231" s="152" t="s">
        <v>39</v>
      </c>
      <c r="M231" s="153" t="s">
        <v>40</v>
      </c>
      <c r="N231" s="104" t="s">
        <v>21</v>
      </c>
      <c r="O231" s="105"/>
      <c r="P231" s="154" t="s">
        <v>22</v>
      </c>
      <c r="Q231" s="155"/>
      <c r="R231" s="4"/>
    </row>
    <row r="232" spans="1:18">
      <c r="A232" s="2">
        <f t="shared" si="7"/>
        <v>0</v>
      </c>
      <c r="B232" s="2" t="s">
        <v>321</v>
      </c>
      <c r="C232" s="8"/>
      <c r="D232" s="109" t="str">
        <f>IFERROR(INDEX('[239]MANO DE OBRA'!B:B,MATCH(B232,'[239]MANO DE OBRA'!A:A,0)),"")</f>
        <v>ELÉCTRICO</v>
      </c>
      <c r="E232" s="110"/>
      <c r="F232" s="110"/>
      <c r="G232" s="110"/>
      <c r="H232" s="110"/>
      <c r="I232" s="110"/>
      <c r="J232" s="111"/>
      <c r="K232" s="156">
        <f>IFERROR(INDEX('[239]MANO DE OBRA'!D:D,MATCH(B232,'[239]MANO DE OBRA'!A:A,0)),"")</f>
        <v>121352</v>
      </c>
      <c r="L232" s="157">
        <f>+IF(D232&lt;&gt;"",'[239]FACTOR PRESTACIONAL'!$E$21," ")</f>
        <v>1.95</v>
      </c>
      <c r="M232" s="158">
        <f>IFERROR(K232*L232," ")</f>
        <v>236636.4</v>
      </c>
      <c r="N232" s="159">
        <f>8/0.42</f>
        <v>19.047619047619047</v>
      </c>
      <c r="O232" s="160"/>
      <c r="P232" s="161">
        <f>IFERROR(ROUND(M232/N232,2)," ")</f>
        <v>12423.41</v>
      </c>
      <c r="Q232" s="162"/>
      <c r="R232" s="4"/>
    </row>
    <row r="233" spans="1:18">
      <c r="A233" s="2">
        <f t="shared" si="7"/>
        <v>0</v>
      </c>
      <c r="B233" s="2" t="s">
        <v>81</v>
      </c>
      <c r="C233" s="8"/>
      <c r="D233" s="109"/>
      <c r="E233" s="110"/>
      <c r="F233" s="110"/>
      <c r="G233" s="110"/>
      <c r="H233" s="110"/>
      <c r="I233" s="110"/>
      <c r="J233" s="111"/>
      <c r="K233" s="156"/>
      <c r="L233" s="157"/>
      <c r="M233" s="158"/>
      <c r="N233" s="159"/>
      <c r="O233" s="160"/>
      <c r="P233" s="161"/>
      <c r="Q233" s="162"/>
      <c r="R233" s="4"/>
    </row>
    <row r="234" spans="1:18">
      <c r="A234" s="1">
        <f t="shared" si="7"/>
        <v>0</v>
      </c>
      <c r="B234" s="2"/>
      <c r="C234" s="8"/>
      <c r="D234" s="109" t="str">
        <f>IFERROR(INDEX('[239]MANO DE OBRA'!B:B,MATCH(B234,'[239]MANO DE OBRA'!A:A,0)),"")</f>
        <v/>
      </c>
      <c r="E234" s="110"/>
      <c r="F234" s="110"/>
      <c r="G234" s="110"/>
      <c r="H234" s="110"/>
      <c r="I234" s="110"/>
      <c r="J234" s="111"/>
      <c r="K234" s="156"/>
      <c r="L234" s="157"/>
      <c r="M234" s="158"/>
      <c r="N234" s="159"/>
      <c r="O234" s="160"/>
      <c r="P234" s="161"/>
      <c r="Q234" s="162"/>
      <c r="R234" s="4"/>
    </row>
    <row r="235" spans="1:18">
      <c r="A235" s="1">
        <f t="shared" si="7"/>
        <v>0</v>
      </c>
      <c r="B235" s="2"/>
      <c r="C235" s="8"/>
      <c r="D235" s="109" t="str">
        <f>IFERROR(INDEX('[239]MANO DE OBRA'!B:B,MATCH(B235,'[239]MANO DE OBRA'!A:A,0)),"")</f>
        <v/>
      </c>
      <c r="E235" s="110"/>
      <c r="F235" s="110"/>
      <c r="G235" s="110"/>
      <c r="H235" s="110"/>
      <c r="I235" s="110"/>
      <c r="J235" s="111"/>
      <c r="K235" s="156" t="str">
        <f>IFERROR(INDEX('[239]MANO DE OBRA'!D:D,MATCH(B235,'[239]MANO DE OBRA'!A:A,0)),"")</f>
        <v/>
      </c>
      <c r="L235" s="157" t="str">
        <f>+IF(D235&lt;&gt;"",'[239]FACTOR PRESTACIONAL'!$E$21," ")</f>
        <v xml:space="preserve"> </v>
      </c>
      <c r="M235" s="158" t="str">
        <f>IFERROR(K235*L235," ")</f>
        <v xml:space="preserve"> </v>
      </c>
      <c r="N235" s="159"/>
      <c r="O235" s="160"/>
      <c r="P235" s="161" t="str">
        <f>IFERROR(ROUND(M235/N235,2)," ")</f>
        <v xml:space="preserve"> </v>
      </c>
      <c r="Q235" s="162"/>
      <c r="R235" s="4"/>
    </row>
    <row r="236" spans="1:18" ht="15.75" thickBot="1">
      <c r="A236" s="1">
        <f t="shared" si="7"/>
        <v>0</v>
      </c>
      <c r="B236" s="2"/>
      <c r="C236" s="8"/>
      <c r="D236" s="109" t="str">
        <f>IFERROR(INDEX('[239]MANO DE OBRA'!B:B,MATCH(B236,'[239]MANO DE OBRA'!A:A,0)),"")</f>
        <v/>
      </c>
      <c r="E236" s="110"/>
      <c r="F236" s="110"/>
      <c r="G236" s="110"/>
      <c r="H236" s="110"/>
      <c r="I236" s="110"/>
      <c r="J236" s="111"/>
      <c r="K236" s="156" t="str">
        <f>IFERROR(INDEX('[239]MANO DE OBRA'!D:D,MATCH(B236,'[239]MANO DE OBRA'!A:A,0)),"")</f>
        <v/>
      </c>
      <c r="L236" s="157" t="str">
        <f>+IF(D236&lt;&gt;"",'[239]FACTOR PRESTACIONAL'!$E$21," ")</f>
        <v xml:space="preserve"> </v>
      </c>
      <c r="M236" s="158" t="str">
        <f>IFERROR(K236*L236," ")</f>
        <v xml:space="preserve"> </v>
      </c>
      <c r="N236" s="159"/>
      <c r="O236" s="160"/>
      <c r="P236" s="161" t="str">
        <f>IFERROR(ROUND(M236/N236,2)," ")</f>
        <v xml:space="preserve"> </v>
      </c>
      <c r="Q236" s="119"/>
      <c r="R236" s="4"/>
    </row>
    <row r="237" spans="1:18" ht="15.75" thickBot="1">
      <c r="A237" s="1">
        <f t="shared" si="7"/>
        <v>0</v>
      </c>
      <c r="B237" s="2"/>
      <c r="C237" s="8"/>
      <c r="D237" s="128" t="s">
        <v>24</v>
      </c>
      <c r="E237" s="129"/>
      <c r="F237" s="129"/>
      <c r="G237" s="129"/>
      <c r="H237" s="129"/>
      <c r="I237" s="129"/>
      <c r="J237" s="129"/>
      <c r="K237" s="129"/>
      <c r="L237" s="129"/>
      <c r="M237" s="129"/>
      <c r="N237" s="129"/>
      <c r="O237" s="130"/>
      <c r="P237" s="131">
        <f>SUM(P232:P236)</f>
        <v>12423.41</v>
      </c>
      <c r="Q237" s="119"/>
      <c r="R237" s="4"/>
    </row>
    <row r="238" spans="1:18" ht="15.75" thickBot="1">
      <c r="A238" s="1">
        <f t="shared" si="7"/>
        <v>0</v>
      </c>
      <c r="B238" s="2"/>
      <c r="C238" s="8"/>
      <c r="D238" s="87"/>
      <c r="E238" s="20"/>
      <c r="F238" s="20"/>
      <c r="G238" s="20"/>
      <c r="H238" s="20"/>
      <c r="I238" s="20"/>
      <c r="J238" s="20"/>
      <c r="K238" s="20"/>
      <c r="L238" s="20"/>
      <c r="M238" s="20"/>
      <c r="N238" s="20"/>
      <c r="O238" s="20"/>
      <c r="P238" s="88"/>
      <c r="Q238" s="13"/>
      <c r="R238" s="4"/>
    </row>
    <row r="239" spans="1:18" ht="15.75" thickBot="1">
      <c r="A239" s="1"/>
      <c r="B239" s="2"/>
      <c r="C239" s="8"/>
      <c r="D239" s="163" t="s">
        <v>43</v>
      </c>
      <c r="E239" s="164"/>
      <c r="F239" s="164"/>
      <c r="G239" s="164"/>
      <c r="H239" s="164"/>
      <c r="I239" s="164"/>
      <c r="J239" s="164"/>
      <c r="K239" s="164"/>
      <c r="L239" s="164"/>
      <c r="M239" s="164"/>
      <c r="N239" s="164"/>
      <c r="O239" s="165"/>
      <c r="P239" s="166">
        <f>+P237+P229+P222+P204</f>
        <v>27588.75</v>
      </c>
      <c r="Q239" s="167"/>
      <c r="R239" s="168"/>
    </row>
    <row r="240" spans="1:18" ht="15.75" thickBot="1">
      <c r="A240" s="1"/>
      <c r="B240" s="2"/>
      <c r="C240" s="8"/>
      <c r="D240" s="169"/>
      <c r="E240" s="170"/>
      <c r="F240" s="170"/>
      <c r="G240" s="170"/>
      <c r="H240" s="170"/>
      <c r="I240" s="170"/>
      <c r="J240" s="170"/>
      <c r="K240" s="170"/>
      <c r="L240" s="170"/>
      <c r="M240" s="170"/>
      <c r="N240" s="170"/>
      <c r="O240" s="170"/>
      <c r="P240" s="171"/>
      <c r="Q240" s="100"/>
      <c r="R240" s="4"/>
    </row>
    <row r="241" spans="1:18">
      <c r="A241" s="1"/>
      <c r="B241" s="2"/>
      <c r="C241" s="8"/>
      <c r="D241" s="172" t="s">
        <v>73</v>
      </c>
      <c r="E241" s="173"/>
      <c r="F241" s="173"/>
      <c r="G241" s="173"/>
      <c r="H241" s="173"/>
      <c r="I241" s="173"/>
      <c r="J241" s="173"/>
      <c r="K241" s="141"/>
      <c r="L241" s="174"/>
      <c r="M241" s="153" t="s">
        <v>44</v>
      </c>
      <c r="N241" s="175" t="s">
        <v>45</v>
      </c>
      <c r="O241" s="176"/>
      <c r="P241" s="154"/>
      <c r="Q241" s="155"/>
      <c r="R241" s="4"/>
    </row>
    <row r="242" spans="1:18">
      <c r="A242" s="1"/>
      <c r="B242" s="2"/>
      <c r="C242" s="8"/>
      <c r="D242" s="109" t="s">
        <v>65</v>
      </c>
      <c r="E242" s="110"/>
      <c r="F242" s="110"/>
      <c r="G242" s="110"/>
      <c r="H242" s="110"/>
      <c r="I242" s="110"/>
      <c r="J242" s="110"/>
      <c r="K242" s="177"/>
      <c r="L242" s="178"/>
      <c r="M242" s="179">
        <f>+[239]INICIO!$F$10</f>
        <v>0.24</v>
      </c>
      <c r="N242" s="180">
        <f>ROUND(M242*P239,2)</f>
        <v>6621.3</v>
      </c>
      <c r="O242" s="181"/>
      <c r="P242" s="182"/>
      <c r="Q242" s="119"/>
      <c r="R242" s="4"/>
    </row>
    <row r="243" spans="1:18">
      <c r="A243" s="1"/>
      <c r="B243" s="2"/>
      <c r="C243" s="8"/>
      <c r="D243" s="183" t="s">
        <v>67</v>
      </c>
      <c r="E243" s="61"/>
      <c r="F243" s="61"/>
      <c r="G243" s="61"/>
      <c r="H243" s="61"/>
      <c r="I243" s="61"/>
      <c r="J243" s="61"/>
      <c r="K243" s="177"/>
      <c r="L243" s="178"/>
      <c r="M243" s="179">
        <f>+[239]INICIO!$F$11</f>
        <v>0.02</v>
      </c>
      <c r="N243" s="180">
        <f>ROUND(M243*P239,2)</f>
        <v>551.78</v>
      </c>
      <c r="O243" s="181"/>
      <c r="P243" s="182"/>
      <c r="Q243" s="119"/>
      <c r="R243" s="4"/>
    </row>
    <row r="244" spans="1:18" ht="15.75" thickBot="1">
      <c r="A244" s="1"/>
      <c r="B244" s="2"/>
      <c r="C244" s="8"/>
      <c r="D244" s="77" t="s">
        <v>69</v>
      </c>
      <c r="E244" s="78"/>
      <c r="F244" s="78"/>
      <c r="G244" s="78"/>
      <c r="H244" s="78"/>
      <c r="I244" s="78"/>
      <c r="J244" s="78"/>
      <c r="K244" s="184"/>
      <c r="L244" s="185"/>
      <c r="M244" s="179">
        <f>+[239]INICIO!$F$12</f>
        <v>7.0000000000000007E-2</v>
      </c>
      <c r="N244" s="180">
        <f>ROUND(M244*P239,2)</f>
        <v>1931.21</v>
      </c>
      <c r="O244" s="181"/>
      <c r="P244" s="182"/>
      <c r="Q244" s="119"/>
      <c r="R244" s="4"/>
    </row>
    <row r="245" spans="1:18" ht="15.75" thickBot="1">
      <c r="A245" s="1"/>
      <c r="B245" s="2"/>
      <c r="C245" s="8"/>
      <c r="D245" s="128"/>
      <c r="E245" s="129"/>
      <c r="F245" s="129"/>
      <c r="G245" s="129"/>
      <c r="H245" s="129"/>
      <c r="I245" s="129"/>
      <c r="J245" s="129"/>
      <c r="K245" s="129"/>
      <c r="L245" s="129"/>
      <c r="M245" s="129"/>
      <c r="N245" s="129"/>
      <c r="O245" s="130"/>
      <c r="P245" s="131">
        <f>SUM(N242:N244)</f>
        <v>9104.2900000000009</v>
      </c>
      <c r="Q245" s="186"/>
      <c r="R245" s="4"/>
    </row>
    <row r="246" spans="1:18" ht="15.75" thickBot="1">
      <c r="A246" s="1"/>
      <c r="B246" s="2"/>
      <c r="C246" s="8"/>
      <c r="D246" s="87"/>
      <c r="E246" s="20"/>
      <c r="F246" s="20"/>
      <c r="G246" s="20"/>
      <c r="H246" s="20"/>
      <c r="I246" s="20"/>
      <c r="J246" s="20"/>
      <c r="K246" s="20"/>
      <c r="L246" s="20"/>
      <c r="M246" s="20"/>
      <c r="N246" s="20"/>
      <c r="O246" s="20"/>
      <c r="P246" s="88"/>
      <c r="Q246" s="13"/>
      <c r="R246" s="4"/>
    </row>
    <row r="247" spans="1:18" ht="15.75" thickBot="1">
      <c r="A247" s="1"/>
      <c r="B247" s="2"/>
      <c r="C247" s="8"/>
      <c r="D247" s="187" t="s">
        <v>46</v>
      </c>
      <c r="E247" s="188"/>
      <c r="F247" s="188"/>
      <c r="G247" s="188"/>
      <c r="H247" s="188"/>
      <c r="I247" s="188"/>
      <c r="J247" s="188"/>
      <c r="K247" s="188"/>
      <c r="L247" s="188"/>
      <c r="M247" s="188"/>
      <c r="N247" s="188"/>
      <c r="O247" s="189"/>
      <c r="P247" s="166">
        <f>ROUND(P245+P239,0)</f>
        <v>36693</v>
      </c>
      <c r="Q247" s="186"/>
      <c r="R247" s="4"/>
    </row>
    <row r="248" spans="1:18">
      <c r="A248" s="1"/>
      <c r="B248" s="2"/>
      <c r="C248" s="8"/>
      <c r="D248" s="80"/>
      <c r="E248" s="81"/>
      <c r="F248" s="81"/>
      <c r="G248" s="81"/>
      <c r="H248" s="81"/>
      <c r="I248" s="81"/>
      <c r="J248" s="81"/>
      <c r="K248" s="81"/>
      <c r="L248" s="81"/>
      <c r="M248" s="81"/>
      <c r="N248" s="81"/>
      <c r="O248" s="81"/>
      <c r="P248" s="82"/>
      <c r="Q248" s="13"/>
      <c r="R248" s="4"/>
    </row>
    <row r="249" spans="1:18">
      <c r="A249" s="1"/>
      <c r="B249" s="2"/>
      <c r="C249" s="8"/>
      <c r="D249" s="87"/>
      <c r="E249" s="20"/>
      <c r="F249" s="20"/>
      <c r="G249" s="20"/>
      <c r="H249" s="20"/>
      <c r="I249" s="20"/>
      <c r="J249" s="20"/>
      <c r="K249" s="20"/>
      <c r="L249" s="20"/>
      <c r="M249" s="20"/>
      <c r="N249" s="20"/>
      <c r="O249" s="20"/>
      <c r="P249" s="88"/>
      <c r="Q249" s="13"/>
      <c r="R249" s="4"/>
    </row>
    <row r="250" spans="1:18">
      <c r="A250" s="1"/>
      <c r="B250" s="2"/>
      <c r="C250" s="8"/>
      <c r="D250" s="87"/>
      <c r="E250" s="20"/>
      <c r="F250" s="20"/>
      <c r="G250" s="20"/>
      <c r="H250" s="20"/>
      <c r="I250" s="20"/>
      <c r="J250" s="20"/>
      <c r="K250" s="20"/>
      <c r="L250" s="20"/>
      <c r="M250" s="20"/>
      <c r="N250" s="20"/>
      <c r="O250" s="20"/>
      <c r="P250" s="88"/>
      <c r="Q250" s="13"/>
      <c r="R250" s="4"/>
    </row>
    <row r="251" spans="1:18">
      <c r="A251" s="1"/>
      <c r="B251" s="2"/>
      <c r="C251" s="8"/>
      <c r="D251" s="87"/>
      <c r="E251" s="20"/>
      <c r="F251" s="20"/>
      <c r="G251" s="20"/>
      <c r="H251" s="20"/>
      <c r="I251" s="20"/>
      <c r="J251" s="20"/>
      <c r="K251" s="20"/>
      <c r="L251" s="20"/>
      <c r="M251" s="20"/>
      <c r="N251" s="20"/>
      <c r="O251" s="20"/>
      <c r="P251" s="88"/>
      <c r="Q251" s="13"/>
      <c r="R251" s="4"/>
    </row>
    <row r="252" spans="1:18">
      <c r="A252" s="1"/>
      <c r="B252" s="2"/>
      <c r="C252" s="8"/>
      <c r="D252" s="219" t="str">
        <f>+[239]INICIO!$B$13</f>
        <v>Proyectó:</v>
      </c>
      <c r="E252" s="49"/>
      <c r="F252" s="49"/>
      <c r="G252" s="49"/>
      <c r="H252" s="49"/>
      <c r="I252" s="49"/>
      <c r="J252" s="49"/>
      <c r="K252" s="20"/>
      <c r="L252" s="69" t="str">
        <f>+[239]INICIO!$B$16</f>
        <v>Aprobó:</v>
      </c>
      <c r="M252" s="49"/>
      <c r="N252" s="49"/>
      <c r="O252" s="49"/>
      <c r="P252" s="88"/>
      <c r="Q252" s="13"/>
      <c r="R252" s="4"/>
    </row>
    <row r="253" spans="1:18">
      <c r="A253" s="1"/>
      <c r="B253" s="2"/>
      <c r="C253" s="8"/>
      <c r="D253" s="87"/>
      <c r="E253" s="20" t="str">
        <f>+Hoja2!C$13</f>
        <v>HELMER EDUARDO BECERRA SANTANDER</v>
      </c>
      <c r="F253" s="20"/>
      <c r="G253" s="20"/>
      <c r="H253" s="20"/>
      <c r="I253" s="20"/>
      <c r="J253" s="20"/>
      <c r="K253" s="20"/>
      <c r="L253" s="20"/>
      <c r="M253" s="20" t="str">
        <f>+Hoja2!$C$16</f>
        <v>JESÚS IVÁN QUIÑONES RUEDA</v>
      </c>
      <c r="N253" s="20"/>
      <c r="O253" s="20"/>
      <c r="P253" s="88"/>
      <c r="Q253" s="190"/>
      <c r="R253" s="4"/>
    </row>
    <row r="254" spans="1:18">
      <c r="A254" s="1"/>
      <c r="B254" s="2"/>
      <c r="C254" s="8"/>
      <c r="D254" s="87"/>
      <c r="E254" s="20" t="str">
        <f>+Hoja2!C$14</f>
        <v>APOYO SEC. DE PLANEACIÓN Y OBRAS PÚBLICAS</v>
      </c>
      <c r="F254" s="20"/>
      <c r="G254" s="20"/>
      <c r="H254" s="20"/>
      <c r="I254" s="20"/>
      <c r="J254" s="20"/>
      <c r="K254" s="20"/>
      <c r="L254" s="20"/>
      <c r="M254" s="20" t="str">
        <f>+Hoja2!$C$17</f>
        <v>SECRETARIO DE PLANEACIÓN Y OBRAS PUBLICAS</v>
      </c>
      <c r="N254" s="20"/>
      <c r="O254" s="20"/>
      <c r="P254" s="88"/>
      <c r="Q254" s="190"/>
      <c r="R254" s="4"/>
    </row>
    <row r="255" spans="1:18">
      <c r="A255" s="1"/>
      <c r="B255" s="2"/>
      <c r="C255" s="8"/>
      <c r="D255" s="68"/>
      <c r="E255" s="20" t="str">
        <f>+Hoja2!C$15</f>
        <v>123769-0701671 NTS</v>
      </c>
      <c r="F255" s="191"/>
      <c r="G255" s="191"/>
      <c r="H255" s="191"/>
      <c r="I255" s="20"/>
      <c r="J255" s="191"/>
      <c r="K255" s="191"/>
      <c r="L255" s="191"/>
      <c r="M255" s="192" t="str">
        <f>+Hoja2!C$18</f>
        <v>A21382020-1090480860</v>
      </c>
      <c r="N255" s="191"/>
      <c r="O255" s="191"/>
      <c r="P255" s="193"/>
      <c r="Q255" s="194"/>
      <c r="R255" s="4"/>
    </row>
    <row r="256" spans="1:18" ht="16.5" thickBot="1">
      <c r="A256" s="1"/>
      <c r="B256" s="2"/>
      <c r="C256" s="8"/>
      <c r="D256" s="195"/>
      <c r="E256" s="150"/>
      <c r="F256" s="150"/>
      <c r="G256" s="150"/>
      <c r="H256" s="150"/>
      <c r="I256" s="150"/>
      <c r="J256" s="150"/>
      <c r="K256" s="150"/>
      <c r="L256" s="150"/>
      <c r="M256" s="150"/>
      <c r="N256" s="150"/>
      <c r="O256" s="150"/>
      <c r="P256" s="196"/>
      <c r="Q256" s="197"/>
      <c r="R256" s="4"/>
    </row>
    <row r="257" spans="1:18" ht="15.75" thickBot="1">
      <c r="A257" s="1"/>
      <c r="B257" s="2"/>
      <c r="C257" s="198"/>
      <c r="D257" s="199"/>
      <c r="E257" s="199"/>
      <c r="F257" s="199"/>
      <c r="G257" s="199"/>
      <c r="H257" s="199"/>
      <c r="I257" s="199"/>
      <c r="J257" s="199"/>
      <c r="K257" s="199"/>
      <c r="L257" s="199"/>
      <c r="M257" s="199"/>
      <c r="N257" s="199"/>
      <c r="O257" s="199"/>
      <c r="P257" s="199"/>
      <c r="Q257" s="200"/>
      <c r="R257" s="4"/>
    </row>
    <row r="258" spans="1:18" ht="16.5" thickTop="1" thickBot="1"/>
    <row r="259" spans="1:18" ht="15.75" thickTop="1">
      <c r="A259" s="1"/>
      <c r="B259" s="2"/>
      <c r="C259" s="5"/>
      <c r="D259" s="6"/>
      <c r="E259" s="6"/>
      <c r="F259" s="6"/>
      <c r="G259" s="6"/>
      <c r="H259" s="6"/>
      <c r="I259" s="6"/>
      <c r="J259" s="6"/>
      <c r="K259" s="6"/>
      <c r="L259" s="6"/>
      <c r="M259" s="6"/>
      <c r="N259" s="6"/>
      <c r="O259" s="6"/>
      <c r="P259" s="6"/>
      <c r="Q259" s="7"/>
      <c r="R259" s="4"/>
    </row>
    <row r="260" spans="1:18" ht="24">
      <c r="A260" s="1"/>
      <c r="B260" s="2"/>
      <c r="C260" s="8"/>
      <c r="D260" s="9" t="str">
        <f>+[239]INICIO!$C$8</f>
        <v>Análisis de Precios Unitarios- Secretaria de Planeación y Obras Publicas de Cubará, Boyacá.</v>
      </c>
      <c r="E260" s="10"/>
      <c r="F260" s="10"/>
      <c r="G260" s="10"/>
      <c r="H260" s="11"/>
      <c r="I260" s="12"/>
      <c r="J260" s="12"/>
      <c r="K260" s="12"/>
      <c r="L260" s="12"/>
      <c r="M260" s="12"/>
      <c r="N260" s="12"/>
      <c r="O260" s="12"/>
      <c r="P260" s="12"/>
      <c r="Q260" s="13"/>
      <c r="R260" s="4"/>
    </row>
    <row r="261" spans="1:18">
      <c r="A261" s="1"/>
      <c r="B261" s="2"/>
      <c r="C261" s="8"/>
      <c r="D261" s="14" t="s">
        <v>0</v>
      </c>
      <c r="E261" s="15" t="str">
        <f>+[239]INICIO!$C$7</f>
        <v>CCE-EICP-FM-14</v>
      </c>
      <c r="F261" s="16"/>
      <c r="G261" s="17" t="str">
        <f>+[239]INICIO!$B$6</f>
        <v>VERSIÓN</v>
      </c>
      <c r="H261" s="14">
        <f>+[239]INICIO!$C$6</f>
        <v>1</v>
      </c>
      <c r="I261" s="12"/>
      <c r="J261" s="12"/>
      <c r="K261" s="12"/>
      <c r="L261" s="12"/>
      <c r="M261" s="12"/>
      <c r="N261" s="12"/>
      <c r="O261" s="12"/>
      <c r="P261" s="12"/>
      <c r="Q261" s="13"/>
      <c r="R261" s="4"/>
    </row>
    <row r="262" spans="1:18">
      <c r="A262" s="1"/>
      <c r="B262" s="2"/>
      <c r="C262" s="8"/>
      <c r="D262" s="18"/>
      <c r="E262" s="19"/>
      <c r="F262" s="18"/>
      <c r="G262" s="19"/>
      <c r="H262" s="12"/>
      <c r="I262" s="12"/>
      <c r="J262" s="12"/>
      <c r="K262" s="12"/>
      <c r="L262" s="12"/>
      <c r="M262" s="12"/>
      <c r="N262" s="12"/>
      <c r="O262" s="12"/>
      <c r="P262" s="12"/>
      <c r="Q262" s="13"/>
      <c r="R262" s="4"/>
    </row>
    <row r="263" spans="1:18" ht="15.75" thickBot="1">
      <c r="A263" s="1"/>
      <c r="B263" s="2"/>
      <c r="C263" s="8"/>
      <c r="D263" s="20"/>
      <c r="E263" s="20"/>
      <c r="F263" s="20"/>
      <c r="G263" s="20"/>
      <c r="H263" s="20"/>
      <c r="I263" s="20"/>
      <c r="J263" s="20"/>
      <c r="K263" s="20"/>
      <c r="L263" s="20"/>
      <c r="M263" s="20"/>
      <c r="N263" s="20"/>
      <c r="O263" s="20"/>
      <c r="P263" s="20"/>
      <c r="Q263" s="13"/>
      <c r="R263" s="4"/>
    </row>
    <row r="264" spans="1:18">
      <c r="A264" s="1"/>
      <c r="B264" s="2"/>
      <c r="C264" s="8"/>
      <c r="D264" s="21"/>
      <c r="E264" s="22"/>
      <c r="F264" s="23"/>
      <c r="G264" s="23"/>
      <c r="H264" s="23"/>
      <c r="I264" s="23"/>
      <c r="J264" s="23"/>
      <c r="K264" s="23"/>
      <c r="L264" s="24"/>
      <c r="M264" s="25"/>
      <c r="N264" s="26"/>
      <c r="O264" s="26"/>
      <c r="P264" s="27"/>
      <c r="Q264" s="28"/>
      <c r="R264" s="4"/>
    </row>
    <row r="265" spans="1:18">
      <c r="A265" s="1"/>
      <c r="B265" s="2"/>
      <c r="C265" s="8"/>
      <c r="D265" s="29"/>
      <c r="E265" s="30" t="s">
        <v>1</v>
      </c>
      <c r="F265" s="31"/>
      <c r="G265" s="31"/>
      <c r="H265" s="31"/>
      <c r="I265" s="31"/>
      <c r="J265" s="31"/>
      <c r="K265" s="31"/>
      <c r="L265" s="32"/>
      <c r="M265" s="33"/>
      <c r="N265" s="34"/>
      <c r="O265" s="34"/>
      <c r="P265" s="35"/>
      <c r="Q265" s="28"/>
      <c r="R265" s="4"/>
    </row>
    <row r="266" spans="1:18">
      <c r="A266" s="1"/>
      <c r="B266" s="2"/>
      <c r="C266" s="8"/>
      <c r="D266" s="29"/>
      <c r="E266" s="36"/>
      <c r="F266" s="37"/>
      <c r="G266" s="37"/>
      <c r="H266" s="37"/>
      <c r="I266" s="37"/>
      <c r="J266" s="37"/>
      <c r="K266" s="37"/>
      <c r="L266" s="38"/>
      <c r="M266" s="39"/>
      <c r="N266" s="40"/>
      <c r="O266" s="41"/>
      <c r="P266" s="42"/>
      <c r="Q266" s="28"/>
      <c r="R266" s="4"/>
    </row>
    <row r="267" spans="1:18">
      <c r="A267" s="1"/>
      <c r="B267" s="2"/>
      <c r="C267" s="8"/>
      <c r="D267" s="29"/>
      <c r="E267" s="36"/>
      <c r="F267" s="37"/>
      <c r="G267" s="37"/>
      <c r="H267" s="37"/>
      <c r="I267" s="37"/>
      <c r="J267" s="37"/>
      <c r="K267" s="37"/>
      <c r="L267" s="38"/>
      <c r="M267" s="43" t="s">
        <v>2</v>
      </c>
      <c r="N267" s="44"/>
      <c r="O267" s="45">
        <f>+[239]INICIO!$C$6</f>
        <v>1</v>
      </c>
      <c r="P267" s="46"/>
      <c r="Q267" s="28"/>
      <c r="R267" s="4"/>
    </row>
    <row r="268" spans="1:18">
      <c r="A268" s="1"/>
      <c r="B268" s="2"/>
      <c r="C268" s="8"/>
      <c r="D268" s="29"/>
      <c r="E268" s="36"/>
      <c r="F268" s="37"/>
      <c r="G268" s="37"/>
      <c r="H268" s="37"/>
      <c r="I268" s="37"/>
      <c r="J268" s="37"/>
      <c r="K268" s="37"/>
      <c r="L268" s="38"/>
      <c r="M268" s="47"/>
      <c r="N268" s="48"/>
      <c r="O268" s="49"/>
      <c r="P268" s="50"/>
      <c r="Q268" s="51"/>
      <c r="R268" s="4"/>
    </row>
    <row r="269" spans="1:18">
      <c r="A269" s="1"/>
      <c r="B269" s="2"/>
      <c r="C269" s="8"/>
      <c r="D269" s="29"/>
      <c r="E269" s="52"/>
      <c r="F269" s="53"/>
      <c r="G269" s="53"/>
      <c r="H269" s="53"/>
      <c r="I269" s="53"/>
      <c r="J269" s="53"/>
      <c r="K269" s="53"/>
      <c r="L269" s="54"/>
      <c r="M269" s="39"/>
      <c r="N269" s="55"/>
      <c r="O269" s="55"/>
      <c r="P269" s="56"/>
      <c r="Q269" s="28"/>
      <c r="R269" s="4"/>
    </row>
    <row r="270" spans="1:18">
      <c r="A270" s="1"/>
      <c r="B270" s="2"/>
      <c r="C270" s="8"/>
      <c r="D270" s="29"/>
      <c r="E270" s="52"/>
      <c r="F270" s="53"/>
      <c r="G270" s="53"/>
      <c r="H270" s="53"/>
      <c r="I270" s="53"/>
      <c r="J270" s="53"/>
      <c r="K270" s="53"/>
      <c r="L270" s="54"/>
      <c r="M270" s="43" t="s">
        <v>3</v>
      </c>
      <c r="N270" s="43" t="str">
        <f>+VLOOKUP(D281,'PRESUPUESTO OFICIAL '!C:Q,9,FALSE)</f>
        <v>40</v>
      </c>
      <c r="O270" s="43" t="s">
        <v>4</v>
      </c>
      <c r="P270" s="508" t="str">
        <f>+'PRESUPUESTO OFICIAL '!$M$122</f>
        <v>62</v>
      </c>
      <c r="Q270" s="28"/>
      <c r="R270" s="4"/>
    </row>
    <row r="271" spans="1:18">
      <c r="A271" s="1"/>
      <c r="B271" s="2"/>
      <c r="C271" s="8"/>
      <c r="D271" s="29"/>
      <c r="E271" s="30" t="s">
        <v>5</v>
      </c>
      <c r="F271" s="31"/>
      <c r="G271" s="31"/>
      <c r="H271" s="31"/>
      <c r="I271" s="31"/>
      <c r="J271" s="31"/>
      <c r="K271" s="31"/>
      <c r="L271" s="32"/>
      <c r="M271" s="43"/>
      <c r="N271" s="57"/>
      <c r="O271" s="57"/>
      <c r="P271" s="58"/>
      <c r="Q271" s="28"/>
      <c r="R271" s="4"/>
    </row>
    <row r="272" spans="1:18" ht="15.75" thickBot="1">
      <c r="A272" s="1"/>
      <c r="B272" s="2"/>
      <c r="C272" s="8"/>
      <c r="D272" s="59"/>
      <c r="E272" s="60"/>
      <c r="F272" s="60"/>
      <c r="G272" s="60"/>
      <c r="H272" s="60"/>
      <c r="I272" s="60"/>
      <c r="J272" s="60"/>
      <c r="K272" s="60"/>
      <c r="L272" s="60"/>
      <c r="M272" s="60"/>
      <c r="N272" s="61"/>
      <c r="O272" s="61"/>
      <c r="P272" s="62"/>
      <c r="Q272" s="63"/>
      <c r="R272" s="4"/>
    </row>
    <row r="273" spans="1:18">
      <c r="A273" s="1"/>
      <c r="B273" s="2"/>
      <c r="C273" s="8"/>
      <c r="D273" s="64"/>
      <c r="E273" s="65"/>
      <c r="F273" s="65"/>
      <c r="G273" s="65"/>
      <c r="H273" s="65"/>
      <c r="I273" s="65"/>
      <c r="J273" s="65"/>
      <c r="K273" s="65"/>
      <c r="L273" s="65"/>
      <c r="M273" s="66" t="s">
        <v>6</v>
      </c>
      <c r="N273" s="66" t="s">
        <v>7</v>
      </c>
      <c r="O273" s="66" t="s">
        <v>8</v>
      </c>
      <c r="P273" s="67" t="s">
        <v>9</v>
      </c>
      <c r="Q273" s="51"/>
      <c r="R273" s="4"/>
    </row>
    <row r="274" spans="1:18">
      <c r="A274" s="1"/>
      <c r="B274" s="2"/>
      <c r="C274" s="8"/>
      <c r="D274" s="68"/>
      <c r="E274" s="69"/>
      <c r="F274" s="69"/>
      <c r="G274" s="69"/>
      <c r="H274" s="69"/>
      <c r="I274" s="69"/>
      <c r="J274" s="69"/>
      <c r="K274" s="69"/>
      <c r="L274" s="69"/>
      <c r="M274" s="70"/>
      <c r="N274" s="71">
        <f>+Hoja2!B$5</f>
        <v>5</v>
      </c>
      <c r="O274" s="71">
        <f>+Hoja2!C$5</f>
        <v>8</v>
      </c>
      <c r="P274" s="72">
        <f>+Hoja2!D$5</f>
        <v>2026</v>
      </c>
      <c r="Q274" s="73"/>
      <c r="R274" s="4"/>
    </row>
    <row r="275" spans="1:18">
      <c r="A275" s="1"/>
      <c r="B275" s="2"/>
      <c r="C275" s="8"/>
      <c r="D275" s="74"/>
      <c r="E275" s="37"/>
      <c r="F275" s="37"/>
      <c r="G275" s="37"/>
      <c r="H275" s="69"/>
      <c r="I275" s="69"/>
      <c r="J275" s="69"/>
      <c r="K275" s="20"/>
      <c r="L275" s="69"/>
      <c r="M275" s="75"/>
      <c r="N275" s="20"/>
      <c r="O275" s="20"/>
      <c r="P275" s="76"/>
      <c r="Q275" s="73"/>
      <c r="R275" s="4"/>
    </row>
    <row r="276" spans="1:18" ht="15.75" thickBot="1">
      <c r="A276" s="1"/>
      <c r="B276" s="2"/>
      <c r="C276" s="8"/>
      <c r="D276" s="77"/>
      <c r="E276" s="78"/>
      <c r="F276" s="78"/>
      <c r="G276" s="78"/>
      <c r="H276" s="78"/>
      <c r="I276" s="78"/>
      <c r="J276" s="78"/>
      <c r="K276" s="78"/>
      <c r="L276" s="78"/>
      <c r="M276" s="78"/>
      <c r="N276" s="78"/>
      <c r="O276" s="78"/>
      <c r="P276" s="79"/>
      <c r="Q276" s="13"/>
      <c r="R276" s="4"/>
    </row>
    <row r="277" spans="1:18" ht="15.75" thickBot="1">
      <c r="A277" s="1"/>
      <c r="B277" s="2"/>
      <c r="C277" s="8"/>
      <c r="D277" s="80"/>
      <c r="E277" s="81"/>
      <c r="F277" s="81"/>
      <c r="G277" s="81"/>
      <c r="H277" s="81"/>
      <c r="I277" s="81"/>
      <c r="J277" s="20"/>
      <c r="K277" s="20"/>
      <c r="L277" s="81"/>
      <c r="M277" s="81"/>
      <c r="N277" s="81"/>
      <c r="O277" s="81"/>
      <c r="P277" s="82"/>
      <c r="Q277" s="13"/>
      <c r="R277" s="4"/>
    </row>
    <row r="278" spans="1:18">
      <c r="A278" s="1"/>
      <c r="B278" s="2"/>
      <c r="C278" s="8"/>
      <c r="D278" s="83" t="s">
        <v>10</v>
      </c>
      <c r="E278" s="84"/>
      <c r="F278" s="84"/>
      <c r="G278" s="84"/>
      <c r="H278" s="84"/>
      <c r="I278" s="84"/>
      <c r="J278" s="84"/>
      <c r="K278" s="84"/>
      <c r="L278" s="84"/>
      <c r="M278" s="84"/>
      <c r="N278" s="84"/>
      <c r="O278" s="84"/>
      <c r="P278" s="85"/>
      <c r="Q278" s="86"/>
      <c r="R278" s="4"/>
    </row>
    <row r="279" spans="1:18" ht="15.75" thickBot="1">
      <c r="A279" s="1"/>
      <c r="B279" s="2"/>
      <c r="C279" s="8"/>
      <c r="D279" s="87"/>
      <c r="E279" s="20"/>
      <c r="F279" s="20"/>
      <c r="G279" s="20"/>
      <c r="H279" s="20"/>
      <c r="I279" s="20"/>
      <c r="J279" s="20"/>
      <c r="K279" s="20"/>
      <c r="L279" s="20"/>
      <c r="M279" s="20"/>
      <c r="N279" s="20"/>
      <c r="O279" s="20"/>
      <c r="P279" s="88"/>
      <c r="Q279" s="13"/>
      <c r="R279" s="4"/>
    </row>
    <row r="280" spans="1:18">
      <c r="A280" s="1" t="s">
        <v>11</v>
      </c>
      <c r="B280" s="2" t="s">
        <v>12</v>
      </c>
      <c r="C280" s="8"/>
      <c r="D280" s="89" t="s">
        <v>13</v>
      </c>
      <c r="E280" s="90" t="s">
        <v>14</v>
      </c>
      <c r="F280" s="90"/>
      <c r="G280" s="90"/>
      <c r="H280" s="90"/>
      <c r="I280" s="90"/>
      <c r="J280" s="90"/>
      <c r="K280" s="90"/>
      <c r="L280" s="90"/>
      <c r="M280" s="90"/>
      <c r="N280" s="91" t="s">
        <v>15</v>
      </c>
      <c r="O280" s="91"/>
      <c r="P280" s="92" t="s">
        <v>16</v>
      </c>
      <c r="Q280" s="93"/>
      <c r="R280" s="4"/>
    </row>
    <row r="281" spans="1:18" ht="15.75" thickBot="1">
      <c r="A281" s="1"/>
      <c r="B281" s="2"/>
      <c r="C281" s="8"/>
      <c r="D281" s="349">
        <f>+'PRESUPUESTO OFICIAL '!C64</f>
        <v>5.04</v>
      </c>
      <c r="E281" s="94" t="str">
        <f>+VLOOKUP(D281,'PRESUPUESTO OFICIAL '!C:H,2,FALSE)</f>
        <v>SUMINISTRO E INSTALACION DE PLAFON Y BOMBILLO DE 40W</v>
      </c>
      <c r="F281" s="94"/>
      <c r="G281" s="94"/>
      <c r="H281" s="94"/>
      <c r="I281" s="94"/>
      <c r="J281" s="94"/>
      <c r="K281" s="94"/>
      <c r="L281" s="94"/>
      <c r="M281" s="94"/>
      <c r="N281" s="94" t="str">
        <f>+VLOOKUP(D281,'PRESUPUESTO OFICIAL '!C:H,3,FALSE)</f>
        <v>UND</v>
      </c>
      <c r="O281" s="95"/>
      <c r="P281" s="96">
        <f>+VLOOKUP(D281,'PRESUPUESTO OFICIAL '!C:H,4,FALSE)</f>
        <v>44</v>
      </c>
      <c r="Q281" s="97"/>
      <c r="R281" s="98">
        <f>+P333</f>
        <v>57765</v>
      </c>
    </row>
    <row r="282" spans="1:18" ht="15.75" thickBot="1">
      <c r="A282" s="1"/>
      <c r="B282" s="2"/>
      <c r="C282" s="8"/>
      <c r="D282" s="74" t="s">
        <v>17</v>
      </c>
      <c r="E282" s="37"/>
      <c r="F282" s="37"/>
      <c r="G282" s="37"/>
      <c r="H282" s="37"/>
      <c r="I282" s="37"/>
      <c r="J282" s="37"/>
      <c r="K282" s="37"/>
      <c r="L282" s="37"/>
      <c r="M282" s="37"/>
      <c r="N282" s="37"/>
      <c r="O282" s="37"/>
      <c r="P282" s="99"/>
      <c r="Q282" s="100"/>
      <c r="R282" s="4"/>
    </row>
    <row r="283" spans="1:18">
      <c r="A283" s="1"/>
      <c r="B283" s="2"/>
      <c r="C283" s="8"/>
      <c r="D283" s="101" t="s">
        <v>14</v>
      </c>
      <c r="E283" s="102"/>
      <c r="F283" s="102"/>
      <c r="G283" s="102"/>
      <c r="H283" s="103"/>
      <c r="I283" s="104" t="s">
        <v>18</v>
      </c>
      <c r="J283" s="102"/>
      <c r="K283" s="104" t="s">
        <v>19</v>
      </c>
      <c r="L283" s="105"/>
      <c r="M283" s="106" t="s">
        <v>20</v>
      </c>
      <c r="N283" s="104" t="s">
        <v>21</v>
      </c>
      <c r="O283" s="105"/>
      <c r="P283" s="107" t="s">
        <v>22</v>
      </c>
      <c r="Q283" s="108"/>
      <c r="R283" s="4"/>
    </row>
    <row r="284" spans="1:18">
      <c r="A284" s="1" t="e">
        <f>[239]INDICE!#REF!</f>
        <v>#REF!</v>
      </c>
      <c r="B284" s="2" t="s">
        <v>23</v>
      </c>
      <c r="C284" s="8"/>
      <c r="D284" s="109" t="str">
        <f>IFERROR(INDEX([239]EQUIPOS!B:B,MATCH(B284,[239]EQUIPOS!A:A,0)),"")</f>
        <v>HERRAMIENTA MENOR (% M.O)</v>
      </c>
      <c r="E284" s="110"/>
      <c r="F284" s="110"/>
      <c r="G284" s="110"/>
      <c r="H284" s="111"/>
      <c r="I284" s="112"/>
      <c r="J284" s="111"/>
      <c r="K284" s="113" t="str">
        <f>IFERROR(INDEX([239]EQUIPOS!C:C,MATCH(B284,[239]EQUIPOS!A:A,0)),"")</f>
        <v>%</v>
      </c>
      <c r="L284" s="114"/>
      <c r="M284" s="115">
        <f>IFERROR(IF(D284="HERRAMIENTA MENOR (% M.O)",P323,INDEX([239]EQUIPOS!D:D,MATCH(B284,[239]EQUIPOS!A:A,0))),"")</f>
        <v>15507.14</v>
      </c>
      <c r="N284" s="116">
        <v>10</v>
      </c>
      <c r="O284" s="117"/>
      <c r="P284" s="118">
        <f t="shared" ref="P284:P289" si="9">IFERROR(ROUND(IF(D284="HERRAMIENTA MENOR (% M.O)",N284%*M284,M284/N284),2)," ")</f>
        <v>1550.71</v>
      </c>
      <c r="Q284" s="119"/>
      <c r="R284" s="4"/>
    </row>
    <row r="285" spans="1:18">
      <c r="A285" s="1">
        <f>+$A$2593</f>
        <v>0</v>
      </c>
      <c r="B285" s="2" t="s">
        <v>258</v>
      </c>
      <c r="C285" s="8"/>
      <c r="D285" s="109" t="str">
        <f>IFERROR(INDEX([239]EQUIPOS!B:B,MATCH(B285,[239]EQUIPOS!A:A,0)),"")</f>
        <v>SECCIÓN DE ANDAMIO (02)</v>
      </c>
      <c r="E285" s="110"/>
      <c r="F285" s="110"/>
      <c r="G285" s="110"/>
      <c r="H285" s="111"/>
      <c r="I285" s="112"/>
      <c r="J285" s="111"/>
      <c r="K285" s="113" t="str">
        <f>IFERROR(INDEX([239]EQUIPOS!C:C,MATCH(B285,[239]EQUIPOS!A:A,0)),"")</f>
        <v>DIA</v>
      </c>
      <c r="L285" s="114"/>
      <c r="M285" s="115">
        <f>IFERROR(IF(D285="HERRAMIENTA MENOR (% M.O)",P324,INDEX([239]EQUIPOS!D:D,MATCH(B285,[239]EQUIPOS!A:A,0))),"")</f>
        <v>6000</v>
      </c>
      <c r="N285" s="116">
        <f>+N318*2</f>
        <v>48.484848484848484</v>
      </c>
      <c r="O285" s="117"/>
      <c r="P285" s="118">
        <f t="shared" si="9"/>
        <v>123.75</v>
      </c>
      <c r="Q285" s="119"/>
      <c r="R285" s="4"/>
    </row>
    <row r="286" spans="1:18">
      <c r="A286" s="1">
        <f t="shared" ref="A286:A324" si="10">+A285</f>
        <v>0</v>
      </c>
      <c r="B286" s="2"/>
      <c r="C286" s="8"/>
      <c r="D286" s="109" t="str">
        <f>IFERROR(INDEX([239]EQUIPOS!B:B,MATCH(B286,[239]EQUIPOS!A:A,0)),"")</f>
        <v/>
      </c>
      <c r="E286" s="110"/>
      <c r="F286" s="110"/>
      <c r="G286" s="110"/>
      <c r="H286" s="111"/>
      <c r="I286" s="120"/>
      <c r="J286" s="121"/>
      <c r="K286" s="113" t="str">
        <f>IFERROR(INDEX([239]EQUIPOS!C:C,MATCH(B286,[239]EQUIPOS!A:A,0)),"")</f>
        <v/>
      </c>
      <c r="L286" s="114"/>
      <c r="M286" s="115" t="str">
        <f>IFERROR(IF(D286="HERRAMIENTA MENOR (% M.O)",P325,INDEX([239]EQUIPOS!D:D,MATCH(B286,[239]EQUIPOS!A:A,0))),"")</f>
        <v/>
      </c>
      <c r="N286" s="116"/>
      <c r="O286" s="117"/>
      <c r="P286" s="118" t="str">
        <f t="shared" si="9"/>
        <v xml:space="preserve"> </v>
      </c>
      <c r="Q286" s="119"/>
      <c r="R286" s="4"/>
    </row>
    <row r="287" spans="1:18">
      <c r="A287" s="1">
        <f t="shared" si="10"/>
        <v>0</v>
      </c>
      <c r="B287" s="2"/>
      <c r="C287" s="8"/>
      <c r="D287" s="109" t="str">
        <f>IFERROR(INDEX([239]EQUIPOS!B:B,MATCH(B287,[239]EQUIPOS!A:A,0)),"")</f>
        <v/>
      </c>
      <c r="E287" s="110"/>
      <c r="F287" s="110"/>
      <c r="G287" s="110"/>
      <c r="H287" s="111"/>
      <c r="I287" s="120"/>
      <c r="J287" s="121"/>
      <c r="K287" s="113" t="str">
        <f>IFERROR(INDEX([239]EQUIPOS!C:C,MATCH(B287,[239]EQUIPOS!A:A,0)),"")</f>
        <v/>
      </c>
      <c r="L287" s="114"/>
      <c r="M287" s="115" t="str">
        <f>IFERROR(IF(D287="HERRAMIENTA MENOR (% M.O)",P326,INDEX([239]EQUIPOS!D:D,MATCH(B287,[239]EQUIPOS!A:A,0))),"")</f>
        <v/>
      </c>
      <c r="N287" s="116"/>
      <c r="O287" s="117"/>
      <c r="P287" s="118" t="str">
        <f t="shared" si="9"/>
        <v xml:space="preserve"> </v>
      </c>
      <c r="Q287" s="119"/>
      <c r="R287" s="4"/>
    </row>
    <row r="288" spans="1:18">
      <c r="A288" s="1">
        <f t="shared" si="10"/>
        <v>0</v>
      </c>
      <c r="B288" s="2"/>
      <c r="C288" s="8"/>
      <c r="D288" s="109" t="str">
        <f>IFERROR(INDEX([239]EQUIPOS!B:B,MATCH(B288,[239]EQUIPOS!A:A,0)),"")</f>
        <v/>
      </c>
      <c r="E288" s="110"/>
      <c r="F288" s="110"/>
      <c r="G288" s="110"/>
      <c r="H288" s="111"/>
      <c r="I288" s="112"/>
      <c r="J288" s="111"/>
      <c r="K288" s="113" t="str">
        <f>IFERROR(INDEX([239]EQUIPOS!C:C,MATCH(B288,[239]EQUIPOS!A:A,0)),"")</f>
        <v/>
      </c>
      <c r="L288" s="114"/>
      <c r="M288" s="115" t="str">
        <f>IFERROR(IF(D288="HERRAMIENTA MENOR (% M.O)",P327,INDEX([239]EQUIPOS!D:D,MATCH(B288,[239]EQUIPOS!A:A,0))),"")</f>
        <v/>
      </c>
      <c r="N288" s="116"/>
      <c r="O288" s="117"/>
      <c r="P288" s="118" t="str">
        <f t="shared" si="9"/>
        <v xml:space="preserve"> </v>
      </c>
      <c r="Q288" s="119"/>
      <c r="R288" s="4"/>
    </row>
    <row r="289" spans="1:18" ht="15.75" thickBot="1">
      <c r="A289" s="1">
        <f t="shared" si="10"/>
        <v>0</v>
      </c>
      <c r="B289" s="2"/>
      <c r="C289" s="8"/>
      <c r="D289" s="109" t="str">
        <f>IFERROR(INDEX([239]EQUIPOS!B:B,MATCH(B289,[239]EQUIPOS!A:A,0)),"")</f>
        <v/>
      </c>
      <c r="E289" s="78"/>
      <c r="F289" s="78"/>
      <c r="G289" s="78"/>
      <c r="H289" s="122"/>
      <c r="I289" s="123"/>
      <c r="J289" s="122"/>
      <c r="K289" s="113" t="str">
        <f>IFERROR(INDEX([239]EQUIPOS!C:C,MATCH(B289,[239]EQUIPOS!A:A,0)),"")</f>
        <v/>
      </c>
      <c r="L289" s="124"/>
      <c r="M289" s="115" t="str">
        <f>IFERROR(IF(D289="HERRAMIENTA MENOR (% M.O)",P328,INDEX([239]EQUIPOS!D:D,MATCH(B289,[239]EQUIPOS!A:A,0))),"")</f>
        <v/>
      </c>
      <c r="N289" s="125"/>
      <c r="O289" s="126"/>
      <c r="P289" s="127" t="str">
        <f t="shared" si="9"/>
        <v xml:space="preserve"> </v>
      </c>
      <c r="Q289" s="119"/>
      <c r="R289" s="4"/>
    </row>
    <row r="290" spans="1:18" ht="15.75" thickBot="1">
      <c r="A290" s="1">
        <f t="shared" si="10"/>
        <v>0</v>
      </c>
      <c r="B290" s="2"/>
      <c r="C290" s="8"/>
      <c r="D290" s="128" t="s">
        <v>24</v>
      </c>
      <c r="E290" s="129"/>
      <c r="F290" s="129"/>
      <c r="G290" s="129"/>
      <c r="H290" s="129"/>
      <c r="I290" s="129"/>
      <c r="J290" s="129"/>
      <c r="K290" s="129"/>
      <c r="L290" s="129"/>
      <c r="M290" s="129"/>
      <c r="N290" s="129"/>
      <c r="O290" s="130"/>
      <c r="P290" s="131">
        <f>SUM(P284:P289)</f>
        <v>1674.46</v>
      </c>
      <c r="Q290" s="132"/>
      <c r="R290" s="4"/>
    </row>
    <row r="291" spans="1:18" ht="15.75" thickBot="1">
      <c r="A291" s="1">
        <f t="shared" si="10"/>
        <v>0</v>
      </c>
      <c r="B291" s="2"/>
      <c r="C291" s="8"/>
      <c r="D291" s="74" t="s">
        <v>25</v>
      </c>
      <c r="E291" s="37"/>
      <c r="F291" s="37"/>
      <c r="G291" s="37"/>
      <c r="H291" s="37"/>
      <c r="I291" s="37"/>
      <c r="J291" s="37"/>
      <c r="K291" s="37"/>
      <c r="L291" s="37"/>
      <c r="M291" s="37"/>
      <c r="N291" s="37"/>
      <c r="O291" s="37"/>
      <c r="P291" s="99"/>
      <c r="Q291" s="100"/>
      <c r="R291" s="4"/>
    </row>
    <row r="292" spans="1:18">
      <c r="A292" s="1">
        <f t="shared" si="10"/>
        <v>0</v>
      </c>
      <c r="B292" s="2"/>
      <c r="C292" s="8"/>
      <c r="D292" s="101" t="s">
        <v>14</v>
      </c>
      <c r="E292" s="133"/>
      <c r="F292" s="133"/>
      <c r="G292" s="133"/>
      <c r="H292" s="133"/>
      <c r="I292" s="133"/>
      <c r="J292" s="133"/>
      <c r="K292" s="105"/>
      <c r="L292" s="134" t="s">
        <v>15</v>
      </c>
      <c r="M292" s="106" t="s">
        <v>16</v>
      </c>
      <c r="N292" s="104" t="s">
        <v>26</v>
      </c>
      <c r="O292" s="105"/>
      <c r="P292" s="107" t="s">
        <v>22</v>
      </c>
      <c r="Q292" s="108"/>
      <c r="R292" s="4"/>
    </row>
    <row r="293" spans="1:18">
      <c r="A293" s="1">
        <f t="shared" si="10"/>
        <v>0</v>
      </c>
      <c r="B293" s="2" t="s">
        <v>324</v>
      </c>
      <c r="C293" s="8"/>
      <c r="D293" s="109" t="str">
        <f>IFERROR(INDEX([239]MATERIALES!C:C,MATCH(B293,[239]MATERIALES!B:B,0)),"")</f>
        <v>ROSETA (PLAFÓN)</v>
      </c>
      <c r="E293" s="135"/>
      <c r="F293" s="135"/>
      <c r="G293" s="135"/>
      <c r="H293" s="135"/>
      <c r="I293" s="135"/>
      <c r="J293" s="135"/>
      <c r="K293" s="136"/>
      <c r="L293" s="137" t="str">
        <f>IFERROR(INDEX([239]MATERIALES!D:D,MATCH(B293,[239]MATERIALES!B:B,0)),"")</f>
        <v>UND</v>
      </c>
      <c r="M293" s="138">
        <v>1</v>
      </c>
      <c r="N293" s="139">
        <f>IFERROR(INDEX([239]MATERIALES!P:P,MATCH(B293,[239]MATERIALES!B:B,0)),"")</f>
        <v>2773.68</v>
      </c>
      <c r="O293" s="140"/>
      <c r="P293" s="118">
        <f>IFERROR(ROUND(N293*M293,2),"")</f>
        <v>2773.68</v>
      </c>
      <c r="Q293" s="119"/>
      <c r="R293" s="4"/>
    </row>
    <row r="294" spans="1:18">
      <c r="A294" s="1">
        <f t="shared" si="10"/>
        <v>0</v>
      </c>
      <c r="B294" s="2" t="s">
        <v>325</v>
      </c>
      <c r="C294" s="8"/>
      <c r="D294" s="109" t="str">
        <f>IFERROR(INDEX([239]MATERIALES!C:C,MATCH(B294,[239]MATERIALES!B:B,0)),"")</f>
        <v>BOMBILLO LED 40W</v>
      </c>
      <c r="E294" s="135"/>
      <c r="F294" s="135"/>
      <c r="G294" s="135"/>
      <c r="H294" s="135"/>
      <c r="I294" s="135"/>
      <c r="J294" s="135"/>
      <c r="K294" s="136"/>
      <c r="L294" s="137" t="str">
        <f>IFERROR(INDEX([239]MATERIALES!D:D,MATCH(B294,[239]MATERIALES!B:B,0)),"")</f>
        <v>UND</v>
      </c>
      <c r="M294" s="138">
        <v>1</v>
      </c>
      <c r="N294" s="139">
        <f>IFERROR(INDEX([239]MATERIALES!P:P,MATCH(B294,[239]MATERIALES!B:B,0)),"")</f>
        <v>22226.67</v>
      </c>
      <c r="O294" s="140"/>
      <c r="P294" s="118">
        <f>IFERROR(ROUND(N294*M294,2),"")</f>
        <v>22226.67</v>
      </c>
      <c r="Q294" s="119"/>
      <c r="R294" s="4"/>
    </row>
    <row r="295" spans="1:18">
      <c r="A295" s="1">
        <f t="shared" si="10"/>
        <v>0</v>
      </c>
      <c r="B295" s="2"/>
      <c r="C295" s="8"/>
      <c r="D295" s="109"/>
      <c r="E295" s="110"/>
      <c r="F295" s="110"/>
      <c r="G295" s="110"/>
      <c r="H295" s="110"/>
      <c r="I295" s="110"/>
      <c r="J295" s="110"/>
      <c r="K295" s="111"/>
      <c r="L295" s="137" t="str">
        <f>IFERROR(INDEX([239]MATERIALES!D:D,MATCH(B295,[239]MATERIALES!B:B,0)),"")</f>
        <v/>
      </c>
      <c r="M295" s="138"/>
      <c r="N295" s="139" t="str">
        <f>IFERROR(INDEX([239]MATERIALES!P:P,MATCH(B295,[239]MATERIALES!B:B,0)),"")</f>
        <v/>
      </c>
      <c r="O295" s="140"/>
      <c r="P295" s="118" t="str">
        <f>IFERROR(ROUND(N295*M295,2),"")</f>
        <v/>
      </c>
      <c r="Q295" s="119"/>
      <c r="R295" s="4"/>
    </row>
    <row r="296" spans="1:18">
      <c r="A296" s="1">
        <f t="shared" si="10"/>
        <v>0</v>
      </c>
      <c r="B296" s="2"/>
      <c r="C296" s="8"/>
      <c r="D296" s="109"/>
      <c r="E296" s="110"/>
      <c r="F296" s="110"/>
      <c r="G296" s="110"/>
      <c r="H296" s="110"/>
      <c r="I296" s="110"/>
      <c r="J296" s="110"/>
      <c r="K296" s="111"/>
      <c r="L296" s="137" t="str">
        <f>IFERROR(INDEX([239]MATERIALES!D:D,MATCH(B296,[239]MATERIALES!B:B,0)),"")</f>
        <v/>
      </c>
      <c r="M296" s="138"/>
      <c r="N296" s="139" t="str">
        <f>IFERROR(INDEX([239]MATERIALES!P:P,MATCH(B296,[239]MATERIALES!B:B,0)),"")</f>
        <v/>
      </c>
      <c r="O296" s="140"/>
      <c r="P296" s="118" t="str">
        <f>IFERROR(ROUND(N296*M296,2),"")</f>
        <v/>
      </c>
      <c r="Q296" s="119"/>
      <c r="R296" s="4"/>
    </row>
    <row r="297" spans="1:18">
      <c r="A297" s="1">
        <f t="shared" si="10"/>
        <v>0</v>
      </c>
      <c r="B297" s="2"/>
      <c r="C297" s="8"/>
      <c r="D297" s="109"/>
      <c r="E297" s="110"/>
      <c r="F297" s="110"/>
      <c r="G297" s="110"/>
      <c r="H297" s="110"/>
      <c r="I297" s="110"/>
      <c r="J297" s="110"/>
      <c r="K297" s="111"/>
      <c r="L297" s="137" t="str">
        <f>IFERROR(INDEX([239]MATERIALES!D:D,MATCH(B297,[239]MATERIALES!B:B,0)),"")</f>
        <v/>
      </c>
      <c r="M297" s="138"/>
      <c r="N297" s="139" t="str">
        <f>IFERROR(INDEX([239]MATERIALES!P:P,MATCH(B297,[239]MATERIALES!B:B,0)),"")</f>
        <v/>
      </c>
      <c r="O297" s="140"/>
      <c r="P297" s="118" t="str">
        <f t="shared" ref="P297:P306" si="11">IFERROR(ROUND(N297*M297,2),"")</f>
        <v/>
      </c>
      <c r="Q297" s="119"/>
      <c r="R297" s="4"/>
    </row>
    <row r="298" spans="1:18">
      <c r="A298" s="1">
        <f t="shared" si="10"/>
        <v>0</v>
      </c>
      <c r="B298" s="2"/>
      <c r="C298" s="8"/>
      <c r="D298" s="109"/>
      <c r="E298" s="110"/>
      <c r="F298" s="110"/>
      <c r="G298" s="110"/>
      <c r="H298" s="110"/>
      <c r="I298" s="110"/>
      <c r="J298" s="110"/>
      <c r="K298" s="111"/>
      <c r="L298" s="137" t="str">
        <f>IFERROR(INDEX([239]MATERIALES!D:D,MATCH(B298,[239]MATERIALES!B:B,0)),"")</f>
        <v/>
      </c>
      <c r="M298" s="138"/>
      <c r="N298" s="139" t="str">
        <f>IFERROR(INDEX([239]MATERIALES!P:P,MATCH(B298,[239]MATERIALES!B:B,0)),"")</f>
        <v/>
      </c>
      <c r="O298" s="140"/>
      <c r="P298" s="118" t="str">
        <f t="shared" si="11"/>
        <v/>
      </c>
      <c r="Q298" s="119"/>
      <c r="R298" s="4"/>
    </row>
    <row r="299" spans="1:18">
      <c r="A299" s="1">
        <f t="shared" si="10"/>
        <v>0</v>
      </c>
      <c r="B299" s="2"/>
      <c r="C299" s="8"/>
      <c r="D299" s="109"/>
      <c r="E299" s="110"/>
      <c r="F299" s="110"/>
      <c r="G299" s="110"/>
      <c r="H299" s="110"/>
      <c r="I299" s="110"/>
      <c r="J299" s="110"/>
      <c r="K299" s="111"/>
      <c r="L299" s="137" t="str">
        <f>IFERROR(INDEX([239]MATERIALES!D:D,MATCH(B299,[239]MATERIALES!B:B,0)),"")</f>
        <v/>
      </c>
      <c r="M299" s="138"/>
      <c r="N299" s="139" t="str">
        <f>IFERROR(INDEX([239]MATERIALES!P:P,MATCH(B299,[239]MATERIALES!B:B,0)),"")</f>
        <v/>
      </c>
      <c r="O299" s="140"/>
      <c r="P299" s="118" t="str">
        <f t="shared" si="11"/>
        <v/>
      </c>
      <c r="Q299" s="119"/>
      <c r="R299" s="4"/>
    </row>
    <row r="300" spans="1:18">
      <c r="A300" s="1">
        <f t="shared" si="10"/>
        <v>0</v>
      </c>
      <c r="B300" s="2"/>
      <c r="C300" s="8"/>
      <c r="D300" s="109"/>
      <c r="E300" s="110"/>
      <c r="F300" s="110"/>
      <c r="G300" s="110"/>
      <c r="H300" s="110"/>
      <c r="I300" s="110"/>
      <c r="J300" s="110"/>
      <c r="K300" s="111"/>
      <c r="L300" s="137" t="str">
        <f>IFERROR(INDEX([239]MATERIALES!D:D,MATCH(B300,[239]MATERIALES!B:B,0)),"")</f>
        <v/>
      </c>
      <c r="M300" s="138"/>
      <c r="N300" s="139" t="str">
        <f>IFERROR(INDEX([239]MATERIALES!P:P,MATCH(B300,[239]MATERIALES!B:B,0)),"")</f>
        <v/>
      </c>
      <c r="O300" s="140"/>
      <c r="P300" s="118" t="str">
        <f t="shared" si="11"/>
        <v/>
      </c>
      <c r="Q300" s="119"/>
      <c r="R300" s="4"/>
    </row>
    <row r="301" spans="1:18">
      <c r="A301" s="1">
        <f t="shared" si="10"/>
        <v>0</v>
      </c>
      <c r="B301" s="2"/>
      <c r="C301" s="8"/>
      <c r="D301" s="109"/>
      <c r="E301" s="110"/>
      <c r="F301" s="110"/>
      <c r="G301" s="110"/>
      <c r="H301" s="110"/>
      <c r="I301" s="110"/>
      <c r="J301" s="110"/>
      <c r="K301" s="111"/>
      <c r="L301" s="137" t="str">
        <f>IFERROR(INDEX([239]MATERIALES!D:D,MATCH(B301,[239]MATERIALES!B:B,0)),"")</f>
        <v/>
      </c>
      <c r="M301" s="138"/>
      <c r="N301" s="139" t="str">
        <f>IFERROR(INDEX([239]MATERIALES!P:P,MATCH(B301,[239]MATERIALES!B:B,0)),"")</f>
        <v/>
      </c>
      <c r="O301" s="140"/>
      <c r="P301" s="118" t="str">
        <f t="shared" si="11"/>
        <v/>
      </c>
      <c r="Q301" s="119"/>
      <c r="R301" s="4"/>
    </row>
    <row r="302" spans="1:18">
      <c r="A302" s="1">
        <f t="shared" si="10"/>
        <v>0</v>
      </c>
      <c r="B302" s="2"/>
      <c r="C302" s="8"/>
      <c r="D302" s="109"/>
      <c r="E302" s="110"/>
      <c r="F302" s="110"/>
      <c r="G302" s="110"/>
      <c r="H302" s="110"/>
      <c r="I302" s="110"/>
      <c r="J302" s="110"/>
      <c r="K302" s="111"/>
      <c r="L302" s="137" t="str">
        <f>IFERROR(INDEX([239]MATERIALES!D:D,MATCH(B302,[239]MATERIALES!B:B,0)),"")</f>
        <v/>
      </c>
      <c r="M302" s="138"/>
      <c r="N302" s="139" t="str">
        <f>IFERROR(INDEX([239]MATERIALES!P:P,MATCH(B302,[239]MATERIALES!B:B,0)),"")</f>
        <v/>
      </c>
      <c r="O302" s="140"/>
      <c r="P302" s="118" t="str">
        <f t="shared" si="11"/>
        <v/>
      </c>
      <c r="Q302" s="119"/>
      <c r="R302" s="4"/>
    </row>
    <row r="303" spans="1:18">
      <c r="A303" s="1">
        <f t="shared" si="10"/>
        <v>0</v>
      </c>
      <c r="B303" s="2"/>
      <c r="C303" s="8"/>
      <c r="D303" s="109"/>
      <c r="E303" s="110"/>
      <c r="F303" s="110"/>
      <c r="G303" s="110"/>
      <c r="H303" s="110"/>
      <c r="I303" s="110"/>
      <c r="J303" s="110"/>
      <c r="K303" s="111"/>
      <c r="L303" s="137" t="str">
        <f>IFERROR(INDEX([239]MATERIALES!D:D,MATCH(B303,[239]MATERIALES!B:B,0)),"")</f>
        <v/>
      </c>
      <c r="M303" s="138"/>
      <c r="N303" s="139" t="str">
        <f>IFERROR(INDEX([239]MATERIALES!P:P,MATCH(B303,[239]MATERIALES!B:B,0)),"")</f>
        <v/>
      </c>
      <c r="O303" s="140"/>
      <c r="P303" s="118" t="str">
        <f t="shared" si="11"/>
        <v/>
      </c>
      <c r="Q303" s="119"/>
      <c r="R303" s="4"/>
    </row>
    <row r="304" spans="1:18">
      <c r="A304" s="1">
        <f t="shared" si="10"/>
        <v>0</v>
      </c>
      <c r="B304" s="2"/>
      <c r="C304" s="8"/>
      <c r="D304" s="109" t="str">
        <f>IFERROR(INDEX([239]MATERIALES!C:C,MATCH(B304,[239]MATERIALES!B:B,0)),"")</f>
        <v/>
      </c>
      <c r="E304" s="110"/>
      <c r="F304" s="110"/>
      <c r="G304" s="110"/>
      <c r="H304" s="110"/>
      <c r="I304" s="110"/>
      <c r="J304" s="110"/>
      <c r="K304" s="111"/>
      <c r="L304" s="137" t="str">
        <f>IFERROR(INDEX([239]MATERIALES!D:D,MATCH(B304,[239]MATERIALES!B:B,0)),"")</f>
        <v/>
      </c>
      <c r="M304" s="138"/>
      <c r="N304" s="139" t="str">
        <f>IFERROR(INDEX([239]MATERIALES!P:P,MATCH(B304,[239]MATERIALES!B:B,0)),"")</f>
        <v/>
      </c>
      <c r="O304" s="140"/>
      <c r="P304" s="118" t="str">
        <f t="shared" si="11"/>
        <v/>
      </c>
      <c r="Q304" s="119"/>
      <c r="R304" s="4"/>
    </row>
    <row r="305" spans="1:18">
      <c r="A305" s="1">
        <f t="shared" si="10"/>
        <v>0</v>
      </c>
      <c r="B305" s="2"/>
      <c r="C305" s="8"/>
      <c r="D305" s="109" t="str">
        <f>IFERROR(INDEX([239]MATERIALES!C:C,MATCH(B305,[239]MATERIALES!B:B,0)),"")</f>
        <v/>
      </c>
      <c r="E305" s="110"/>
      <c r="F305" s="110"/>
      <c r="G305" s="110"/>
      <c r="H305" s="110"/>
      <c r="I305" s="110"/>
      <c r="J305" s="110"/>
      <c r="K305" s="111"/>
      <c r="L305" s="137" t="str">
        <f>IFERROR(INDEX([239]MATERIALES!D:D,MATCH(B305,[239]MATERIALES!B:B,0)),"")</f>
        <v/>
      </c>
      <c r="M305" s="138"/>
      <c r="N305" s="139" t="str">
        <f>IFERROR(INDEX([239]MATERIALES!P:P,MATCH(B305,[239]MATERIALES!B:B,0)),"")</f>
        <v/>
      </c>
      <c r="O305" s="140"/>
      <c r="P305" s="118" t="str">
        <f t="shared" si="11"/>
        <v/>
      </c>
      <c r="Q305" s="119"/>
      <c r="R305" s="4"/>
    </row>
    <row r="306" spans="1:18">
      <c r="A306" s="1">
        <f t="shared" si="10"/>
        <v>0</v>
      </c>
      <c r="B306" s="2"/>
      <c r="C306" s="8"/>
      <c r="D306" s="109" t="str">
        <f>IFERROR(INDEX([239]MATERIALES!C:C,MATCH(B306,[239]MATERIALES!B:B,0)),"")</f>
        <v/>
      </c>
      <c r="E306" s="110"/>
      <c r="F306" s="110"/>
      <c r="G306" s="110"/>
      <c r="H306" s="110"/>
      <c r="I306" s="110"/>
      <c r="J306" s="110"/>
      <c r="K306" s="111"/>
      <c r="L306" s="137" t="str">
        <f>IFERROR(INDEX([239]MATERIALES!D:D,MATCH(B306,[239]MATERIALES!B:B,0)),"")</f>
        <v/>
      </c>
      <c r="M306" s="138"/>
      <c r="N306" s="139" t="str">
        <f>IFERROR(INDEX([239]MATERIALES!P:P,MATCH(B306,[239]MATERIALES!B:B,0)),"")</f>
        <v/>
      </c>
      <c r="O306" s="140"/>
      <c r="P306" s="118" t="str">
        <f t="shared" si="11"/>
        <v/>
      </c>
      <c r="Q306" s="119"/>
      <c r="R306" s="4"/>
    </row>
    <row r="307" spans="1:18" ht="15.75" thickBot="1">
      <c r="A307" s="1">
        <f t="shared" si="10"/>
        <v>0</v>
      </c>
      <c r="B307" s="2"/>
      <c r="C307" s="8"/>
      <c r="D307" s="109" t="s">
        <v>28</v>
      </c>
      <c r="E307" s="110"/>
      <c r="F307" s="110"/>
      <c r="G307" s="110"/>
      <c r="H307" s="110"/>
      <c r="I307" s="110"/>
      <c r="J307" s="110"/>
      <c r="K307" s="111"/>
      <c r="L307" s="137" t="s">
        <v>29</v>
      </c>
      <c r="M307" s="138">
        <v>0.05</v>
      </c>
      <c r="N307" s="139">
        <f>SUM(P293:P306)</f>
        <v>25000.35</v>
      </c>
      <c r="O307" s="140"/>
      <c r="P307" s="118">
        <f>ROUND(N307*M307,2)</f>
        <v>1250.02</v>
      </c>
      <c r="Q307" s="119"/>
      <c r="R307" s="4"/>
    </row>
    <row r="308" spans="1:18" ht="15.75" thickBot="1">
      <c r="A308" s="1">
        <f t="shared" si="10"/>
        <v>0</v>
      </c>
      <c r="B308" s="2"/>
      <c r="C308" s="8"/>
      <c r="D308" s="128" t="s">
        <v>24</v>
      </c>
      <c r="E308" s="129"/>
      <c r="F308" s="129"/>
      <c r="G308" s="129"/>
      <c r="H308" s="129"/>
      <c r="I308" s="129"/>
      <c r="J308" s="129"/>
      <c r="K308" s="129"/>
      <c r="L308" s="129"/>
      <c r="M308" s="129"/>
      <c r="N308" s="129"/>
      <c r="O308" s="130"/>
      <c r="P308" s="131">
        <f>SUM(P293:P307)</f>
        <v>26250.37</v>
      </c>
      <c r="Q308" s="119"/>
      <c r="R308" s="4"/>
    </row>
    <row r="309" spans="1:18" ht="15.75" thickBot="1">
      <c r="A309" s="1">
        <f t="shared" si="10"/>
        <v>0</v>
      </c>
      <c r="B309" s="2"/>
      <c r="C309" s="8"/>
      <c r="D309" s="74" t="s">
        <v>30</v>
      </c>
      <c r="E309" s="37"/>
      <c r="F309" s="37"/>
      <c r="G309" s="37"/>
      <c r="H309" s="37"/>
      <c r="I309" s="37"/>
      <c r="J309" s="37"/>
      <c r="K309" s="37"/>
      <c r="L309" s="37"/>
      <c r="M309" s="37"/>
      <c r="N309" s="37"/>
      <c r="O309" s="37"/>
      <c r="P309" s="99"/>
      <c r="Q309" s="100"/>
      <c r="R309" s="4"/>
    </row>
    <row r="310" spans="1:18">
      <c r="A310" s="1">
        <f t="shared" si="10"/>
        <v>0</v>
      </c>
      <c r="B310" s="2"/>
      <c r="C310" s="8"/>
      <c r="D310" s="101" t="s">
        <v>31</v>
      </c>
      <c r="E310" s="133"/>
      <c r="F310" s="133"/>
      <c r="G310" s="133"/>
      <c r="H310" s="133"/>
      <c r="I310" s="133"/>
      <c r="J310" s="133"/>
      <c r="K310" s="106" t="s">
        <v>32</v>
      </c>
      <c r="L310" s="141" t="s">
        <v>33</v>
      </c>
      <c r="M310" s="106" t="s">
        <v>34</v>
      </c>
      <c r="N310" s="104" t="s">
        <v>20</v>
      </c>
      <c r="O310" s="105"/>
      <c r="P310" s="107" t="s">
        <v>22</v>
      </c>
      <c r="Q310" s="108"/>
      <c r="R310" s="4"/>
    </row>
    <row r="311" spans="1:18">
      <c r="A311" s="1">
        <f t="shared" si="10"/>
        <v>0</v>
      </c>
      <c r="B311" s="2"/>
      <c r="C311" s="8"/>
      <c r="D311" s="142" t="str">
        <f>IFERROR(INDEX([239]TRANSPORTES!B:B,MATCH(B311,[239]TRANSPORTES!A:A,0)),"")</f>
        <v/>
      </c>
      <c r="E311" s="143"/>
      <c r="F311" s="143"/>
      <c r="G311" s="143"/>
      <c r="H311" s="143"/>
      <c r="I311" s="143"/>
      <c r="J311" s="143"/>
      <c r="K311" s="220"/>
      <c r="L311" s="145"/>
      <c r="M311" s="146" t="str">
        <f>IFERROR(INDEX([239]TRANSPORTES!C:C,MATCH(B311,[239]TRANSPORTES!A:A,0)),"")</f>
        <v/>
      </c>
      <c r="N311" s="139" t="str">
        <f>IFERROR(INDEX([239]TRANSPORTES!D:D,MATCH(B311,[239]TRANSPORTES!A:A,0)),"")</f>
        <v/>
      </c>
      <c r="O311" s="147"/>
      <c r="P311" s="148" t="str">
        <f>IFERROR(ROUND(K311*N311*L311,2),"")</f>
        <v/>
      </c>
      <c r="Q311" s="119"/>
      <c r="R311" s="4"/>
    </row>
    <row r="312" spans="1:18">
      <c r="A312" s="1">
        <f t="shared" si="10"/>
        <v>0</v>
      </c>
      <c r="B312" s="2"/>
      <c r="C312" s="8"/>
      <c r="D312" s="142" t="str">
        <f>IFERROR(INDEX([239]TRANSPORTES!B:B,MATCH(B312,[239]TRANSPORTES!A:A,0)),"")</f>
        <v/>
      </c>
      <c r="E312" s="143"/>
      <c r="F312" s="143"/>
      <c r="G312" s="143"/>
      <c r="H312" s="143"/>
      <c r="I312" s="143"/>
      <c r="J312" s="143"/>
      <c r="K312" s="144"/>
      <c r="L312" s="145"/>
      <c r="M312" s="146" t="str">
        <f>IFERROR(INDEX([239]TRANSPORTES!C:C,MATCH(B312,[239]TRANSPORTES!A:A,0)),"")</f>
        <v/>
      </c>
      <c r="N312" s="139" t="str">
        <f>IFERROR(INDEX([239]TRANSPORTES!D:D,MATCH(B312,[239]TRANSPORTES!A:A,0)),"")</f>
        <v/>
      </c>
      <c r="O312" s="147"/>
      <c r="P312" s="148" t="str">
        <f>IFERROR(ROUND(K312*N312*L312,2),"")</f>
        <v/>
      </c>
      <c r="Q312" s="119"/>
      <c r="R312" s="4"/>
    </row>
    <row r="313" spans="1:18">
      <c r="A313" s="1">
        <f t="shared" si="10"/>
        <v>0</v>
      </c>
      <c r="B313" s="2"/>
      <c r="C313" s="8"/>
      <c r="D313" s="142" t="str">
        <f>IFERROR(INDEX([239]TRANSPORTES!B:B,MATCH(B313,[239]TRANSPORTES!A:A,0)),"")</f>
        <v/>
      </c>
      <c r="E313" s="143"/>
      <c r="F313" s="143"/>
      <c r="G313" s="143"/>
      <c r="H313" s="143"/>
      <c r="I313" s="143"/>
      <c r="J313" s="143"/>
      <c r="K313" s="144"/>
      <c r="L313" s="145"/>
      <c r="M313" s="146" t="str">
        <f>IFERROR(INDEX([239]TRANSPORTES!C:C,MATCH(B313,[239]TRANSPORTES!A:A,0)),"")</f>
        <v/>
      </c>
      <c r="N313" s="139" t="str">
        <f>IFERROR(INDEX([239]TRANSPORTES!D:D,MATCH(B313,[239]TRANSPORTES!A:A,0)),"")</f>
        <v/>
      </c>
      <c r="O313" s="147"/>
      <c r="P313" s="148" t="str">
        <f>IFERROR(ROUND(K313*N313*L313,2),"")</f>
        <v/>
      </c>
      <c r="Q313" s="119"/>
      <c r="R313" s="4"/>
    </row>
    <row r="314" spans="1:18" ht="15.75" thickBot="1">
      <c r="A314" s="1">
        <f t="shared" si="10"/>
        <v>0</v>
      </c>
      <c r="B314" s="2"/>
      <c r="C314" s="8"/>
      <c r="D314" s="142" t="str">
        <f>IFERROR(INDEX([239]TRANSPORTES!B:B,MATCH(B314,[239]TRANSPORTES!A:A,0)),"")</f>
        <v/>
      </c>
      <c r="E314" s="143"/>
      <c r="F314" s="143"/>
      <c r="G314" s="143"/>
      <c r="H314" s="143"/>
      <c r="I314" s="143"/>
      <c r="J314" s="143"/>
      <c r="K314" s="149"/>
      <c r="L314" s="150"/>
      <c r="M314" s="146" t="str">
        <f>IFERROR(INDEX([239]TRANSPORTES!C:C,MATCH(B314,[239]TRANSPORTES!A:A,0)),"")</f>
        <v/>
      </c>
      <c r="N314" s="139" t="str">
        <f>IFERROR(INDEX([239]TRANSPORTES!D:D,MATCH(B314,[239]TRANSPORTES!A:A,0)),"")</f>
        <v/>
      </c>
      <c r="O314" s="147"/>
      <c r="P314" s="148" t="str">
        <f>IFERROR(ROUND(K314*N314*L314,2),"")</f>
        <v/>
      </c>
      <c r="Q314" s="119"/>
      <c r="R314" s="4"/>
    </row>
    <row r="315" spans="1:18" ht="15.75" thickBot="1">
      <c r="A315" s="1">
        <f t="shared" si="10"/>
        <v>0</v>
      </c>
      <c r="B315" s="2"/>
      <c r="C315" s="8"/>
      <c r="D315" s="128" t="s">
        <v>24</v>
      </c>
      <c r="E315" s="129"/>
      <c r="F315" s="129"/>
      <c r="G315" s="129"/>
      <c r="H315" s="129"/>
      <c r="I315" s="129"/>
      <c r="J315" s="129"/>
      <c r="K315" s="129"/>
      <c r="L315" s="129"/>
      <c r="M315" s="129"/>
      <c r="N315" s="129"/>
      <c r="O315" s="130"/>
      <c r="P315" s="151">
        <f>SUM(P311:P314)</f>
        <v>0</v>
      </c>
      <c r="Q315" s="132"/>
      <c r="R315" s="4"/>
    </row>
    <row r="316" spans="1:18" ht="15.75" thickBot="1">
      <c r="A316" s="1">
        <f t="shared" si="10"/>
        <v>0</v>
      </c>
      <c r="B316" s="2"/>
      <c r="C316" s="8"/>
      <c r="D316" s="74" t="s">
        <v>36</v>
      </c>
      <c r="E316" s="37"/>
      <c r="F316" s="37"/>
      <c r="G316" s="37"/>
      <c r="H316" s="37"/>
      <c r="I316" s="37"/>
      <c r="J316" s="37"/>
      <c r="K316" s="37"/>
      <c r="L316" s="37"/>
      <c r="M316" s="37"/>
      <c r="N316" s="37"/>
      <c r="O316" s="37"/>
      <c r="P316" s="99"/>
      <c r="Q316" s="100"/>
      <c r="R316" s="4"/>
    </row>
    <row r="317" spans="1:18" ht="30">
      <c r="A317" s="1">
        <f t="shared" si="10"/>
        <v>0</v>
      </c>
      <c r="B317" s="2"/>
      <c r="C317" s="8"/>
      <c r="D317" s="101" t="s">
        <v>37</v>
      </c>
      <c r="E317" s="133"/>
      <c r="F317" s="133"/>
      <c r="G317" s="133"/>
      <c r="H317" s="133"/>
      <c r="I317" s="133"/>
      <c r="J317" s="133"/>
      <c r="K317" s="106" t="s">
        <v>38</v>
      </c>
      <c r="L317" s="152" t="s">
        <v>39</v>
      </c>
      <c r="M317" s="153" t="s">
        <v>40</v>
      </c>
      <c r="N317" s="104" t="s">
        <v>21</v>
      </c>
      <c r="O317" s="105"/>
      <c r="P317" s="154" t="s">
        <v>22</v>
      </c>
      <c r="Q317" s="155"/>
      <c r="R317" s="4"/>
    </row>
    <row r="318" spans="1:18">
      <c r="A318" s="1">
        <f t="shared" si="10"/>
        <v>0</v>
      </c>
      <c r="B318" s="2" t="s">
        <v>321</v>
      </c>
      <c r="C318" s="8"/>
      <c r="D318" s="109" t="str">
        <f>IFERROR(INDEX('[239]MANO DE OBRA'!B:B,MATCH(B318,'[239]MANO DE OBRA'!A:A,0)),"")</f>
        <v>ELÉCTRICO</v>
      </c>
      <c r="E318" s="110"/>
      <c r="F318" s="110"/>
      <c r="G318" s="110"/>
      <c r="H318" s="110"/>
      <c r="I318" s="110"/>
      <c r="J318" s="111"/>
      <c r="K318" s="156">
        <f>IFERROR(INDEX('[239]MANO DE OBRA'!D:D,MATCH(B318,'[239]MANO DE OBRA'!A:A,0)),"")</f>
        <v>121352</v>
      </c>
      <c r="L318" s="157">
        <f>+IF(D318&lt;&gt;"",'[239]FACTOR PRESTACIONAL'!$E$21," ")</f>
        <v>1.95</v>
      </c>
      <c r="M318" s="158">
        <f>IFERROR(K318*L318," ")</f>
        <v>236636.4</v>
      </c>
      <c r="N318" s="159">
        <f>8/0.33</f>
        <v>24.242424242424242</v>
      </c>
      <c r="O318" s="160"/>
      <c r="P318" s="161">
        <f>IFERROR(ROUND(M318/N318,2)," ")</f>
        <v>9761.25</v>
      </c>
      <c r="Q318" s="162"/>
      <c r="R318" s="4"/>
    </row>
    <row r="319" spans="1:18">
      <c r="A319" s="1">
        <f t="shared" si="10"/>
        <v>0</v>
      </c>
      <c r="B319" s="2" t="s">
        <v>81</v>
      </c>
      <c r="C319" s="8"/>
      <c r="D319" s="109" t="str">
        <f>IFERROR(INDEX('[239]MANO DE OBRA'!B:B,MATCH(B319,'[239]MANO DE OBRA'!A:A,0)),"")</f>
        <v>AYUDANTE (1)</v>
      </c>
      <c r="E319" s="110"/>
      <c r="F319" s="110"/>
      <c r="G319" s="110"/>
      <c r="H319" s="110"/>
      <c r="I319" s="110"/>
      <c r="J319" s="111"/>
      <c r="K319" s="156">
        <f>IFERROR(INDEX('[239]MANO DE OBRA'!D:D,MATCH(B319,'[239]MANO DE OBRA'!A:A,0)),"")</f>
        <v>71433</v>
      </c>
      <c r="L319" s="157">
        <f>+IF(D319&lt;&gt;"",'[239]FACTOR PRESTACIONAL'!$E$21," ")</f>
        <v>1.95</v>
      </c>
      <c r="M319" s="158">
        <f>IFERROR(K319*L319," ")</f>
        <v>139294.35</v>
      </c>
      <c r="N319" s="159">
        <f>+N318</f>
        <v>24.242424242424242</v>
      </c>
      <c r="O319" s="160"/>
      <c r="P319" s="161">
        <f>IFERROR(ROUND(M319/N319,2)," ")</f>
        <v>5745.89</v>
      </c>
      <c r="Q319" s="162"/>
      <c r="R319" s="4"/>
    </row>
    <row r="320" spans="1:18">
      <c r="A320" s="1">
        <f t="shared" si="10"/>
        <v>0</v>
      </c>
      <c r="B320" s="2"/>
      <c r="C320" s="8"/>
      <c r="D320" s="109" t="str">
        <f>IFERROR(INDEX('[239]MANO DE OBRA'!B:B,MATCH(B320,'[239]MANO DE OBRA'!A:A,0)),"")</f>
        <v/>
      </c>
      <c r="E320" s="110"/>
      <c r="F320" s="110"/>
      <c r="G320" s="110"/>
      <c r="H320" s="110"/>
      <c r="I320" s="110"/>
      <c r="J320" s="111"/>
      <c r="K320" s="156" t="str">
        <f>IFERROR(INDEX('[239]MANO DE OBRA'!D:D,MATCH(B320,'[239]MANO DE OBRA'!A:A,0)),"")</f>
        <v/>
      </c>
      <c r="L320" s="157" t="str">
        <f>+IF(D320&lt;&gt;"",'[239]FACTOR PRESTACIONAL'!$E$21," ")</f>
        <v xml:space="preserve"> </v>
      </c>
      <c r="M320" s="158" t="str">
        <f>IFERROR(K320*L320," ")</f>
        <v xml:space="preserve"> </v>
      </c>
      <c r="N320" s="159"/>
      <c r="O320" s="160"/>
      <c r="P320" s="161" t="str">
        <f>IFERROR(ROUND(M320/N320,2)," ")</f>
        <v xml:space="preserve"> </v>
      </c>
      <c r="Q320" s="162"/>
      <c r="R320" s="4"/>
    </row>
    <row r="321" spans="1:18">
      <c r="A321" s="1">
        <f t="shared" si="10"/>
        <v>0</v>
      </c>
      <c r="B321" s="2"/>
      <c r="C321" s="8"/>
      <c r="D321" s="109" t="str">
        <f>IFERROR(INDEX('[239]MANO DE OBRA'!B:B,MATCH(B321,'[239]MANO DE OBRA'!A:A,0)),"")</f>
        <v/>
      </c>
      <c r="E321" s="110"/>
      <c r="F321" s="110"/>
      <c r="G321" s="110"/>
      <c r="H321" s="110"/>
      <c r="I321" s="110"/>
      <c r="J321" s="111"/>
      <c r="K321" s="156" t="str">
        <f>IFERROR(INDEX('[239]MANO DE OBRA'!D:D,MATCH(B321,'[239]MANO DE OBRA'!A:A,0)),"")</f>
        <v/>
      </c>
      <c r="L321" s="157" t="str">
        <f>+IF(D321&lt;&gt;"",'[239]FACTOR PRESTACIONAL'!$E$21," ")</f>
        <v xml:space="preserve"> </v>
      </c>
      <c r="M321" s="158" t="str">
        <f>IFERROR(K321*L321," ")</f>
        <v xml:space="preserve"> </v>
      </c>
      <c r="N321" s="159"/>
      <c r="O321" s="160"/>
      <c r="P321" s="161" t="str">
        <f>IFERROR(ROUND(M321/N321,2)," ")</f>
        <v xml:space="preserve"> </v>
      </c>
      <c r="Q321" s="162"/>
      <c r="R321" s="4"/>
    </row>
    <row r="322" spans="1:18" ht="15.75" thickBot="1">
      <c r="A322" s="1">
        <f t="shared" si="10"/>
        <v>0</v>
      </c>
      <c r="B322" s="2"/>
      <c r="C322" s="8"/>
      <c r="D322" s="109" t="str">
        <f>IFERROR(INDEX('[239]MANO DE OBRA'!B:B,MATCH(B322,'[239]MANO DE OBRA'!A:A,0)),"")</f>
        <v/>
      </c>
      <c r="E322" s="110"/>
      <c r="F322" s="110"/>
      <c r="G322" s="110"/>
      <c r="H322" s="110"/>
      <c r="I322" s="110"/>
      <c r="J322" s="111"/>
      <c r="K322" s="156" t="str">
        <f>IFERROR(INDEX('[239]MANO DE OBRA'!D:D,MATCH(B322,'[239]MANO DE OBRA'!A:A,0)),"")</f>
        <v/>
      </c>
      <c r="L322" s="157" t="str">
        <f>+IF(D322&lt;&gt;"",'[239]FACTOR PRESTACIONAL'!$E$21," ")</f>
        <v xml:space="preserve"> </v>
      </c>
      <c r="M322" s="158" t="str">
        <f>IFERROR(K322*L322," ")</f>
        <v xml:space="preserve"> </v>
      </c>
      <c r="N322" s="159"/>
      <c r="O322" s="160"/>
      <c r="P322" s="161" t="str">
        <f>IFERROR(ROUND(M322/N322,2)," ")</f>
        <v xml:space="preserve"> </v>
      </c>
      <c r="Q322" s="119"/>
      <c r="R322" s="4"/>
    </row>
    <row r="323" spans="1:18" ht="15.75" thickBot="1">
      <c r="A323" s="1">
        <f t="shared" si="10"/>
        <v>0</v>
      </c>
      <c r="B323" s="2"/>
      <c r="C323" s="8"/>
      <c r="D323" s="128" t="s">
        <v>24</v>
      </c>
      <c r="E323" s="129"/>
      <c r="F323" s="129"/>
      <c r="G323" s="129"/>
      <c r="H323" s="129"/>
      <c r="I323" s="129"/>
      <c r="J323" s="129"/>
      <c r="K323" s="129"/>
      <c r="L323" s="129"/>
      <c r="M323" s="129"/>
      <c r="N323" s="129"/>
      <c r="O323" s="130"/>
      <c r="P323" s="131">
        <f>SUM(P318:P322)</f>
        <v>15507.14</v>
      </c>
      <c r="Q323" s="119"/>
      <c r="R323" s="4"/>
    </row>
    <row r="324" spans="1:18" ht="15.75" thickBot="1">
      <c r="A324" s="1">
        <f t="shared" si="10"/>
        <v>0</v>
      </c>
      <c r="B324" s="2"/>
      <c r="C324" s="8"/>
      <c r="D324" s="87"/>
      <c r="E324" s="20"/>
      <c r="F324" s="20"/>
      <c r="G324" s="20"/>
      <c r="H324" s="20"/>
      <c r="I324" s="20"/>
      <c r="J324" s="20"/>
      <c r="K324" s="20"/>
      <c r="L324" s="20"/>
      <c r="M324" s="20"/>
      <c r="N324" s="20"/>
      <c r="O324" s="20"/>
      <c r="P324" s="88"/>
      <c r="Q324" s="13"/>
      <c r="R324" s="4"/>
    </row>
    <row r="325" spans="1:18" ht="15.75" thickBot="1">
      <c r="A325" s="1"/>
      <c r="B325" s="2"/>
      <c r="C325" s="8"/>
      <c r="D325" s="163" t="s">
        <v>43</v>
      </c>
      <c r="E325" s="164"/>
      <c r="F325" s="164"/>
      <c r="G325" s="164"/>
      <c r="H325" s="164"/>
      <c r="I325" s="164"/>
      <c r="J325" s="164"/>
      <c r="K325" s="164"/>
      <c r="L325" s="164"/>
      <c r="M325" s="164"/>
      <c r="N325" s="164"/>
      <c r="O325" s="165"/>
      <c r="P325" s="166">
        <f>+P323+P315+P308+P290</f>
        <v>43431.969999999994</v>
      </c>
      <c r="Q325" s="167"/>
      <c r="R325" s="168"/>
    </row>
    <row r="326" spans="1:18" ht="15.75" thickBot="1">
      <c r="A326" s="1"/>
      <c r="B326" s="2"/>
      <c r="C326" s="8"/>
      <c r="D326" s="169"/>
      <c r="E326" s="170"/>
      <c r="F326" s="170"/>
      <c r="G326" s="170"/>
      <c r="H326" s="170"/>
      <c r="I326" s="170"/>
      <c r="J326" s="170"/>
      <c r="K326" s="170"/>
      <c r="L326" s="170"/>
      <c r="M326" s="170"/>
      <c r="N326" s="170"/>
      <c r="O326" s="170"/>
      <c r="P326" s="171"/>
      <c r="Q326" s="100"/>
      <c r="R326" s="4"/>
    </row>
    <row r="327" spans="1:18">
      <c r="A327" s="1"/>
      <c r="B327" s="2"/>
      <c r="C327" s="8"/>
      <c r="D327" s="172" t="s">
        <v>73</v>
      </c>
      <c r="E327" s="173"/>
      <c r="F327" s="173"/>
      <c r="G327" s="173"/>
      <c r="H327" s="173"/>
      <c r="I327" s="173"/>
      <c r="J327" s="173"/>
      <c r="K327" s="141"/>
      <c r="L327" s="174"/>
      <c r="M327" s="153" t="s">
        <v>44</v>
      </c>
      <c r="N327" s="175" t="s">
        <v>45</v>
      </c>
      <c r="O327" s="176"/>
      <c r="P327" s="154"/>
      <c r="Q327" s="155"/>
      <c r="R327" s="4"/>
    </row>
    <row r="328" spans="1:18">
      <c r="A328" s="1"/>
      <c r="B328" s="2"/>
      <c r="C328" s="8"/>
      <c r="D328" s="109" t="s">
        <v>65</v>
      </c>
      <c r="E328" s="110"/>
      <c r="F328" s="110"/>
      <c r="G328" s="110"/>
      <c r="H328" s="110"/>
      <c r="I328" s="110"/>
      <c r="J328" s="110"/>
      <c r="K328" s="177"/>
      <c r="L328" s="178"/>
      <c r="M328" s="179">
        <f>+[239]INICIO!$F$10</f>
        <v>0.24</v>
      </c>
      <c r="N328" s="180">
        <f>ROUND(M328*P325,2)</f>
        <v>10423.67</v>
      </c>
      <c r="O328" s="181"/>
      <c r="P328" s="182"/>
      <c r="Q328" s="119"/>
      <c r="R328" s="4"/>
    </row>
    <row r="329" spans="1:18">
      <c r="A329" s="1"/>
      <c r="B329" s="2"/>
      <c r="C329" s="8"/>
      <c r="D329" s="183" t="s">
        <v>67</v>
      </c>
      <c r="E329" s="61"/>
      <c r="F329" s="61"/>
      <c r="G329" s="61"/>
      <c r="H329" s="61"/>
      <c r="I329" s="61"/>
      <c r="J329" s="61"/>
      <c r="K329" s="177"/>
      <c r="L329" s="178"/>
      <c r="M329" s="179">
        <f>+[239]INICIO!$F$11</f>
        <v>0.02</v>
      </c>
      <c r="N329" s="180">
        <f>ROUND(M329*P325,2)</f>
        <v>868.64</v>
      </c>
      <c r="O329" s="181"/>
      <c r="P329" s="182"/>
      <c r="Q329" s="119"/>
      <c r="R329" s="4"/>
    </row>
    <row r="330" spans="1:18" ht="15.75" thickBot="1">
      <c r="A330" s="1"/>
      <c r="B330" s="2"/>
      <c r="C330" s="8"/>
      <c r="D330" s="77" t="s">
        <v>69</v>
      </c>
      <c r="E330" s="78"/>
      <c r="F330" s="78"/>
      <c r="G330" s="78"/>
      <c r="H330" s="78"/>
      <c r="I330" s="78"/>
      <c r="J330" s="78"/>
      <c r="K330" s="184"/>
      <c r="L330" s="185"/>
      <c r="M330" s="179">
        <f>+[239]INICIO!$F$12</f>
        <v>7.0000000000000007E-2</v>
      </c>
      <c r="N330" s="180">
        <f>ROUND(M330*P325,2)</f>
        <v>3040.24</v>
      </c>
      <c r="O330" s="181"/>
      <c r="P330" s="182"/>
      <c r="Q330" s="119"/>
      <c r="R330" s="4"/>
    </row>
    <row r="331" spans="1:18" ht="15.75" thickBot="1">
      <c r="A331" s="1"/>
      <c r="B331" s="2"/>
      <c r="C331" s="8"/>
      <c r="D331" s="128"/>
      <c r="E331" s="129"/>
      <c r="F331" s="129"/>
      <c r="G331" s="129"/>
      <c r="H331" s="129"/>
      <c r="I331" s="129"/>
      <c r="J331" s="129"/>
      <c r="K331" s="129"/>
      <c r="L331" s="129"/>
      <c r="M331" s="129"/>
      <c r="N331" s="129"/>
      <c r="O331" s="130"/>
      <c r="P331" s="131">
        <f>SUM(N328:N330)</f>
        <v>14332.55</v>
      </c>
      <c r="Q331" s="186"/>
      <c r="R331" s="4"/>
    </row>
    <row r="332" spans="1:18" ht="15.75" thickBot="1">
      <c r="A332" s="1"/>
      <c r="B332" s="2"/>
      <c r="C332" s="8"/>
      <c r="D332" s="87"/>
      <c r="E332" s="20"/>
      <c r="F332" s="20"/>
      <c r="G332" s="20"/>
      <c r="H332" s="20"/>
      <c r="I332" s="20"/>
      <c r="J332" s="20"/>
      <c r="K332" s="20"/>
      <c r="L332" s="20"/>
      <c r="M332" s="20"/>
      <c r="N332" s="20"/>
      <c r="O332" s="20"/>
      <c r="P332" s="88"/>
      <c r="Q332" s="13"/>
      <c r="R332" s="4"/>
    </row>
    <row r="333" spans="1:18" ht="15.75" thickBot="1">
      <c r="A333" s="1"/>
      <c r="B333" s="2"/>
      <c r="C333" s="8"/>
      <c r="D333" s="187" t="s">
        <v>46</v>
      </c>
      <c r="E333" s="188"/>
      <c r="F333" s="188"/>
      <c r="G333" s="188"/>
      <c r="H333" s="188"/>
      <c r="I333" s="188"/>
      <c r="J333" s="188"/>
      <c r="K333" s="188"/>
      <c r="L333" s="188"/>
      <c r="M333" s="188"/>
      <c r="N333" s="188"/>
      <c r="O333" s="189"/>
      <c r="P333" s="166">
        <f>ROUND(P331+P325,0)</f>
        <v>57765</v>
      </c>
      <c r="Q333" s="186"/>
      <c r="R333" s="4"/>
    </row>
    <row r="334" spans="1:18">
      <c r="A334" s="1"/>
      <c r="B334" s="2"/>
      <c r="C334" s="8"/>
      <c r="D334" s="80"/>
      <c r="E334" s="81"/>
      <c r="F334" s="81"/>
      <c r="G334" s="81"/>
      <c r="H334" s="81"/>
      <c r="I334" s="81"/>
      <c r="J334" s="81"/>
      <c r="K334" s="81"/>
      <c r="L334" s="81"/>
      <c r="M334" s="81"/>
      <c r="N334" s="81"/>
      <c r="O334" s="81"/>
      <c r="P334" s="82"/>
      <c r="Q334" s="13"/>
      <c r="R334" s="4"/>
    </row>
    <row r="335" spans="1:18">
      <c r="A335" s="1"/>
      <c r="B335" s="2"/>
      <c r="C335" s="8"/>
      <c r="D335" s="87"/>
      <c r="E335" s="20"/>
      <c r="F335" s="20"/>
      <c r="G335" s="20"/>
      <c r="H335" s="20"/>
      <c r="I335" s="20"/>
      <c r="J335" s="20"/>
      <c r="K335" s="20"/>
      <c r="L335" s="20"/>
      <c r="M335" s="20"/>
      <c r="N335" s="20"/>
      <c r="O335" s="20"/>
      <c r="P335" s="88"/>
      <c r="Q335" s="13"/>
      <c r="R335" s="4"/>
    </row>
    <row r="336" spans="1:18">
      <c r="A336" s="1"/>
      <c r="B336" s="2"/>
      <c r="C336" s="8"/>
      <c r="D336" s="87"/>
      <c r="E336" s="20"/>
      <c r="F336" s="20"/>
      <c r="G336" s="20"/>
      <c r="H336" s="20"/>
      <c r="I336" s="20"/>
      <c r="J336" s="20"/>
      <c r="K336" s="20"/>
      <c r="L336" s="20"/>
      <c r="M336" s="20"/>
      <c r="N336" s="20"/>
      <c r="O336" s="20"/>
      <c r="P336" s="88"/>
      <c r="Q336" s="13"/>
      <c r="R336" s="4"/>
    </row>
    <row r="337" spans="1:18">
      <c r="A337" s="1"/>
      <c r="B337" s="2"/>
      <c r="C337" s="8"/>
      <c r="D337" s="87"/>
      <c r="E337" s="20"/>
      <c r="F337" s="20"/>
      <c r="G337" s="20"/>
      <c r="H337" s="20"/>
      <c r="I337" s="20"/>
      <c r="J337" s="20"/>
      <c r="K337" s="20"/>
      <c r="L337" s="20"/>
      <c r="M337" s="20"/>
      <c r="N337" s="20"/>
      <c r="O337" s="20"/>
      <c r="P337" s="88"/>
      <c r="Q337" s="13"/>
      <c r="R337" s="4"/>
    </row>
    <row r="338" spans="1:18">
      <c r="A338" s="1"/>
      <c r="B338" s="2"/>
      <c r="C338" s="8"/>
      <c r="D338" s="219" t="str">
        <f>+[239]INICIO!$B$13</f>
        <v>Proyectó:</v>
      </c>
      <c r="E338" s="49"/>
      <c r="F338" s="49"/>
      <c r="G338" s="49"/>
      <c r="H338" s="49"/>
      <c r="I338" s="49"/>
      <c r="J338" s="49"/>
      <c r="K338" s="20"/>
      <c r="L338" s="69" t="str">
        <f>+[239]INICIO!$B$16</f>
        <v>Aprobó:</v>
      </c>
      <c r="M338" s="49"/>
      <c r="N338" s="49"/>
      <c r="O338" s="49"/>
      <c r="P338" s="88"/>
      <c r="Q338" s="13"/>
      <c r="R338" s="4"/>
    </row>
    <row r="339" spans="1:18">
      <c r="A339" s="1"/>
      <c r="B339" s="2"/>
      <c r="C339" s="8"/>
      <c r="D339" s="87"/>
      <c r="E339" s="20" t="str">
        <f>+Hoja2!C$13</f>
        <v>HELMER EDUARDO BECERRA SANTANDER</v>
      </c>
      <c r="F339" s="20"/>
      <c r="G339" s="20"/>
      <c r="H339" s="20"/>
      <c r="I339" s="20"/>
      <c r="J339" s="20"/>
      <c r="K339" s="20"/>
      <c r="L339" s="20"/>
      <c r="M339" s="20" t="str">
        <f>+Hoja2!$C$16</f>
        <v>JESÚS IVÁN QUIÑONES RUEDA</v>
      </c>
      <c r="N339" s="20"/>
      <c r="O339" s="20"/>
      <c r="P339" s="88"/>
      <c r="Q339" s="190"/>
      <c r="R339" s="4"/>
    </row>
    <row r="340" spans="1:18">
      <c r="A340" s="1"/>
      <c r="B340" s="2"/>
      <c r="C340" s="8"/>
      <c r="D340" s="87"/>
      <c r="E340" s="20" t="str">
        <f>+Hoja2!C$14</f>
        <v>APOYO SEC. DE PLANEACIÓN Y OBRAS PÚBLICAS</v>
      </c>
      <c r="F340" s="20"/>
      <c r="G340" s="20"/>
      <c r="H340" s="20"/>
      <c r="I340" s="20"/>
      <c r="J340" s="20"/>
      <c r="K340" s="20"/>
      <c r="L340" s="20"/>
      <c r="M340" s="20" t="str">
        <f>+Hoja2!$C$17</f>
        <v>SECRETARIO DE PLANEACIÓN Y OBRAS PUBLICAS</v>
      </c>
      <c r="N340" s="20"/>
      <c r="O340" s="20"/>
      <c r="P340" s="88"/>
      <c r="Q340" s="190"/>
      <c r="R340" s="4"/>
    </row>
    <row r="341" spans="1:18">
      <c r="A341" s="1"/>
      <c r="B341" s="2"/>
      <c r="C341" s="8"/>
      <c r="D341" s="68"/>
      <c r="E341" s="20" t="str">
        <f>+Hoja2!C$15</f>
        <v>123769-0701671 NTS</v>
      </c>
      <c r="F341" s="191"/>
      <c r="G341" s="191"/>
      <c r="H341" s="191"/>
      <c r="I341" s="20"/>
      <c r="J341" s="191"/>
      <c r="K341" s="191"/>
      <c r="L341" s="191"/>
      <c r="M341" s="192" t="str">
        <f>+Hoja2!C$18</f>
        <v>A21382020-1090480860</v>
      </c>
      <c r="N341" s="191"/>
      <c r="O341" s="191"/>
      <c r="P341" s="193"/>
      <c r="Q341" s="194"/>
      <c r="R341" s="4"/>
    </row>
    <row r="342" spans="1:18" ht="16.5" thickBot="1">
      <c r="A342" s="1"/>
      <c r="B342" s="2"/>
      <c r="C342" s="8"/>
      <c r="D342" s="195"/>
      <c r="E342" s="150"/>
      <c r="F342" s="150"/>
      <c r="G342" s="150"/>
      <c r="H342" s="150"/>
      <c r="I342" s="150"/>
      <c r="J342" s="150"/>
      <c r="K342" s="150"/>
      <c r="L342" s="150"/>
      <c r="M342" s="150"/>
      <c r="N342" s="150"/>
      <c r="O342" s="150"/>
      <c r="P342" s="196"/>
      <c r="Q342" s="197"/>
      <c r="R342" s="4"/>
    </row>
    <row r="343" spans="1:18" ht="15.75" thickBot="1">
      <c r="A343" s="1"/>
      <c r="B343" s="2"/>
      <c r="C343" s="198"/>
      <c r="D343" s="199"/>
      <c r="E343" s="199"/>
      <c r="F343" s="199"/>
      <c r="G343" s="199"/>
      <c r="H343" s="199"/>
      <c r="I343" s="199"/>
      <c r="J343" s="199"/>
      <c r="K343" s="199"/>
      <c r="L343" s="199"/>
      <c r="M343" s="199"/>
      <c r="N343" s="199"/>
      <c r="O343" s="199"/>
      <c r="P343" s="199"/>
      <c r="Q343" s="200"/>
      <c r="R343" s="4"/>
    </row>
    <row r="344" spans="1:18" ht="15.75" thickTop="1"/>
    <row r="345" spans="1:18" ht="15.75" thickBot="1"/>
    <row r="346" spans="1:18" ht="15.75" thickTop="1">
      <c r="A346" s="1"/>
      <c r="B346" s="2"/>
      <c r="C346" s="5"/>
      <c r="D346" s="6"/>
      <c r="E346" s="6"/>
      <c r="F346" s="6"/>
      <c r="G346" s="6"/>
      <c r="H346" s="6"/>
      <c r="I346" s="6"/>
      <c r="J346" s="6"/>
      <c r="K346" s="6"/>
      <c r="L346" s="6"/>
      <c r="M346" s="6"/>
      <c r="N346" s="6"/>
      <c r="O346" s="6"/>
      <c r="P346" s="6"/>
      <c r="Q346" s="7"/>
      <c r="R346" s="4"/>
    </row>
    <row r="347" spans="1:18" ht="24">
      <c r="A347" s="1"/>
      <c r="B347" s="2"/>
      <c r="C347" s="8"/>
      <c r="D347" s="9" t="str">
        <f>+[239]INICIO!$C$8</f>
        <v>Análisis de Precios Unitarios- Secretaria de Planeación y Obras Publicas de Cubará, Boyacá.</v>
      </c>
      <c r="E347" s="10"/>
      <c r="F347" s="10"/>
      <c r="G347" s="10"/>
      <c r="H347" s="11"/>
      <c r="I347" s="12"/>
      <c r="J347" s="12"/>
      <c r="K347" s="12"/>
      <c r="L347" s="12"/>
      <c r="M347" s="12"/>
      <c r="N347" s="12"/>
      <c r="O347" s="12"/>
      <c r="P347" s="12"/>
      <c r="Q347" s="13"/>
      <c r="R347" s="4"/>
    </row>
    <row r="348" spans="1:18">
      <c r="A348" s="1"/>
      <c r="B348" s="2"/>
      <c r="C348" s="8"/>
      <c r="D348" s="14" t="s">
        <v>0</v>
      </c>
      <c r="E348" s="15" t="str">
        <f>+[239]INICIO!$C$7</f>
        <v>CCE-EICP-FM-14</v>
      </c>
      <c r="F348" s="16"/>
      <c r="G348" s="17" t="str">
        <f>+[239]INICIO!$B$6</f>
        <v>VERSIÓN</v>
      </c>
      <c r="H348" s="14">
        <f>+[239]INICIO!$C$6</f>
        <v>1</v>
      </c>
      <c r="I348" s="12"/>
      <c r="J348" s="12"/>
      <c r="K348" s="12"/>
      <c r="L348" s="12"/>
      <c r="M348" s="12"/>
      <c r="N348" s="12"/>
      <c r="O348" s="12"/>
      <c r="P348" s="12"/>
      <c r="Q348" s="13"/>
      <c r="R348" s="4"/>
    </row>
    <row r="349" spans="1:18">
      <c r="A349" s="1"/>
      <c r="B349" s="2"/>
      <c r="C349" s="8"/>
      <c r="D349" s="18"/>
      <c r="E349" s="19"/>
      <c r="F349" s="18"/>
      <c r="G349" s="19"/>
      <c r="H349" s="12"/>
      <c r="I349" s="12"/>
      <c r="J349" s="12"/>
      <c r="K349" s="12"/>
      <c r="L349" s="12"/>
      <c r="M349" s="12"/>
      <c r="N349" s="12"/>
      <c r="O349" s="12"/>
      <c r="P349" s="12"/>
      <c r="Q349" s="13"/>
      <c r="R349" s="4"/>
    </row>
    <row r="350" spans="1:18" ht="15.75" thickBot="1">
      <c r="A350" s="1"/>
      <c r="B350" s="2"/>
      <c r="C350" s="8"/>
      <c r="D350" s="20"/>
      <c r="E350" s="20"/>
      <c r="F350" s="20"/>
      <c r="G350" s="20"/>
      <c r="H350" s="20"/>
      <c r="I350" s="20"/>
      <c r="J350" s="20"/>
      <c r="K350" s="20"/>
      <c r="L350" s="20"/>
      <c r="M350" s="20"/>
      <c r="N350" s="20"/>
      <c r="O350" s="20"/>
      <c r="P350" s="20"/>
      <c r="Q350" s="13"/>
      <c r="R350" s="4"/>
    </row>
    <row r="351" spans="1:18">
      <c r="A351" s="1"/>
      <c r="B351" s="2"/>
      <c r="C351" s="8"/>
      <c r="D351" s="21"/>
      <c r="E351" s="22"/>
      <c r="F351" s="23"/>
      <c r="G351" s="23"/>
      <c r="H351" s="23"/>
      <c r="I351" s="23"/>
      <c r="J351" s="23"/>
      <c r="K351" s="23"/>
      <c r="L351" s="24"/>
      <c r="M351" s="25"/>
      <c r="N351" s="26"/>
      <c r="O351" s="26"/>
      <c r="P351" s="27"/>
      <c r="Q351" s="28"/>
      <c r="R351" s="4"/>
    </row>
    <row r="352" spans="1:18">
      <c r="A352" s="1"/>
      <c r="B352" s="2"/>
      <c r="C352" s="8"/>
      <c r="D352" s="29"/>
      <c r="E352" s="30" t="s">
        <v>1</v>
      </c>
      <c r="F352" s="31"/>
      <c r="G352" s="31"/>
      <c r="H352" s="31"/>
      <c r="I352" s="31"/>
      <c r="J352" s="31"/>
      <c r="K352" s="31"/>
      <c r="L352" s="32"/>
      <c r="M352" s="33"/>
      <c r="N352" s="34"/>
      <c r="O352" s="34"/>
      <c r="P352" s="35"/>
      <c r="Q352" s="28"/>
      <c r="R352" s="4"/>
    </row>
    <row r="353" spans="1:18">
      <c r="A353" s="1"/>
      <c r="B353" s="2"/>
      <c r="C353" s="8"/>
      <c r="D353" s="29"/>
      <c r="E353" s="36"/>
      <c r="F353" s="37"/>
      <c r="G353" s="37"/>
      <c r="H353" s="37"/>
      <c r="I353" s="37"/>
      <c r="J353" s="37"/>
      <c r="K353" s="37"/>
      <c r="L353" s="38"/>
      <c r="M353" s="39"/>
      <c r="N353" s="40"/>
      <c r="O353" s="41"/>
      <c r="P353" s="42"/>
      <c r="Q353" s="28"/>
      <c r="R353" s="4"/>
    </row>
    <row r="354" spans="1:18">
      <c r="A354" s="1"/>
      <c r="B354" s="2"/>
      <c r="C354" s="8"/>
      <c r="D354" s="29"/>
      <c r="E354" s="36"/>
      <c r="F354" s="37"/>
      <c r="G354" s="37"/>
      <c r="H354" s="37"/>
      <c r="I354" s="37"/>
      <c r="J354" s="37"/>
      <c r="K354" s="37"/>
      <c r="L354" s="38"/>
      <c r="M354" s="43" t="s">
        <v>2</v>
      </c>
      <c r="N354" s="44"/>
      <c r="O354" s="45">
        <f>+[239]INICIO!$C$6</f>
        <v>1</v>
      </c>
      <c r="P354" s="46"/>
      <c r="Q354" s="28"/>
      <c r="R354" s="4"/>
    </row>
    <row r="355" spans="1:18">
      <c r="A355" s="1"/>
      <c r="B355" s="2"/>
      <c r="C355" s="8"/>
      <c r="D355" s="29"/>
      <c r="E355" s="36"/>
      <c r="F355" s="37"/>
      <c r="G355" s="37"/>
      <c r="H355" s="37"/>
      <c r="I355" s="37"/>
      <c r="J355" s="37"/>
      <c r="K355" s="37"/>
      <c r="L355" s="38"/>
      <c r="M355" s="47"/>
      <c r="N355" s="48"/>
      <c r="O355" s="49"/>
      <c r="P355" s="50"/>
      <c r="Q355" s="51"/>
      <c r="R355" s="4"/>
    </row>
    <row r="356" spans="1:18">
      <c r="A356" s="1"/>
      <c r="B356" s="2"/>
      <c r="C356" s="8"/>
      <c r="D356" s="29"/>
      <c r="E356" s="52"/>
      <c r="F356" s="53"/>
      <c r="G356" s="53"/>
      <c r="H356" s="53"/>
      <c r="I356" s="53"/>
      <c r="J356" s="53"/>
      <c r="K356" s="53"/>
      <c r="L356" s="54"/>
      <c r="M356" s="39"/>
      <c r="N356" s="55"/>
      <c r="O356" s="55"/>
      <c r="P356" s="56"/>
      <c r="Q356" s="28"/>
      <c r="R356" s="4"/>
    </row>
    <row r="357" spans="1:18">
      <c r="A357" s="1"/>
      <c r="B357" s="2"/>
      <c r="C357" s="8"/>
      <c r="D357" s="29"/>
      <c r="E357" s="52"/>
      <c r="F357" s="53"/>
      <c r="G357" s="53"/>
      <c r="H357" s="53"/>
      <c r="I357" s="53"/>
      <c r="J357" s="53"/>
      <c r="K357" s="53"/>
      <c r="L357" s="54"/>
      <c r="M357" s="43" t="s">
        <v>3</v>
      </c>
      <c r="N357" s="43" t="str">
        <f>+VLOOKUP(D368,'PRESUPUESTO OFICIAL '!C:Q,9,FALSE)</f>
        <v>41</v>
      </c>
      <c r="O357" s="43" t="s">
        <v>4</v>
      </c>
      <c r="P357" s="508" t="str">
        <f>+'PRESUPUESTO OFICIAL '!$M$122</f>
        <v>62</v>
      </c>
      <c r="Q357" s="28"/>
      <c r="R357" s="4"/>
    </row>
    <row r="358" spans="1:18">
      <c r="A358" s="1"/>
      <c r="B358" s="2"/>
      <c r="C358" s="8"/>
      <c r="D358" s="29"/>
      <c r="E358" s="30" t="s">
        <v>5</v>
      </c>
      <c r="F358" s="31"/>
      <c r="G358" s="31"/>
      <c r="H358" s="31"/>
      <c r="I358" s="31"/>
      <c r="J358" s="31"/>
      <c r="K358" s="31"/>
      <c r="L358" s="32"/>
      <c r="M358" s="43"/>
      <c r="N358" s="57"/>
      <c r="O358" s="57"/>
      <c r="P358" s="58"/>
      <c r="Q358" s="28"/>
      <c r="R358" s="4"/>
    </row>
    <row r="359" spans="1:18" ht="15.75" thickBot="1">
      <c r="A359" s="1"/>
      <c r="B359" s="2"/>
      <c r="C359" s="8"/>
      <c r="D359" s="59"/>
      <c r="E359" s="60"/>
      <c r="F359" s="60"/>
      <c r="G359" s="60"/>
      <c r="H359" s="60"/>
      <c r="I359" s="60"/>
      <c r="J359" s="60"/>
      <c r="K359" s="60"/>
      <c r="L359" s="60"/>
      <c r="M359" s="60"/>
      <c r="N359" s="61"/>
      <c r="O359" s="61"/>
      <c r="P359" s="62"/>
      <c r="Q359" s="63"/>
      <c r="R359" s="4"/>
    </row>
    <row r="360" spans="1:18">
      <c r="A360" s="1"/>
      <c r="B360" s="2"/>
      <c r="C360" s="8"/>
      <c r="D360" s="64"/>
      <c r="E360" s="65"/>
      <c r="F360" s="65"/>
      <c r="G360" s="65"/>
      <c r="H360" s="65"/>
      <c r="I360" s="65"/>
      <c r="J360" s="65"/>
      <c r="K360" s="65"/>
      <c r="L360" s="65"/>
      <c r="M360" s="66" t="s">
        <v>6</v>
      </c>
      <c r="N360" s="66" t="s">
        <v>7</v>
      </c>
      <c r="O360" s="66" t="s">
        <v>8</v>
      </c>
      <c r="P360" s="67" t="s">
        <v>9</v>
      </c>
      <c r="Q360" s="51"/>
      <c r="R360" s="4"/>
    </row>
    <row r="361" spans="1:18">
      <c r="A361" s="1"/>
      <c r="B361" s="2"/>
      <c r="C361" s="8"/>
      <c r="D361" s="68"/>
      <c r="E361" s="69"/>
      <c r="F361" s="69"/>
      <c r="G361" s="69"/>
      <c r="H361" s="69"/>
      <c r="I361" s="69"/>
      <c r="J361" s="69"/>
      <c r="K361" s="69"/>
      <c r="L361" s="69"/>
      <c r="M361" s="70"/>
      <c r="N361" s="71">
        <f>+Hoja2!B$5</f>
        <v>5</v>
      </c>
      <c r="O361" s="71">
        <f>+Hoja2!C$5</f>
        <v>8</v>
      </c>
      <c r="P361" s="72">
        <f>+Hoja2!D$5</f>
        <v>2026</v>
      </c>
      <c r="Q361" s="73"/>
      <c r="R361" s="4"/>
    </row>
    <row r="362" spans="1:18">
      <c r="A362" s="1"/>
      <c r="B362" s="2"/>
      <c r="C362" s="8"/>
      <c r="D362" s="74"/>
      <c r="E362" s="37"/>
      <c r="F362" s="37"/>
      <c r="G362" s="37"/>
      <c r="H362" s="69"/>
      <c r="I362" s="69"/>
      <c r="J362" s="69"/>
      <c r="K362" s="20"/>
      <c r="L362" s="69"/>
      <c r="M362" s="75"/>
      <c r="N362" s="20"/>
      <c r="O362" s="20"/>
      <c r="P362" s="76"/>
      <c r="Q362" s="73"/>
      <c r="R362" s="4"/>
    </row>
    <row r="363" spans="1:18" ht="15.75" thickBot="1">
      <c r="A363" s="1"/>
      <c r="B363" s="2"/>
      <c r="C363" s="8"/>
      <c r="D363" s="77"/>
      <c r="E363" s="78"/>
      <c r="F363" s="78"/>
      <c r="G363" s="78"/>
      <c r="H363" s="78"/>
      <c r="I363" s="78"/>
      <c r="J363" s="78"/>
      <c r="K363" s="78"/>
      <c r="L363" s="78"/>
      <c r="M363" s="78"/>
      <c r="N363" s="78"/>
      <c r="O363" s="78"/>
      <c r="P363" s="79"/>
      <c r="Q363" s="13"/>
      <c r="R363" s="4"/>
    </row>
    <row r="364" spans="1:18" ht="15.75" thickBot="1">
      <c r="A364" s="1"/>
      <c r="B364" s="2"/>
      <c r="C364" s="8"/>
      <c r="D364" s="80"/>
      <c r="E364" s="81"/>
      <c r="F364" s="81"/>
      <c r="G364" s="81"/>
      <c r="H364" s="81"/>
      <c r="I364" s="81"/>
      <c r="J364" s="20"/>
      <c r="K364" s="20"/>
      <c r="L364" s="81"/>
      <c r="M364" s="81"/>
      <c r="N364" s="81"/>
      <c r="O364" s="81"/>
      <c r="P364" s="82"/>
      <c r="Q364" s="13"/>
      <c r="R364" s="4"/>
    </row>
    <row r="365" spans="1:18">
      <c r="A365" s="1"/>
      <c r="B365" s="2"/>
      <c r="C365" s="8"/>
      <c r="D365" s="83" t="s">
        <v>10</v>
      </c>
      <c r="E365" s="84"/>
      <c r="F365" s="84"/>
      <c r="G365" s="84"/>
      <c r="H365" s="84"/>
      <c r="I365" s="84"/>
      <c r="J365" s="84"/>
      <c r="K365" s="84"/>
      <c r="L365" s="84"/>
      <c r="M365" s="84"/>
      <c r="N365" s="84"/>
      <c r="O365" s="84"/>
      <c r="P365" s="85"/>
      <c r="Q365" s="86"/>
      <c r="R365" s="4"/>
    </row>
    <row r="366" spans="1:18" ht="15.75" thickBot="1">
      <c r="A366" s="1"/>
      <c r="B366" s="2"/>
      <c r="C366" s="8"/>
      <c r="D366" s="87"/>
      <c r="E366" s="20"/>
      <c r="F366" s="20"/>
      <c r="G366" s="20"/>
      <c r="H366" s="20"/>
      <c r="I366" s="20"/>
      <c r="J366" s="20"/>
      <c r="K366" s="20"/>
      <c r="L366" s="20"/>
      <c r="M366" s="20"/>
      <c r="N366" s="20"/>
      <c r="O366" s="20"/>
      <c r="P366" s="88"/>
      <c r="Q366" s="13"/>
      <c r="R366" s="4"/>
    </row>
    <row r="367" spans="1:18">
      <c r="A367" s="1" t="s">
        <v>11</v>
      </c>
      <c r="B367" s="2" t="s">
        <v>12</v>
      </c>
      <c r="C367" s="8"/>
      <c r="D367" s="89" t="s">
        <v>13</v>
      </c>
      <c r="E367" s="90" t="s">
        <v>14</v>
      </c>
      <c r="F367" s="90"/>
      <c r="G367" s="90"/>
      <c r="H367" s="90"/>
      <c r="I367" s="90"/>
      <c r="J367" s="90"/>
      <c r="K367" s="90"/>
      <c r="L367" s="90"/>
      <c r="M367" s="90"/>
      <c r="N367" s="91" t="s">
        <v>15</v>
      </c>
      <c r="O367" s="91"/>
      <c r="P367" s="92" t="s">
        <v>16</v>
      </c>
      <c r="Q367" s="93"/>
      <c r="R367" s="4"/>
    </row>
    <row r="368" spans="1:18" ht="30.75" customHeight="1" thickBot="1">
      <c r="A368" s="1"/>
      <c r="B368" s="2"/>
      <c r="C368" s="8"/>
      <c r="D368" s="349">
        <f>+'PRESUPUESTO OFICIAL '!C65</f>
        <v>5.05</v>
      </c>
      <c r="E368" s="94" t="str">
        <f>+VLOOKUP(D368,'PRESUPUESTO OFICIAL '!C:H,2,FALSE)</f>
        <v>SUMINISTRO E INSTALACIÓN DE TOMACORRIENTE DOBLE MONOFÁSICA</v>
      </c>
      <c r="F368" s="94"/>
      <c r="G368" s="94"/>
      <c r="H368" s="94"/>
      <c r="I368" s="94"/>
      <c r="J368" s="94"/>
      <c r="K368" s="94"/>
      <c r="L368" s="94"/>
      <c r="M368" s="94"/>
      <c r="N368" s="94" t="str">
        <f>+VLOOKUP(D368,'PRESUPUESTO OFICIAL '!C:H,3,FALSE)</f>
        <v>UND</v>
      </c>
      <c r="O368" s="95"/>
      <c r="P368" s="96">
        <f>+VLOOKUP(D368,'PRESUPUESTO OFICIAL '!C:H,4,FALSE)</f>
        <v>37</v>
      </c>
      <c r="Q368" s="97"/>
      <c r="R368" s="98">
        <f>+P420</f>
        <v>34073</v>
      </c>
    </row>
    <row r="369" spans="1:18" ht="15.75" thickBot="1">
      <c r="A369" s="1"/>
      <c r="B369" s="2"/>
      <c r="C369" s="8"/>
      <c r="D369" s="74" t="s">
        <v>17</v>
      </c>
      <c r="E369" s="37"/>
      <c r="F369" s="37"/>
      <c r="G369" s="37"/>
      <c r="H369" s="37"/>
      <c r="I369" s="37"/>
      <c r="J369" s="37"/>
      <c r="K369" s="37"/>
      <c r="L369" s="37"/>
      <c r="M369" s="37"/>
      <c r="N369" s="37"/>
      <c r="O369" s="37"/>
      <c r="P369" s="99"/>
      <c r="Q369" s="100"/>
      <c r="R369" s="4"/>
    </row>
    <row r="370" spans="1:18">
      <c r="A370" s="1"/>
      <c r="B370" s="2"/>
      <c r="C370" s="8"/>
      <c r="D370" s="101" t="s">
        <v>14</v>
      </c>
      <c r="E370" s="102"/>
      <c r="F370" s="102"/>
      <c r="G370" s="102"/>
      <c r="H370" s="103"/>
      <c r="I370" s="104" t="s">
        <v>18</v>
      </c>
      <c r="J370" s="102"/>
      <c r="K370" s="104" t="s">
        <v>19</v>
      </c>
      <c r="L370" s="105"/>
      <c r="M370" s="106" t="s">
        <v>20</v>
      </c>
      <c r="N370" s="104" t="s">
        <v>21</v>
      </c>
      <c r="O370" s="105"/>
      <c r="P370" s="107" t="s">
        <v>22</v>
      </c>
      <c r="Q370" s="108"/>
      <c r="R370" s="4"/>
    </row>
    <row r="371" spans="1:18">
      <c r="A371" s="1" t="e">
        <f>[239]INDICE!#REF!</f>
        <v>#REF!</v>
      </c>
      <c r="B371" s="2" t="s">
        <v>23</v>
      </c>
      <c r="C371" s="8"/>
      <c r="D371" s="109" t="str">
        <f>IFERROR(INDEX([239]EQUIPOS!B:B,MATCH(B371,[239]EQUIPOS!A:A,0)),"")</f>
        <v>HERRAMIENTA MENOR (% M.O)</v>
      </c>
      <c r="E371" s="110"/>
      <c r="F371" s="110"/>
      <c r="G371" s="110"/>
      <c r="H371" s="111"/>
      <c r="I371" s="112"/>
      <c r="J371" s="111"/>
      <c r="K371" s="113" t="str">
        <f>IFERROR(INDEX([239]EQUIPOS!C:C,MATCH(B371,[239]EQUIPOS!A:A,0)),"")</f>
        <v>%</v>
      </c>
      <c r="L371" s="114"/>
      <c r="M371" s="115">
        <f>IFERROR(IF(D371="HERRAMIENTA MENOR (% M.O)",P410,INDEX([239]EQUIPOS!D:D,MATCH(B371,[239]EQUIPOS!A:A,0))),"")</f>
        <v>11831.82</v>
      </c>
      <c r="N371" s="116">
        <v>10</v>
      </c>
      <c r="O371" s="117"/>
      <c r="P371" s="118">
        <f t="shared" ref="P371:P376" si="12">IFERROR(ROUND(IF(D371="HERRAMIENTA MENOR (% M.O)",N371%*M371,M371/N371),2)," ")</f>
        <v>1183.18</v>
      </c>
      <c r="Q371" s="119"/>
      <c r="R371" s="4"/>
    </row>
    <row r="372" spans="1:18">
      <c r="A372" s="1">
        <f>+$A$2593</f>
        <v>0</v>
      </c>
      <c r="B372" s="2"/>
      <c r="C372" s="8"/>
      <c r="D372" s="109" t="str">
        <f>IFERROR(INDEX([239]EQUIPOS!B:B,MATCH(B372,[239]EQUIPOS!A:A,0)),"")</f>
        <v/>
      </c>
      <c r="E372" s="110"/>
      <c r="F372" s="110"/>
      <c r="G372" s="110"/>
      <c r="H372" s="111"/>
      <c r="I372" s="112"/>
      <c r="J372" s="111"/>
      <c r="K372" s="113" t="str">
        <f>IFERROR(INDEX([239]EQUIPOS!C:C,MATCH(B372,[239]EQUIPOS!A:A,0)),"")</f>
        <v/>
      </c>
      <c r="L372" s="114"/>
      <c r="M372" s="115" t="str">
        <f>IFERROR(IF(D372="HERRAMIENTA MENOR (% M.O)",P411,INDEX([239]EQUIPOS!D:D,MATCH(B372,[239]EQUIPOS!A:A,0))),"")</f>
        <v/>
      </c>
      <c r="N372" s="116"/>
      <c r="O372" s="117"/>
      <c r="P372" s="118" t="str">
        <f t="shared" si="12"/>
        <v xml:space="preserve"> </v>
      </c>
      <c r="Q372" s="119"/>
      <c r="R372" s="4"/>
    </row>
    <row r="373" spans="1:18">
      <c r="A373" s="1">
        <f t="shared" ref="A373:A411" si="13">+A372</f>
        <v>0</v>
      </c>
      <c r="B373" s="2"/>
      <c r="C373" s="8"/>
      <c r="D373" s="109" t="str">
        <f>IFERROR(INDEX([239]EQUIPOS!B:B,MATCH(B373,[239]EQUIPOS!A:A,0)),"")</f>
        <v/>
      </c>
      <c r="E373" s="110"/>
      <c r="F373" s="110"/>
      <c r="G373" s="110"/>
      <c r="H373" s="111"/>
      <c r="I373" s="120"/>
      <c r="J373" s="121"/>
      <c r="K373" s="113" t="str">
        <f>IFERROR(INDEX([239]EQUIPOS!C:C,MATCH(B373,[239]EQUIPOS!A:A,0)),"")</f>
        <v/>
      </c>
      <c r="L373" s="114"/>
      <c r="M373" s="115" t="str">
        <f>IFERROR(IF(D373="HERRAMIENTA MENOR (% M.O)",P412,INDEX([239]EQUIPOS!D:D,MATCH(B373,[239]EQUIPOS!A:A,0))),"")</f>
        <v/>
      </c>
      <c r="N373" s="116"/>
      <c r="O373" s="117"/>
      <c r="P373" s="118" t="str">
        <f t="shared" si="12"/>
        <v xml:space="preserve"> </v>
      </c>
      <c r="Q373" s="119"/>
      <c r="R373" s="4"/>
    </row>
    <row r="374" spans="1:18">
      <c r="A374" s="1">
        <f t="shared" si="13"/>
        <v>0</v>
      </c>
      <c r="B374" s="2"/>
      <c r="C374" s="8"/>
      <c r="D374" s="109" t="str">
        <f>IFERROR(INDEX([239]EQUIPOS!B:B,MATCH(B374,[239]EQUIPOS!A:A,0)),"")</f>
        <v/>
      </c>
      <c r="E374" s="110"/>
      <c r="F374" s="110"/>
      <c r="G374" s="110"/>
      <c r="H374" s="111"/>
      <c r="I374" s="120"/>
      <c r="J374" s="121"/>
      <c r="K374" s="113" t="str">
        <f>IFERROR(INDEX([239]EQUIPOS!C:C,MATCH(B374,[239]EQUIPOS!A:A,0)),"")</f>
        <v/>
      </c>
      <c r="L374" s="114"/>
      <c r="M374" s="115" t="str">
        <f>IFERROR(IF(D374="HERRAMIENTA MENOR (% M.O)",P413,INDEX([239]EQUIPOS!D:D,MATCH(B374,[239]EQUIPOS!A:A,0))),"")</f>
        <v/>
      </c>
      <c r="N374" s="116"/>
      <c r="O374" s="117"/>
      <c r="P374" s="118" t="str">
        <f t="shared" si="12"/>
        <v xml:space="preserve"> </v>
      </c>
      <c r="Q374" s="119"/>
      <c r="R374" s="4"/>
    </row>
    <row r="375" spans="1:18">
      <c r="A375" s="1">
        <f t="shared" si="13"/>
        <v>0</v>
      </c>
      <c r="B375" s="2"/>
      <c r="C375" s="8"/>
      <c r="D375" s="109" t="str">
        <f>IFERROR(INDEX([239]EQUIPOS!B:B,MATCH(B375,[239]EQUIPOS!A:A,0)),"")</f>
        <v/>
      </c>
      <c r="E375" s="110"/>
      <c r="F375" s="110"/>
      <c r="G375" s="110"/>
      <c r="H375" s="111"/>
      <c r="I375" s="112"/>
      <c r="J375" s="111"/>
      <c r="K375" s="113" t="str">
        <f>IFERROR(INDEX([239]EQUIPOS!C:C,MATCH(B375,[239]EQUIPOS!A:A,0)),"")</f>
        <v/>
      </c>
      <c r="L375" s="114"/>
      <c r="M375" s="115" t="str">
        <f>IFERROR(IF(D375="HERRAMIENTA MENOR (% M.O)",P414,INDEX([239]EQUIPOS!D:D,MATCH(B375,[239]EQUIPOS!A:A,0))),"")</f>
        <v/>
      </c>
      <c r="N375" s="116"/>
      <c r="O375" s="117"/>
      <c r="P375" s="118" t="str">
        <f t="shared" si="12"/>
        <v xml:space="preserve"> </v>
      </c>
      <c r="Q375" s="119"/>
      <c r="R375" s="4"/>
    </row>
    <row r="376" spans="1:18" ht="15.75" thickBot="1">
      <c r="A376" s="1">
        <f t="shared" si="13"/>
        <v>0</v>
      </c>
      <c r="B376" s="2"/>
      <c r="C376" s="8"/>
      <c r="D376" s="109" t="str">
        <f>IFERROR(INDEX([239]EQUIPOS!B:B,MATCH(B376,[239]EQUIPOS!A:A,0)),"")</f>
        <v/>
      </c>
      <c r="E376" s="78"/>
      <c r="F376" s="78"/>
      <c r="G376" s="78"/>
      <c r="H376" s="122"/>
      <c r="I376" s="123"/>
      <c r="J376" s="122"/>
      <c r="K376" s="113" t="str">
        <f>IFERROR(INDEX([239]EQUIPOS!C:C,MATCH(B376,[239]EQUIPOS!A:A,0)),"")</f>
        <v/>
      </c>
      <c r="L376" s="124"/>
      <c r="M376" s="115" t="str">
        <f>IFERROR(IF(D376="HERRAMIENTA MENOR (% M.O)",P415,INDEX([239]EQUIPOS!D:D,MATCH(B376,[239]EQUIPOS!A:A,0))),"")</f>
        <v/>
      </c>
      <c r="N376" s="125"/>
      <c r="O376" s="126"/>
      <c r="P376" s="127" t="str">
        <f t="shared" si="12"/>
        <v xml:space="preserve"> </v>
      </c>
      <c r="Q376" s="119"/>
      <c r="R376" s="4"/>
    </row>
    <row r="377" spans="1:18" ht="15.75" thickBot="1">
      <c r="A377" s="1">
        <f t="shared" si="13"/>
        <v>0</v>
      </c>
      <c r="B377" s="2"/>
      <c r="C377" s="8"/>
      <c r="D377" s="128" t="s">
        <v>24</v>
      </c>
      <c r="E377" s="129"/>
      <c r="F377" s="129"/>
      <c r="G377" s="129"/>
      <c r="H377" s="129"/>
      <c r="I377" s="129"/>
      <c r="J377" s="129"/>
      <c r="K377" s="129"/>
      <c r="L377" s="129"/>
      <c r="M377" s="129"/>
      <c r="N377" s="129"/>
      <c r="O377" s="130"/>
      <c r="P377" s="131">
        <f>SUM(P371:P376)</f>
        <v>1183.18</v>
      </c>
      <c r="Q377" s="132"/>
      <c r="R377" s="4"/>
    </row>
    <row r="378" spans="1:18" ht="15.75" thickBot="1">
      <c r="A378" s="1">
        <f t="shared" si="13"/>
        <v>0</v>
      </c>
      <c r="B378" s="2"/>
      <c r="C378" s="8"/>
      <c r="D378" s="74" t="s">
        <v>25</v>
      </c>
      <c r="E378" s="37"/>
      <c r="F378" s="37"/>
      <c r="G378" s="37"/>
      <c r="H378" s="37"/>
      <c r="I378" s="37"/>
      <c r="J378" s="37"/>
      <c r="K378" s="37"/>
      <c r="L378" s="37"/>
      <c r="M378" s="37"/>
      <c r="N378" s="37"/>
      <c r="O378" s="37"/>
      <c r="P378" s="99"/>
      <c r="Q378" s="100"/>
      <c r="R378" s="4"/>
    </row>
    <row r="379" spans="1:18">
      <c r="A379" s="1">
        <f t="shared" si="13"/>
        <v>0</v>
      </c>
      <c r="B379" s="2"/>
      <c r="C379" s="8"/>
      <c r="D379" s="101" t="s">
        <v>14</v>
      </c>
      <c r="E379" s="133"/>
      <c r="F379" s="133"/>
      <c r="G379" s="133"/>
      <c r="H379" s="133"/>
      <c r="I379" s="133"/>
      <c r="J379" s="133"/>
      <c r="K379" s="105"/>
      <c r="L379" s="134" t="s">
        <v>15</v>
      </c>
      <c r="M379" s="106" t="s">
        <v>16</v>
      </c>
      <c r="N379" s="104" t="s">
        <v>26</v>
      </c>
      <c r="O379" s="105"/>
      <c r="P379" s="107" t="s">
        <v>22</v>
      </c>
      <c r="Q379" s="108"/>
      <c r="R379" s="4"/>
    </row>
    <row r="380" spans="1:18">
      <c r="A380" s="1">
        <f t="shared" si="13"/>
        <v>0</v>
      </c>
      <c r="B380" s="2" t="s">
        <v>326</v>
      </c>
      <c r="C380" s="8"/>
      <c r="D380" s="109" t="str">
        <f>IFERROR(INDEX([239]MATERIALES!C:C,MATCH(B380,[239]MATERIALES!B:B,0)),"")</f>
        <v>TOMACORRIENTE DOBLE CON POLO A TIERRA</v>
      </c>
      <c r="E380" s="135"/>
      <c r="F380" s="135"/>
      <c r="G380" s="135"/>
      <c r="H380" s="135"/>
      <c r="I380" s="135"/>
      <c r="J380" s="135"/>
      <c r="K380" s="136"/>
      <c r="L380" s="137" t="str">
        <f>IFERROR(INDEX([239]MATERIALES!D:D,MATCH(B380,[239]MATERIALES!B:B,0)),"")</f>
        <v>UND</v>
      </c>
      <c r="M380" s="138">
        <v>1</v>
      </c>
      <c r="N380" s="139">
        <f>IFERROR(INDEX([239]MATERIALES!P:P,MATCH(B380,[239]MATERIALES!B:B,0)),"")</f>
        <v>12003.68</v>
      </c>
      <c r="O380" s="140"/>
      <c r="P380" s="118">
        <f>IFERROR(ROUND(N380*M380,2),"")</f>
        <v>12003.68</v>
      </c>
      <c r="Q380" s="119"/>
      <c r="R380" s="4"/>
    </row>
    <row r="381" spans="1:18">
      <c r="A381" s="1">
        <f t="shared" si="13"/>
        <v>0</v>
      </c>
      <c r="B381" s="2"/>
      <c r="C381" s="8"/>
      <c r="D381" s="109"/>
      <c r="E381" s="135"/>
      <c r="F381" s="135"/>
      <c r="G381" s="135"/>
      <c r="H381" s="135"/>
      <c r="I381" s="135"/>
      <c r="J381" s="135"/>
      <c r="K381" s="136"/>
      <c r="L381" s="137" t="str">
        <f>IFERROR(INDEX([239]MATERIALES!D:D,MATCH(B381,[239]MATERIALES!B:B,0)),"")</f>
        <v/>
      </c>
      <c r="M381" s="138"/>
      <c r="N381" s="139" t="str">
        <f>IFERROR(INDEX([239]MATERIALES!P:P,MATCH(B381,[239]MATERIALES!B:B,0)),"")</f>
        <v/>
      </c>
      <c r="O381" s="140"/>
      <c r="P381" s="118" t="str">
        <f>IFERROR(ROUND(N381*M381,2),"")</f>
        <v/>
      </c>
      <c r="Q381" s="119"/>
      <c r="R381" s="4"/>
    </row>
    <row r="382" spans="1:18">
      <c r="A382" s="1">
        <f t="shared" si="13"/>
        <v>0</v>
      </c>
      <c r="B382" s="2"/>
      <c r="C382" s="8"/>
      <c r="D382" s="109"/>
      <c r="E382" s="110"/>
      <c r="F382" s="110"/>
      <c r="G382" s="110"/>
      <c r="H382" s="110"/>
      <c r="I382" s="110"/>
      <c r="J382" s="110"/>
      <c r="K382" s="111"/>
      <c r="L382" s="137" t="str">
        <f>IFERROR(INDEX([239]MATERIALES!D:D,MATCH(B382,[239]MATERIALES!B:B,0)),"")</f>
        <v/>
      </c>
      <c r="M382" s="138"/>
      <c r="N382" s="139" t="str">
        <f>IFERROR(INDEX([239]MATERIALES!P:P,MATCH(B382,[239]MATERIALES!B:B,0)),"")</f>
        <v/>
      </c>
      <c r="O382" s="140"/>
      <c r="P382" s="118" t="str">
        <f>IFERROR(ROUND(N382*M382,2),"")</f>
        <v/>
      </c>
      <c r="Q382" s="119"/>
      <c r="R382" s="4"/>
    </row>
    <row r="383" spans="1:18">
      <c r="A383" s="1">
        <f t="shared" si="13"/>
        <v>0</v>
      </c>
      <c r="B383" s="2"/>
      <c r="C383" s="8"/>
      <c r="D383" s="109"/>
      <c r="E383" s="110"/>
      <c r="F383" s="110"/>
      <c r="G383" s="110"/>
      <c r="H383" s="110"/>
      <c r="I383" s="110"/>
      <c r="J383" s="110"/>
      <c r="K383" s="111"/>
      <c r="L383" s="137" t="str">
        <f>IFERROR(INDEX([239]MATERIALES!D:D,MATCH(B383,[239]MATERIALES!B:B,0)),"")</f>
        <v/>
      </c>
      <c r="M383" s="138"/>
      <c r="N383" s="139" t="str">
        <f>IFERROR(INDEX([239]MATERIALES!P:P,MATCH(B383,[239]MATERIALES!B:B,0)),"")</f>
        <v/>
      </c>
      <c r="O383" s="140"/>
      <c r="P383" s="118" t="str">
        <f>IFERROR(ROUND(N383*M383,2),"")</f>
        <v/>
      </c>
      <c r="Q383" s="119"/>
      <c r="R383" s="4"/>
    </row>
    <row r="384" spans="1:18">
      <c r="A384" s="1">
        <f t="shared" si="13"/>
        <v>0</v>
      </c>
      <c r="B384" s="2"/>
      <c r="C384" s="8"/>
      <c r="D384" s="109"/>
      <c r="E384" s="110"/>
      <c r="F384" s="110"/>
      <c r="G384" s="110"/>
      <c r="H384" s="110"/>
      <c r="I384" s="110"/>
      <c r="J384" s="110"/>
      <c r="K384" s="111"/>
      <c r="L384" s="137" t="str">
        <f>IFERROR(INDEX([239]MATERIALES!D:D,MATCH(B384,[239]MATERIALES!B:B,0)),"")</f>
        <v/>
      </c>
      <c r="M384" s="138"/>
      <c r="N384" s="139" t="str">
        <f>IFERROR(INDEX([239]MATERIALES!P:P,MATCH(B384,[239]MATERIALES!B:B,0)),"")</f>
        <v/>
      </c>
      <c r="O384" s="140"/>
      <c r="P384" s="118" t="str">
        <f t="shared" ref="P384:P393" si="14">IFERROR(ROUND(N384*M384,2),"")</f>
        <v/>
      </c>
      <c r="Q384" s="119"/>
      <c r="R384" s="4"/>
    </row>
    <row r="385" spans="1:18">
      <c r="A385" s="1">
        <f t="shared" si="13"/>
        <v>0</v>
      </c>
      <c r="B385" s="2"/>
      <c r="C385" s="8"/>
      <c r="D385" s="109"/>
      <c r="E385" s="110"/>
      <c r="F385" s="110"/>
      <c r="G385" s="110"/>
      <c r="H385" s="110"/>
      <c r="I385" s="110"/>
      <c r="J385" s="110"/>
      <c r="K385" s="111"/>
      <c r="L385" s="137" t="str">
        <f>IFERROR(INDEX([239]MATERIALES!D:D,MATCH(B385,[239]MATERIALES!B:B,0)),"")</f>
        <v/>
      </c>
      <c r="M385" s="138"/>
      <c r="N385" s="139" t="str">
        <f>IFERROR(INDEX([239]MATERIALES!P:P,MATCH(B385,[239]MATERIALES!B:B,0)),"")</f>
        <v/>
      </c>
      <c r="O385" s="140"/>
      <c r="P385" s="118" t="str">
        <f t="shared" si="14"/>
        <v/>
      </c>
      <c r="Q385" s="119"/>
      <c r="R385" s="4"/>
    </row>
    <row r="386" spans="1:18">
      <c r="A386" s="1">
        <f t="shared" si="13"/>
        <v>0</v>
      </c>
      <c r="B386" s="2"/>
      <c r="C386" s="8"/>
      <c r="D386" s="109"/>
      <c r="E386" s="110"/>
      <c r="F386" s="110"/>
      <c r="G386" s="110"/>
      <c r="H386" s="110"/>
      <c r="I386" s="110"/>
      <c r="J386" s="110"/>
      <c r="K386" s="111"/>
      <c r="L386" s="137" t="str">
        <f>IFERROR(INDEX([239]MATERIALES!D:D,MATCH(B386,[239]MATERIALES!B:B,0)),"")</f>
        <v/>
      </c>
      <c r="M386" s="138"/>
      <c r="N386" s="139" t="str">
        <f>IFERROR(INDEX([239]MATERIALES!P:P,MATCH(B386,[239]MATERIALES!B:B,0)),"")</f>
        <v/>
      </c>
      <c r="O386" s="140"/>
      <c r="P386" s="118" t="str">
        <f t="shared" si="14"/>
        <v/>
      </c>
      <c r="Q386" s="119"/>
      <c r="R386" s="4"/>
    </row>
    <row r="387" spans="1:18">
      <c r="A387" s="1">
        <f t="shared" si="13"/>
        <v>0</v>
      </c>
      <c r="B387" s="2"/>
      <c r="C387" s="8"/>
      <c r="D387" s="109"/>
      <c r="E387" s="110"/>
      <c r="F387" s="110"/>
      <c r="G387" s="110"/>
      <c r="H387" s="110"/>
      <c r="I387" s="110"/>
      <c r="J387" s="110"/>
      <c r="K387" s="111"/>
      <c r="L387" s="137" t="str">
        <f>IFERROR(INDEX([239]MATERIALES!D:D,MATCH(B387,[239]MATERIALES!B:B,0)),"")</f>
        <v/>
      </c>
      <c r="M387" s="138"/>
      <c r="N387" s="139" t="str">
        <f>IFERROR(INDEX([239]MATERIALES!P:P,MATCH(B387,[239]MATERIALES!B:B,0)),"")</f>
        <v/>
      </c>
      <c r="O387" s="140"/>
      <c r="P387" s="118" t="str">
        <f t="shared" si="14"/>
        <v/>
      </c>
      <c r="Q387" s="119"/>
      <c r="R387" s="4"/>
    </row>
    <row r="388" spans="1:18">
      <c r="A388" s="1">
        <f t="shared" si="13"/>
        <v>0</v>
      </c>
      <c r="B388" s="2"/>
      <c r="C388" s="8"/>
      <c r="D388" s="109"/>
      <c r="E388" s="110"/>
      <c r="F388" s="110"/>
      <c r="G388" s="110"/>
      <c r="H388" s="110"/>
      <c r="I388" s="110"/>
      <c r="J388" s="110"/>
      <c r="K388" s="111"/>
      <c r="L388" s="137" t="str">
        <f>IFERROR(INDEX([239]MATERIALES!D:D,MATCH(B388,[239]MATERIALES!B:B,0)),"")</f>
        <v/>
      </c>
      <c r="M388" s="138"/>
      <c r="N388" s="139" t="str">
        <f>IFERROR(INDEX([239]MATERIALES!P:P,MATCH(B388,[239]MATERIALES!B:B,0)),"")</f>
        <v/>
      </c>
      <c r="O388" s="140"/>
      <c r="P388" s="118" t="str">
        <f t="shared" si="14"/>
        <v/>
      </c>
      <c r="Q388" s="119"/>
      <c r="R388" s="4"/>
    </row>
    <row r="389" spans="1:18">
      <c r="A389" s="1">
        <f t="shared" si="13"/>
        <v>0</v>
      </c>
      <c r="B389" s="2"/>
      <c r="C389" s="8"/>
      <c r="D389" s="109"/>
      <c r="E389" s="110"/>
      <c r="F389" s="110"/>
      <c r="G389" s="110"/>
      <c r="H389" s="110"/>
      <c r="I389" s="110"/>
      <c r="J389" s="110"/>
      <c r="K389" s="111"/>
      <c r="L389" s="137" t="str">
        <f>IFERROR(INDEX([239]MATERIALES!D:D,MATCH(B389,[239]MATERIALES!B:B,0)),"")</f>
        <v/>
      </c>
      <c r="M389" s="138"/>
      <c r="N389" s="139" t="str">
        <f>IFERROR(INDEX([239]MATERIALES!P:P,MATCH(B389,[239]MATERIALES!B:B,0)),"")</f>
        <v/>
      </c>
      <c r="O389" s="140"/>
      <c r="P389" s="118" t="str">
        <f t="shared" si="14"/>
        <v/>
      </c>
      <c r="Q389" s="119"/>
      <c r="R389" s="4"/>
    </row>
    <row r="390" spans="1:18">
      <c r="A390" s="1">
        <f t="shared" si="13"/>
        <v>0</v>
      </c>
      <c r="B390" s="2"/>
      <c r="C390" s="8"/>
      <c r="D390" s="109"/>
      <c r="E390" s="110"/>
      <c r="F390" s="110"/>
      <c r="G390" s="110"/>
      <c r="H390" s="110"/>
      <c r="I390" s="110"/>
      <c r="J390" s="110"/>
      <c r="K390" s="111"/>
      <c r="L390" s="137" t="str">
        <f>IFERROR(INDEX([239]MATERIALES!D:D,MATCH(B390,[239]MATERIALES!B:B,0)),"")</f>
        <v/>
      </c>
      <c r="M390" s="138"/>
      <c r="N390" s="139" t="str">
        <f>IFERROR(INDEX([239]MATERIALES!P:P,MATCH(B390,[239]MATERIALES!B:B,0)),"")</f>
        <v/>
      </c>
      <c r="O390" s="140"/>
      <c r="P390" s="118" t="str">
        <f t="shared" si="14"/>
        <v/>
      </c>
      <c r="Q390" s="119"/>
      <c r="R390" s="4"/>
    </row>
    <row r="391" spans="1:18">
      <c r="A391" s="1">
        <f t="shared" si="13"/>
        <v>0</v>
      </c>
      <c r="B391" s="2"/>
      <c r="C391" s="8"/>
      <c r="D391" s="109" t="str">
        <f>IFERROR(INDEX([239]MATERIALES!C:C,MATCH(B391,[239]MATERIALES!B:B,0)),"")</f>
        <v/>
      </c>
      <c r="E391" s="110"/>
      <c r="F391" s="110"/>
      <c r="G391" s="110"/>
      <c r="H391" s="110"/>
      <c r="I391" s="110"/>
      <c r="J391" s="110"/>
      <c r="K391" s="111"/>
      <c r="L391" s="137" t="str">
        <f>IFERROR(INDEX([239]MATERIALES!D:D,MATCH(B391,[239]MATERIALES!B:B,0)),"")</f>
        <v/>
      </c>
      <c r="M391" s="138"/>
      <c r="N391" s="139" t="str">
        <f>IFERROR(INDEX([239]MATERIALES!P:P,MATCH(B391,[239]MATERIALES!B:B,0)),"")</f>
        <v/>
      </c>
      <c r="O391" s="140"/>
      <c r="P391" s="118" t="str">
        <f t="shared" si="14"/>
        <v/>
      </c>
      <c r="Q391" s="119"/>
      <c r="R391" s="4"/>
    </row>
    <row r="392" spans="1:18">
      <c r="A392" s="1">
        <f t="shared" si="13"/>
        <v>0</v>
      </c>
      <c r="B392" s="2"/>
      <c r="C392" s="8"/>
      <c r="D392" s="109" t="str">
        <f>IFERROR(INDEX([239]MATERIALES!C:C,MATCH(B392,[239]MATERIALES!B:B,0)),"")</f>
        <v/>
      </c>
      <c r="E392" s="110"/>
      <c r="F392" s="110"/>
      <c r="G392" s="110"/>
      <c r="H392" s="110"/>
      <c r="I392" s="110"/>
      <c r="J392" s="110"/>
      <c r="K392" s="111"/>
      <c r="L392" s="137" t="str">
        <f>IFERROR(INDEX([239]MATERIALES!D:D,MATCH(B392,[239]MATERIALES!B:B,0)),"")</f>
        <v/>
      </c>
      <c r="M392" s="138"/>
      <c r="N392" s="139" t="str">
        <f>IFERROR(INDEX([239]MATERIALES!P:P,MATCH(B392,[239]MATERIALES!B:B,0)),"")</f>
        <v/>
      </c>
      <c r="O392" s="140"/>
      <c r="P392" s="118" t="str">
        <f t="shared" si="14"/>
        <v/>
      </c>
      <c r="Q392" s="119"/>
      <c r="R392" s="4"/>
    </row>
    <row r="393" spans="1:18">
      <c r="A393" s="1">
        <f t="shared" si="13"/>
        <v>0</v>
      </c>
      <c r="B393" s="2"/>
      <c r="C393" s="8"/>
      <c r="D393" s="109" t="str">
        <f>IFERROR(INDEX([239]MATERIALES!C:C,MATCH(B393,[239]MATERIALES!B:B,0)),"")</f>
        <v/>
      </c>
      <c r="E393" s="110"/>
      <c r="F393" s="110"/>
      <c r="G393" s="110"/>
      <c r="H393" s="110"/>
      <c r="I393" s="110"/>
      <c r="J393" s="110"/>
      <c r="K393" s="111"/>
      <c r="L393" s="137" t="str">
        <f>IFERROR(INDEX([239]MATERIALES!D:D,MATCH(B393,[239]MATERIALES!B:B,0)),"")</f>
        <v/>
      </c>
      <c r="M393" s="138"/>
      <c r="N393" s="139" t="str">
        <f>IFERROR(INDEX([239]MATERIALES!P:P,MATCH(B393,[239]MATERIALES!B:B,0)),"")</f>
        <v/>
      </c>
      <c r="O393" s="140"/>
      <c r="P393" s="118" t="str">
        <f t="shared" si="14"/>
        <v/>
      </c>
      <c r="Q393" s="119"/>
      <c r="R393" s="4"/>
    </row>
    <row r="394" spans="1:18" ht="15.75" thickBot="1">
      <c r="A394" s="1">
        <f t="shared" si="13"/>
        <v>0</v>
      </c>
      <c r="B394" s="2"/>
      <c r="C394" s="8"/>
      <c r="D394" s="109" t="s">
        <v>28</v>
      </c>
      <c r="E394" s="110"/>
      <c r="F394" s="110"/>
      <c r="G394" s="110"/>
      <c r="H394" s="110"/>
      <c r="I394" s="110"/>
      <c r="J394" s="110"/>
      <c r="K394" s="111"/>
      <c r="L394" s="137" t="s">
        <v>29</v>
      </c>
      <c r="M394" s="138">
        <v>0.05</v>
      </c>
      <c r="N394" s="139">
        <f>SUM(P380:P393)</f>
        <v>12003.68</v>
      </c>
      <c r="O394" s="140"/>
      <c r="P394" s="118">
        <f>ROUND(N394*M394,2)</f>
        <v>600.17999999999995</v>
      </c>
      <c r="Q394" s="119"/>
      <c r="R394" s="4"/>
    </row>
    <row r="395" spans="1:18" ht="15.75" thickBot="1">
      <c r="A395" s="1">
        <f t="shared" si="13"/>
        <v>0</v>
      </c>
      <c r="B395" s="2"/>
      <c r="C395" s="8"/>
      <c r="D395" s="128" t="s">
        <v>24</v>
      </c>
      <c r="E395" s="129"/>
      <c r="F395" s="129"/>
      <c r="G395" s="129"/>
      <c r="H395" s="129"/>
      <c r="I395" s="129"/>
      <c r="J395" s="129"/>
      <c r="K395" s="129"/>
      <c r="L395" s="129"/>
      <c r="M395" s="129"/>
      <c r="N395" s="129"/>
      <c r="O395" s="130"/>
      <c r="P395" s="131">
        <f>SUM(P380:P394)</f>
        <v>12603.86</v>
      </c>
      <c r="Q395" s="119"/>
      <c r="R395" s="4"/>
    </row>
    <row r="396" spans="1:18" ht="15.75" thickBot="1">
      <c r="A396" s="1">
        <f t="shared" si="13"/>
        <v>0</v>
      </c>
      <c r="B396" s="2"/>
      <c r="C396" s="8"/>
      <c r="D396" s="74" t="s">
        <v>30</v>
      </c>
      <c r="E396" s="37"/>
      <c r="F396" s="37"/>
      <c r="G396" s="37"/>
      <c r="H396" s="37"/>
      <c r="I396" s="37"/>
      <c r="J396" s="37"/>
      <c r="K396" s="37"/>
      <c r="L396" s="37"/>
      <c r="M396" s="37"/>
      <c r="N396" s="37"/>
      <c r="O396" s="37"/>
      <c r="P396" s="99"/>
      <c r="Q396" s="100"/>
      <c r="R396" s="4"/>
    </row>
    <row r="397" spans="1:18">
      <c r="A397" s="1">
        <f t="shared" si="13"/>
        <v>0</v>
      </c>
      <c r="B397" s="2"/>
      <c r="C397" s="8"/>
      <c r="D397" s="101" t="s">
        <v>31</v>
      </c>
      <c r="E397" s="133"/>
      <c r="F397" s="133"/>
      <c r="G397" s="133"/>
      <c r="H397" s="133"/>
      <c r="I397" s="133"/>
      <c r="J397" s="133"/>
      <c r="K397" s="106" t="s">
        <v>32</v>
      </c>
      <c r="L397" s="141" t="s">
        <v>33</v>
      </c>
      <c r="M397" s="106" t="s">
        <v>34</v>
      </c>
      <c r="N397" s="104" t="s">
        <v>20</v>
      </c>
      <c r="O397" s="105"/>
      <c r="P397" s="107" t="s">
        <v>22</v>
      </c>
      <c r="Q397" s="108"/>
      <c r="R397" s="4"/>
    </row>
    <row r="398" spans="1:18">
      <c r="A398" s="1">
        <f t="shared" si="13"/>
        <v>0</v>
      </c>
      <c r="B398" s="2"/>
      <c r="C398" s="8"/>
      <c r="D398" s="142" t="str">
        <f>IFERROR(INDEX([239]TRANSPORTES!B:B,MATCH(B398,[239]TRANSPORTES!A:A,0)),"")</f>
        <v/>
      </c>
      <c r="E398" s="143"/>
      <c r="F398" s="143"/>
      <c r="G398" s="143"/>
      <c r="H398" s="143"/>
      <c r="I398" s="143"/>
      <c r="J398" s="143"/>
      <c r="K398" s="220"/>
      <c r="L398" s="145"/>
      <c r="M398" s="146" t="str">
        <f>IFERROR(INDEX([239]TRANSPORTES!C:C,MATCH(B398,[239]TRANSPORTES!A:A,0)),"")</f>
        <v/>
      </c>
      <c r="N398" s="139" t="str">
        <f>IFERROR(INDEX([239]TRANSPORTES!D:D,MATCH(B398,[239]TRANSPORTES!A:A,0)),"")</f>
        <v/>
      </c>
      <c r="O398" s="147"/>
      <c r="P398" s="148" t="str">
        <f>IFERROR(ROUND(K398*N398*L398,2),"")</f>
        <v/>
      </c>
      <c r="Q398" s="119"/>
      <c r="R398" s="4"/>
    </row>
    <row r="399" spans="1:18">
      <c r="A399" s="1">
        <f t="shared" si="13"/>
        <v>0</v>
      </c>
      <c r="B399" s="2"/>
      <c r="C399" s="8"/>
      <c r="D399" s="142" t="str">
        <f>IFERROR(INDEX([239]TRANSPORTES!B:B,MATCH(B399,[239]TRANSPORTES!A:A,0)),"")</f>
        <v/>
      </c>
      <c r="E399" s="143"/>
      <c r="F399" s="143"/>
      <c r="G399" s="143"/>
      <c r="H399" s="143"/>
      <c r="I399" s="143"/>
      <c r="J399" s="143"/>
      <c r="K399" s="144"/>
      <c r="L399" s="145"/>
      <c r="M399" s="146" t="str">
        <f>IFERROR(INDEX([239]TRANSPORTES!C:C,MATCH(B399,[239]TRANSPORTES!A:A,0)),"")</f>
        <v/>
      </c>
      <c r="N399" s="139" t="str">
        <f>IFERROR(INDEX([239]TRANSPORTES!D:D,MATCH(B399,[239]TRANSPORTES!A:A,0)),"")</f>
        <v/>
      </c>
      <c r="O399" s="147"/>
      <c r="P399" s="148" t="str">
        <f>IFERROR(ROUND(K399*N399*L399,2),"")</f>
        <v/>
      </c>
      <c r="Q399" s="119"/>
      <c r="R399" s="4"/>
    </row>
    <row r="400" spans="1:18">
      <c r="A400" s="1">
        <f t="shared" si="13"/>
        <v>0</v>
      </c>
      <c r="B400" s="2"/>
      <c r="C400" s="8"/>
      <c r="D400" s="142" t="str">
        <f>IFERROR(INDEX([239]TRANSPORTES!B:B,MATCH(B400,[239]TRANSPORTES!A:A,0)),"")</f>
        <v/>
      </c>
      <c r="E400" s="143"/>
      <c r="F400" s="143"/>
      <c r="G400" s="143"/>
      <c r="H400" s="143"/>
      <c r="I400" s="143"/>
      <c r="J400" s="143"/>
      <c r="K400" s="144"/>
      <c r="L400" s="145"/>
      <c r="M400" s="146" t="str">
        <f>IFERROR(INDEX([239]TRANSPORTES!C:C,MATCH(B400,[239]TRANSPORTES!A:A,0)),"")</f>
        <v/>
      </c>
      <c r="N400" s="139" t="str">
        <f>IFERROR(INDEX([239]TRANSPORTES!D:D,MATCH(B400,[239]TRANSPORTES!A:A,0)),"")</f>
        <v/>
      </c>
      <c r="O400" s="147"/>
      <c r="P400" s="148" t="str">
        <f>IFERROR(ROUND(K400*N400*L400,2),"")</f>
        <v/>
      </c>
      <c r="Q400" s="119"/>
      <c r="R400" s="4"/>
    </row>
    <row r="401" spans="1:18" ht="15.75" thickBot="1">
      <c r="A401" s="1">
        <f t="shared" si="13"/>
        <v>0</v>
      </c>
      <c r="B401" s="2"/>
      <c r="C401" s="8"/>
      <c r="D401" s="142" t="str">
        <f>IFERROR(INDEX([239]TRANSPORTES!B:B,MATCH(B401,[239]TRANSPORTES!A:A,0)),"")</f>
        <v/>
      </c>
      <c r="E401" s="143"/>
      <c r="F401" s="143"/>
      <c r="G401" s="143"/>
      <c r="H401" s="143"/>
      <c r="I401" s="143"/>
      <c r="J401" s="143"/>
      <c r="K401" s="149"/>
      <c r="L401" s="150"/>
      <c r="M401" s="146" t="str">
        <f>IFERROR(INDEX([239]TRANSPORTES!C:C,MATCH(B401,[239]TRANSPORTES!A:A,0)),"")</f>
        <v/>
      </c>
      <c r="N401" s="139" t="str">
        <f>IFERROR(INDEX([239]TRANSPORTES!D:D,MATCH(B401,[239]TRANSPORTES!A:A,0)),"")</f>
        <v/>
      </c>
      <c r="O401" s="147"/>
      <c r="P401" s="148" t="str">
        <f>IFERROR(ROUND(K401*N401*L401,2),"")</f>
        <v/>
      </c>
      <c r="Q401" s="119"/>
      <c r="R401" s="4"/>
    </row>
    <row r="402" spans="1:18" ht="15.75" thickBot="1">
      <c r="A402" s="1">
        <f t="shared" si="13"/>
        <v>0</v>
      </c>
      <c r="B402" s="2"/>
      <c r="C402" s="8"/>
      <c r="D402" s="128" t="s">
        <v>24</v>
      </c>
      <c r="E402" s="129"/>
      <c r="F402" s="129"/>
      <c r="G402" s="129"/>
      <c r="H402" s="129"/>
      <c r="I402" s="129"/>
      <c r="J402" s="129"/>
      <c r="K402" s="129"/>
      <c r="L402" s="129"/>
      <c r="M402" s="129"/>
      <c r="N402" s="129"/>
      <c r="O402" s="130"/>
      <c r="P402" s="151">
        <f>SUM(P398:P401)</f>
        <v>0</v>
      </c>
      <c r="Q402" s="132"/>
      <c r="R402" s="4"/>
    </row>
    <row r="403" spans="1:18" ht="15.75" thickBot="1">
      <c r="A403" s="1">
        <f t="shared" si="13"/>
        <v>0</v>
      </c>
      <c r="B403" s="2"/>
      <c r="C403" s="8"/>
      <c r="D403" s="74" t="s">
        <v>36</v>
      </c>
      <c r="E403" s="37"/>
      <c r="F403" s="37"/>
      <c r="G403" s="37"/>
      <c r="H403" s="37"/>
      <c r="I403" s="37"/>
      <c r="J403" s="37"/>
      <c r="K403" s="37"/>
      <c r="L403" s="37"/>
      <c r="M403" s="37"/>
      <c r="N403" s="37"/>
      <c r="O403" s="37"/>
      <c r="P403" s="99"/>
      <c r="Q403" s="100"/>
      <c r="R403" s="4"/>
    </row>
    <row r="404" spans="1:18" ht="30">
      <c r="A404" s="1">
        <f t="shared" si="13"/>
        <v>0</v>
      </c>
      <c r="B404" s="2"/>
      <c r="C404" s="8"/>
      <c r="D404" s="101" t="s">
        <v>37</v>
      </c>
      <c r="E404" s="133"/>
      <c r="F404" s="133"/>
      <c r="G404" s="133"/>
      <c r="H404" s="133"/>
      <c r="I404" s="133"/>
      <c r="J404" s="133"/>
      <c r="K404" s="106" t="s">
        <v>38</v>
      </c>
      <c r="L404" s="152" t="s">
        <v>39</v>
      </c>
      <c r="M404" s="153" t="s">
        <v>40</v>
      </c>
      <c r="N404" s="104" t="s">
        <v>21</v>
      </c>
      <c r="O404" s="105"/>
      <c r="P404" s="154" t="s">
        <v>22</v>
      </c>
      <c r="Q404" s="155"/>
      <c r="R404" s="4"/>
    </row>
    <row r="405" spans="1:18">
      <c r="A405" s="1">
        <f t="shared" si="13"/>
        <v>0</v>
      </c>
      <c r="B405" s="2" t="s">
        <v>321</v>
      </c>
      <c r="C405" s="8"/>
      <c r="D405" s="109" t="str">
        <f>IFERROR(INDEX('[239]MANO DE OBRA'!B:B,MATCH(B405,'[239]MANO DE OBRA'!A:A,0)),"")</f>
        <v>ELÉCTRICO</v>
      </c>
      <c r="E405" s="110"/>
      <c r="F405" s="110"/>
      <c r="G405" s="110"/>
      <c r="H405" s="110"/>
      <c r="I405" s="110"/>
      <c r="J405" s="111"/>
      <c r="K405" s="156">
        <f>IFERROR(INDEX('[239]MANO DE OBRA'!D:D,MATCH(B405,'[239]MANO DE OBRA'!A:A,0)),"")</f>
        <v>121352</v>
      </c>
      <c r="L405" s="157">
        <f>+IF(D405&lt;&gt;"",'[239]FACTOR PRESTACIONAL'!$E$21," ")</f>
        <v>1.95</v>
      </c>
      <c r="M405" s="158">
        <f>IFERROR(K405*L405," ")</f>
        <v>236636.4</v>
      </c>
      <c r="N405" s="159">
        <f>8/0.4</f>
        <v>20</v>
      </c>
      <c r="O405" s="160"/>
      <c r="P405" s="161">
        <f>IFERROR(ROUND(M405/N405,2)," ")</f>
        <v>11831.82</v>
      </c>
      <c r="Q405" s="162"/>
      <c r="R405" s="4"/>
    </row>
    <row r="406" spans="1:18">
      <c r="A406" s="1">
        <f t="shared" si="13"/>
        <v>0</v>
      </c>
      <c r="B406" s="2"/>
      <c r="C406" s="8"/>
      <c r="D406" s="109"/>
      <c r="E406" s="110"/>
      <c r="F406" s="110"/>
      <c r="G406" s="110"/>
      <c r="H406" s="110"/>
      <c r="I406" s="110"/>
      <c r="J406" s="111"/>
      <c r="K406" s="156"/>
      <c r="L406" s="157"/>
      <c r="M406" s="158"/>
      <c r="N406" s="159"/>
      <c r="O406" s="160"/>
      <c r="P406" s="161"/>
      <c r="Q406" s="162"/>
      <c r="R406" s="4"/>
    </row>
    <row r="407" spans="1:18">
      <c r="A407" s="1">
        <f t="shared" si="13"/>
        <v>0</v>
      </c>
      <c r="B407" s="2"/>
      <c r="C407" s="8"/>
      <c r="D407" s="109" t="str">
        <f>IFERROR(INDEX('[239]MANO DE OBRA'!B:B,MATCH(B407,'[239]MANO DE OBRA'!A:A,0)),"")</f>
        <v/>
      </c>
      <c r="E407" s="110"/>
      <c r="F407" s="110"/>
      <c r="G407" s="110"/>
      <c r="H407" s="110"/>
      <c r="I407" s="110"/>
      <c r="J407" s="111"/>
      <c r="K407" s="156" t="str">
        <f>IFERROR(INDEX('[239]MANO DE OBRA'!D:D,MATCH(B407,'[239]MANO DE OBRA'!A:A,0)),"")</f>
        <v/>
      </c>
      <c r="L407" s="157" t="str">
        <f>+IF(D407&lt;&gt;"",'[239]FACTOR PRESTACIONAL'!$E$21," ")</f>
        <v xml:space="preserve"> </v>
      </c>
      <c r="M407" s="158" t="str">
        <f>IFERROR(K407*L407," ")</f>
        <v xml:space="preserve"> </v>
      </c>
      <c r="N407" s="159"/>
      <c r="O407" s="160"/>
      <c r="P407" s="161" t="str">
        <f>IFERROR(ROUND(M407/N407,2)," ")</f>
        <v xml:space="preserve"> </v>
      </c>
      <c r="Q407" s="162"/>
      <c r="R407" s="4"/>
    </row>
    <row r="408" spans="1:18">
      <c r="A408" s="1">
        <f t="shared" si="13"/>
        <v>0</v>
      </c>
      <c r="B408" s="2"/>
      <c r="C408" s="8"/>
      <c r="D408" s="109" t="str">
        <f>IFERROR(INDEX('[239]MANO DE OBRA'!B:B,MATCH(B408,'[239]MANO DE OBRA'!A:A,0)),"")</f>
        <v/>
      </c>
      <c r="E408" s="110"/>
      <c r="F408" s="110"/>
      <c r="G408" s="110"/>
      <c r="H408" s="110"/>
      <c r="I408" s="110"/>
      <c r="J408" s="111"/>
      <c r="K408" s="156" t="str">
        <f>IFERROR(INDEX('[239]MANO DE OBRA'!D:D,MATCH(B408,'[239]MANO DE OBRA'!A:A,0)),"")</f>
        <v/>
      </c>
      <c r="L408" s="157" t="str">
        <f>+IF(D408&lt;&gt;"",'[239]FACTOR PRESTACIONAL'!$E$21," ")</f>
        <v xml:space="preserve"> </v>
      </c>
      <c r="M408" s="158" t="str">
        <f>IFERROR(K408*L408," ")</f>
        <v xml:space="preserve"> </v>
      </c>
      <c r="N408" s="159"/>
      <c r="O408" s="160"/>
      <c r="P408" s="161" t="str">
        <f>IFERROR(ROUND(M408/N408,2)," ")</f>
        <v xml:space="preserve"> </v>
      </c>
      <c r="Q408" s="162"/>
      <c r="R408" s="4"/>
    </row>
    <row r="409" spans="1:18" ht="15.75" thickBot="1">
      <c r="A409" s="1">
        <f t="shared" si="13"/>
        <v>0</v>
      </c>
      <c r="B409" s="2"/>
      <c r="C409" s="8"/>
      <c r="D409" s="109" t="str">
        <f>IFERROR(INDEX('[239]MANO DE OBRA'!B:B,MATCH(B409,'[239]MANO DE OBRA'!A:A,0)),"")</f>
        <v/>
      </c>
      <c r="E409" s="110"/>
      <c r="F409" s="110"/>
      <c r="G409" s="110"/>
      <c r="H409" s="110"/>
      <c r="I409" s="110"/>
      <c r="J409" s="111"/>
      <c r="K409" s="156" t="str">
        <f>IFERROR(INDEX('[239]MANO DE OBRA'!D:D,MATCH(B409,'[239]MANO DE OBRA'!A:A,0)),"")</f>
        <v/>
      </c>
      <c r="L409" s="157" t="str">
        <f>+IF(D409&lt;&gt;"",'[239]FACTOR PRESTACIONAL'!$E$21," ")</f>
        <v xml:space="preserve"> </v>
      </c>
      <c r="M409" s="158" t="str">
        <f>IFERROR(K409*L409," ")</f>
        <v xml:space="preserve"> </v>
      </c>
      <c r="N409" s="159"/>
      <c r="O409" s="160"/>
      <c r="P409" s="161" t="str">
        <f>IFERROR(ROUND(M409/N409,2)," ")</f>
        <v xml:space="preserve"> </v>
      </c>
      <c r="Q409" s="119"/>
      <c r="R409" s="4"/>
    </row>
    <row r="410" spans="1:18" ht="15.75" thickBot="1">
      <c r="A410" s="1">
        <f t="shared" si="13"/>
        <v>0</v>
      </c>
      <c r="B410" s="2"/>
      <c r="C410" s="8"/>
      <c r="D410" s="128" t="s">
        <v>24</v>
      </c>
      <c r="E410" s="129"/>
      <c r="F410" s="129"/>
      <c r="G410" s="129"/>
      <c r="H410" s="129"/>
      <c r="I410" s="129"/>
      <c r="J410" s="129"/>
      <c r="K410" s="129"/>
      <c r="L410" s="129"/>
      <c r="M410" s="129"/>
      <c r="N410" s="129"/>
      <c r="O410" s="130"/>
      <c r="P410" s="131">
        <f>SUM(P405:P409)</f>
        <v>11831.82</v>
      </c>
      <c r="Q410" s="119"/>
      <c r="R410" s="4"/>
    </row>
    <row r="411" spans="1:18" ht="15.75" thickBot="1">
      <c r="A411" s="1">
        <f t="shared" si="13"/>
        <v>0</v>
      </c>
      <c r="B411" s="2"/>
      <c r="C411" s="8"/>
      <c r="D411" s="87"/>
      <c r="E411" s="20"/>
      <c r="F411" s="20"/>
      <c r="G411" s="20"/>
      <c r="H411" s="20"/>
      <c r="I411" s="20"/>
      <c r="J411" s="20"/>
      <c r="K411" s="20"/>
      <c r="L411" s="20"/>
      <c r="M411" s="20"/>
      <c r="N411" s="20"/>
      <c r="O411" s="20"/>
      <c r="P411" s="88"/>
      <c r="Q411" s="13"/>
      <c r="R411" s="4"/>
    </row>
    <row r="412" spans="1:18" ht="15.75" thickBot="1">
      <c r="A412" s="1"/>
      <c r="B412" s="2"/>
      <c r="C412" s="8"/>
      <c r="D412" s="163" t="s">
        <v>43</v>
      </c>
      <c r="E412" s="164"/>
      <c r="F412" s="164"/>
      <c r="G412" s="164"/>
      <c r="H412" s="164"/>
      <c r="I412" s="164"/>
      <c r="J412" s="164"/>
      <c r="K412" s="164"/>
      <c r="L412" s="164"/>
      <c r="M412" s="164"/>
      <c r="N412" s="164"/>
      <c r="O412" s="165"/>
      <c r="P412" s="166">
        <f>+P410+P402+P395+P377</f>
        <v>25618.86</v>
      </c>
      <c r="Q412" s="167"/>
      <c r="R412" s="168"/>
    </row>
    <row r="413" spans="1:18" ht="15.75" thickBot="1">
      <c r="A413" s="1"/>
      <c r="B413" s="2"/>
      <c r="C413" s="8"/>
      <c r="D413" s="169"/>
      <c r="E413" s="170"/>
      <c r="F413" s="170"/>
      <c r="G413" s="170"/>
      <c r="H413" s="170"/>
      <c r="I413" s="170"/>
      <c r="J413" s="170"/>
      <c r="K413" s="170"/>
      <c r="L413" s="170"/>
      <c r="M413" s="170"/>
      <c r="N413" s="170"/>
      <c r="O413" s="170"/>
      <c r="P413" s="171"/>
      <c r="Q413" s="100"/>
      <c r="R413" s="4"/>
    </row>
    <row r="414" spans="1:18">
      <c r="A414" s="1"/>
      <c r="B414" s="2"/>
      <c r="C414" s="8"/>
      <c r="D414" s="172" t="s">
        <v>73</v>
      </c>
      <c r="E414" s="173"/>
      <c r="F414" s="173"/>
      <c r="G414" s="173"/>
      <c r="H414" s="173"/>
      <c r="I414" s="173"/>
      <c r="J414" s="173"/>
      <c r="K414" s="141"/>
      <c r="L414" s="174"/>
      <c r="M414" s="153" t="s">
        <v>44</v>
      </c>
      <c r="N414" s="175" t="s">
        <v>45</v>
      </c>
      <c r="O414" s="176"/>
      <c r="P414" s="154"/>
      <c r="Q414" s="155"/>
      <c r="R414" s="4"/>
    </row>
    <row r="415" spans="1:18">
      <c r="A415" s="1"/>
      <c r="B415" s="2"/>
      <c r="C415" s="8"/>
      <c r="D415" s="109" t="s">
        <v>65</v>
      </c>
      <c r="E415" s="110"/>
      <c r="F415" s="110"/>
      <c r="G415" s="110"/>
      <c r="H415" s="110"/>
      <c r="I415" s="110"/>
      <c r="J415" s="110"/>
      <c r="K415" s="177"/>
      <c r="L415" s="178"/>
      <c r="M415" s="179">
        <f>+[239]INICIO!$F$10</f>
        <v>0.24</v>
      </c>
      <c r="N415" s="180">
        <f>ROUND(M415*P412,2)</f>
        <v>6148.53</v>
      </c>
      <c r="O415" s="181"/>
      <c r="P415" s="182"/>
      <c r="Q415" s="119"/>
      <c r="R415" s="4"/>
    </row>
    <row r="416" spans="1:18">
      <c r="A416" s="1"/>
      <c r="B416" s="2"/>
      <c r="C416" s="8"/>
      <c r="D416" s="183" t="s">
        <v>67</v>
      </c>
      <c r="E416" s="61"/>
      <c r="F416" s="61"/>
      <c r="G416" s="61"/>
      <c r="H416" s="61"/>
      <c r="I416" s="61"/>
      <c r="J416" s="61"/>
      <c r="K416" s="177"/>
      <c r="L416" s="178"/>
      <c r="M416" s="179">
        <f>+[239]INICIO!$F$11</f>
        <v>0.02</v>
      </c>
      <c r="N416" s="180">
        <f>ROUND(M416*P412,2)</f>
        <v>512.38</v>
      </c>
      <c r="O416" s="181"/>
      <c r="P416" s="182"/>
      <c r="Q416" s="119"/>
      <c r="R416" s="4"/>
    </row>
    <row r="417" spans="1:18" ht="15.75" thickBot="1">
      <c r="A417" s="1"/>
      <c r="B417" s="2"/>
      <c r="C417" s="8"/>
      <c r="D417" s="77" t="s">
        <v>69</v>
      </c>
      <c r="E417" s="78"/>
      <c r="F417" s="78"/>
      <c r="G417" s="78"/>
      <c r="H417" s="78"/>
      <c r="I417" s="78"/>
      <c r="J417" s="78"/>
      <c r="K417" s="184"/>
      <c r="L417" s="185"/>
      <c r="M417" s="179">
        <f>+[239]INICIO!$F$12</f>
        <v>7.0000000000000007E-2</v>
      </c>
      <c r="N417" s="180">
        <f>ROUND(M417*P412,2)</f>
        <v>1793.32</v>
      </c>
      <c r="O417" s="181"/>
      <c r="P417" s="182"/>
      <c r="Q417" s="119"/>
      <c r="R417" s="4"/>
    </row>
    <row r="418" spans="1:18" ht="15.75" thickBot="1">
      <c r="A418" s="1"/>
      <c r="B418" s="2"/>
      <c r="C418" s="8"/>
      <c r="D418" s="128"/>
      <c r="E418" s="129"/>
      <c r="F418" s="129"/>
      <c r="G418" s="129"/>
      <c r="H418" s="129"/>
      <c r="I418" s="129"/>
      <c r="J418" s="129"/>
      <c r="K418" s="129"/>
      <c r="L418" s="129"/>
      <c r="M418" s="129"/>
      <c r="N418" s="129"/>
      <c r="O418" s="130"/>
      <c r="P418" s="131">
        <f>SUM(N415:N417)</f>
        <v>8454.23</v>
      </c>
      <c r="Q418" s="186"/>
      <c r="R418" s="4"/>
    </row>
    <row r="419" spans="1:18" ht="15.75" thickBot="1">
      <c r="A419" s="1"/>
      <c r="B419" s="2"/>
      <c r="C419" s="8"/>
      <c r="D419" s="87"/>
      <c r="E419" s="20"/>
      <c r="F419" s="20"/>
      <c r="G419" s="20"/>
      <c r="H419" s="20"/>
      <c r="I419" s="20"/>
      <c r="J419" s="20"/>
      <c r="K419" s="20"/>
      <c r="L419" s="20"/>
      <c r="M419" s="20"/>
      <c r="N419" s="20"/>
      <c r="O419" s="20"/>
      <c r="P419" s="88"/>
      <c r="Q419" s="13"/>
      <c r="R419" s="4"/>
    </row>
    <row r="420" spans="1:18" ht="15.75" thickBot="1">
      <c r="A420" s="1"/>
      <c r="B420" s="2"/>
      <c r="C420" s="8"/>
      <c r="D420" s="187" t="s">
        <v>46</v>
      </c>
      <c r="E420" s="188"/>
      <c r="F420" s="188"/>
      <c r="G420" s="188"/>
      <c r="H420" s="188"/>
      <c r="I420" s="188"/>
      <c r="J420" s="188"/>
      <c r="K420" s="188"/>
      <c r="L420" s="188"/>
      <c r="M420" s="188"/>
      <c r="N420" s="188"/>
      <c r="O420" s="189"/>
      <c r="P420" s="166">
        <f>ROUND(P418+P412,0)</f>
        <v>34073</v>
      </c>
      <c r="Q420" s="186"/>
      <c r="R420" s="4"/>
    </row>
    <row r="421" spans="1:18">
      <c r="A421" s="1"/>
      <c r="B421" s="2"/>
      <c r="C421" s="8"/>
      <c r="D421" s="80"/>
      <c r="E421" s="81"/>
      <c r="F421" s="81"/>
      <c r="G421" s="81"/>
      <c r="H421" s="81"/>
      <c r="I421" s="81"/>
      <c r="J421" s="81"/>
      <c r="K421" s="81"/>
      <c r="L421" s="81"/>
      <c r="M421" s="81"/>
      <c r="N421" s="81"/>
      <c r="O421" s="81"/>
      <c r="P421" s="82"/>
      <c r="Q421" s="13"/>
      <c r="R421" s="4"/>
    </row>
    <row r="422" spans="1:18">
      <c r="A422" s="1"/>
      <c r="B422" s="2"/>
      <c r="C422" s="8"/>
      <c r="D422" s="87"/>
      <c r="E422" s="20"/>
      <c r="F422" s="20"/>
      <c r="G422" s="20"/>
      <c r="H422" s="20"/>
      <c r="I422" s="20"/>
      <c r="J422" s="20"/>
      <c r="K422" s="20"/>
      <c r="L422" s="20"/>
      <c r="M422" s="20"/>
      <c r="N422" s="20"/>
      <c r="O422" s="20"/>
      <c r="P422" s="88"/>
      <c r="Q422" s="13"/>
      <c r="R422" s="4"/>
    </row>
    <row r="423" spans="1:18">
      <c r="A423" s="1"/>
      <c r="B423" s="2"/>
      <c r="C423" s="8"/>
      <c r="D423" s="87"/>
      <c r="E423" s="20"/>
      <c r="F423" s="20"/>
      <c r="G423" s="20"/>
      <c r="H423" s="20"/>
      <c r="I423" s="20"/>
      <c r="J423" s="20"/>
      <c r="K423" s="20"/>
      <c r="L423" s="20"/>
      <c r="M423" s="20"/>
      <c r="N423" s="20"/>
      <c r="O423" s="20"/>
      <c r="P423" s="88"/>
      <c r="Q423" s="13"/>
      <c r="R423" s="4"/>
    </row>
    <row r="424" spans="1:18">
      <c r="A424" s="1"/>
      <c r="B424" s="2"/>
      <c r="C424" s="8"/>
      <c r="D424" s="87"/>
      <c r="E424" s="20"/>
      <c r="F424" s="20"/>
      <c r="G424" s="20"/>
      <c r="H424" s="20"/>
      <c r="I424" s="20"/>
      <c r="J424" s="20"/>
      <c r="K424" s="20"/>
      <c r="L424" s="20"/>
      <c r="M424" s="20"/>
      <c r="N424" s="20"/>
      <c r="O424" s="20"/>
      <c r="P424" s="88"/>
      <c r="Q424" s="13"/>
      <c r="R424" s="4"/>
    </row>
    <row r="425" spans="1:18">
      <c r="A425" s="1"/>
      <c r="B425" s="2"/>
      <c r="C425" s="8"/>
      <c r="D425" s="219" t="str">
        <f>+[239]INICIO!$B$13</f>
        <v>Proyectó:</v>
      </c>
      <c r="E425" s="49"/>
      <c r="F425" s="49"/>
      <c r="G425" s="49"/>
      <c r="H425" s="49"/>
      <c r="I425" s="49"/>
      <c r="J425" s="49"/>
      <c r="K425" s="20"/>
      <c r="L425" s="69" t="str">
        <f>+[239]INICIO!$B$16</f>
        <v>Aprobó:</v>
      </c>
      <c r="M425" s="49"/>
      <c r="N425" s="49"/>
      <c r="O425" s="49"/>
      <c r="P425" s="88"/>
      <c r="Q425" s="13"/>
      <c r="R425" s="4"/>
    </row>
    <row r="426" spans="1:18">
      <c r="A426" s="1"/>
      <c r="B426" s="2"/>
      <c r="C426" s="8"/>
      <c r="D426" s="87"/>
      <c r="E426" s="20" t="str">
        <f>+Hoja2!C$13</f>
        <v>HELMER EDUARDO BECERRA SANTANDER</v>
      </c>
      <c r="F426" s="20"/>
      <c r="G426" s="20"/>
      <c r="H426" s="20"/>
      <c r="I426" s="20"/>
      <c r="J426" s="20"/>
      <c r="K426" s="20"/>
      <c r="L426" s="20"/>
      <c r="M426" s="20" t="str">
        <f>+Hoja2!$C$16</f>
        <v>JESÚS IVÁN QUIÑONES RUEDA</v>
      </c>
      <c r="N426" s="20"/>
      <c r="O426" s="20"/>
      <c r="P426" s="88"/>
      <c r="Q426" s="190"/>
      <c r="R426" s="4"/>
    </row>
    <row r="427" spans="1:18">
      <c r="A427" s="1"/>
      <c r="B427" s="2"/>
      <c r="C427" s="8"/>
      <c r="D427" s="87"/>
      <c r="E427" s="20" t="str">
        <f>+Hoja2!C$14</f>
        <v>APOYO SEC. DE PLANEACIÓN Y OBRAS PÚBLICAS</v>
      </c>
      <c r="F427" s="20"/>
      <c r="G427" s="20"/>
      <c r="H427" s="20"/>
      <c r="I427" s="20"/>
      <c r="J427" s="20"/>
      <c r="K427" s="20"/>
      <c r="L427" s="20"/>
      <c r="M427" s="20" t="str">
        <f>+Hoja2!$C$17</f>
        <v>SECRETARIO DE PLANEACIÓN Y OBRAS PUBLICAS</v>
      </c>
      <c r="N427" s="20"/>
      <c r="O427" s="20"/>
      <c r="P427" s="88"/>
      <c r="Q427" s="190"/>
      <c r="R427" s="4"/>
    </row>
    <row r="428" spans="1:18">
      <c r="A428" s="1"/>
      <c r="B428" s="2"/>
      <c r="C428" s="8"/>
      <c r="D428" s="68"/>
      <c r="E428" s="20" t="str">
        <f>+Hoja2!C$15</f>
        <v>123769-0701671 NTS</v>
      </c>
      <c r="F428" s="191"/>
      <c r="G428" s="191"/>
      <c r="H428" s="191"/>
      <c r="I428" s="20"/>
      <c r="J428" s="191"/>
      <c r="K428" s="191"/>
      <c r="L428" s="191"/>
      <c r="M428" s="192" t="str">
        <f>+Hoja2!C$18</f>
        <v>A21382020-1090480860</v>
      </c>
      <c r="N428" s="191"/>
      <c r="O428" s="191"/>
      <c r="P428" s="193"/>
      <c r="Q428" s="194"/>
      <c r="R428" s="4"/>
    </row>
    <row r="429" spans="1:18" ht="16.5" thickBot="1">
      <c r="A429" s="1"/>
      <c r="B429" s="2"/>
      <c r="C429" s="8"/>
      <c r="D429" s="195"/>
      <c r="E429" s="150"/>
      <c r="F429" s="150"/>
      <c r="G429" s="150"/>
      <c r="H429" s="150"/>
      <c r="I429" s="150"/>
      <c r="J429" s="150"/>
      <c r="K429" s="150"/>
      <c r="L429" s="150"/>
      <c r="M429" s="150"/>
      <c r="N429" s="150"/>
      <c r="O429" s="150"/>
      <c r="P429" s="196"/>
      <c r="Q429" s="197"/>
      <c r="R429" s="4"/>
    </row>
    <row r="430" spans="1:18" ht="15.75" thickBot="1">
      <c r="A430" s="1"/>
      <c r="B430" s="2"/>
      <c r="C430" s="198"/>
      <c r="D430" s="199"/>
      <c r="E430" s="199"/>
      <c r="F430" s="199"/>
      <c r="G430" s="199"/>
      <c r="H430" s="199"/>
      <c r="I430" s="199"/>
      <c r="J430" s="199"/>
      <c r="K430" s="199"/>
      <c r="L430" s="199"/>
      <c r="M430" s="199"/>
      <c r="N430" s="199"/>
      <c r="O430" s="199"/>
      <c r="P430" s="199"/>
      <c r="Q430" s="200"/>
      <c r="R430" s="4"/>
    </row>
    <row r="431" spans="1:18" ht="15.75" thickTop="1">
      <c r="A431" s="1"/>
      <c r="B431" s="2"/>
      <c r="C431" s="361"/>
      <c r="D431" s="12"/>
      <c r="E431" s="12"/>
      <c r="F431" s="12"/>
      <c r="G431" s="12"/>
      <c r="H431" s="12"/>
      <c r="I431" s="12"/>
      <c r="J431" s="12"/>
      <c r="K431" s="12"/>
      <c r="L431" s="12"/>
      <c r="M431" s="12"/>
      <c r="N431" s="12"/>
      <c r="O431" s="12"/>
      <c r="P431" s="12"/>
      <c r="Q431" s="362"/>
      <c r="R431" s="4"/>
    </row>
    <row r="432" spans="1:18" ht="15.75" thickBot="1">
      <c r="A432" s="2"/>
      <c r="B432" s="2">
        <v>6</v>
      </c>
      <c r="C432" s="3"/>
      <c r="D432" s="4"/>
      <c r="E432" s="4"/>
      <c r="F432" s="4"/>
      <c r="G432" s="4"/>
      <c r="H432" s="4"/>
      <c r="I432" s="4"/>
      <c r="J432" s="4"/>
      <c r="K432" s="4"/>
      <c r="L432" s="4"/>
      <c r="M432" s="4"/>
      <c r="N432" s="4"/>
      <c r="O432" s="4"/>
      <c r="P432" s="4"/>
      <c r="Q432" s="4"/>
      <c r="R432" s="4"/>
    </row>
    <row r="433" spans="1:18" ht="15.75" thickTop="1">
      <c r="A433" s="1"/>
      <c r="B433" s="2"/>
      <c r="C433" s="5"/>
      <c r="D433" s="6"/>
      <c r="E433" s="6"/>
      <c r="F433" s="6"/>
      <c r="G433" s="6"/>
      <c r="H433" s="6"/>
      <c r="I433" s="6"/>
      <c r="J433" s="6"/>
      <c r="K433" s="6"/>
      <c r="L433" s="6"/>
      <c r="M433" s="6"/>
      <c r="N433" s="6"/>
      <c r="O433" s="6"/>
      <c r="P433" s="6"/>
      <c r="Q433" s="7"/>
      <c r="R433" s="4"/>
    </row>
    <row r="434" spans="1:18" ht="24">
      <c r="A434" s="1"/>
      <c r="B434" s="2"/>
      <c r="C434" s="8"/>
      <c r="D434" s="9" t="str">
        <f>+[239]INICIO!$C$8</f>
        <v>Análisis de Precios Unitarios- Secretaria de Planeación y Obras Publicas de Cubará, Boyacá.</v>
      </c>
      <c r="E434" s="10"/>
      <c r="F434" s="10"/>
      <c r="G434" s="10"/>
      <c r="H434" s="11"/>
      <c r="I434" s="12"/>
      <c r="J434" s="12"/>
      <c r="K434" s="12"/>
      <c r="L434" s="12"/>
      <c r="M434" s="12"/>
      <c r="N434" s="12"/>
      <c r="O434" s="12"/>
      <c r="P434" s="12"/>
      <c r="Q434" s="13"/>
      <c r="R434" s="4"/>
    </row>
    <row r="435" spans="1:18">
      <c r="A435" s="1"/>
      <c r="B435" s="2"/>
      <c r="C435" s="8"/>
      <c r="D435" s="14" t="s">
        <v>0</v>
      </c>
      <c r="E435" s="15" t="str">
        <f>+[239]INICIO!$C$7</f>
        <v>CCE-EICP-FM-14</v>
      </c>
      <c r="F435" s="16"/>
      <c r="G435" s="17" t="str">
        <f>+[239]INICIO!$B$6</f>
        <v>VERSIÓN</v>
      </c>
      <c r="H435" s="14">
        <f>+[239]INICIO!$C$6</f>
        <v>1</v>
      </c>
      <c r="I435" s="12"/>
      <c r="J435" s="12"/>
      <c r="K435" s="12"/>
      <c r="L435" s="12"/>
      <c r="M435" s="12"/>
      <c r="N435" s="12"/>
      <c r="O435" s="12"/>
      <c r="P435" s="12"/>
      <c r="Q435" s="13"/>
      <c r="R435" s="4"/>
    </row>
    <row r="436" spans="1:18">
      <c r="A436" s="1"/>
      <c r="B436" s="2"/>
      <c r="C436" s="8"/>
      <c r="D436" s="18"/>
      <c r="E436" s="19"/>
      <c r="F436" s="18"/>
      <c r="G436" s="19"/>
      <c r="H436" s="12"/>
      <c r="I436" s="12"/>
      <c r="J436" s="12"/>
      <c r="K436" s="12"/>
      <c r="L436" s="12"/>
      <c r="M436" s="12"/>
      <c r="N436" s="12"/>
      <c r="O436" s="12"/>
      <c r="P436" s="12"/>
      <c r="Q436" s="13"/>
      <c r="R436" s="4"/>
    </row>
    <row r="437" spans="1:18" ht="15.75" thickBot="1">
      <c r="A437" s="1"/>
      <c r="B437" s="2"/>
      <c r="C437" s="8"/>
      <c r="D437" s="20"/>
      <c r="E437" s="20"/>
      <c r="F437" s="20"/>
      <c r="G437" s="20"/>
      <c r="H437" s="20"/>
      <c r="I437" s="20"/>
      <c r="J437" s="20"/>
      <c r="K437" s="20"/>
      <c r="L437" s="20"/>
      <c r="M437" s="20"/>
      <c r="N437" s="20"/>
      <c r="O437" s="20"/>
      <c r="P437" s="20"/>
      <c r="Q437" s="13"/>
      <c r="R437" s="4"/>
    </row>
    <row r="438" spans="1:18">
      <c r="A438" s="1"/>
      <c r="B438" s="2"/>
      <c r="C438" s="8"/>
      <c r="D438" s="21"/>
      <c r="E438" s="22"/>
      <c r="F438" s="23"/>
      <c r="G438" s="23"/>
      <c r="H438" s="23"/>
      <c r="I438" s="23"/>
      <c r="J438" s="23"/>
      <c r="K438" s="23"/>
      <c r="L438" s="24"/>
      <c r="M438" s="25"/>
      <c r="N438" s="26"/>
      <c r="O438" s="26"/>
      <c r="P438" s="27"/>
      <c r="Q438" s="28"/>
      <c r="R438" s="4"/>
    </row>
    <row r="439" spans="1:18">
      <c r="A439" s="1"/>
      <c r="B439" s="2"/>
      <c r="C439" s="8"/>
      <c r="D439" s="29"/>
      <c r="E439" s="30" t="s">
        <v>1</v>
      </c>
      <c r="F439" s="31"/>
      <c r="G439" s="31"/>
      <c r="H439" s="31"/>
      <c r="I439" s="31"/>
      <c r="J439" s="31"/>
      <c r="K439" s="31"/>
      <c r="L439" s="32"/>
      <c r="M439" s="33"/>
      <c r="N439" s="34"/>
      <c r="O439" s="34"/>
      <c r="P439" s="35"/>
      <c r="Q439" s="28"/>
      <c r="R439" s="4"/>
    </row>
    <row r="440" spans="1:18">
      <c r="A440" s="1"/>
      <c r="B440" s="2"/>
      <c r="C440" s="8"/>
      <c r="D440" s="29"/>
      <c r="E440" s="36"/>
      <c r="F440" s="37"/>
      <c r="G440" s="37"/>
      <c r="H440" s="37"/>
      <c r="I440" s="37"/>
      <c r="J440" s="37"/>
      <c r="K440" s="37"/>
      <c r="L440" s="38"/>
      <c r="M440" s="39"/>
      <c r="N440" s="40"/>
      <c r="O440" s="41"/>
      <c r="P440" s="42"/>
      <c r="Q440" s="28"/>
      <c r="R440" s="4"/>
    </row>
    <row r="441" spans="1:18">
      <c r="A441" s="1"/>
      <c r="B441" s="2"/>
      <c r="C441" s="8"/>
      <c r="D441" s="29"/>
      <c r="E441" s="36"/>
      <c r="F441" s="37"/>
      <c r="G441" s="37"/>
      <c r="H441" s="37"/>
      <c r="I441" s="37"/>
      <c r="J441" s="37"/>
      <c r="K441" s="37"/>
      <c r="L441" s="38"/>
      <c r="M441" s="43" t="s">
        <v>2</v>
      </c>
      <c r="N441" s="44"/>
      <c r="O441" s="45">
        <f>+[239]INICIO!$C$6</f>
        <v>1</v>
      </c>
      <c r="P441" s="46"/>
      <c r="Q441" s="28"/>
      <c r="R441" s="4"/>
    </row>
    <row r="442" spans="1:18">
      <c r="A442" s="1"/>
      <c r="B442" s="2"/>
      <c r="C442" s="8"/>
      <c r="D442" s="29"/>
      <c r="E442" s="36"/>
      <c r="F442" s="37"/>
      <c r="G442" s="37"/>
      <c r="H442" s="37"/>
      <c r="I442" s="37"/>
      <c r="J442" s="37"/>
      <c r="K442" s="37"/>
      <c r="L442" s="38"/>
      <c r="M442" s="47"/>
      <c r="N442" s="48"/>
      <c r="O442" s="49"/>
      <c r="P442" s="50"/>
      <c r="Q442" s="51"/>
      <c r="R442" s="4"/>
    </row>
    <row r="443" spans="1:18">
      <c r="A443" s="1"/>
      <c r="B443" s="2"/>
      <c r="C443" s="8"/>
      <c r="D443" s="29"/>
      <c r="E443" s="52"/>
      <c r="F443" s="53"/>
      <c r="G443" s="53"/>
      <c r="H443" s="53"/>
      <c r="I443" s="53"/>
      <c r="J443" s="53"/>
      <c r="K443" s="53"/>
      <c r="L443" s="54"/>
      <c r="M443" s="39"/>
      <c r="N443" s="55"/>
      <c r="O443" s="55"/>
      <c r="P443" s="56"/>
      <c r="Q443" s="28"/>
      <c r="R443" s="4"/>
    </row>
    <row r="444" spans="1:18">
      <c r="A444" s="1"/>
      <c r="B444" s="2"/>
      <c r="C444" s="8"/>
      <c r="D444" s="29"/>
      <c r="E444" s="52"/>
      <c r="F444" s="53"/>
      <c r="G444" s="53"/>
      <c r="H444" s="53"/>
      <c r="I444" s="53"/>
      <c r="J444" s="53"/>
      <c r="K444" s="53"/>
      <c r="L444" s="54"/>
      <c r="M444" s="43" t="s">
        <v>3</v>
      </c>
      <c r="N444" s="43" t="str">
        <f>+VLOOKUP(D455,'PRESUPUESTO OFICIAL '!C:Q,9,FALSE)</f>
        <v>42</v>
      </c>
      <c r="O444" s="43" t="s">
        <v>4</v>
      </c>
      <c r="P444" s="508" t="str">
        <f>+'PRESUPUESTO OFICIAL '!$M$122</f>
        <v>62</v>
      </c>
      <c r="Q444" s="28"/>
      <c r="R444" s="4"/>
    </row>
    <row r="445" spans="1:18">
      <c r="A445" s="1"/>
      <c r="B445" s="2"/>
      <c r="C445" s="8"/>
      <c r="D445" s="29"/>
      <c r="E445" s="30" t="s">
        <v>5</v>
      </c>
      <c r="F445" s="31"/>
      <c r="G445" s="31"/>
      <c r="H445" s="31"/>
      <c r="I445" s="31"/>
      <c r="J445" s="31"/>
      <c r="K445" s="31"/>
      <c r="L445" s="32"/>
      <c r="M445" s="43"/>
      <c r="N445" s="57"/>
      <c r="O445" s="57"/>
      <c r="P445" s="58"/>
      <c r="Q445" s="28"/>
      <c r="R445" s="4"/>
    </row>
    <row r="446" spans="1:18" ht="15.75" thickBot="1">
      <c r="A446" s="1"/>
      <c r="B446" s="2"/>
      <c r="C446" s="8"/>
      <c r="D446" s="59"/>
      <c r="E446" s="60"/>
      <c r="F446" s="60"/>
      <c r="G446" s="60"/>
      <c r="H446" s="60"/>
      <c r="I446" s="60"/>
      <c r="J446" s="60"/>
      <c r="K446" s="60"/>
      <c r="L446" s="60"/>
      <c r="M446" s="60"/>
      <c r="N446" s="61"/>
      <c r="O446" s="61"/>
      <c r="P446" s="62"/>
      <c r="Q446" s="63"/>
      <c r="R446" s="4"/>
    </row>
    <row r="447" spans="1:18">
      <c r="A447" s="1"/>
      <c r="B447" s="2"/>
      <c r="C447" s="8"/>
      <c r="D447" s="64"/>
      <c r="E447" s="65"/>
      <c r="F447" s="65"/>
      <c r="G447" s="65"/>
      <c r="H447" s="65"/>
      <c r="I447" s="65"/>
      <c r="J447" s="65"/>
      <c r="K447" s="65"/>
      <c r="L447" s="65"/>
      <c r="M447" s="66" t="s">
        <v>6</v>
      </c>
      <c r="N447" s="66" t="s">
        <v>7</v>
      </c>
      <c r="O447" s="66" t="s">
        <v>8</v>
      </c>
      <c r="P447" s="67" t="s">
        <v>9</v>
      </c>
      <c r="Q447" s="51"/>
      <c r="R447" s="4"/>
    </row>
    <row r="448" spans="1:18">
      <c r="A448" s="1"/>
      <c r="B448" s="2"/>
      <c r="C448" s="8"/>
      <c r="D448" s="68"/>
      <c r="E448" s="69"/>
      <c r="F448" s="69"/>
      <c r="G448" s="69"/>
      <c r="H448" s="69"/>
      <c r="I448" s="69"/>
      <c r="J448" s="69"/>
      <c r="K448" s="69"/>
      <c r="L448" s="69"/>
      <c r="M448" s="70"/>
      <c r="N448" s="71">
        <f>+Hoja2!B$5</f>
        <v>5</v>
      </c>
      <c r="O448" s="71">
        <f>+Hoja2!C$5</f>
        <v>8</v>
      </c>
      <c r="P448" s="72">
        <f>+Hoja2!D$5</f>
        <v>2026</v>
      </c>
      <c r="Q448" s="73"/>
      <c r="R448" s="4"/>
    </row>
    <row r="449" spans="1:18">
      <c r="A449" s="1"/>
      <c r="B449" s="2"/>
      <c r="C449" s="8"/>
      <c r="D449" s="74"/>
      <c r="E449" s="37"/>
      <c r="F449" s="37"/>
      <c r="G449" s="37"/>
      <c r="H449" s="69"/>
      <c r="I449" s="69"/>
      <c r="J449" s="69"/>
      <c r="K449" s="20"/>
      <c r="L449" s="69"/>
      <c r="M449" s="75"/>
      <c r="N449" s="20"/>
      <c r="O449" s="20"/>
      <c r="P449" s="76"/>
      <c r="Q449" s="73"/>
      <c r="R449" s="4"/>
    </row>
    <row r="450" spans="1:18" ht="15.75" thickBot="1">
      <c r="A450" s="1"/>
      <c r="B450" s="2"/>
      <c r="C450" s="8"/>
      <c r="D450" s="77"/>
      <c r="E450" s="78"/>
      <c r="F450" s="78"/>
      <c r="G450" s="78"/>
      <c r="H450" s="78"/>
      <c r="I450" s="78"/>
      <c r="J450" s="78"/>
      <c r="K450" s="78"/>
      <c r="L450" s="78"/>
      <c r="M450" s="78"/>
      <c r="N450" s="78"/>
      <c r="O450" s="78"/>
      <c r="P450" s="79"/>
      <c r="Q450" s="13"/>
      <c r="R450" s="4"/>
    </row>
    <row r="451" spans="1:18" ht="15.75" thickBot="1">
      <c r="A451" s="1"/>
      <c r="B451" s="2"/>
      <c r="C451" s="8"/>
      <c r="D451" s="80"/>
      <c r="E451" s="81"/>
      <c r="F451" s="81"/>
      <c r="G451" s="81"/>
      <c r="H451" s="81"/>
      <c r="I451" s="81"/>
      <c r="J451" s="20"/>
      <c r="K451" s="20"/>
      <c r="L451" s="81"/>
      <c r="M451" s="81"/>
      <c r="N451" s="81"/>
      <c r="O451" s="81"/>
      <c r="P451" s="82"/>
      <c r="Q451" s="13"/>
      <c r="R451" s="4"/>
    </row>
    <row r="452" spans="1:18">
      <c r="A452" s="1"/>
      <c r="B452" s="2"/>
      <c r="C452" s="8"/>
      <c r="D452" s="83" t="s">
        <v>10</v>
      </c>
      <c r="E452" s="84"/>
      <c r="F452" s="84"/>
      <c r="G452" s="84"/>
      <c r="H452" s="84"/>
      <c r="I452" s="84"/>
      <c r="J452" s="84"/>
      <c r="K452" s="84"/>
      <c r="L452" s="84"/>
      <c r="M452" s="84"/>
      <c r="N452" s="84"/>
      <c r="O452" s="84"/>
      <c r="P452" s="85"/>
      <c r="Q452" s="86"/>
      <c r="R452" s="4"/>
    </row>
    <row r="453" spans="1:18" ht="15.75" thickBot="1">
      <c r="A453" s="1"/>
      <c r="B453" s="2"/>
      <c r="C453" s="8"/>
      <c r="D453" s="87"/>
      <c r="E453" s="20"/>
      <c r="F453" s="20"/>
      <c r="G453" s="20"/>
      <c r="H453" s="20"/>
      <c r="I453" s="20"/>
      <c r="J453" s="20"/>
      <c r="K453" s="20"/>
      <c r="L453" s="20"/>
      <c r="M453" s="20"/>
      <c r="N453" s="20"/>
      <c r="O453" s="20"/>
      <c r="P453" s="88"/>
      <c r="Q453" s="13"/>
      <c r="R453" s="4"/>
    </row>
    <row r="454" spans="1:18">
      <c r="A454" s="1" t="s">
        <v>11</v>
      </c>
      <c r="B454" s="2" t="s">
        <v>12</v>
      </c>
      <c r="C454" s="8"/>
      <c r="D454" s="89" t="s">
        <v>13</v>
      </c>
      <c r="E454" s="90" t="s">
        <v>14</v>
      </c>
      <c r="F454" s="90"/>
      <c r="G454" s="90"/>
      <c r="H454" s="90"/>
      <c r="I454" s="90"/>
      <c r="J454" s="90"/>
      <c r="K454" s="90"/>
      <c r="L454" s="90"/>
      <c r="M454" s="90"/>
      <c r="N454" s="91" t="s">
        <v>15</v>
      </c>
      <c r="O454" s="91"/>
      <c r="P454" s="92" t="s">
        <v>16</v>
      </c>
      <c r="Q454" s="93"/>
      <c r="R454" s="4"/>
    </row>
    <row r="455" spans="1:18" ht="15.75" thickBot="1">
      <c r="A455" s="1"/>
      <c r="B455" s="2"/>
      <c r="C455" s="8"/>
      <c r="D455" s="349">
        <f>+'PRESUPUESTO OFICIAL '!C69</f>
        <v>6.01</v>
      </c>
      <c r="E455" s="94" t="str">
        <f>+VLOOKUP(D455,'PRESUPUESTO OFICIAL '!C:H,2,FALSE)</f>
        <v>MURO EN BLOQUE No 4</v>
      </c>
      <c r="F455" s="94"/>
      <c r="G455" s="94"/>
      <c r="H455" s="94"/>
      <c r="I455" s="94"/>
      <c r="J455" s="94"/>
      <c r="K455" s="94"/>
      <c r="L455" s="94"/>
      <c r="M455" s="94"/>
      <c r="N455" s="94" t="str">
        <f>+VLOOKUP(D455,'PRESUPUESTO OFICIAL '!C:H,3,FALSE)</f>
        <v>M2</v>
      </c>
      <c r="O455" s="95"/>
      <c r="P455" s="96">
        <f>+VLOOKUP(D455,'PRESUPUESTO OFICIAL '!C:H,4,FALSE)</f>
        <v>499.26</v>
      </c>
      <c r="Q455" s="97"/>
      <c r="R455" s="98">
        <f>+P507</f>
        <v>110998</v>
      </c>
    </row>
    <row r="456" spans="1:18" ht="15.75" thickBot="1">
      <c r="A456" s="1"/>
      <c r="B456" s="2"/>
      <c r="C456" s="8"/>
      <c r="D456" s="74" t="s">
        <v>17</v>
      </c>
      <c r="E456" s="37"/>
      <c r="F456" s="37"/>
      <c r="G456" s="37"/>
      <c r="H456" s="37"/>
      <c r="I456" s="37"/>
      <c r="J456" s="37"/>
      <c r="K456" s="37"/>
      <c r="L456" s="37"/>
      <c r="M456" s="37"/>
      <c r="N456" s="37"/>
      <c r="O456" s="37"/>
      <c r="P456" s="99"/>
      <c r="Q456" s="100"/>
      <c r="R456" s="4"/>
    </row>
    <row r="457" spans="1:18">
      <c r="A457" s="1"/>
      <c r="B457" s="2"/>
      <c r="C457" s="8"/>
      <c r="D457" s="101" t="s">
        <v>14</v>
      </c>
      <c r="E457" s="102"/>
      <c r="F457" s="102"/>
      <c r="G457" s="102"/>
      <c r="H457" s="103"/>
      <c r="I457" s="104" t="s">
        <v>18</v>
      </c>
      <c r="J457" s="102"/>
      <c r="K457" s="104" t="s">
        <v>19</v>
      </c>
      <c r="L457" s="105"/>
      <c r="M457" s="106" t="s">
        <v>20</v>
      </c>
      <c r="N457" s="104" t="s">
        <v>21</v>
      </c>
      <c r="O457" s="105"/>
      <c r="P457" s="107" t="s">
        <v>22</v>
      </c>
      <c r="Q457" s="108"/>
      <c r="R457" s="4"/>
    </row>
    <row r="458" spans="1:18">
      <c r="A458" s="1" t="s">
        <v>261</v>
      </c>
      <c r="B458" s="2" t="s">
        <v>23</v>
      </c>
      <c r="C458" s="8"/>
      <c r="D458" s="109" t="str">
        <f>IFERROR(INDEX([239]EQUIPOS!B:B,MATCH(B458,[239]EQUIPOS!A:A,0)),"")</f>
        <v>HERRAMIENTA MENOR (% M.O)</v>
      </c>
      <c r="E458" s="110"/>
      <c r="F458" s="110"/>
      <c r="G458" s="110"/>
      <c r="H458" s="111"/>
      <c r="I458" s="112"/>
      <c r="J458" s="111"/>
      <c r="K458" s="113" t="str">
        <f>IFERROR(INDEX([239]EQUIPOS!C:C,MATCH(B458,[239]EQUIPOS!A:A,0)),"")</f>
        <v>%</v>
      </c>
      <c r="L458" s="114"/>
      <c r="M458" s="115">
        <f>IFERROR(IF(D458="HERRAMIENTA MENOR (% M.O)",P497,INDEX([239]EQUIPOS!D:D,MATCH(B458,[239]EQUIPOS!A:A,0))),"")</f>
        <v>27196.489999999998</v>
      </c>
      <c r="N458" s="116">
        <v>10</v>
      </c>
      <c r="O458" s="117"/>
      <c r="P458" s="118">
        <f t="shared" ref="P458:P463" si="15">IFERROR(ROUND(IF(D458="HERRAMIENTA MENOR (% M.O)",N458%*M458,M458/N458),2)," ")</f>
        <v>2719.65</v>
      </c>
      <c r="Q458" s="119"/>
      <c r="R458" s="4"/>
    </row>
    <row r="459" spans="1:18">
      <c r="A459" s="1">
        <f>+$A$2593</f>
        <v>0</v>
      </c>
      <c r="B459" s="2" t="s">
        <v>260</v>
      </c>
      <c r="C459" s="8"/>
      <c r="D459" s="109" t="str">
        <f>IFERROR(INDEX([239]EQUIPOS!B:B,MATCH(B459,[239]EQUIPOS!A:A,0)),"")</f>
        <v>SECCIÓN DE ANDAMIO (01)</v>
      </c>
      <c r="E459" s="110"/>
      <c r="F459" s="110"/>
      <c r="G459" s="110"/>
      <c r="H459" s="111"/>
      <c r="I459" s="112"/>
      <c r="J459" s="111"/>
      <c r="K459" s="113" t="str">
        <f>IFERROR(INDEX([239]EQUIPOS!C:C,MATCH(B459,[239]EQUIPOS!A:A,0)),"")</f>
        <v>DIA</v>
      </c>
      <c r="L459" s="114"/>
      <c r="M459" s="115">
        <f>IFERROR(IF(D459="HERRAMIENTA MENOR (% M.O)",P498,INDEX([239]EQUIPOS!D:D,MATCH(B459,[239]EQUIPOS!A:A,0))),"")</f>
        <v>3000</v>
      </c>
      <c r="N459" s="116">
        <v>14.3</v>
      </c>
      <c r="O459" s="117"/>
      <c r="P459" s="118">
        <f t="shared" si="15"/>
        <v>209.79</v>
      </c>
      <c r="Q459" s="119"/>
      <c r="R459" s="4"/>
    </row>
    <row r="460" spans="1:18">
      <c r="A460" s="1">
        <f t="shared" ref="A460:A498" si="16">+A459</f>
        <v>0</v>
      </c>
      <c r="B460" s="2"/>
      <c r="C460" s="8"/>
      <c r="D460" s="109" t="str">
        <f>IFERROR(INDEX([239]EQUIPOS!B:B,MATCH(B460,[239]EQUIPOS!A:A,0)),"")</f>
        <v/>
      </c>
      <c r="E460" s="110"/>
      <c r="F460" s="110"/>
      <c r="G460" s="110"/>
      <c r="H460" s="111"/>
      <c r="I460" s="120"/>
      <c r="J460" s="121"/>
      <c r="K460" s="113" t="str">
        <f>IFERROR(INDEX([239]EQUIPOS!C:C,MATCH(B460,[239]EQUIPOS!A:A,0)),"")</f>
        <v/>
      </c>
      <c r="L460" s="114"/>
      <c r="M460" s="115" t="str">
        <f>IFERROR(IF(D460="HERRAMIENTA MENOR (% M.O)",P499,INDEX([239]EQUIPOS!D:D,MATCH(B460,[239]EQUIPOS!A:A,0))),"")</f>
        <v/>
      </c>
      <c r="N460" s="116"/>
      <c r="O460" s="117"/>
      <c r="P460" s="118" t="str">
        <f t="shared" si="15"/>
        <v xml:space="preserve"> </v>
      </c>
      <c r="Q460" s="119"/>
      <c r="R460" s="4"/>
    </row>
    <row r="461" spans="1:18">
      <c r="A461" s="1"/>
      <c r="B461" s="2"/>
      <c r="C461" s="8"/>
      <c r="D461" s="109" t="str">
        <f>IFERROR(INDEX([239]EQUIPOS!B:B,MATCH(B461,[239]EQUIPOS!A:A,0)),"")</f>
        <v/>
      </c>
      <c r="E461" s="110"/>
      <c r="F461" s="110"/>
      <c r="G461" s="110"/>
      <c r="H461" s="111"/>
      <c r="I461" s="120"/>
      <c r="J461" s="121"/>
      <c r="K461" s="113" t="str">
        <f>IFERROR(INDEX([239]EQUIPOS!C:C,MATCH(B461,[239]EQUIPOS!A:A,0)),"")</f>
        <v/>
      </c>
      <c r="L461" s="114"/>
      <c r="M461" s="115" t="str">
        <f>IFERROR(IF(D461="HERRAMIENTA MENOR (% M.O)",P500,INDEX([239]EQUIPOS!D:D,MATCH(B461,[239]EQUIPOS!A:A,0))),"")</f>
        <v/>
      </c>
      <c r="N461" s="116"/>
      <c r="O461" s="117"/>
      <c r="P461" s="118" t="str">
        <f t="shared" si="15"/>
        <v xml:space="preserve"> </v>
      </c>
      <c r="Q461" s="119"/>
      <c r="R461" s="4"/>
    </row>
    <row r="462" spans="1:18">
      <c r="A462" s="1"/>
      <c r="B462" s="2"/>
      <c r="C462" s="8"/>
      <c r="D462" s="109" t="str">
        <f>IFERROR(INDEX([239]EQUIPOS!B:B,MATCH(B462,[239]EQUIPOS!A:A,0)),"")</f>
        <v/>
      </c>
      <c r="E462" s="110"/>
      <c r="F462" s="110"/>
      <c r="G462" s="110"/>
      <c r="H462" s="111"/>
      <c r="I462" s="112"/>
      <c r="J462" s="111"/>
      <c r="K462" s="113" t="str">
        <f>IFERROR(INDEX([239]EQUIPOS!C:C,MATCH(B462,[239]EQUIPOS!A:A,0)),"")</f>
        <v/>
      </c>
      <c r="L462" s="114"/>
      <c r="M462" s="115" t="str">
        <f>IFERROR(IF(D462="HERRAMIENTA MENOR (% M.O)",P501,INDEX([239]EQUIPOS!D:D,MATCH(B462,[239]EQUIPOS!A:A,0))),"")</f>
        <v/>
      </c>
      <c r="N462" s="116"/>
      <c r="O462" s="117"/>
      <c r="P462" s="118" t="str">
        <f t="shared" si="15"/>
        <v xml:space="preserve"> </v>
      </c>
      <c r="Q462" s="119"/>
      <c r="R462" s="4"/>
    </row>
    <row r="463" spans="1:18" ht="15.75" thickBot="1">
      <c r="A463" s="1"/>
      <c r="B463" s="2"/>
      <c r="C463" s="8"/>
      <c r="D463" s="109" t="str">
        <f>IFERROR(INDEX([239]EQUIPOS!B:B,MATCH(B463,[239]EQUIPOS!A:A,0)),"")</f>
        <v/>
      </c>
      <c r="E463" s="78"/>
      <c r="F463" s="78"/>
      <c r="G463" s="78"/>
      <c r="H463" s="122"/>
      <c r="I463" s="123"/>
      <c r="J463" s="122"/>
      <c r="K463" s="113" t="str">
        <f>IFERROR(INDEX([239]EQUIPOS!C:C,MATCH(B463,[239]EQUIPOS!A:A,0)),"")</f>
        <v/>
      </c>
      <c r="L463" s="124"/>
      <c r="M463" s="115" t="str">
        <f>IFERROR(IF(D463="HERRAMIENTA MENOR (% M.O)",P502,INDEX([239]EQUIPOS!D:D,MATCH(B463,[239]EQUIPOS!A:A,0))),"")</f>
        <v/>
      </c>
      <c r="N463" s="125"/>
      <c r="O463" s="126"/>
      <c r="P463" s="127" t="str">
        <f t="shared" si="15"/>
        <v xml:space="preserve"> </v>
      </c>
      <c r="Q463" s="119"/>
      <c r="R463" s="4"/>
    </row>
    <row r="464" spans="1:18" ht="15.75" thickBot="1">
      <c r="A464" s="1"/>
      <c r="B464" s="2"/>
      <c r="C464" s="8"/>
      <c r="D464" s="128" t="s">
        <v>24</v>
      </c>
      <c r="E464" s="129"/>
      <c r="F464" s="129"/>
      <c r="G464" s="129"/>
      <c r="H464" s="129"/>
      <c r="I464" s="129"/>
      <c r="J464" s="129"/>
      <c r="K464" s="129"/>
      <c r="L464" s="129"/>
      <c r="M464" s="129"/>
      <c r="N464" s="129"/>
      <c r="O464" s="130"/>
      <c r="P464" s="131">
        <f>SUM(P458:P463)</f>
        <v>2929.44</v>
      </c>
      <c r="Q464" s="132"/>
      <c r="R464" s="4"/>
    </row>
    <row r="465" spans="1:18" ht="15.75" thickBot="1">
      <c r="A465" s="1"/>
      <c r="B465" s="2"/>
      <c r="C465" s="8"/>
      <c r="D465" s="74" t="s">
        <v>25</v>
      </c>
      <c r="E465" s="37"/>
      <c r="F465" s="37"/>
      <c r="G465" s="37"/>
      <c r="H465" s="37"/>
      <c r="I465" s="37"/>
      <c r="J465" s="37"/>
      <c r="K465" s="37"/>
      <c r="L465" s="37"/>
      <c r="M465" s="37"/>
      <c r="N465" s="37"/>
      <c r="O465" s="37"/>
      <c r="P465" s="99"/>
      <c r="Q465" s="100"/>
      <c r="R465" s="4"/>
    </row>
    <row r="466" spans="1:18">
      <c r="A466" s="1"/>
      <c r="B466" s="2"/>
      <c r="C466" s="8"/>
      <c r="D466" s="101" t="s">
        <v>14</v>
      </c>
      <c r="E466" s="133"/>
      <c r="F466" s="133"/>
      <c r="G466" s="133"/>
      <c r="H466" s="133"/>
      <c r="I466" s="133"/>
      <c r="J466" s="133"/>
      <c r="K466" s="105"/>
      <c r="L466" s="134" t="s">
        <v>15</v>
      </c>
      <c r="M466" s="106" t="s">
        <v>16</v>
      </c>
      <c r="N466" s="104" t="s">
        <v>26</v>
      </c>
      <c r="O466" s="105"/>
      <c r="P466" s="107" t="s">
        <v>22</v>
      </c>
      <c r="Q466" s="108"/>
      <c r="R466" s="4"/>
    </row>
    <row r="467" spans="1:18">
      <c r="A467" s="1"/>
      <c r="B467" s="2" t="s">
        <v>327</v>
      </c>
      <c r="C467" s="8"/>
      <c r="D467" s="109" t="str">
        <f>IFERROR(INDEX([239]MATERIALES!C:C,MATCH(B467,[239]MATERIALES!B:B,0)),"")</f>
        <v>BLOQUE No 4 ESTÁNDAR (0,10x0,20x0,30 m)</v>
      </c>
      <c r="E467" s="135"/>
      <c r="F467" s="135"/>
      <c r="G467" s="135"/>
      <c r="H467" s="135"/>
      <c r="I467" s="135"/>
      <c r="J467" s="135"/>
      <c r="K467" s="136"/>
      <c r="L467" s="137" t="str">
        <f>IFERROR(INDEX([239]MATERIALES!D:D,MATCH(B467,[239]MATERIALES!B:B,0)),"")</f>
        <v>UND</v>
      </c>
      <c r="M467" s="138">
        <v>17</v>
      </c>
      <c r="N467" s="139">
        <f>IFERROR(INDEX([239]MATERIALES!P:P,MATCH(B467,[239]MATERIALES!B:B,0)),"")</f>
        <v>1847.74</v>
      </c>
      <c r="O467" s="140"/>
      <c r="P467" s="118">
        <f>IFERROR(ROUND(N467*M467,2),"")</f>
        <v>31411.58</v>
      </c>
      <c r="Q467" s="119"/>
      <c r="R467" s="4"/>
    </row>
    <row r="468" spans="1:18">
      <c r="A468" s="1">
        <f t="shared" si="16"/>
        <v>0</v>
      </c>
      <c r="B468" s="2" t="s">
        <v>328</v>
      </c>
      <c r="C468" s="8"/>
      <c r="D468" s="109" t="str">
        <f>IFERROR(INDEX([239]MATERIALES!C:C,MATCH(B468,[239]MATERIALES!B:B,0)),"")</f>
        <v>MORTERO 1:4</v>
      </c>
      <c r="E468" s="135"/>
      <c r="F468" s="135"/>
      <c r="G468" s="135"/>
      <c r="H468" s="135"/>
      <c r="I468" s="135"/>
      <c r="J468" s="135"/>
      <c r="K468" s="136"/>
      <c r="L468" s="137" t="str">
        <f>IFERROR(INDEX([239]MATERIALES!D:D,MATCH(B468,[239]MATERIALES!B:B,0)),"")</f>
        <v>M3</v>
      </c>
      <c r="M468" s="138">
        <v>0.03</v>
      </c>
      <c r="N468" s="139">
        <f>IFERROR(INDEX([239]MATERIALES!P:P,MATCH(B468,[239]MATERIALES!B:B,0)),"")</f>
        <v>646005.14</v>
      </c>
      <c r="O468" s="140"/>
      <c r="P468" s="118">
        <f>IFERROR(ROUND(N468*M468,2),"")</f>
        <v>19380.150000000001</v>
      </c>
      <c r="Q468" s="119"/>
      <c r="R468" s="4"/>
    </row>
    <row r="469" spans="1:18">
      <c r="A469" s="1">
        <f t="shared" si="16"/>
        <v>0</v>
      </c>
      <c r="B469" s="2"/>
      <c r="C469" s="8"/>
      <c r="D469" s="109" t="str">
        <f>IFERROR(INDEX([239]MATERIALES!C:C,MATCH(B469,[239]MATERIALES!B:B,0)),"")</f>
        <v/>
      </c>
      <c r="E469" s="110"/>
      <c r="F469" s="110"/>
      <c r="G469" s="110"/>
      <c r="H469" s="110"/>
      <c r="I469" s="110"/>
      <c r="J469" s="110"/>
      <c r="K469" s="111"/>
      <c r="L469" s="137" t="str">
        <f>IFERROR(INDEX([239]MATERIALES!D:D,MATCH(B469,[239]MATERIALES!B:B,0)),"")</f>
        <v/>
      </c>
      <c r="M469" s="138"/>
      <c r="N469" s="139" t="str">
        <f>IFERROR(INDEX([239]MATERIALES!P:P,MATCH(B469,[239]MATERIALES!B:B,0)),"")</f>
        <v/>
      </c>
      <c r="O469" s="140"/>
      <c r="P469" s="118" t="str">
        <f>IFERROR(ROUND(N469*M469,2),"")</f>
        <v/>
      </c>
      <c r="Q469" s="119"/>
      <c r="R469" s="4"/>
    </row>
    <row r="470" spans="1:18">
      <c r="A470" s="1">
        <f t="shared" si="16"/>
        <v>0</v>
      </c>
      <c r="B470" s="2"/>
      <c r="C470" s="8"/>
      <c r="D470" s="109" t="str">
        <f>IFERROR(INDEX([239]MATERIALES!C:C,MATCH(B470,[239]MATERIALES!B:B,0)),"")</f>
        <v/>
      </c>
      <c r="E470" s="110"/>
      <c r="F470" s="110"/>
      <c r="G470" s="110"/>
      <c r="H470" s="110"/>
      <c r="I470" s="110"/>
      <c r="J470" s="110"/>
      <c r="K470" s="111"/>
      <c r="L470" s="137" t="str">
        <f>IFERROR(INDEX([239]MATERIALES!D:D,MATCH(B470,[239]MATERIALES!B:B,0)),"")</f>
        <v/>
      </c>
      <c r="M470" s="138"/>
      <c r="N470" s="139" t="str">
        <f>IFERROR(INDEX([239]MATERIALES!P:P,MATCH(B470,[239]MATERIALES!B:B,0)),"")</f>
        <v/>
      </c>
      <c r="O470" s="140"/>
      <c r="P470" s="118" t="str">
        <f>IFERROR(ROUND(N470*M470,2),"")</f>
        <v/>
      </c>
      <c r="Q470" s="119"/>
      <c r="R470" s="4"/>
    </row>
    <row r="471" spans="1:18">
      <c r="A471" s="1">
        <f t="shared" si="16"/>
        <v>0</v>
      </c>
      <c r="B471" s="2"/>
      <c r="C471" s="8"/>
      <c r="D471" s="109" t="str">
        <f>IFERROR(INDEX([239]MATERIALES!C:C,MATCH(B471,[239]MATERIALES!B:B,0)),"")</f>
        <v/>
      </c>
      <c r="E471" s="110"/>
      <c r="F471" s="110"/>
      <c r="G471" s="110"/>
      <c r="H471" s="110"/>
      <c r="I471" s="110"/>
      <c r="J471" s="110"/>
      <c r="K471" s="111"/>
      <c r="L471" s="137" t="str">
        <f>IFERROR(INDEX([239]MATERIALES!D:D,MATCH(B471,[239]MATERIALES!B:B,0)),"")</f>
        <v/>
      </c>
      <c r="M471" s="138"/>
      <c r="N471" s="139" t="str">
        <f>IFERROR(INDEX([239]MATERIALES!P:P,MATCH(B471,[239]MATERIALES!B:B,0)),"")</f>
        <v/>
      </c>
      <c r="O471" s="140"/>
      <c r="P471" s="118" t="str">
        <f t="shared" ref="P471:P480" si="17">IFERROR(ROUND(N471*M471,2),"")</f>
        <v/>
      </c>
      <c r="Q471" s="119"/>
      <c r="R471" s="4"/>
    </row>
    <row r="472" spans="1:18">
      <c r="A472" s="1">
        <f t="shared" si="16"/>
        <v>0</v>
      </c>
      <c r="B472" s="2"/>
      <c r="C472" s="8"/>
      <c r="D472" s="109" t="str">
        <f>IFERROR(INDEX([239]MATERIALES!C:C,MATCH(B472,[239]MATERIALES!B:B,0)),"")</f>
        <v/>
      </c>
      <c r="E472" s="110"/>
      <c r="F472" s="110"/>
      <c r="G472" s="110"/>
      <c r="H472" s="110"/>
      <c r="I472" s="110"/>
      <c r="J472" s="110"/>
      <c r="K472" s="111"/>
      <c r="L472" s="137" t="str">
        <f>IFERROR(INDEX([239]MATERIALES!D:D,MATCH(B472,[239]MATERIALES!B:B,0)),"")</f>
        <v/>
      </c>
      <c r="M472" s="138"/>
      <c r="N472" s="139" t="str">
        <f>IFERROR(INDEX([239]MATERIALES!P:P,MATCH(B472,[239]MATERIALES!B:B,0)),"")</f>
        <v/>
      </c>
      <c r="O472" s="140"/>
      <c r="P472" s="118" t="str">
        <f t="shared" si="17"/>
        <v/>
      </c>
      <c r="Q472" s="119"/>
      <c r="R472" s="4"/>
    </row>
    <row r="473" spans="1:18">
      <c r="A473" s="1">
        <f t="shared" si="16"/>
        <v>0</v>
      </c>
      <c r="B473" s="2"/>
      <c r="C473" s="8"/>
      <c r="D473" s="109" t="str">
        <f>IFERROR(INDEX([239]MATERIALES!C:C,MATCH(B473,[239]MATERIALES!B:B,0)),"")</f>
        <v/>
      </c>
      <c r="E473" s="110"/>
      <c r="F473" s="110"/>
      <c r="G473" s="110"/>
      <c r="H473" s="110"/>
      <c r="I473" s="110"/>
      <c r="J473" s="110"/>
      <c r="K473" s="111"/>
      <c r="L473" s="137" t="str">
        <f>IFERROR(INDEX([239]MATERIALES!D:D,MATCH(B473,[239]MATERIALES!B:B,0)),"")</f>
        <v/>
      </c>
      <c r="M473" s="138"/>
      <c r="N473" s="139" t="str">
        <f>IFERROR(INDEX([239]MATERIALES!P:P,MATCH(B473,[239]MATERIALES!B:B,0)),"")</f>
        <v/>
      </c>
      <c r="O473" s="140"/>
      <c r="P473" s="118" t="str">
        <f t="shared" si="17"/>
        <v/>
      </c>
      <c r="Q473" s="119"/>
      <c r="R473" s="4"/>
    </row>
    <row r="474" spans="1:18">
      <c r="A474" s="1">
        <f t="shared" si="16"/>
        <v>0</v>
      </c>
      <c r="B474" s="2"/>
      <c r="C474" s="8"/>
      <c r="D474" s="109" t="str">
        <f>IFERROR(INDEX([239]MATERIALES!C:C,MATCH(B474,[239]MATERIALES!B:B,0)),"")</f>
        <v/>
      </c>
      <c r="E474" s="110"/>
      <c r="F474" s="110"/>
      <c r="G474" s="110"/>
      <c r="H474" s="110"/>
      <c r="I474" s="110"/>
      <c r="J474" s="110"/>
      <c r="K474" s="111"/>
      <c r="L474" s="137" t="str">
        <f>IFERROR(INDEX([239]MATERIALES!D:D,MATCH(B474,[239]MATERIALES!B:B,0)),"")</f>
        <v/>
      </c>
      <c r="M474" s="138"/>
      <c r="N474" s="139" t="str">
        <f>IFERROR(INDEX([239]MATERIALES!P:P,MATCH(B474,[239]MATERIALES!B:B,0)),"")</f>
        <v/>
      </c>
      <c r="O474" s="140"/>
      <c r="P474" s="118" t="str">
        <f t="shared" si="17"/>
        <v/>
      </c>
      <c r="Q474" s="119"/>
      <c r="R474" s="4"/>
    </row>
    <row r="475" spans="1:18">
      <c r="A475" s="1">
        <f t="shared" si="16"/>
        <v>0</v>
      </c>
      <c r="B475" s="2"/>
      <c r="C475" s="8"/>
      <c r="D475" s="109" t="str">
        <f>IFERROR(INDEX([239]MATERIALES!C:C,MATCH(B475,[239]MATERIALES!B:B,0)),"")</f>
        <v/>
      </c>
      <c r="E475" s="110"/>
      <c r="F475" s="110"/>
      <c r="G475" s="110"/>
      <c r="H475" s="110"/>
      <c r="I475" s="110"/>
      <c r="J475" s="110"/>
      <c r="K475" s="111"/>
      <c r="L475" s="137" t="str">
        <f>IFERROR(INDEX([239]MATERIALES!D:D,MATCH(B475,[239]MATERIALES!B:B,0)),"")</f>
        <v/>
      </c>
      <c r="M475" s="138"/>
      <c r="N475" s="139" t="str">
        <f>IFERROR(INDEX([239]MATERIALES!P:P,MATCH(B475,[239]MATERIALES!B:B,0)),"")</f>
        <v/>
      </c>
      <c r="O475" s="140"/>
      <c r="P475" s="118" t="str">
        <f t="shared" si="17"/>
        <v/>
      </c>
      <c r="Q475" s="119"/>
      <c r="R475" s="4"/>
    </row>
    <row r="476" spans="1:18">
      <c r="A476" s="1">
        <f t="shared" si="16"/>
        <v>0</v>
      </c>
      <c r="B476" s="2"/>
      <c r="C476" s="8"/>
      <c r="D476" s="109" t="str">
        <f>IFERROR(INDEX([239]MATERIALES!C:C,MATCH(B476,[239]MATERIALES!B:B,0)),"")</f>
        <v/>
      </c>
      <c r="E476" s="110"/>
      <c r="F476" s="110"/>
      <c r="G476" s="110"/>
      <c r="H476" s="110"/>
      <c r="I476" s="110"/>
      <c r="J476" s="110"/>
      <c r="K476" s="111"/>
      <c r="L476" s="137" t="str">
        <f>IFERROR(INDEX([239]MATERIALES!D:D,MATCH(B476,[239]MATERIALES!B:B,0)),"")</f>
        <v/>
      </c>
      <c r="M476" s="138"/>
      <c r="N476" s="139" t="str">
        <f>IFERROR(INDEX([239]MATERIALES!P:P,MATCH(B476,[239]MATERIALES!B:B,0)),"")</f>
        <v/>
      </c>
      <c r="O476" s="140"/>
      <c r="P476" s="118" t="str">
        <f t="shared" si="17"/>
        <v/>
      </c>
      <c r="Q476" s="119"/>
      <c r="R476" s="4"/>
    </row>
    <row r="477" spans="1:18">
      <c r="A477" s="1">
        <f t="shared" si="16"/>
        <v>0</v>
      </c>
      <c r="B477" s="2"/>
      <c r="C477" s="8"/>
      <c r="D477" s="109" t="str">
        <f>IFERROR(INDEX([239]MATERIALES!C:C,MATCH(B477,[239]MATERIALES!B:B,0)),"")</f>
        <v/>
      </c>
      <c r="E477" s="110"/>
      <c r="F477" s="110"/>
      <c r="G477" s="110"/>
      <c r="H477" s="110"/>
      <c r="I477" s="110"/>
      <c r="J477" s="110"/>
      <c r="K477" s="111"/>
      <c r="L477" s="137" t="str">
        <f>IFERROR(INDEX([239]MATERIALES!D:D,MATCH(B477,[239]MATERIALES!B:B,0)),"")</f>
        <v/>
      </c>
      <c r="M477" s="138"/>
      <c r="N477" s="139" t="str">
        <f>IFERROR(INDEX([239]MATERIALES!P:P,MATCH(B477,[239]MATERIALES!B:B,0)),"")</f>
        <v/>
      </c>
      <c r="O477" s="140"/>
      <c r="P477" s="118" t="str">
        <f t="shared" si="17"/>
        <v/>
      </c>
      <c r="Q477" s="119"/>
      <c r="R477" s="4"/>
    </row>
    <row r="478" spans="1:18">
      <c r="A478" s="1">
        <f t="shared" si="16"/>
        <v>0</v>
      </c>
      <c r="B478" s="2"/>
      <c r="C478" s="8"/>
      <c r="D478" s="109" t="str">
        <f>IFERROR(INDEX([239]MATERIALES!C:C,MATCH(B478,[239]MATERIALES!B:B,0)),"")</f>
        <v/>
      </c>
      <c r="E478" s="110"/>
      <c r="F478" s="110"/>
      <c r="G478" s="110"/>
      <c r="H478" s="110"/>
      <c r="I478" s="110"/>
      <c r="J478" s="110"/>
      <c r="K478" s="111"/>
      <c r="L478" s="137" t="str">
        <f>IFERROR(INDEX([239]MATERIALES!D:D,MATCH(B478,[239]MATERIALES!B:B,0)),"")</f>
        <v/>
      </c>
      <c r="M478" s="138"/>
      <c r="N478" s="139" t="str">
        <f>IFERROR(INDEX([239]MATERIALES!P:P,MATCH(B478,[239]MATERIALES!B:B,0)),"")</f>
        <v/>
      </c>
      <c r="O478" s="140"/>
      <c r="P478" s="118" t="str">
        <f t="shared" si="17"/>
        <v/>
      </c>
      <c r="Q478" s="119"/>
      <c r="R478" s="4"/>
    </row>
    <row r="479" spans="1:18">
      <c r="A479" s="1">
        <f t="shared" si="16"/>
        <v>0</v>
      </c>
      <c r="B479" s="2"/>
      <c r="C479" s="8"/>
      <c r="D479" s="109" t="str">
        <f>IFERROR(INDEX([239]MATERIALES!C:C,MATCH(B479,[239]MATERIALES!B:B,0)),"")</f>
        <v/>
      </c>
      <c r="E479" s="110"/>
      <c r="F479" s="110"/>
      <c r="G479" s="110"/>
      <c r="H479" s="110"/>
      <c r="I479" s="110"/>
      <c r="J479" s="110"/>
      <c r="K479" s="111"/>
      <c r="L479" s="137" t="str">
        <f>IFERROR(INDEX([239]MATERIALES!D:D,MATCH(B479,[239]MATERIALES!B:B,0)),"")</f>
        <v/>
      </c>
      <c r="M479" s="138"/>
      <c r="N479" s="139" t="str">
        <f>IFERROR(INDEX([239]MATERIALES!P:P,MATCH(B479,[239]MATERIALES!B:B,0)),"")</f>
        <v/>
      </c>
      <c r="O479" s="140"/>
      <c r="P479" s="118" t="str">
        <f t="shared" si="17"/>
        <v/>
      </c>
      <c r="Q479" s="119"/>
      <c r="R479" s="4"/>
    </row>
    <row r="480" spans="1:18">
      <c r="A480" s="1">
        <f t="shared" si="16"/>
        <v>0</v>
      </c>
      <c r="B480" s="2"/>
      <c r="C480" s="8"/>
      <c r="D480" s="109" t="str">
        <f>IFERROR(INDEX([239]MATERIALES!C:C,MATCH(B480,[239]MATERIALES!B:B,0)),"")</f>
        <v/>
      </c>
      <c r="E480" s="110"/>
      <c r="F480" s="110"/>
      <c r="G480" s="110"/>
      <c r="H480" s="110"/>
      <c r="I480" s="110"/>
      <c r="J480" s="110"/>
      <c r="K480" s="111"/>
      <c r="L480" s="137" t="str">
        <f>IFERROR(INDEX([239]MATERIALES!D:D,MATCH(B480,[239]MATERIALES!B:B,0)),"")</f>
        <v/>
      </c>
      <c r="M480" s="138"/>
      <c r="N480" s="139" t="str">
        <f>IFERROR(INDEX([239]MATERIALES!P:P,MATCH(B480,[239]MATERIALES!B:B,0)),"")</f>
        <v/>
      </c>
      <c r="O480" s="140"/>
      <c r="P480" s="118" t="str">
        <f t="shared" si="17"/>
        <v/>
      </c>
      <c r="Q480" s="119"/>
      <c r="R480" s="4"/>
    </row>
    <row r="481" spans="1:18" ht="15.75" thickBot="1">
      <c r="A481" s="1">
        <f t="shared" si="16"/>
        <v>0</v>
      </c>
      <c r="B481" s="2"/>
      <c r="C481" s="8"/>
      <c r="D481" s="109" t="s">
        <v>28</v>
      </c>
      <c r="E481" s="110"/>
      <c r="F481" s="110"/>
      <c r="G481" s="110"/>
      <c r="H481" s="110"/>
      <c r="I481" s="110"/>
      <c r="J481" s="110"/>
      <c r="K481" s="111"/>
      <c r="L481" s="137" t="s">
        <v>29</v>
      </c>
      <c r="M481" s="138">
        <v>0.05</v>
      </c>
      <c r="N481" s="139">
        <f>SUM(P467:P480)</f>
        <v>50791.73</v>
      </c>
      <c r="O481" s="140"/>
      <c r="P481" s="118">
        <f>ROUND(N481*M481,2)</f>
        <v>2539.59</v>
      </c>
      <c r="Q481" s="119"/>
      <c r="R481" s="4"/>
    </row>
    <row r="482" spans="1:18" ht="15.75" thickBot="1">
      <c r="A482" s="1">
        <f t="shared" si="16"/>
        <v>0</v>
      </c>
      <c r="B482" s="2"/>
      <c r="C482" s="8"/>
      <c r="D482" s="128" t="s">
        <v>24</v>
      </c>
      <c r="E482" s="129"/>
      <c r="F482" s="129"/>
      <c r="G482" s="129"/>
      <c r="H482" s="129"/>
      <c r="I482" s="129"/>
      <c r="J482" s="129"/>
      <c r="K482" s="129"/>
      <c r="L482" s="129"/>
      <c r="M482" s="129"/>
      <c r="N482" s="129"/>
      <c r="O482" s="130"/>
      <c r="P482" s="131">
        <f>SUM(P467:P481)</f>
        <v>53331.320000000007</v>
      </c>
      <c r="Q482" s="119"/>
      <c r="R482" s="4"/>
    </row>
    <row r="483" spans="1:18" ht="15.75" thickBot="1">
      <c r="A483" s="1">
        <f t="shared" si="16"/>
        <v>0</v>
      </c>
      <c r="B483" s="2"/>
      <c r="C483" s="8"/>
      <c r="D483" s="74" t="s">
        <v>30</v>
      </c>
      <c r="E483" s="37"/>
      <c r="F483" s="37"/>
      <c r="G483" s="37"/>
      <c r="H483" s="37"/>
      <c r="I483" s="37"/>
      <c r="J483" s="37"/>
      <c r="K483" s="37"/>
      <c r="L483" s="37"/>
      <c r="M483" s="37"/>
      <c r="N483" s="37"/>
      <c r="O483" s="37"/>
      <c r="P483" s="99"/>
      <c r="Q483" s="100"/>
      <c r="R483" s="4"/>
    </row>
    <row r="484" spans="1:18">
      <c r="A484" s="1">
        <f t="shared" si="16"/>
        <v>0</v>
      </c>
      <c r="B484" s="2"/>
      <c r="C484" s="8"/>
      <c r="D484" s="101" t="s">
        <v>31</v>
      </c>
      <c r="E484" s="133"/>
      <c r="F484" s="133"/>
      <c r="G484" s="133"/>
      <c r="H484" s="133"/>
      <c r="I484" s="133"/>
      <c r="J484" s="133"/>
      <c r="K484" s="106" t="s">
        <v>32</v>
      </c>
      <c r="L484" s="141" t="s">
        <v>33</v>
      </c>
      <c r="M484" s="106" t="s">
        <v>34</v>
      </c>
      <c r="N484" s="104" t="s">
        <v>20</v>
      </c>
      <c r="O484" s="105"/>
      <c r="P484" s="107" t="s">
        <v>22</v>
      </c>
      <c r="Q484" s="108"/>
      <c r="R484" s="4"/>
    </row>
    <row r="485" spans="1:18">
      <c r="A485" s="1">
        <f t="shared" si="16"/>
        <v>0</v>
      </c>
      <c r="B485" s="2"/>
      <c r="C485" s="8"/>
      <c r="D485" s="142" t="str">
        <f>IFERROR(INDEX([239]TRANSPORTES!B:B,MATCH(B485,[239]TRANSPORTES!A:A,0)),"")</f>
        <v/>
      </c>
      <c r="E485" s="143"/>
      <c r="F485" s="143"/>
      <c r="G485" s="143"/>
      <c r="H485" s="143"/>
      <c r="I485" s="143"/>
      <c r="J485" s="143"/>
      <c r="K485" s="220"/>
      <c r="L485" s="145"/>
      <c r="M485" s="146" t="str">
        <f>IFERROR(INDEX([239]TRANSPORTES!C:C,MATCH(B485,[239]TRANSPORTES!A:A,0)),"")</f>
        <v/>
      </c>
      <c r="N485" s="139" t="str">
        <f>IFERROR(INDEX([239]TRANSPORTES!D:D,MATCH(B485,[239]TRANSPORTES!A:A,0)),"")</f>
        <v/>
      </c>
      <c r="O485" s="147"/>
      <c r="P485" s="148" t="str">
        <f>IFERROR(ROUND(K485*N485*L485,2),"")</f>
        <v/>
      </c>
      <c r="Q485" s="119"/>
      <c r="R485" s="4"/>
    </row>
    <row r="486" spans="1:18">
      <c r="A486" s="1">
        <f t="shared" si="16"/>
        <v>0</v>
      </c>
      <c r="B486" s="2"/>
      <c r="C486" s="8"/>
      <c r="D486" s="142" t="str">
        <f>IFERROR(INDEX([239]TRANSPORTES!B:B,MATCH(B486,[239]TRANSPORTES!A:A,0)),"")</f>
        <v/>
      </c>
      <c r="E486" s="143"/>
      <c r="F486" s="143"/>
      <c r="G486" s="143"/>
      <c r="H486" s="143"/>
      <c r="I486" s="143"/>
      <c r="J486" s="143"/>
      <c r="K486" s="144"/>
      <c r="L486" s="145"/>
      <c r="M486" s="146" t="str">
        <f>IFERROR(INDEX([239]TRANSPORTES!C:C,MATCH(B486,[239]TRANSPORTES!A:A,0)),"")</f>
        <v/>
      </c>
      <c r="N486" s="139" t="str">
        <f>IFERROR(INDEX([239]TRANSPORTES!D:D,MATCH(B486,[239]TRANSPORTES!A:A,0)),"")</f>
        <v/>
      </c>
      <c r="O486" s="147"/>
      <c r="P486" s="148" t="str">
        <f>IFERROR(ROUND(K486*N486*L486,2),"")</f>
        <v/>
      </c>
      <c r="Q486" s="119"/>
      <c r="R486" s="4"/>
    </row>
    <row r="487" spans="1:18">
      <c r="A487" s="1">
        <f t="shared" si="16"/>
        <v>0</v>
      </c>
      <c r="B487" s="2"/>
      <c r="C487" s="8"/>
      <c r="D487" s="142" t="str">
        <f>IFERROR(INDEX([239]TRANSPORTES!B:B,MATCH(B487,[239]TRANSPORTES!A:A,0)),"")</f>
        <v/>
      </c>
      <c r="E487" s="143"/>
      <c r="F487" s="143"/>
      <c r="G487" s="143"/>
      <c r="H487" s="143"/>
      <c r="I487" s="143"/>
      <c r="J487" s="143"/>
      <c r="K487" s="144"/>
      <c r="L487" s="145"/>
      <c r="M487" s="146" t="str">
        <f>IFERROR(INDEX([239]TRANSPORTES!C:C,MATCH(B487,[239]TRANSPORTES!A:A,0)),"")</f>
        <v/>
      </c>
      <c r="N487" s="139" t="str">
        <f>IFERROR(INDEX([239]TRANSPORTES!D:D,MATCH(B487,[239]TRANSPORTES!A:A,0)),"")</f>
        <v/>
      </c>
      <c r="O487" s="147"/>
      <c r="P487" s="148" t="str">
        <f>IFERROR(ROUND(K487*N487*L487,2),"")</f>
        <v/>
      </c>
      <c r="Q487" s="119"/>
      <c r="R487" s="4"/>
    </row>
    <row r="488" spans="1:18" ht="15.75" thickBot="1">
      <c r="A488" s="1">
        <f t="shared" si="16"/>
        <v>0</v>
      </c>
      <c r="B488" s="2"/>
      <c r="C488" s="8"/>
      <c r="D488" s="142" t="str">
        <f>IFERROR(INDEX([239]TRANSPORTES!B:B,MATCH(B488,[239]TRANSPORTES!A:A,0)),"")</f>
        <v/>
      </c>
      <c r="E488" s="143"/>
      <c r="F488" s="143"/>
      <c r="G488" s="143"/>
      <c r="H488" s="143"/>
      <c r="I488" s="143"/>
      <c r="J488" s="143"/>
      <c r="K488" s="149"/>
      <c r="L488" s="150"/>
      <c r="M488" s="146" t="str">
        <f>IFERROR(INDEX([239]TRANSPORTES!C:C,MATCH(B488,[239]TRANSPORTES!A:A,0)),"")</f>
        <v/>
      </c>
      <c r="N488" s="139" t="str">
        <f>IFERROR(INDEX([239]TRANSPORTES!D:D,MATCH(B488,[239]TRANSPORTES!A:A,0)),"")</f>
        <v/>
      </c>
      <c r="O488" s="147"/>
      <c r="P488" s="148" t="str">
        <f>IFERROR(ROUND(K488*N488*L488,2),"")</f>
        <v/>
      </c>
      <c r="Q488" s="119"/>
      <c r="R488" s="4"/>
    </row>
    <row r="489" spans="1:18" ht="15.75" thickBot="1">
      <c r="A489" s="1">
        <f t="shared" si="16"/>
        <v>0</v>
      </c>
      <c r="B489" s="2"/>
      <c r="C489" s="8"/>
      <c r="D489" s="128" t="s">
        <v>24</v>
      </c>
      <c r="E489" s="129"/>
      <c r="F489" s="129"/>
      <c r="G489" s="129"/>
      <c r="H489" s="129"/>
      <c r="I489" s="129"/>
      <c r="J489" s="129"/>
      <c r="K489" s="129"/>
      <c r="L489" s="129"/>
      <c r="M489" s="129"/>
      <c r="N489" s="129"/>
      <c r="O489" s="130"/>
      <c r="P489" s="151">
        <f>SUM(P485:P488)</f>
        <v>0</v>
      </c>
      <c r="Q489" s="132"/>
      <c r="R489" s="4"/>
    </row>
    <row r="490" spans="1:18" ht="15.75" thickBot="1">
      <c r="A490" s="1">
        <f t="shared" si="16"/>
        <v>0</v>
      </c>
      <c r="B490" s="2"/>
      <c r="C490" s="8"/>
      <c r="D490" s="74" t="s">
        <v>36</v>
      </c>
      <c r="E490" s="37"/>
      <c r="F490" s="37"/>
      <c r="G490" s="37"/>
      <c r="H490" s="37"/>
      <c r="I490" s="37"/>
      <c r="J490" s="37"/>
      <c r="K490" s="37"/>
      <c r="L490" s="37"/>
      <c r="M490" s="37"/>
      <c r="N490" s="37"/>
      <c r="O490" s="37"/>
      <c r="P490" s="99"/>
      <c r="Q490" s="100"/>
      <c r="R490" s="4"/>
    </row>
    <row r="491" spans="1:18" ht="30">
      <c r="A491" s="1">
        <f t="shared" si="16"/>
        <v>0</v>
      </c>
      <c r="B491" s="2"/>
      <c r="C491" s="8"/>
      <c r="D491" s="101" t="s">
        <v>37</v>
      </c>
      <c r="E491" s="133"/>
      <c r="F491" s="133"/>
      <c r="G491" s="133"/>
      <c r="H491" s="133"/>
      <c r="I491" s="133"/>
      <c r="J491" s="133"/>
      <c r="K491" s="106" t="s">
        <v>38</v>
      </c>
      <c r="L491" s="152" t="s">
        <v>39</v>
      </c>
      <c r="M491" s="153" t="s">
        <v>40</v>
      </c>
      <c r="N491" s="104" t="s">
        <v>21</v>
      </c>
      <c r="O491" s="105"/>
      <c r="P491" s="154" t="s">
        <v>22</v>
      </c>
      <c r="Q491" s="155"/>
      <c r="R491" s="4"/>
    </row>
    <row r="492" spans="1:18">
      <c r="A492" s="1">
        <f t="shared" si="16"/>
        <v>0</v>
      </c>
      <c r="B492" s="2" t="s">
        <v>41</v>
      </c>
      <c r="C492" s="8"/>
      <c r="D492" s="109" t="str">
        <f>IFERROR(INDEX('[239]MANO DE OBRA'!B:B,MATCH(B492,'[239]MANO DE OBRA'!A:A,0)),"")</f>
        <v>OFICIAL</v>
      </c>
      <c r="E492" s="110"/>
      <c r="F492" s="110"/>
      <c r="G492" s="110"/>
      <c r="H492" s="110"/>
      <c r="I492" s="110"/>
      <c r="J492" s="111"/>
      <c r="K492" s="156">
        <f>IFERROR(INDEX('[239]MANO DE OBRA'!D:D,MATCH(B492,'[239]MANO DE OBRA'!A:A,0)),"")</f>
        <v>95930</v>
      </c>
      <c r="L492" s="157">
        <f>+IF(D492&lt;&gt;"",'[239]FACTOR PRESTACIONAL'!$E$21," ")</f>
        <v>1.95</v>
      </c>
      <c r="M492" s="158">
        <f>IFERROR(K492*L492," ")</f>
        <v>187063.5</v>
      </c>
      <c r="N492" s="159">
        <v>12</v>
      </c>
      <c r="O492" s="160"/>
      <c r="P492" s="161">
        <f>IFERROR(ROUND(M492/N492,2)," ")</f>
        <v>15588.63</v>
      </c>
      <c r="Q492" s="162"/>
      <c r="R492" s="4"/>
    </row>
    <row r="493" spans="1:18">
      <c r="A493" s="1">
        <f t="shared" si="16"/>
        <v>0</v>
      </c>
      <c r="B493" s="2" t="s">
        <v>81</v>
      </c>
      <c r="C493" s="8"/>
      <c r="D493" s="109" t="str">
        <f>IFERROR(INDEX('[239]MANO DE OBRA'!B:B,MATCH(B493,'[239]MANO DE OBRA'!A:A,0)),"")</f>
        <v>AYUDANTE (1)</v>
      </c>
      <c r="E493" s="110"/>
      <c r="F493" s="110"/>
      <c r="G493" s="110"/>
      <c r="H493" s="110"/>
      <c r="I493" s="110"/>
      <c r="J493" s="111"/>
      <c r="K493" s="156">
        <f>IFERROR(INDEX('[239]MANO DE OBRA'!D:D,MATCH(B493,'[239]MANO DE OBRA'!A:A,0)),"")</f>
        <v>71433</v>
      </c>
      <c r="L493" s="157">
        <f>+IF(D493&lt;&gt;"",'[239]FACTOR PRESTACIONAL'!$E$21," ")</f>
        <v>1.95</v>
      </c>
      <c r="M493" s="158">
        <f>IFERROR(K493*L493," ")</f>
        <v>139294.35</v>
      </c>
      <c r="N493" s="159">
        <v>12</v>
      </c>
      <c r="O493" s="160"/>
      <c r="P493" s="161">
        <f>IFERROR(ROUND(M493/N493,2)," ")</f>
        <v>11607.86</v>
      </c>
      <c r="Q493" s="162"/>
      <c r="R493" s="4"/>
    </row>
    <row r="494" spans="1:18">
      <c r="A494" s="1">
        <f t="shared" si="16"/>
        <v>0</v>
      </c>
      <c r="B494" s="2"/>
      <c r="C494" s="8"/>
      <c r="D494" s="109" t="str">
        <f>IFERROR(INDEX('[239]MANO DE OBRA'!B:B,MATCH(B494,'[239]MANO DE OBRA'!A:A,0)),"")</f>
        <v/>
      </c>
      <c r="E494" s="110"/>
      <c r="F494" s="110"/>
      <c r="G494" s="110"/>
      <c r="H494" s="110"/>
      <c r="I494" s="110"/>
      <c r="J494" s="111"/>
      <c r="K494" s="156" t="str">
        <f>IFERROR(INDEX('[239]MANO DE OBRA'!D:D,MATCH(B494,'[239]MANO DE OBRA'!A:A,0)),"")</f>
        <v/>
      </c>
      <c r="L494" s="157" t="str">
        <f>+IF(D494&lt;&gt;"",'[239]FACTOR PRESTACIONAL'!$E$21," ")</f>
        <v xml:space="preserve"> </v>
      </c>
      <c r="M494" s="158" t="str">
        <f>IFERROR(K494*L494," ")</f>
        <v xml:space="preserve"> </v>
      </c>
      <c r="N494" s="159"/>
      <c r="O494" s="160"/>
      <c r="P494" s="161" t="str">
        <f>IFERROR(ROUND(M494/N494,2)," ")</f>
        <v xml:space="preserve"> </v>
      </c>
      <c r="Q494" s="162"/>
      <c r="R494" s="4"/>
    </row>
    <row r="495" spans="1:18">
      <c r="A495" s="1">
        <f t="shared" si="16"/>
        <v>0</v>
      </c>
      <c r="B495" s="2"/>
      <c r="C495" s="8"/>
      <c r="D495" s="109" t="str">
        <f>IFERROR(INDEX('[239]MANO DE OBRA'!B:B,MATCH(B495,'[239]MANO DE OBRA'!A:A,0)),"")</f>
        <v/>
      </c>
      <c r="E495" s="110"/>
      <c r="F495" s="110"/>
      <c r="G495" s="110"/>
      <c r="H495" s="110"/>
      <c r="I495" s="110"/>
      <c r="J495" s="111"/>
      <c r="K495" s="156" t="str">
        <f>IFERROR(INDEX('[239]MANO DE OBRA'!D:D,MATCH(B495,'[239]MANO DE OBRA'!A:A,0)),"")</f>
        <v/>
      </c>
      <c r="L495" s="157" t="str">
        <f>+IF(D495&lt;&gt;"",'[239]FACTOR PRESTACIONAL'!$E$21," ")</f>
        <v xml:space="preserve"> </v>
      </c>
      <c r="M495" s="158" t="str">
        <f>IFERROR(K495*L495," ")</f>
        <v xml:space="preserve"> </v>
      </c>
      <c r="N495" s="159"/>
      <c r="O495" s="160"/>
      <c r="P495" s="161" t="str">
        <f>IFERROR(ROUND(M495/N495,2)," ")</f>
        <v xml:space="preserve"> </v>
      </c>
      <c r="Q495" s="162"/>
      <c r="R495" s="4"/>
    </row>
    <row r="496" spans="1:18" ht="15.75" thickBot="1">
      <c r="A496" s="1">
        <f t="shared" si="16"/>
        <v>0</v>
      </c>
      <c r="B496" s="2"/>
      <c r="C496" s="8"/>
      <c r="D496" s="109" t="str">
        <f>IFERROR(INDEX('[239]MANO DE OBRA'!B:B,MATCH(B496,'[239]MANO DE OBRA'!A:A,0)),"")</f>
        <v/>
      </c>
      <c r="E496" s="110"/>
      <c r="F496" s="110"/>
      <c r="G496" s="110"/>
      <c r="H496" s="110"/>
      <c r="I496" s="110"/>
      <c r="J496" s="111"/>
      <c r="K496" s="156" t="str">
        <f>IFERROR(INDEX('[239]MANO DE OBRA'!D:D,MATCH(B496,'[239]MANO DE OBRA'!A:A,0)),"")</f>
        <v/>
      </c>
      <c r="L496" s="157" t="str">
        <f>+IF(D496&lt;&gt;"",'[239]FACTOR PRESTACIONAL'!$E$21," ")</f>
        <v xml:space="preserve"> </v>
      </c>
      <c r="M496" s="158" t="str">
        <f>IFERROR(K496*L496," ")</f>
        <v xml:space="preserve"> </v>
      </c>
      <c r="N496" s="159"/>
      <c r="O496" s="160"/>
      <c r="P496" s="161" t="str">
        <f>IFERROR(ROUND(M496/N496,2)," ")</f>
        <v xml:space="preserve"> </v>
      </c>
      <c r="Q496" s="119"/>
      <c r="R496" s="4"/>
    </row>
    <row r="497" spans="1:18" ht="15.75" thickBot="1">
      <c r="A497" s="1">
        <f t="shared" si="16"/>
        <v>0</v>
      </c>
      <c r="B497" s="2"/>
      <c r="C497" s="8"/>
      <c r="D497" s="128" t="s">
        <v>24</v>
      </c>
      <c r="E497" s="129"/>
      <c r="F497" s="129"/>
      <c r="G497" s="129"/>
      <c r="H497" s="129"/>
      <c r="I497" s="129"/>
      <c r="J497" s="129"/>
      <c r="K497" s="129"/>
      <c r="L497" s="129"/>
      <c r="M497" s="129"/>
      <c r="N497" s="129"/>
      <c r="O497" s="130"/>
      <c r="P497" s="131">
        <f>SUM(P492:P496)</f>
        <v>27196.489999999998</v>
      </c>
      <c r="Q497" s="119"/>
      <c r="R497" s="4"/>
    </row>
    <row r="498" spans="1:18" ht="15.75" thickBot="1">
      <c r="A498" s="1">
        <f t="shared" si="16"/>
        <v>0</v>
      </c>
      <c r="B498" s="2"/>
      <c r="C498" s="8"/>
      <c r="D498" s="87"/>
      <c r="E498" s="20"/>
      <c r="F498" s="20"/>
      <c r="G498" s="20"/>
      <c r="H498" s="20"/>
      <c r="I498" s="20"/>
      <c r="J498" s="20"/>
      <c r="K498" s="20"/>
      <c r="L498" s="20"/>
      <c r="M498" s="20"/>
      <c r="N498" s="20"/>
      <c r="O498" s="20"/>
      <c r="P498" s="88"/>
      <c r="Q498" s="13"/>
      <c r="R498" s="4"/>
    </row>
    <row r="499" spans="1:18" ht="15.75" thickBot="1">
      <c r="A499" s="1"/>
      <c r="B499" s="2"/>
      <c r="C499" s="8"/>
      <c r="D499" s="163" t="s">
        <v>43</v>
      </c>
      <c r="E499" s="164"/>
      <c r="F499" s="164"/>
      <c r="G499" s="164"/>
      <c r="H499" s="164"/>
      <c r="I499" s="164"/>
      <c r="J499" s="164"/>
      <c r="K499" s="164"/>
      <c r="L499" s="164"/>
      <c r="M499" s="164"/>
      <c r="N499" s="164"/>
      <c r="O499" s="165"/>
      <c r="P499" s="166">
        <f>+P497+P489+P482+P464</f>
        <v>83457.25</v>
      </c>
      <c r="Q499" s="167"/>
      <c r="R499" s="168"/>
    </row>
    <row r="500" spans="1:18" ht="15.75" thickBot="1">
      <c r="A500" s="1"/>
      <c r="B500" s="2"/>
      <c r="C500" s="8"/>
      <c r="D500" s="169"/>
      <c r="E500" s="170"/>
      <c r="F500" s="170"/>
      <c r="G500" s="170"/>
      <c r="H500" s="170"/>
      <c r="I500" s="170"/>
      <c r="J500" s="170"/>
      <c r="K500" s="170"/>
      <c r="L500" s="170"/>
      <c r="M500" s="170"/>
      <c r="N500" s="170"/>
      <c r="O500" s="170"/>
      <c r="P500" s="171"/>
      <c r="Q500" s="100"/>
      <c r="R500" s="4"/>
    </row>
    <row r="501" spans="1:18">
      <c r="A501" s="1"/>
      <c r="B501" s="2"/>
      <c r="C501" s="8"/>
      <c r="D501" s="172" t="s">
        <v>73</v>
      </c>
      <c r="E501" s="173"/>
      <c r="F501" s="173"/>
      <c r="G501" s="173"/>
      <c r="H501" s="173"/>
      <c r="I501" s="173"/>
      <c r="J501" s="173"/>
      <c r="K501" s="141"/>
      <c r="L501" s="174"/>
      <c r="M501" s="153" t="s">
        <v>44</v>
      </c>
      <c r="N501" s="175" t="s">
        <v>45</v>
      </c>
      <c r="O501" s="176"/>
      <c r="P501" s="154"/>
      <c r="Q501" s="155"/>
      <c r="R501" s="4"/>
    </row>
    <row r="502" spans="1:18">
      <c r="A502" s="1"/>
      <c r="B502" s="2"/>
      <c r="C502" s="8"/>
      <c r="D502" s="109" t="s">
        <v>65</v>
      </c>
      <c r="E502" s="110"/>
      <c r="F502" s="110"/>
      <c r="G502" s="110"/>
      <c r="H502" s="110"/>
      <c r="I502" s="110"/>
      <c r="J502" s="110"/>
      <c r="K502" s="177"/>
      <c r="L502" s="178"/>
      <c r="M502" s="179">
        <f>+[239]INICIO!$F$10</f>
        <v>0.24</v>
      </c>
      <c r="N502" s="180">
        <f>ROUND(M502*P499,2)</f>
        <v>20029.740000000002</v>
      </c>
      <c r="O502" s="181"/>
      <c r="P502" s="182"/>
      <c r="Q502" s="119"/>
      <c r="R502" s="4"/>
    </row>
    <row r="503" spans="1:18">
      <c r="A503" s="1"/>
      <c r="B503" s="2"/>
      <c r="C503" s="8"/>
      <c r="D503" s="183" t="s">
        <v>67</v>
      </c>
      <c r="E503" s="61"/>
      <c r="F503" s="61"/>
      <c r="G503" s="61"/>
      <c r="H503" s="61"/>
      <c r="I503" s="61"/>
      <c r="J503" s="61"/>
      <c r="K503" s="177"/>
      <c r="L503" s="178"/>
      <c r="M503" s="179">
        <f>+[239]INICIO!$F$11</f>
        <v>0.02</v>
      </c>
      <c r="N503" s="180">
        <f>ROUND(M503*P499,2)</f>
        <v>1669.15</v>
      </c>
      <c r="O503" s="181"/>
      <c r="P503" s="182"/>
      <c r="Q503" s="119"/>
      <c r="R503" s="4"/>
    </row>
    <row r="504" spans="1:18" ht="15.75" thickBot="1">
      <c r="A504" s="1"/>
      <c r="B504" s="2"/>
      <c r="C504" s="8"/>
      <c r="D504" s="77" t="s">
        <v>69</v>
      </c>
      <c r="E504" s="78"/>
      <c r="F504" s="78"/>
      <c r="G504" s="78"/>
      <c r="H504" s="78"/>
      <c r="I504" s="78"/>
      <c r="J504" s="78"/>
      <c r="K504" s="184"/>
      <c r="L504" s="185"/>
      <c r="M504" s="179">
        <f>+[239]INICIO!$F$12</f>
        <v>7.0000000000000007E-2</v>
      </c>
      <c r="N504" s="180">
        <f>ROUND(M504*P499,2)</f>
        <v>5842.01</v>
      </c>
      <c r="O504" s="181"/>
      <c r="P504" s="182"/>
      <c r="Q504" s="119"/>
      <c r="R504" s="4"/>
    </row>
    <row r="505" spans="1:18" ht="15.75" thickBot="1">
      <c r="A505" s="1"/>
      <c r="B505" s="2"/>
      <c r="C505" s="8"/>
      <c r="D505" s="128"/>
      <c r="E505" s="129"/>
      <c r="F505" s="129"/>
      <c r="G505" s="129"/>
      <c r="H505" s="129"/>
      <c r="I505" s="129"/>
      <c r="J505" s="129"/>
      <c r="K505" s="129"/>
      <c r="L505" s="129"/>
      <c r="M505" s="129"/>
      <c r="N505" s="129"/>
      <c r="O505" s="130"/>
      <c r="P505" s="131">
        <f>SUM(N502:N504)</f>
        <v>27540.9</v>
      </c>
      <c r="Q505" s="186"/>
      <c r="R505" s="4"/>
    </row>
    <row r="506" spans="1:18" ht="15.75" thickBot="1">
      <c r="A506" s="1"/>
      <c r="B506" s="2"/>
      <c r="C506" s="8"/>
      <c r="D506" s="87"/>
      <c r="E506" s="20"/>
      <c r="F506" s="20"/>
      <c r="G506" s="20"/>
      <c r="H506" s="20"/>
      <c r="I506" s="20"/>
      <c r="J506" s="20"/>
      <c r="K506" s="20"/>
      <c r="L506" s="20"/>
      <c r="M506" s="20"/>
      <c r="N506" s="20"/>
      <c r="O506" s="20"/>
      <c r="P506" s="88"/>
      <c r="Q506" s="13"/>
      <c r="R506" s="4"/>
    </row>
    <row r="507" spans="1:18" ht="15.75" thickBot="1">
      <c r="A507" s="1"/>
      <c r="B507" s="2"/>
      <c r="C507" s="8"/>
      <c r="D507" s="187" t="s">
        <v>46</v>
      </c>
      <c r="E507" s="188"/>
      <c r="F507" s="188"/>
      <c r="G507" s="188"/>
      <c r="H507" s="188"/>
      <c r="I507" s="188"/>
      <c r="J507" s="188"/>
      <c r="K507" s="188"/>
      <c r="L507" s="188"/>
      <c r="M507" s="188"/>
      <c r="N507" s="188"/>
      <c r="O507" s="189"/>
      <c r="P507" s="166">
        <f>ROUND(P505+P499,0)</f>
        <v>110998</v>
      </c>
      <c r="Q507" s="186"/>
      <c r="R507" s="4"/>
    </row>
    <row r="508" spans="1:18">
      <c r="A508" s="1"/>
      <c r="B508" s="2"/>
      <c r="C508" s="8"/>
      <c r="D508" s="80"/>
      <c r="E508" s="81"/>
      <c r="F508" s="81"/>
      <c r="G508" s="81"/>
      <c r="H508" s="81"/>
      <c r="I508" s="81"/>
      <c r="J508" s="81"/>
      <c r="K508" s="81"/>
      <c r="L508" s="81"/>
      <c r="M508" s="81"/>
      <c r="N508" s="81"/>
      <c r="O508" s="81"/>
      <c r="P508" s="82"/>
      <c r="Q508" s="13"/>
      <c r="R508" s="4"/>
    </row>
    <row r="509" spans="1:18">
      <c r="A509" s="1"/>
      <c r="B509" s="2"/>
      <c r="C509" s="8"/>
      <c r="D509" s="87"/>
      <c r="E509" s="20"/>
      <c r="F509" s="20"/>
      <c r="G509" s="20"/>
      <c r="H509" s="20"/>
      <c r="I509" s="20"/>
      <c r="J509" s="20"/>
      <c r="K509" s="20"/>
      <c r="L509" s="20"/>
      <c r="M509" s="20"/>
      <c r="N509" s="20"/>
      <c r="O509" s="20"/>
      <c r="P509" s="88"/>
      <c r="Q509" s="13"/>
      <c r="R509" s="4"/>
    </row>
    <row r="510" spans="1:18">
      <c r="A510" s="1"/>
      <c r="B510" s="2"/>
      <c r="C510" s="8"/>
      <c r="D510" s="87"/>
      <c r="E510" s="20"/>
      <c r="F510" s="20"/>
      <c r="G510" s="20"/>
      <c r="H510" s="20"/>
      <c r="I510" s="20"/>
      <c r="J510" s="20"/>
      <c r="K510" s="20"/>
      <c r="L510" s="20"/>
      <c r="M510" s="20"/>
      <c r="N510" s="20"/>
      <c r="O510" s="20"/>
      <c r="P510" s="88"/>
      <c r="Q510" s="13"/>
      <c r="R510" s="4"/>
    </row>
    <row r="511" spans="1:18">
      <c r="A511" s="1"/>
      <c r="B511" s="2"/>
      <c r="C511" s="8"/>
      <c r="D511" s="87"/>
      <c r="E511" s="20"/>
      <c r="F511" s="20"/>
      <c r="G511" s="20"/>
      <c r="H511" s="20"/>
      <c r="I511" s="20"/>
      <c r="J511" s="20"/>
      <c r="K511" s="20"/>
      <c r="L511" s="20"/>
      <c r="M511" s="20"/>
      <c r="N511" s="20"/>
      <c r="O511" s="20"/>
      <c r="P511" s="88"/>
      <c r="Q511" s="13"/>
      <c r="R511" s="4"/>
    </row>
    <row r="512" spans="1:18">
      <c r="A512" s="1"/>
      <c r="B512" s="2"/>
      <c r="C512" s="8"/>
      <c r="D512" s="219" t="str">
        <f>+[239]INICIO!$B$13</f>
        <v>Proyectó:</v>
      </c>
      <c r="E512" s="49"/>
      <c r="F512" s="49"/>
      <c r="G512" s="49"/>
      <c r="H512" s="49"/>
      <c r="I512" s="49"/>
      <c r="J512" s="49"/>
      <c r="K512" s="20"/>
      <c r="L512" s="69" t="str">
        <f>+[239]INICIO!$B$16</f>
        <v>Aprobó:</v>
      </c>
      <c r="M512" s="49"/>
      <c r="N512" s="49"/>
      <c r="O512" s="49"/>
      <c r="P512" s="88"/>
      <c r="Q512" s="13"/>
      <c r="R512" s="4"/>
    </row>
    <row r="513" spans="1:18">
      <c r="A513" s="1"/>
      <c r="B513" s="2"/>
      <c r="C513" s="8"/>
      <c r="D513" s="87"/>
      <c r="E513" s="20" t="str">
        <f>+Hoja2!C$13</f>
        <v>HELMER EDUARDO BECERRA SANTANDER</v>
      </c>
      <c r="F513" s="20"/>
      <c r="G513" s="20"/>
      <c r="H513" s="20"/>
      <c r="I513" s="20"/>
      <c r="J513" s="20"/>
      <c r="K513" s="20"/>
      <c r="L513" s="20"/>
      <c r="M513" s="20" t="str">
        <f>+Hoja2!$C$16</f>
        <v>JESÚS IVÁN QUIÑONES RUEDA</v>
      </c>
      <c r="N513" s="20"/>
      <c r="O513" s="20"/>
      <c r="P513" s="88"/>
      <c r="Q513" s="190"/>
      <c r="R513" s="4"/>
    </row>
    <row r="514" spans="1:18">
      <c r="A514" s="1"/>
      <c r="B514" s="2"/>
      <c r="C514" s="8"/>
      <c r="D514" s="87"/>
      <c r="E514" s="20" t="str">
        <f>+Hoja2!C$14</f>
        <v>APOYO SEC. DE PLANEACIÓN Y OBRAS PÚBLICAS</v>
      </c>
      <c r="F514" s="20"/>
      <c r="G514" s="20"/>
      <c r="H514" s="20"/>
      <c r="I514" s="20"/>
      <c r="J514" s="20"/>
      <c r="K514" s="20"/>
      <c r="L514" s="20"/>
      <c r="M514" s="20" t="str">
        <f>+Hoja2!$C$17</f>
        <v>SECRETARIO DE PLANEACIÓN Y OBRAS PUBLICAS</v>
      </c>
      <c r="N514" s="20"/>
      <c r="O514" s="20"/>
      <c r="P514" s="88"/>
      <c r="Q514" s="190"/>
      <c r="R514" s="4"/>
    </row>
    <row r="515" spans="1:18">
      <c r="A515" s="1"/>
      <c r="B515" s="2"/>
      <c r="C515" s="8"/>
      <c r="D515" s="68"/>
      <c r="E515" s="20" t="str">
        <f>+Hoja2!C$15</f>
        <v>123769-0701671 NTS</v>
      </c>
      <c r="F515" s="191"/>
      <c r="G515" s="191"/>
      <c r="H515" s="191"/>
      <c r="I515" s="20"/>
      <c r="J515" s="191"/>
      <c r="K515" s="191"/>
      <c r="L515" s="191"/>
      <c r="M515" s="192" t="str">
        <f>+Hoja2!C$18</f>
        <v>A21382020-1090480860</v>
      </c>
      <c r="N515" s="191"/>
      <c r="O515" s="191"/>
      <c r="P515" s="193"/>
      <c r="Q515" s="194"/>
      <c r="R515" s="4"/>
    </row>
    <row r="516" spans="1:18" ht="16.5" thickBot="1">
      <c r="A516" s="1"/>
      <c r="B516" s="2"/>
      <c r="C516" s="8"/>
      <c r="D516" s="195"/>
      <c r="E516" s="150"/>
      <c r="F516" s="150"/>
      <c r="G516" s="150"/>
      <c r="H516" s="150"/>
      <c r="I516" s="150"/>
      <c r="J516" s="150"/>
      <c r="K516" s="150"/>
      <c r="L516" s="150"/>
      <c r="M516" s="150"/>
      <c r="N516" s="150"/>
      <c r="O516" s="150"/>
      <c r="P516" s="196"/>
      <c r="Q516" s="197"/>
      <c r="R516" s="4"/>
    </row>
    <row r="517" spans="1:18" ht="15.75" thickBot="1">
      <c r="A517" s="1"/>
      <c r="B517" s="2"/>
      <c r="C517" s="198"/>
      <c r="D517" s="199"/>
      <c r="E517" s="199"/>
      <c r="F517" s="199"/>
      <c r="G517" s="199"/>
      <c r="H517" s="199"/>
      <c r="I517" s="199"/>
      <c r="J517" s="199"/>
      <c r="K517" s="199"/>
      <c r="L517" s="199"/>
      <c r="M517" s="199"/>
      <c r="N517" s="199"/>
      <c r="O517" s="199"/>
      <c r="P517" s="199"/>
      <c r="Q517" s="200"/>
      <c r="R517" s="4"/>
    </row>
    <row r="518" spans="1:18" ht="16.5" thickTop="1" thickBot="1">
      <c r="A518" s="1"/>
      <c r="B518" s="2"/>
      <c r="C518" s="3"/>
      <c r="D518" s="4"/>
      <c r="E518" s="4"/>
      <c r="F518" s="4"/>
      <c r="G518" s="4"/>
      <c r="H518" s="4"/>
      <c r="I518" s="4"/>
      <c r="J518" s="4"/>
      <c r="K518" s="4"/>
      <c r="L518" s="4"/>
      <c r="M518" s="4"/>
      <c r="N518" s="4"/>
      <c r="O518" s="4"/>
      <c r="P518" s="4"/>
      <c r="Q518" s="4"/>
      <c r="R518" s="4"/>
    </row>
    <row r="519" spans="1:18" ht="15.75" thickTop="1">
      <c r="A519" s="1"/>
      <c r="B519" s="2"/>
      <c r="C519" s="5"/>
      <c r="D519" s="6"/>
      <c r="E519" s="6"/>
      <c r="F519" s="6"/>
      <c r="G519" s="6"/>
      <c r="H519" s="6"/>
      <c r="I519" s="6"/>
      <c r="J519" s="6"/>
      <c r="K519" s="6"/>
      <c r="L519" s="6"/>
      <c r="M519" s="6"/>
      <c r="N519" s="6"/>
      <c r="O519" s="6"/>
      <c r="P519" s="6"/>
      <c r="Q519" s="7"/>
      <c r="R519" s="4"/>
    </row>
    <row r="520" spans="1:18" ht="24">
      <c r="A520" s="1"/>
      <c r="B520" s="2"/>
      <c r="C520" s="8"/>
      <c r="D520" s="9" t="str">
        <f>+[239]INICIO!$C$8</f>
        <v>Análisis de Precios Unitarios- Secretaria de Planeación y Obras Publicas de Cubará, Boyacá.</v>
      </c>
      <c r="E520" s="10"/>
      <c r="F520" s="10"/>
      <c r="G520" s="10"/>
      <c r="H520" s="11"/>
      <c r="I520" s="12"/>
      <c r="J520" s="12"/>
      <c r="K520" s="12"/>
      <c r="L520" s="12"/>
      <c r="M520" s="12"/>
      <c r="N520" s="12"/>
      <c r="O520" s="12"/>
      <c r="P520" s="12"/>
      <c r="Q520" s="13"/>
      <c r="R520" s="4"/>
    </row>
    <row r="521" spans="1:18">
      <c r="A521" s="1"/>
      <c r="B521" s="2"/>
      <c r="C521" s="8"/>
      <c r="D521" s="14" t="s">
        <v>0</v>
      </c>
      <c r="E521" s="15" t="str">
        <f>+[239]INICIO!$C$7</f>
        <v>CCE-EICP-FM-14</v>
      </c>
      <c r="F521" s="16"/>
      <c r="G521" s="17" t="str">
        <f>+[239]INICIO!$B$6</f>
        <v>VERSIÓN</v>
      </c>
      <c r="H521" s="14">
        <f>+[239]INICIO!$C$6</f>
        <v>1</v>
      </c>
      <c r="I521" s="12"/>
      <c r="J521" s="12"/>
      <c r="K521" s="12"/>
      <c r="L521" s="12"/>
      <c r="M521" s="12"/>
      <c r="N521" s="12"/>
      <c r="O521" s="12"/>
      <c r="P521" s="12"/>
      <c r="Q521" s="13"/>
      <c r="R521" s="4"/>
    </row>
    <row r="522" spans="1:18">
      <c r="A522" s="1"/>
      <c r="B522" s="2"/>
      <c r="C522" s="8"/>
      <c r="D522" s="18"/>
      <c r="E522" s="19"/>
      <c r="F522" s="18"/>
      <c r="G522" s="19"/>
      <c r="H522" s="12"/>
      <c r="I522" s="12"/>
      <c r="J522" s="12"/>
      <c r="K522" s="12"/>
      <c r="L522" s="12"/>
      <c r="M522" s="12"/>
      <c r="N522" s="12"/>
      <c r="O522" s="12"/>
      <c r="P522" s="12"/>
      <c r="Q522" s="13"/>
      <c r="R522" s="4"/>
    </row>
    <row r="523" spans="1:18" ht="15.75" thickBot="1">
      <c r="A523" s="1"/>
      <c r="B523" s="2"/>
      <c r="C523" s="8"/>
      <c r="D523" s="20"/>
      <c r="E523" s="20"/>
      <c r="F523" s="20"/>
      <c r="G523" s="20"/>
      <c r="H523" s="20"/>
      <c r="I523" s="20"/>
      <c r="J523" s="20"/>
      <c r="K523" s="20"/>
      <c r="L523" s="20"/>
      <c r="M523" s="20"/>
      <c r="N523" s="20"/>
      <c r="O523" s="20"/>
      <c r="P523" s="20"/>
      <c r="Q523" s="13"/>
      <c r="R523" s="4"/>
    </row>
    <row r="524" spans="1:18">
      <c r="A524" s="1"/>
      <c r="B524" s="2"/>
      <c r="C524" s="8"/>
      <c r="D524" s="21"/>
      <c r="E524" s="22"/>
      <c r="F524" s="23"/>
      <c r="G524" s="23"/>
      <c r="H524" s="23"/>
      <c r="I524" s="23"/>
      <c r="J524" s="23"/>
      <c r="K524" s="23"/>
      <c r="L524" s="24"/>
      <c r="M524" s="25"/>
      <c r="N524" s="26"/>
      <c r="O524" s="26"/>
      <c r="P524" s="27"/>
      <c r="Q524" s="28"/>
      <c r="R524" s="4"/>
    </row>
    <row r="525" spans="1:18">
      <c r="A525" s="1"/>
      <c r="B525" s="2"/>
      <c r="C525" s="8"/>
      <c r="D525" s="29"/>
      <c r="E525" s="30" t="s">
        <v>1</v>
      </c>
      <c r="F525" s="31"/>
      <c r="G525" s="31"/>
      <c r="H525" s="31"/>
      <c r="I525" s="31"/>
      <c r="J525" s="31"/>
      <c r="K525" s="31"/>
      <c r="L525" s="32"/>
      <c r="M525" s="33"/>
      <c r="N525" s="34"/>
      <c r="O525" s="34"/>
      <c r="P525" s="35"/>
      <c r="Q525" s="28"/>
      <c r="R525" s="4"/>
    </row>
    <row r="526" spans="1:18">
      <c r="A526" s="1"/>
      <c r="B526" s="2"/>
      <c r="C526" s="8"/>
      <c r="D526" s="29"/>
      <c r="E526" s="36"/>
      <c r="F526" s="37"/>
      <c r="G526" s="37"/>
      <c r="H526" s="37"/>
      <c r="I526" s="37"/>
      <c r="J526" s="37"/>
      <c r="K526" s="37"/>
      <c r="L526" s="38"/>
      <c r="M526" s="39"/>
      <c r="N526" s="40"/>
      <c r="O526" s="41"/>
      <c r="P526" s="42"/>
      <c r="Q526" s="28"/>
      <c r="R526" s="4"/>
    </row>
    <row r="527" spans="1:18">
      <c r="A527" s="1"/>
      <c r="B527" s="2"/>
      <c r="C527" s="8"/>
      <c r="D527" s="29"/>
      <c r="E527" s="36"/>
      <c r="F527" s="37"/>
      <c r="G527" s="37"/>
      <c r="H527" s="37"/>
      <c r="I527" s="37"/>
      <c r="J527" s="37"/>
      <c r="K527" s="37"/>
      <c r="L527" s="38"/>
      <c r="M527" s="43" t="s">
        <v>2</v>
      </c>
      <c r="N527" s="44"/>
      <c r="O527" s="45">
        <f>+[239]INICIO!$C$6</f>
        <v>1</v>
      </c>
      <c r="P527" s="46"/>
      <c r="Q527" s="28"/>
      <c r="R527" s="4"/>
    </row>
    <row r="528" spans="1:18">
      <c r="A528" s="1"/>
      <c r="B528" s="2"/>
      <c r="C528" s="8"/>
      <c r="D528" s="29"/>
      <c r="E528" s="36"/>
      <c r="F528" s="37"/>
      <c r="G528" s="37"/>
      <c r="H528" s="37"/>
      <c r="I528" s="37"/>
      <c r="J528" s="37"/>
      <c r="K528" s="37"/>
      <c r="L528" s="38"/>
      <c r="M528" s="47"/>
      <c r="N528" s="48"/>
      <c r="O528" s="49"/>
      <c r="P528" s="50"/>
      <c r="Q528" s="51"/>
      <c r="R528" s="4"/>
    </row>
    <row r="529" spans="1:18">
      <c r="A529" s="1"/>
      <c r="B529" s="2"/>
      <c r="C529" s="8"/>
      <c r="D529" s="29"/>
      <c r="E529" s="52"/>
      <c r="F529" s="53"/>
      <c r="G529" s="53"/>
      <c r="H529" s="53"/>
      <c r="I529" s="53"/>
      <c r="J529" s="53"/>
      <c r="K529" s="53"/>
      <c r="L529" s="54"/>
      <c r="M529" s="39"/>
      <c r="N529" s="55"/>
      <c r="O529" s="55"/>
      <c r="P529" s="56"/>
      <c r="Q529" s="28"/>
      <c r="R529" s="4"/>
    </row>
    <row r="530" spans="1:18">
      <c r="A530" s="1"/>
      <c r="B530" s="2"/>
      <c r="C530" s="8"/>
      <c r="D530" s="29"/>
      <c r="E530" s="52"/>
      <c r="F530" s="53"/>
      <c r="G530" s="53"/>
      <c r="H530" s="53"/>
      <c r="I530" s="53"/>
      <c r="J530" s="53"/>
      <c r="K530" s="53"/>
      <c r="L530" s="54"/>
      <c r="M530" s="43" t="s">
        <v>3</v>
      </c>
      <c r="N530" s="43" t="str">
        <f>+VLOOKUP(D541,'PRESUPUESTO OFICIAL '!C:Q,9,FALSE)</f>
        <v>43</v>
      </c>
      <c r="O530" s="43" t="s">
        <v>4</v>
      </c>
      <c r="P530" s="508" t="str">
        <f>+'PRESUPUESTO OFICIAL '!$M$122</f>
        <v>62</v>
      </c>
      <c r="Q530" s="28"/>
      <c r="R530" s="4"/>
    </row>
    <row r="531" spans="1:18">
      <c r="A531" s="1"/>
      <c r="B531" s="2"/>
      <c r="C531" s="8"/>
      <c r="D531" s="29"/>
      <c r="E531" s="30" t="s">
        <v>5</v>
      </c>
      <c r="F531" s="31"/>
      <c r="G531" s="31"/>
      <c r="H531" s="31"/>
      <c r="I531" s="31"/>
      <c r="J531" s="31"/>
      <c r="K531" s="31"/>
      <c r="L531" s="32"/>
      <c r="M531" s="43"/>
      <c r="N531" s="57"/>
      <c r="O531" s="57"/>
      <c r="P531" s="58"/>
      <c r="Q531" s="28"/>
      <c r="R531" s="4"/>
    </row>
    <row r="532" spans="1:18" ht="15.75" thickBot="1">
      <c r="A532" s="1"/>
      <c r="B532" s="2"/>
      <c r="C532" s="8"/>
      <c r="D532" s="59"/>
      <c r="E532" s="60"/>
      <c r="F532" s="60"/>
      <c r="G532" s="60"/>
      <c r="H532" s="60"/>
      <c r="I532" s="60"/>
      <c r="J532" s="60"/>
      <c r="K532" s="60"/>
      <c r="L532" s="60"/>
      <c r="M532" s="60"/>
      <c r="N532" s="61"/>
      <c r="O532" s="61"/>
      <c r="P532" s="62"/>
      <c r="Q532" s="63"/>
      <c r="R532" s="4"/>
    </row>
    <row r="533" spans="1:18">
      <c r="A533" s="1"/>
      <c r="B533" s="2"/>
      <c r="C533" s="8"/>
      <c r="D533" s="64"/>
      <c r="E533" s="65"/>
      <c r="F533" s="65"/>
      <c r="G533" s="65"/>
      <c r="H533" s="65"/>
      <c r="I533" s="65"/>
      <c r="J533" s="65"/>
      <c r="K533" s="65"/>
      <c r="L533" s="65"/>
      <c r="M533" s="66" t="s">
        <v>6</v>
      </c>
      <c r="N533" s="66" t="s">
        <v>7</v>
      </c>
      <c r="O533" s="66" t="s">
        <v>8</v>
      </c>
      <c r="P533" s="67" t="s">
        <v>9</v>
      </c>
      <c r="Q533" s="51"/>
      <c r="R533" s="4"/>
    </row>
    <row r="534" spans="1:18">
      <c r="A534" s="1"/>
      <c r="B534" s="2"/>
      <c r="C534" s="8"/>
      <c r="D534" s="68"/>
      <c r="E534" s="69"/>
      <c r="F534" s="69"/>
      <c r="G534" s="69"/>
      <c r="H534" s="69"/>
      <c r="I534" s="69"/>
      <c r="J534" s="69"/>
      <c r="K534" s="69"/>
      <c r="L534" s="69"/>
      <c r="M534" s="70"/>
      <c r="N534" s="71">
        <f>+Hoja2!B$5</f>
        <v>5</v>
      </c>
      <c r="O534" s="71">
        <f>+Hoja2!C$5</f>
        <v>8</v>
      </c>
      <c r="P534" s="72">
        <f>+Hoja2!D$5</f>
        <v>2026</v>
      </c>
      <c r="Q534" s="73"/>
      <c r="R534" s="4"/>
    </row>
    <row r="535" spans="1:18">
      <c r="A535" s="1"/>
      <c r="B535" s="2"/>
      <c r="C535" s="8"/>
      <c r="D535" s="74"/>
      <c r="E535" s="37"/>
      <c r="F535" s="37"/>
      <c r="G535" s="37"/>
      <c r="H535" s="69"/>
      <c r="I535" s="69"/>
      <c r="J535" s="69"/>
      <c r="K535" s="20"/>
      <c r="L535" s="69"/>
      <c r="M535" s="75"/>
      <c r="N535" s="20"/>
      <c r="O535" s="20"/>
      <c r="P535" s="76"/>
      <c r="Q535" s="73"/>
      <c r="R535" s="4"/>
    </row>
    <row r="536" spans="1:18" ht="15.75" thickBot="1">
      <c r="A536" s="1"/>
      <c r="B536" s="2"/>
      <c r="C536" s="8"/>
      <c r="D536" s="77"/>
      <c r="E536" s="78"/>
      <c r="F536" s="78"/>
      <c r="G536" s="78"/>
      <c r="H536" s="78"/>
      <c r="I536" s="78"/>
      <c r="J536" s="78"/>
      <c r="K536" s="78"/>
      <c r="L536" s="78"/>
      <c r="M536" s="78"/>
      <c r="N536" s="78"/>
      <c r="O536" s="78"/>
      <c r="P536" s="79"/>
      <c r="Q536" s="13"/>
      <c r="R536" s="4"/>
    </row>
    <row r="537" spans="1:18" ht="15.75" thickBot="1">
      <c r="A537" s="1"/>
      <c r="B537" s="2"/>
      <c r="C537" s="8"/>
      <c r="D537" s="80"/>
      <c r="E537" s="81"/>
      <c r="F537" s="81"/>
      <c r="G537" s="81"/>
      <c r="H537" s="81"/>
      <c r="I537" s="81"/>
      <c r="J537" s="20"/>
      <c r="K537" s="20"/>
      <c r="L537" s="81"/>
      <c r="M537" s="81"/>
      <c r="N537" s="81"/>
      <c r="O537" s="81"/>
      <c r="P537" s="82"/>
      <c r="Q537" s="13"/>
      <c r="R537" s="4"/>
    </row>
    <row r="538" spans="1:18">
      <c r="A538" s="1"/>
      <c r="B538" s="2"/>
      <c r="C538" s="8"/>
      <c r="D538" s="83" t="s">
        <v>10</v>
      </c>
      <c r="E538" s="84"/>
      <c r="F538" s="84"/>
      <c r="G538" s="84"/>
      <c r="H538" s="84"/>
      <c r="I538" s="84"/>
      <c r="J538" s="84"/>
      <c r="K538" s="84"/>
      <c r="L538" s="84"/>
      <c r="M538" s="84"/>
      <c r="N538" s="84"/>
      <c r="O538" s="84"/>
      <c r="P538" s="85"/>
      <c r="Q538" s="86"/>
      <c r="R538" s="4"/>
    </row>
    <row r="539" spans="1:18" ht="15.75" thickBot="1">
      <c r="A539" s="1"/>
      <c r="B539" s="2"/>
      <c r="C539" s="8"/>
      <c r="D539" s="87"/>
      <c r="E539" s="20"/>
      <c r="F539" s="20"/>
      <c r="G539" s="20"/>
      <c r="H539" s="20"/>
      <c r="I539" s="20"/>
      <c r="J539" s="20"/>
      <c r="K539" s="20"/>
      <c r="L539" s="20"/>
      <c r="M539" s="20"/>
      <c r="N539" s="20"/>
      <c r="O539" s="20"/>
      <c r="P539" s="88"/>
      <c r="Q539" s="13"/>
      <c r="R539" s="4"/>
    </row>
    <row r="540" spans="1:18">
      <c r="A540" s="1" t="s">
        <v>11</v>
      </c>
      <c r="B540" s="2" t="s">
        <v>12</v>
      </c>
      <c r="C540" s="8"/>
      <c r="D540" s="89" t="s">
        <v>13</v>
      </c>
      <c r="E540" s="90" t="s">
        <v>14</v>
      </c>
      <c r="F540" s="90"/>
      <c r="G540" s="90"/>
      <c r="H540" s="90"/>
      <c r="I540" s="90"/>
      <c r="J540" s="90"/>
      <c r="K540" s="90"/>
      <c r="L540" s="90"/>
      <c r="M540" s="90"/>
      <c r="N540" s="91" t="s">
        <v>15</v>
      </c>
      <c r="O540" s="91"/>
      <c r="P540" s="92" t="s">
        <v>16</v>
      </c>
      <c r="Q540" s="93"/>
      <c r="R540" s="4"/>
    </row>
    <row r="541" spans="1:18" ht="15.75" thickBot="1">
      <c r="A541" s="1"/>
      <c r="B541" s="2"/>
      <c r="C541" s="8"/>
      <c r="D541" s="349">
        <f>+'PRESUPUESTO OFICIAL '!C70</f>
        <v>6.02</v>
      </c>
      <c r="E541" s="94" t="str">
        <f>+VLOOKUP(D541,'PRESUPUESTO OFICIAL '!C:H,2,FALSE)</f>
        <v>PAÑETE LISO SOBRE MURO E=1,5 CM</v>
      </c>
      <c r="F541" s="94"/>
      <c r="G541" s="94"/>
      <c r="H541" s="94"/>
      <c r="I541" s="94"/>
      <c r="J541" s="94"/>
      <c r="K541" s="94"/>
      <c r="L541" s="94"/>
      <c r="M541" s="94"/>
      <c r="N541" s="94" t="str">
        <f>+VLOOKUP(D541,'PRESUPUESTO OFICIAL '!C:H,3,FALSE)</f>
        <v>M2</v>
      </c>
      <c r="O541" s="95"/>
      <c r="P541" s="96">
        <f>+VLOOKUP(D541,'PRESUPUESTO OFICIAL '!C:H,4,FALSE)</f>
        <v>1589.42</v>
      </c>
      <c r="Q541" s="97"/>
      <c r="R541" s="98">
        <f>+P593</f>
        <v>55661</v>
      </c>
    </row>
    <row r="542" spans="1:18" ht="15.75" thickBot="1">
      <c r="A542" s="1"/>
      <c r="B542" s="2"/>
      <c r="C542" s="8"/>
      <c r="D542" s="74" t="s">
        <v>17</v>
      </c>
      <c r="E542" s="37"/>
      <c r="F542" s="37"/>
      <c r="G542" s="37"/>
      <c r="H542" s="37"/>
      <c r="I542" s="37"/>
      <c r="J542" s="37"/>
      <c r="K542" s="37"/>
      <c r="L542" s="37"/>
      <c r="M542" s="37"/>
      <c r="N542" s="37"/>
      <c r="O542" s="37"/>
      <c r="P542" s="99"/>
      <c r="Q542" s="100"/>
      <c r="R542" s="4"/>
    </row>
    <row r="543" spans="1:18">
      <c r="A543" s="1"/>
      <c r="B543" s="2"/>
      <c r="C543" s="8"/>
      <c r="D543" s="101" t="s">
        <v>14</v>
      </c>
      <c r="E543" s="102"/>
      <c r="F543" s="102"/>
      <c r="G543" s="102"/>
      <c r="H543" s="103"/>
      <c r="I543" s="104" t="s">
        <v>18</v>
      </c>
      <c r="J543" s="102"/>
      <c r="K543" s="104" t="s">
        <v>19</v>
      </c>
      <c r="L543" s="105"/>
      <c r="M543" s="106" t="s">
        <v>20</v>
      </c>
      <c r="N543" s="104" t="s">
        <v>21</v>
      </c>
      <c r="O543" s="105"/>
      <c r="P543" s="107" t="s">
        <v>22</v>
      </c>
      <c r="Q543" s="108"/>
      <c r="R543" s="4"/>
    </row>
    <row r="544" spans="1:18">
      <c r="A544" s="1" t="e">
        <f>[239]INDICE!#REF!</f>
        <v>#REF!</v>
      </c>
      <c r="B544" s="2" t="s">
        <v>23</v>
      </c>
      <c r="C544" s="8"/>
      <c r="D544" s="109" t="str">
        <f>IFERROR(INDEX([239]EQUIPOS!B:B,MATCH(B544,[239]EQUIPOS!A:A,0)),"")</f>
        <v>HERRAMIENTA MENOR (% M.O)</v>
      </c>
      <c r="E544" s="110"/>
      <c r="F544" s="110"/>
      <c r="G544" s="110"/>
      <c r="H544" s="111"/>
      <c r="I544" s="112"/>
      <c r="J544" s="111"/>
      <c r="K544" s="113" t="str">
        <f>IFERROR(INDEX([239]EQUIPOS!C:C,MATCH(B544,[239]EQUIPOS!A:A,0)),"")</f>
        <v>%</v>
      </c>
      <c r="L544" s="114"/>
      <c r="M544" s="115">
        <f>IFERROR(IF(D544="HERRAMIENTA MENOR (% M.O)",P583,INDEX([239]EQUIPOS!D:D,MATCH(B544,[239]EQUIPOS!A:A,0))),"")</f>
        <v>28577.739999999998</v>
      </c>
      <c r="N544" s="116">
        <v>10</v>
      </c>
      <c r="O544" s="117"/>
      <c r="P544" s="118">
        <f t="shared" ref="P544:P549" si="18">IFERROR(ROUND(IF(D544="HERRAMIENTA MENOR (% M.O)",N544%*M544,M544/N544),2)," ")</f>
        <v>2857.77</v>
      </c>
      <c r="Q544" s="119"/>
      <c r="R544" s="4"/>
    </row>
    <row r="545" spans="1:18">
      <c r="A545" s="1">
        <f>+$A$2593</f>
        <v>0</v>
      </c>
      <c r="B545" s="2" t="s">
        <v>260</v>
      </c>
      <c r="C545" s="8"/>
      <c r="D545" s="109" t="str">
        <f>IFERROR(INDEX([239]EQUIPOS!B:B,MATCH(B545,[239]EQUIPOS!A:A,0)),"")</f>
        <v>SECCIÓN DE ANDAMIO (01)</v>
      </c>
      <c r="E545" s="110"/>
      <c r="F545" s="110"/>
      <c r="G545" s="110"/>
      <c r="H545" s="111"/>
      <c r="I545" s="112"/>
      <c r="J545" s="111"/>
      <c r="K545" s="113" t="str">
        <f>IFERROR(INDEX([239]EQUIPOS!C:C,MATCH(B545,[239]EQUIPOS!A:A,0)),"")</f>
        <v>DIA</v>
      </c>
      <c r="L545" s="114"/>
      <c r="M545" s="115">
        <f>IFERROR(IF(D545="HERRAMIENTA MENOR (% M.O)",P584,INDEX([239]EQUIPOS!D:D,MATCH(B545,[239]EQUIPOS!A:A,0))),"")</f>
        <v>3000</v>
      </c>
      <c r="N545" s="116">
        <v>12.5</v>
      </c>
      <c r="O545" s="117"/>
      <c r="P545" s="118">
        <f t="shared" si="18"/>
        <v>240</v>
      </c>
      <c r="Q545" s="119"/>
      <c r="R545" s="4"/>
    </row>
    <row r="546" spans="1:18">
      <c r="A546" s="1">
        <f t="shared" ref="A546:A584" si="19">+A545</f>
        <v>0</v>
      </c>
      <c r="B546" s="2"/>
      <c r="C546" s="8"/>
      <c r="D546" s="109" t="str">
        <f>IFERROR(INDEX([239]EQUIPOS!B:B,MATCH(B546,[239]EQUIPOS!A:A,0)),"")</f>
        <v/>
      </c>
      <c r="E546" s="110"/>
      <c r="F546" s="110"/>
      <c r="G546" s="110"/>
      <c r="H546" s="111"/>
      <c r="I546" s="120"/>
      <c r="J546" s="121"/>
      <c r="K546" s="113" t="str">
        <f>IFERROR(INDEX([239]EQUIPOS!C:C,MATCH(B546,[239]EQUIPOS!A:A,0)),"")</f>
        <v/>
      </c>
      <c r="L546" s="114"/>
      <c r="M546" s="115" t="str">
        <f>IFERROR(IF(D546="HERRAMIENTA MENOR (% M.O)",P585,INDEX([239]EQUIPOS!D:D,MATCH(B546,[239]EQUIPOS!A:A,0))),"")</f>
        <v/>
      </c>
      <c r="N546" s="116"/>
      <c r="O546" s="117"/>
      <c r="P546" s="118" t="str">
        <f t="shared" si="18"/>
        <v xml:space="preserve"> </v>
      </c>
      <c r="Q546" s="119"/>
      <c r="R546" s="4"/>
    </row>
    <row r="547" spans="1:18">
      <c r="A547" s="1">
        <f t="shared" si="19"/>
        <v>0</v>
      </c>
      <c r="B547" s="2"/>
      <c r="C547" s="8"/>
      <c r="D547" s="109" t="str">
        <f>IFERROR(INDEX([239]EQUIPOS!B:B,MATCH(B547,[239]EQUIPOS!A:A,0)),"")</f>
        <v/>
      </c>
      <c r="E547" s="110"/>
      <c r="F547" s="110"/>
      <c r="G547" s="110"/>
      <c r="H547" s="111"/>
      <c r="I547" s="120"/>
      <c r="J547" s="121"/>
      <c r="K547" s="113" t="str">
        <f>IFERROR(INDEX([239]EQUIPOS!C:C,MATCH(B547,[239]EQUIPOS!A:A,0)),"")</f>
        <v/>
      </c>
      <c r="L547" s="114"/>
      <c r="M547" s="115" t="str">
        <f>IFERROR(IF(D547="HERRAMIENTA MENOR (% M.O)",P586,INDEX([239]EQUIPOS!D:D,MATCH(B547,[239]EQUIPOS!A:A,0))),"")</f>
        <v/>
      </c>
      <c r="N547" s="116"/>
      <c r="O547" s="117"/>
      <c r="P547" s="118" t="str">
        <f t="shared" si="18"/>
        <v xml:space="preserve"> </v>
      </c>
      <c r="Q547" s="119"/>
      <c r="R547" s="4"/>
    </row>
    <row r="548" spans="1:18">
      <c r="A548" s="1">
        <f t="shared" si="19"/>
        <v>0</v>
      </c>
      <c r="B548" s="2"/>
      <c r="C548" s="8"/>
      <c r="D548" s="109" t="str">
        <f>IFERROR(INDEX([239]EQUIPOS!B:B,MATCH(B548,[239]EQUIPOS!A:A,0)),"")</f>
        <v/>
      </c>
      <c r="E548" s="110"/>
      <c r="F548" s="110"/>
      <c r="G548" s="110"/>
      <c r="H548" s="111"/>
      <c r="I548" s="112"/>
      <c r="J548" s="111"/>
      <c r="K548" s="113" t="str">
        <f>IFERROR(INDEX([239]EQUIPOS!C:C,MATCH(B548,[239]EQUIPOS!A:A,0)),"")</f>
        <v/>
      </c>
      <c r="L548" s="114"/>
      <c r="M548" s="115" t="str">
        <f>IFERROR(IF(D548="HERRAMIENTA MENOR (% M.O)",P587,INDEX([239]EQUIPOS!D:D,MATCH(B548,[239]EQUIPOS!A:A,0))),"")</f>
        <v/>
      </c>
      <c r="N548" s="116"/>
      <c r="O548" s="117"/>
      <c r="P548" s="118" t="str">
        <f t="shared" si="18"/>
        <v xml:space="preserve"> </v>
      </c>
      <c r="Q548" s="119"/>
      <c r="R548" s="4"/>
    </row>
    <row r="549" spans="1:18" ht="15.75" thickBot="1">
      <c r="A549" s="1">
        <f t="shared" si="19"/>
        <v>0</v>
      </c>
      <c r="B549" s="2"/>
      <c r="C549" s="8"/>
      <c r="D549" s="109" t="str">
        <f>IFERROR(INDEX([239]EQUIPOS!B:B,MATCH(B549,[239]EQUIPOS!A:A,0)),"")</f>
        <v/>
      </c>
      <c r="E549" s="78"/>
      <c r="F549" s="78"/>
      <c r="G549" s="78"/>
      <c r="H549" s="122"/>
      <c r="I549" s="123"/>
      <c r="J549" s="122"/>
      <c r="K549" s="113" t="str">
        <f>IFERROR(INDEX([239]EQUIPOS!C:C,MATCH(B549,[239]EQUIPOS!A:A,0)),"")</f>
        <v/>
      </c>
      <c r="L549" s="124"/>
      <c r="M549" s="115" t="str">
        <f>IFERROR(IF(D549="HERRAMIENTA MENOR (% M.O)",P588,INDEX([239]EQUIPOS!D:D,MATCH(B549,[239]EQUIPOS!A:A,0))),"")</f>
        <v/>
      </c>
      <c r="N549" s="125"/>
      <c r="O549" s="126"/>
      <c r="P549" s="127" t="str">
        <f t="shared" si="18"/>
        <v xml:space="preserve"> </v>
      </c>
      <c r="Q549" s="119"/>
      <c r="R549" s="4"/>
    </row>
    <row r="550" spans="1:18" ht="15.75" thickBot="1">
      <c r="A550" s="1">
        <f t="shared" si="19"/>
        <v>0</v>
      </c>
      <c r="B550" s="2"/>
      <c r="C550" s="8"/>
      <c r="D550" s="128" t="s">
        <v>24</v>
      </c>
      <c r="E550" s="129"/>
      <c r="F550" s="129"/>
      <c r="G550" s="129"/>
      <c r="H550" s="129"/>
      <c r="I550" s="129"/>
      <c r="J550" s="129"/>
      <c r="K550" s="129"/>
      <c r="L550" s="129"/>
      <c r="M550" s="129"/>
      <c r="N550" s="129"/>
      <c r="O550" s="130"/>
      <c r="P550" s="131">
        <f>SUM(P544:P549)</f>
        <v>3097.77</v>
      </c>
      <c r="Q550" s="132"/>
      <c r="R550" s="4"/>
    </row>
    <row r="551" spans="1:18" ht="15.75" thickBot="1">
      <c r="A551" s="1">
        <f t="shared" si="19"/>
        <v>0</v>
      </c>
      <c r="B551" s="2"/>
      <c r="C551" s="8"/>
      <c r="D551" s="74" t="s">
        <v>25</v>
      </c>
      <c r="E551" s="37"/>
      <c r="F551" s="37"/>
      <c r="G551" s="37"/>
      <c r="H551" s="37"/>
      <c r="I551" s="37"/>
      <c r="J551" s="37"/>
      <c r="K551" s="37"/>
      <c r="L551" s="37"/>
      <c r="M551" s="37"/>
      <c r="N551" s="37"/>
      <c r="O551" s="37"/>
      <c r="P551" s="99"/>
      <c r="Q551" s="100"/>
      <c r="R551" s="4"/>
    </row>
    <row r="552" spans="1:18">
      <c r="A552" s="1">
        <f t="shared" si="19"/>
        <v>0</v>
      </c>
      <c r="B552" s="2"/>
      <c r="C552" s="8"/>
      <c r="D552" s="101" t="s">
        <v>14</v>
      </c>
      <c r="E552" s="133"/>
      <c r="F552" s="133"/>
      <c r="G552" s="133"/>
      <c r="H552" s="133"/>
      <c r="I552" s="133"/>
      <c r="J552" s="133"/>
      <c r="K552" s="105"/>
      <c r="L552" s="134" t="s">
        <v>15</v>
      </c>
      <c r="M552" s="106" t="s">
        <v>16</v>
      </c>
      <c r="N552" s="104" t="s">
        <v>26</v>
      </c>
      <c r="O552" s="105"/>
      <c r="P552" s="107" t="s">
        <v>22</v>
      </c>
      <c r="Q552" s="108"/>
      <c r="R552" s="4"/>
    </row>
    <row r="553" spans="1:18">
      <c r="A553" s="1">
        <f t="shared" si="19"/>
        <v>0</v>
      </c>
      <c r="B553" s="2" t="s">
        <v>328</v>
      </c>
      <c r="C553" s="8"/>
      <c r="D553" s="109" t="str">
        <f>IFERROR(INDEX([239]MATERIALES!C:C,MATCH(B553,[239]MATERIALES!B:B,0)),"")</f>
        <v>MORTERO 1:4</v>
      </c>
      <c r="E553" s="135"/>
      <c r="F553" s="135"/>
      <c r="G553" s="135"/>
      <c r="H553" s="135"/>
      <c r="I553" s="135"/>
      <c r="J553" s="135"/>
      <c r="K553" s="136"/>
      <c r="L553" s="137" t="str">
        <f>IFERROR(INDEX([239]MATERIALES!D:D,MATCH(B553,[239]MATERIALES!B:B,0)),"")</f>
        <v>M3</v>
      </c>
      <c r="M553" s="352">
        <v>1.4999999999999999E-2</v>
      </c>
      <c r="N553" s="139">
        <f>IFERROR(INDEX([239]MATERIALES!P:P,MATCH(B553,[239]MATERIALES!B:B,0)),"")</f>
        <v>646005.14</v>
      </c>
      <c r="O553" s="140"/>
      <c r="P553" s="118">
        <f>IFERROR(ROUND(N553*M553,2),"")</f>
        <v>9690.08</v>
      </c>
      <c r="Q553" s="119"/>
      <c r="R553" s="4"/>
    </row>
    <row r="554" spans="1:18">
      <c r="A554" s="1">
        <f t="shared" si="19"/>
        <v>0</v>
      </c>
      <c r="B554" s="2"/>
      <c r="C554" s="8"/>
      <c r="D554" s="109" t="str">
        <f>IFERROR(INDEX([239]MATERIALES!C:C,MATCH(B554,[239]MATERIALES!B:B,0)),"")</f>
        <v/>
      </c>
      <c r="E554" s="135"/>
      <c r="F554" s="135"/>
      <c r="G554" s="135"/>
      <c r="H554" s="135"/>
      <c r="I554" s="135"/>
      <c r="J554" s="135"/>
      <c r="K554" s="136"/>
      <c r="L554" s="137" t="str">
        <f>IFERROR(INDEX([239]MATERIALES!D:D,MATCH(B554,[239]MATERIALES!B:B,0)),"")</f>
        <v/>
      </c>
      <c r="M554" s="138"/>
      <c r="N554" s="139" t="str">
        <f>IFERROR(INDEX([239]MATERIALES!P:P,MATCH(B554,[239]MATERIALES!B:B,0)),"")</f>
        <v/>
      </c>
      <c r="O554" s="140"/>
      <c r="P554" s="118" t="str">
        <f>IFERROR(ROUND(N554*M554,2),"")</f>
        <v/>
      </c>
      <c r="Q554" s="119"/>
      <c r="R554" s="4"/>
    </row>
    <row r="555" spans="1:18">
      <c r="A555" s="1">
        <f t="shared" si="19"/>
        <v>0</v>
      </c>
      <c r="B555" s="2"/>
      <c r="C555" s="8"/>
      <c r="D555" s="109" t="str">
        <f>IFERROR(INDEX([239]MATERIALES!C:C,MATCH(B555,[239]MATERIALES!B:B,0)),"")</f>
        <v/>
      </c>
      <c r="E555" s="110"/>
      <c r="F555" s="110"/>
      <c r="G555" s="110"/>
      <c r="H555" s="110"/>
      <c r="I555" s="110"/>
      <c r="J555" s="110"/>
      <c r="K555" s="111"/>
      <c r="L555" s="137" t="str">
        <f>IFERROR(INDEX([239]MATERIALES!D:D,MATCH(B555,[239]MATERIALES!B:B,0)),"")</f>
        <v/>
      </c>
      <c r="M555" s="138"/>
      <c r="N555" s="139" t="str">
        <f>IFERROR(INDEX([239]MATERIALES!P:P,MATCH(B555,[239]MATERIALES!B:B,0)),"")</f>
        <v/>
      </c>
      <c r="O555" s="140"/>
      <c r="P555" s="118" t="str">
        <f>IFERROR(ROUND(N555*M555,2),"")</f>
        <v/>
      </c>
      <c r="Q555" s="119"/>
      <c r="R555" s="4"/>
    </row>
    <row r="556" spans="1:18">
      <c r="A556" s="1">
        <f t="shared" si="19"/>
        <v>0</v>
      </c>
      <c r="B556" s="2"/>
      <c r="C556" s="8"/>
      <c r="D556" s="109" t="str">
        <f>IFERROR(INDEX([239]MATERIALES!C:C,MATCH(B556,[239]MATERIALES!B:B,0)),"")</f>
        <v/>
      </c>
      <c r="E556" s="110"/>
      <c r="F556" s="110"/>
      <c r="G556" s="110"/>
      <c r="H556" s="110"/>
      <c r="I556" s="110"/>
      <c r="J556" s="110"/>
      <c r="K556" s="111"/>
      <c r="L556" s="137" t="str">
        <f>IFERROR(INDEX([239]MATERIALES!D:D,MATCH(B556,[239]MATERIALES!B:B,0)),"")</f>
        <v/>
      </c>
      <c r="M556" s="138"/>
      <c r="N556" s="139" t="str">
        <f>IFERROR(INDEX([239]MATERIALES!P:P,MATCH(B556,[239]MATERIALES!B:B,0)),"")</f>
        <v/>
      </c>
      <c r="O556" s="140"/>
      <c r="P556" s="118" t="str">
        <f>IFERROR(ROUND(N556*M556,2),"")</f>
        <v/>
      </c>
      <c r="Q556" s="119"/>
      <c r="R556" s="4"/>
    </row>
    <row r="557" spans="1:18">
      <c r="A557" s="1">
        <f t="shared" si="19"/>
        <v>0</v>
      </c>
      <c r="B557" s="2"/>
      <c r="C557" s="8"/>
      <c r="D557" s="109" t="str">
        <f>IFERROR(INDEX([239]MATERIALES!C:C,MATCH(B557,[239]MATERIALES!B:B,0)),"")</f>
        <v/>
      </c>
      <c r="E557" s="110"/>
      <c r="F557" s="110"/>
      <c r="G557" s="110"/>
      <c r="H557" s="110"/>
      <c r="I557" s="110"/>
      <c r="J557" s="110"/>
      <c r="K557" s="111"/>
      <c r="L557" s="137" t="str">
        <f>IFERROR(INDEX([239]MATERIALES!D:D,MATCH(B557,[239]MATERIALES!B:B,0)),"")</f>
        <v/>
      </c>
      <c r="M557" s="138"/>
      <c r="N557" s="139" t="str">
        <f>IFERROR(INDEX([239]MATERIALES!P:P,MATCH(B557,[239]MATERIALES!B:B,0)),"")</f>
        <v/>
      </c>
      <c r="O557" s="140"/>
      <c r="P557" s="118" t="str">
        <f t="shared" ref="P557:P566" si="20">IFERROR(ROUND(N557*M557,2),"")</f>
        <v/>
      </c>
      <c r="Q557" s="119"/>
      <c r="R557" s="4"/>
    </row>
    <row r="558" spans="1:18">
      <c r="A558" s="1">
        <f t="shared" si="19"/>
        <v>0</v>
      </c>
      <c r="B558" s="2"/>
      <c r="C558" s="8"/>
      <c r="D558" s="109" t="str">
        <f>IFERROR(INDEX([239]MATERIALES!C:C,MATCH(B558,[239]MATERIALES!B:B,0)),"")</f>
        <v/>
      </c>
      <c r="E558" s="110"/>
      <c r="F558" s="110"/>
      <c r="G558" s="110"/>
      <c r="H558" s="110"/>
      <c r="I558" s="110"/>
      <c r="J558" s="110"/>
      <c r="K558" s="111"/>
      <c r="L558" s="137" t="str">
        <f>IFERROR(INDEX([239]MATERIALES!D:D,MATCH(B558,[239]MATERIALES!B:B,0)),"")</f>
        <v/>
      </c>
      <c r="M558" s="138"/>
      <c r="N558" s="139" t="str">
        <f>IFERROR(INDEX([239]MATERIALES!P:P,MATCH(B558,[239]MATERIALES!B:B,0)),"")</f>
        <v/>
      </c>
      <c r="O558" s="140"/>
      <c r="P558" s="118" t="str">
        <f t="shared" si="20"/>
        <v/>
      </c>
      <c r="Q558" s="119"/>
      <c r="R558" s="4"/>
    </row>
    <row r="559" spans="1:18">
      <c r="A559" s="1">
        <f t="shared" si="19"/>
        <v>0</v>
      </c>
      <c r="B559" s="2"/>
      <c r="C559" s="8"/>
      <c r="D559" s="109" t="str">
        <f>IFERROR(INDEX([239]MATERIALES!C:C,MATCH(B559,[239]MATERIALES!B:B,0)),"")</f>
        <v/>
      </c>
      <c r="E559" s="110"/>
      <c r="F559" s="110"/>
      <c r="G559" s="110"/>
      <c r="H559" s="110"/>
      <c r="I559" s="110"/>
      <c r="J559" s="110"/>
      <c r="K559" s="111"/>
      <c r="L559" s="137" t="str">
        <f>IFERROR(INDEX([239]MATERIALES!D:D,MATCH(B559,[239]MATERIALES!B:B,0)),"")</f>
        <v/>
      </c>
      <c r="M559" s="138"/>
      <c r="N559" s="139" t="str">
        <f>IFERROR(INDEX([239]MATERIALES!P:P,MATCH(B559,[239]MATERIALES!B:B,0)),"")</f>
        <v/>
      </c>
      <c r="O559" s="140"/>
      <c r="P559" s="118" t="str">
        <f t="shared" si="20"/>
        <v/>
      </c>
      <c r="Q559" s="119"/>
      <c r="R559" s="4"/>
    </row>
    <row r="560" spans="1:18">
      <c r="A560" s="1">
        <f t="shared" si="19"/>
        <v>0</v>
      </c>
      <c r="B560" s="2"/>
      <c r="C560" s="8"/>
      <c r="D560" s="109" t="str">
        <f>IFERROR(INDEX([239]MATERIALES!C:C,MATCH(B560,[239]MATERIALES!B:B,0)),"")</f>
        <v/>
      </c>
      <c r="E560" s="110"/>
      <c r="F560" s="110"/>
      <c r="G560" s="110"/>
      <c r="H560" s="110"/>
      <c r="I560" s="110"/>
      <c r="J560" s="110"/>
      <c r="K560" s="111"/>
      <c r="L560" s="137" t="str">
        <f>IFERROR(INDEX([239]MATERIALES!D:D,MATCH(B560,[239]MATERIALES!B:B,0)),"")</f>
        <v/>
      </c>
      <c r="M560" s="138"/>
      <c r="N560" s="139" t="str">
        <f>IFERROR(INDEX([239]MATERIALES!P:P,MATCH(B560,[239]MATERIALES!B:B,0)),"")</f>
        <v/>
      </c>
      <c r="O560" s="140"/>
      <c r="P560" s="118" t="str">
        <f t="shared" si="20"/>
        <v/>
      </c>
      <c r="Q560" s="119"/>
      <c r="R560" s="4"/>
    </row>
    <row r="561" spans="1:18">
      <c r="A561" s="1">
        <f t="shared" si="19"/>
        <v>0</v>
      </c>
      <c r="B561" s="2"/>
      <c r="C561" s="8"/>
      <c r="D561" s="109" t="str">
        <f>IFERROR(INDEX([239]MATERIALES!C:C,MATCH(B561,[239]MATERIALES!B:B,0)),"")</f>
        <v/>
      </c>
      <c r="E561" s="110"/>
      <c r="F561" s="110"/>
      <c r="G561" s="110"/>
      <c r="H561" s="110"/>
      <c r="I561" s="110"/>
      <c r="J561" s="110"/>
      <c r="K561" s="111"/>
      <c r="L561" s="137" t="str">
        <f>IFERROR(INDEX([239]MATERIALES!D:D,MATCH(B561,[239]MATERIALES!B:B,0)),"")</f>
        <v/>
      </c>
      <c r="M561" s="138"/>
      <c r="N561" s="139" t="str">
        <f>IFERROR(INDEX([239]MATERIALES!P:P,MATCH(B561,[239]MATERIALES!B:B,0)),"")</f>
        <v/>
      </c>
      <c r="O561" s="140"/>
      <c r="P561" s="118" t="str">
        <f t="shared" si="20"/>
        <v/>
      </c>
      <c r="Q561" s="119"/>
      <c r="R561" s="4"/>
    </row>
    <row r="562" spans="1:18">
      <c r="A562" s="1">
        <f t="shared" si="19"/>
        <v>0</v>
      </c>
      <c r="B562" s="2"/>
      <c r="C562" s="8"/>
      <c r="D562" s="109" t="str">
        <f>IFERROR(INDEX([239]MATERIALES!C:C,MATCH(B562,[239]MATERIALES!B:B,0)),"")</f>
        <v/>
      </c>
      <c r="E562" s="110"/>
      <c r="F562" s="110"/>
      <c r="G562" s="110"/>
      <c r="H562" s="110"/>
      <c r="I562" s="110"/>
      <c r="J562" s="110"/>
      <c r="K562" s="111"/>
      <c r="L562" s="137" t="str">
        <f>IFERROR(INDEX([239]MATERIALES!D:D,MATCH(B562,[239]MATERIALES!B:B,0)),"")</f>
        <v/>
      </c>
      <c r="M562" s="138"/>
      <c r="N562" s="139" t="str">
        <f>IFERROR(INDEX([239]MATERIALES!P:P,MATCH(B562,[239]MATERIALES!B:B,0)),"")</f>
        <v/>
      </c>
      <c r="O562" s="140"/>
      <c r="P562" s="118" t="str">
        <f t="shared" si="20"/>
        <v/>
      </c>
      <c r="Q562" s="119"/>
      <c r="R562" s="4"/>
    </row>
    <row r="563" spans="1:18">
      <c r="A563" s="1">
        <f t="shared" si="19"/>
        <v>0</v>
      </c>
      <c r="B563" s="2"/>
      <c r="C563" s="8"/>
      <c r="D563" s="109" t="str">
        <f>IFERROR(INDEX([239]MATERIALES!C:C,MATCH(B563,[239]MATERIALES!B:B,0)),"")</f>
        <v/>
      </c>
      <c r="E563" s="110"/>
      <c r="F563" s="110"/>
      <c r="G563" s="110"/>
      <c r="H563" s="110"/>
      <c r="I563" s="110"/>
      <c r="J563" s="110"/>
      <c r="K563" s="111"/>
      <c r="L563" s="137" t="str">
        <f>IFERROR(INDEX([239]MATERIALES!D:D,MATCH(B563,[239]MATERIALES!B:B,0)),"")</f>
        <v/>
      </c>
      <c r="M563" s="138"/>
      <c r="N563" s="139" t="str">
        <f>IFERROR(INDEX([239]MATERIALES!P:P,MATCH(B563,[239]MATERIALES!B:B,0)),"")</f>
        <v/>
      </c>
      <c r="O563" s="140"/>
      <c r="P563" s="118" t="str">
        <f t="shared" si="20"/>
        <v/>
      </c>
      <c r="Q563" s="119"/>
      <c r="R563" s="4"/>
    </row>
    <row r="564" spans="1:18">
      <c r="A564" s="1">
        <f t="shared" si="19"/>
        <v>0</v>
      </c>
      <c r="B564" s="2"/>
      <c r="C564" s="8"/>
      <c r="D564" s="109" t="str">
        <f>IFERROR(INDEX([239]MATERIALES!C:C,MATCH(B564,[239]MATERIALES!B:B,0)),"")</f>
        <v/>
      </c>
      <c r="E564" s="110"/>
      <c r="F564" s="110"/>
      <c r="G564" s="110"/>
      <c r="H564" s="110"/>
      <c r="I564" s="110"/>
      <c r="J564" s="110"/>
      <c r="K564" s="111"/>
      <c r="L564" s="137" t="str">
        <f>IFERROR(INDEX([239]MATERIALES!D:D,MATCH(B564,[239]MATERIALES!B:B,0)),"")</f>
        <v/>
      </c>
      <c r="M564" s="138"/>
      <c r="N564" s="139" t="str">
        <f>IFERROR(INDEX([239]MATERIALES!P:P,MATCH(B564,[239]MATERIALES!B:B,0)),"")</f>
        <v/>
      </c>
      <c r="O564" s="140"/>
      <c r="P564" s="118" t="str">
        <f t="shared" si="20"/>
        <v/>
      </c>
      <c r="Q564" s="119"/>
      <c r="R564" s="4"/>
    </row>
    <row r="565" spans="1:18">
      <c r="A565" s="1">
        <f t="shared" si="19"/>
        <v>0</v>
      </c>
      <c r="B565" s="2"/>
      <c r="C565" s="8"/>
      <c r="D565" s="109" t="str">
        <f>IFERROR(INDEX([239]MATERIALES!C:C,MATCH(B565,[239]MATERIALES!B:B,0)),"")</f>
        <v/>
      </c>
      <c r="E565" s="110"/>
      <c r="F565" s="110"/>
      <c r="G565" s="110"/>
      <c r="H565" s="110"/>
      <c r="I565" s="110"/>
      <c r="J565" s="110"/>
      <c r="K565" s="111"/>
      <c r="L565" s="137" t="str">
        <f>IFERROR(INDEX([239]MATERIALES!D:D,MATCH(B565,[239]MATERIALES!B:B,0)),"")</f>
        <v/>
      </c>
      <c r="M565" s="138"/>
      <c r="N565" s="139" t="str">
        <f>IFERROR(INDEX([239]MATERIALES!P:P,MATCH(B565,[239]MATERIALES!B:B,0)),"")</f>
        <v/>
      </c>
      <c r="O565" s="140"/>
      <c r="P565" s="118" t="str">
        <f t="shared" si="20"/>
        <v/>
      </c>
      <c r="Q565" s="119"/>
      <c r="R565" s="4"/>
    </row>
    <row r="566" spans="1:18">
      <c r="A566" s="1">
        <f t="shared" si="19"/>
        <v>0</v>
      </c>
      <c r="B566" s="2"/>
      <c r="C566" s="8"/>
      <c r="D566" s="109" t="str">
        <f>IFERROR(INDEX([239]MATERIALES!C:C,MATCH(B566,[239]MATERIALES!B:B,0)),"")</f>
        <v/>
      </c>
      <c r="E566" s="110"/>
      <c r="F566" s="110"/>
      <c r="G566" s="110"/>
      <c r="H566" s="110"/>
      <c r="I566" s="110"/>
      <c r="J566" s="110"/>
      <c r="K566" s="111"/>
      <c r="L566" s="137" t="str">
        <f>IFERROR(INDEX([239]MATERIALES!D:D,MATCH(B566,[239]MATERIALES!B:B,0)),"")</f>
        <v/>
      </c>
      <c r="M566" s="138"/>
      <c r="N566" s="139" t="str">
        <f>IFERROR(INDEX([239]MATERIALES!P:P,MATCH(B566,[239]MATERIALES!B:B,0)),"")</f>
        <v/>
      </c>
      <c r="O566" s="140"/>
      <c r="P566" s="118" t="str">
        <f t="shared" si="20"/>
        <v/>
      </c>
      <c r="Q566" s="119"/>
      <c r="R566" s="4"/>
    </row>
    <row r="567" spans="1:18" ht="15.75" thickBot="1">
      <c r="A567" s="1">
        <f t="shared" si="19"/>
        <v>0</v>
      </c>
      <c r="B567" s="2"/>
      <c r="C567" s="8"/>
      <c r="D567" s="109" t="s">
        <v>28</v>
      </c>
      <c r="E567" s="110"/>
      <c r="F567" s="110"/>
      <c r="G567" s="110"/>
      <c r="H567" s="110"/>
      <c r="I567" s="110"/>
      <c r="J567" s="110"/>
      <c r="K567" s="111"/>
      <c r="L567" s="137" t="s">
        <v>29</v>
      </c>
      <c r="M567" s="138">
        <v>0.05</v>
      </c>
      <c r="N567" s="139">
        <f>SUM(P553:P566)</f>
        <v>9690.08</v>
      </c>
      <c r="O567" s="140"/>
      <c r="P567" s="118">
        <f>ROUND(N567*M567,2)</f>
        <v>484.5</v>
      </c>
      <c r="Q567" s="119"/>
      <c r="R567" s="4"/>
    </row>
    <row r="568" spans="1:18" ht="15.75" thickBot="1">
      <c r="A568" s="1">
        <f t="shared" si="19"/>
        <v>0</v>
      </c>
      <c r="B568" s="2"/>
      <c r="C568" s="8"/>
      <c r="D568" s="128" t="s">
        <v>24</v>
      </c>
      <c r="E568" s="129"/>
      <c r="F568" s="129"/>
      <c r="G568" s="129"/>
      <c r="H568" s="129"/>
      <c r="I568" s="129"/>
      <c r="J568" s="129"/>
      <c r="K568" s="129"/>
      <c r="L568" s="129"/>
      <c r="M568" s="129"/>
      <c r="N568" s="129"/>
      <c r="O568" s="130"/>
      <c r="P568" s="131">
        <f>SUM(P553:P567)</f>
        <v>10174.58</v>
      </c>
      <c r="Q568" s="119"/>
      <c r="R568" s="4"/>
    </row>
    <row r="569" spans="1:18" ht="15.75" thickBot="1">
      <c r="A569" s="1">
        <f t="shared" si="19"/>
        <v>0</v>
      </c>
      <c r="B569" s="2"/>
      <c r="C569" s="8"/>
      <c r="D569" s="74" t="s">
        <v>30</v>
      </c>
      <c r="E569" s="37"/>
      <c r="F569" s="37"/>
      <c r="G569" s="37"/>
      <c r="H569" s="37"/>
      <c r="I569" s="37"/>
      <c r="J569" s="37"/>
      <c r="K569" s="37"/>
      <c r="L569" s="37"/>
      <c r="M569" s="37"/>
      <c r="N569" s="37"/>
      <c r="O569" s="37"/>
      <c r="P569" s="99"/>
      <c r="Q569" s="100"/>
      <c r="R569" s="4"/>
    </row>
    <row r="570" spans="1:18">
      <c r="A570" s="1">
        <f t="shared" si="19"/>
        <v>0</v>
      </c>
      <c r="B570" s="2"/>
      <c r="C570" s="8"/>
      <c r="D570" s="101" t="s">
        <v>31</v>
      </c>
      <c r="E570" s="133"/>
      <c r="F570" s="133"/>
      <c r="G570" s="133"/>
      <c r="H570" s="133"/>
      <c r="I570" s="133"/>
      <c r="J570" s="133"/>
      <c r="K570" s="106" t="s">
        <v>32</v>
      </c>
      <c r="L570" s="141" t="s">
        <v>33</v>
      </c>
      <c r="M570" s="106" t="s">
        <v>34</v>
      </c>
      <c r="N570" s="104" t="s">
        <v>20</v>
      </c>
      <c r="O570" s="105"/>
      <c r="P570" s="107" t="s">
        <v>22</v>
      </c>
      <c r="Q570" s="108"/>
      <c r="R570" s="4"/>
    </row>
    <row r="571" spans="1:18">
      <c r="A571" s="1">
        <f t="shared" si="19"/>
        <v>0</v>
      </c>
      <c r="B571" s="2"/>
      <c r="C571" s="8"/>
      <c r="D571" s="142" t="str">
        <f>IFERROR(INDEX([239]TRANSPORTES!B:B,MATCH(B571,[239]TRANSPORTES!A:A,0)),"")</f>
        <v/>
      </c>
      <c r="E571" s="143"/>
      <c r="F571" s="143"/>
      <c r="G571" s="143"/>
      <c r="H571" s="143"/>
      <c r="I571" s="143"/>
      <c r="J571" s="143"/>
      <c r="K571" s="220"/>
      <c r="L571" s="145"/>
      <c r="M571" s="146" t="str">
        <f>IFERROR(INDEX([239]TRANSPORTES!C:C,MATCH(B571,[239]TRANSPORTES!A:A,0)),"")</f>
        <v/>
      </c>
      <c r="N571" s="139" t="str">
        <f>IFERROR(INDEX([239]TRANSPORTES!D:D,MATCH(B571,[239]TRANSPORTES!A:A,0)),"")</f>
        <v/>
      </c>
      <c r="O571" s="147"/>
      <c r="P571" s="148" t="str">
        <f>IFERROR(ROUND(K571*N571*L571,2),"")</f>
        <v/>
      </c>
      <c r="Q571" s="119"/>
      <c r="R571" s="4"/>
    </row>
    <row r="572" spans="1:18">
      <c r="A572" s="1">
        <f t="shared" si="19"/>
        <v>0</v>
      </c>
      <c r="B572" s="2"/>
      <c r="C572" s="8"/>
      <c r="D572" s="142" t="str">
        <f>IFERROR(INDEX([239]TRANSPORTES!B:B,MATCH(B572,[239]TRANSPORTES!A:A,0)),"")</f>
        <v/>
      </c>
      <c r="E572" s="143"/>
      <c r="F572" s="143"/>
      <c r="G572" s="143"/>
      <c r="H572" s="143"/>
      <c r="I572" s="143"/>
      <c r="J572" s="143"/>
      <c r="K572" s="144"/>
      <c r="L572" s="145"/>
      <c r="M572" s="146" t="str">
        <f>IFERROR(INDEX([239]TRANSPORTES!C:C,MATCH(B572,[239]TRANSPORTES!A:A,0)),"")</f>
        <v/>
      </c>
      <c r="N572" s="139" t="str">
        <f>IFERROR(INDEX([239]TRANSPORTES!D:D,MATCH(B572,[239]TRANSPORTES!A:A,0)),"")</f>
        <v/>
      </c>
      <c r="O572" s="147"/>
      <c r="P572" s="148" t="str">
        <f>IFERROR(ROUND(K572*N572*L572,2),"")</f>
        <v/>
      </c>
      <c r="Q572" s="119"/>
      <c r="R572" s="4"/>
    </row>
    <row r="573" spans="1:18">
      <c r="A573" s="1">
        <f t="shared" si="19"/>
        <v>0</v>
      </c>
      <c r="B573" s="2"/>
      <c r="C573" s="8"/>
      <c r="D573" s="142" t="str">
        <f>IFERROR(INDEX([239]TRANSPORTES!B:B,MATCH(B573,[239]TRANSPORTES!A:A,0)),"")</f>
        <v/>
      </c>
      <c r="E573" s="143"/>
      <c r="F573" s="143"/>
      <c r="G573" s="143"/>
      <c r="H573" s="143"/>
      <c r="I573" s="143"/>
      <c r="J573" s="143"/>
      <c r="K573" s="144"/>
      <c r="L573" s="145"/>
      <c r="M573" s="146" t="str">
        <f>IFERROR(INDEX([239]TRANSPORTES!C:C,MATCH(B573,[239]TRANSPORTES!A:A,0)),"")</f>
        <v/>
      </c>
      <c r="N573" s="139" t="str">
        <f>IFERROR(INDEX([239]TRANSPORTES!D:D,MATCH(B573,[239]TRANSPORTES!A:A,0)),"")</f>
        <v/>
      </c>
      <c r="O573" s="147"/>
      <c r="P573" s="148" t="str">
        <f>IFERROR(ROUND(K573*N573*L573,2),"")</f>
        <v/>
      </c>
      <c r="Q573" s="119"/>
      <c r="R573" s="4"/>
    </row>
    <row r="574" spans="1:18" ht="15.75" thickBot="1">
      <c r="A574" s="1">
        <f t="shared" si="19"/>
        <v>0</v>
      </c>
      <c r="B574" s="2"/>
      <c r="C574" s="8"/>
      <c r="D574" s="142" t="str">
        <f>IFERROR(INDEX([239]TRANSPORTES!B:B,MATCH(B574,[239]TRANSPORTES!A:A,0)),"")</f>
        <v/>
      </c>
      <c r="E574" s="143"/>
      <c r="F574" s="143"/>
      <c r="G574" s="143"/>
      <c r="H574" s="143"/>
      <c r="I574" s="143"/>
      <c r="J574" s="143"/>
      <c r="K574" s="149"/>
      <c r="L574" s="150"/>
      <c r="M574" s="146" t="str">
        <f>IFERROR(INDEX([239]TRANSPORTES!C:C,MATCH(B574,[239]TRANSPORTES!A:A,0)),"")</f>
        <v/>
      </c>
      <c r="N574" s="139" t="str">
        <f>IFERROR(INDEX([239]TRANSPORTES!D:D,MATCH(B574,[239]TRANSPORTES!A:A,0)),"")</f>
        <v/>
      </c>
      <c r="O574" s="147"/>
      <c r="P574" s="148" t="str">
        <f>IFERROR(ROUND(K574*N574*L574,2),"")</f>
        <v/>
      </c>
      <c r="Q574" s="119"/>
      <c r="R574" s="4"/>
    </row>
    <row r="575" spans="1:18" ht="15.75" thickBot="1">
      <c r="A575" s="1">
        <f t="shared" si="19"/>
        <v>0</v>
      </c>
      <c r="B575" s="2"/>
      <c r="C575" s="8"/>
      <c r="D575" s="128" t="s">
        <v>24</v>
      </c>
      <c r="E575" s="129"/>
      <c r="F575" s="129"/>
      <c r="G575" s="129"/>
      <c r="H575" s="129"/>
      <c r="I575" s="129"/>
      <c r="J575" s="129"/>
      <c r="K575" s="129"/>
      <c r="L575" s="129"/>
      <c r="M575" s="129"/>
      <c r="N575" s="129"/>
      <c r="O575" s="130"/>
      <c r="P575" s="151">
        <f>SUM(P571:P574)</f>
        <v>0</v>
      </c>
      <c r="Q575" s="132"/>
      <c r="R575" s="4"/>
    </row>
    <row r="576" spans="1:18" ht="15.75" thickBot="1">
      <c r="A576" s="1">
        <f t="shared" si="19"/>
        <v>0</v>
      </c>
      <c r="B576" s="2"/>
      <c r="C576" s="8"/>
      <c r="D576" s="74" t="s">
        <v>36</v>
      </c>
      <c r="E576" s="37"/>
      <c r="F576" s="37"/>
      <c r="G576" s="37"/>
      <c r="H576" s="37"/>
      <c r="I576" s="37"/>
      <c r="J576" s="37"/>
      <c r="K576" s="37"/>
      <c r="L576" s="37"/>
      <c r="M576" s="37"/>
      <c r="N576" s="37"/>
      <c r="O576" s="37"/>
      <c r="P576" s="99"/>
      <c r="Q576" s="100"/>
      <c r="R576" s="4"/>
    </row>
    <row r="577" spans="1:18" ht="30">
      <c r="A577" s="1">
        <f t="shared" si="19"/>
        <v>0</v>
      </c>
      <c r="B577" s="2"/>
      <c r="C577" s="8"/>
      <c r="D577" s="101" t="s">
        <v>37</v>
      </c>
      <c r="E577" s="133"/>
      <c r="F577" s="133"/>
      <c r="G577" s="133"/>
      <c r="H577" s="133"/>
      <c r="I577" s="133"/>
      <c r="J577" s="133"/>
      <c r="K577" s="106" t="s">
        <v>38</v>
      </c>
      <c r="L577" s="152" t="s">
        <v>39</v>
      </c>
      <c r="M577" s="153" t="s">
        <v>40</v>
      </c>
      <c r="N577" s="104" t="s">
        <v>21</v>
      </c>
      <c r="O577" s="105"/>
      <c r="P577" s="154" t="s">
        <v>22</v>
      </c>
      <c r="Q577" s="155"/>
      <c r="R577" s="4"/>
    </row>
    <row r="578" spans="1:18">
      <c r="A578" s="1">
        <f t="shared" si="19"/>
        <v>0</v>
      </c>
      <c r="B578" s="2" t="s">
        <v>41</v>
      </c>
      <c r="C578" s="8"/>
      <c r="D578" s="109" t="str">
        <f>IFERROR(INDEX('[239]MANO DE OBRA'!B:B,MATCH(B578,'[239]MANO DE OBRA'!A:A,0)),"")</f>
        <v>OFICIAL</v>
      </c>
      <c r="E578" s="110"/>
      <c r="F578" s="110"/>
      <c r="G578" s="110"/>
      <c r="H578" s="110"/>
      <c r="I578" s="110"/>
      <c r="J578" s="111"/>
      <c r="K578" s="156">
        <f>IFERROR(INDEX('[239]MANO DE OBRA'!D:D,MATCH(B578,'[239]MANO DE OBRA'!A:A,0)),"")</f>
        <v>95930</v>
      </c>
      <c r="L578" s="157">
        <f>+IF(D578&lt;&gt;"",'[239]FACTOR PRESTACIONAL'!$E$21," ")</f>
        <v>1.95</v>
      </c>
      <c r="M578" s="158">
        <f>IFERROR(K578*L578," ")</f>
        <v>187063.5</v>
      </c>
      <c r="N578" s="159">
        <v>11.42</v>
      </c>
      <c r="O578" s="160"/>
      <c r="P578" s="161">
        <f>IFERROR(ROUND(M578/N578,2)," ")</f>
        <v>16380.34</v>
      </c>
      <c r="Q578" s="162"/>
      <c r="R578" s="4"/>
    </row>
    <row r="579" spans="1:18">
      <c r="A579" s="1">
        <f t="shared" si="19"/>
        <v>0</v>
      </c>
      <c r="B579" s="2" t="s">
        <v>81</v>
      </c>
      <c r="C579" s="8"/>
      <c r="D579" s="109" t="str">
        <f>IFERROR(INDEX('[239]MANO DE OBRA'!B:B,MATCH(B579,'[239]MANO DE OBRA'!A:A,0)),"")</f>
        <v>AYUDANTE (1)</v>
      </c>
      <c r="E579" s="110"/>
      <c r="F579" s="110"/>
      <c r="G579" s="110"/>
      <c r="H579" s="110"/>
      <c r="I579" s="110"/>
      <c r="J579" s="111"/>
      <c r="K579" s="156">
        <f>IFERROR(INDEX('[239]MANO DE OBRA'!D:D,MATCH(B579,'[239]MANO DE OBRA'!A:A,0)),"")</f>
        <v>71433</v>
      </c>
      <c r="L579" s="157">
        <f>+IF(D579&lt;&gt;"",'[239]FACTOR PRESTACIONAL'!$E$21," ")</f>
        <v>1.95</v>
      </c>
      <c r="M579" s="158">
        <f>IFERROR(K579*L579," ")</f>
        <v>139294.35</v>
      </c>
      <c r="N579" s="159">
        <v>11.42</v>
      </c>
      <c r="O579" s="160"/>
      <c r="P579" s="161">
        <f>IFERROR(ROUND(M579/N579,2)," ")</f>
        <v>12197.4</v>
      </c>
      <c r="Q579" s="162"/>
      <c r="R579" s="4"/>
    </row>
    <row r="580" spans="1:18">
      <c r="A580" s="1">
        <f t="shared" si="19"/>
        <v>0</v>
      </c>
      <c r="B580" s="2"/>
      <c r="C580" s="8"/>
      <c r="D580" s="109" t="str">
        <f>IFERROR(INDEX('[239]MANO DE OBRA'!B:B,MATCH(B580,'[239]MANO DE OBRA'!A:A,0)),"")</f>
        <v/>
      </c>
      <c r="E580" s="110"/>
      <c r="F580" s="110"/>
      <c r="G580" s="110"/>
      <c r="H580" s="110"/>
      <c r="I580" s="110"/>
      <c r="J580" s="111"/>
      <c r="K580" s="156" t="str">
        <f>IFERROR(INDEX('[239]MANO DE OBRA'!D:D,MATCH(B580,'[239]MANO DE OBRA'!A:A,0)),"")</f>
        <v/>
      </c>
      <c r="L580" s="157" t="str">
        <f>+IF(D580&lt;&gt;"",'[239]FACTOR PRESTACIONAL'!$E$21," ")</f>
        <v xml:space="preserve"> </v>
      </c>
      <c r="M580" s="158" t="str">
        <f>IFERROR(K580*L580," ")</f>
        <v xml:space="preserve"> </v>
      </c>
      <c r="N580" s="159"/>
      <c r="O580" s="160"/>
      <c r="P580" s="161" t="str">
        <f>IFERROR(ROUND(M580/N580,2)," ")</f>
        <v xml:space="preserve"> </v>
      </c>
      <c r="Q580" s="162"/>
      <c r="R580" s="4"/>
    </row>
    <row r="581" spans="1:18">
      <c r="A581" s="1">
        <f t="shared" si="19"/>
        <v>0</v>
      </c>
      <c r="B581" s="2"/>
      <c r="C581" s="8"/>
      <c r="D581" s="109" t="str">
        <f>IFERROR(INDEX('[239]MANO DE OBRA'!B:B,MATCH(B581,'[239]MANO DE OBRA'!A:A,0)),"")</f>
        <v/>
      </c>
      <c r="E581" s="110"/>
      <c r="F581" s="110"/>
      <c r="G581" s="110"/>
      <c r="H581" s="110"/>
      <c r="I581" s="110"/>
      <c r="J581" s="111"/>
      <c r="K581" s="156" t="str">
        <f>IFERROR(INDEX('[239]MANO DE OBRA'!D:D,MATCH(B581,'[239]MANO DE OBRA'!A:A,0)),"")</f>
        <v/>
      </c>
      <c r="L581" s="157" t="str">
        <f>+IF(D581&lt;&gt;"",'[239]FACTOR PRESTACIONAL'!$E$21," ")</f>
        <v xml:space="preserve"> </v>
      </c>
      <c r="M581" s="158" t="str">
        <f>IFERROR(K581*L581," ")</f>
        <v xml:space="preserve"> </v>
      </c>
      <c r="N581" s="159"/>
      <c r="O581" s="160"/>
      <c r="P581" s="161" t="str">
        <f>IFERROR(ROUND(M581/N581,2)," ")</f>
        <v xml:space="preserve"> </v>
      </c>
      <c r="Q581" s="162"/>
      <c r="R581" s="4"/>
    </row>
    <row r="582" spans="1:18" ht="15.75" thickBot="1">
      <c r="A582" s="1">
        <f t="shared" si="19"/>
        <v>0</v>
      </c>
      <c r="B582" s="2"/>
      <c r="C582" s="8"/>
      <c r="D582" s="109" t="str">
        <f>IFERROR(INDEX('[239]MANO DE OBRA'!B:B,MATCH(B582,'[239]MANO DE OBRA'!A:A,0)),"")</f>
        <v/>
      </c>
      <c r="E582" s="110"/>
      <c r="F582" s="110"/>
      <c r="G582" s="110"/>
      <c r="H582" s="110"/>
      <c r="I582" s="110"/>
      <c r="J582" s="111"/>
      <c r="K582" s="156" t="str">
        <f>IFERROR(INDEX('[239]MANO DE OBRA'!D:D,MATCH(B582,'[239]MANO DE OBRA'!A:A,0)),"")</f>
        <v/>
      </c>
      <c r="L582" s="157" t="str">
        <f>+IF(D582&lt;&gt;"",'[239]FACTOR PRESTACIONAL'!$E$21," ")</f>
        <v xml:space="preserve"> </v>
      </c>
      <c r="M582" s="158" t="str">
        <f>IFERROR(K582*L582," ")</f>
        <v xml:space="preserve"> </v>
      </c>
      <c r="N582" s="159"/>
      <c r="O582" s="160"/>
      <c r="P582" s="161" t="str">
        <f>IFERROR(ROUND(M582/N582,2)," ")</f>
        <v xml:space="preserve"> </v>
      </c>
      <c r="Q582" s="119"/>
      <c r="R582" s="4"/>
    </row>
    <row r="583" spans="1:18" ht="15.75" thickBot="1">
      <c r="A583" s="1">
        <f t="shared" si="19"/>
        <v>0</v>
      </c>
      <c r="B583" s="2"/>
      <c r="C583" s="8"/>
      <c r="D583" s="128" t="s">
        <v>24</v>
      </c>
      <c r="E583" s="129"/>
      <c r="F583" s="129"/>
      <c r="G583" s="129"/>
      <c r="H583" s="129"/>
      <c r="I583" s="129"/>
      <c r="J583" s="129"/>
      <c r="K583" s="129"/>
      <c r="L583" s="129"/>
      <c r="M583" s="129"/>
      <c r="N583" s="129"/>
      <c r="O583" s="130"/>
      <c r="P583" s="131">
        <f>SUM(P578:P582)</f>
        <v>28577.739999999998</v>
      </c>
      <c r="Q583" s="119"/>
      <c r="R583" s="4"/>
    </row>
    <row r="584" spans="1:18" ht="15.75" thickBot="1">
      <c r="A584" s="1">
        <f t="shared" si="19"/>
        <v>0</v>
      </c>
      <c r="B584" s="2"/>
      <c r="C584" s="8"/>
      <c r="D584" s="87"/>
      <c r="E584" s="20"/>
      <c r="F584" s="20"/>
      <c r="G584" s="20"/>
      <c r="H584" s="20"/>
      <c r="I584" s="20"/>
      <c r="J584" s="20"/>
      <c r="K584" s="20"/>
      <c r="L584" s="20"/>
      <c r="M584" s="20"/>
      <c r="N584" s="20"/>
      <c r="O584" s="20"/>
      <c r="P584" s="88"/>
      <c r="Q584" s="13"/>
      <c r="R584" s="4"/>
    </row>
    <row r="585" spans="1:18" ht="15.75" thickBot="1">
      <c r="A585" s="1"/>
      <c r="B585" s="2"/>
      <c r="C585" s="8"/>
      <c r="D585" s="163" t="s">
        <v>43</v>
      </c>
      <c r="E585" s="164"/>
      <c r="F585" s="164"/>
      <c r="G585" s="164"/>
      <c r="H585" s="164"/>
      <c r="I585" s="164"/>
      <c r="J585" s="164"/>
      <c r="K585" s="164"/>
      <c r="L585" s="164"/>
      <c r="M585" s="164"/>
      <c r="N585" s="164"/>
      <c r="O585" s="165"/>
      <c r="P585" s="166">
        <f>+P583+P575+P568+P550</f>
        <v>41850.089999999997</v>
      </c>
      <c r="Q585" s="167"/>
      <c r="R585" s="168"/>
    </row>
    <row r="586" spans="1:18" ht="15.75" thickBot="1">
      <c r="A586" s="1"/>
      <c r="B586" s="2"/>
      <c r="C586" s="8"/>
      <c r="D586" s="169"/>
      <c r="E586" s="170"/>
      <c r="F586" s="170"/>
      <c r="G586" s="170"/>
      <c r="H586" s="170"/>
      <c r="I586" s="170"/>
      <c r="J586" s="170"/>
      <c r="K586" s="170"/>
      <c r="L586" s="170"/>
      <c r="M586" s="170"/>
      <c r="N586" s="170"/>
      <c r="O586" s="170"/>
      <c r="P586" s="171"/>
      <c r="Q586" s="100"/>
      <c r="R586" s="4"/>
    </row>
    <row r="587" spans="1:18">
      <c r="A587" s="1"/>
      <c r="B587" s="2"/>
      <c r="C587" s="8"/>
      <c r="D587" s="172" t="s">
        <v>73</v>
      </c>
      <c r="E587" s="173"/>
      <c r="F587" s="173"/>
      <c r="G587" s="173"/>
      <c r="H587" s="173"/>
      <c r="I587" s="173"/>
      <c r="J587" s="173"/>
      <c r="K587" s="141"/>
      <c r="L587" s="174"/>
      <c r="M587" s="153" t="s">
        <v>44</v>
      </c>
      <c r="N587" s="175" t="s">
        <v>45</v>
      </c>
      <c r="O587" s="176"/>
      <c r="P587" s="154"/>
      <c r="Q587" s="155"/>
      <c r="R587" s="4"/>
    </row>
    <row r="588" spans="1:18">
      <c r="A588" s="1"/>
      <c r="B588" s="2"/>
      <c r="C588" s="8"/>
      <c r="D588" s="109" t="s">
        <v>65</v>
      </c>
      <c r="E588" s="110"/>
      <c r="F588" s="110"/>
      <c r="G588" s="110"/>
      <c r="H588" s="110"/>
      <c r="I588" s="110"/>
      <c r="J588" s="110"/>
      <c r="K588" s="177"/>
      <c r="L588" s="178"/>
      <c r="M588" s="179">
        <f>+[239]INICIO!$F$10</f>
        <v>0.24</v>
      </c>
      <c r="N588" s="180">
        <f>ROUND(M588*P585,2)</f>
        <v>10044.02</v>
      </c>
      <c r="O588" s="181"/>
      <c r="P588" s="182"/>
      <c r="Q588" s="119"/>
      <c r="R588" s="4"/>
    </row>
    <row r="589" spans="1:18">
      <c r="A589" s="1"/>
      <c r="B589" s="2"/>
      <c r="C589" s="8"/>
      <c r="D589" s="183" t="s">
        <v>67</v>
      </c>
      <c r="E589" s="61"/>
      <c r="F589" s="61"/>
      <c r="G589" s="61"/>
      <c r="H589" s="61"/>
      <c r="I589" s="61"/>
      <c r="J589" s="61"/>
      <c r="K589" s="177"/>
      <c r="L589" s="178"/>
      <c r="M589" s="179">
        <f>+[239]INICIO!$F$11</f>
        <v>0.02</v>
      </c>
      <c r="N589" s="180">
        <f>ROUND(M589*P585,2)</f>
        <v>837</v>
      </c>
      <c r="O589" s="181"/>
      <c r="P589" s="182"/>
      <c r="Q589" s="119"/>
      <c r="R589" s="4"/>
    </row>
    <row r="590" spans="1:18" ht="15.75" thickBot="1">
      <c r="A590" s="1"/>
      <c r="B590" s="2"/>
      <c r="C590" s="8"/>
      <c r="D590" s="77" t="s">
        <v>69</v>
      </c>
      <c r="E590" s="78"/>
      <c r="F590" s="78"/>
      <c r="G590" s="78"/>
      <c r="H590" s="78"/>
      <c r="I590" s="78"/>
      <c r="J590" s="78"/>
      <c r="K590" s="184"/>
      <c r="L590" s="185"/>
      <c r="M590" s="179">
        <f>+[239]INICIO!$F$12</f>
        <v>7.0000000000000007E-2</v>
      </c>
      <c r="N590" s="180">
        <f>ROUND(M590*P585,2)</f>
        <v>2929.51</v>
      </c>
      <c r="O590" s="181"/>
      <c r="P590" s="182"/>
      <c r="Q590" s="119"/>
      <c r="R590" s="4"/>
    </row>
    <row r="591" spans="1:18" ht="15.75" thickBot="1">
      <c r="A591" s="1"/>
      <c r="B591" s="2"/>
      <c r="C591" s="8"/>
      <c r="D591" s="128"/>
      <c r="E591" s="129"/>
      <c r="F591" s="129"/>
      <c r="G591" s="129"/>
      <c r="H591" s="129"/>
      <c r="I591" s="129"/>
      <c r="J591" s="129"/>
      <c r="K591" s="129"/>
      <c r="L591" s="129"/>
      <c r="M591" s="129"/>
      <c r="N591" s="129"/>
      <c r="O591" s="130"/>
      <c r="P591" s="131">
        <f>SUM(N588:N590)</f>
        <v>13810.53</v>
      </c>
      <c r="Q591" s="186"/>
      <c r="R591" s="4"/>
    </row>
    <row r="592" spans="1:18" ht="15.75" thickBot="1">
      <c r="A592" s="1"/>
      <c r="B592" s="2"/>
      <c r="C592" s="8"/>
      <c r="D592" s="87"/>
      <c r="E592" s="20"/>
      <c r="F592" s="20"/>
      <c r="G592" s="20"/>
      <c r="H592" s="20"/>
      <c r="I592" s="20"/>
      <c r="J592" s="20"/>
      <c r="K592" s="20"/>
      <c r="L592" s="20"/>
      <c r="M592" s="20"/>
      <c r="N592" s="20"/>
      <c r="O592" s="20"/>
      <c r="P592" s="88"/>
      <c r="Q592" s="13"/>
      <c r="R592" s="4"/>
    </row>
    <row r="593" spans="1:18" ht="15.75" thickBot="1">
      <c r="A593" s="1"/>
      <c r="B593" s="2"/>
      <c r="C593" s="8"/>
      <c r="D593" s="187" t="s">
        <v>46</v>
      </c>
      <c r="E593" s="188"/>
      <c r="F593" s="188"/>
      <c r="G593" s="188"/>
      <c r="H593" s="188"/>
      <c r="I593" s="188"/>
      <c r="J593" s="188"/>
      <c r="K593" s="188"/>
      <c r="L593" s="188"/>
      <c r="M593" s="188"/>
      <c r="N593" s="188"/>
      <c r="O593" s="189"/>
      <c r="P593" s="166">
        <f>ROUND(P591+P585,0)</f>
        <v>55661</v>
      </c>
      <c r="Q593" s="186"/>
      <c r="R593" s="4"/>
    </row>
    <row r="594" spans="1:18">
      <c r="A594" s="1"/>
      <c r="B594" s="2"/>
      <c r="C594" s="8"/>
      <c r="D594" s="80"/>
      <c r="E594" s="81"/>
      <c r="F594" s="81"/>
      <c r="G594" s="81"/>
      <c r="H594" s="81"/>
      <c r="I594" s="81"/>
      <c r="J594" s="81"/>
      <c r="K594" s="81"/>
      <c r="L594" s="81"/>
      <c r="M594" s="81"/>
      <c r="N594" s="81"/>
      <c r="O594" s="81"/>
      <c r="P594" s="82"/>
      <c r="Q594" s="13"/>
      <c r="R594" s="4"/>
    </row>
    <row r="595" spans="1:18">
      <c r="A595" s="1"/>
      <c r="B595" s="2"/>
      <c r="C595" s="8"/>
      <c r="D595" s="87"/>
      <c r="E595" s="20"/>
      <c r="F595" s="20"/>
      <c r="G595" s="20"/>
      <c r="H595" s="20"/>
      <c r="I595" s="20"/>
      <c r="J595" s="20"/>
      <c r="K595" s="20"/>
      <c r="L595" s="20"/>
      <c r="M595" s="20"/>
      <c r="N595" s="20"/>
      <c r="O595" s="20"/>
      <c r="P595" s="88"/>
      <c r="Q595" s="13"/>
      <c r="R595" s="4"/>
    </row>
    <row r="596" spans="1:18">
      <c r="A596" s="1"/>
      <c r="B596" s="2"/>
      <c r="C596" s="8"/>
      <c r="D596" s="87"/>
      <c r="E596" s="20"/>
      <c r="F596" s="20"/>
      <c r="G596" s="20"/>
      <c r="H596" s="20"/>
      <c r="I596" s="20"/>
      <c r="J596" s="20"/>
      <c r="K596" s="20"/>
      <c r="L596" s="20"/>
      <c r="M596" s="20"/>
      <c r="N596" s="20"/>
      <c r="O596" s="20"/>
      <c r="P596" s="88"/>
      <c r="Q596" s="13"/>
      <c r="R596" s="4"/>
    </row>
    <row r="597" spans="1:18">
      <c r="A597" s="1"/>
      <c r="B597" s="2"/>
      <c r="C597" s="8"/>
      <c r="D597" s="87"/>
      <c r="E597" s="20"/>
      <c r="F597" s="20"/>
      <c r="G597" s="20"/>
      <c r="H597" s="20"/>
      <c r="I597" s="20"/>
      <c r="J597" s="20"/>
      <c r="K597" s="20"/>
      <c r="L597" s="20"/>
      <c r="M597" s="20"/>
      <c r="N597" s="20"/>
      <c r="O597" s="20"/>
      <c r="P597" s="88"/>
      <c r="Q597" s="13"/>
      <c r="R597" s="4"/>
    </row>
    <row r="598" spans="1:18">
      <c r="A598" s="1"/>
      <c r="B598" s="2"/>
      <c r="C598" s="8"/>
      <c r="D598" s="219" t="str">
        <f>+[239]INICIO!$B$13</f>
        <v>Proyectó:</v>
      </c>
      <c r="E598" s="49"/>
      <c r="F598" s="49"/>
      <c r="G598" s="49"/>
      <c r="H598" s="49"/>
      <c r="I598" s="49"/>
      <c r="J598" s="49"/>
      <c r="K598" s="20"/>
      <c r="L598" s="69" t="str">
        <f>+[239]INICIO!$B$16</f>
        <v>Aprobó:</v>
      </c>
      <c r="M598" s="49"/>
      <c r="N598" s="49"/>
      <c r="O598" s="49"/>
      <c r="P598" s="88"/>
      <c r="Q598" s="13"/>
      <c r="R598" s="4"/>
    </row>
    <row r="599" spans="1:18">
      <c r="A599" s="1"/>
      <c r="B599" s="2"/>
      <c r="C599" s="8"/>
      <c r="D599" s="87"/>
      <c r="E599" s="20" t="str">
        <f>+Hoja2!C$13</f>
        <v>HELMER EDUARDO BECERRA SANTANDER</v>
      </c>
      <c r="F599" s="20"/>
      <c r="G599" s="20"/>
      <c r="H599" s="20"/>
      <c r="I599" s="20"/>
      <c r="J599" s="20"/>
      <c r="K599" s="20"/>
      <c r="L599" s="20"/>
      <c r="M599" s="20" t="str">
        <f>+Hoja2!$C$16</f>
        <v>JESÚS IVÁN QUIÑONES RUEDA</v>
      </c>
      <c r="N599" s="20"/>
      <c r="O599" s="20"/>
      <c r="P599" s="88"/>
      <c r="Q599" s="190"/>
      <c r="R599" s="4"/>
    </row>
    <row r="600" spans="1:18">
      <c r="A600" s="1"/>
      <c r="B600" s="2"/>
      <c r="C600" s="8"/>
      <c r="D600" s="87"/>
      <c r="E600" s="20" t="str">
        <f>+Hoja2!C$14</f>
        <v>APOYO SEC. DE PLANEACIÓN Y OBRAS PÚBLICAS</v>
      </c>
      <c r="F600" s="20"/>
      <c r="G600" s="20"/>
      <c r="H600" s="20"/>
      <c r="I600" s="20"/>
      <c r="J600" s="20"/>
      <c r="K600" s="20"/>
      <c r="L600" s="20"/>
      <c r="M600" s="20" t="str">
        <f>+Hoja2!$C$17</f>
        <v>SECRETARIO DE PLANEACIÓN Y OBRAS PUBLICAS</v>
      </c>
      <c r="N600" s="20"/>
      <c r="O600" s="20"/>
      <c r="P600" s="88"/>
      <c r="Q600" s="190"/>
      <c r="R600" s="4"/>
    </row>
    <row r="601" spans="1:18">
      <c r="A601" s="1"/>
      <c r="B601" s="2"/>
      <c r="C601" s="8"/>
      <c r="D601" s="68"/>
      <c r="E601" s="20" t="str">
        <f>+Hoja2!C$15</f>
        <v>123769-0701671 NTS</v>
      </c>
      <c r="F601" s="191"/>
      <c r="G601" s="191"/>
      <c r="H601" s="191"/>
      <c r="I601" s="20"/>
      <c r="J601" s="191"/>
      <c r="K601" s="191"/>
      <c r="L601" s="191"/>
      <c r="M601" s="192" t="str">
        <f>+Hoja2!C$18</f>
        <v>A21382020-1090480860</v>
      </c>
      <c r="N601" s="191"/>
      <c r="O601" s="191"/>
      <c r="P601" s="193"/>
      <c r="Q601" s="194"/>
      <c r="R601" s="4"/>
    </row>
    <row r="602" spans="1:18" ht="16.5" thickBot="1">
      <c r="A602" s="1"/>
      <c r="B602" s="2"/>
      <c r="C602" s="8"/>
      <c r="D602" s="195"/>
      <c r="E602" s="150"/>
      <c r="F602" s="150"/>
      <c r="G602" s="150"/>
      <c r="H602" s="150"/>
      <c r="I602" s="150"/>
      <c r="J602" s="150"/>
      <c r="K602" s="150"/>
      <c r="L602" s="150"/>
      <c r="M602" s="150"/>
      <c r="N602" s="150"/>
      <c r="O602" s="150"/>
      <c r="P602" s="196"/>
      <c r="Q602" s="197"/>
      <c r="R602" s="4"/>
    </row>
    <row r="603" spans="1:18" ht="15.75" thickBot="1">
      <c r="A603" s="1"/>
      <c r="B603" s="2"/>
      <c r="C603" s="198"/>
      <c r="D603" s="199"/>
      <c r="E603" s="199"/>
      <c r="F603" s="199"/>
      <c r="G603" s="199"/>
      <c r="H603" s="199"/>
      <c r="I603" s="199"/>
      <c r="J603" s="199"/>
      <c r="K603" s="199"/>
      <c r="L603" s="199"/>
      <c r="M603" s="199"/>
      <c r="N603" s="199"/>
      <c r="O603" s="199"/>
      <c r="P603" s="199"/>
      <c r="Q603" s="200"/>
      <c r="R603" s="4"/>
    </row>
    <row r="604" spans="1:18" ht="15.75" thickTop="1">
      <c r="A604" s="1"/>
      <c r="B604" s="2"/>
      <c r="C604" s="5"/>
      <c r="D604" s="6"/>
      <c r="E604" s="6"/>
      <c r="F604" s="6"/>
      <c r="G604" s="6"/>
      <c r="H604" s="6"/>
      <c r="I604" s="6"/>
      <c r="J604" s="6"/>
      <c r="K604" s="6"/>
      <c r="L604" s="6"/>
      <c r="M604" s="6"/>
      <c r="N604" s="6"/>
      <c r="O604" s="6"/>
      <c r="P604" s="6"/>
      <c r="Q604" s="7"/>
      <c r="R604" s="4"/>
    </row>
    <row r="605" spans="1:18" ht="24">
      <c r="A605" s="1"/>
      <c r="B605" s="2"/>
      <c r="C605" s="8"/>
      <c r="D605" s="9" t="str">
        <f>+[239]INICIO!$C$8</f>
        <v>Análisis de Precios Unitarios- Secretaria de Planeación y Obras Publicas de Cubará, Boyacá.</v>
      </c>
      <c r="E605" s="10"/>
      <c r="F605" s="10"/>
      <c r="G605" s="10"/>
      <c r="H605" s="11"/>
      <c r="I605" s="12"/>
      <c r="J605" s="12"/>
      <c r="K605" s="12"/>
      <c r="L605" s="12"/>
      <c r="M605" s="12"/>
      <c r="N605" s="12"/>
      <c r="O605" s="12"/>
      <c r="P605" s="12"/>
      <c r="Q605" s="13"/>
      <c r="R605" s="4"/>
    </row>
    <row r="606" spans="1:18">
      <c r="A606" s="1"/>
      <c r="B606" s="2"/>
      <c r="C606" s="8"/>
      <c r="D606" s="14" t="s">
        <v>0</v>
      </c>
      <c r="E606" s="15" t="str">
        <f>+[239]INICIO!$C$7</f>
        <v>CCE-EICP-FM-14</v>
      </c>
      <c r="F606" s="16"/>
      <c r="G606" s="17" t="str">
        <f>+[239]INICIO!$B$6</f>
        <v>VERSIÓN</v>
      </c>
      <c r="H606" s="14">
        <f>+[239]INICIO!$C$6</f>
        <v>1</v>
      </c>
      <c r="I606" s="12"/>
      <c r="J606" s="12"/>
      <c r="K606" s="12"/>
      <c r="L606" s="12"/>
      <c r="M606" s="12"/>
      <c r="N606" s="12"/>
      <c r="O606" s="12"/>
      <c r="P606" s="12"/>
      <c r="Q606" s="13"/>
      <c r="R606" s="4"/>
    </row>
    <row r="607" spans="1:18">
      <c r="A607" s="1"/>
      <c r="B607" s="2"/>
      <c r="C607" s="8"/>
      <c r="D607" s="18"/>
      <c r="E607" s="19"/>
      <c r="F607" s="18"/>
      <c r="G607" s="19"/>
      <c r="H607" s="12"/>
      <c r="I607" s="12"/>
      <c r="J607" s="12"/>
      <c r="K607" s="12"/>
      <c r="L607" s="12"/>
      <c r="M607" s="12"/>
      <c r="N607" s="12"/>
      <c r="O607" s="12"/>
      <c r="P607" s="12"/>
      <c r="Q607" s="13"/>
      <c r="R607" s="4"/>
    </row>
    <row r="608" spans="1:18" ht="15.75" thickBot="1">
      <c r="A608" s="1"/>
      <c r="B608" s="2"/>
      <c r="C608" s="8"/>
      <c r="D608" s="20"/>
      <c r="E608" s="20"/>
      <c r="F608" s="20"/>
      <c r="G608" s="20"/>
      <c r="H608" s="20"/>
      <c r="I608" s="20"/>
      <c r="J608" s="20"/>
      <c r="K608" s="20"/>
      <c r="L608" s="20"/>
      <c r="M608" s="20"/>
      <c r="N608" s="20"/>
      <c r="O608" s="20"/>
      <c r="P608" s="20"/>
      <c r="Q608" s="13"/>
      <c r="R608" s="4"/>
    </row>
    <row r="609" spans="1:18">
      <c r="A609" s="1"/>
      <c r="B609" s="2"/>
      <c r="C609" s="8"/>
      <c r="D609" s="21"/>
      <c r="E609" s="22"/>
      <c r="F609" s="23"/>
      <c r="G609" s="23"/>
      <c r="H609" s="23"/>
      <c r="I609" s="23"/>
      <c r="J609" s="23"/>
      <c r="K609" s="23"/>
      <c r="L609" s="24"/>
      <c r="M609" s="25"/>
      <c r="N609" s="26"/>
      <c r="O609" s="26"/>
      <c r="P609" s="27"/>
      <c r="Q609" s="28"/>
      <c r="R609" s="4"/>
    </row>
    <row r="610" spans="1:18">
      <c r="A610" s="1"/>
      <c r="B610" s="2"/>
      <c r="C610" s="8"/>
      <c r="D610" s="29"/>
      <c r="E610" s="30" t="s">
        <v>1</v>
      </c>
      <c r="F610" s="31"/>
      <c r="G610" s="31"/>
      <c r="H610" s="31"/>
      <c r="I610" s="31"/>
      <c r="J610" s="31"/>
      <c r="K610" s="31"/>
      <c r="L610" s="32"/>
      <c r="M610" s="33"/>
      <c r="N610" s="34"/>
      <c r="O610" s="34"/>
      <c r="P610" s="35"/>
      <c r="Q610" s="28"/>
      <c r="R610" s="4"/>
    </row>
    <row r="611" spans="1:18">
      <c r="A611" s="1"/>
      <c r="B611" s="2"/>
      <c r="C611" s="8"/>
      <c r="D611" s="29"/>
      <c r="E611" s="36"/>
      <c r="F611" s="37"/>
      <c r="G611" s="37"/>
      <c r="H611" s="37"/>
      <c r="I611" s="37"/>
      <c r="J611" s="37"/>
      <c r="K611" s="37"/>
      <c r="L611" s="38"/>
      <c r="M611" s="39"/>
      <c r="N611" s="40"/>
      <c r="O611" s="41"/>
      <c r="P611" s="42"/>
      <c r="Q611" s="28"/>
      <c r="R611" s="4"/>
    </row>
    <row r="612" spans="1:18">
      <c r="A612" s="1"/>
      <c r="B612" s="2"/>
      <c r="C612" s="8"/>
      <c r="D612" s="29"/>
      <c r="E612" s="36"/>
      <c r="F612" s="37"/>
      <c r="G612" s="37"/>
      <c r="H612" s="37"/>
      <c r="I612" s="37"/>
      <c r="J612" s="37"/>
      <c r="K612" s="37"/>
      <c r="L612" s="38"/>
      <c r="M612" s="43" t="s">
        <v>2</v>
      </c>
      <c r="N612" s="44"/>
      <c r="O612" s="45">
        <f>+[239]INICIO!$C$6</f>
        <v>1</v>
      </c>
      <c r="P612" s="46"/>
      <c r="Q612" s="28"/>
      <c r="R612" s="4"/>
    </row>
    <row r="613" spans="1:18">
      <c r="A613" s="1"/>
      <c r="B613" s="2"/>
      <c r="C613" s="8"/>
      <c r="D613" s="29"/>
      <c r="E613" s="36"/>
      <c r="F613" s="37"/>
      <c r="G613" s="37"/>
      <c r="H613" s="37"/>
      <c r="I613" s="37"/>
      <c r="J613" s="37"/>
      <c r="K613" s="37"/>
      <c r="L613" s="38"/>
      <c r="M613" s="47"/>
      <c r="N613" s="48"/>
      <c r="O613" s="49"/>
      <c r="P613" s="50"/>
      <c r="Q613" s="51"/>
      <c r="R613" s="4"/>
    </row>
    <row r="614" spans="1:18">
      <c r="A614" s="1"/>
      <c r="B614" s="2"/>
      <c r="C614" s="8"/>
      <c r="D614" s="29"/>
      <c r="E614" s="52"/>
      <c r="F614" s="53"/>
      <c r="G614" s="53"/>
      <c r="H614" s="53"/>
      <c r="I614" s="53"/>
      <c r="J614" s="53"/>
      <c r="K614" s="53"/>
      <c r="L614" s="54"/>
      <c r="M614" s="39"/>
      <c r="N614" s="55"/>
      <c r="O614" s="55"/>
      <c r="P614" s="56"/>
      <c r="Q614" s="28"/>
      <c r="R614" s="4"/>
    </row>
    <row r="615" spans="1:18">
      <c r="A615" s="1"/>
      <c r="B615" s="2"/>
      <c r="C615" s="8"/>
      <c r="D615" s="29"/>
      <c r="E615" s="52"/>
      <c r="F615" s="53"/>
      <c r="G615" s="53"/>
      <c r="H615" s="53"/>
      <c r="I615" s="53"/>
      <c r="J615" s="53"/>
      <c r="K615" s="53"/>
      <c r="L615" s="54"/>
      <c r="M615" s="43" t="s">
        <v>3</v>
      </c>
      <c r="N615" s="43" t="str">
        <f>+VLOOKUP(D626,'PRESUPUESTO OFICIAL '!C:Q,9,FALSE)</f>
        <v>44</v>
      </c>
      <c r="O615" s="43" t="s">
        <v>4</v>
      </c>
      <c r="P615" s="508" t="str">
        <f>+'PRESUPUESTO OFICIAL '!$M$122</f>
        <v>62</v>
      </c>
      <c r="Q615" s="28"/>
      <c r="R615" s="4"/>
    </row>
    <row r="616" spans="1:18">
      <c r="A616" s="1"/>
      <c r="B616" s="2"/>
      <c r="C616" s="8"/>
      <c r="D616" s="29"/>
      <c r="E616" s="30" t="s">
        <v>5</v>
      </c>
      <c r="F616" s="31"/>
      <c r="G616" s="31"/>
      <c r="H616" s="31"/>
      <c r="I616" s="31"/>
      <c r="J616" s="31"/>
      <c r="K616" s="31"/>
      <c r="L616" s="32"/>
      <c r="M616" s="43"/>
      <c r="N616" s="57"/>
      <c r="O616" s="57"/>
      <c r="P616" s="58"/>
      <c r="Q616" s="28"/>
      <c r="R616" s="4"/>
    </row>
    <row r="617" spans="1:18" ht="15.75" thickBot="1">
      <c r="A617" s="1"/>
      <c r="B617" s="2"/>
      <c r="C617" s="8"/>
      <c r="D617" s="59"/>
      <c r="E617" s="60"/>
      <c r="F617" s="60"/>
      <c r="G617" s="60"/>
      <c r="H617" s="60"/>
      <c r="I617" s="60"/>
      <c r="J617" s="60"/>
      <c r="K617" s="60"/>
      <c r="L617" s="60"/>
      <c r="M617" s="60"/>
      <c r="N617" s="61"/>
      <c r="O617" s="61"/>
      <c r="P617" s="62"/>
      <c r="Q617" s="63"/>
      <c r="R617" s="4"/>
    </row>
    <row r="618" spans="1:18">
      <c r="A618" s="1"/>
      <c r="B618" s="2"/>
      <c r="C618" s="8"/>
      <c r="D618" s="64"/>
      <c r="E618" s="65"/>
      <c r="F618" s="65"/>
      <c r="G618" s="65"/>
      <c r="H618" s="65"/>
      <c r="I618" s="65"/>
      <c r="J618" s="65"/>
      <c r="K618" s="65"/>
      <c r="L618" s="65"/>
      <c r="M618" s="66" t="s">
        <v>6</v>
      </c>
      <c r="N618" s="66" t="s">
        <v>7</v>
      </c>
      <c r="O618" s="66" t="s">
        <v>8</v>
      </c>
      <c r="P618" s="67" t="s">
        <v>9</v>
      </c>
      <c r="Q618" s="51"/>
      <c r="R618" s="4"/>
    </row>
    <row r="619" spans="1:18">
      <c r="A619" s="1"/>
      <c r="B619" s="2"/>
      <c r="C619" s="8"/>
      <c r="D619" s="68"/>
      <c r="E619" s="69"/>
      <c r="F619" s="69"/>
      <c r="G619" s="69"/>
      <c r="H619" s="69"/>
      <c r="I619" s="69"/>
      <c r="J619" s="69"/>
      <c r="K619" s="69"/>
      <c r="L619" s="69"/>
      <c r="M619" s="70"/>
      <c r="N619" s="71">
        <f>+Hoja2!B$5</f>
        <v>5</v>
      </c>
      <c r="O619" s="71">
        <f>+Hoja2!C$5</f>
        <v>8</v>
      </c>
      <c r="P619" s="72">
        <f>+Hoja2!D$5</f>
        <v>2026</v>
      </c>
      <c r="Q619" s="73"/>
      <c r="R619" s="4"/>
    </row>
    <row r="620" spans="1:18">
      <c r="A620" s="1"/>
      <c r="B620" s="2"/>
      <c r="C620" s="8"/>
      <c r="D620" s="74"/>
      <c r="E620" s="37"/>
      <c r="F620" s="37"/>
      <c r="G620" s="37"/>
      <c r="H620" s="69"/>
      <c r="I620" s="69"/>
      <c r="J620" s="69"/>
      <c r="K620" s="20"/>
      <c r="L620" s="69"/>
      <c r="M620" s="75"/>
      <c r="N620" s="20"/>
      <c r="O620" s="20"/>
      <c r="P620" s="76"/>
      <c r="Q620" s="73"/>
      <c r="R620" s="4"/>
    </row>
    <row r="621" spans="1:18" ht="15.75" thickBot="1">
      <c r="A621" s="1"/>
      <c r="B621" s="2"/>
      <c r="C621" s="8"/>
      <c r="D621" s="77"/>
      <c r="E621" s="78"/>
      <c r="F621" s="78"/>
      <c r="G621" s="78"/>
      <c r="H621" s="78"/>
      <c r="I621" s="78"/>
      <c r="J621" s="78"/>
      <c r="K621" s="78"/>
      <c r="L621" s="78"/>
      <c r="M621" s="78"/>
      <c r="N621" s="78"/>
      <c r="O621" s="78"/>
      <c r="P621" s="79"/>
      <c r="Q621" s="13"/>
      <c r="R621" s="4"/>
    </row>
    <row r="622" spans="1:18" ht="15.75" thickBot="1">
      <c r="A622" s="1"/>
      <c r="B622" s="2"/>
      <c r="C622" s="8"/>
      <c r="D622" s="80"/>
      <c r="E622" s="81"/>
      <c r="F622" s="81"/>
      <c r="G622" s="81"/>
      <c r="H622" s="81"/>
      <c r="I622" s="81"/>
      <c r="J622" s="20"/>
      <c r="K622" s="20"/>
      <c r="L622" s="81"/>
      <c r="M622" s="81"/>
      <c r="N622" s="81"/>
      <c r="O622" s="81"/>
      <c r="P622" s="82"/>
      <c r="Q622" s="13"/>
      <c r="R622" s="4"/>
    </row>
    <row r="623" spans="1:18">
      <c r="A623" s="1"/>
      <c r="B623" s="2"/>
      <c r="C623" s="8"/>
      <c r="D623" s="83" t="s">
        <v>10</v>
      </c>
      <c r="E623" s="84"/>
      <c r="F623" s="84"/>
      <c r="G623" s="84"/>
      <c r="H623" s="84"/>
      <c r="I623" s="84"/>
      <c r="J623" s="84"/>
      <c r="K623" s="84"/>
      <c r="L623" s="84"/>
      <c r="M623" s="84"/>
      <c r="N623" s="84"/>
      <c r="O623" s="84"/>
      <c r="P623" s="85"/>
      <c r="Q623" s="86"/>
      <c r="R623" s="4"/>
    </row>
    <row r="624" spans="1:18" ht="15.75" thickBot="1">
      <c r="A624" s="1"/>
      <c r="B624" s="2"/>
      <c r="C624" s="8"/>
      <c r="D624" s="87"/>
      <c r="E624" s="20"/>
      <c r="F624" s="20"/>
      <c r="G624" s="20"/>
      <c r="H624" s="20"/>
      <c r="I624" s="20"/>
      <c r="J624" s="20"/>
      <c r="K624" s="20"/>
      <c r="L624" s="20"/>
      <c r="M624" s="20"/>
      <c r="N624" s="20"/>
      <c r="O624" s="20"/>
      <c r="P624" s="88"/>
      <c r="Q624" s="13"/>
      <c r="R624" s="4"/>
    </row>
    <row r="625" spans="1:18">
      <c r="A625" s="1" t="s">
        <v>11</v>
      </c>
      <c r="B625" s="2" t="s">
        <v>12</v>
      </c>
      <c r="C625" s="8"/>
      <c r="D625" s="89" t="s">
        <v>13</v>
      </c>
      <c r="E625" s="90" t="s">
        <v>14</v>
      </c>
      <c r="F625" s="90"/>
      <c r="G625" s="90"/>
      <c r="H625" s="90"/>
      <c r="I625" s="90"/>
      <c r="J625" s="90"/>
      <c r="K625" s="90"/>
      <c r="L625" s="90"/>
      <c r="M625" s="90"/>
      <c r="N625" s="91" t="s">
        <v>15</v>
      </c>
      <c r="O625" s="91"/>
      <c r="P625" s="92" t="s">
        <v>16</v>
      </c>
      <c r="Q625" s="93"/>
      <c r="R625" s="4"/>
    </row>
    <row r="626" spans="1:18" ht="15.75" thickBot="1">
      <c r="A626" s="1"/>
      <c r="B626" s="2"/>
      <c r="C626" s="8"/>
      <c r="D626" s="349">
        <f>+'PRESUPUESTO OFICIAL '!C71</f>
        <v>6.03</v>
      </c>
      <c r="E626" s="94" t="str">
        <f>+VLOOKUP(D626,'PRESUPUESTO OFICIAL '!C:H,2,FALSE)</f>
        <v>ENCHAPE EN CERÁMICA PARA MURO</v>
      </c>
      <c r="F626" s="94"/>
      <c r="G626" s="94"/>
      <c r="H626" s="94"/>
      <c r="I626" s="94"/>
      <c r="J626" s="94"/>
      <c r="K626" s="94"/>
      <c r="L626" s="94"/>
      <c r="M626" s="94"/>
      <c r="N626" s="94" t="str">
        <f>+VLOOKUP(D626,'PRESUPUESTO OFICIAL '!C:H,3,FALSE)</f>
        <v>M2</v>
      </c>
      <c r="O626" s="95"/>
      <c r="P626" s="96">
        <f>+VLOOKUP(D626,'PRESUPUESTO OFICIAL '!C:H,4,FALSE)</f>
        <v>174.89</v>
      </c>
      <c r="Q626" s="97"/>
      <c r="R626" s="98">
        <f>+P678</f>
        <v>166700</v>
      </c>
    </row>
    <row r="627" spans="1:18" ht="15.75" thickBot="1">
      <c r="A627" s="1"/>
      <c r="B627" s="2"/>
      <c r="C627" s="8"/>
      <c r="D627" s="74"/>
      <c r="E627" s="37"/>
      <c r="F627" s="37"/>
      <c r="G627" s="37"/>
      <c r="H627" s="37"/>
      <c r="I627" s="37"/>
      <c r="J627" s="37"/>
      <c r="K627" s="37"/>
      <c r="L627" s="37"/>
      <c r="M627" s="37"/>
      <c r="N627" s="37"/>
      <c r="O627" s="37"/>
      <c r="P627" s="99"/>
      <c r="Q627" s="100"/>
      <c r="R627" s="4"/>
    </row>
    <row r="628" spans="1:18">
      <c r="A628" s="1"/>
      <c r="B628" s="2"/>
      <c r="C628" s="8"/>
      <c r="D628" s="101" t="s">
        <v>14</v>
      </c>
      <c r="E628" s="102"/>
      <c r="F628" s="102"/>
      <c r="G628" s="102"/>
      <c r="H628" s="103"/>
      <c r="I628" s="104" t="s">
        <v>18</v>
      </c>
      <c r="J628" s="102"/>
      <c r="K628" s="104" t="s">
        <v>19</v>
      </c>
      <c r="L628" s="105"/>
      <c r="M628" s="106" t="s">
        <v>20</v>
      </c>
      <c r="N628" s="104" t="s">
        <v>21</v>
      </c>
      <c r="O628" s="105"/>
      <c r="P628" s="107" t="s">
        <v>22</v>
      </c>
      <c r="Q628" s="108"/>
      <c r="R628" s="4"/>
    </row>
    <row r="629" spans="1:18">
      <c r="A629" s="1" t="e">
        <f>[239]INDICE!#REF!</f>
        <v>#REF!</v>
      </c>
      <c r="B629" s="2" t="s">
        <v>23</v>
      </c>
      <c r="C629" s="8"/>
      <c r="D629" s="109" t="str">
        <f>IFERROR(INDEX([239]EQUIPOS!B:B,MATCH(B629,[239]EQUIPOS!A:A,0)),"")</f>
        <v>HERRAMIENTA MENOR (% M.O)</v>
      </c>
      <c r="E629" s="110"/>
      <c r="F629" s="110"/>
      <c r="G629" s="110"/>
      <c r="H629" s="111"/>
      <c r="I629" s="112"/>
      <c r="J629" s="111"/>
      <c r="K629" s="113" t="str">
        <f>IFERROR(INDEX([239]EQUIPOS!C:C,MATCH(B629,[239]EQUIPOS!A:A,0)),"")</f>
        <v>%</v>
      </c>
      <c r="L629" s="114"/>
      <c r="M629" s="115">
        <f>IFERROR(IF(D629="HERRAMIENTA MENOR (% M.O)",P668,INDEX([239]EQUIPOS!D:D,MATCH(B629,[239]EQUIPOS!A:A,0))),"")</f>
        <v>54392.979999999996</v>
      </c>
      <c r="N629" s="116">
        <v>10</v>
      </c>
      <c r="O629" s="117"/>
      <c r="P629" s="118">
        <f t="shared" ref="P629:P634" si="21">IFERROR(ROUND(IF(D629="HERRAMIENTA MENOR (% M.O)",N629%*M629,M629/N629),2)," ")</f>
        <v>5439.3</v>
      </c>
      <c r="Q629" s="119"/>
      <c r="R629" s="4"/>
    </row>
    <row r="630" spans="1:18">
      <c r="A630" s="1">
        <f>+$A$2593</f>
        <v>0</v>
      </c>
      <c r="B630" s="2"/>
      <c r="C630" s="8"/>
      <c r="D630" s="109" t="str">
        <f>IFERROR(INDEX([239]EQUIPOS!B:B,MATCH(B630,[239]EQUIPOS!A:A,0)),"")</f>
        <v/>
      </c>
      <c r="E630" s="110"/>
      <c r="F630" s="110"/>
      <c r="G630" s="110"/>
      <c r="H630" s="111"/>
      <c r="I630" s="112"/>
      <c r="J630" s="111"/>
      <c r="K630" s="113" t="str">
        <f>IFERROR(INDEX([239]EQUIPOS!C:C,MATCH(B630,[239]EQUIPOS!A:A,0)),"")</f>
        <v/>
      </c>
      <c r="L630" s="114"/>
      <c r="M630" s="115" t="str">
        <f>IFERROR(IF(D630="HERRAMIENTA MENOR (% M.O)",P669,INDEX([239]EQUIPOS!D:D,MATCH(B630,[239]EQUIPOS!A:A,0))),"")</f>
        <v/>
      </c>
      <c r="N630" s="116"/>
      <c r="O630" s="117"/>
      <c r="P630" s="118" t="str">
        <f t="shared" si="21"/>
        <v xml:space="preserve"> </v>
      </c>
      <c r="Q630" s="119"/>
      <c r="R630" s="4"/>
    </row>
    <row r="631" spans="1:18">
      <c r="A631" s="1">
        <f t="shared" ref="A631:A669" si="22">+A630</f>
        <v>0</v>
      </c>
      <c r="B631" s="2"/>
      <c r="C631" s="8"/>
      <c r="D631" s="109" t="str">
        <f>IFERROR(INDEX([239]EQUIPOS!B:B,MATCH(B631,[239]EQUIPOS!A:A,0)),"")</f>
        <v/>
      </c>
      <c r="E631" s="110"/>
      <c r="F631" s="110"/>
      <c r="G631" s="110"/>
      <c r="H631" s="111"/>
      <c r="I631" s="120"/>
      <c r="J631" s="121"/>
      <c r="K631" s="113" t="str">
        <f>IFERROR(INDEX([239]EQUIPOS!C:C,MATCH(B631,[239]EQUIPOS!A:A,0)),"")</f>
        <v/>
      </c>
      <c r="L631" s="114"/>
      <c r="M631" s="115" t="str">
        <f>IFERROR(IF(D631="HERRAMIENTA MENOR (% M.O)",P670,INDEX([239]EQUIPOS!D:D,MATCH(B631,[239]EQUIPOS!A:A,0))),"")</f>
        <v/>
      </c>
      <c r="N631" s="116"/>
      <c r="O631" s="117"/>
      <c r="P631" s="118" t="str">
        <f t="shared" si="21"/>
        <v xml:space="preserve"> </v>
      </c>
      <c r="Q631" s="119"/>
      <c r="R631" s="4"/>
    </row>
    <row r="632" spans="1:18">
      <c r="A632" s="1">
        <f t="shared" si="22"/>
        <v>0</v>
      </c>
      <c r="B632" s="2"/>
      <c r="C632" s="8"/>
      <c r="D632" s="109" t="str">
        <f>IFERROR(INDEX([239]EQUIPOS!B:B,MATCH(B632,[239]EQUIPOS!A:A,0)),"")</f>
        <v/>
      </c>
      <c r="E632" s="110"/>
      <c r="F632" s="110"/>
      <c r="G632" s="110"/>
      <c r="H632" s="111"/>
      <c r="I632" s="120"/>
      <c r="J632" s="121"/>
      <c r="K632" s="113" t="str">
        <f>IFERROR(INDEX([239]EQUIPOS!C:C,MATCH(B632,[239]EQUIPOS!A:A,0)),"")</f>
        <v/>
      </c>
      <c r="L632" s="114"/>
      <c r="M632" s="115" t="str">
        <f>IFERROR(IF(D632="HERRAMIENTA MENOR (% M.O)",P671,INDEX([239]EQUIPOS!D:D,MATCH(B632,[239]EQUIPOS!A:A,0))),"")</f>
        <v/>
      </c>
      <c r="N632" s="116"/>
      <c r="O632" s="117"/>
      <c r="P632" s="118" t="str">
        <f t="shared" si="21"/>
        <v xml:space="preserve"> </v>
      </c>
      <c r="Q632" s="119"/>
      <c r="R632" s="4"/>
    </row>
    <row r="633" spans="1:18">
      <c r="A633" s="1">
        <f t="shared" si="22"/>
        <v>0</v>
      </c>
      <c r="B633" s="2"/>
      <c r="C633" s="8"/>
      <c r="D633" s="109" t="str">
        <f>IFERROR(INDEX([239]EQUIPOS!B:B,MATCH(B633,[239]EQUIPOS!A:A,0)),"")</f>
        <v/>
      </c>
      <c r="E633" s="110"/>
      <c r="F633" s="110"/>
      <c r="G633" s="110"/>
      <c r="H633" s="111"/>
      <c r="I633" s="112"/>
      <c r="J633" s="111"/>
      <c r="K633" s="113" t="str">
        <f>IFERROR(INDEX([239]EQUIPOS!C:C,MATCH(B633,[239]EQUIPOS!A:A,0)),"")</f>
        <v/>
      </c>
      <c r="L633" s="114"/>
      <c r="M633" s="115" t="str">
        <f>IFERROR(IF(D633="HERRAMIENTA MENOR (% M.O)",P672,INDEX([239]EQUIPOS!D:D,MATCH(B633,[239]EQUIPOS!A:A,0))),"")</f>
        <v/>
      </c>
      <c r="N633" s="116"/>
      <c r="O633" s="117"/>
      <c r="P633" s="118" t="str">
        <f t="shared" si="21"/>
        <v xml:space="preserve"> </v>
      </c>
      <c r="Q633" s="119"/>
      <c r="R633" s="4"/>
    </row>
    <row r="634" spans="1:18" ht="15.75" thickBot="1">
      <c r="A634" s="1">
        <f t="shared" si="22"/>
        <v>0</v>
      </c>
      <c r="B634" s="2"/>
      <c r="C634" s="8"/>
      <c r="D634" s="109" t="str">
        <f>IFERROR(INDEX([239]EQUIPOS!B:B,MATCH(B634,[239]EQUIPOS!A:A,0)),"")</f>
        <v/>
      </c>
      <c r="E634" s="78"/>
      <c r="F634" s="78"/>
      <c r="G634" s="78"/>
      <c r="H634" s="122"/>
      <c r="I634" s="123"/>
      <c r="J634" s="122"/>
      <c r="K634" s="113" t="str">
        <f>IFERROR(INDEX([239]EQUIPOS!C:C,MATCH(B634,[239]EQUIPOS!A:A,0)),"")</f>
        <v/>
      </c>
      <c r="L634" s="124"/>
      <c r="M634" s="115" t="str">
        <f>IFERROR(IF(D634="HERRAMIENTA MENOR (% M.O)",P673,INDEX([239]EQUIPOS!D:D,MATCH(B634,[239]EQUIPOS!A:A,0))),"")</f>
        <v/>
      </c>
      <c r="N634" s="125"/>
      <c r="O634" s="126"/>
      <c r="P634" s="127" t="str">
        <f t="shared" si="21"/>
        <v xml:space="preserve"> </v>
      </c>
      <c r="Q634" s="119"/>
      <c r="R634" s="4"/>
    </row>
    <row r="635" spans="1:18" ht="15.75" thickBot="1">
      <c r="A635" s="1">
        <f t="shared" si="22"/>
        <v>0</v>
      </c>
      <c r="B635" s="2"/>
      <c r="C635" s="8"/>
      <c r="D635" s="128" t="s">
        <v>24</v>
      </c>
      <c r="E635" s="129"/>
      <c r="F635" s="129"/>
      <c r="G635" s="129"/>
      <c r="H635" s="129"/>
      <c r="I635" s="129"/>
      <c r="J635" s="129"/>
      <c r="K635" s="129"/>
      <c r="L635" s="129"/>
      <c r="M635" s="129"/>
      <c r="N635" s="129"/>
      <c r="O635" s="130"/>
      <c r="P635" s="131">
        <f>SUM(P629:P634)</f>
        <v>5439.3</v>
      </c>
      <c r="Q635" s="132"/>
      <c r="R635" s="4"/>
    </row>
    <row r="636" spans="1:18" ht="15.75" thickBot="1">
      <c r="A636" s="1">
        <f t="shared" si="22"/>
        <v>0</v>
      </c>
      <c r="B636" s="2"/>
      <c r="C636" s="8"/>
      <c r="D636" s="74" t="s">
        <v>25</v>
      </c>
      <c r="E636" s="37"/>
      <c r="F636" s="37"/>
      <c r="G636" s="37"/>
      <c r="H636" s="37"/>
      <c r="I636" s="37"/>
      <c r="J636" s="37"/>
      <c r="K636" s="37"/>
      <c r="L636" s="37"/>
      <c r="M636" s="37"/>
      <c r="N636" s="37"/>
      <c r="O636" s="37"/>
      <c r="P636" s="99"/>
      <c r="Q636" s="100"/>
      <c r="R636" s="4"/>
    </row>
    <row r="637" spans="1:18">
      <c r="A637" s="1">
        <f t="shared" si="22"/>
        <v>0</v>
      </c>
      <c r="B637" s="2"/>
      <c r="C637" s="8"/>
      <c r="D637" s="101" t="s">
        <v>14</v>
      </c>
      <c r="E637" s="133"/>
      <c r="F637" s="133"/>
      <c r="G637" s="133"/>
      <c r="H637" s="133"/>
      <c r="I637" s="133"/>
      <c r="J637" s="133"/>
      <c r="K637" s="105"/>
      <c r="L637" s="134" t="s">
        <v>15</v>
      </c>
      <c r="M637" s="106" t="s">
        <v>16</v>
      </c>
      <c r="N637" s="104" t="s">
        <v>26</v>
      </c>
      <c r="O637" s="105"/>
      <c r="P637" s="107" t="s">
        <v>22</v>
      </c>
      <c r="Q637" s="108"/>
      <c r="R637" s="4"/>
    </row>
    <row r="638" spans="1:18">
      <c r="A638" s="1">
        <f t="shared" si="22"/>
        <v>0</v>
      </c>
      <c r="B638" s="2" t="s">
        <v>329</v>
      </c>
      <c r="C638" s="8"/>
      <c r="D638" s="109" t="str">
        <f>IFERROR(INDEX([239]MATERIALES!C:C,MATCH(B638,[239]MATERIALES!B:B,0)),"")</f>
        <v>CERÁMICA PARA MURO</v>
      </c>
      <c r="E638" s="135"/>
      <c r="F638" s="135"/>
      <c r="G638" s="135"/>
      <c r="H638" s="135"/>
      <c r="I638" s="135"/>
      <c r="J638" s="135"/>
      <c r="K638" s="136"/>
      <c r="L638" s="137" t="str">
        <f>IFERROR(INDEX([239]MATERIALES!D:D,MATCH(B638,[239]MATERIALES!B:B,0)),"")</f>
        <v>M2</v>
      </c>
      <c r="M638" s="138">
        <v>1</v>
      </c>
      <c r="N638" s="139">
        <f>IFERROR(INDEX([239]MATERIALES!P:P,MATCH(B638,[239]MATERIALES!B:B,0)),"")</f>
        <v>50450</v>
      </c>
      <c r="O638" s="140"/>
      <c r="P638" s="118">
        <f>IFERROR(ROUND(N638*M638,2),"")</f>
        <v>50450</v>
      </c>
      <c r="Q638" s="119"/>
      <c r="R638" s="4"/>
    </row>
    <row r="639" spans="1:18">
      <c r="A639" s="1">
        <f t="shared" si="22"/>
        <v>0</v>
      </c>
      <c r="B639" s="2" t="s">
        <v>330</v>
      </c>
      <c r="C639" s="8"/>
      <c r="D639" s="109" t="str">
        <f>IFERROR(INDEX([239]MATERIALES!C:C,MATCH(B639,[239]MATERIALES!B:B,0)),"")</f>
        <v>PEGANTE CERÁMICO (PEGACOR O SIMILAR)</v>
      </c>
      <c r="E639" s="135"/>
      <c r="F639" s="135"/>
      <c r="G639" s="135"/>
      <c r="H639" s="135"/>
      <c r="I639" s="135"/>
      <c r="J639" s="135"/>
      <c r="K639" s="136"/>
      <c r="L639" s="137" t="str">
        <f>IFERROR(INDEX([239]MATERIALES!D:D,MATCH(B639,[239]MATERIALES!B:B,0)),"")</f>
        <v>KG</v>
      </c>
      <c r="M639" s="138">
        <v>5</v>
      </c>
      <c r="N639" s="139">
        <f>IFERROR(INDEX([239]MATERIALES!P:P,MATCH(B639,[239]MATERIALES!B:B,0)),"")</f>
        <v>1397.76</v>
      </c>
      <c r="O639" s="140"/>
      <c r="P639" s="118">
        <f>IFERROR(ROUND(N639*M639,2),"")</f>
        <v>6988.8</v>
      </c>
      <c r="Q639" s="119"/>
      <c r="R639" s="4"/>
    </row>
    <row r="640" spans="1:18">
      <c r="A640" s="1">
        <f t="shared" si="22"/>
        <v>0</v>
      </c>
      <c r="B640" s="2" t="s">
        <v>331</v>
      </c>
      <c r="C640" s="8"/>
      <c r="D640" s="109" t="str">
        <f>IFERROR(INDEX([239]MATERIALES!C:C,MATCH(B640,[239]MATERIALES!B:B,0)),"")</f>
        <v>BOQUILLA PARA JUNTAS</v>
      </c>
      <c r="E640" s="110"/>
      <c r="F640" s="110"/>
      <c r="G640" s="110"/>
      <c r="H640" s="110"/>
      <c r="I640" s="110"/>
      <c r="J640" s="110"/>
      <c r="K640" s="111"/>
      <c r="L640" s="137" t="str">
        <f>IFERROR(INDEX([239]MATERIALES!D:D,MATCH(B640,[239]MATERIALES!B:B,0)),"")</f>
        <v>KG</v>
      </c>
      <c r="M640" s="138">
        <v>0.25</v>
      </c>
      <c r="N640" s="139">
        <f>IFERROR(INDEX([239]MATERIALES!P:P,MATCH(B640,[239]MATERIALES!B:B,0)),"")</f>
        <v>7350</v>
      </c>
      <c r="O640" s="140"/>
      <c r="P640" s="118">
        <f>IFERROR(ROUND(N640*M640,2),"")</f>
        <v>1837.5</v>
      </c>
      <c r="Q640" s="119"/>
      <c r="R640" s="4"/>
    </row>
    <row r="641" spans="1:18">
      <c r="A641" s="1">
        <f t="shared" si="22"/>
        <v>0</v>
      </c>
      <c r="B641" s="2" t="s">
        <v>332</v>
      </c>
      <c r="C641" s="8"/>
      <c r="D641" s="109" t="str">
        <f>IFERROR(INDEX([239]MATERIALES!C:C,MATCH(B641,[239]MATERIALES!B:B,0)),"")</f>
        <v>NIVELADOR PLÁSTICO REUTILIZABLE</v>
      </c>
      <c r="E641" s="110"/>
      <c r="F641" s="110"/>
      <c r="G641" s="110"/>
      <c r="H641" s="110"/>
      <c r="I641" s="110"/>
      <c r="J641" s="110"/>
      <c r="K641" s="111"/>
      <c r="L641" s="137" t="str">
        <f>IFERROR(INDEX([239]MATERIALES!D:D,MATCH(B641,[239]MATERIALES!B:B,0)),"")</f>
        <v>UND</v>
      </c>
      <c r="M641" s="138">
        <v>2</v>
      </c>
      <c r="N641" s="139">
        <f>IFERROR(INDEX([239]MATERIALES!P:P,MATCH(B641,[239]MATERIALES!B:B,0)),"")</f>
        <v>1453.92</v>
      </c>
      <c r="O641" s="140"/>
      <c r="P641" s="118">
        <f>IFERROR(ROUND(N641*M641,2),"")</f>
        <v>2907.84</v>
      </c>
      <c r="Q641" s="119"/>
      <c r="R641" s="4"/>
    </row>
    <row r="642" spans="1:18">
      <c r="A642" s="1">
        <f t="shared" si="22"/>
        <v>0</v>
      </c>
      <c r="B642" s="2" t="s">
        <v>333</v>
      </c>
      <c r="C642" s="8"/>
      <c r="D642" s="109" t="str">
        <f>IFERROR(INDEX([239]MATERIALES!C:C,MATCH(B642,[239]MATERIALES!B:B,0)),"")</f>
        <v>JUNTA PLÁSTICA PARA ENCAPE 3 MM</v>
      </c>
      <c r="E642" s="110"/>
      <c r="F642" s="110"/>
      <c r="G642" s="110"/>
      <c r="H642" s="110"/>
      <c r="I642" s="110"/>
      <c r="J642" s="110"/>
      <c r="K642" s="111"/>
      <c r="L642" s="137" t="str">
        <f>IFERROR(INDEX([239]MATERIALES!D:D,MATCH(B642,[239]MATERIALES!B:B,0)),"")</f>
        <v>UND</v>
      </c>
      <c r="M642" s="138">
        <v>3</v>
      </c>
      <c r="N642" s="139">
        <f>IFERROR(INDEX([239]MATERIALES!P:P,MATCH(B642,[239]MATERIALES!B:B,0)),"")</f>
        <v>67.5</v>
      </c>
      <c r="O642" s="140"/>
      <c r="P642" s="118">
        <f t="shared" ref="P642:P651" si="23">IFERROR(ROUND(N642*M642,2),"")</f>
        <v>202.5</v>
      </c>
      <c r="Q642" s="119"/>
      <c r="R642" s="4"/>
    </row>
    <row r="643" spans="1:18">
      <c r="A643" s="1">
        <f t="shared" si="22"/>
        <v>0</v>
      </c>
      <c r="B643" s="2"/>
      <c r="C643" s="8"/>
      <c r="D643" s="109" t="str">
        <f>IFERROR(INDEX([239]MATERIALES!C:C,MATCH(B643,[239]MATERIALES!B:B,0)),"")</f>
        <v/>
      </c>
      <c r="E643" s="110"/>
      <c r="F643" s="110"/>
      <c r="G643" s="110"/>
      <c r="H643" s="110"/>
      <c r="I643" s="110"/>
      <c r="J643" s="110"/>
      <c r="K643" s="111"/>
      <c r="L643" s="137" t="str">
        <f>IFERROR(INDEX([239]MATERIALES!D:D,MATCH(B643,[239]MATERIALES!B:B,0)),"")</f>
        <v/>
      </c>
      <c r="M643" s="138"/>
      <c r="N643" s="139" t="str">
        <f>IFERROR(INDEX([239]MATERIALES!P:P,MATCH(B643,[239]MATERIALES!B:B,0)),"")</f>
        <v/>
      </c>
      <c r="O643" s="140"/>
      <c r="P643" s="118" t="str">
        <f t="shared" si="23"/>
        <v/>
      </c>
      <c r="Q643" s="119"/>
      <c r="R643" s="4"/>
    </row>
    <row r="644" spans="1:18">
      <c r="A644" s="1">
        <f t="shared" si="22"/>
        <v>0</v>
      </c>
      <c r="B644" s="2"/>
      <c r="C644" s="8"/>
      <c r="D644" s="109" t="str">
        <f>IFERROR(INDEX([239]MATERIALES!C:C,MATCH(B644,[239]MATERIALES!B:B,0)),"")</f>
        <v/>
      </c>
      <c r="E644" s="110"/>
      <c r="F644" s="110"/>
      <c r="G644" s="110"/>
      <c r="H644" s="110"/>
      <c r="I644" s="110"/>
      <c r="J644" s="110"/>
      <c r="K644" s="111"/>
      <c r="L644" s="137" t="str">
        <f>IFERROR(INDEX([239]MATERIALES!D:D,MATCH(B644,[239]MATERIALES!B:B,0)),"")</f>
        <v/>
      </c>
      <c r="M644" s="138"/>
      <c r="N644" s="139" t="str">
        <f>IFERROR(INDEX([239]MATERIALES!P:P,MATCH(B644,[239]MATERIALES!B:B,0)),"")</f>
        <v/>
      </c>
      <c r="O644" s="140"/>
      <c r="P644" s="118" t="str">
        <f t="shared" si="23"/>
        <v/>
      </c>
      <c r="Q644" s="119"/>
      <c r="R644" s="4"/>
    </row>
    <row r="645" spans="1:18">
      <c r="A645" s="1">
        <f t="shared" si="22"/>
        <v>0</v>
      </c>
      <c r="B645" s="2"/>
      <c r="C645" s="8"/>
      <c r="D645" s="109" t="str">
        <f>IFERROR(INDEX([239]MATERIALES!C:C,MATCH(B645,[239]MATERIALES!B:B,0)),"")</f>
        <v/>
      </c>
      <c r="E645" s="110"/>
      <c r="F645" s="110"/>
      <c r="G645" s="110"/>
      <c r="H645" s="110"/>
      <c r="I645" s="110"/>
      <c r="J645" s="110"/>
      <c r="K645" s="111"/>
      <c r="L645" s="137" t="str">
        <f>IFERROR(INDEX([239]MATERIALES!D:D,MATCH(B645,[239]MATERIALES!B:B,0)),"")</f>
        <v/>
      </c>
      <c r="M645" s="138"/>
      <c r="N645" s="139" t="str">
        <f>IFERROR(INDEX([239]MATERIALES!P:P,MATCH(B645,[239]MATERIALES!B:B,0)),"")</f>
        <v/>
      </c>
      <c r="O645" s="140"/>
      <c r="P645" s="118" t="str">
        <f t="shared" si="23"/>
        <v/>
      </c>
      <c r="Q645" s="119"/>
      <c r="R645" s="4"/>
    </row>
    <row r="646" spans="1:18">
      <c r="A646" s="1">
        <f t="shared" si="22"/>
        <v>0</v>
      </c>
      <c r="B646" s="2"/>
      <c r="C646" s="8"/>
      <c r="D646" s="109" t="str">
        <f>IFERROR(INDEX([239]MATERIALES!C:C,MATCH(B646,[239]MATERIALES!B:B,0)),"")</f>
        <v/>
      </c>
      <c r="E646" s="110"/>
      <c r="F646" s="110"/>
      <c r="G646" s="110"/>
      <c r="H646" s="110"/>
      <c r="I646" s="110"/>
      <c r="J646" s="110"/>
      <c r="K646" s="111"/>
      <c r="L646" s="137" t="str">
        <f>IFERROR(INDEX([239]MATERIALES!D:D,MATCH(B646,[239]MATERIALES!B:B,0)),"")</f>
        <v/>
      </c>
      <c r="M646" s="138"/>
      <c r="N646" s="139" t="str">
        <f>IFERROR(INDEX([239]MATERIALES!P:P,MATCH(B646,[239]MATERIALES!B:B,0)),"")</f>
        <v/>
      </c>
      <c r="O646" s="140"/>
      <c r="P646" s="118" t="str">
        <f t="shared" si="23"/>
        <v/>
      </c>
      <c r="Q646" s="119"/>
      <c r="R646" s="4"/>
    </row>
    <row r="647" spans="1:18">
      <c r="A647" s="1">
        <f t="shared" si="22"/>
        <v>0</v>
      </c>
      <c r="B647" s="2"/>
      <c r="C647" s="8"/>
      <c r="D647" s="109" t="str">
        <f>IFERROR(INDEX([239]MATERIALES!C:C,MATCH(B647,[239]MATERIALES!B:B,0)),"")</f>
        <v/>
      </c>
      <c r="E647" s="110"/>
      <c r="F647" s="110"/>
      <c r="G647" s="110"/>
      <c r="H647" s="110"/>
      <c r="I647" s="110"/>
      <c r="J647" s="110"/>
      <c r="K647" s="111"/>
      <c r="L647" s="137" t="str">
        <f>IFERROR(INDEX([239]MATERIALES!D:D,MATCH(B647,[239]MATERIALES!B:B,0)),"")</f>
        <v/>
      </c>
      <c r="M647" s="138"/>
      <c r="N647" s="139" t="str">
        <f>IFERROR(INDEX([239]MATERIALES!P:P,MATCH(B647,[239]MATERIALES!B:B,0)),"")</f>
        <v/>
      </c>
      <c r="O647" s="140"/>
      <c r="P647" s="118" t="str">
        <f t="shared" si="23"/>
        <v/>
      </c>
      <c r="Q647" s="119"/>
      <c r="R647" s="4"/>
    </row>
    <row r="648" spans="1:18">
      <c r="A648" s="1">
        <f t="shared" si="22"/>
        <v>0</v>
      </c>
      <c r="B648" s="2"/>
      <c r="C648" s="8"/>
      <c r="D648" s="109" t="str">
        <f>IFERROR(INDEX([239]MATERIALES!C:C,MATCH(B648,[239]MATERIALES!B:B,0)),"")</f>
        <v/>
      </c>
      <c r="E648" s="110"/>
      <c r="F648" s="110"/>
      <c r="G648" s="110"/>
      <c r="H648" s="110"/>
      <c r="I648" s="110"/>
      <c r="J648" s="110"/>
      <c r="K648" s="111"/>
      <c r="L648" s="137" t="str">
        <f>IFERROR(INDEX([239]MATERIALES!D:D,MATCH(B648,[239]MATERIALES!B:B,0)),"")</f>
        <v/>
      </c>
      <c r="M648" s="138"/>
      <c r="N648" s="139" t="str">
        <f>IFERROR(INDEX([239]MATERIALES!P:P,MATCH(B648,[239]MATERIALES!B:B,0)),"")</f>
        <v/>
      </c>
      <c r="O648" s="140"/>
      <c r="P648" s="118" t="str">
        <f t="shared" si="23"/>
        <v/>
      </c>
      <c r="Q648" s="119"/>
      <c r="R648" s="4"/>
    </row>
    <row r="649" spans="1:18">
      <c r="A649" s="1">
        <f t="shared" si="22"/>
        <v>0</v>
      </c>
      <c r="B649" s="2"/>
      <c r="C649" s="8"/>
      <c r="D649" s="109" t="str">
        <f>IFERROR(INDEX([239]MATERIALES!C:C,MATCH(B649,[239]MATERIALES!B:B,0)),"")</f>
        <v/>
      </c>
      <c r="E649" s="110"/>
      <c r="F649" s="110"/>
      <c r="G649" s="110"/>
      <c r="H649" s="110"/>
      <c r="I649" s="110"/>
      <c r="J649" s="110"/>
      <c r="K649" s="111"/>
      <c r="L649" s="137" t="str">
        <f>IFERROR(INDEX([239]MATERIALES!D:D,MATCH(B649,[239]MATERIALES!B:B,0)),"")</f>
        <v/>
      </c>
      <c r="M649" s="138"/>
      <c r="N649" s="139" t="str">
        <f>IFERROR(INDEX([239]MATERIALES!P:P,MATCH(B649,[239]MATERIALES!B:B,0)),"")</f>
        <v/>
      </c>
      <c r="O649" s="140"/>
      <c r="P649" s="118" t="str">
        <f t="shared" si="23"/>
        <v/>
      </c>
      <c r="Q649" s="119"/>
      <c r="R649" s="4"/>
    </row>
    <row r="650" spans="1:18">
      <c r="A650" s="1">
        <f t="shared" si="22"/>
        <v>0</v>
      </c>
      <c r="B650" s="2"/>
      <c r="C650" s="8"/>
      <c r="D650" s="109" t="str">
        <f>IFERROR(INDEX([239]MATERIALES!C:C,MATCH(B650,[239]MATERIALES!B:B,0)),"")</f>
        <v/>
      </c>
      <c r="E650" s="110"/>
      <c r="F650" s="110"/>
      <c r="G650" s="110"/>
      <c r="H650" s="110"/>
      <c r="I650" s="110"/>
      <c r="J650" s="110"/>
      <c r="K650" s="111"/>
      <c r="L650" s="137" t="str">
        <f>IFERROR(INDEX([239]MATERIALES!D:D,MATCH(B650,[239]MATERIALES!B:B,0)),"")</f>
        <v/>
      </c>
      <c r="M650" s="138"/>
      <c r="N650" s="139" t="str">
        <f>IFERROR(INDEX([239]MATERIALES!P:P,MATCH(B650,[239]MATERIALES!B:B,0)),"")</f>
        <v/>
      </c>
      <c r="O650" s="140"/>
      <c r="P650" s="118" t="str">
        <f t="shared" si="23"/>
        <v/>
      </c>
      <c r="Q650" s="119"/>
      <c r="R650" s="4"/>
    </row>
    <row r="651" spans="1:18">
      <c r="A651" s="1">
        <f t="shared" si="22"/>
        <v>0</v>
      </c>
      <c r="B651" s="2"/>
      <c r="C651" s="8"/>
      <c r="D651" s="109" t="str">
        <f>IFERROR(INDEX([239]MATERIALES!C:C,MATCH(B651,[239]MATERIALES!B:B,0)),"")</f>
        <v/>
      </c>
      <c r="E651" s="110"/>
      <c r="F651" s="110"/>
      <c r="G651" s="110"/>
      <c r="H651" s="110"/>
      <c r="I651" s="110"/>
      <c r="J651" s="110"/>
      <c r="K651" s="111"/>
      <c r="L651" s="137" t="str">
        <f>IFERROR(INDEX([239]MATERIALES!D:D,MATCH(B651,[239]MATERIALES!B:B,0)),"")</f>
        <v/>
      </c>
      <c r="M651" s="138"/>
      <c r="N651" s="139" t="str">
        <f>IFERROR(INDEX([239]MATERIALES!P:P,MATCH(B651,[239]MATERIALES!B:B,0)),"")</f>
        <v/>
      </c>
      <c r="O651" s="140"/>
      <c r="P651" s="118" t="str">
        <f t="shared" si="23"/>
        <v/>
      </c>
      <c r="Q651" s="119"/>
      <c r="R651" s="4"/>
    </row>
    <row r="652" spans="1:18" ht="15.75" thickBot="1">
      <c r="A652" s="1">
        <f t="shared" si="22"/>
        <v>0</v>
      </c>
      <c r="B652" s="2"/>
      <c r="C652" s="8"/>
      <c r="D652" s="109" t="s">
        <v>28</v>
      </c>
      <c r="E652" s="110"/>
      <c r="F652" s="110"/>
      <c r="G652" s="110"/>
      <c r="H652" s="110"/>
      <c r="I652" s="110"/>
      <c r="J652" s="110"/>
      <c r="K652" s="111"/>
      <c r="L652" s="137" t="s">
        <v>29</v>
      </c>
      <c r="M652" s="138">
        <v>0.05</v>
      </c>
      <c r="N652" s="139">
        <f>SUM(P638:P651)</f>
        <v>62386.64</v>
      </c>
      <c r="O652" s="140"/>
      <c r="P652" s="118">
        <f>ROUND(N652*M652,2)</f>
        <v>3119.33</v>
      </c>
      <c r="Q652" s="119"/>
      <c r="R652" s="4"/>
    </row>
    <row r="653" spans="1:18" ht="15.75" thickBot="1">
      <c r="A653" s="1">
        <f t="shared" si="22"/>
        <v>0</v>
      </c>
      <c r="B653" s="2"/>
      <c r="C653" s="8"/>
      <c r="D653" s="128" t="s">
        <v>24</v>
      </c>
      <c r="E653" s="129"/>
      <c r="F653" s="129"/>
      <c r="G653" s="129"/>
      <c r="H653" s="129"/>
      <c r="I653" s="129"/>
      <c r="J653" s="129"/>
      <c r="K653" s="129"/>
      <c r="L653" s="129"/>
      <c r="M653" s="129"/>
      <c r="N653" s="129"/>
      <c r="O653" s="130"/>
      <c r="P653" s="131">
        <f>SUM(P638:P652)</f>
        <v>65505.97</v>
      </c>
      <c r="Q653" s="119"/>
      <c r="R653" s="4"/>
    </row>
    <row r="654" spans="1:18" ht="15.75" thickBot="1">
      <c r="A654" s="1">
        <f t="shared" si="22"/>
        <v>0</v>
      </c>
      <c r="B654" s="2"/>
      <c r="C654" s="8"/>
      <c r="D654" s="74" t="s">
        <v>30</v>
      </c>
      <c r="E654" s="37"/>
      <c r="F654" s="37"/>
      <c r="G654" s="37"/>
      <c r="H654" s="37"/>
      <c r="I654" s="37"/>
      <c r="J654" s="37"/>
      <c r="K654" s="37"/>
      <c r="L654" s="37"/>
      <c r="M654" s="37"/>
      <c r="N654" s="37"/>
      <c r="O654" s="37"/>
      <c r="P654" s="99"/>
      <c r="Q654" s="100"/>
      <c r="R654" s="4"/>
    </row>
    <row r="655" spans="1:18">
      <c r="A655" s="1">
        <f t="shared" si="22"/>
        <v>0</v>
      </c>
      <c r="B655" s="2"/>
      <c r="C655" s="8"/>
      <c r="D655" s="101" t="s">
        <v>31</v>
      </c>
      <c r="E655" s="133"/>
      <c r="F655" s="133"/>
      <c r="G655" s="133"/>
      <c r="H655" s="133"/>
      <c r="I655" s="133"/>
      <c r="J655" s="133"/>
      <c r="K655" s="106" t="s">
        <v>32</v>
      </c>
      <c r="L655" s="141" t="s">
        <v>33</v>
      </c>
      <c r="M655" s="106" t="s">
        <v>34</v>
      </c>
      <c r="N655" s="104" t="s">
        <v>20</v>
      </c>
      <c r="O655" s="105"/>
      <c r="P655" s="107" t="s">
        <v>22</v>
      </c>
      <c r="Q655" s="108"/>
      <c r="R655" s="4"/>
    </row>
    <row r="656" spans="1:18">
      <c r="A656" s="1">
        <f t="shared" si="22"/>
        <v>0</v>
      </c>
      <c r="B656" s="2"/>
      <c r="C656" s="8"/>
      <c r="D656" s="142" t="str">
        <f>IFERROR(INDEX([239]TRANSPORTES!B:B,MATCH(B656,[239]TRANSPORTES!A:A,0)),"")</f>
        <v/>
      </c>
      <c r="E656" s="143"/>
      <c r="F656" s="143"/>
      <c r="G656" s="143"/>
      <c r="H656" s="143"/>
      <c r="I656" s="143"/>
      <c r="J656" s="143"/>
      <c r="K656" s="220"/>
      <c r="L656" s="145"/>
      <c r="M656" s="146" t="str">
        <f>IFERROR(INDEX([239]TRANSPORTES!C:C,MATCH(B656,[239]TRANSPORTES!A:A,0)),"")</f>
        <v/>
      </c>
      <c r="N656" s="139" t="str">
        <f>IFERROR(INDEX([239]TRANSPORTES!D:D,MATCH(B656,[239]TRANSPORTES!A:A,0)),"")</f>
        <v/>
      </c>
      <c r="O656" s="147"/>
      <c r="P656" s="148" t="str">
        <f>IFERROR(ROUND(K656*N656*L656,2),"")</f>
        <v/>
      </c>
      <c r="Q656" s="119"/>
      <c r="R656" s="4"/>
    </row>
    <row r="657" spans="1:18">
      <c r="A657" s="1">
        <f t="shared" si="22"/>
        <v>0</v>
      </c>
      <c r="B657" s="2"/>
      <c r="C657" s="8"/>
      <c r="D657" s="142" t="str">
        <f>IFERROR(INDEX([239]TRANSPORTES!B:B,MATCH(B657,[239]TRANSPORTES!A:A,0)),"")</f>
        <v/>
      </c>
      <c r="E657" s="143"/>
      <c r="F657" s="143"/>
      <c r="G657" s="143"/>
      <c r="H657" s="143"/>
      <c r="I657" s="143"/>
      <c r="J657" s="143"/>
      <c r="K657" s="144"/>
      <c r="L657" s="145"/>
      <c r="M657" s="146" t="str">
        <f>IFERROR(INDEX([239]TRANSPORTES!C:C,MATCH(B657,[239]TRANSPORTES!A:A,0)),"")</f>
        <v/>
      </c>
      <c r="N657" s="139" t="str">
        <f>IFERROR(INDEX([239]TRANSPORTES!D:D,MATCH(B657,[239]TRANSPORTES!A:A,0)),"")</f>
        <v/>
      </c>
      <c r="O657" s="147"/>
      <c r="P657" s="148" t="str">
        <f>IFERROR(ROUND(K657*N657*L657,2),"")</f>
        <v/>
      </c>
      <c r="Q657" s="119"/>
      <c r="R657" s="4"/>
    </row>
    <row r="658" spans="1:18">
      <c r="A658" s="1">
        <f t="shared" si="22"/>
        <v>0</v>
      </c>
      <c r="B658" s="2"/>
      <c r="C658" s="8"/>
      <c r="D658" s="142" t="str">
        <f>IFERROR(INDEX([239]TRANSPORTES!B:B,MATCH(B658,[239]TRANSPORTES!A:A,0)),"")</f>
        <v/>
      </c>
      <c r="E658" s="143"/>
      <c r="F658" s="143"/>
      <c r="G658" s="143"/>
      <c r="H658" s="143"/>
      <c r="I658" s="143"/>
      <c r="J658" s="143"/>
      <c r="K658" s="144"/>
      <c r="L658" s="145"/>
      <c r="M658" s="146" t="str">
        <f>IFERROR(INDEX([239]TRANSPORTES!C:C,MATCH(B658,[239]TRANSPORTES!A:A,0)),"")</f>
        <v/>
      </c>
      <c r="N658" s="139" t="str">
        <f>IFERROR(INDEX([239]TRANSPORTES!D:D,MATCH(B658,[239]TRANSPORTES!A:A,0)),"")</f>
        <v/>
      </c>
      <c r="O658" s="147"/>
      <c r="P658" s="148" t="str">
        <f>IFERROR(ROUND(K658*N658*L658,2),"")</f>
        <v/>
      </c>
      <c r="Q658" s="119"/>
      <c r="R658" s="4"/>
    </row>
    <row r="659" spans="1:18" ht="15.75" thickBot="1">
      <c r="A659" s="1">
        <f t="shared" si="22"/>
        <v>0</v>
      </c>
      <c r="B659" s="2"/>
      <c r="C659" s="8"/>
      <c r="D659" s="142" t="str">
        <f>IFERROR(INDEX([239]TRANSPORTES!B:B,MATCH(B659,[239]TRANSPORTES!A:A,0)),"")</f>
        <v/>
      </c>
      <c r="E659" s="143"/>
      <c r="F659" s="143"/>
      <c r="G659" s="143"/>
      <c r="H659" s="143"/>
      <c r="I659" s="143"/>
      <c r="J659" s="143"/>
      <c r="K659" s="149"/>
      <c r="L659" s="150"/>
      <c r="M659" s="146" t="str">
        <f>IFERROR(INDEX([239]TRANSPORTES!C:C,MATCH(B659,[239]TRANSPORTES!A:A,0)),"")</f>
        <v/>
      </c>
      <c r="N659" s="139" t="str">
        <f>IFERROR(INDEX([239]TRANSPORTES!D:D,MATCH(B659,[239]TRANSPORTES!A:A,0)),"")</f>
        <v/>
      </c>
      <c r="O659" s="147"/>
      <c r="P659" s="148" t="str">
        <f>IFERROR(ROUND(K659*N659*L659,2),"")</f>
        <v/>
      </c>
      <c r="Q659" s="119"/>
      <c r="R659" s="4"/>
    </row>
    <row r="660" spans="1:18" ht="15.75" thickBot="1">
      <c r="A660" s="1">
        <f t="shared" si="22"/>
        <v>0</v>
      </c>
      <c r="B660" s="2"/>
      <c r="C660" s="8"/>
      <c r="D660" s="128" t="s">
        <v>24</v>
      </c>
      <c r="E660" s="129"/>
      <c r="F660" s="129"/>
      <c r="G660" s="129"/>
      <c r="H660" s="129"/>
      <c r="I660" s="129"/>
      <c r="J660" s="129"/>
      <c r="K660" s="129"/>
      <c r="L660" s="129"/>
      <c r="M660" s="129"/>
      <c r="N660" s="129"/>
      <c r="O660" s="130"/>
      <c r="P660" s="151">
        <f>SUM(P656:P659)</f>
        <v>0</v>
      </c>
      <c r="Q660" s="132"/>
      <c r="R660" s="4"/>
    </row>
    <row r="661" spans="1:18" ht="15.75" thickBot="1">
      <c r="A661" s="1">
        <f t="shared" si="22"/>
        <v>0</v>
      </c>
      <c r="B661" s="2"/>
      <c r="C661" s="8"/>
      <c r="D661" s="74" t="s">
        <v>36</v>
      </c>
      <c r="E661" s="37"/>
      <c r="F661" s="37"/>
      <c r="G661" s="37"/>
      <c r="H661" s="37"/>
      <c r="I661" s="37"/>
      <c r="J661" s="37"/>
      <c r="K661" s="37"/>
      <c r="L661" s="37"/>
      <c r="M661" s="37"/>
      <c r="N661" s="37"/>
      <c r="O661" s="37"/>
      <c r="P661" s="99"/>
      <c r="Q661" s="100"/>
      <c r="R661" s="4"/>
    </row>
    <row r="662" spans="1:18" ht="30">
      <c r="A662" s="1">
        <f t="shared" si="22"/>
        <v>0</v>
      </c>
      <c r="B662" s="2"/>
      <c r="C662" s="8"/>
      <c r="D662" s="101" t="s">
        <v>37</v>
      </c>
      <c r="E662" s="133"/>
      <c r="F662" s="133"/>
      <c r="G662" s="133"/>
      <c r="H662" s="133"/>
      <c r="I662" s="133"/>
      <c r="J662" s="133"/>
      <c r="K662" s="106" t="s">
        <v>38</v>
      </c>
      <c r="L662" s="152" t="s">
        <v>39</v>
      </c>
      <c r="M662" s="153" t="s">
        <v>40</v>
      </c>
      <c r="N662" s="104" t="s">
        <v>21</v>
      </c>
      <c r="O662" s="105"/>
      <c r="P662" s="154" t="s">
        <v>22</v>
      </c>
      <c r="Q662" s="155"/>
      <c r="R662" s="4"/>
    </row>
    <row r="663" spans="1:18">
      <c r="A663" s="1">
        <f t="shared" si="22"/>
        <v>0</v>
      </c>
      <c r="B663" s="2" t="s">
        <v>41</v>
      </c>
      <c r="C663" s="8"/>
      <c r="D663" s="109" t="str">
        <f>IFERROR(INDEX('[239]MANO DE OBRA'!B:B,MATCH(B663,'[239]MANO DE OBRA'!A:A,0)),"")</f>
        <v>OFICIAL</v>
      </c>
      <c r="E663" s="110"/>
      <c r="F663" s="110"/>
      <c r="G663" s="110"/>
      <c r="H663" s="110"/>
      <c r="I663" s="110"/>
      <c r="J663" s="111"/>
      <c r="K663" s="156">
        <f>IFERROR(INDEX('[239]MANO DE OBRA'!D:D,MATCH(B663,'[239]MANO DE OBRA'!A:A,0)),"")</f>
        <v>95930</v>
      </c>
      <c r="L663" s="157">
        <f>+IF(D663&lt;&gt;"",'[239]FACTOR PRESTACIONAL'!$E$21," ")</f>
        <v>1.95</v>
      </c>
      <c r="M663" s="158">
        <f>IFERROR(K663*L663," ")</f>
        <v>187063.5</v>
      </c>
      <c r="N663" s="159">
        <v>6</v>
      </c>
      <c r="O663" s="160"/>
      <c r="P663" s="161">
        <f>IFERROR(ROUND(M663/N663,2)," ")</f>
        <v>31177.25</v>
      </c>
      <c r="Q663" s="162"/>
      <c r="R663" s="4"/>
    </row>
    <row r="664" spans="1:18">
      <c r="A664" s="1">
        <f t="shared" si="22"/>
        <v>0</v>
      </c>
      <c r="B664" s="2" t="s">
        <v>81</v>
      </c>
      <c r="C664" s="8"/>
      <c r="D664" s="109" t="str">
        <f>IFERROR(INDEX('[239]MANO DE OBRA'!B:B,MATCH(B664,'[239]MANO DE OBRA'!A:A,0)),"")</f>
        <v>AYUDANTE (1)</v>
      </c>
      <c r="E664" s="110"/>
      <c r="F664" s="110"/>
      <c r="G664" s="110"/>
      <c r="H664" s="110"/>
      <c r="I664" s="110"/>
      <c r="J664" s="111"/>
      <c r="K664" s="156">
        <f>IFERROR(INDEX('[239]MANO DE OBRA'!D:D,MATCH(B664,'[239]MANO DE OBRA'!A:A,0)),"")</f>
        <v>71433</v>
      </c>
      <c r="L664" s="157">
        <f>+IF(D664&lt;&gt;"",'[239]FACTOR PRESTACIONAL'!$E$21," ")</f>
        <v>1.95</v>
      </c>
      <c r="M664" s="158">
        <f>IFERROR(K664*L664," ")</f>
        <v>139294.35</v>
      </c>
      <c r="N664" s="159">
        <f>+N663</f>
        <v>6</v>
      </c>
      <c r="O664" s="160"/>
      <c r="P664" s="161">
        <f>IFERROR(ROUND(M664/N664,2)," ")</f>
        <v>23215.73</v>
      </c>
      <c r="Q664" s="162"/>
      <c r="R664" s="4"/>
    </row>
    <row r="665" spans="1:18">
      <c r="A665" s="1">
        <f t="shared" si="22"/>
        <v>0</v>
      </c>
      <c r="B665" s="2"/>
      <c r="C665" s="8"/>
      <c r="D665" s="109" t="str">
        <f>IFERROR(INDEX('[239]MANO DE OBRA'!B:B,MATCH(B665,'[239]MANO DE OBRA'!A:A,0)),"")</f>
        <v/>
      </c>
      <c r="E665" s="110"/>
      <c r="F665" s="110"/>
      <c r="G665" s="110"/>
      <c r="H665" s="110"/>
      <c r="I665" s="110"/>
      <c r="J665" s="111"/>
      <c r="K665" s="156" t="str">
        <f>IFERROR(INDEX('[239]MANO DE OBRA'!D:D,MATCH(B665,'[239]MANO DE OBRA'!A:A,0)),"")</f>
        <v/>
      </c>
      <c r="L665" s="157" t="str">
        <f>+IF(D665&lt;&gt;"",'[239]FACTOR PRESTACIONAL'!$E$21," ")</f>
        <v xml:space="preserve"> </v>
      </c>
      <c r="M665" s="158" t="str">
        <f>IFERROR(K665*L665," ")</f>
        <v xml:space="preserve"> </v>
      </c>
      <c r="N665" s="159"/>
      <c r="O665" s="160"/>
      <c r="P665" s="161" t="str">
        <f>IFERROR(ROUND(M665/N665,2)," ")</f>
        <v xml:space="preserve"> </v>
      </c>
      <c r="Q665" s="162"/>
      <c r="R665" s="4"/>
    </row>
    <row r="666" spans="1:18">
      <c r="A666" s="1">
        <f t="shared" si="22"/>
        <v>0</v>
      </c>
      <c r="B666" s="2"/>
      <c r="C666" s="8"/>
      <c r="D666" s="109" t="str">
        <f>IFERROR(INDEX('[239]MANO DE OBRA'!B:B,MATCH(B666,'[239]MANO DE OBRA'!A:A,0)),"")</f>
        <v/>
      </c>
      <c r="E666" s="110"/>
      <c r="F666" s="110"/>
      <c r="G666" s="110"/>
      <c r="H666" s="110"/>
      <c r="I666" s="110"/>
      <c r="J666" s="111"/>
      <c r="K666" s="156" t="str">
        <f>IFERROR(INDEX('[239]MANO DE OBRA'!D:D,MATCH(B666,'[239]MANO DE OBRA'!A:A,0)),"")</f>
        <v/>
      </c>
      <c r="L666" s="157" t="str">
        <f>+IF(D666&lt;&gt;"",'[239]FACTOR PRESTACIONAL'!$E$21," ")</f>
        <v xml:space="preserve"> </v>
      </c>
      <c r="M666" s="158" t="str">
        <f>IFERROR(K666*L666," ")</f>
        <v xml:space="preserve"> </v>
      </c>
      <c r="N666" s="159"/>
      <c r="O666" s="160"/>
      <c r="P666" s="161" t="str">
        <f>IFERROR(ROUND(M666/N666,2)," ")</f>
        <v xml:space="preserve"> </v>
      </c>
      <c r="Q666" s="162"/>
      <c r="R666" s="4"/>
    </row>
    <row r="667" spans="1:18" ht="15.75" thickBot="1">
      <c r="A667" s="1">
        <f t="shared" si="22"/>
        <v>0</v>
      </c>
      <c r="B667" s="2"/>
      <c r="C667" s="8"/>
      <c r="D667" s="109" t="str">
        <f>IFERROR(INDEX('[239]MANO DE OBRA'!B:B,MATCH(B667,'[239]MANO DE OBRA'!A:A,0)),"")</f>
        <v/>
      </c>
      <c r="E667" s="110"/>
      <c r="F667" s="110"/>
      <c r="G667" s="110"/>
      <c r="H667" s="110"/>
      <c r="I667" s="110"/>
      <c r="J667" s="111"/>
      <c r="K667" s="156" t="str">
        <f>IFERROR(INDEX('[239]MANO DE OBRA'!D:D,MATCH(B667,'[239]MANO DE OBRA'!A:A,0)),"")</f>
        <v/>
      </c>
      <c r="L667" s="157" t="str">
        <f>+IF(D667&lt;&gt;"",'[239]FACTOR PRESTACIONAL'!$E$21," ")</f>
        <v xml:space="preserve"> </v>
      </c>
      <c r="M667" s="158" t="str">
        <f>IFERROR(K667*L667," ")</f>
        <v xml:space="preserve"> </v>
      </c>
      <c r="N667" s="159"/>
      <c r="O667" s="160"/>
      <c r="P667" s="161" t="str">
        <f>IFERROR(ROUND(M667/N667,2)," ")</f>
        <v xml:space="preserve"> </v>
      </c>
      <c r="Q667" s="119"/>
      <c r="R667" s="4"/>
    </row>
    <row r="668" spans="1:18" ht="15.75" thickBot="1">
      <c r="A668" s="1">
        <f t="shared" si="22"/>
        <v>0</v>
      </c>
      <c r="B668" s="2"/>
      <c r="C668" s="8"/>
      <c r="D668" s="128" t="s">
        <v>24</v>
      </c>
      <c r="E668" s="129"/>
      <c r="F668" s="129"/>
      <c r="G668" s="129"/>
      <c r="H668" s="129"/>
      <c r="I668" s="129"/>
      <c r="J668" s="129"/>
      <c r="K668" s="129"/>
      <c r="L668" s="129"/>
      <c r="M668" s="129"/>
      <c r="N668" s="129"/>
      <c r="O668" s="130"/>
      <c r="P668" s="131">
        <f>SUM(P663:P667)</f>
        <v>54392.979999999996</v>
      </c>
      <c r="Q668" s="119"/>
      <c r="R668" s="4"/>
    </row>
    <row r="669" spans="1:18" ht="15.75" thickBot="1">
      <c r="A669" s="1">
        <f t="shared" si="22"/>
        <v>0</v>
      </c>
      <c r="B669" s="2"/>
      <c r="C669" s="8"/>
      <c r="D669" s="87"/>
      <c r="E669" s="20"/>
      <c r="F669" s="20"/>
      <c r="G669" s="20"/>
      <c r="H669" s="20"/>
      <c r="I669" s="20"/>
      <c r="J669" s="20"/>
      <c r="K669" s="20"/>
      <c r="L669" s="20"/>
      <c r="M669" s="20"/>
      <c r="N669" s="20"/>
      <c r="O669" s="20"/>
      <c r="P669" s="88"/>
      <c r="Q669" s="13"/>
      <c r="R669" s="4"/>
    </row>
    <row r="670" spans="1:18" ht="15.75" thickBot="1">
      <c r="A670" s="1"/>
      <c r="B670" s="2"/>
      <c r="C670" s="8"/>
      <c r="D670" s="163" t="s">
        <v>43</v>
      </c>
      <c r="E670" s="164"/>
      <c r="F670" s="164"/>
      <c r="G670" s="164"/>
      <c r="H670" s="164"/>
      <c r="I670" s="164"/>
      <c r="J670" s="164"/>
      <c r="K670" s="164"/>
      <c r="L670" s="164"/>
      <c r="M670" s="164"/>
      <c r="N670" s="164"/>
      <c r="O670" s="165"/>
      <c r="P670" s="166">
        <f>+P668+P660+P653+P635</f>
        <v>125338.25</v>
      </c>
      <c r="Q670" s="167"/>
      <c r="R670" s="168"/>
    </row>
    <row r="671" spans="1:18" ht="15.75" thickBot="1">
      <c r="A671" s="1"/>
      <c r="B671" s="2"/>
      <c r="C671" s="8"/>
      <c r="D671" s="169"/>
      <c r="E671" s="170"/>
      <c r="F671" s="170"/>
      <c r="G671" s="170"/>
      <c r="H671" s="170"/>
      <c r="I671" s="170"/>
      <c r="J671" s="170"/>
      <c r="K671" s="170"/>
      <c r="L671" s="170"/>
      <c r="M671" s="170"/>
      <c r="N671" s="170"/>
      <c r="O671" s="170"/>
      <c r="P671" s="171"/>
      <c r="Q671" s="100"/>
      <c r="R671" s="4"/>
    </row>
    <row r="672" spans="1:18">
      <c r="A672" s="1"/>
      <c r="B672" s="2"/>
      <c r="C672" s="8"/>
      <c r="D672" s="172" t="s">
        <v>73</v>
      </c>
      <c r="E672" s="173"/>
      <c r="F672" s="173"/>
      <c r="G672" s="173"/>
      <c r="H672" s="173"/>
      <c r="I672" s="173"/>
      <c r="J672" s="173"/>
      <c r="K672" s="141"/>
      <c r="L672" s="174"/>
      <c r="M672" s="153" t="s">
        <v>44</v>
      </c>
      <c r="N672" s="175" t="s">
        <v>45</v>
      </c>
      <c r="O672" s="176"/>
      <c r="P672" s="154"/>
      <c r="Q672" s="155"/>
      <c r="R672" s="4"/>
    </row>
    <row r="673" spans="1:18">
      <c r="A673" s="1"/>
      <c r="B673" s="2"/>
      <c r="C673" s="8"/>
      <c r="D673" s="109" t="s">
        <v>65</v>
      </c>
      <c r="E673" s="110"/>
      <c r="F673" s="110"/>
      <c r="G673" s="110"/>
      <c r="H673" s="110"/>
      <c r="I673" s="110"/>
      <c r="J673" s="110"/>
      <c r="K673" s="177"/>
      <c r="L673" s="178"/>
      <c r="M673" s="179">
        <f>+[239]INICIO!$F$10</f>
        <v>0.24</v>
      </c>
      <c r="N673" s="180">
        <f>ROUND(M673*P670,2)</f>
        <v>30081.18</v>
      </c>
      <c r="O673" s="181"/>
      <c r="P673" s="182"/>
      <c r="Q673" s="119"/>
      <c r="R673" s="4"/>
    </row>
    <row r="674" spans="1:18">
      <c r="A674" s="1"/>
      <c r="B674" s="2"/>
      <c r="C674" s="8"/>
      <c r="D674" s="183" t="s">
        <v>67</v>
      </c>
      <c r="E674" s="61"/>
      <c r="F674" s="61"/>
      <c r="G674" s="61"/>
      <c r="H674" s="61"/>
      <c r="I674" s="61"/>
      <c r="J674" s="61"/>
      <c r="K674" s="177"/>
      <c r="L674" s="178"/>
      <c r="M674" s="179">
        <f>+[239]INICIO!$F$11</f>
        <v>0.02</v>
      </c>
      <c r="N674" s="180">
        <f>ROUND(M674*P670,2)</f>
        <v>2506.77</v>
      </c>
      <c r="O674" s="181"/>
      <c r="P674" s="182"/>
      <c r="Q674" s="119"/>
      <c r="R674" s="4"/>
    </row>
    <row r="675" spans="1:18" ht="15.75" thickBot="1">
      <c r="A675" s="1"/>
      <c r="B675" s="2"/>
      <c r="C675" s="8"/>
      <c r="D675" s="77" t="s">
        <v>69</v>
      </c>
      <c r="E675" s="78"/>
      <c r="F675" s="78"/>
      <c r="G675" s="78"/>
      <c r="H675" s="78"/>
      <c r="I675" s="78"/>
      <c r="J675" s="78"/>
      <c r="K675" s="184"/>
      <c r="L675" s="185"/>
      <c r="M675" s="179">
        <f>+[239]INICIO!$F$12</f>
        <v>7.0000000000000007E-2</v>
      </c>
      <c r="N675" s="180">
        <f>ROUND(M675*P670,2)</f>
        <v>8773.68</v>
      </c>
      <c r="O675" s="181"/>
      <c r="P675" s="182"/>
      <c r="Q675" s="119"/>
      <c r="R675" s="4"/>
    </row>
    <row r="676" spans="1:18" ht="15.75" thickBot="1">
      <c r="A676" s="1"/>
      <c r="B676" s="2"/>
      <c r="C676" s="8"/>
      <c r="D676" s="128"/>
      <c r="E676" s="129"/>
      <c r="F676" s="129"/>
      <c r="G676" s="129"/>
      <c r="H676" s="129"/>
      <c r="I676" s="129"/>
      <c r="J676" s="129"/>
      <c r="K676" s="129"/>
      <c r="L676" s="129"/>
      <c r="M676" s="129"/>
      <c r="N676" s="129"/>
      <c r="O676" s="130"/>
      <c r="P676" s="131">
        <f>SUM(N673:N675)</f>
        <v>41361.630000000005</v>
      </c>
      <c r="Q676" s="186"/>
      <c r="R676" s="4"/>
    </row>
    <row r="677" spans="1:18" ht="15.75" thickBot="1">
      <c r="A677" s="1"/>
      <c r="B677" s="2"/>
      <c r="C677" s="8"/>
      <c r="D677" s="87"/>
      <c r="E677" s="20"/>
      <c r="F677" s="20"/>
      <c r="G677" s="20"/>
      <c r="H677" s="20"/>
      <c r="I677" s="20"/>
      <c r="J677" s="20"/>
      <c r="K677" s="20"/>
      <c r="L677" s="20"/>
      <c r="M677" s="20"/>
      <c r="N677" s="20"/>
      <c r="O677" s="20"/>
      <c r="P677" s="88"/>
      <c r="Q677" s="13"/>
      <c r="R677" s="4"/>
    </row>
    <row r="678" spans="1:18" ht="15.75" thickBot="1">
      <c r="A678" s="1"/>
      <c r="B678" s="2"/>
      <c r="C678" s="8"/>
      <c r="D678" s="187" t="s">
        <v>46</v>
      </c>
      <c r="E678" s="188"/>
      <c r="F678" s="188"/>
      <c r="G678" s="188"/>
      <c r="H678" s="188"/>
      <c r="I678" s="188"/>
      <c r="J678" s="188"/>
      <c r="K678" s="188"/>
      <c r="L678" s="188"/>
      <c r="M678" s="188"/>
      <c r="N678" s="188"/>
      <c r="O678" s="189"/>
      <c r="P678" s="166">
        <f>ROUND(P676+P670,0)</f>
        <v>166700</v>
      </c>
      <c r="Q678" s="186"/>
      <c r="R678" s="4"/>
    </row>
    <row r="679" spans="1:18">
      <c r="A679" s="1"/>
      <c r="B679" s="2"/>
      <c r="C679" s="8"/>
      <c r="D679" s="80"/>
      <c r="E679" s="81"/>
      <c r="F679" s="81"/>
      <c r="G679" s="81"/>
      <c r="H679" s="81"/>
      <c r="I679" s="81"/>
      <c r="J679" s="81"/>
      <c r="K679" s="81"/>
      <c r="L679" s="81"/>
      <c r="M679" s="81"/>
      <c r="N679" s="81"/>
      <c r="O679" s="81"/>
      <c r="P679" s="82"/>
      <c r="Q679" s="13"/>
      <c r="R679" s="4"/>
    </row>
    <row r="680" spans="1:18">
      <c r="A680" s="1"/>
      <c r="B680" s="2"/>
      <c r="C680" s="8"/>
      <c r="D680" s="87"/>
      <c r="E680" s="20"/>
      <c r="F680" s="20"/>
      <c r="G680" s="20"/>
      <c r="H680" s="20"/>
      <c r="I680" s="20"/>
      <c r="J680" s="20"/>
      <c r="K680" s="20"/>
      <c r="L680" s="20"/>
      <c r="M680" s="20"/>
      <c r="N680" s="20"/>
      <c r="O680" s="20"/>
      <c r="P680" s="88"/>
      <c r="Q680" s="13"/>
      <c r="R680" s="4"/>
    </row>
    <row r="681" spans="1:18">
      <c r="A681" s="1"/>
      <c r="B681" s="2"/>
      <c r="C681" s="8"/>
      <c r="D681" s="87"/>
      <c r="E681" s="20"/>
      <c r="F681" s="20"/>
      <c r="G681" s="20"/>
      <c r="H681" s="20"/>
      <c r="I681" s="20"/>
      <c r="J681" s="20"/>
      <c r="K681" s="20"/>
      <c r="L681" s="20"/>
      <c r="M681" s="20"/>
      <c r="N681" s="20"/>
      <c r="O681" s="20"/>
      <c r="P681" s="88"/>
      <c r="Q681" s="13"/>
      <c r="R681" s="4"/>
    </row>
    <row r="682" spans="1:18">
      <c r="A682" s="1"/>
      <c r="B682" s="2"/>
      <c r="C682" s="8"/>
      <c r="D682" s="87"/>
      <c r="E682" s="20"/>
      <c r="F682" s="20"/>
      <c r="G682" s="20"/>
      <c r="H682" s="20"/>
      <c r="I682" s="20"/>
      <c r="J682" s="20"/>
      <c r="K682" s="20"/>
      <c r="L682" s="20"/>
      <c r="M682" s="20"/>
      <c r="N682" s="20"/>
      <c r="O682" s="20"/>
      <c r="P682" s="88"/>
      <c r="Q682" s="13"/>
      <c r="R682" s="4"/>
    </row>
    <row r="683" spans="1:18">
      <c r="A683" s="1"/>
      <c r="B683" s="2"/>
      <c r="C683" s="8"/>
      <c r="D683" s="219" t="str">
        <f>+[239]INICIO!$B$13</f>
        <v>Proyectó:</v>
      </c>
      <c r="E683" s="49"/>
      <c r="F683" s="49"/>
      <c r="G683" s="49"/>
      <c r="H683" s="49"/>
      <c r="I683" s="49"/>
      <c r="J683" s="49"/>
      <c r="K683" s="20"/>
      <c r="L683" s="69" t="str">
        <f>+[239]INICIO!$B$16</f>
        <v>Aprobó:</v>
      </c>
      <c r="M683" s="49"/>
      <c r="N683" s="49"/>
      <c r="O683" s="49"/>
      <c r="P683" s="88"/>
      <c r="Q683" s="13"/>
      <c r="R683" s="4"/>
    </row>
    <row r="684" spans="1:18">
      <c r="A684" s="1"/>
      <c r="B684" s="2"/>
      <c r="C684" s="8"/>
      <c r="D684" s="87"/>
      <c r="E684" s="20" t="str">
        <f>+Hoja2!C$13</f>
        <v>HELMER EDUARDO BECERRA SANTANDER</v>
      </c>
      <c r="F684" s="20"/>
      <c r="G684" s="20"/>
      <c r="H684" s="20"/>
      <c r="I684" s="20"/>
      <c r="J684" s="20"/>
      <c r="K684" s="20"/>
      <c r="L684" s="20"/>
      <c r="M684" s="20" t="str">
        <f>+Hoja2!$C$16</f>
        <v>JESÚS IVÁN QUIÑONES RUEDA</v>
      </c>
      <c r="N684" s="20"/>
      <c r="O684" s="20"/>
      <c r="P684" s="88"/>
      <c r="Q684" s="190"/>
      <c r="R684" s="4"/>
    </row>
    <row r="685" spans="1:18">
      <c r="A685" s="1"/>
      <c r="B685" s="2"/>
      <c r="C685" s="8"/>
      <c r="D685" s="87"/>
      <c r="E685" s="20" t="str">
        <f>+Hoja2!C$14</f>
        <v>APOYO SEC. DE PLANEACIÓN Y OBRAS PÚBLICAS</v>
      </c>
      <c r="F685" s="20"/>
      <c r="G685" s="20"/>
      <c r="H685" s="20"/>
      <c r="I685" s="20"/>
      <c r="J685" s="20"/>
      <c r="K685" s="20"/>
      <c r="L685" s="20"/>
      <c r="M685" s="20" t="str">
        <f>+Hoja2!$C$17</f>
        <v>SECRETARIO DE PLANEACIÓN Y OBRAS PUBLICAS</v>
      </c>
      <c r="N685" s="20"/>
      <c r="O685" s="20"/>
      <c r="P685" s="88"/>
      <c r="Q685" s="190"/>
      <c r="R685" s="4"/>
    </row>
    <row r="686" spans="1:18">
      <c r="A686" s="1"/>
      <c r="B686" s="2"/>
      <c r="C686" s="8"/>
      <c r="D686" s="68"/>
      <c r="E686" s="20" t="str">
        <f>+Hoja2!C$15</f>
        <v>123769-0701671 NTS</v>
      </c>
      <c r="F686" s="191"/>
      <c r="G686" s="191"/>
      <c r="H686" s="191"/>
      <c r="I686" s="20"/>
      <c r="J686" s="191"/>
      <c r="K686" s="191"/>
      <c r="L686" s="191"/>
      <c r="M686" s="192" t="str">
        <f>+Hoja2!C$18</f>
        <v>A21382020-1090480860</v>
      </c>
      <c r="N686" s="191"/>
      <c r="O686" s="191"/>
      <c r="P686" s="193"/>
      <c r="Q686" s="194"/>
      <c r="R686" s="4"/>
    </row>
    <row r="687" spans="1:18" ht="16.5" thickBot="1">
      <c r="A687" s="1"/>
      <c r="B687" s="2"/>
      <c r="C687" s="8"/>
      <c r="D687" s="195"/>
      <c r="E687" s="150"/>
      <c r="F687" s="150"/>
      <c r="G687" s="150"/>
      <c r="H687" s="150"/>
      <c r="I687" s="150"/>
      <c r="J687" s="150"/>
      <c r="K687" s="150"/>
      <c r="L687" s="150"/>
      <c r="M687" s="150"/>
      <c r="N687" s="150"/>
      <c r="O687" s="150"/>
      <c r="P687" s="196"/>
      <c r="Q687" s="197"/>
      <c r="R687" s="4"/>
    </row>
    <row r="688" spans="1:18" ht="15.75" thickBot="1">
      <c r="A688" s="1"/>
      <c r="B688" s="2"/>
      <c r="C688" s="198"/>
      <c r="D688" s="199"/>
      <c r="E688" s="199"/>
      <c r="F688" s="199"/>
      <c r="G688" s="199"/>
      <c r="H688" s="199"/>
      <c r="I688" s="199"/>
      <c r="J688" s="199"/>
      <c r="K688" s="199"/>
      <c r="L688" s="199"/>
      <c r="M688" s="199"/>
      <c r="N688" s="199"/>
      <c r="O688" s="199"/>
      <c r="P688" s="199"/>
      <c r="Q688" s="200"/>
      <c r="R688" s="4"/>
    </row>
    <row r="689" spans="1:18" ht="16.5" thickTop="1" thickBot="1"/>
    <row r="690" spans="1:18" ht="15.75" thickTop="1">
      <c r="A690" s="1"/>
      <c r="B690" s="2"/>
      <c r="C690" s="5"/>
      <c r="D690" s="6"/>
      <c r="E690" s="6"/>
      <c r="F690" s="6"/>
      <c r="G690" s="6"/>
      <c r="H690" s="6"/>
      <c r="I690" s="6"/>
      <c r="J690" s="6"/>
      <c r="K690" s="6"/>
      <c r="L690" s="6"/>
      <c r="M690" s="6"/>
      <c r="N690" s="6"/>
      <c r="O690" s="6"/>
      <c r="P690" s="6"/>
      <c r="Q690" s="7"/>
      <c r="R690" s="4"/>
    </row>
    <row r="691" spans="1:18" ht="24">
      <c r="A691" s="1"/>
      <c r="B691" s="2"/>
      <c r="C691" s="8"/>
      <c r="D691" s="9" t="str">
        <f>+[239]INICIO!$C$8</f>
        <v>Análisis de Precios Unitarios- Secretaria de Planeación y Obras Publicas de Cubará, Boyacá.</v>
      </c>
      <c r="E691" s="10"/>
      <c r="F691" s="10"/>
      <c r="G691" s="10"/>
      <c r="H691" s="11"/>
      <c r="I691" s="12"/>
      <c r="J691" s="12"/>
      <c r="K691" s="12"/>
      <c r="L691" s="12"/>
      <c r="M691" s="12"/>
      <c r="N691" s="12"/>
      <c r="O691" s="12"/>
      <c r="P691" s="12"/>
      <c r="Q691" s="13"/>
      <c r="R691" s="4"/>
    </row>
    <row r="692" spans="1:18">
      <c r="A692" s="1"/>
      <c r="B692" s="2"/>
      <c r="C692" s="8"/>
      <c r="D692" s="14" t="s">
        <v>0</v>
      </c>
      <c r="E692" s="15" t="str">
        <f>+[239]INICIO!$C$7</f>
        <v>CCE-EICP-FM-14</v>
      </c>
      <c r="F692" s="16"/>
      <c r="G692" s="17" t="str">
        <f>+[239]INICIO!$B$6</f>
        <v>VERSIÓN</v>
      </c>
      <c r="H692" s="14">
        <f>+[239]INICIO!$C$6</f>
        <v>1</v>
      </c>
      <c r="I692" s="12"/>
      <c r="J692" s="12"/>
      <c r="K692" s="12"/>
      <c r="L692" s="12"/>
      <c r="M692" s="12"/>
      <c r="N692" s="12"/>
      <c r="O692" s="12"/>
      <c r="P692" s="12"/>
      <c r="Q692" s="13"/>
      <c r="R692" s="4"/>
    </row>
    <row r="693" spans="1:18">
      <c r="A693" s="1"/>
      <c r="B693" s="2"/>
      <c r="C693" s="8"/>
      <c r="D693" s="18"/>
      <c r="E693" s="19"/>
      <c r="F693" s="18"/>
      <c r="G693" s="19"/>
      <c r="H693" s="12"/>
      <c r="I693" s="12"/>
      <c r="J693" s="12"/>
      <c r="K693" s="12"/>
      <c r="L693" s="12"/>
      <c r="M693" s="12"/>
      <c r="N693" s="12"/>
      <c r="O693" s="12"/>
      <c r="P693" s="12"/>
      <c r="Q693" s="13"/>
      <c r="R693" s="4"/>
    </row>
    <row r="694" spans="1:18" ht="15.75" thickBot="1">
      <c r="A694" s="1"/>
      <c r="B694" s="2"/>
      <c r="C694" s="8"/>
      <c r="D694" s="20"/>
      <c r="E694" s="20"/>
      <c r="F694" s="20"/>
      <c r="G694" s="20"/>
      <c r="H694" s="20"/>
      <c r="I694" s="20"/>
      <c r="J694" s="20"/>
      <c r="K694" s="20"/>
      <c r="L694" s="20"/>
      <c r="M694" s="20"/>
      <c r="N694" s="20"/>
      <c r="O694" s="20"/>
      <c r="P694" s="20"/>
      <c r="Q694" s="13"/>
      <c r="R694" s="4"/>
    </row>
    <row r="695" spans="1:18">
      <c r="A695" s="1"/>
      <c r="B695" s="2"/>
      <c r="C695" s="8"/>
      <c r="D695" s="21"/>
      <c r="E695" s="22"/>
      <c r="F695" s="23"/>
      <c r="G695" s="23"/>
      <c r="H695" s="23"/>
      <c r="I695" s="23"/>
      <c r="J695" s="23"/>
      <c r="K695" s="23"/>
      <c r="L695" s="24"/>
      <c r="M695" s="25"/>
      <c r="N695" s="26"/>
      <c r="O695" s="26"/>
      <c r="P695" s="27"/>
      <c r="Q695" s="28"/>
      <c r="R695" s="4"/>
    </row>
    <row r="696" spans="1:18">
      <c r="A696" s="1"/>
      <c r="B696" s="2"/>
      <c r="C696" s="8"/>
      <c r="D696" s="29"/>
      <c r="E696" s="30" t="s">
        <v>1</v>
      </c>
      <c r="F696" s="31"/>
      <c r="G696" s="31"/>
      <c r="H696" s="31"/>
      <c r="I696" s="31"/>
      <c r="J696" s="31"/>
      <c r="K696" s="31"/>
      <c r="L696" s="32"/>
      <c r="M696" s="33"/>
      <c r="N696" s="34"/>
      <c r="O696" s="34"/>
      <c r="P696" s="35"/>
      <c r="Q696" s="28"/>
      <c r="R696" s="4"/>
    </row>
    <row r="697" spans="1:18">
      <c r="A697" s="1"/>
      <c r="B697" s="2"/>
      <c r="C697" s="8"/>
      <c r="D697" s="29"/>
      <c r="E697" s="36"/>
      <c r="F697" s="37"/>
      <c r="G697" s="37"/>
      <c r="H697" s="37"/>
      <c r="I697" s="37"/>
      <c r="J697" s="37"/>
      <c r="K697" s="37"/>
      <c r="L697" s="38"/>
      <c r="M697" s="39"/>
      <c r="N697" s="40"/>
      <c r="O697" s="41"/>
      <c r="P697" s="42"/>
      <c r="Q697" s="28"/>
      <c r="R697" s="4"/>
    </row>
    <row r="698" spans="1:18">
      <c r="A698" s="1"/>
      <c r="B698" s="2"/>
      <c r="C698" s="8"/>
      <c r="D698" s="29"/>
      <c r="E698" s="36"/>
      <c r="F698" s="37"/>
      <c r="G698" s="37"/>
      <c r="H698" s="37"/>
      <c r="I698" s="37"/>
      <c r="J698" s="37"/>
      <c r="K698" s="37"/>
      <c r="L698" s="38"/>
      <c r="M698" s="43" t="s">
        <v>2</v>
      </c>
      <c r="N698" s="44"/>
      <c r="O698" s="45">
        <f>+[239]INICIO!$C$6</f>
        <v>1</v>
      </c>
      <c r="P698" s="46"/>
      <c r="Q698" s="28"/>
      <c r="R698" s="4"/>
    </row>
    <row r="699" spans="1:18">
      <c r="A699" s="1"/>
      <c r="B699" s="2"/>
      <c r="C699" s="8"/>
      <c r="D699" s="29"/>
      <c r="E699" s="36"/>
      <c r="F699" s="37"/>
      <c r="G699" s="37"/>
      <c r="H699" s="37"/>
      <c r="I699" s="37"/>
      <c r="J699" s="37"/>
      <c r="K699" s="37"/>
      <c r="L699" s="38"/>
      <c r="M699" s="47"/>
      <c r="N699" s="48"/>
      <c r="O699" s="49"/>
      <c r="P699" s="50"/>
      <c r="Q699" s="51"/>
      <c r="R699" s="4"/>
    </row>
    <row r="700" spans="1:18">
      <c r="A700" s="1"/>
      <c r="B700" s="2"/>
      <c r="C700" s="8"/>
      <c r="D700" s="29"/>
      <c r="E700" s="52"/>
      <c r="F700" s="53"/>
      <c r="G700" s="53"/>
      <c r="H700" s="53"/>
      <c r="I700" s="53"/>
      <c r="J700" s="53"/>
      <c r="K700" s="53"/>
      <c r="L700" s="54"/>
      <c r="M700" s="39"/>
      <c r="N700" s="55"/>
      <c r="O700" s="55"/>
      <c r="P700" s="56"/>
      <c r="Q700" s="28"/>
      <c r="R700" s="4"/>
    </row>
    <row r="701" spans="1:18">
      <c r="A701" s="1"/>
      <c r="B701" s="2"/>
      <c r="C701" s="8"/>
      <c r="D701" s="29"/>
      <c r="E701" s="52"/>
      <c r="F701" s="53"/>
      <c r="G701" s="53"/>
      <c r="H701" s="53"/>
      <c r="I701" s="53"/>
      <c r="J701" s="53"/>
      <c r="K701" s="53"/>
      <c r="L701" s="54"/>
      <c r="M701" s="43" t="s">
        <v>3</v>
      </c>
      <c r="N701" s="43" t="str">
        <f>+VLOOKUP(D712,'PRESUPUESTO OFICIAL '!C:Q,9,FALSE)</f>
        <v>45</v>
      </c>
      <c r="O701" s="43" t="s">
        <v>4</v>
      </c>
      <c r="P701" s="508" t="str">
        <f>+'PRESUPUESTO OFICIAL '!$M$122</f>
        <v>62</v>
      </c>
      <c r="Q701" s="28"/>
      <c r="R701" s="4"/>
    </row>
    <row r="702" spans="1:18">
      <c r="A702" s="1"/>
      <c r="B702" s="2"/>
      <c r="C702" s="8"/>
      <c r="D702" s="29"/>
      <c r="E702" s="30" t="s">
        <v>5</v>
      </c>
      <c r="F702" s="31"/>
      <c r="G702" s="31"/>
      <c r="H702" s="31"/>
      <c r="I702" s="31"/>
      <c r="J702" s="31"/>
      <c r="K702" s="31"/>
      <c r="L702" s="32"/>
      <c r="M702" s="43"/>
      <c r="N702" s="57"/>
      <c r="O702" s="57"/>
      <c r="P702" s="58"/>
      <c r="Q702" s="28"/>
      <c r="R702" s="4"/>
    </row>
    <row r="703" spans="1:18" ht="15.75" thickBot="1">
      <c r="A703" s="1"/>
      <c r="B703" s="2"/>
      <c r="C703" s="8"/>
      <c r="D703" s="59"/>
      <c r="E703" s="60"/>
      <c r="F703" s="60"/>
      <c r="G703" s="60"/>
      <c r="H703" s="60"/>
      <c r="I703" s="60"/>
      <c r="J703" s="60"/>
      <c r="K703" s="60"/>
      <c r="L703" s="60"/>
      <c r="M703" s="60"/>
      <c r="N703" s="61"/>
      <c r="O703" s="61"/>
      <c r="P703" s="62"/>
      <c r="Q703" s="63"/>
      <c r="R703" s="4"/>
    </row>
    <row r="704" spans="1:18">
      <c r="A704" s="1"/>
      <c r="B704" s="2"/>
      <c r="C704" s="8"/>
      <c r="D704" s="64"/>
      <c r="E704" s="65"/>
      <c r="F704" s="65"/>
      <c r="G704" s="65"/>
      <c r="H704" s="65"/>
      <c r="I704" s="65"/>
      <c r="J704" s="65"/>
      <c r="K704" s="65"/>
      <c r="L704" s="65"/>
      <c r="M704" s="66" t="s">
        <v>6</v>
      </c>
      <c r="N704" s="66" t="s">
        <v>7</v>
      </c>
      <c r="O704" s="66" t="s">
        <v>8</v>
      </c>
      <c r="P704" s="67" t="s">
        <v>9</v>
      </c>
      <c r="Q704" s="51"/>
      <c r="R704" s="4"/>
    </row>
    <row r="705" spans="1:18">
      <c r="A705" s="1"/>
      <c r="B705" s="2"/>
      <c r="C705" s="8"/>
      <c r="D705" s="68"/>
      <c r="E705" s="69"/>
      <c r="F705" s="69"/>
      <c r="G705" s="69"/>
      <c r="H705" s="69"/>
      <c r="I705" s="69"/>
      <c r="J705" s="69"/>
      <c r="K705" s="69"/>
      <c r="L705" s="69"/>
      <c r="M705" s="70"/>
      <c r="N705" s="71">
        <f>+Hoja2!B$5</f>
        <v>5</v>
      </c>
      <c r="O705" s="71">
        <f>+Hoja2!C$5</f>
        <v>8</v>
      </c>
      <c r="P705" s="72">
        <f>+Hoja2!D$5</f>
        <v>2026</v>
      </c>
      <c r="Q705" s="73"/>
      <c r="R705" s="4"/>
    </row>
    <row r="706" spans="1:18">
      <c r="A706" s="1"/>
      <c r="B706" s="2"/>
      <c r="C706" s="8"/>
      <c r="D706" s="74"/>
      <c r="E706" s="37"/>
      <c r="F706" s="37"/>
      <c r="G706" s="37"/>
      <c r="H706" s="69"/>
      <c r="I706" s="69"/>
      <c r="J706" s="69"/>
      <c r="K706" s="20"/>
      <c r="L706" s="69"/>
      <c r="M706" s="75"/>
      <c r="N706" s="20"/>
      <c r="O706" s="20"/>
      <c r="P706" s="76"/>
      <c r="Q706" s="73"/>
      <c r="R706" s="4"/>
    </row>
    <row r="707" spans="1:18" ht="15.75" thickBot="1">
      <c r="A707" s="1"/>
      <c r="B707" s="2"/>
      <c r="C707" s="8"/>
      <c r="D707" s="77"/>
      <c r="E707" s="78"/>
      <c r="F707" s="78"/>
      <c r="G707" s="78"/>
      <c r="H707" s="78"/>
      <c r="I707" s="78"/>
      <c r="J707" s="78"/>
      <c r="K707" s="78"/>
      <c r="L707" s="78"/>
      <c r="M707" s="78"/>
      <c r="N707" s="78"/>
      <c r="O707" s="78"/>
      <c r="P707" s="79"/>
      <c r="Q707" s="13"/>
      <c r="R707" s="4"/>
    </row>
    <row r="708" spans="1:18" ht="15.75" thickBot="1">
      <c r="A708" s="1"/>
      <c r="B708" s="2"/>
      <c r="C708" s="8"/>
      <c r="D708" s="80"/>
      <c r="E708" s="81"/>
      <c r="F708" s="81"/>
      <c r="G708" s="81"/>
      <c r="H708" s="81"/>
      <c r="I708" s="81"/>
      <c r="J708" s="20"/>
      <c r="K708" s="20"/>
      <c r="L708" s="81"/>
      <c r="M708" s="81"/>
      <c r="N708" s="81"/>
      <c r="O708" s="81"/>
      <c r="P708" s="82"/>
      <c r="Q708" s="13"/>
      <c r="R708" s="4"/>
    </row>
    <row r="709" spans="1:18">
      <c r="A709" s="1"/>
      <c r="B709" s="2"/>
      <c r="C709" s="8"/>
      <c r="D709" s="83" t="s">
        <v>10</v>
      </c>
      <c r="E709" s="84"/>
      <c r="F709" s="84"/>
      <c r="G709" s="84"/>
      <c r="H709" s="84"/>
      <c r="I709" s="84"/>
      <c r="J709" s="84"/>
      <c r="K709" s="84"/>
      <c r="L709" s="84"/>
      <c r="M709" s="84"/>
      <c r="N709" s="84"/>
      <c r="O709" s="84"/>
      <c r="P709" s="85"/>
      <c r="Q709" s="86"/>
      <c r="R709" s="4"/>
    </row>
    <row r="710" spans="1:18" ht="15.75" thickBot="1">
      <c r="A710" s="1"/>
      <c r="B710" s="2"/>
      <c r="C710" s="8"/>
      <c r="D710" s="87"/>
      <c r="E710" s="20"/>
      <c r="F710" s="20"/>
      <c r="G710" s="20"/>
      <c r="H710" s="20"/>
      <c r="I710" s="20"/>
      <c r="J710" s="20"/>
      <c r="K710" s="20"/>
      <c r="L710" s="20"/>
      <c r="M710" s="20"/>
      <c r="N710" s="20"/>
      <c r="O710" s="20"/>
      <c r="P710" s="88"/>
      <c r="Q710" s="13"/>
      <c r="R710" s="4"/>
    </row>
    <row r="711" spans="1:18">
      <c r="A711" s="1" t="s">
        <v>11</v>
      </c>
      <c r="B711" s="2" t="s">
        <v>12</v>
      </c>
      <c r="C711" s="8"/>
      <c r="D711" s="89" t="s">
        <v>13</v>
      </c>
      <c r="E711" s="90" t="s">
        <v>14</v>
      </c>
      <c r="F711" s="90"/>
      <c r="G711" s="90"/>
      <c r="H711" s="90"/>
      <c r="I711" s="90"/>
      <c r="J711" s="90"/>
      <c r="K711" s="90"/>
      <c r="L711" s="90"/>
      <c r="M711" s="90"/>
      <c r="N711" s="91" t="s">
        <v>15</v>
      </c>
      <c r="O711" s="91"/>
      <c r="P711" s="92" t="s">
        <v>16</v>
      </c>
      <c r="Q711" s="93"/>
      <c r="R711" s="4"/>
    </row>
    <row r="712" spans="1:18" s="373" customFormat="1" ht="29.25" thickBot="1">
      <c r="A712" s="365"/>
      <c r="B712" s="366"/>
      <c r="C712" s="367"/>
      <c r="D712" s="368">
        <f>+'PRESUPUESTO OFICIAL '!C72</f>
        <v>6.04</v>
      </c>
      <c r="E712" s="94" t="str">
        <f>+VLOOKUP(D712,'PRESUPUESTO OFICIAL '!C:H,2,FALSE)</f>
        <v>SUMINISTRO E INSTALACIÓN DE VINILO TIPO I SOBRE PAÑETE O ESTUCO A TRES MANOS (INTERIORES)</v>
      </c>
      <c r="F712" s="94"/>
      <c r="G712" s="94"/>
      <c r="H712" s="94"/>
      <c r="I712" s="94"/>
      <c r="J712" s="94"/>
      <c r="K712" s="94"/>
      <c r="L712" s="94"/>
      <c r="M712" s="94"/>
      <c r="N712" s="94" t="str">
        <f>+VLOOKUP(D712,'PRESUPUESTO OFICIAL '!C:H,3,FALSE)</f>
        <v>M2</v>
      </c>
      <c r="O712" s="369"/>
      <c r="P712" s="370">
        <f>+VLOOKUP(D712,'PRESUPUESTO OFICIAL '!C:H,4,FALSE)</f>
        <v>775.21</v>
      </c>
      <c r="Q712" s="371"/>
      <c r="R712" s="372">
        <f>+P764</f>
        <v>23979</v>
      </c>
    </row>
    <row r="713" spans="1:18" ht="15.75" thickBot="1">
      <c r="A713" s="1"/>
      <c r="B713" s="2"/>
      <c r="C713" s="8"/>
      <c r="D713" s="74" t="s">
        <v>17</v>
      </c>
      <c r="E713" s="37"/>
      <c r="F713" s="37"/>
      <c r="G713" s="37"/>
      <c r="H713" s="37"/>
      <c r="I713" s="37"/>
      <c r="J713" s="37"/>
      <c r="K713" s="37"/>
      <c r="L713" s="37"/>
      <c r="M713" s="37"/>
      <c r="N713" s="37"/>
      <c r="O713" s="37"/>
      <c r="P713" s="99"/>
      <c r="Q713" s="100"/>
      <c r="R713" s="4"/>
    </row>
    <row r="714" spans="1:18">
      <c r="A714" s="1"/>
      <c r="B714" s="2"/>
      <c r="C714" s="8"/>
      <c r="D714" s="101" t="s">
        <v>14</v>
      </c>
      <c r="E714" s="102"/>
      <c r="F714" s="102"/>
      <c r="G714" s="102"/>
      <c r="H714" s="103"/>
      <c r="I714" s="104" t="s">
        <v>18</v>
      </c>
      <c r="J714" s="102"/>
      <c r="K714" s="104" t="s">
        <v>19</v>
      </c>
      <c r="L714" s="105"/>
      <c r="M714" s="106" t="s">
        <v>20</v>
      </c>
      <c r="N714" s="104" t="s">
        <v>21</v>
      </c>
      <c r="O714" s="105"/>
      <c r="P714" s="107" t="s">
        <v>22</v>
      </c>
      <c r="Q714" s="108"/>
      <c r="R714" s="4"/>
    </row>
    <row r="715" spans="1:18">
      <c r="A715" s="1" t="e">
        <f>[239]INDICE!#REF!</f>
        <v>#REF!</v>
      </c>
      <c r="B715" s="2" t="s">
        <v>23</v>
      </c>
      <c r="C715" s="8"/>
      <c r="D715" s="109" t="str">
        <f>IFERROR(INDEX([239]EQUIPOS!B:B,MATCH(B715,[239]EQUIPOS!A:A,0)),"")</f>
        <v>HERRAMIENTA MENOR (% M.O)</v>
      </c>
      <c r="E715" s="110"/>
      <c r="F715" s="110"/>
      <c r="G715" s="110"/>
      <c r="H715" s="111"/>
      <c r="I715" s="112"/>
      <c r="J715" s="111"/>
      <c r="K715" s="113" t="str">
        <f>IFERROR(INDEX([239]EQUIPOS!C:C,MATCH(B715,[239]EQUIPOS!A:A,0)),"")</f>
        <v>%</v>
      </c>
      <c r="L715" s="114"/>
      <c r="M715" s="115">
        <f>IFERROR(IF(D715="HERRAMIENTA MENOR (% M.O)",P754,INDEX([239]EQUIPOS!D:D,MATCH(B715,[239]EQUIPOS!A:A,0))),"")</f>
        <v>11641.310000000001</v>
      </c>
      <c r="N715" s="116">
        <v>10</v>
      </c>
      <c r="O715" s="117"/>
      <c r="P715" s="118">
        <f t="shared" ref="P715:P720" si="24">IFERROR(ROUND(IF(D715="HERRAMIENTA MENOR (% M.O)",N715%*M715,M715/N715),2)," ")</f>
        <v>1164.1300000000001</v>
      </c>
      <c r="Q715" s="119"/>
      <c r="R715" s="4"/>
    </row>
    <row r="716" spans="1:18">
      <c r="A716" s="1">
        <f>+$A$2593</f>
        <v>0</v>
      </c>
      <c r="B716" s="2" t="s">
        <v>260</v>
      </c>
      <c r="C716" s="8"/>
      <c r="D716" s="109" t="str">
        <f>IFERROR(INDEX([239]EQUIPOS!B:B,MATCH(B716,[239]EQUIPOS!A:A,0)),"")</f>
        <v>SECCIÓN DE ANDAMIO (01)</v>
      </c>
      <c r="E716" s="110"/>
      <c r="F716" s="110"/>
      <c r="G716" s="110"/>
      <c r="H716" s="111"/>
      <c r="I716" s="112"/>
      <c r="J716" s="111"/>
      <c r="K716" s="113" t="str">
        <f>IFERROR(INDEX([239]EQUIPOS!C:C,MATCH(B716,[239]EQUIPOS!A:A,0)),"")</f>
        <v>DIA</v>
      </c>
      <c r="L716" s="114"/>
      <c r="M716" s="115">
        <f>IFERROR(IF(D716="HERRAMIENTA MENOR (% M.O)",P755,INDEX([239]EQUIPOS!D:D,MATCH(B716,[239]EQUIPOS!A:A,0))),"")</f>
        <v>3000</v>
      </c>
      <c r="N716" s="116">
        <f>ROUND(1/0.06,2)</f>
        <v>16.670000000000002</v>
      </c>
      <c r="O716" s="117"/>
      <c r="P716" s="118">
        <f t="shared" si="24"/>
        <v>179.96</v>
      </c>
      <c r="Q716" s="119"/>
      <c r="R716" s="4"/>
    </row>
    <row r="717" spans="1:18">
      <c r="A717" s="1">
        <f t="shared" ref="A717:A755" si="25">+A716</f>
        <v>0</v>
      </c>
      <c r="B717" s="2"/>
      <c r="C717" s="8"/>
      <c r="D717" s="109" t="str">
        <f>IFERROR(INDEX([239]EQUIPOS!B:B,MATCH(B717,[239]EQUIPOS!A:A,0)),"")</f>
        <v/>
      </c>
      <c r="E717" s="110"/>
      <c r="F717" s="110"/>
      <c r="G717" s="110"/>
      <c r="H717" s="111"/>
      <c r="I717" s="120"/>
      <c r="J717" s="121"/>
      <c r="K717" s="113" t="str">
        <f>IFERROR(INDEX([239]EQUIPOS!C:C,MATCH(B717,[239]EQUIPOS!A:A,0)),"")</f>
        <v/>
      </c>
      <c r="L717" s="114"/>
      <c r="M717" s="115" t="str">
        <f>IFERROR(IF(D717="HERRAMIENTA MENOR (% M.O)",P756,INDEX([239]EQUIPOS!D:D,MATCH(B717,[239]EQUIPOS!A:A,0))),"")</f>
        <v/>
      </c>
      <c r="N717" s="116"/>
      <c r="O717" s="117"/>
      <c r="P717" s="118" t="str">
        <f t="shared" si="24"/>
        <v xml:space="preserve"> </v>
      </c>
      <c r="Q717" s="119"/>
      <c r="R717" s="4"/>
    </row>
    <row r="718" spans="1:18">
      <c r="A718" s="1">
        <f t="shared" si="25"/>
        <v>0</v>
      </c>
      <c r="B718" s="2"/>
      <c r="C718" s="8"/>
      <c r="D718" s="109" t="str">
        <f>IFERROR(INDEX([239]EQUIPOS!B:B,MATCH(B718,[239]EQUIPOS!A:A,0)),"")</f>
        <v/>
      </c>
      <c r="E718" s="110"/>
      <c r="F718" s="110"/>
      <c r="G718" s="110"/>
      <c r="H718" s="111"/>
      <c r="I718" s="120"/>
      <c r="J718" s="121"/>
      <c r="K718" s="113" t="str">
        <f>IFERROR(INDEX([239]EQUIPOS!C:C,MATCH(B718,[239]EQUIPOS!A:A,0)),"")</f>
        <v/>
      </c>
      <c r="L718" s="114"/>
      <c r="M718" s="115" t="str">
        <f>IFERROR(IF(D718="HERRAMIENTA MENOR (% M.O)",P757,INDEX([239]EQUIPOS!D:D,MATCH(B718,[239]EQUIPOS!A:A,0))),"")</f>
        <v/>
      </c>
      <c r="N718" s="116"/>
      <c r="O718" s="117"/>
      <c r="P718" s="118" t="str">
        <f t="shared" si="24"/>
        <v xml:space="preserve"> </v>
      </c>
      <c r="Q718" s="119"/>
      <c r="R718" s="4"/>
    </row>
    <row r="719" spans="1:18">
      <c r="A719" s="1">
        <f t="shared" si="25"/>
        <v>0</v>
      </c>
      <c r="B719" s="2"/>
      <c r="C719" s="8"/>
      <c r="D719" s="109" t="str">
        <f>IFERROR(INDEX([239]EQUIPOS!B:B,MATCH(B719,[239]EQUIPOS!A:A,0)),"")</f>
        <v/>
      </c>
      <c r="E719" s="110"/>
      <c r="F719" s="110"/>
      <c r="G719" s="110"/>
      <c r="H719" s="111"/>
      <c r="I719" s="112"/>
      <c r="J719" s="111"/>
      <c r="K719" s="113" t="str">
        <f>IFERROR(INDEX([239]EQUIPOS!C:C,MATCH(B719,[239]EQUIPOS!A:A,0)),"")</f>
        <v/>
      </c>
      <c r="L719" s="114"/>
      <c r="M719" s="115" t="str">
        <f>IFERROR(IF(D719="HERRAMIENTA MENOR (% M.O)",P758,INDEX([239]EQUIPOS!D:D,MATCH(B719,[239]EQUIPOS!A:A,0))),"")</f>
        <v/>
      </c>
      <c r="N719" s="116"/>
      <c r="O719" s="117"/>
      <c r="P719" s="118" t="str">
        <f t="shared" si="24"/>
        <v xml:space="preserve"> </v>
      </c>
      <c r="Q719" s="119"/>
      <c r="R719" s="4"/>
    </row>
    <row r="720" spans="1:18" ht="15.75" thickBot="1">
      <c r="A720" s="1">
        <f t="shared" si="25"/>
        <v>0</v>
      </c>
      <c r="B720" s="2"/>
      <c r="C720" s="8"/>
      <c r="D720" s="109" t="str">
        <f>IFERROR(INDEX([239]EQUIPOS!B:B,MATCH(B720,[239]EQUIPOS!A:A,0)),"")</f>
        <v/>
      </c>
      <c r="E720" s="78"/>
      <c r="F720" s="78"/>
      <c r="G720" s="78"/>
      <c r="H720" s="122"/>
      <c r="I720" s="123"/>
      <c r="J720" s="122"/>
      <c r="K720" s="113" t="str">
        <f>IFERROR(INDEX([239]EQUIPOS!C:C,MATCH(B720,[239]EQUIPOS!A:A,0)),"")</f>
        <v/>
      </c>
      <c r="L720" s="124"/>
      <c r="M720" s="115" t="str">
        <f>IFERROR(IF(D720="HERRAMIENTA MENOR (% M.O)",P759,INDEX([239]EQUIPOS!D:D,MATCH(B720,[239]EQUIPOS!A:A,0))),"")</f>
        <v/>
      </c>
      <c r="N720" s="125"/>
      <c r="O720" s="126"/>
      <c r="P720" s="127" t="str">
        <f t="shared" si="24"/>
        <v xml:space="preserve"> </v>
      </c>
      <c r="Q720" s="119"/>
      <c r="R720" s="4"/>
    </row>
    <row r="721" spans="1:18" ht="15.75" thickBot="1">
      <c r="A721" s="1">
        <f t="shared" si="25"/>
        <v>0</v>
      </c>
      <c r="B721" s="2"/>
      <c r="C721" s="8"/>
      <c r="D721" s="128" t="s">
        <v>24</v>
      </c>
      <c r="E721" s="129"/>
      <c r="F721" s="129"/>
      <c r="G721" s="129"/>
      <c r="H721" s="129"/>
      <c r="I721" s="129"/>
      <c r="J721" s="129"/>
      <c r="K721" s="129"/>
      <c r="L721" s="129"/>
      <c r="M721" s="129"/>
      <c r="N721" s="129"/>
      <c r="O721" s="130"/>
      <c r="P721" s="131">
        <f>SUM(P715:P720)</f>
        <v>1344.0900000000001</v>
      </c>
      <c r="Q721" s="132"/>
      <c r="R721" s="4"/>
    </row>
    <row r="722" spans="1:18" ht="15.75" thickBot="1">
      <c r="A722" s="1">
        <f t="shared" si="25"/>
        <v>0</v>
      </c>
      <c r="B722" s="2"/>
      <c r="C722" s="8"/>
      <c r="D722" s="74" t="s">
        <v>25</v>
      </c>
      <c r="E722" s="37"/>
      <c r="F722" s="37"/>
      <c r="G722" s="37"/>
      <c r="H722" s="37"/>
      <c r="I722" s="37"/>
      <c r="J722" s="37"/>
      <c r="K722" s="37"/>
      <c r="L722" s="37"/>
      <c r="M722" s="37"/>
      <c r="N722" s="37"/>
      <c r="O722" s="37"/>
      <c r="P722" s="99"/>
      <c r="Q722" s="100"/>
      <c r="R722" s="4"/>
    </row>
    <row r="723" spans="1:18">
      <c r="A723" s="1">
        <f t="shared" si="25"/>
        <v>0</v>
      </c>
      <c r="B723" s="2"/>
      <c r="C723" s="8"/>
      <c r="D723" s="101" t="s">
        <v>14</v>
      </c>
      <c r="E723" s="133"/>
      <c r="F723" s="133"/>
      <c r="G723" s="133"/>
      <c r="H723" s="133"/>
      <c r="I723" s="133"/>
      <c r="J723" s="133"/>
      <c r="K723" s="105"/>
      <c r="L723" s="134" t="s">
        <v>15</v>
      </c>
      <c r="M723" s="106" t="s">
        <v>16</v>
      </c>
      <c r="N723" s="104" t="s">
        <v>26</v>
      </c>
      <c r="O723" s="105"/>
      <c r="P723" s="107" t="s">
        <v>22</v>
      </c>
      <c r="Q723" s="108"/>
      <c r="R723" s="4"/>
    </row>
    <row r="724" spans="1:18">
      <c r="A724" s="1">
        <f t="shared" si="25"/>
        <v>0</v>
      </c>
      <c r="B724" s="2" t="s">
        <v>334</v>
      </c>
      <c r="C724" s="8"/>
      <c r="D724" s="109" t="str">
        <f>IFERROR(INDEX([239]MATERIALES!C:C,MATCH(B724,[239]MATERIALES!B:B,0)),"")</f>
        <v>PINTURA VINILO TIPO 1</v>
      </c>
      <c r="E724" s="135"/>
      <c r="F724" s="135"/>
      <c r="G724" s="135"/>
      <c r="H724" s="135"/>
      <c r="I724" s="135"/>
      <c r="J724" s="135"/>
      <c r="K724" s="136"/>
      <c r="L724" s="137" t="str">
        <f>IFERROR(INDEX([239]MATERIALES!D:D,MATCH(B724,[239]MATERIALES!B:B,0)),"")</f>
        <v>GAL</v>
      </c>
      <c r="M724" s="138">
        <v>0.06</v>
      </c>
      <c r="N724" s="139">
        <f>IFERROR(INDEX([239]MATERIALES!P:P,MATCH(B724,[239]MATERIALES!B:B,0)),"")</f>
        <v>78587.94</v>
      </c>
      <c r="O724" s="140"/>
      <c r="P724" s="118">
        <f>IFERROR(ROUND(N724*M724,2),"")</f>
        <v>4715.28</v>
      </c>
      <c r="Q724" s="119"/>
      <c r="R724" s="4"/>
    </row>
    <row r="725" spans="1:18">
      <c r="A725" s="1">
        <f t="shared" si="25"/>
        <v>0</v>
      </c>
      <c r="B725" s="2" t="s">
        <v>335</v>
      </c>
      <c r="C725" s="8"/>
      <c r="D725" s="109" t="str">
        <f>IFERROR(INDEX([239]MATERIALES!C:C,MATCH(B725,[239]MATERIALES!B:B,0)),"")</f>
        <v>LIJA DE AGUA No. 120</v>
      </c>
      <c r="E725" s="135"/>
      <c r="F725" s="135"/>
      <c r="G725" s="135"/>
      <c r="H725" s="135"/>
      <c r="I725" s="135"/>
      <c r="J725" s="135"/>
      <c r="K725" s="136"/>
      <c r="L725" s="137" t="str">
        <f>IFERROR(INDEX([239]MATERIALES!D:D,MATCH(B725,[239]MATERIALES!B:B,0)),"")</f>
        <v>UND</v>
      </c>
      <c r="M725" s="138">
        <v>0.04</v>
      </c>
      <c r="N725" s="139">
        <f>IFERROR(INDEX([239]MATERIALES!P:P,MATCH(B725,[239]MATERIALES!B:B,0)),"")</f>
        <v>2200</v>
      </c>
      <c r="O725" s="140"/>
      <c r="P725" s="118">
        <f>IFERROR(ROUND(N725*M725,2),"")</f>
        <v>88</v>
      </c>
      <c r="Q725" s="119"/>
      <c r="R725" s="4"/>
    </row>
    <row r="726" spans="1:18">
      <c r="A726" s="1">
        <f t="shared" si="25"/>
        <v>0</v>
      </c>
      <c r="B726" s="2" t="s">
        <v>27</v>
      </c>
      <c r="C726" s="8"/>
      <c r="D726" s="109" t="str">
        <f>IFERROR(INDEX([239]MATERIALES!C:C,MATCH(B726,[239]MATERIALES!B:B,0)),"")</f>
        <v>AGUA</v>
      </c>
      <c r="E726" s="110"/>
      <c r="F726" s="110"/>
      <c r="G726" s="110"/>
      <c r="H726" s="110"/>
      <c r="I726" s="110"/>
      <c r="J726" s="110"/>
      <c r="K726" s="111"/>
      <c r="L726" s="137" t="str">
        <f>IFERROR(INDEX([239]MATERIALES!D:D,MATCH(B726,[239]MATERIALES!B:B,0)),"")</f>
        <v>LT</v>
      </c>
      <c r="M726" s="138">
        <v>0.03</v>
      </c>
      <c r="N726" s="139">
        <f>IFERROR(INDEX([239]MATERIALES!P:P,MATCH(B726,[239]MATERIALES!B:B,0)),"")</f>
        <v>3.65</v>
      </c>
      <c r="O726" s="140"/>
      <c r="P726" s="118">
        <f>IFERROR(ROUND(N726*M726,2),"")</f>
        <v>0.11</v>
      </c>
      <c r="Q726" s="119"/>
      <c r="R726" s="4"/>
    </row>
    <row r="727" spans="1:18">
      <c r="A727" s="1">
        <f t="shared" si="25"/>
        <v>0</v>
      </c>
      <c r="B727" s="2"/>
      <c r="C727" s="8"/>
      <c r="D727" s="109" t="str">
        <f>IFERROR(INDEX([239]MATERIALES!C:C,MATCH(B727,[239]MATERIALES!B:B,0)),"")</f>
        <v/>
      </c>
      <c r="E727" s="110"/>
      <c r="F727" s="110"/>
      <c r="G727" s="110"/>
      <c r="H727" s="110"/>
      <c r="I727" s="110"/>
      <c r="J727" s="110"/>
      <c r="K727" s="111"/>
      <c r="L727" s="137" t="str">
        <f>IFERROR(INDEX([239]MATERIALES!D:D,MATCH(B727,[239]MATERIALES!B:B,0)),"")</f>
        <v/>
      </c>
      <c r="M727" s="138"/>
      <c r="N727" s="139" t="str">
        <f>IFERROR(INDEX([239]MATERIALES!P:P,MATCH(B727,[239]MATERIALES!B:B,0)),"")</f>
        <v/>
      </c>
      <c r="O727" s="140"/>
      <c r="P727" s="118" t="str">
        <f>IFERROR(ROUND(N727*M727,2),"")</f>
        <v/>
      </c>
      <c r="Q727" s="119"/>
      <c r="R727" s="4"/>
    </row>
    <row r="728" spans="1:18">
      <c r="A728" s="1">
        <f t="shared" si="25"/>
        <v>0</v>
      </c>
      <c r="B728" s="2"/>
      <c r="C728" s="8"/>
      <c r="D728" s="109" t="str">
        <f>IFERROR(INDEX([239]MATERIALES!C:C,MATCH(B728,[239]MATERIALES!B:B,0)),"")</f>
        <v/>
      </c>
      <c r="E728" s="110"/>
      <c r="F728" s="110"/>
      <c r="G728" s="110"/>
      <c r="H728" s="110"/>
      <c r="I728" s="110"/>
      <c r="J728" s="110"/>
      <c r="K728" s="111"/>
      <c r="L728" s="137" t="str">
        <f>IFERROR(INDEX([239]MATERIALES!D:D,MATCH(B728,[239]MATERIALES!B:B,0)),"")</f>
        <v/>
      </c>
      <c r="M728" s="138"/>
      <c r="N728" s="139" t="str">
        <f>IFERROR(INDEX([239]MATERIALES!P:P,MATCH(B728,[239]MATERIALES!B:B,0)),"")</f>
        <v/>
      </c>
      <c r="O728" s="140"/>
      <c r="P728" s="118" t="str">
        <f t="shared" ref="P728:P737" si="26">IFERROR(ROUND(N728*M728,2),"")</f>
        <v/>
      </c>
      <c r="Q728" s="119"/>
      <c r="R728" s="4"/>
    </row>
    <row r="729" spans="1:18">
      <c r="A729" s="1">
        <f t="shared" si="25"/>
        <v>0</v>
      </c>
      <c r="B729" s="2"/>
      <c r="C729" s="8"/>
      <c r="D729" s="109" t="str">
        <f>IFERROR(INDEX([239]MATERIALES!C:C,MATCH(B729,[239]MATERIALES!B:B,0)),"")</f>
        <v/>
      </c>
      <c r="E729" s="110"/>
      <c r="F729" s="110"/>
      <c r="G729" s="110"/>
      <c r="H729" s="110"/>
      <c r="I729" s="110"/>
      <c r="J729" s="110"/>
      <c r="K729" s="111"/>
      <c r="L729" s="137" t="str">
        <f>IFERROR(INDEX([239]MATERIALES!D:D,MATCH(B729,[239]MATERIALES!B:B,0)),"")</f>
        <v/>
      </c>
      <c r="M729" s="138"/>
      <c r="N729" s="139" t="str">
        <f>IFERROR(INDEX([239]MATERIALES!P:P,MATCH(B729,[239]MATERIALES!B:B,0)),"")</f>
        <v/>
      </c>
      <c r="O729" s="140"/>
      <c r="P729" s="118" t="str">
        <f t="shared" si="26"/>
        <v/>
      </c>
      <c r="Q729" s="119"/>
      <c r="R729" s="4"/>
    </row>
    <row r="730" spans="1:18">
      <c r="A730" s="1">
        <f t="shared" si="25"/>
        <v>0</v>
      </c>
      <c r="B730" s="2"/>
      <c r="C730" s="8"/>
      <c r="D730" s="109" t="str">
        <f>IFERROR(INDEX([239]MATERIALES!C:C,MATCH(B730,[239]MATERIALES!B:B,0)),"")</f>
        <v/>
      </c>
      <c r="E730" s="110"/>
      <c r="F730" s="110"/>
      <c r="G730" s="110"/>
      <c r="H730" s="110"/>
      <c r="I730" s="110"/>
      <c r="J730" s="110"/>
      <c r="K730" s="111"/>
      <c r="L730" s="137" t="str">
        <f>IFERROR(INDEX([239]MATERIALES!D:D,MATCH(B730,[239]MATERIALES!B:B,0)),"")</f>
        <v/>
      </c>
      <c r="M730" s="138"/>
      <c r="N730" s="139" t="str">
        <f>IFERROR(INDEX([239]MATERIALES!P:P,MATCH(B730,[239]MATERIALES!B:B,0)),"")</f>
        <v/>
      </c>
      <c r="O730" s="140"/>
      <c r="P730" s="118" t="str">
        <f t="shared" si="26"/>
        <v/>
      </c>
      <c r="Q730" s="119"/>
      <c r="R730" s="4"/>
    </row>
    <row r="731" spans="1:18">
      <c r="A731" s="1">
        <f t="shared" si="25"/>
        <v>0</v>
      </c>
      <c r="B731" s="2"/>
      <c r="C731" s="8"/>
      <c r="D731" s="109" t="str">
        <f>IFERROR(INDEX([239]MATERIALES!C:C,MATCH(B731,[239]MATERIALES!B:B,0)),"")</f>
        <v/>
      </c>
      <c r="E731" s="110"/>
      <c r="F731" s="110"/>
      <c r="G731" s="110"/>
      <c r="H731" s="110"/>
      <c r="I731" s="110"/>
      <c r="J731" s="110"/>
      <c r="K731" s="111"/>
      <c r="L731" s="137" t="str">
        <f>IFERROR(INDEX([239]MATERIALES!D:D,MATCH(B731,[239]MATERIALES!B:B,0)),"")</f>
        <v/>
      </c>
      <c r="M731" s="138"/>
      <c r="N731" s="139" t="str">
        <f>IFERROR(INDEX([239]MATERIALES!P:P,MATCH(B731,[239]MATERIALES!B:B,0)),"")</f>
        <v/>
      </c>
      <c r="O731" s="140"/>
      <c r="P731" s="118" t="str">
        <f t="shared" si="26"/>
        <v/>
      </c>
      <c r="Q731" s="119"/>
      <c r="R731" s="4"/>
    </row>
    <row r="732" spans="1:18">
      <c r="A732" s="1">
        <f t="shared" si="25"/>
        <v>0</v>
      </c>
      <c r="B732" s="2"/>
      <c r="C732" s="8"/>
      <c r="D732" s="109" t="str">
        <f>IFERROR(INDEX([239]MATERIALES!C:C,MATCH(B732,[239]MATERIALES!B:B,0)),"")</f>
        <v/>
      </c>
      <c r="E732" s="110"/>
      <c r="F732" s="110"/>
      <c r="G732" s="110"/>
      <c r="H732" s="110"/>
      <c r="I732" s="110"/>
      <c r="J732" s="110"/>
      <c r="K732" s="111"/>
      <c r="L732" s="137" t="str">
        <f>IFERROR(INDEX([239]MATERIALES!D:D,MATCH(B732,[239]MATERIALES!B:B,0)),"")</f>
        <v/>
      </c>
      <c r="M732" s="138"/>
      <c r="N732" s="139" t="str">
        <f>IFERROR(INDEX([239]MATERIALES!P:P,MATCH(B732,[239]MATERIALES!B:B,0)),"")</f>
        <v/>
      </c>
      <c r="O732" s="140"/>
      <c r="P732" s="118" t="str">
        <f t="shared" si="26"/>
        <v/>
      </c>
      <c r="Q732" s="119"/>
      <c r="R732" s="4"/>
    </row>
    <row r="733" spans="1:18">
      <c r="A733" s="1">
        <f t="shared" si="25"/>
        <v>0</v>
      </c>
      <c r="B733" s="2"/>
      <c r="C733" s="8"/>
      <c r="D733" s="109" t="str">
        <f>IFERROR(INDEX([239]MATERIALES!C:C,MATCH(B733,[239]MATERIALES!B:B,0)),"")</f>
        <v/>
      </c>
      <c r="E733" s="110"/>
      <c r="F733" s="110"/>
      <c r="G733" s="110"/>
      <c r="H733" s="110"/>
      <c r="I733" s="110"/>
      <c r="J733" s="110"/>
      <c r="K733" s="111"/>
      <c r="L733" s="137" t="str">
        <f>IFERROR(INDEX([239]MATERIALES!D:D,MATCH(B733,[239]MATERIALES!B:B,0)),"")</f>
        <v/>
      </c>
      <c r="M733" s="138"/>
      <c r="N733" s="139" t="str">
        <f>IFERROR(INDEX([239]MATERIALES!P:P,MATCH(B733,[239]MATERIALES!B:B,0)),"")</f>
        <v/>
      </c>
      <c r="O733" s="140"/>
      <c r="P733" s="118" t="str">
        <f t="shared" si="26"/>
        <v/>
      </c>
      <c r="Q733" s="119"/>
      <c r="R733" s="4"/>
    </row>
    <row r="734" spans="1:18">
      <c r="A734" s="1">
        <f t="shared" si="25"/>
        <v>0</v>
      </c>
      <c r="B734" s="2"/>
      <c r="C734" s="8"/>
      <c r="D734" s="109" t="str">
        <f>IFERROR(INDEX([239]MATERIALES!C:C,MATCH(B734,[239]MATERIALES!B:B,0)),"")</f>
        <v/>
      </c>
      <c r="E734" s="110"/>
      <c r="F734" s="110"/>
      <c r="G734" s="110"/>
      <c r="H734" s="110"/>
      <c r="I734" s="110"/>
      <c r="J734" s="110"/>
      <c r="K734" s="111"/>
      <c r="L734" s="137" t="str">
        <f>IFERROR(INDEX([239]MATERIALES!D:D,MATCH(B734,[239]MATERIALES!B:B,0)),"")</f>
        <v/>
      </c>
      <c r="M734" s="138"/>
      <c r="N734" s="139" t="str">
        <f>IFERROR(INDEX([239]MATERIALES!P:P,MATCH(B734,[239]MATERIALES!B:B,0)),"")</f>
        <v/>
      </c>
      <c r="O734" s="140"/>
      <c r="P734" s="118" t="str">
        <f t="shared" si="26"/>
        <v/>
      </c>
      <c r="Q734" s="119"/>
      <c r="R734" s="4"/>
    </row>
    <row r="735" spans="1:18">
      <c r="A735" s="1">
        <f t="shared" si="25"/>
        <v>0</v>
      </c>
      <c r="B735" s="2"/>
      <c r="C735" s="8"/>
      <c r="D735" s="109" t="str">
        <f>IFERROR(INDEX([239]MATERIALES!C:C,MATCH(B735,[239]MATERIALES!B:B,0)),"")</f>
        <v/>
      </c>
      <c r="E735" s="110"/>
      <c r="F735" s="110"/>
      <c r="G735" s="110"/>
      <c r="H735" s="110"/>
      <c r="I735" s="110"/>
      <c r="J735" s="110"/>
      <c r="K735" s="111"/>
      <c r="L735" s="137" t="str">
        <f>IFERROR(INDEX([239]MATERIALES!D:D,MATCH(B735,[239]MATERIALES!B:B,0)),"")</f>
        <v/>
      </c>
      <c r="M735" s="138"/>
      <c r="N735" s="139" t="str">
        <f>IFERROR(INDEX([239]MATERIALES!P:P,MATCH(B735,[239]MATERIALES!B:B,0)),"")</f>
        <v/>
      </c>
      <c r="O735" s="140"/>
      <c r="P735" s="118" t="str">
        <f t="shared" si="26"/>
        <v/>
      </c>
      <c r="Q735" s="119"/>
      <c r="R735" s="4"/>
    </row>
    <row r="736" spans="1:18">
      <c r="A736" s="1">
        <f t="shared" si="25"/>
        <v>0</v>
      </c>
      <c r="B736" s="2"/>
      <c r="C736" s="8"/>
      <c r="D736" s="109" t="str">
        <f>IFERROR(INDEX([239]MATERIALES!C:C,MATCH(B736,[239]MATERIALES!B:B,0)),"")</f>
        <v/>
      </c>
      <c r="E736" s="110"/>
      <c r="F736" s="110"/>
      <c r="G736" s="110"/>
      <c r="H736" s="110"/>
      <c r="I736" s="110"/>
      <c r="J736" s="110"/>
      <c r="K736" s="111"/>
      <c r="L736" s="137" t="str">
        <f>IFERROR(INDEX([239]MATERIALES!D:D,MATCH(B736,[239]MATERIALES!B:B,0)),"")</f>
        <v/>
      </c>
      <c r="M736" s="138"/>
      <c r="N736" s="139" t="str">
        <f>IFERROR(INDEX([239]MATERIALES!P:P,MATCH(B736,[239]MATERIALES!B:B,0)),"")</f>
        <v/>
      </c>
      <c r="O736" s="140"/>
      <c r="P736" s="118" t="str">
        <f t="shared" si="26"/>
        <v/>
      </c>
      <c r="Q736" s="119"/>
      <c r="R736" s="4"/>
    </row>
    <row r="737" spans="1:18">
      <c r="A737" s="1">
        <f t="shared" si="25"/>
        <v>0</v>
      </c>
      <c r="B737" s="2"/>
      <c r="C737" s="8"/>
      <c r="D737" s="109" t="str">
        <f>IFERROR(INDEX([239]MATERIALES!C:C,MATCH(B737,[239]MATERIALES!B:B,0)),"")</f>
        <v/>
      </c>
      <c r="E737" s="110"/>
      <c r="F737" s="110"/>
      <c r="G737" s="110"/>
      <c r="H737" s="110"/>
      <c r="I737" s="110"/>
      <c r="J737" s="110"/>
      <c r="K737" s="111"/>
      <c r="L737" s="137" t="str">
        <f>IFERROR(INDEX([239]MATERIALES!D:D,MATCH(B737,[239]MATERIALES!B:B,0)),"")</f>
        <v/>
      </c>
      <c r="M737" s="138"/>
      <c r="N737" s="139" t="str">
        <f>IFERROR(INDEX([239]MATERIALES!P:P,MATCH(B737,[239]MATERIALES!B:B,0)),"")</f>
        <v/>
      </c>
      <c r="O737" s="140"/>
      <c r="P737" s="118" t="str">
        <f t="shared" si="26"/>
        <v/>
      </c>
      <c r="Q737" s="119"/>
      <c r="R737" s="4"/>
    </row>
    <row r="738" spans="1:18" ht="15.75" thickBot="1">
      <c r="A738" s="1">
        <f t="shared" si="25"/>
        <v>0</v>
      </c>
      <c r="B738" s="2"/>
      <c r="C738" s="8"/>
      <c r="D738" s="109" t="s">
        <v>28</v>
      </c>
      <c r="E738" s="110"/>
      <c r="F738" s="110"/>
      <c r="G738" s="110"/>
      <c r="H738" s="110"/>
      <c r="I738" s="110"/>
      <c r="J738" s="110"/>
      <c r="K738" s="111"/>
      <c r="L738" s="137" t="s">
        <v>29</v>
      </c>
      <c r="M738" s="138">
        <v>0.05</v>
      </c>
      <c r="N738" s="139">
        <f>SUM(P724:P737)</f>
        <v>4803.3899999999994</v>
      </c>
      <c r="O738" s="140"/>
      <c r="P738" s="118">
        <f>ROUND(N738*M738,2)</f>
        <v>240.17</v>
      </c>
      <c r="Q738" s="119"/>
      <c r="R738" s="4"/>
    </row>
    <row r="739" spans="1:18" ht="15.75" thickBot="1">
      <c r="A739" s="1">
        <f t="shared" si="25"/>
        <v>0</v>
      </c>
      <c r="B739" s="2"/>
      <c r="C739" s="8"/>
      <c r="D739" s="128" t="s">
        <v>24</v>
      </c>
      <c r="E739" s="129"/>
      <c r="F739" s="129"/>
      <c r="G739" s="129"/>
      <c r="H739" s="129"/>
      <c r="I739" s="129"/>
      <c r="J739" s="129"/>
      <c r="K739" s="129"/>
      <c r="L739" s="129"/>
      <c r="M739" s="129"/>
      <c r="N739" s="129"/>
      <c r="O739" s="130"/>
      <c r="P739" s="131">
        <f>SUM(P724:P738)</f>
        <v>5043.5599999999995</v>
      </c>
      <c r="Q739" s="119"/>
      <c r="R739" s="4"/>
    </row>
    <row r="740" spans="1:18" ht="15.75" thickBot="1">
      <c r="A740" s="1">
        <f t="shared" si="25"/>
        <v>0</v>
      </c>
      <c r="B740" s="2"/>
      <c r="C740" s="8"/>
      <c r="D740" s="74" t="s">
        <v>30</v>
      </c>
      <c r="E740" s="37"/>
      <c r="F740" s="37"/>
      <c r="G740" s="37"/>
      <c r="H740" s="37"/>
      <c r="I740" s="37"/>
      <c r="J740" s="37"/>
      <c r="K740" s="37"/>
      <c r="L740" s="37"/>
      <c r="M740" s="37"/>
      <c r="N740" s="37"/>
      <c r="O740" s="37"/>
      <c r="P740" s="99"/>
      <c r="Q740" s="100"/>
      <c r="R740" s="4"/>
    </row>
    <row r="741" spans="1:18">
      <c r="A741" s="1">
        <f t="shared" si="25"/>
        <v>0</v>
      </c>
      <c r="B741" s="2"/>
      <c r="C741" s="8"/>
      <c r="D741" s="101" t="s">
        <v>31</v>
      </c>
      <c r="E741" s="133"/>
      <c r="F741" s="133"/>
      <c r="G741" s="133"/>
      <c r="H741" s="133"/>
      <c r="I741" s="133"/>
      <c r="J741" s="133"/>
      <c r="K741" s="106" t="s">
        <v>32</v>
      </c>
      <c r="L741" s="141" t="s">
        <v>33</v>
      </c>
      <c r="M741" s="106" t="s">
        <v>34</v>
      </c>
      <c r="N741" s="104" t="s">
        <v>20</v>
      </c>
      <c r="O741" s="105"/>
      <c r="P741" s="107" t="s">
        <v>22</v>
      </c>
      <c r="Q741" s="108"/>
      <c r="R741" s="4"/>
    </row>
    <row r="742" spans="1:18">
      <c r="A742" s="1">
        <f t="shared" si="25"/>
        <v>0</v>
      </c>
      <c r="B742" s="2"/>
      <c r="C742" s="8"/>
      <c r="D742" s="142" t="str">
        <f>IFERROR(INDEX([239]TRANSPORTES!B:B,MATCH(B742,[239]TRANSPORTES!A:A,0)),"")</f>
        <v/>
      </c>
      <c r="E742" s="143"/>
      <c r="F742" s="143"/>
      <c r="G742" s="143"/>
      <c r="H742" s="143"/>
      <c r="I742" s="143"/>
      <c r="J742" s="143"/>
      <c r="K742" s="220"/>
      <c r="L742" s="145"/>
      <c r="M742" s="146" t="str">
        <f>IFERROR(INDEX([239]TRANSPORTES!C:C,MATCH(B742,[239]TRANSPORTES!A:A,0)),"")</f>
        <v/>
      </c>
      <c r="N742" s="139" t="str">
        <f>IFERROR(INDEX([239]TRANSPORTES!D:D,MATCH(B742,[239]TRANSPORTES!A:A,0)),"")</f>
        <v/>
      </c>
      <c r="O742" s="147"/>
      <c r="P742" s="148" t="str">
        <f>IFERROR(ROUND(K742*N742*L742,2),"")</f>
        <v/>
      </c>
      <c r="Q742" s="119"/>
      <c r="R742" s="4"/>
    </row>
    <row r="743" spans="1:18">
      <c r="A743" s="1">
        <f t="shared" si="25"/>
        <v>0</v>
      </c>
      <c r="B743" s="2"/>
      <c r="C743" s="8"/>
      <c r="D743" s="142" t="str">
        <f>IFERROR(INDEX([239]TRANSPORTES!B:B,MATCH(B743,[239]TRANSPORTES!A:A,0)),"")</f>
        <v/>
      </c>
      <c r="E743" s="143"/>
      <c r="F743" s="143"/>
      <c r="G743" s="143"/>
      <c r="H743" s="143"/>
      <c r="I743" s="143"/>
      <c r="J743" s="143"/>
      <c r="K743" s="144"/>
      <c r="L743" s="145"/>
      <c r="M743" s="146" t="str">
        <f>IFERROR(INDEX([239]TRANSPORTES!C:C,MATCH(B743,[239]TRANSPORTES!A:A,0)),"")</f>
        <v/>
      </c>
      <c r="N743" s="139" t="str">
        <f>IFERROR(INDEX([239]TRANSPORTES!D:D,MATCH(B743,[239]TRANSPORTES!A:A,0)),"")</f>
        <v/>
      </c>
      <c r="O743" s="147"/>
      <c r="P743" s="148" t="str">
        <f>IFERROR(ROUND(K743*N743*L743,2),"")</f>
        <v/>
      </c>
      <c r="Q743" s="119"/>
      <c r="R743" s="4"/>
    </row>
    <row r="744" spans="1:18">
      <c r="A744" s="1">
        <f t="shared" si="25"/>
        <v>0</v>
      </c>
      <c r="B744" s="2"/>
      <c r="C744" s="8"/>
      <c r="D744" s="142" t="str">
        <f>IFERROR(INDEX([239]TRANSPORTES!B:B,MATCH(B744,[239]TRANSPORTES!A:A,0)),"")</f>
        <v/>
      </c>
      <c r="E744" s="143"/>
      <c r="F744" s="143"/>
      <c r="G744" s="143"/>
      <c r="H744" s="143"/>
      <c r="I744" s="143"/>
      <c r="J744" s="143"/>
      <c r="K744" s="144"/>
      <c r="L744" s="145"/>
      <c r="M744" s="146" t="str">
        <f>IFERROR(INDEX([239]TRANSPORTES!C:C,MATCH(B744,[239]TRANSPORTES!A:A,0)),"")</f>
        <v/>
      </c>
      <c r="N744" s="139" t="str">
        <f>IFERROR(INDEX([239]TRANSPORTES!D:D,MATCH(B744,[239]TRANSPORTES!A:A,0)),"")</f>
        <v/>
      </c>
      <c r="O744" s="147"/>
      <c r="P744" s="148" t="str">
        <f>IFERROR(ROUND(K744*N744*L744,2),"")</f>
        <v/>
      </c>
      <c r="Q744" s="119"/>
      <c r="R744" s="4"/>
    </row>
    <row r="745" spans="1:18" ht="15.75" thickBot="1">
      <c r="A745" s="1">
        <f t="shared" si="25"/>
        <v>0</v>
      </c>
      <c r="B745" s="2"/>
      <c r="C745" s="8"/>
      <c r="D745" s="142" t="str">
        <f>IFERROR(INDEX([239]TRANSPORTES!B:B,MATCH(B745,[239]TRANSPORTES!A:A,0)),"")</f>
        <v/>
      </c>
      <c r="E745" s="143"/>
      <c r="F745" s="143"/>
      <c r="G745" s="143"/>
      <c r="H745" s="143"/>
      <c r="I745" s="143"/>
      <c r="J745" s="143"/>
      <c r="K745" s="149"/>
      <c r="L745" s="150"/>
      <c r="M745" s="146" t="str">
        <f>IFERROR(INDEX([239]TRANSPORTES!C:C,MATCH(B745,[239]TRANSPORTES!A:A,0)),"")</f>
        <v/>
      </c>
      <c r="N745" s="139" t="str">
        <f>IFERROR(INDEX([239]TRANSPORTES!D:D,MATCH(B745,[239]TRANSPORTES!A:A,0)),"")</f>
        <v/>
      </c>
      <c r="O745" s="147"/>
      <c r="P745" s="148" t="str">
        <f>IFERROR(ROUND(K745*N745*L745,2),"")</f>
        <v/>
      </c>
      <c r="Q745" s="119"/>
      <c r="R745" s="4"/>
    </row>
    <row r="746" spans="1:18" ht="15.75" thickBot="1">
      <c r="A746" s="1">
        <f t="shared" si="25"/>
        <v>0</v>
      </c>
      <c r="B746" s="2"/>
      <c r="C746" s="8"/>
      <c r="D746" s="128" t="s">
        <v>24</v>
      </c>
      <c r="E746" s="129"/>
      <c r="F746" s="129"/>
      <c r="G746" s="129"/>
      <c r="H746" s="129"/>
      <c r="I746" s="129"/>
      <c r="J746" s="129"/>
      <c r="K746" s="129"/>
      <c r="L746" s="129"/>
      <c r="M746" s="129"/>
      <c r="N746" s="129"/>
      <c r="O746" s="130"/>
      <c r="P746" s="151">
        <f>SUM(P742:P745)</f>
        <v>0</v>
      </c>
      <c r="Q746" s="132"/>
      <c r="R746" s="4"/>
    </row>
    <row r="747" spans="1:18" ht="15.75" thickBot="1">
      <c r="A747" s="1">
        <f t="shared" si="25"/>
        <v>0</v>
      </c>
      <c r="B747" s="2"/>
      <c r="C747" s="8"/>
      <c r="D747" s="74" t="s">
        <v>36</v>
      </c>
      <c r="E747" s="37"/>
      <c r="F747" s="37"/>
      <c r="G747" s="37"/>
      <c r="H747" s="37"/>
      <c r="I747" s="37"/>
      <c r="J747" s="37"/>
      <c r="K747" s="37"/>
      <c r="L747" s="37"/>
      <c r="M747" s="37"/>
      <c r="N747" s="37"/>
      <c r="O747" s="37"/>
      <c r="P747" s="99"/>
      <c r="Q747" s="100"/>
      <c r="R747" s="4"/>
    </row>
    <row r="748" spans="1:18" ht="30">
      <c r="A748" s="1">
        <f t="shared" si="25"/>
        <v>0</v>
      </c>
      <c r="B748" s="2"/>
      <c r="C748" s="8"/>
      <c r="D748" s="101" t="s">
        <v>37</v>
      </c>
      <c r="E748" s="133"/>
      <c r="F748" s="133"/>
      <c r="G748" s="133"/>
      <c r="H748" s="133"/>
      <c r="I748" s="133"/>
      <c r="J748" s="133"/>
      <c r="K748" s="106" t="s">
        <v>38</v>
      </c>
      <c r="L748" s="152" t="s">
        <v>39</v>
      </c>
      <c r="M748" s="153" t="s">
        <v>40</v>
      </c>
      <c r="N748" s="104" t="s">
        <v>21</v>
      </c>
      <c r="O748" s="105"/>
      <c r="P748" s="154" t="s">
        <v>22</v>
      </c>
      <c r="Q748" s="155"/>
      <c r="R748" s="4"/>
    </row>
    <row r="749" spans="1:18">
      <c r="A749" s="1">
        <f t="shared" si="25"/>
        <v>0</v>
      </c>
      <c r="B749" s="2" t="s">
        <v>41</v>
      </c>
      <c r="C749" s="8"/>
      <c r="D749" s="109" t="str">
        <f>IFERROR(INDEX('[239]MANO DE OBRA'!B:B,MATCH(B749,'[239]MANO DE OBRA'!A:A,0)),"")</f>
        <v>OFICIAL</v>
      </c>
      <c r="E749" s="110"/>
      <c r="F749" s="110"/>
      <c r="G749" s="110"/>
      <c r="H749" s="110"/>
      <c r="I749" s="110"/>
      <c r="J749" s="111"/>
      <c r="K749" s="156">
        <f>IFERROR(INDEX('[239]MANO DE OBRA'!D:D,MATCH(B749,'[239]MANO DE OBRA'!A:A,0)),"")</f>
        <v>95930</v>
      </c>
      <c r="L749" s="157">
        <f>+IF(D749&lt;&gt;"",'[239]FACTOR PRESTACIONAL'!$E$21," ")</f>
        <v>1.95</v>
      </c>
      <c r="M749" s="158">
        <f>IFERROR(K749*L749," ")</f>
        <v>187063.5</v>
      </c>
      <c r="N749" s="159">
        <f>ROUND(8/0.2,2)</f>
        <v>40</v>
      </c>
      <c r="O749" s="160"/>
      <c r="P749" s="161">
        <f>IFERROR(ROUND(M749/N749,2)," ")</f>
        <v>4676.59</v>
      </c>
      <c r="Q749" s="162"/>
      <c r="R749" s="4"/>
    </row>
    <row r="750" spans="1:18">
      <c r="A750" s="1">
        <f t="shared" si="25"/>
        <v>0</v>
      </c>
      <c r="B750" s="2" t="s">
        <v>42</v>
      </c>
      <c r="C750" s="8"/>
      <c r="D750" s="109" t="str">
        <f>IFERROR(INDEX('[239]MANO DE OBRA'!B:B,MATCH(B750,'[239]MANO DE OBRA'!A:A,0)),"")</f>
        <v>AYUDANTE (2)</v>
      </c>
      <c r="E750" s="110"/>
      <c r="F750" s="110"/>
      <c r="G750" s="110"/>
      <c r="H750" s="110"/>
      <c r="I750" s="110"/>
      <c r="J750" s="111"/>
      <c r="K750" s="156">
        <f>IFERROR(INDEX('[239]MANO DE OBRA'!D:D,MATCH(B750,'[239]MANO DE OBRA'!A:A,0)),"")</f>
        <v>142866</v>
      </c>
      <c r="L750" s="157">
        <f>+IF(D750&lt;&gt;"",'[239]FACTOR PRESTACIONAL'!$E$21," ")</f>
        <v>1.95</v>
      </c>
      <c r="M750" s="158">
        <f>IFERROR(K750*L750," ")</f>
        <v>278588.7</v>
      </c>
      <c r="N750" s="159">
        <f>+N749</f>
        <v>40</v>
      </c>
      <c r="O750" s="160"/>
      <c r="P750" s="161">
        <f>IFERROR(ROUND(M750/N750,2)," ")</f>
        <v>6964.72</v>
      </c>
      <c r="Q750" s="162"/>
      <c r="R750" s="4"/>
    </row>
    <row r="751" spans="1:18">
      <c r="A751" s="1">
        <f t="shared" si="25"/>
        <v>0</v>
      </c>
      <c r="B751" s="2"/>
      <c r="C751" s="8"/>
      <c r="D751" s="109" t="str">
        <f>IFERROR(INDEX('[239]MANO DE OBRA'!B:B,MATCH(B751,'[239]MANO DE OBRA'!A:A,0)),"")</f>
        <v/>
      </c>
      <c r="E751" s="110"/>
      <c r="F751" s="110"/>
      <c r="G751" s="110"/>
      <c r="H751" s="110"/>
      <c r="I751" s="110"/>
      <c r="J751" s="111"/>
      <c r="K751" s="156" t="str">
        <f>IFERROR(INDEX('[239]MANO DE OBRA'!D:D,MATCH(B751,'[239]MANO DE OBRA'!A:A,0)),"")</f>
        <v/>
      </c>
      <c r="L751" s="157" t="str">
        <f>+IF(D751&lt;&gt;"",'[239]FACTOR PRESTACIONAL'!$E$21," ")</f>
        <v xml:space="preserve"> </v>
      </c>
      <c r="M751" s="158" t="str">
        <f>IFERROR(K751*L751," ")</f>
        <v xml:space="preserve"> </v>
      </c>
      <c r="N751" s="159"/>
      <c r="O751" s="160"/>
      <c r="P751" s="161" t="str">
        <f>IFERROR(ROUND(M751/N751,2)," ")</f>
        <v xml:space="preserve"> </v>
      </c>
      <c r="Q751" s="162"/>
      <c r="R751" s="4"/>
    </row>
    <row r="752" spans="1:18">
      <c r="A752" s="1">
        <f t="shared" si="25"/>
        <v>0</v>
      </c>
      <c r="B752" s="2"/>
      <c r="C752" s="8"/>
      <c r="D752" s="109" t="str">
        <f>IFERROR(INDEX('[239]MANO DE OBRA'!B:B,MATCH(B752,'[239]MANO DE OBRA'!A:A,0)),"")</f>
        <v/>
      </c>
      <c r="E752" s="110"/>
      <c r="F752" s="110"/>
      <c r="G752" s="110"/>
      <c r="H752" s="110"/>
      <c r="I752" s="110"/>
      <c r="J752" s="111"/>
      <c r="K752" s="156" t="str">
        <f>IFERROR(INDEX('[239]MANO DE OBRA'!D:D,MATCH(B752,'[239]MANO DE OBRA'!A:A,0)),"")</f>
        <v/>
      </c>
      <c r="L752" s="157" t="str">
        <f>+IF(D752&lt;&gt;"",'[239]FACTOR PRESTACIONAL'!$E$21," ")</f>
        <v xml:space="preserve"> </v>
      </c>
      <c r="M752" s="158" t="str">
        <f>IFERROR(K752*L752," ")</f>
        <v xml:space="preserve"> </v>
      </c>
      <c r="N752" s="159"/>
      <c r="O752" s="160"/>
      <c r="P752" s="161" t="str">
        <f>IFERROR(ROUND(M752/N752,2)," ")</f>
        <v xml:space="preserve"> </v>
      </c>
      <c r="Q752" s="162"/>
      <c r="R752" s="4"/>
    </row>
    <row r="753" spans="1:18" ht="15.75" thickBot="1">
      <c r="A753" s="1">
        <f t="shared" si="25"/>
        <v>0</v>
      </c>
      <c r="B753" s="2"/>
      <c r="C753" s="8"/>
      <c r="D753" s="109" t="str">
        <f>IFERROR(INDEX('[239]MANO DE OBRA'!B:B,MATCH(B753,'[239]MANO DE OBRA'!A:A,0)),"")</f>
        <v/>
      </c>
      <c r="E753" s="110"/>
      <c r="F753" s="110"/>
      <c r="G753" s="110"/>
      <c r="H753" s="110"/>
      <c r="I753" s="110"/>
      <c r="J753" s="111"/>
      <c r="K753" s="156" t="str">
        <f>IFERROR(INDEX('[239]MANO DE OBRA'!D:D,MATCH(B753,'[239]MANO DE OBRA'!A:A,0)),"")</f>
        <v/>
      </c>
      <c r="L753" s="157" t="str">
        <f>+IF(D753&lt;&gt;"",'[239]FACTOR PRESTACIONAL'!$E$21," ")</f>
        <v xml:space="preserve"> </v>
      </c>
      <c r="M753" s="158" t="str">
        <f>IFERROR(K753*L753," ")</f>
        <v xml:space="preserve"> </v>
      </c>
      <c r="N753" s="159"/>
      <c r="O753" s="160"/>
      <c r="P753" s="161" t="str">
        <f>IFERROR(ROUND(M753/N753,2)," ")</f>
        <v xml:space="preserve"> </v>
      </c>
      <c r="Q753" s="119"/>
      <c r="R753" s="4"/>
    </row>
    <row r="754" spans="1:18" ht="15.75" thickBot="1">
      <c r="A754" s="1">
        <f t="shared" si="25"/>
        <v>0</v>
      </c>
      <c r="B754" s="2"/>
      <c r="C754" s="8"/>
      <c r="D754" s="128" t="s">
        <v>24</v>
      </c>
      <c r="E754" s="129"/>
      <c r="F754" s="129"/>
      <c r="G754" s="129"/>
      <c r="H754" s="129"/>
      <c r="I754" s="129"/>
      <c r="J754" s="129"/>
      <c r="K754" s="129"/>
      <c r="L754" s="129"/>
      <c r="M754" s="129"/>
      <c r="N754" s="129"/>
      <c r="O754" s="130"/>
      <c r="P754" s="131">
        <f>SUM(P749:P753)</f>
        <v>11641.310000000001</v>
      </c>
      <c r="Q754" s="119"/>
      <c r="R754" s="4"/>
    </row>
    <row r="755" spans="1:18" ht="15.75" thickBot="1">
      <c r="A755" s="1">
        <f t="shared" si="25"/>
        <v>0</v>
      </c>
      <c r="B755" s="2"/>
      <c r="C755" s="8"/>
      <c r="D755" s="87"/>
      <c r="E755" s="20"/>
      <c r="F755" s="20"/>
      <c r="G755" s="20"/>
      <c r="H755" s="20"/>
      <c r="I755" s="20"/>
      <c r="J755" s="20"/>
      <c r="K755" s="20"/>
      <c r="L755" s="20"/>
      <c r="M755" s="20"/>
      <c r="N755" s="20"/>
      <c r="O755" s="20"/>
      <c r="P755" s="88"/>
      <c r="Q755" s="13"/>
      <c r="R755" s="4"/>
    </row>
    <row r="756" spans="1:18" ht="15.75" thickBot="1">
      <c r="A756" s="1"/>
      <c r="B756" s="2"/>
      <c r="C756" s="8"/>
      <c r="D756" s="163" t="s">
        <v>43</v>
      </c>
      <c r="E756" s="164"/>
      <c r="F756" s="164"/>
      <c r="G756" s="164"/>
      <c r="H756" s="164"/>
      <c r="I756" s="164"/>
      <c r="J756" s="164"/>
      <c r="K756" s="164"/>
      <c r="L756" s="164"/>
      <c r="M756" s="164"/>
      <c r="N756" s="164"/>
      <c r="O756" s="165"/>
      <c r="P756" s="166">
        <f>+P754+P746+P739+P721</f>
        <v>18028.960000000003</v>
      </c>
      <c r="Q756" s="167"/>
      <c r="R756" s="168"/>
    </row>
    <row r="757" spans="1:18" ht="15.75" thickBot="1">
      <c r="A757" s="1"/>
      <c r="B757" s="2"/>
      <c r="C757" s="8"/>
      <c r="D757" s="169"/>
      <c r="E757" s="170"/>
      <c r="F757" s="170"/>
      <c r="G757" s="170"/>
      <c r="H757" s="170"/>
      <c r="I757" s="170"/>
      <c r="J757" s="170"/>
      <c r="K757" s="170"/>
      <c r="L757" s="170"/>
      <c r="M757" s="170"/>
      <c r="N757" s="170"/>
      <c r="O757" s="170"/>
      <c r="P757" s="171"/>
      <c r="Q757" s="100"/>
      <c r="R757" s="4"/>
    </row>
    <row r="758" spans="1:18">
      <c r="A758" s="1"/>
      <c r="B758" s="2"/>
      <c r="C758" s="8"/>
      <c r="D758" s="172" t="s">
        <v>73</v>
      </c>
      <c r="E758" s="173"/>
      <c r="F758" s="173"/>
      <c r="G758" s="173"/>
      <c r="H758" s="173"/>
      <c r="I758" s="173"/>
      <c r="J758" s="173"/>
      <c r="K758" s="141"/>
      <c r="L758" s="174"/>
      <c r="M758" s="153" t="s">
        <v>44</v>
      </c>
      <c r="N758" s="175" t="s">
        <v>45</v>
      </c>
      <c r="O758" s="176"/>
      <c r="P758" s="154"/>
      <c r="Q758" s="155"/>
      <c r="R758" s="4"/>
    </row>
    <row r="759" spans="1:18">
      <c r="A759" s="1"/>
      <c r="B759" s="2"/>
      <c r="C759" s="8"/>
      <c r="D759" s="109" t="s">
        <v>65</v>
      </c>
      <c r="E759" s="110"/>
      <c r="F759" s="110"/>
      <c r="G759" s="110"/>
      <c r="H759" s="110"/>
      <c r="I759" s="110"/>
      <c r="J759" s="110"/>
      <c r="K759" s="177"/>
      <c r="L759" s="178"/>
      <c r="M759" s="179">
        <f>+[239]INICIO!$F$10</f>
        <v>0.24</v>
      </c>
      <c r="N759" s="180">
        <f>ROUND(M759*P756,2)</f>
        <v>4326.95</v>
      </c>
      <c r="O759" s="181"/>
      <c r="P759" s="182"/>
      <c r="Q759" s="119"/>
      <c r="R759" s="4"/>
    </row>
    <row r="760" spans="1:18">
      <c r="A760" s="1"/>
      <c r="B760" s="2"/>
      <c r="C760" s="8"/>
      <c r="D760" s="183" t="s">
        <v>67</v>
      </c>
      <c r="E760" s="61"/>
      <c r="F760" s="61"/>
      <c r="G760" s="61"/>
      <c r="H760" s="61"/>
      <c r="I760" s="61"/>
      <c r="J760" s="61"/>
      <c r="K760" s="177"/>
      <c r="L760" s="178"/>
      <c r="M760" s="179">
        <f>+[239]INICIO!$F$11</f>
        <v>0.02</v>
      </c>
      <c r="N760" s="180">
        <f>ROUND(M760*P756,2)</f>
        <v>360.58</v>
      </c>
      <c r="O760" s="181"/>
      <c r="P760" s="182"/>
      <c r="Q760" s="119"/>
      <c r="R760" s="4"/>
    </row>
    <row r="761" spans="1:18" ht="15.75" thickBot="1">
      <c r="A761" s="1"/>
      <c r="B761" s="2"/>
      <c r="C761" s="8"/>
      <c r="D761" s="77" t="s">
        <v>69</v>
      </c>
      <c r="E761" s="78"/>
      <c r="F761" s="78"/>
      <c r="G761" s="78"/>
      <c r="H761" s="78"/>
      <c r="I761" s="78"/>
      <c r="J761" s="78"/>
      <c r="K761" s="184"/>
      <c r="L761" s="185"/>
      <c r="M761" s="179">
        <f>+[239]INICIO!$F$12</f>
        <v>7.0000000000000007E-2</v>
      </c>
      <c r="N761" s="180">
        <f>ROUND(M761*P756,2)</f>
        <v>1262.03</v>
      </c>
      <c r="O761" s="181"/>
      <c r="P761" s="182"/>
      <c r="Q761" s="119"/>
      <c r="R761" s="4"/>
    </row>
    <row r="762" spans="1:18" ht="15.75" thickBot="1">
      <c r="A762" s="1"/>
      <c r="B762" s="2"/>
      <c r="C762" s="8"/>
      <c r="D762" s="128"/>
      <c r="E762" s="129"/>
      <c r="F762" s="129"/>
      <c r="G762" s="129"/>
      <c r="H762" s="129"/>
      <c r="I762" s="129"/>
      <c r="J762" s="129"/>
      <c r="K762" s="129"/>
      <c r="L762" s="129"/>
      <c r="M762" s="129"/>
      <c r="N762" s="129"/>
      <c r="O762" s="130"/>
      <c r="P762" s="131">
        <f>SUM(N759:N761)</f>
        <v>5949.5599999999995</v>
      </c>
      <c r="Q762" s="186"/>
      <c r="R762" s="4"/>
    </row>
    <row r="763" spans="1:18" ht="15.75" thickBot="1">
      <c r="A763" s="1"/>
      <c r="B763" s="2"/>
      <c r="C763" s="8"/>
      <c r="D763" s="87"/>
      <c r="E763" s="20"/>
      <c r="F763" s="20"/>
      <c r="G763" s="20"/>
      <c r="H763" s="20"/>
      <c r="I763" s="20"/>
      <c r="J763" s="20"/>
      <c r="K763" s="20"/>
      <c r="L763" s="20"/>
      <c r="M763" s="20"/>
      <c r="N763" s="20"/>
      <c r="O763" s="20"/>
      <c r="P763" s="88"/>
      <c r="Q763" s="13"/>
      <c r="R763" s="4"/>
    </row>
    <row r="764" spans="1:18" ht="15.75" thickBot="1">
      <c r="A764" s="1"/>
      <c r="B764" s="2"/>
      <c r="C764" s="8"/>
      <c r="D764" s="187" t="s">
        <v>46</v>
      </c>
      <c r="E764" s="188"/>
      <c r="F764" s="188"/>
      <c r="G764" s="188"/>
      <c r="H764" s="188"/>
      <c r="I764" s="188"/>
      <c r="J764" s="188"/>
      <c r="K764" s="188"/>
      <c r="L764" s="188"/>
      <c r="M764" s="188"/>
      <c r="N764" s="188"/>
      <c r="O764" s="189"/>
      <c r="P764" s="166">
        <f>ROUND(P762+P756,0)</f>
        <v>23979</v>
      </c>
      <c r="Q764" s="186"/>
      <c r="R764" s="4"/>
    </row>
    <row r="765" spans="1:18">
      <c r="A765" s="1"/>
      <c r="B765" s="2"/>
      <c r="C765" s="8"/>
      <c r="D765" s="80"/>
      <c r="E765" s="81"/>
      <c r="F765" s="81"/>
      <c r="G765" s="81"/>
      <c r="H765" s="81"/>
      <c r="I765" s="81"/>
      <c r="J765" s="81"/>
      <c r="K765" s="81"/>
      <c r="L765" s="81"/>
      <c r="M765" s="81"/>
      <c r="N765" s="81"/>
      <c r="O765" s="81"/>
      <c r="P765" s="82"/>
      <c r="Q765" s="13"/>
      <c r="R765" s="4"/>
    </row>
    <row r="766" spans="1:18">
      <c r="A766" s="1"/>
      <c r="B766" s="2"/>
      <c r="C766" s="8"/>
      <c r="D766" s="87"/>
      <c r="E766" s="20"/>
      <c r="F766" s="20"/>
      <c r="G766" s="20"/>
      <c r="H766" s="20"/>
      <c r="I766" s="20"/>
      <c r="J766" s="20"/>
      <c r="K766" s="20"/>
      <c r="L766" s="20"/>
      <c r="M766" s="20"/>
      <c r="N766" s="20"/>
      <c r="O766" s="20"/>
      <c r="P766" s="88"/>
      <c r="Q766" s="13"/>
      <c r="R766" s="4"/>
    </row>
    <row r="767" spans="1:18">
      <c r="A767" s="1"/>
      <c r="B767" s="2"/>
      <c r="C767" s="8"/>
      <c r="D767" s="87"/>
      <c r="E767" s="20"/>
      <c r="F767" s="20"/>
      <c r="G767" s="20"/>
      <c r="H767" s="20"/>
      <c r="I767" s="20"/>
      <c r="J767" s="20"/>
      <c r="K767" s="20"/>
      <c r="L767" s="20"/>
      <c r="M767" s="20"/>
      <c r="N767" s="20"/>
      <c r="O767" s="20"/>
      <c r="P767" s="88"/>
      <c r="Q767" s="13"/>
      <c r="R767" s="4"/>
    </row>
    <row r="768" spans="1:18">
      <c r="A768" s="1"/>
      <c r="B768" s="2"/>
      <c r="C768" s="8"/>
      <c r="D768" s="87"/>
      <c r="E768" s="20"/>
      <c r="F768" s="20"/>
      <c r="G768" s="20"/>
      <c r="H768" s="20"/>
      <c r="I768" s="20"/>
      <c r="J768" s="20"/>
      <c r="K768" s="20"/>
      <c r="L768" s="20"/>
      <c r="M768" s="20"/>
      <c r="N768" s="20"/>
      <c r="O768" s="20"/>
      <c r="P768" s="88"/>
      <c r="Q768" s="13"/>
      <c r="R768" s="4"/>
    </row>
    <row r="769" spans="1:18">
      <c r="A769" s="1"/>
      <c r="B769" s="2"/>
      <c r="C769" s="8"/>
      <c r="D769" s="219" t="str">
        <f>+[239]INICIO!$B$13</f>
        <v>Proyectó:</v>
      </c>
      <c r="E769" s="49"/>
      <c r="F769" s="49"/>
      <c r="G769" s="49"/>
      <c r="H769" s="49"/>
      <c r="I769" s="49"/>
      <c r="J769" s="49"/>
      <c r="K769" s="20"/>
      <c r="L769" s="69" t="str">
        <f>+[239]INICIO!$B$16</f>
        <v>Aprobó:</v>
      </c>
      <c r="M769" s="49"/>
      <c r="N769" s="49"/>
      <c r="O769" s="49"/>
      <c r="P769" s="88"/>
      <c r="Q769" s="13"/>
      <c r="R769" s="4"/>
    </row>
    <row r="770" spans="1:18">
      <c r="A770" s="1"/>
      <c r="B770" s="2"/>
      <c r="C770" s="8"/>
      <c r="D770" s="87"/>
      <c r="E770" s="20" t="str">
        <f>+Hoja2!C$13</f>
        <v>HELMER EDUARDO BECERRA SANTANDER</v>
      </c>
      <c r="F770" s="20"/>
      <c r="G770" s="20"/>
      <c r="H770" s="20"/>
      <c r="I770" s="20"/>
      <c r="J770" s="20"/>
      <c r="K770" s="20"/>
      <c r="L770" s="20"/>
      <c r="M770" s="20" t="str">
        <f>+Hoja2!$C$16</f>
        <v>JESÚS IVÁN QUIÑONES RUEDA</v>
      </c>
      <c r="N770" s="20"/>
      <c r="O770" s="20"/>
      <c r="P770" s="88"/>
      <c r="Q770" s="190"/>
      <c r="R770" s="4"/>
    </row>
    <row r="771" spans="1:18">
      <c r="A771" s="1"/>
      <c r="B771" s="2"/>
      <c r="C771" s="8"/>
      <c r="D771" s="87"/>
      <c r="E771" s="20" t="str">
        <f>+Hoja2!C$14</f>
        <v>APOYO SEC. DE PLANEACIÓN Y OBRAS PÚBLICAS</v>
      </c>
      <c r="F771" s="20"/>
      <c r="G771" s="20"/>
      <c r="H771" s="20"/>
      <c r="I771" s="20"/>
      <c r="J771" s="20"/>
      <c r="K771" s="20"/>
      <c r="L771" s="20"/>
      <c r="M771" s="20" t="str">
        <f>+Hoja2!$C$17</f>
        <v>SECRETARIO DE PLANEACIÓN Y OBRAS PUBLICAS</v>
      </c>
      <c r="N771" s="20"/>
      <c r="O771" s="20"/>
      <c r="P771" s="88"/>
      <c r="Q771" s="190"/>
      <c r="R771" s="4"/>
    </row>
    <row r="772" spans="1:18">
      <c r="A772" s="1"/>
      <c r="B772" s="2"/>
      <c r="C772" s="8"/>
      <c r="D772" s="68"/>
      <c r="E772" s="20" t="str">
        <f>+Hoja2!C$15</f>
        <v>123769-0701671 NTS</v>
      </c>
      <c r="F772" s="191"/>
      <c r="G772" s="191"/>
      <c r="H772" s="191"/>
      <c r="I772" s="20"/>
      <c r="J772" s="191"/>
      <c r="K772" s="191"/>
      <c r="L772" s="191"/>
      <c r="M772" s="192" t="str">
        <f>+Hoja2!C$18</f>
        <v>A21382020-1090480860</v>
      </c>
      <c r="N772" s="191"/>
      <c r="O772" s="191"/>
      <c r="P772" s="193"/>
      <c r="Q772" s="194"/>
      <c r="R772" s="4"/>
    </row>
    <row r="773" spans="1:18" ht="16.5" thickBot="1">
      <c r="A773" s="1"/>
      <c r="B773" s="2"/>
      <c r="C773" s="8"/>
      <c r="D773" s="195"/>
      <c r="E773" s="150"/>
      <c r="F773" s="150"/>
      <c r="G773" s="150"/>
      <c r="H773" s="150"/>
      <c r="I773" s="150"/>
      <c r="J773" s="150"/>
      <c r="K773" s="150"/>
      <c r="L773" s="150"/>
      <c r="M773" s="150"/>
      <c r="N773" s="150"/>
      <c r="O773" s="150"/>
      <c r="P773" s="196"/>
      <c r="Q773" s="197"/>
      <c r="R773" s="4"/>
    </row>
    <row r="774" spans="1:18" ht="15.75" thickBot="1">
      <c r="A774" s="1"/>
      <c r="B774" s="2"/>
      <c r="C774" s="198"/>
      <c r="D774" s="199"/>
      <c r="E774" s="199"/>
      <c r="F774" s="199"/>
      <c r="G774" s="199"/>
      <c r="H774" s="199"/>
      <c r="I774" s="199"/>
      <c r="J774" s="199"/>
      <c r="K774" s="199"/>
      <c r="L774" s="199"/>
      <c r="M774" s="199"/>
      <c r="N774" s="199"/>
      <c r="O774" s="199"/>
      <c r="P774" s="199"/>
      <c r="Q774" s="200"/>
      <c r="R774" s="4"/>
    </row>
    <row r="775" spans="1:18" ht="15.75" thickTop="1"/>
    <row r="776" spans="1:18" ht="15.75" thickBot="1"/>
    <row r="777" spans="1:18" ht="15.75" thickTop="1">
      <c r="A777" s="1"/>
      <c r="B777" s="2"/>
      <c r="C777" s="5"/>
      <c r="D777" s="6"/>
      <c r="E777" s="6"/>
      <c r="F777" s="6"/>
      <c r="G777" s="6"/>
      <c r="H777" s="6"/>
      <c r="I777" s="6"/>
      <c r="J777" s="6"/>
      <c r="K777" s="6"/>
      <c r="L777" s="6"/>
      <c r="M777" s="6"/>
      <c r="N777" s="6"/>
      <c r="O777" s="6"/>
      <c r="P777" s="6"/>
      <c r="Q777" s="7"/>
      <c r="R777" s="4"/>
    </row>
    <row r="778" spans="1:18" ht="24">
      <c r="A778" s="1"/>
      <c r="B778" s="2"/>
      <c r="C778" s="8"/>
      <c r="D778" s="9" t="str">
        <f>+[239]INICIO!$C$8</f>
        <v>Análisis de Precios Unitarios- Secretaria de Planeación y Obras Publicas de Cubará, Boyacá.</v>
      </c>
      <c r="E778" s="10"/>
      <c r="F778" s="10"/>
      <c r="G778" s="10"/>
      <c r="H778" s="11"/>
      <c r="I778" s="12"/>
      <c r="J778" s="12"/>
      <c r="K778" s="12"/>
      <c r="L778" s="12"/>
      <c r="M778" s="12"/>
      <c r="N778" s="12"/>
      <c r="O778" s="12"/>
      <c r="P778" s="12"/>
      <c r="Q778" s="13"/>
      <c r="R778" s="4"/>
    </row>
    <row r="779" spans="1:18">
      <c r="A779" s="1"/>
      <c r="B779" s="2"/>
      <c r="C779" s="8"/>
      <c r="D779" s="14" t="s">
        <v>0</v>
      </c>
      <c r="E779" s="15" t="str">
        <f>+[239]INICIO!$C$7</f>
        <v>CCE-EICP-FM-14</v>
      </c>
      <c r="F779" s="16"/>
      <c r="G779" s="17" t="str">
        <f>+[239]INICIO!$B$6</f>
        <v>VERSIÓN</v>
      </c>
      <c r="H779" s="14">
        <f>+[239]INICIO!$C$6</f>
        <v>1</v>
      </c>
      <c r="I779" s="12"/>
      <c r="J779" s="12"/>
      <c r="K779" s="12"/>
      <c r="L779" s="12"/>
      <c r="M779" s="12"/>
      <c r="N779" s="12"/>
      <c r="O779" s="12"/>
      <c r="P779" s="12"/>
      <c r="Q779" s="13"/>
      <c r="R779" s="4"/>
    </row>
    <row r="780" spans="1:18">
      <c r="A780" s="1"/>
      <c r="B780" s="2"/>
      <c r="C780" s="8"/>
      <c r="D780" s="18"/>
      <c r="E780" s="19"/>
      <c r="F780" s="18"/>
      <c r="G780" s="19"/>
      <c r="H780" s="12"/>
      <c r="I780" s="12"/>
      <c r="J780" s="12"/>
      <c r="K780" s="12"/>
      <c r="L780" s="12"/>
      <c r="M780" s="12"/>
      <c r="N780" s="12"/>
      <c r="O780" s="12"/>
      <c r="P780" s="12"/>
      <c r="Q780" s="13"/>
      <c r="R780" s="4"/>
    </row>
    <row r="781" spans="1:18" ht="15.75" thickBot="1">
      <c r="A781" s="1"/>
      <c r="B781" s="2"/>
      <c r="C781" s="8"/>
      <c r="D781" s="20"/>
      <c r="E781" s="20"/>
      <c r="F781" s="20"/>
      <c r="G781" s="20"/>
      <c r="H781" s="20"/>
      <c r="I781" s="20"/>
      <c r="J781" s="20"/>
      <c r="K781" s="20"/>
      <c r="L781" s="20"/>
      <c r="M781" s="20"/>
      <c r="N781" s="20"/>
      <c r="O781" s="20"/>
      <c r="P781" s="20"/>
      <c r="Q781" s="13"/>
      <c r="R781" s="4"/>
    </row>
    <row r="782" spans="1:18">
      <c r="A782" s="1"/>
      <c r="B782" s="2"/>
      <c r="C782" s="8"/>
      <c r="D782" s="21"/>
      <c r="E782" s="22"/>
      <c r="F782" s="23"/>
      <c r="G782" s="23"/>
      <c r="H782" s="23"/>
      <c r="I782" s="23"/>
      <c r="J782" s="23"/>
      <c r="K782" s="23"/>
      <c r="L782" s="24"/>
      <c r="M782" s="25"/>
      <c r="N782" s="26"/>
      <c r="O782" s="26"/>
      <c r="P782" s="27"/>
      <c r="Q782" s="28"/>
      <c r="R782" s="4"/>
    </row>
    <row r="783" spans="1:18">
      <c r="A783" s="1"/>
      <c r="B783" s="2"/>
      <c r="C783" s="8"/>
      <c r="D783" s="29"/>
      <c r="E783" s="30" t="s">
        <v>1</v>
      </c>
      <c r="F783" s="31"/>
      <c r="G783" s="31"/>
      <c r="H783" s="31"/>
      <c r="I783" s="31"/>
      <c r="J783" s="31"/>
      <c r="K783" s="31"/>
      <c r="L783" s="32"/>
      <c r="M783" s="33"/>
      <c r="N783" s="34"/>
      <c r="O783" s="34"/>
      <c r="P783" s="35"/>
      <c r="Q783" s="28"/>
      <c r="R783" s="4"/>
    </row>
    <row r="784" spans="1:18">
      <c r="A784" s="1"/>
      <c r="B784" s="2"/>
      <c r="C784" s="8"/>
      <c r="D784" s="29"/>
      <c r="E784" s="36"/>
      <c r="F784" s="37"/>
      <c r="G784" s="37"/>
      <c r="H784" s="37"/>
      <c r="I784" s="37"/>
      <c r="J784" s="37"/>
      <c r="K784" s="37"/>
      <c r="L784" s="38"/>
      <c r="M784" s="39"/>
      <c r="N784" s="40"/>
      <c r="O784" s="41"/>
      <c r="P784" s="42"/>
      <c r="Q784" s="28"/>
      <c r="R784" s="4"/>
    </row>
    <row r="785" spans="1:18">
      <c r="A785" s="1"/>
      <c r="B785" s="2"/>
      <c r="C785" s="8"/>
      <c r="D785" s="29"/>
      <c r="E785" s="36"/>
      <c r="F785" s="37"/>
      <c r="G785" s="37"/>
      <c r="H785" s="37"/>
      <c r="I785" s="37"/>
      <c r="J785" s="37"/>
      <c r="K785" s="37"/>
      <c r="L785" s="38"/>
      <c r="M785" s="43" t="s">
        <v>2</v>
      </c>
      <c r="N785" s="44"/>
      <c r="O785" s="45">
        <f>+[239]INICIO!$C$6</f>
        <v>1</v>
      </c>
      <c r="P785" s="46"/>
      <c r="Q785" s="28"/>
      <c r="R785" s="4"/>
    </row>
    <row r="786" spans="1:18">
      <c r="A786" s="1"/>
      <c r="B786" s="2"/>
      <c r="C786" s="8"/>
      <c r="D786" s="29"/>
      <c r="E786" s="36"/>
      <c r="F786" s="37"/>
      <c r="G786" s="37"/>
      <c r="H786" s="37"/>
      <c r="I786" s="37"/>
      <c r="J786" s="37"/>
      <c r="K786" s="37"/>
      <c r="L786" s="38"/>
      <c r="M786" s="47"/>
      <c r="N786" s="48"/>
      <c r="O786" s="49"/>
      <c r="P786" s="50"/>
      <c r="Q786" s="51"/>
      <c r="R786" s="4"/>
    </row>
    <row r="787" spans="1:18">
      <c r="A787" s="1"/>
      <c r="B787" s="2"/>
      <c r="C787" s="8"/>
      <c r="D787" s="29"/>
      <c r="E787" s="52"/>
      <c r="F787" s="53"/>
      <c r="G787" s="53"/>
      <c r="H787" s="53"/>
      <c r="I787" s="53"/>
      <c r="J787" s="53"/>
      <c r="K787" s="53"/>
      <c r="L787" s="54"/>
      <c r="M787" s="39"/>
      <c r="N787" s="55"/>
      <c r="O787" s="55"/>
      <c r="P787" s="56"/>
      <c r="Q787" s="28"/>
      <c r="R787" s="4"/>
    </row>
    <row r="788" spans="1:18">
      <c r="A788" s="1"/>
      <c r="B788" s="2"/>
      <c r="C788" s="8"/>
      <c r="D788" s="29"/>
      <c r="E788" s="52"/>
      <c r="F788" s="53"/>
      <c r="G788" s="53"/>
      <c r="H788" s="53"/>
      <c r="I788" s="53"/>
      <c r="J788" s="53"/>
      <c r="K788" s="53"/>
      <c r="L788" s="54"/>
      <c r="M788" s="43" t="s">
        <v>3</v>
      </c>
      <c r="N788" s="43" t="str">
        <f>+VLOOKUP(D799,'PRESUPUESTO OFICIAL '!C:Q,9,FALSE)</f>
        <v>46</v>
      </c>
      <c r="O788" s="43" t="s">
        <v>4</v>
      </c>
      <c r="P788" s="508" t="str">
        <f>+'PRESUPUESTO OFICIAL '!$M$122</f>
        <v>62</v>
      </c>
      <c r="Q788" s="28"/>
      <c r="R788" s="4"/>
    </row>
    <row r="789" spans="1:18">
      <c r="A789" s="1"/>
      <c r="B789" s="2"/>
      <c r="C789" s="8"/>
      <c r="D789" s="29"/>
      <c r="E789" s="30" t="s">
        <v>5</v>
      </c>
      <c r="F789" s="31"/>
      <c r="G789" s="31"/>
      <c r="H789" s="31"/>
      <c r="I789" s="31"/>
      <c r="J789" s="31"/>
      <c r="K789" s="31"/>
      <c r="L789" s="32"/>
      <c r="M789" s="43"/>
      <c r="N789" s="57"/>
      <c r="O789" s="57"/>
      <c r="P789" s="58"/>
      <c r="Q789" s="28"/>
      <c r="R789" s="4"/>
    </row>
    <row r="790" spans="1:18" ht="15.75" thickBot="1">
      <c r="A790" s="1"/>
      <c r="B790" s="2"/>
      <c r="C790" s="8"/>
      <c r="D790" s="59"/>
      <c r="E790" s="60"/>
      <c r="F790" s="60"/>
      <c r="G790" s="60"/>
      <c r="H790" s="60"/>
      <c r="I790" s="60"/>
      <c r="J790" s="60"/>
      <c r="K790" s="60"/>
      <c r="L790" s="60"/>
      <c r="M790" s="60"/>
      <c r="N790" s="61"/>
      <c r="O790" s="61"/>
      <c r="P790" s="62"/>
      <c r="Q790" s="63"/>
      <c r="R790" s="4"/>
    </row>
    <row r="791" spans="1:18">
      <c r="A791" s="1"/>
      <c r="B791" s="2"/>
      <c r="C791" s="8"/>
      <c r="D791" s="64"/>
      <c r="E791" s="65"/>
      <c r="F791" s="65"/>
      <c r="G791" s="65"/>
      <c r="H791" s="65"/>
      <c r="I791" s="65"/>
      <c r="J791" s="65"/>
      <c r="K791" s="65"/>
      <c r="L791" s="65"/>
      <c r="M791" s="66" t="s">
        <v>6</v>
      </c>
      <c r="N791" s="66" t="s">
        <v>7</v>
      </c>
      <c r="O791" s="66" t="s">
        <v>8</v>
      </c>
      <c r="P791" s="67" t="s">
        <v>9</v>
      </c>
      <c r="Q791" s="51"/>
      <c r="R791" s="4"/>
    </row>
    <row r="792" spans="1:18">
      <c r="A792" s="1"/>
      <c r="B792" s="2"/>
      <c r="C792" s="8"/>
      <c r="D792" s="68"/>
      <c r="E792" s="69"/>
      <c r="F792" s="69"/>
      <c r="G792" s="69"/>
      <c r="H792" s="69"/>
      <c r="I792" s="69"/>
      <c r="J792" s="69"/>
      <c r="K792" s="69"/>
      <c r="L792" s="69"/>
      <c r="M792" s="70"/>
      <c r="N792" s="71">
        <f>+Hoja2!B$5</f>
        <v>5</v>
      </c>
      <c r="O792" s="71">
        <f>+Hoja2!C$5</f>
        <v>8</v>
      </c>
      <c r="P792" s="72">
        <f>+Hoja2!D$5</f>
        <v>2026</v>
      </c>
      <c r="Q792" s="73"/>
      <c r="R792" s="4"/>
    </row>
    <row r="793" spans="1:18">
      <c r="A793" s="1"/>
      <c r="B793" s="2"/>
      <c r="C793" s="8"/>
      <c r="D793" s="74"/>
      <c r="E793" s="37"/>
      <c r="F793" s="37"/>
      <c r="G793" s="37"/>
      <c r="H793" s="69"/>
      <c r="I793" s="69"/>
      <c r="J793" s="69"/>
      <c r="K793" s="20"/>
      <c r="L793" s="69"/>
      <c r="M793" s="75"/>
      <c r="N793" s="20"/>
      <c r="O793" s="20"/>
      <c r="P793" s="76"/>
      <c r="Q793" s="73"/>
      <c r="R793" s="4"/>
    </row>
    <row r="794" spans="1:18" ht="15.75" thickBot="1">
      <c r="A794" s="1"/>
      <c r="B794" s="2"/>
      <c r="C794" s="8"/>
      <c r="D794" s="77"/>
      <c r="E794" s="78"/>
      <c r="F794" s="78"/>
      <c r="G794" s="78"/>
      <c r="H794" s="78"/>
      <c r="I794" s="78"/>
      <c r="J794" s="78"/>
      <c r="K794" s="78"/>
      <c r="L794" s="78"/>
      <c r="M794" s="78"/>
      <c r="N794" s="78"/>
      <c r="O794" s="78"/>
      <c r="P794" s="79"/>
      <c r="Q794" s="13"/>
      <c r="R794" s="4"/>
    </row>
    <row r="795" spans="1:18" ht="15.75" thickBot="1">
      <c r="A795" s="1"/>
      <c r="B795" s="2"/>
      <c r="C795" s="8"/>
      <c r="D795" s="80"/>
      <c r="E795" s="81"/>
      <c r="F795" s="81"/>
      <c r="G795" s="81"/>
      <c r="H795" s="81"/>
      <c r="I795" s="81"/>
      <c r="J795" s="20"/>
      <c r="K795" s="20"/>
      <c r="L795" s="81"/>
      <c r="M795" s="81"/>
      <c r="N795" s="81"/>
      <c r="O795" s="81"/>
      <c r="P795" s="82"/>
      <c r="Q795" s="13"/>
      <c r="R795" s="4"/>
    </row>
    <row r="796" spans="1:18">
      <c r="A796" s="1"/>
      <c r="B796" s="2"/>
      <c r="C796" s="8"/>
      <c r="D796" s="83" t="s">
        <v>10</v>
      </c>
      <c r="E796" s="84"/>
      <c r="F796" s="84"/>
      <c r="G796" s="84"/>
      <c r="H796" s="84"/>
      <c r="I796" s="84"/>
      <c r="J796" s="84"/>
      <c r="K796" s="84"/>
      <c r="L796" s="84"/>
      <c r="M796" s="84"/>
      <c r="N796" s="84"/>
      <c r="O796" s="84"/>
      <c r="P796" s="85"/>
      <c r="Q796" s="86"/>
      <c r="R796" s="4"/>
    </row>
    <row r="797" spans="1:18" ht="15.75" thickBot="1">
      <c r="A797" s="1"/>
      <c r="B797" s="2"/>
      <c r="C797" s="8"/>
      <c r="D797" s="87"/>
      <c r="E797" s="20"/>
      <c r="F797" s="20"/>
      <c r="G797" s="20"/>
      <c r="H797" s="20"/>
      <c r="I797" s="20"/>
      <c r="J797" s="20"/>
      <c r="K797" s="20"/>
      <c r="L797" s="20"/>
      <c r="M797" s="20"/>
      <c r="N797" s="20"/>
      <c r="O797" s="20"/>
      <c r="P797" s="88"/>
      <c r="Q797" s="13"/>
      <c r="R797" s="4"/>
    </row>
    <row r="798" spans="1:18">
      <c r="A798" s="1" t="s">
        <v>11</v>
      </c>
      <c r="B798" s="2" t="s">
        <v>12</v>
      </c>
      <c r="C798" s="8"/>
      <c r="D798" s="89" t="s">
        <v>13</v>
      </c>
      <c r="E798" s="90" t="s">
        <v>14</v>
      </c>
      <c r="F798" s="90"/>
      <c r="G798" s="90"/>
      <c r="H798" s="90"/>
      <c r="I798" s="90"/>
      <c r="J798" s="90"/>
      <c r="K798" s="90"/>
      <c r="L798" s="90"/>
      <c r="M798" s="90"/>
      <c r="N798" s="91" t="s">
        <v>15</v>
      </c>
      <c r="O798" s="91"/>
      <c r="P798" s="92" t="s">
        <v>16</v>
      </c>
      <c r="Q798" s="93"/>
      <c r="R798" s="4"/>
    </row>
    <row r="799" spans="1:18" ht="38.25" customHeight="1" thickBot="1">
      <c r="A799" s="1"/>
      <c r="B799" s="2"/>
      <c r="C799" s="8"/>
      <c r="D799" s="349">
        <f>+'PRESUPUESTO OFICIAL '!C73</f>
        <v>6.05</v>
      </c>
      <c r="E799" s="94" t="str">
        <f>+VLOOKUP(D799,'PRESUPUESTO OFICIAL '!C:H,2,FALSE)</f>
        <v>SUMINISTRO E INSTALACIÓN DE PINTURA KORAZA O SIMILAR PARA FACHADAS TRES MANOS (EXTERIORES)</v>
      </c>
      <c r="F799" s="94"/>
      <c r="G799" s="94"/>
      <c r="H799" s="94"/>
      <c r="I799" s="94"/>
      <c r="J799" s="94"/>
      <c r="K799" s="94"/>
      <c r="L799" s="94"/>
      <c r="M799" s="94"/>
      <c r="N799" s="94" t="str">
        <f>+VLOOKUP(D799,'PRESUPUESTO OFICIAL '!C:H,3,FALSE)</f>
        <v>M2</v>
      </c>
      <c r="O799" s="95"/>
      <c r="P799" s="96">
        <f>+VLOOKUP(D799,'PRESUPUESTO OFICIAL '!C:H,4,FALSE)</f>
        <v>477.77</v>
      </c>
      <c r="Q799" s="97"/>
      <c r="R799" s="98">
        <f>+P851</f>
        <v>29991</v>
      </c>
    </row>
    <row r="800" spans="1:18" ht="15.75" thickBot="1">
      <c r="A800" s="1"/>
      <c r="B800" s="2"/>
      <c r="C800" s="8"/>
      <c r="D800" s="74" t="s">
        <v>17</v>
      </c>
      <c r="E800" s="37"/>
      <c r="F800" s="37"/>
      <c r="G800" s="37"/>
      <c r="H800" s="37"/>
      <c r="I800" s="37"/>
      <c r="J800" s="37"/>
      <c r="K800" s="37"/>
      <c r="L800" s="37"/>
      <c r="M800" s="37"/>
      <c r="N800" s="37"/>
      <c r="O800" s="37"/>
      <c r="P800" s="99"/>
      <c r="Q800" s="100"/>
      <c r="R800" s="4"/>
    </row>
    <row r="801" spans="1:18">
      <c r="A801" s="1"/>
      <c r="B801" s="2"/>
      <c r="C801" s="8"/>
      <c r="D801" s="101" t="s">
        <v>14</v>
      </c>
      <c r="E801" s="102"/>
      <c r="F801" s="102"/>
      <c r="G801" s="102"/>
      <c r="H801" s="103"/>
      <c r="I801" s="104" t="s">
        <v>18</v>
      </c>
      <c r="J801" s="102"/>
      <c r="K801" s="104" t="s">
        <v>19</v>
      </c>
      <c r="L801" s="105"/>
      <c r="M801" s="106" t="s">
        <v>20</v>
      </c>
      <c r="N801" s="104" t="s">
        <v>21</v>
      </c>
      <c r="O801" s="105"/>
      <c r="P801" s="107" t="s">
        <v>22</v>
      </c>
      <c r="Q801" s="108"/>
      <c r="R801" s="4"/>
    </row>
    <row r="802" spans="1:18">
      <c r="A802" s="1" t="e">
        <f>[239]INDICE!#REF!</f>
        <v>#REF!</v>
      </c>
      <c r="B802" s="2" t="s">
        <v>23</v>
      </c>
      <c r="C802" s="8"/>
      <c r="D802" s="109" t="str">
        <f>IFERROR(INDEX([239]EQUIPOS!B:B,MATCH(B802,[239]EQUIPOS!A:A,0)),"")</f>
        <v>HERRAMIENTA MENOR (% M.O)</v>
      </c>
      <c r="E802" s="110"/>
      <c r="F802" s="110"/>
      <c r="G802" s="110"/>
      <c r="H802" s="111"/>
      <c r="I802" s="112"/>
      <c r="J802" s="111"/>
      <c r="K802" s="113" t="str">
        <f>IFERROR(INDEX([239]EQUIPOS!C:C,MATCH(B802,[239]EQUIPOS!A:A,0)),"")</f>
        <v>%</v>
      </c>
      <c r="L802" s="114"/>
      <c r="M802" s="115">
        <f>IFERROR(IF(D802="HERRAMIENTA MENOR (% M.O)",P841,INDEX([239]EQUIPOS!D:D,MATCH(B802,[239]EQUIPOS!A:A,0))),"")</f>
        <v>12806.720000000001</v>
      </c>
      <c r="N802" s="116">
        <v>10</v>
      </c>
      <c r="O802" s="117"/>
      <c r="P802" s="118">
        <f t="shared" ref="P802:P807" si="27">IFERROR(ROUND(IF(D802="HERRAMIENTA MENOR (% M.O)",N802%*M802,M802/N802),2)," ")</f>
        <v>1280.67</v>
      </c>
      <c r="Q802" s="119"/>
      <c r="R802" s="4"/>
    </row>
    <row r="803" spans="1:18">
      <c r="A803" s="1">
        <f>+$A$2593</f>
        <v>0</v>
      </c>
      <c r="B803" s="2" t="s">
        <v>258</v>
      </c>
      <c r="C803" s="8"/>
      <c r="D803" s="109" t="str">
        <f>IFERROR(INDEX([239]EQUIPOS!B:B,MATCH(B803,[239]EQUIPOS!A:A,0)),"")</f>
        <v>SECCIÓN DE ANDAMIO (02)</v>
      </c>
      <c r="E803" s="110"/>
      <c r="F803" s="110"/>
      <c r="G803" s="110"/>
      <c r="H803" s="111"/>
      <c r="I803" s="112"/>
      <c r="J803" s="111"/>
      <c r="K803" s="113" t="str">
        <f>IFERROR(INDEX([239]EQUIPOS!C:C,MATCH(B803,[239]EQUIPOS!A:A,0)),"")</f>
        <v>DIA</v>
      </c>
      <c r="L803" s="114"/>
      <c r="M803" s="115">
        <f>IFERROR(IF(D803="HERRAMIENTA MENOR (% M.O)",P842,INDEX([239]EQUIPOS!D:D,MATCH(B803,[239]EQUIPOS!A:A,0))),"")</f>
        <v>6000</v>
      </c>
      <c r="N803" s="116">
        <f>ROUND(1/0.06,2)</f>
        <v>16.670000000000002</v>
      </c>
      <c r="O803" s="117"/>
      <c r="P803" s="118">
        <f t="shared" si="27"/>
        <v>359.93</v>
      </c>
      <c r="Q803" s="119"/>
      <c r="R803" s="4"/>
    </row>
    <row r="804" spans="1:18">
      <c r="A804" s="1">
        <f t="shared" ref="A804:A842" si="28">+A803</f>
        <v>0</v>
      </c>
      <c r="B804" s="2"/>
      <c r="C804" s="8"/>
      <c r="D804" s="109" t="str">
        <f>IFERROR(INDEX([239]EQUIPOS!B:B,MATCH(B804,[239]EQUIPOS!A:A,0)),"")</f>
        <v/>
      </c>
      <c r="E804" s="110"/>
      <c r="F804" s="110"/>
      <c r="G804" s="110"/>
      <c r="H804" s="111"/>
      <c r="I804" s="120"/>
      <c r="J804" s="121"/>
      <c r="K804" s="113" t="str">
        <f>IFERROR(INDEX([239]EQUIPOS!C:C,MATCH(B804,[239]EQUIPOS!A:A,0)),"")</f>
        <v/>
      </c>
      <c r="L804" s="114"/>
      <c r="M804" s="115" t="str">
        <f>IFERROR(IF(D804="HERRAMIENTA MENOR (% M.O)",P843,INDEX([239]EQUIPOS!D:D,MATCH(B804,[239]EQUIPOS!A:A,0))),"")</f>
        <v/>
      </c>
      <c r="N804" s="116"/>
      <c r="O804" s="117"/>
      <c r="P804" s="118" t="str">
        <f t="shared" si="27"/>
        <v xml:space="preserve"> </v>
      </c>
      <c r="Q804" s="119"/>
      <c r="R804" s="4"/>
    </row>
    <row r="805" spans="1:18">
      <c r="A805" s="1">
        <f t="shared" si="28"/>
        <v>0</v>
      </c>
      <c r="B805" s="2"/>
      <c r="C805" s="8"/>
      <c r="D805" s="109" t="str">
        <f>IFERROR(INDEX([239]EQUIPOS!B:B,MATCH(B805,[239]EQUIPOS!A:A,0)),"")</f>
        <v/>
      </c>
      <c r="E805" s="110"/>
      <c r="F805" s="110"/>
      <c r="G805" s="110"/>
      <c r="H805" s="111"/>
      <c r="I805" s="120"/>
      <c r="J805" s="121"/>
      <c r="K805" s="113" t="str">
        <f>IFERROR(INDEX([239]EQUIPOS!C:C,MATCH(B805,[239]EQUIPOS!A:A,0)),"")</f>
        <v/>
      </c>
      <c r="L805" s="114"/>
      <c r="M805" s="115" t="str">
        <f>IFERROR(IF(D805="HERRAMIENTA MENOR (% M.O)",P844,INDEX([239]EQUIPOS!D:D,MATCH(B805,[239]EQUIPOS!A:A,0))),"")</f>
        <v/>
      </c>
      <c r="N805" s="116"/>
      <c r="O805" s="117"/>
      <c r="P805" s="118" t="str">
        <f t="shared" si="27"/>
        <v xml:space="preserve"> </v>
      </c>
      <c r="Q805" s="119"/>
      <c r="R805" s="4"/>
    </row>
    <row r="806" spans="1:18">
      <c r="A806" s="1">
        <f t="shared" si="28"/>
        <v>0</v>
      </c>
      <c r="B806" s="2"/>
      <c r="C806" s="8"/>
      <c r="D806" s="109" t="str">
        <f>IFERROR(INDEX([239]EQUIPOS!B:B,MATCH(B806,[239]EQUIPOS!A:A,0)),"")</f>
        <v/>
      </c>
      <c r="E806" s="110"/>
      <c r="F806" s="110"/>
      <c r="G806" s="110"/>
      <c r="H806" s="111"/>
      <c r="I806" s="112"/>
      <c r="J806" s="111"/>
      <c r="K806" s="113" t="str">
        <f>IFERROR(INDEX([239]EQUIPOS!C:C,MATCH(B806,[239]EQUIPOS!A:A,0)),"")</f>
        <v/>
      </c>
      <c r="L806" s="114"/>
      <c r="M806" s="115" t="str">
        <f>IFERROR(IF(D806="HERRAMIENTA MENOR (% M.O)",P845,INDEX([239]EQUIPOS!D:D,MATCH(B806,[239]EQUIPOS!A:A,0))),"")</f>
        <v/>
      </c>
      <c r="N806" s="116"/>
      <c r="O806" s="117"/>
      <c r="P806" s="118" t="str">
        <f t="shared" si="27"/>
        <v xml:space="preserve"> </v>
      </c>
      <c r="Q806" s="119"/>
      <c r="R806" s="4"/>
    </row>
    <row r="807" spans="1:18" ht="15.75" thickBot="1">
      <c r="A807" s="1">
        <f t="shared" si="28"/>
        <v>0</v>
      </c>
      <c r="B807" s="2"/>
      <c r="C807" s="8"/>
      <c r="D807" s="109" t="str">
        <f>IFERROR(INDEX([239]EQUIPOS!B:B,MATCH(B807,[239]EQUIPOS!A:A,0)),"")</f>
        <v/>
      </c>
      <c r="E807" s="78"/>
      <c r="F807" s="78"/>
      <c r="G807" s="78"/>
      <c r="H807" s="122"/>
      <c r="I807" s="123"/>
      <c r="J807" s="122"/>
      <c r="K807" s="113" t="str">
        <f>IFERROR(INDEX([239]EQUIPOS!C:C,MATCH(B807,[239]EQUIPOS!A:A,0)),"")</f>
        <v/>
      </c>
      <c r="L807" s="124"/>
      <c r="M807" s="115" t="str">
        <f>IFERROR(IF(D807="HERRAMIENTA MENOR (% M.O)",P846,INDEX([239]EQUIPOS!D:D,MATCH(B807,[239]EQUIPOS!A:A,0))),"")</f>
        <v/>
      </c>
      <c r="N807" s="125"/>
      <c r="O807" s="126"/>
      <c r="P807" s="127" t="str">
        <f t="shared" si="27"/>
        <v xml:space="preserve"> </v>
      </c>
      <c r="Q807" s="119"/>
      <c r="R807" s="4"/>
    </row>
    <row r="808" spans="1:18" ht="15.75" thickBot="1">
      <c r="A808" s="1">
        <f t="shared" si="28"/>
        <v>0</v>
      </c>
      <c r="B808" s="2"/>
      <c r="C808" s="8"/>
      <c r="D808" s="128" t="s">
        <v>24</v>
      </c>
      <c r="E808" s="129"/>
      <c r="F808" s="129"/>
      <c r="G808" s="129"/>
      <c r="H808" s="129"/>
      <c r="I808" s="129"/>
      <c r="J808" s="129"/>
      <c r="K808" s="129"/>
      <c r="L808" s="129"/>
      <c r="M808" s="129"/>
      <c r="N808" s="129"/>
      <c r="O808" s="130"/>
      <c r="P808" s="131">
        <f>SUM(P802:P807)</f>
        <v>1640.6000000000001</v>
      </c>
      <c r="Q808" s="132"/>
      <c r="R808" s="4"/>
    </row>
    <row r="809" spans="1:18" ht="15.75" thickBot="1">
      <c r="A809" s="1">
        <f t="shared" si="28"/>
        <v>0</v>
      </c>
      <c r="B809" s="2"/>
      <c r="C809" s="8"/>
      <c r="D809" s="74" t="s">
        <v>25</v>
      </c>
      <c r="E809" s="37"/>
      <c r="F809" s="37"/>
      <c r="G809" s="37"/>
      <c r="H809" s="37"/>
      <c r="I809" s="37"/>
      <c r="J809" s="37"/>
      <c r="K809" s="37"/>
      <c r="L809" s="37"/>
      <c r="M809" s="37"/>
      <c r="N809" s="37"/>
      <c r="O809" s="37"/>
      <c r="P809" s="99"/>
      <c r="Q809" s="100"/>
      <c r="R809" s="4"/>
    </row>
    <row r="810" spans="1:18">
      <c r="A810" s="1">
        <f t="shared" si="28"/>
        <v>0</v>
      </c>
      <c r="B810" s="2"/>
      <c r="C810" s="8"/>
      <c r="D810" s="101" t="s">
        <v>14</v>
      </c>
      <c r="E810" s="133"/>
      <c r="F810" s="133"/>
      <c r="G810" s="133"/>
      <c r="H810" s="133"/>
      <c r="I810" s="133"/>
      <c r="J810" s="133"/>
      <c r="K810" s="105"/>
      <c r="L810" s="134" t="s">
        <v>15</v>
      </c>
      <c r="M810" s="106" t="s">
        <v>16</v>
      </c>
      <c r="N810" s="104" t="s">
        <v>26</v>
      </c>
      <c r="O810" s="105"/>
      <c r="P810" s="107" t="s">
        <v>22</v>
      </c>
      <c r="Q810" s="108"/>
      <c r="R810" s="4"/>
    </row>
    <row r="811" spans="1:18">
      <c r="A811" s="1">
        <f t="shared" si="28"/>
        <v>0</v>
      </c>
      <c r="B811" s="2" t="s">
        <v>336</v>
      </c>
      <c r="C811" s="8"/>
      <c r="D811" s="109" t="str">
        <f>IFERROR(INDEX([239]MATERIALES!C:C,MATCH(B811,[239]MATERIALES!B:B,0)),"")</f>
        <v>PINTURA VINILO PARA EXTERIOR TIPO KORAZA O SIMILAR</v>
      </c>
      <c r="E811" s="135"/>
      <c r="F811" s="135"/>
      <c r="G811" s="135"/>
      <c r="H811" s="135"/>
      <c r="I811" s="135"/>
      <c r="J811" s="135"/>
      <c r="K811" s="136"/>
      <c r="L811" s="137" t="str">
        <f>IFERROR(INDEX([239]MATERIALES!D:D,MATCH(B811,[239]MATERIALES!B:B,0)),"")</f>
        <v>GAL</v>
      </c>
      <c r="M811" s="138">
        <v>0.06</v>
      </c>
      <c r="N811" s="139">
        <f>IFERROR(INDEX([239]MATERIALES!P:P,MATCH(B811,[239]MATERIALES!B:B,0)),"")</f>
        <v>127138</v>
      </c>
      <c r="O811" s="140"/>
      <c r="P811" s="118">
        <f>IFERROR(ROUND(N811*M811,2),"")</f>
        <v>7628.28</v>
      </c>
      <c r="Q811" s="119"/>
      <c r="R811" s="4"/>
    </row>
    <row r="812" spans="1:18">
      <c r="A812" s="1">
        <f t="shared" si="28"/>
        <v>0</v>
      </c>
      <c r="B812" s="2" t="s">
        <v>335</v>
      </c>
      <c r="C812" s="8"/>
      <c r="D812" s="109" t="str">
        <f>IFERROR(INDEX([239]MATERIALES!C:C,MATCH(B812,[239]MATERIALES!B:B,0)),"")</f>
        <v>LIJA DE AGUA No. 120</v>
      </c>
      <c r="E812" s="135"/>
      <c r="F812" s="135"/>
      <c r="G812" s="135"/>
      <c r="H812" s="135"/>
      <c r="I812" s="135"/>
      <c r="J812" s="135"/>
      <c r="K812" s="136"/>
      <c r="L812" s="137" t="str">
        <f>IFERROR(INDEX([239]MATERIALES!D:D,MATCH(B812,[239]MATERIALES!B:B,0)),"")</f>
        <v>UND</v>
      </c>
      <c r="M812" s="138">
        <v>0.04</v>
      </c>
      <c r="N812" s="139">
        <f>IFERROR(INDEX([239]MATERIALES!P:P,MATCH(B812,[239]MATERIALES!B:B,0)),"")</f>
        <v>2200</v>
      </c>
      <c r="O812" s="140"/>
      <c r="P812" s="118">
        <f>IFERROR(ROUND(N812*M812,2),"")</f>
        <v>88</v>
      </c>
      <c r="Q812" s="119"/>
      <c r="R812" s="4"/>
    </row>
    <row r="813" spans="1:18">
      <c r="A813" s="1">
        <f t="shared" si="28"/>
        <v>0</v>
      </c>
      <c r="B813" s="2" t="s">
        <v>27</v>
      </c>
      <c r="C813" s="8"/>
      <c r="D813" s="109" t="str">
        <f>IFERROR(INDEX([239]MATERIALES!C:C,MATCH(B813,[239]MATERIALES!B:B,0)),"")</f>
        <v>AGUA</v>
      </c>
      <c r="E813" s="110"/>
      <c r="F813" s="110"/>
      <c r="G813" s="110"/>
      <c r="H813" s="110"/>
      <c r="I813" s="110"/>
      <c r="J813" s="110"/>
      <c r="K813" s="111"/>
      <c r="L813" s="137" t="str">
        <f>IFERROR(INDEX([239]MATERIALES!D:D,MATCH(B813,[239]MATERIALES!B:B,0)),"")</f>
        <v>LT</v>
      </c>
      <c r="M813" s="138">
        <v>0.03</v>
      </c>
      <c r="N813" s="139">
        <f>IFERROR(INDEX([239]MATERIALES!P:P,MATCH(B813,[239]MATERIALES!B:B,0)),"")</f>
        <v>3.65</v>
      </c>
      <c r="O813" s="140"/>
      <c r="P813" s="118">
        <f>IFERROR(ROUND(N813*M813,2),"")</f>
        <v>0.11</v>
      </c>
      <c r="Q813" s="119"/>
      <c r="R813" s="4"/>
    </row>
    <row r="814" spans="1:18">
      <c r="A814" s="1">
        <f t="shared" si="28"/>
        <v>0</v>
      </c>
      <c r="B814" s="2"/>
      <c r="C814" s="8"/>
      <c r="D814" s="109" t="str">
        <f>IFERROR(INDEX([239]MATERIALES!C:C,MATCH(B814,[239]MATERIALES!B:B,0)),"")</f>
        <v/>
      </c>
      <c r="E814" s="110"/>
      <c r="F814" s="110"/>
      <c r="G814" s="110"/>
      <c r="H814" s="110"/>
      <c r="I814" s="110"/>
      <c r="J814" s="110"/>
      <c r="K814" s="111"/>
      <c r="L814" s="137" t="str">
        <f>IFERROR(INDEX([239]MATERIALES!D:D,MATCH(B814,[239]MATERIALES!B:B,0)),"")</f>
        <v/>
      </c>
      <c r="M814" s="138"/>
      <c r="N814" s="139" t="str">
        <f>IFERROR(INDEX([239]MATERIALES!P:P,MATCH(B814,[239]MATERIALES!B:B,0)),"")</f>
        <v/>
      </c>
      <c r="O814" s="140"/>
      <c r="P814" s="118" t="str">
        <f>IFERROR(ROUND(N814*M814,2),"")</f>
        <v/>
      </c>
      <c r="Q814" s="119"/>
      <c r="R814" s="4"/>
    </row>
    <row r="815" spans="1:18">
      <c r="A815" s="1">
        <f t="shared" si="28"/>
        <v>0</v>
      </c>
      <c r="B815" s="2"/>
      <c r="C815" s="8"/>
      <c r="D815" s="109" t="str">
        <f>IFERROR(INDEX([239]MATERIALES!C:C,MATCH(B815,[239]MATERIALES!B:B,0)),"")</f>
        <v/>
      </c>
      <c r="E815" s="110"/>
      <c r="F815" s="110"/>
      <c r="G815" s="110"/>
      <c r="H815" s="110"/>
      <c r="I815" s="110"/>
      <c r="J815" s="110"/>
      <c r="K815" s="111"/>
      <c r="L815" s="137" t="str">
        <f>IFERROR(INDEX([239]MATERIALES!D:D,MATCH(B815,[239]MATERIALES!B:B,0)),"")</f>
        <v/>
      </c>
      <c r="M815" s="138"/>
      <c r="N815" s="139" t="str">
        <f>IFERROR(INDEX([239]MATERIALES!P:P,MATCH(B815,[239]MATERIALES!B:B,0)),"")</f>
        <v/>
      </c>
      <c r="O815" s="140"/>
      <c r="P815" s="118" t="str">
        <f t="shared" ref="P815:P824" si="29">IFERROR(ROUND(N815*M815,2),"")</f>
        <v/>
      </c>
      <c r="Q815" s="119"/>
      <c r="R815" s="4"/>
    </row>
    <row r="816" spans="1:18">
      <c r="A816" s="1">
        <f t="shared" si="28"/>
        <v>0</v>
      </c>
      <c r="B816" s="2"/>
      <c r="C816" s="8"/>
      <c r="D816" s="109" t="str">
        <f>IFERROR(INDEX([239]MATERIALES!C:C,MATCH(B816,[239]MATERIALES!B:B,0)),"")</f>
        <v/>
      </c>
      <c r="E816" s="110"/>
      <c r="F816" s="110"/>
      <c r="G816" s="110"/>
      <c r="H816" s="110"/>
      <c r="I816" s="110"/>
      <c r="J816" s="110"/>
      <c r="K816" s="111"/>
      <c r="L816" s="137" t="str">
        <f>IFERROR(INDEX([239]MATERIALES!D:D,MATCH(B816,[239]MATERIALES!B:B,0)),"")</f>
        <v/>
      </c>
      <c r="M816" s="138"/>
      <c r="N816" s="139" t="str">
        <f>IFERROR(INDEX([239]MATERIALES!P:P,MATCH(B816,[239]MATERIALES!B:B,0)),"")</f>
        <v/>
      </c>
      <c r="O816" s="140"/>
      <c r="P816" s="118" t="str">
        <f t="shared" si="29"/>
        <v/>
      </c>
      <c r="Q816" s="119"/>
      <c r="R816" s="4"/>
    </row>
    <row r="817" spans="1:18">
      <c r="A817" s="1">
        <f t="shared" si="28"/>
        <v>0</v>
      </c>
      <c r="B817" s="2"/>
      <c r="C817" s="8"/>
      <c r="D817" s="109" t="str">
        <f>IFERROR(INDEX([239]MATERIALES!C:C,MATCH(B817,[239]MATERIALES!B:B,0)),"")</f>
        <v/>
      </c>
      <c r="E817" s="110"/>
      <c r="F817" s="110"/>
      <c r="G817" s="110"/>
      <c r="H817" s="110"/>
      <c r="I817" s="110"/>
      <c r="J817" s="110"/>
      <c r="K817" s="111"/>
      <c r="L817" s="137" t="str">
        <f>IFERROR(INDEX([239]MATERIALES!D:D,MATCH(B817,[239]MATERIALES!B:B,0)),"")</f>
        <v/>
      </c>
      <c r="M817" s="138"/>
      <c r="N817" s="139" t="str">
        <f>IFERROR(INDEX([239]MATERIALES!P:P,MATCH(B817,[239]MATERIALES!B:B,0)),"")</f>
        <v/>
      </c>
      <c r="O817" s="140"/>
      <c r="P817" s="118" t="str">
        <f t="shared" si="29"/>
        <v/>
      </c>
      <c r="Q817" s="119"/>
      <c r="R817" s="4"/>
    </row>
    <row r="818" spans="1:18">
      <c r="A818" s="1">
        <f t="shared" si="28"/>
        <v>0</v>
      </c>
      <c r="B818" s="2"/>
      <c r="C818" s="8"/>
      <c r="D818" s="109" t="str">
        <f>IFERROR(INDEX([239]MATERIALES!C:C,MATCH(B818,[239]MATERIALES!B:B,0)),"")</f>
        <v/>
      </c>
      <c r="E818" s="110"/>
      <c r="F818" s="110"/>
      <c r="G818" s="110"/>
      <c r="H818" s="110"/>
      <c r="I818" s="110"/>
      <c r="J818" s="110"/>
      <c r="K818" s="111"/>
      <c r="L818" s="137" t="str">
        <f>IFERROR(INDEX([239]MATERIALES!D:D,MATCH(B818,[239]MATERIALES!B:B,0)),"")</f>
        <v/>
      </c>
      <c r="M818" s="138"/>
      <c r="N818" s="139" t="str">
        <f>IFERROR(INDEX([239]MATERIALES!P:P,MATCH(B818,[239]MATERIALES!B:B,0)),"")</f>
        <v/>
      </c>
      <c r="O818" s="140"/>
      <c r="P818" s="118" t="str">
        <f t="shared" si="29"/>
        <v/>
      </c>
      <c r="Q818" s="119"/>
      <c r="R818" s="4"/>
    </row>
    <row r="819" spans="1:18">
      <c r="A819" s="1">
        <f t="shared" si="28"/>
        <v>0</v>
      </c>
      <c r="B819" s="2"/>
      <c r="C819" s="8"/>
      <c r="D819" s="109" t="str">
        <f>IFERROR(INDEX([239]MATERIALES!C:C,MATCH(B819,[239]MATERIALES!B:B,0)),"")</f>
        <v/>
      </c>
      <c r="E819" s="110"/>
      <c r="F819" s="110"/>
      <c r="G819" s="110"/>
      <c r="H819" s="110"/>
      <c r="I819" s="110"/>
      <c r="J819" s="110"/>
      <c r="K819" s="111"/>
      <c r="L819" s="137" t="str">
        <f>IFERROR(INDEX([239]MATERIALES!D:D,MATCH(B819,[239]MATERIALES!B:B,0)),"")</f>
        <v/>
      </c>
      <c r="M819" s="138"/>
      <c r="N819" s="139" t="str">
        <f>IFERROR(INDEX([239]MATERIALES!P:P,MATCH(B819,[239]MATERIALES!B:B,0)),"")</f>
        <v/>
      </c>
      <c r="O819" s="140"/>
      <c r="P819" s="118" t="str">
        <f t="shared" si="29"/>
        <v/>
      </c>
      <c r="Q819" s="119"/>
      <c r="R819" s="4"/>
    </row>
    <row r="820" spans="1:18">
      <c r="A820" s="1">
        <f t="shared" si="28"/>
        <v>0</v>
      </c>
      <c r="B820" s="2"/>
      <c r="C820" s="8"/>
      <c r="D820" s="109" t="str">
        <f>IFERROR(INDEX([239]MATERIALES!C:C,MATCH(B820,[239]MATERIALES!B:B,0)),"")</f>
        <v/>
      </c>
      <c r="E820" s="110"/>
      <c r="F820" s="110"/>
      <c r="G820" s="110"/>
      <c r="H820" s="110"/>
      <c r="I820" s="110"/>
      <c r="J820" s="110"/>
      <c r="K820" s="111"/>
      <c r="L820" s="137" t="str">
        <f>IFERROR(INDEX([239]MATERIALES!D:D,MATCH(B820,[239]MATERIALES!B:B,0)),"")</f>
        <v/>
      </c>
      <c r="M820" s="138"/>
      <c r="N820" s="139" t="str">
        <f>IFERROR(INDEX([239]MATERIALES!P:P,MATCH(B820,[239]MATERIALES!B:B,0)),"")</f>
        <v/>
      </c>
      <c r="O820" s="140"/>
      <c r="P820" s="118" t="str">
        <f t="shared" si="29"/>
        <v/>
      </c>
      <c r="Q820" s="119"/>
      <c r="R820" s="4"/>
    </row>
    <row r="821" spans="1:18">
      <c r="A821" s="1">
        <f t="shared" si="28"/>
        <v>0</v>
      </c>
      <c r="B821" s="2"/>
      <c r="C821" s="8"/>
      <c r="D821" s="109" t="str">
        <f>IFERROR(INDEX([239]MATERIALES!C:C,MATCH(B821,[239]MATERIALES!B:B,0)),"")</f>
        <v/>
      </c>
      <c r="E821" s="110"/>
      <c r="F821" s="110"/>
      <c r="G821" s="110"/>
      <c r="H821" s="110"/>
      <c r="I821" s="110"/>
      <c r="J821" s="110"/>
      <c r="K821" s="111"/>
      <c r="L821" s="137" t="str">
        <f>IFERROR(INDEX([239]MATERIALES!D:D,MATCH(B821,[239]MATERIALES!B:B,0)),"")</f>
        <v/>
      </c>
      <c r="M821" s="138"/>
      <c r="N821" s="139" t="str">
        <f>IFERROR(INDEX([239]MATERIALES!P:P,MATCH(B821,[239]MATERIALES!B:B,0)),"")</f>
        <v/>
      </c>
      <c r="O821" s="140"/>
      <c r="P821" s="118" t="str">
        <f t="shared" si="29"/>
        <v/>
      </c>
      <c r="Q821" s="119"/>
      <c r="R821" s="4"/>
    </row>
    <row r="822" spans="1:18">
      <c r="A822" s="1">
        <f t="shared" si="28"/>
        <v>0</v>
      </c>
      <c r="B822" s="2"/>
      <c r="C822" s="8"/>
      <c r="D822" s="109" t="str">
        <f>IFERROR(INDEX([239]MATERIALES!C:C,MATCH(B822,[239]MATERIALES!B:B,0)),"")</f>
        <v/>
      </c>
      <c r="E822" s="110"/>
      <c r="F822" s="110"/>
      <c r="G822" s="110"/>
      <c r="H822" s="110"/>
      <c r="I822" s="110"/>
      <c r="J822" s="110"/>
      <c r="K822" s="111"/>
      <c r="L822" s="137" t="str">
        <f>IFERROR(INDEX([239]MATERIALES!D:D,MATCH(B822,[239]MATERIALES!B:B,0)),"")</f>
        <v/>
      </c>
      <c r="M822" s="138"/>
      <c r="N822" s="139" t="str">
        <f>IFERROR(INDEX([239]MATERIALES!P:P,MATCH(B822,[239]MATERIALES!B:B,0)),"")</f>
        <v/>
      </c>
      <c r="O822" s="140"/>
      <c r="P822" s="118" t="str">
        <f t="shared" si="29"/>
        <v/>
      </c>
      <c r="Q822" s="119"/>
      <c r="R822" s="4"/>
    </row>
    <row r="823" spans="1:18">
      <c r="A823" s="1">
        <f t="shared" si="28"/>
        <v>0</v>
      </c>
      <c r="B823" s="2"/>
      <c r="C823" s="8"/>
      <c r="D823" s="109" t="str">
        <f>IFERROR(INDEX([239]MATERIALES!C:C,MATCH(B823,[239]MATERIALES!B:B,0)),"")</f>
        <v/>
      </c>
      <c r="E823" s="110"/>
      <c r="F823" s="110"/>
      <c r="G823" s="110"/>
      <c r="H823" s="110"/>
      <c r="I823" s="110"/>
      <c r="J823" s="110"/>
      <c r="K823" s="111"/>
      <c r="L823" s="137" t="str">
        <f>IFERROR(INDEX([239]MATERIALES!D:D,MATCH(B823,[239]MATERIALES!B:B,0)),"")</f>
        <v/>
      </c>
      <c r="M823" s="138"/>
      <c r="N823" s="139" t="str">
        <f>IFERROR(INDEX([239]MATERIALES!P:P,MATCH(B823,[239]MATERIALES!B:B,0)),"")</f>
        <v/>
      </c>
      <c r="O823" s="140"/>
      <c r="P823" s="118" t="str">
        <f t="shared" si="29"/>
        <v/>
      </c>
      <c r="Q823" s="119"/>
      <c r="R823" s="4"/>
    </row>
    <row r="824" spans="1:18">
      <c r="A824" s="1">
        <f t="shared" si="28"/>
        <v>0</v>
      </c>
      <c r="B824" s="2"/>
      <c r="C824" s="8"/>
      <c r="D824" s="109" t="str">
        <f>IFERROR(INDEX([239]MATERIALES!C:C,MATCH(B824,[239]MATERIALES!B:B,0)),"")</f>
        <v/>
      </c>
      <c r="E824" s="110"/>
      <c r="F824" s="110"/>
      <c r="G824" s="110"/>
      <c r="H824" s="110"/>
      <c r="I824" s="110"/>
      <c r="J824" s="110"/>
      <c r="K824" s="111"/>
      <c r="L824" s="137" t="str">
        <f>IFERROR(INDEX([239]MATERIALES!D:D,MATCH(B824,[239]MATERIALES!B:B,0)),"")</f>
        <v/>
      </c>
      <c r="M824" s="138"/>
      <c r="N824" s="139" t="str">
        <f>IFERROR(INDEX([239]MATERIALES!P:P,MATCH(B824,[239]MATERIALES!B:B,0)),"")</f>
        <v/>
      </c>
      <c r="O824" s="140"/>
      <c r="P824" s="118" t="str">
        <f t="shared" si="29"/>
        <v/>
      </c>
      <c r="Q824" s="119"/>
      <c r="R824" s="4"/>
    </row>
    <row r="825" spans="1:18" ht="15.75" thickBot="1">
      <c r="A825" s="1">
        <f t="shared" si="28"/>
        <v>0</v>
      </c>
      <c r="B825" s="2"/>
      <c r="C825" s="8"/>
      <c r="D825" s="109" t="s">
        <v>28</v>
      </c>
      <c r="E825" s="110"/>
      <c r="F825" s="110"/>
      <c r="G825" s="110"/>
      <c r="H825" s="110"/>
      <c r="I825" s="110"/>
      <c r="J825" s="110"/>
      <c r="K825" s="111"/>
      <c r="L825" s="137" t="s">
        <v>29</v>
      </c>
      <c r="M825" s="138">
        <v>0.05</v>
      </c>
      <c r="N825" s="139">
        <f>SUM(P811:P824)</f>
        <v>7716.3899999999994</v>
      </c>
      <c r="O825" s="140"/>
      <c r="P825" s="118">
        <f>ROUND(N825*M825,2)</f>
        <v>385.82</v>
      </c>
      <c r="Q825" s="119"/>
      <c r="R825" s="4"/>
    </row>
    <row r="826" spans="1:18" ht="15.75" thickBot="1">
      <c r="A826" s="1">
        <f t="shared" si="28"/>
        <v>0</v>
      </c>
      <c r="B826" s="2"/>
      <c r="C826" s="8"/>
      <c r="D826" s="128" t="s">
        <v>24</v>
      </c>
      <c r="E826" s="129"/>
      <c r="F826" s="129"/>
      <c r="G826" s="129"/>
      <c r="H826" s="129"/>
      <c r="I826" s="129"/>
      <c r="J826" s="129"/>
      <c r="K826" s="129"/>
      <c r="L826" s="129"/>
      <c r="M826" s="129"/>
      <c r="N826" s="129"/>
      <c r="O826" s="130"/>
      <c r="P826" s="131">
        <f>SUM(P811:P825)</f>
        <v>8102.2099999999991</v>
      </c>
      <c r="Q826" s="119"/>
      <c r="R826" s="4"/>
    </row>
    <row r="827" spans="1:18" ht="15.75" thickBot="1">
      <c r="A827" s="1">
        <f t="shared" si="28"/>
        <v>0</v>
      </c>
      <c r="B827" s="2"/>
      <c r="C827" s="8"/>
      <c r="D827" s="74" t="s">
        <v>30</v>
      </c>
      <c r="E827" s="37"/>
      <c r="F827" s="37"/>
      <c r="G827" s="37"/>
      <c r="H827" s="37"/>
      <c r="I827" s="37"/>
      <c r="J827" s="37"/>
      <c r="K827" s="37"/>
      <c r="L827" s="37"/>
      <c r="M827" s="37"/>
      <c r="N827" s="37"/>
      <c r="O827" s="37"/>
      <c r="P827" s="99"/>
      <c r="Q827" s="100"/>
      <c r="R827" s="4"/>
    </row>
    <row r="828" spans="1:18">
      <c r="A828" s="1">
        <f t="shared" si="28"/>
        <v>0</v>
      </c>
      <c r="B828" s="2"/>
      <c r="C828" s="8"/>
      <c r="D828" s="101" t="s">
        <v>31</v>
      </c>
      <c r="E828" s="133"/>
      <c r="F828" s="133"/>
      <c r="G828" s="133"/>
      <c r="H828" s="133"/>
      <c r="I828" s="133"/>
      <c r="J828" s="133"/>
      <c r="K828" s="106" t="s">
        <v>32</v>
      </c>
      <c r="L828" s="141" t="s">
        <v>33</v>
      </c>
      <c r="M828" s="106" t="s">
        <v>34</v>
      </c>
      <c r="N828" s="104" t="s">
        <v>20</v>
      </c>
      <c r="O828" s="105"/>
      <c r="P828" s="107" t="s">
        <v>22</v>
      </c>
      <c r="Q828" s="108"/>
      <c r="R828" s="4"/>
    </row>
    <row r="829" spans="1:18">
      <c r="A829" s="1">
        <f t="shared" si="28"/>
        <v>0</v>
      </c>
      <c r="B829" s="2"/>
      <c r="C829" s="8"/>
      <c r="D829" s="142" t="str">
        <f>IFERROR(INDEX([239]TRANSPORTES!B:B,MATCH(B829,[239]TRANSPORTES!A:A,0)),"")</f>
        <v/>
      </c>
      <c r="E829" s="143"/>
      <c r="F829" s="143"/>
      <c r="G829" s="143"/>
      <c r="H829" s="143"/>
      <c r="I829" s="143"/>
      <c r="J829" s="143"/>
      <c r="K829" s="220"/>
      <c r="L829" s="145"/>
      <c r="M829" s="146" t="str">
        <f>IFERROR(INDEX([239]TRANSPORTES!C:C,MATCH(B829,[239]TRANSPORTES!A:A,0)),"")</f>
        <v/>
      </c>
      <c r="N829" s="139" t="str">
        <f>IFERROR(INDEX([239]TRANSPORTES!D:D,MATCH(B829,[239]TRANSPORTES!A:A,0)),"")</f>
        <v/>
      </c>
      <c r="O829" s="147"/>
      <c r="P829" s="148" t="str">
        <f>IFERROR(ROUND(K829*N829*L829,2),"")</f>
        <v/>
      </c>
      <c r="Q829" s="119"/>
      <c r="R829" s="4"/>
    </row>
    <row r="830" spans="1:18">
      <c r="A830" s="1">
        <f t="shared" si="28"/>
        <v>0</v>
      </c>
      <c r="B830" s="2"/>
      <c r="C830" s="8"/>
      <c r="D830" s="142" t="str">
        <f>IFERROR(INDEX([239]TRANSPORTES!B:B,MATCH(B830,[239]TRANSPORTES!A:A,0)),"")</f>
        <v/>
      </c>
      <c r="E830" s="143"/>
      <c r="F830" s="143"/>
      <c r="G830" s="143"/>
      <c r="H830" s="143"/>
      <c r="I830" s="143"/>
      <c r="J830" s="143"/>
      <c r="K830" s="144"/>
      <c r="L830" s="145"/>
      <c r="M830" s="146" t="str">
        <f>IFERROR(INDEX([239]TRANSPORTES!C:C,MATCH(B830,[239]TRANSPORTES!A:A,0)),"")</f>
        <v/>
      </c>
      <c r="N830" s="139" t="str">
        <f>IFERROR(INDEX([239]TRANSPORTES!D:D,MATCH(B830,[239]TRANSPORTES!A:A,0)),"")</f>
        <v/>
      </c>
      <c r="O830" s="147"/>
      <c r="P830" s="148" t="str">
        <f>IFERROR(ROUND(K830*N830*L830,2),"")</f>
        <v/>
      </c>
      <c r="Q830" s="119"/>
      <c r="R830" s="4"/>
    </row>
    <row r="831" spans="1:18">
      <c r="A831" s="1">
        <f t="shared" si="28"/>
        <v>0</v>
      </c>
      <c r="B831" s="2"/>
      <c r="C831" s="8"/>
      <c r="D831" s="142" t="str">
        <f>IFERROR(INDEX([239]TRANSPORTES!B:B,MATCH(B831,[239]TRANSPORTES!A:A,0)),"")</f>
        <v/>
      </c>
      <c r="E831" s="143"/>
      <c r="F831" s="143"/>
      <c r="G831" s="143"/>
      <c r="H831" s="143"/>
      <c r="I831" s="143"/>
      <c r="J831" s="143"/>
      <c r="K831" s="144"/>
      <c r="L831" s="145"/>
      <c r="M831" s="146" t="str">
        <f>IFERROR(INDEX([239]TRANSPORTES!C:C,MATCH(B831,[239]TRANSPORTES!A:A,0)),"")</f>
        <v/>
      </c>
      <c r="N831" s="139" t="str">
        <f>IFERROR(INDEX([239]TRANSPORTES!D:D,MATCH(B831,[239]TRANSPORTES!A:A,0)),"")</f>
        <v/>
      </c>
      <c r="O831" s="147"/>
      <c r="P831" s="148" t="str">
        <f>IFERROR(ROUND(K831*N831*L831,2),"")</f>
        <v/>
      </c>
      <c r="Q831" s="119"/>
      <c r="R831" s="4"/>
    </row>
    <row r="832" spans="1:18" ht="15.75" thickBot="1">
      <c r="A832" s="1">
        <f t="shared" si="28"/>
        <v>0</v>
      </c>
      <c r="B832" s="2"/>
      <c r="C832" s="8"/>
      <c r="D832" s="142" t="str">
        <f>IFERROR(INDEX([239]TRANSPORTES!B:B,MATCH(B832,[239]TRANSPORTES!A:A,0)),"")</f>
        <v/>
      </c>
      <c r="E832" s="143"/>
      <c r="F832" s="143"/>
      <c r="G832" s="143"/>
      <c r="H832" s="143"/>
      <c r="I832" s="143"/>
      <c r="J832" s="143"/>
      <c r="K832" s="149"/>
      <c r="L832" s="150"/>
      <c r="M832" s="146" t="str">
        <f>IFERROR(INDEX([239]TRANSPORTES!C:C,MATCH(B832,[239]TRANSPORTES!A:A,0)),"")</f>
        <v/>
      </c>
      <c r="N832" s="139" t="str">
        <f>IFERROR(INDEX([239]TRANSPORTES!D:D,MATCH(B832,[239]TRANSPORTES!A:A,0)),"")</f>
        <v/>
      </c>
      <c r="O832" s="147"/>
      <c r="P832" s="148" t="str">
        <f>IFERROR(ROUND(K832*N832*L832,2),"")</f>
        <v/>
      </c>
      <c r="Q832" s="119"/>
      <c r="R832" s="4"/>
    </row>
    <row r="833" spans="1:18" ht="15.75" thickBot="1">
      <c r="A833" s="1">
        <f t="shared" si="28"/>
        <v>0</v>
      </c>
      <c r="B833" s="2"/>
      <c r="C833" s="8"/>
      <c r="D833" s="128" t="s">
        <v>24</v>
      </c>
      <c r="E833" s="129"/>
      <c r="F833" s="129"/>
      <c r="G833" s="129"/>
      <c r="H833" s="129"/>
      <c r="I833" s="129"/>
      <c r="J833" s="129"/>
      <c r="K833" s="129"/>
      <c r="L833" s="129"/>
      <c r="M833" s="129"/>
      <c r="N833" s="129"/>
      <c r="O833" s="130"/>
      <c r="P833" s="151">
        <f>SUM(P829:P832)</f>
        <v>0</v>
      </c>
      <c r="Q833" s="132"/>
      <c r="R833" s="4"/>
    </row>
    <row r="834" spans="1:18" ht="15.75" thickBot="1">
      <c r="A834" s="1">
        <f t="shared" si="28"/>
        <v>0</v>
      </c>
      <c r="B834" s="2"/>
      <c r="C834" s="8"/>
      <c r="D834" s="74" t="s">
        <v>36</v>
      </c>
      <c r="E834" s="37"/>
      <c r="F834" s="37"/>
      <c r="G834" s="37"/>
      <c r="H834" s="37"/>
      <c r="I834" s="37"/>
      <c r="J834" s="37"/>
      <c r="K834" s="37"/>
      <c r="L834" s="37"/>
      <c r="M834" s="37"/>
      <c r="N834" s="37"/>
      <c r="O834" s="37"/>
      <c r="P834" s="99"/>
      <c r="Q834" s="100"/>
      <c r="R834" s="4"/>
    </row>
    <row r="835" spans="1:18" ht="30">
      <c r="A835" s="1">
        <f t="shared" si="28"/>
        <v>0</v>
      </c>
      <c r="B835" s="2"/>
      <c r="C835" s="8"/>
      <c r="D835" s="101" t="s">
        <v>37</v>
      </c>
      <c r="E835" s="133"/>
      <c r="F835" s="133"/>
      <c r="G835" s="133"/>
      <c r="H835" s="133"/>
      <c r="I835" s="133"/>
      <c r="J835" s="133"/>
      <c r="K835" s="106" t="s">
        <v>38</v>
      </c>
      <c r="L835" s="152" t="s">
        <v>39</v>
      </c>
      <c r="M835" s="153" t="s">
        <v>40</v>
      </c>
      <c r="N835" s="104" t="s">
        <v>21</v>
      </c>
      <c r="O835" s="105"/>
      <c r="P835" s="154" t="s">
        <v>22</v>
      </c>
      <c r="Q835" s="155"/>
      <c r="R835" s="4"/>
    </row>
    <row r="836" spans="1:18">
      <c r="A836" s="1">
        <f t="shared" si="28"/>
        <v>0</v>
      </c>
      <c r="B836" s="2" t="s">
        <v>41</v>
      </c>
      <c r="C836" s="8"/>
      <c r="D836" s="109" t="str">
        <f>IFERROR(INDEX('[239]MANO DE OBRA'!B:B,MATCH(B836,'[239]MANO DE OBRA'!A:A,0)),"")</f>
        <v>OFICIAL</v>
      </c>
      <c r="E836" s="110"/>
      <c r="F836" s="110"/>
      <c r="G836" s="110"/>
      <c r="H836" s="110"/>
      <c r="I836" s="110"/>
      <c r="J836" s="111"/>
      <c r="K836" s="156">
        <f>IFERROR(INDEX('[239]MANO DE OBRA'!D:D,MATCH(B836,'[239]MANO DE OBRA'!A:A,0)),"")</f>
        <v>95930</v>
      </c>
      <c r="L836" s="157">
        <f>+IF(D836&lt;&gt;"",'[239]FACTOR PRESTACIONAL'!$E$21," ")</f>
        <v>1.95</v>
      </c>
      <c r="M836" s="158">
        <f>IFERROR(K836*L836," ")</f>
        <v>187063.5</v>
      </c>
      <c r="N836" s="159">
        <f>ROUND(8/0.22,2)</f>
        <v>36.36</v>
      </c>
      <c r="O836" s="160"/>
      <c r="P836" s="161">
        <f>IFERROR(ROUND(M836/N836,2)," ")</f>
        <v>5144.76</v>
      </c>
      <c r="Q836" s="162"/>
      <c r="R836" s="4"/>
    </row>
    <row r="837" spans="1:18">
      <c r="A837" s="1">
        <f t="shared" si="28"/>
        <v>0</v>
      </c>
      <c r="B837" s="2" t="s">
        <v>42</v>
      </c>
      <c r="C837" s="8"/>
      <c r="D837" s="109" t="str">
        <f>IFERROR(INDEX('[239]MANO DE OBRA'!B:B,MATCH(B837,'[239]MANO DE OBRA'!A:A,0)),"")</f>
        <v>AYUDANTE (2)</v>
      </c>
      <c r="E837" s="110"/>
      <c r="F837" s="110"/>
      <c r="G837" s="110"/>
      <c r="H837" s="110"/>
      <c r="I837" s="110"/>
      <c r="J837" s="111"/>
      <c r="K837" s="156">
        <f>IFERROR(INDEX('[239]MANO DE OBRA'!D:D,MATCH(B837,'[239]MANO DE OBRA'!A:A,0)),"")</f>
        <v>142866</v>
      </c>
      <c r="L837" s="157">
        <f>+IF(D837&lt;&gt;"",'[239]FACTOR PRESTACIONAL'!$E$21," ")</f>
        <v>1.95</v>
      </c>
      <c r="M837" s="158">
        <f>IFERROR(K837*L837," ")</f>
        <v>278588.7</v>
      </c>
      <c r="N837" s="159">
        <f>ROUND(8/0.22,2)</f>
        <v>36.36</v>
      </c>
      <c r="O837" s="160"/>
      <c r="P837" s="161">
        <f>IFERROR(ROUND(M837/N837,2)," ")</f>
        <v>7661.96</v>
      </c>
      <c r="Q837" s="162"/>
      <c r="R837" s="4"/>
    </row>
    <row r="838" spans="1:18">
      <c r="A838" s="1">
        <f t="shared" si="28"/>
        <v>0</v>
      </c>
      <c r="B838" s="2"/>
      <c r="C838" s="8"/>
      <c r="D838" s="109" t="str">
        <f>IFERROR(INDEX('[239]MANO DE OBRA'!B:B,MATCH(B838,'[239]MANO DE OBRA'!A:A,0)),"")</f>
        <v/>
      </c>
      <c r="E838" s="110"/>
      <c r="F838" s="110"/>
      <c r="G838" s="110"/>
      <c r="H838" s="110"/>
      <c r="I838" s="110"/>
      <c r="J838" s="111"/>
      <c r="K838" s="156" t="str">
        <f>IFERROR(INDEX('[239]MANO DE OBRA'!D:D,MATCH(B838,'[239]MANO DE OBRA'!A:A,0)),"")</f>
        <v/>
      </c>
      <c r="L838" s="157" t="str">
        <f>+IF(D838&lt;&gt;"",'[239]FACTOR PRESTACIONAL'!$E$21," ")</f>
        <v xml:space="preserve"> </v>
      </c>
      <c r="M838" s="158" t="str">
        <f>IFERROR(K838*L838," ")</f>
        <v xml:space="preserve"> </v>
      </c>
      <c r="N838" s="159"/>
      <c r="O838" s="160"/>
      <c r="P838" s="161" t="str">
        <f>IFERROR(ROUND(M838/N838,2)," ")</f>
        <v xml:space="preserve"> </v>
      </c>
      <c r="Q838" s="162"/>
      <c r="R838" s="4"/>
    </row>
    <row r="839" spans="1:18">
      <c r="A839" s="1">
        <f t="shared" si="28"/>
        <v>0</v>
      </c>
      <c r="B839" s="2"/>
      <c r="C839" s="8"/>
      <c r="D839" s="109" t="str">
        <f>IFERROR(INDEX('[239]MANO DE OBRA'!B:B,MATCH(B839,'[239]MANO DE OBRA'!A:A,0)),"")</f>
        <v/>
      </c>
      <c r="E839" s="110"/>
      <c r="F839" s="110"/>
      <c r="G839" s="110"/>
      <c r="H839" s="110"/>
      <c r="I839" s="110"/>
      <c r="J839" s="111"/>
      <c r="K839" s="156" t="str">
        <f>IFERROR(INDEX('[239]MANO DE OBRA'!D:D,MATCH(B839,'[239]MANO DE OBRA'!A:A,0)),"")</f>
        <v/>
      </c>
      <c r="L839" s="157" t="str">
        <f>+IF(D839&lt;&gt;"",'[239]FACTOR PRESTACIONAL'!$E$21," ")</f>
        <v xml:space="preserve"> </v>
      </c>
      <c r="M839" s="158" t="str">
        <f>IFERROR(K839*L839," ")</f>
        <v xml:space="preserve"> </v>
      </c>
      <c r="N839" s="159"/>
      <c r="O839" s="160"/>
      <c r="P839" s="161" t="str">
        <f>IFERROR(ROUND(M839/N839,2)," ")</f>
        <v xml:space="preserve"> </v>
      </c>
      <c r="Q839" s="162"/>
      <c r="R839" s="4"/>
    </row>
    <row r="840" spans="1:18" ht="15.75" thickBot="1">
      <c r="A840" s="1">
        <f t="shared" si="28"/>
        <v>0</v>
      </c>
      <c r="B840" s="2"/>
      <c r="C840" s="8"/>
      <c r="D840" s="109" t="str">
        <f>IFERROR(INDEX('[239]MANO DE OBRA'!B:B,MATCH(B840,'[239]MANO DE OBRA'!A:A,0)),"")</f>
        <v/>
      </c>
      <c r="E840" s="110"/>
      <c r="F840" s="110"/>
      <c r="G840" s="110"/>
      <c r="H840" s="110"/>
      <c r="I840" s="110"/>
      <c r="J840" s="111"/>
      <c r="K840" s="156" t="str">
        <f>IFERROR(INDEX('[239]MANO DE OBRA'!D:D,MATCH(B840,'[239]MANO DE OBRA'!A:A,0)),"")</f>
        <v/>
      </c>
      <c r="L840" s="157" t="str">
        <f>+IF(D840&lt;&gt;"",'[239]FACTOR PRESTACIONAL'!$E$21," ")</f>
        <v xml:space="preserve"> </v>
      </c>
      <c r="M840" s="158" t="str">
        <f>IFERROR(K840*L840," ")</f>
        <v xml:space="preserve"> </v>
      </c>
      <c r="N840" s="159"/>
      <c r="O840" s="160"/>
      <c r="P840" s="161" t="str">
        <f>IFERROR(ROUND(M840/N840,2)," ")</f>
        <v xml:space="preserve"> </v>
      </c>
      <c r="Q840" s="119"/>
      <c r="R840" s="4"/>
    </row>
    <row r="841" spans="1:18" ht="15.75" thickBot="1">
      <c r="A841" s="1">
        <f t="shared" si="28"/>
        <v>0</v>
      </c>
      <c r="B841" s="2"/>
      <c r="C841" s="8"/>
      <c r="D841" s="128" t="s">
        <v>24</v>
      </c>
      <c r="E841" s="129"/>
      <c r="F841" s="129"/>
      <c r="G841" s="129"/>
      <c r="H841" s="129"/>
      <c r="I841" s="129"/>
      <c r="J841" s="129"/>
      <c r="K841" s="129"/>
      <c r="L841" s="129"/>
      <c r="M841" s="129"/>
      <c r="N841" s="129"/>
      <c r="O841" s="130"/>
      <c r="P841" s="131">
        <f>SUM(P836:P840)</f>
        <v>12806.720000000001</v>
      </c>
      <c r="Q841" s="119"/>
      <c r="R841" s="4"/>
    </row>
    <row r="842" spans="1:18" ht="15.75" thickBot="1">
      <c r="A842" s="1">
        <f t="shared" si="28"/>
        <v>0</v>
      </c>
      <c r="B842" s="2"/>
      <c r="C842" s="8"/>
      <c r="D842" s="87"/>
      <c r="E842" s="20"/>
      <c r="F842" s="20"/>
      <c r="G842" s="20"/>
      <c r="H842" s="20"/>
      <c r="I842" s="20"/>
      <c r="J842" s="20"/>
      <c r="K842" s="20"/>
      <c r="L842" s="20"/>
      <c r="M842" s="20"/>
      <c r="N842" s="20"/>
      <c r="O842" s="20"/>
      <c r="P842" s="88"/>
      <c r="Q842" s="13"/>
      <c r="R842" s="4"/>
    </row>
    <row r="843" spans="1:18" ht="15.75" thickBot="1">
      <c r="A843" s="1"/>
      <c r="B843" s="2"/>
      <c r="C843" s="8"/>
      <c r="D843" s="163" t="s">
        <v>43</v>
      </c>
      <c r="E843" s="164"/>
      <c r="F843" s="164"/>
      <c r="G843" s="164"/>
      <c r="H843" s="164"/>
      <c r="I843" s="164"/>
      <c r="J843" s="164"/>
      <c r="K843" s="164"/>
      <c r="L843" s="164"/>
      <c r="M843" s="164"/>
      <c r="N843" s="164"/>
      <c r="O843" s="165"/>
      <c r="P843" s="166">
        <f>+P841+P833+P826+P808</f>
        <v>22549.53</v>
      </c>
      <c r="Q843" s="167"/>
      <c r="R843" s="168"/>
    </row>
    <row r="844" spans="1:18" ht="15.75" thickBot="1">
      <c r="A844" s="1"/>
      <c r="B844" s="2"/>
      <c r="C844" s="8"/>
      <c r="D844" s="169"/>
      <c r="E844" s="170"/>
      <c r="F844" s="170"/>
      <c r="G844" s="170"/>
      <c r="H844" s="170"/>
      <c r="I844" s="170"/>
      <c r="J844" s="170"/>
      <c r="K844" s="170"/>
      <c r="L844" s="170"/>
      <c r="M844" s="170"/>
      <c r="N844" s="170"/>
      <c r="O844" s="170"/>
      <c r="P844" s="171"/>
      <c r="Q844" s="100"/>
      <c r="R844" s="4"/>
    </row>
    <row r="845" spans="1:18">
      <c r="A845" s="1"/>
      <c r="B845" s="2"/>
      <c r="C845" s="8"/>
      <c r="D845" s="172" t="s">
        <v>73</v>
      </c>
      <c r="E845" s="173"/>
      <c r="F845" s="173"/>
      <c r="G845" s="173"/>
      <c r="H845" s="173"/>
      <c r="I845" s="173"/>
      <c r="J845" s="173"/>
      <c r="K845" s="141"/>
      <c r="L845" s="174"/>
      <c r="M845" s="153" t="s">
        <v>44</v>
      </c>
      <c r="N845" s="175" t="s">
        <v>45</v>
      </c>
      <c r="O845" s="176"/>
      <c r="P845" s="154"/>
      <c r="Q845" s="155"/>
      <c r="R845" s="4"/>
    </row>
    <row r="846" spans="1:18">
      <c r="A846" s="1"/>
      <c r="B846" s="2"/>
      <c r="C846" s="8"/>
      <c r="D846" s="109" t="s">
        <v>65</v>
      </c>
      <c r="E846" s="110"/>
      <c r="F846" s="110"/>
      <c r="G846" s="110"/>
      <c r="H846" s="110"/>
      <c r="I846" s="110"/>
      <c r="J846" s="110"/>
      <c r="K846" s="177"/>
      <c r="L846" s="178"/>
      <c r="M846" s="179">
        <f>+[239]INICIO!$F$10</f>
        <v>0.24</v>
      </c>
      <c r="N846" s="180">
        <f>ROUND(M846*P843,2)</f>
        <v>5411.89</v>
      </c>
      <c r="O846" s="181"/>
      <c r="P846" s="182"/>
      <c r="Q846" s="119"/>
      <c r="R846" s="4"/>
    </row>
    <row r="847" spans="1:18">
      <c r="A847" s="1"/>
      <c r="B847" s="2"/>
      <c r="C847" s="8"/>
      <c r="D847" s="183" t="s">
        <v>67</v>
      </c>
      <c r="E847" s="61"/>
      <c r="F847" s="61"/>
      <c r="G847" s="61"/>
      <c r="H847" s="61"/>
      <c r="I847" s="61"/>
      <c r="J847" s="61"/>
      <c r="K847" s="177"/>
      <c r="L847" s="178"/>
      <c r="M847" s="179">
        <f>+[239]INICIO!$F$11</f>
        <v>0.02</v>
      </c>
      <c r="N847" s="180">
        <f>ROUND(M847*P843,2)</f>
        <v>450.99</v>
      </c>
      <c r="O847" s="181"/>
      <c r="P847" s="182"/>
      <c r="Q847" s="119"/>
      <c r="R847" s="4"/>
    </row>
    <row r="848" spans="1:18" ht="15.75" thickBot="1">
      <c r="A848" s="1"/>
      <c r="B848" s="2"/>
      <c r="C848" s="8"/>
      <c r="D848" s="77" t="s">
        <v>69</v>
      </c>
      <c r="E848" s="78"/>
      <c r="F848" s="78"/>
      <c r="G848" s="78"/>
      <c r="H848" s="78"/>
      <c r="I848" s="78"/>
      <c r="J848" s="78"/>
      <c r="K848" s="184"/>
      <c r="L848" s="185"/>
      <c r="M848" s="179">
        <f>+[239]INICIO!$F$12</f>
        <v>7.0000000000000007E-2</v>
      </c>
      <c r="N848" s="180">
        <f>ROUND(M848*P843,2)</f>
        <v>1578.47</v>
      </c>
      <c r="O848" s="181"/>
      <c r="P848" s="182"/>
      <c r="Q848" s="119"/>
      <c r="R848" s="4"/>
    </row>
    <row r="849" spans="1:18" ht="15.75" thickBot="1">
      <c r="A849" s="1"/>
      <c r="B849" s="2"/>
      <c r="C849" s="8"/>
      <c r="D849" s="128"/>
      <c r="E849" s="129"/>
      <c r="F849" s="129"/>
      <c r="G849" s="129"/>
      <c r="H849" s="129"/>
      <c r="I849" s="129"/>
      <c r="J849" s="129"/>
      <c r="K849" s="129"/>
      <c r="L849" s="129"/>
      <c r="M849" s="129"/>
      <c r="N849" s="129"/>
      <c r="O849" s="130"/>
      <c r="P849" s="131">
        <f>SUM(N846:N848)</f>
        <v>7441.35</v>
      </c>
      <c r="Q849" s="186"/>
      <c r="R849" s="4"/>
    </row>
    <row r="850" spans="1:18" ht="15.75" thickBot="1">
      <c r="A850" s="1"/>
      <c r="B850" s="2"/>
      <c r="C850" s="8"/>
      <c r="D850" s="87"/>
      <c r="E850" s="20"/>
      <c r="F850" s="20"/>
      <c r="G850" s="20"/>
      <c r="H850" s="20"/>
      <c r="I850" s="20"/>
      <c r="J850" s="20"/>
      <c r="K850" s="20"/>
      <c r="L850" s="20"/>
      <c r="M850" s="20"/>
      <c r="N850" s="20"/>
      <c r="O850" s="20"/>
      <c r="P850" s="88"/>
      <c r="Q850" s="13"/>
      <c r="R850" s="4"/>
    </row>
    <row r="851" spans="1:18" ht="15.75" thickBot="1">
      <c r="A851" s="1"/>
      <c r="B851" s="2"/>
      <c r="C851" s="8"/>
      <c r="D851" s="187" t="s">
        <v>46</v>
      </c>
      <c r="E851" s="188"/>
      <c r="F851" s="188"/>
      <c r="G851" s="188"/>
      <c r="H851" s="188"/>
      <c r="I851" s="188"/>
      <c r="J851" s="188"/>
      <c r="K851" s="188"/>
      <c r="L851" s="188"/>
      <c r="M851" s="188"/>
      <c r="N851" s="188"/>
      <c r="O851" s="189"/>
      <c r="P851" s="166">
        <f>ROUND(P849+P843,0)</f>
        <v>29991</v>
      </c>
      <c r="Q851" s="186"/>
      <c r="R851" s="4"/>
    </row>
    <row r="852" spans="1:18">
      <c r="A852" s="1"/>
      <c r="B852" s="2"/>
      <c r="C852" s="8"/>
      <c r="D852" s="80"/>
      <c r="E852" s="81"/>
      <c r="F852" s="81"/>
      <c r="G852" s="81"/>
      <c r="H852" s="81"/>
      <c r="I852" s="81"/>
      <c r="J852" s="81"/>
      <c r="K852" s="81"/>
      <c r="L852" s="81"/>
      <c r="M852" s="81"/>
      <c r="N852" s="81"/>
      <c r="O852" s="81"/>
      <c r="P852" s="82"/>
      <c r="Q852" s="13"/>
      <c r="R852" s="4"/>
    </row>
    <row r="853" spans="1:18">
      <c r="A853" s="1"/>
      <c r="B853" s="2"/>
      <c r="C853" s="8"/>
      <c r="D853" s="87"/>
      <c r="E853" s="20"/>
      <c r="F853" s="20"/>
      <c r="G853" s="20"/>
      <c r="H853" s="20"/>
      <c r="I853" s="20"/>
      <c r="J853" s="20"/>
      <c r="K853" s="20"/>
      <c r="L853" s="20"/>
      <c r="M853" s="20"/>
      <c r="N853" s="20"/>
      <c r="O853" s="20"/>
      <c r="P853" s="88"/>
      <c r="Q853" s="13"/>
      <c r="R853" s="4"/>
    </row>
    <row r="854" spans="1:18">
      <c r="A854" s="1"/>
      <c r="B854" s="2"/>
      <c r="C854" s="8"/>
      <c r="D854" s="87"/>
      <c r="E854" s="20"/>
      <c r="F854" s="20"/>
      <c r="G854" s="20"/>
      <c r="H854" s="20"/>
      <c r="I854" s="20"/>
      <c r="J854" s="20"/>
      <c r="K854" s="20"/>
      <c r="L854" s="20"/>
      <c r="M854" s="20"/>
      <c r="N854" s="20"/>
      <c r="O854" s="20"/>
      <c r="P854" s="88"/>
      <c r="Q854" s="13"/>
      <c r="R854" s="4"/>
    </row>
    <row r="855" spans="1:18">
      <c r="A855" s="1"/>
      <c r="B855" s="2"/>
      <c r="C855" s="8"/>
      <c r="D855" s="87"/>
      <c r="E855" s="20"/>
      <c r="F855" s="20"/>
      <c r="G855" s="20"/>
      <c r="H855" s="20"/>
      <c r="I855" s="20"/>
      <c r="J855" s="20"/>
      <c r="K855" s="20"/>
      <c r="L855" s="20"/>
      <c r="M855" s="20"/>
      <c r="N855" s="20"/>
      <c r="O855" s="20"/>
      <c r="P855" s="88"/>
      <c r="Q855" s="13"/>
      <c r="R855" s="4"/>
    </row>
    <row r="856" spans="1:18">
      <c r="A856" s="1"/>
      <c r="B856" s="2"/>
      <c r="C856" s="8"/>
      <c r="D856" s="219" t="str">
        <f>+[239]INICIO!$B$13</f>
        <v>Proyectó:</v>
      </c>
      <c r="E856" s="49"/>
      <c r="F856" s="49"/>
      <c r="G856" s="49"/>
      <c r="H856" s="49"/>
      <c r="I856" s="49"/>
      <c r="J856" s="49"/>
      <c r="K856" s="20"/>
      <c r="L856" s="69" t="str">
        <f>+[239]INICIO!$B$16</f>
        <v>Aprobó:</v>
      </c>
      <c r="M856" s="49"/>
      <c r="N856" s="49"/>
      <c r="O856" s="49"/>
      <c r="P856" s="88"/>
      <c r="Q856" s="13"/>
      <c r="R856" s="4"/>
    </row>
    <row r="857" spans="1:18">
      <c r="A857" s="1"/>
      <c r="B857" s="2"/>
      <c r="C857" s="8"/>
      <c r="D857" s="87"/>
      <c r="E857" s="20" t="str">
        <f>+Hoja2!C$13</f>
        <v>HELMER EDUARDO BECERRA SANTANDER</v>
      </c>
      <c r="F857" s="20"/>
      <c r="G857" s="20"/>
      <c r="H857" s="20"/>
      <c r="I857" s="20"/>
      <c r="J857" s="20"/>
      <c r="K857" s="20"/>
      <c r="L857" s="20"/>
      <c r="M857" s="20" t="str">
        <f>+Hoja2!$C$16</f>
        <v>JESÚS IVÁN QUIÑONES RUEDA</v>
      </c>
      <c r="N857" s="20"/>
      <c r="O857" s="20"/>
      <c r="P857" s="88"/>
      <c r="Q857" s="190"/>
      <c r="R857" s="4"/>
    </row>
    <row r="858" spans="1:18">
      <c r="A858" s="1"/>
      <c r="B858" s="2"/>
      <c r="C858" s="8"/>
      <c r="D858" s="87"/>
      <c r="E858" s="20" t="str">
        <f>+Hoja2!C$14</f>
        <v>APOYO SEC. DE PLANEACIÓN Y OBRAS PÚBLICAS</v>
      </c>
      <c r="F858" s="20"/>
      <c r="G858" s="20"/>
      <c r="H858" s="20"/>
      <c r="I858" s="20"/>
      <c r="J858" s="20"/>
      <c r="K858" s="20"/>
      <c r="L858" s="20"/>
      <c r="M858" s="20" t="str">
        <f>+Hoja2!$C$17</f>
        <v>SECRETARIO DE PLANEACIÓN Y OBRAS PUBLICAS</v>
      </c>
      <c r="N858" s="20"/>
      <c r="O858" s="20"/>
      <c r="P858" s="88"/>
      <c r="Q858" s="190"/>
      <c r="R858" s="4"/>
    </row>
    <row r="859" spans="1:18">
      <c r="A859" s="1"/>
      <c r="B859" s="2"/>
      <c r="C859" s="8"/>
      <c r="D859" s="68"/>
      <c r="E859" s="20" t="str">
        <f>+Hoja2!C$15</f>
        <v>123769-0701671 NTS</v>
      </c>
      <c r="F859" s="191"/>
      <c r="G859" s="191"/>
      <c r="H859" s="191"/>
      <c r="I859" s="20"/>
      <c r="J859" s="191"/>
      <c r="K859" s="191"/>
      <c r="L859" s="191"/>
      <c r="M859" s="192" t="str">
        <f>+Hoja2!C$18</f>
        <v>A21382020-1090480860</v>
      </c>
      <c r="N859" s="191"/>
      <c r="O859" s="191"/>
      <c r="P859" s="193"/>
      <c r="Q859" s="194"/>
      <c r="R859" s="4"/>
    </row>
    <row r="860" spans="1:18" ht="16.5" thickBot="1">
      <c r="A860" s="1"/>
      <c r="B860" s="2"/>
      <c r="C860" s="8"/>
      <c r="D860" s="195"/>
      <c r="E860" s="150"/>
      <c r="F860" s="150"/>
      <c r="G860" s="150"/>
      <c r="H860" s="150"/>
      <c r="I860" s="150"/>
      <c r="J860" s="150"/>
      <c r="K860" s="150"/>
      <c r="L860" s="150"/>
      <c r="M860" s="150"/>
      <c r="N860" s="150"/>
      <c r="O860" s="150"/>
      <c r="P860" s="196"/>
      <c r="Q860" s="197"/>
      <c r="R860" s="4"/>
    </row>
    <row r="861" spans="1:18" ht="15.75" thickBot="1">
      <c r="A861" s="1"/>
      <c r="B861" s="2"/>
      <c r="C861" s="198"/>
      <c r="D861" s="199"/>
      <c r="E861" s="199"/>
      <c r="F861" s="199"/>
      <c r="G861" s="199"/>
      <c r="H861" s="199"/>
      <c r="I861" s="199"/>
      <c r="J861" s="199"/>
      <c r="K861" s="199"/>
      <c r="L861" s="199"/>
      <c r="M861" s="199"/>
      <c r="N861" s="199"/>
      <c r="O861" s="199"/>
      <c r="P861" s="199"/>
      <c r="Q861" s="200"/>
      <c r="R861" s="4"/>
    </row>
    <row r="862" spans="1:18" ht="15.75" thickTop="1"/>
    <row r="863" spans="1:18" ht="15.75" thickBot="1"/>
    <row r="864" spans="1:18" ht="15.75" thickTop="1">
      <c r="A864" s="1"/>
      <c r="B864" s="2"/>
      <c r="C864" s="5"/>
      <c r="D864" s="6"/>
      <c r="E864" s="6"/>
      <c r="F864" s="6"/>
      <c r="G864" s="6"/>
      <c r="H864" s="6"/>
      <c r="I864" s="6"/>
      <c r="J864" s="6"/>
      <c r="K864" s="6"/>
      <c r="L864" s="6"/>
      <c r="M864" s="6"/>
      <c r="N864" s="6"/>
      <c r="O864" s="6"/>
      <c r="P864" s="6"/>
      <c r="Q864" s="7"/>
      <c r="R864" s="4"/>
    </row>
    <row r="865" spans="1:18" ht="24">
      <c r="A865" s="1"/>
      <c r="B865" s="2"/>
      <c r="C865" s="8"/>
      <c r="D865" s="9" t="str">
        <f>+[239]INICIO!$C$8</f>
        <v>Análisis de Precios Unitarios- Secretaria de Planeación y Obras Publicas de Cubará, Boyacá.</v>
      </c>
      <c r="E865" s="10"/>
      <c r="F865" s="10"/>
      <c r="G865" s="10"/>
      <c r="H865" s="11"/>
      <c r="I865" s="12"/>
      <c r="J865" s="12"/>
      <c r="K865" s="12"/>
      <c r="L865" s="12"/>
      <c r="M865" s="12"/>
      <c r="N865" s="12"/>
      <c r="O865" s="12"/>
      <c r="P865" s="12"/>
      <c r="Q865" s="13"/>
      <c r="R865" s="4"/>
    </row>
    <row r="866" spans="1:18">
      <c r="A866" s="1"/>
      <c r="B866" s="2"/>
      <c r="C866" s="8"/>
      <c r="D866" s="14" t="s">
        <v>0</v>
      </c>
      <c r="E866" s="15" t="str">
        <f>+[239]INICIO!$C$7</f>
        <v>CCE-EICP-FM-14</v>
      </c>
      <c r="F866" s="16"/>
      <c r="G866" s="17" t="str">
        <f>+[239]INICIO!$B$6</f>
        <v>VERSIÓN</v>
      </c>
      <c r="H866" s="14">
        <f>+[239]INICIO!$C$6</f>
        <v>1</v>
      </c>
      <c r="I866" s="12"/>
      <c r="J866" s="12"/>
      <c r="K866" s="12"/>
      <c r="L866" s="12"/>
      <c r="M866" s="12"/>
      <c r="N866" s="12"/>
      <c r="O866" s="12"/>
      <c r="P866" s="12"/>
      <c r="Q866" s="13"/>
      <c r="R866" s="4"/>
    </row>
    <row r="867" spans="1:18">
      <c r="A867" s="1"/>
      <c r="B867" s="2"/>
      <c r="C867" s="8"/>
      <c r="D867" s="18"/>
      <c r="E867" s="19"/>
      <c r="F867" s="18"/>
      <c r="G867" s="19"/>
      <c r="H867" s="12"/>
      <c r="I867" s="12"/>
      <c r="J867" s="12"/>
      <c r="K867" s="12"/>
      <c r="L867" s="12"/>
      <c r="M867" s="12"/>
      <c r="N867" s="12"/>
      <c r="O867" s="12"/>
      <c r="P867" s="12"/>
      <c r="Q867" s="13"/>
      <c r="R867" s="4"/>
    </row>
    <row r="868" spans="1:18" ht="15.75" thickBot="1">
      <c r="A868" s="1"/>
      <c r="B868" s="2"/>
      <c r="C868" s="8"/>
      <c r="D868" s="20"/>
      <c r="E868" s="20"/>
      <c r="F868" s="20"/>
      <c r="G868" s="20"/>
      <c r="H868" s="20"/>
      <c r="I868" s="20"/>
      <c r="J868" s="20"/>
      <c r="K868" s="20"/>
      <c r="L868" s="20"/>
      <c r="M868" s="20"/>
      <c r="N868" s="20"/>
      <c r="O868" s="20"/>
      <c r="P868" s="20"/>
      <c r="Q868" s="13"/>
      <c r="R868" s="4"/>
    </row>
    <row r="869" spans="1:18">
      <c r="A869" s="1"/>
      <c r="B869" s="2"/>
      <c r="C869" s="8"/>
      <c r="D869" s="21"/>
      <c r="E869" s="22"/>
      <c r="F869" s="23"/>
      <c r="G869" s="23"/>
      <c r="H869" s="23"/>
      <c r="I869" s="23"/>
      <c r="J869" s="23"/>
      <c r="K869" s="23"/>
      <c r="L869" s="24"/>
      <c r="M869" s="25"/>
      <c r="N869" s="26"/>
      <c r="O869" s="26"/>
      <c r="P869" s="27"/>
      <c r="Q869" s="28"/>
      <c r="R869" s="4"/>
    </row>
    <row r="870" spans="1:18">
      <c r="A870" s="1"/>
      <c r="B870" s="2"/>
      <c r="C870" s="8"/>
      <c r="D870" s="29"/>
      <c r="E870" s="30" t="s">
        <v>1</v>
      </c>
      <c r="F870" s="31"/>
      <c r="G870" s="31"/>
      <c r="H870" s="31"/>
      <c r="I870" s="31"/>
      <c r="J870" s="31"/>
      <c r="K870" s="31"/>
      <c r="L870" s="32"/>
      <c r="M870" s="33"/>
      <c r="N870" s="34"/>
      <c r="O870" s="34"/>
      <c r="P870" s="35"/>
      <c r="Q870" s="28"/>
      <c r="R870" s="4"/>
    </row>
    <row r="871" spans="1:18">
      <c r="A871" s="1"/>
      <c r="B871" s="2"/>
      <c r="C871" s="8"/>
      <c r="D871" s="29"/>
      <c r="E871" s="36"/>
      <c r="F871" s="37"/>
      <c r="G871" s="37"/>
      <c r="H871" s="37"/>
      <c r="I871" s="37"/>
      <c r="J871" s="37"/>
      <c r="K871" s="37"/>
      <c r="L871" s="38"/>
      <c r="M871" s="39"/>
      <c r="N871" s="40"/>
      <c r="O871" s="41"/>
      <c r="P871" s="42"/>
      <c r="Q871" s="28"/>
      <c r="R871" s="4"/>
    </row>
    <row r="872" spans="1:18">
      <c r="A872" s="1"/>
      <c r="B872" s="2"/>
      <c r="C872" s="8"/>
      <c r="D872" s="29"/>
      <c r="E872" s="36"/>
      <c r="F872" s="37"/>
      <c r="G872" s="37"/>
      <c r="H872" s="37"/>
      <c r="I872" s="37"/>
      <c r="J872" s="37"/>
      <c r="K872" s="37"/>
      <c r="L872" s="38"/>
      <c r="M872" s="43" t="s">
        <v>2</v>
      </c>
      <c r="N872" s="44"/>
      <c r="O872" s="45">
        <f>+[239]INICIO!$C$6</f>
        <v>1</v>
      </c>
      <c r="P872" s="46"/>
      <c r="Q872" s="28"/>
      <c r="R872" s="4"/>
    </row>
    <row r="873" spans="1:18">
      <c r="A873" s="1"/>
      <c r="B873" s="2"/>
      <c r="C873" s="8"/>
      <c r="D873" s="29"/>
      <c r="E873" s="36"/>
      <c r="F873" s="37"/>
      <c r="G873" s="37"/>
      <c r="H873" s="37"/>
      <c r="I873" s="37"/>
      <c r="J873" s="37"/>
      <c r="K873" s="37"/>
      <c r="L873" s="38"/>
      <c r="M873" s="47"/>
      <c r="N873" s="48"/>
      <c r="O873" s="49"/>
      <c r="P873" s="50"/>
      <c r="Q873" s="51"/>
      <c r="R873" s="4"/>
    </row>
    <row r="874" spans="1:18">
      <c r="A874" s="1"/>
      <c r="B874" s="2"/>
      <c r="C874" s="8"/>
      <c r="D874" s="29"/>
      <c r="E874" s="52"/>
      <c r="F874" s="53"/>
      <c r="G874" s="53"/>
      <c r="H874" s="53"/>
      <c r="I874" s="53"/>
      <c r="J874" s="53"/>
      <c r="K874" s="53"/>
      <c r="L874" s="54"/>
      <c r="M874" s="39"/>
      <c r="N874" s="55"/>
      <c r="O874" s="55"/>
      <c r="P874" s="56"/>
      <c r="Q874" s="28"/>
      <c r="R874" s="4"/>
    </row>
    <row r="875" spans="1:18">
      <c r="A875" s="1"/>
      <c r="B875" s="2"/>
      <c r="C875" s="8"/>
      <c r="D875" s="29"/>
      <c r="E875" s="52"/>
      <c r="F875" s="53"/>
      <c r="G875" s="53"/>
      <c r="H875" s="53"/>
      <c r="I875" s="53"/>
      <c r="J875" s="53"/>
      <c r="K875" s="53"/>
      <c r="L875" s="54"/>
      <c r="M875" s="43" t="s">
        <v>3</v>
      </c>
      <c r="N875" s="43" t="str">
        <f>+VLOOKUP(D886,'PRESUPUESTO OFICIAL '!C:Q,9,FALSE)</f>
        <v>47</v>
      </c>
      <c r="O875" s="43" t="s">
        <v>4</v>
      </c>
      <c r="P875" s="508" t="str">
        <f>+'PRESUPUESTO OFICIAL '!$M$122</f>
        <v>62</v>
      </c>
      <c r="Q875" s="28"/>
      <c r="R875" s="4"/>
    </row>
    <row r="876" spans="1:18">
      <c r="A876" s="1"/>
      <c r="B876" s="2"/>
      <c r="C876" s="8"/>
      <c r="D876" s="29"/>
      <c r="E876" s="30" t="s">
        <v>5</v>
      </c>
      <c r="F876" s="31"/>
      <c r="G876" s="31"/>
      <c r="H876" s="31"/>
      <c r="I876" s="31"/>
      <c r="J876" s="31"/>
      <c r="K876" s="31"/>
      <c r="L876" s="32"/>
      <c r="M876" s="43"/>
      <c r="N876" s="57"/>
      <c r="O876" s="57"/>
      <c r="P876" s="58"/>
      <c r="Q876" s="28"/>
      <c r="R876" s="4"/>
    </row>
    <row r="877" spans="1:18" ht="15.75" thickBot="1">
      <c r="A877" s="1"/>
      <c r="B877" s="2"/>
      <c r="C877" s="8"/>
      <c r="D877" s="59"/>
      <c r="E877" s="60"/>
      <c r="F877" s="60"/>
      <c r="G877" s="60"/>
      <c r="H877" s="60"/>
      <c r="I877" s="60"/>
      <c r="J877" s="60"/>
      <c r="K877" s="60"/>
      <c r="L877" s="60"/>
      <c r="M877" s="60"/>
      <c r="N877" s="61"/>
      <c r="O877" s="61"/>
      <c r="P877" s="62"/>
      <c r="Q877" s="63"/>
      <c r="R877" s="4"/>
    </row>
    <row r="878" spans="1:18">
      <c r="A878" s="1"/>
      <c r="B878" s="2"/>
      <c r="C878" s="8"/>
      <c r="D878" s="64"/>
      <c r="E878" s="65"/>
      <c r="F878" s="65"/>
      <c r="G878" s="65"/>
      <c r="H878" s="65"/>
      <c r="I878" s="65"/>
      <c r="J878" s="65"/>
      <c r="K878" s="65"/>
      <c r="L878" s="65"/>
      <c r="M878" s="66" t="s">
        <v>6</v>
      </c>
      <c r="N878" s="66" t="s">
        <v>7</v>
      </c>
      <c r="O878" s="66" t="s">
        <v>8</v>
      </c>
      <c r="P878" s="67" t="s">
        <v>9</v>
      </c>
      <c r="Q878" s="51"/>
      <c r="R878" s="4"/>
    </row>
    <row r="879" spans="1:18">
      <c r="A879" s="1"/>
      <c r="B879" s="2"/>
      <c r="C879" s="8"/>
      <c r="D879" s="68"/>
      <c r="E879" s="69"/>
      <c r="F879" s="69"/>
      <c r="G879" s="69"/>
      <c r="H879" s="69"/>
      <c r="I879" s="69"/>
      <c r="J879" s="69"/>
      <c r="K879" s="69"/>
      <c r="L879" s="69"/>
      <c r="M879" s="70"/>
      <c r="N879" s="71">
        <f>+Hoja2!B$5</f>
        <v>5</v>
      </c>
      <c r="O879" s="71">
        <f>+Hoja2!C$5</f>
        <v>8</v>
      </c>
      <c r="P879" s="72">
        <f>+Hoja2!D$5</f>
        <v>2026</v>
      </c>
      <c r="Q879" s="73"/>
      <c r="R879" s="4"/>
    </row>
    <row r="880" spans="1:18">
      <c r="A880" s="1"/>
      <c r="B880" s="2"/>
      <c r="C880" s="8"/>
      <c r="D880" s="74"/>
      <c r="E880" s="37"/>
      <c r="F880" s="37"/>
      <c r="G880" s="37"/>
      <c r="H880" s="69"/>
      <c r="I880" s="69"/>
      <c r="J880" s="69"/>
      <c r="K880" s="20"/>
      <c r="L880" s="69"/>
      <c r="M880" s="75"/>
      <c r="N880" s="20"/>
      <c r="O880" s="20"/>
      <c r="P880" s="76"/>
      <c r="Q880" s="73"/>
      <c r="R880" s="4"/>
    </row>
    <row r="881" spans="1:18" ht="15.75" thickBot="1">
      <c r="A881" s="1"/>
      <c r="B881" s="2"/>
      <c r="C881" s="8"/>
      <c r="D881" s="77"/>
      <c r="E881" s="78"/>
      <c r="F881" s="78"/>
      <c r="G881" s="78"/>
      <c r="H881" s="78"/>
      <c r="I881" s="78"/>
      <c r="J881" s="78"/>
      <c r="K881" s="78"/>
      <c r="L881" s="78"/>
      <c r="M881" s="78"/>
      <c r="N881" s="78"/>
      <c r="O881" s="78"/>
      <c r="P881" s="79"/>
      <c r="Q881" s="13"/>
      <c r="R881" s="4"/>
    </row>
    <row r="882" spans="1:18" ht="15.75" thickBot="1">
      <c r="A882" s="1"/>
      <c r="B882" s="2"/>
      <c r="C882" s="8"/>
      <c r="D882" s="80"/>
      <c r="E882" s="81"/>
      <c r="F882" s="81"/>
      <c r="G882" s="81"/>
      <c r="H882" s="81"/>
      <c r="I882" s="81"/>
      <c r="J882" s="20"/>
      <c r="K882" s="20"/>
      <c r="L882" s="81"/>
      <c r="M882" s="81"/>
      <c r="N882" s="81"/>
      <c r="O882" s="81"/>
      <c r="P882" s="82"/>
      <c r="Q882" s="13"/>
      <c r="R882" s="4"/>
    </row>
    <row r="883" spans="1:18">
      <c r="A883" s="1"/>
      <c r="B883" s="2"/>
      <c r="C883" s="8"/>
      <c r="D883" s="83" t="s">
        <v>10</v>
      </c>
      <c r="E883" s="84"/>
      <c r="F883" s="84"/>
      <c r="G883" s="84"/>
      <c r="H883" s="84"/>
      <c r="I883" s="84"/>
      <c r="J883" s="84"/>
      <c r="K883" s="84"/>
      <c r="L883" s="84"/>
      <c r="M883" s="84"/>
      <c r="N883" s="84"/>
      <c r="O883" s="84"/>
      <c r="P883" s="85"/>
      <c r="Q883" s="86"/>
      <c r="R883" s="4"/>
    </row>
    <row r="884" spans="1:18" ht="15.75" thickBot="1">
      <c r="A884" s="1"/>
      <c r="B884" s="2"/>
      <c r="C884" s="8"/>
      <c r="D884" s="87"/>
      <c r="E884" s="20"/>
      <c r="F884" s="20"/>
      <c r="G884" s="20"/>
      <c r="H884" s="20"/>
      <c r="I884" s="20"/>
      <c r="J884" s="20"/>
      <c r="K884" s="20"/>
      <c r="L884" s="20"/>
      <c r="M884" s="20"/>
      <c r="N884" s="20"/>
      <c r="O884" s="20"/>
      <c r="P884" s="88"/>
      <c r="Q884" s="13"/>
      <c r="R884" s="4"/>
    </row>
    <row r="885" spans="1:18">
      <c r="A885" s="1" t="s">
        <v>11</v>
      </c>
      <c r="B885" s="2" t="s">
        <v>12</v>
      </c>
      <c r="C885" s="8"/>
      <c r="D885" s="89" t="s">
        <v>13</v>
      </c>
      <c r="E885" s="90" t="s">
        <v>14</v>
      </c>
      <c r="F885" s="90"/>
      <c r="G885" s="90"/>
      <c r="H885" s="90"/>
      <c r="I885" s="90"/>
      <c r="J885" s="90"/>
      <c r="K885" s="90"/>
      <c r="L885" s="90"/>
      <c r="M885" s="90"/>
      <c r="N885" s="91" t="s">
        <v>15</v>
      </c>
      <c r="O885" s="91"/>
      <c r="P885" s="92" t="s">
        <v>16</v>
      </c>
      <c r="Q885" s="93"/>
      <c r="R885" s="4"/>
    </row>
    <row r="886" spans="1:18" ht="15.75" thickBot="1">
      <c r="A886" s="1"/>
      <c r="B886" s="2"/>
      <c r="C886" s="8"/>
      <c r="D886" s="349">
        <f>+'PRESUPUESTO OFICIAL '!C74</f>
        <v>6.06</v>
      </c>
      <c r="E886" s="94" t="str">
        <f>+VLOOKUP(D886,'PRESUPUESTO OFICIAL '!C:H,2,FALSE)</f>
        <v>ENCHAPE EN CERÁMICA PARA PISO</v>
      </c>
      <c r="F886" s="94"/>
      <c r="G886" s="94"/>
      <c r="H886" s="94"/>
      <c r="I886" s="94"/>
      <c r="J886" s="94"/>
      <c r="K886" s="94"/>
      <c r="L886" s="94"/>
      <c r="M886" s="94"/>
      <c r="N886" s="94" t="str">
        <f>+VLOOKUP(D886,'PRESUPUESTO OFICIAL '!C:H,3,FALSE)</f>
        <v>M2</v>
      </c>
      <c r="O886" s="95"/>
      <c r="P886" s="96">
        <f>+VLOOKUP(D886,'PRESUPUESTO OFICIAL '!C:H,4,FALSE)</f>
        <v>172.14</v>
      </c>
      <c r="Q886" s="97"/>
      <c r="R886" s="98">
        <f>+P938</f>
        <v>147896</v>
      </c>
    </row>
    <row r="887" spans="1:18" ht="15.75" thickBot="1">
      <c r="A887" s="1"/>
      <c r="B887" s="2"/>
      <c r="C887" s="8"/>
      <c r="D887" s="74" t="s">
        <v>17</v>
      </c>
      <c r="E887" s="37"/>
      <c r="F887" s="37"/>
      <c r="G887" s="37"/>
      <c r="H887" s="37"/>
      <c r="I887" s="37"/>
      <c r="J887" s="37"/>
      <c r="K887" s="37"/>
      <c r="L887" s="37"/>
      <c r="M887" s="37"/>
      <c r="N887" s="37"/>
      <c r="O887" s="37"/>
      <c r="P887" s="99"/>
      <c r="Q887" s="100"/>
      <c r="R887" s="4"/>
    </row>
    <row r="888" spans="1:18">
      <c r="A888" s="1"/>
      <c r="B888" s="2"/>
      <c r="C888" s="8"/>
      <c r="D888" s="101" t="s">
        <v>14</v>
      </c>
      <c r="E888" s="102"/>
      <c r="F888" s="102"/>
      <c r="G888" s="102"/>
      <c r="H888" s="103"/>
      <c r="I888" s="104" t="s">
        <v>18</v>
      </c>
      <c r="J888" s="102"/>
      <c r="K888" s="104" t="s">
        <v>19</v>
      </c>
      <c r="L888" s="105"/>
      <c r="M888" s="106" t="s">
        <v>20</v>
      </c>
      <c r="N888" s="104" t="s">
        <v>21</v>
      </c>
      <c r="O888" s="105"/>
      <c r="P888" s="107" t="s">
        <v>22</v>
      </c>
      <c r="Q888" s="108"/>
      <c r="R888" s="4"/>
    </row>
    <row r="889" spans="1:18">
      <c r="A889" s="1" t="e">
        <f>[239]INDICE!#REF!</f>
        <v>#REF!</v>
      </c>
      <c r="B889" s="2" t="s">
        <v>23</v>
      </c>
      <c r="C889" s="8"/>
      <c r="D889" s="109" t="str">
        <f>IFERROR(INDEX([239]EQUIPOS!B:B,MATCH(B889,[239]EQUIPOS!A:A,0)),"")</f>
        <v>HERRAMIENTA MENOR (% M.O)</v>
      </c>
      <c r="E889" s="110"/>
      <c r="F889" s="110"/>
      <c r="G889" s="110"/>
      <c r="H889" s="111"/>
      <c r="I889" s="112"/>
      <c r="J889" s="111"/>
      <c r="K889" s="113" t="str">
        <f>IFERROR(INDEX([239]EQUIPOS!C:C,MATCH(B889,[239]EQUIPOS!A:A,0)),"")</f>
        <v>%</v>
      </c>
      <c r="L889" s="114"/>
      <c r="M889" s="115">
        <f>IFERROR(IF(D889="HERRAMIENTA MENOR (% M.O)",P928,INDEX([239]EQUIPOS!D:D,MATCH(B889,[239]EQUIPOS!A:A,0))),"")</f>
        <v>48929.21</v>
      </c>
      <c r="N889" s="116">
        <v>10</v>
      </c>
      <c r="O889" s="117"/>
      <c r="P889" s="118">
        <f t="shared" ref="P889:P894" si="30">IFERROR(ROUND(IF(D889="HERRAMIENTA MENOR (% M.O)",N889%*M889,M889/N889),2)," ")</f>
        <v>4892.92</v>
      </c>
      <c r="Q889" s="119"/>
      <c r="R889" s="4"/>
    </row>
    <row r="890" spans="1:18">
      <c r="A890" s="1">
        <f>+$A$2593</f>
        <v>0</v>
      </c>
      <c r="B890" s="2"/>
      <c r="C890" s="8"/>
      <c r="D890" s="109" t="str">
        <f>IFERROR(INDEX([239]EQUIPOS!B:B,MATCH(B890,[239]EQUIPOS!A:A,0)),"")</f>
        <v/>
      </c>
      <c r="E890" s="110"/>
      <c r="F890" s="110"/>
      <c r="G890" s="110"/>
      <c r="H890" s="111"/>
      <c r="I890" s="112"/>
      <c r="J890" s="111"/>
      <c r="K890" s="113" t="str">
        <f>IFERROR(INDEX([239]EQUIPOS!C:C,MATCH(B890,[239]EQUIPOS!A:A,0)),"")</f>
        <v/>
      </c>
      <c r="L890" s="114"/>
      <c r="M890" s="115" t="str">
        <f>IFERROR(IF(D890="HERRAMIENTA MENOR (% M.O)",P929,INDEX([239]EQUIPOS!D:D,MATCH(B890,[239]EQUIPOS!A:A,0))),"")</f>
        <v/>
      </c>
      <c r="N890" s="116"/>
      <c r="O890" s="117"/>
      <c r="P890" s="118" t="str">
        <f t="shared" si="30"/>
        <v xml:space="preserve"> </v>
      </c>
      <c r="Q890" s="119"/>
      <c r="R890" s="4"/>
    </row>
    <row r="891" spans="1:18">
      <c r="A891" s="1">
        <f t="shared" ref="A891:A929" si="31">+A890</f>
        <v>0</v>
      </c>
      <c r="B891" s="2"/>
      <c r="C891" s="8"/>
      <c r="D891" s="109" t="str">
        <f>IFERROR(INDEX([239]EQUIPOS!B:B,MATCH(B891,[239]EQUIPOS!A:A,0)),"")</f>
        <v/>
      </c>
      <c r="E891" s="110"/>
      <c r="F891" s="110"/>
      <c r="G891" s="110"/>
      <c r="H891" s="111"/>
      <c r="I891" s="120"/>
      <c r="J891" s="121"/>
      <c r="K891" s="113" t="str">
        <f>IFERROR(INDEX([239]EQUIPOS!C:C,MATCH(B891,[239]EQUIPOS!A:A,0)),"")</f>
        <v/>
      </c>
      <c r="L891" s="114"/>
      <c r="M891" s="115" t="str">
        <f>IFERROR(IF(D891="HERRAMIENTA MENOR (% M.O)",P930,INDEX([239]EQUIPOS!D:D,MATCH(B891,[239]EQUIPOS!A:A,0))),"")</f>
        <v/>
      </c>
      <c r="N891" s="116"/>
      <c r="O891" s="117"/>
      <c r="P891" s="118" t="str">
        <f t="shared" si="30"/>
        <v xml:space="preserve"> </v>
      </c>
      <c r="Q891" s="119"/>
      <c r="R891" s="4"/>
    </row>
    <row r="892" spans="1:18">
      <c r="A892" s="1">
        <f t="shared" si="31"/>
        <v>0</v>
      </c>
      <c r="B892" s="2"/>
      <c r="C892" s="8"/>
      <c r="D892" s="109" t="str">
        <f>IFERROR(INDEX([239]EQUIPOS!B:B,MATCH(B892,[239]EQUIPOS!A:A,0)),"")</f>
        <v/>
      </c>
      <c r="E892" s="110"/>
      <c r="F892" s="110"/>
      <c r="G892" s="110"/>
      <c r="H892" s="111"/>
      <c r="I892" s="120"/>
      <c r="J892" s="121"/>
      <c r="K892" s="113" t="str">
        <f>IFERROR(INDEX([239]EQUIPOS!C:C,MATCH(B892,[239]EQUIPOS!A:A,0)),"")</f>
        <v/>
      </c>
      <c r="L892" s="114"/>
      <c r="M892" s="115" t="str">
        <f>IFERROR(IF(D892="HERRAMIENTA MENOR (% M.O)",P931,INDEX([239]EQUIPOS!D:D,MATCH(B892,[239]EQUIPOS!A:A,0))),"")</f>
        <v/>
      </c>
      <c r="N892" s="116"/>
      <c r="O892" s="117"/>
      <c r="P892" s="118" t="str">
        <f t="shared" si="30"/>
        <v xml:space="preserve"> </v>
      </c>
      <c r="Q892" s="119"/>
      <c r="R892" s="4"/>
    </row>
    <row r="893" spans="1:18">
      <c r="A893" s="1">
        <f t="shared" si="31"/>
        <v>0</v>
      </c>
      <c r="B893" s="2"/>
      <c r="C893" s="8"/>
      <c r="D893" s="109" t="str">
        <f>IFERROR(INDEX([239]EQUIPOS!B:B,MATCH(B893,[239]EQUIPOS!A:A,0)),"")</f>
        <v/>
      </c>
      <c r="E893" s="110"/>
      <c r="F893" s="110"/>
      <c r="G893" s="110"/>
      <c r="H893" s="111"/>
      <c r="I893" s="112"/>
      <c r="J893" s="111"/>
      <c r="K893" s="113" t="str">
        <f>IFERROR(INDEX([239]EQUIPOS!C:C,MATCH(B893,[239]EQUIPOS!A:A,0)),"")</f>
        <v/>
      </c>
      <c r="L893" s="114"/>
      <c r="M893" s="115" t="str">
        <f>IFERROR(IF(D893="HERRAMIENTA MENOR (% M.O)",P932,INDEX([239]EQUIPOS!D:D,MATCH(B893,[239]EQUIPOS!A:A,0))),"")</f>
        <v/>
      </c>
      <c r="N893" s="116"/>
      <c r="O893" s="117"/>
      <c r="P893" s="118" t="str">
        <f t="shared" si="30"/>
        <v xml:space="preserve"> </v>
      </c>
      <c r="Q893" s="119"/>
      <c r="R893" s="4"/>
    </row>
    <row r="894" spans="1:18" ht="15.75" thickBot="1">
      <c r="A894" s="1">
        <f t="shared" si="31"/>
        <v>0</v>
      </c>
      <c r="B894" s="2"/>
      <c r="C894" s="8"/>
      <c r="D894" s="109" t="str">
        <f>IFERROR(INDEX([239]EQUIPOS!B:B,MATCH(B894,[239]EQUIPOS!A:A,0)),"")</f>
        <v/>
      </c>
      <c r="E894" s="78"/>
      <c r="F894" s="78"/>
      <c r="G894" s="78"/>
      <c r="H894" s="122"/>
      <c r="I894" s="123"/>
      <c r="J894" s="122"/>
      <c r="K894" s="113" t="str">
        <f>IFERROR(INDEX([239]EQUIPOS!C:C,MATCH(B894,[239]EQUIPOS!A:A,0)),"")</f>
        <v/>
      </c>
      <c r="L894" s="124"/>
      <c r="M894" s="115" t="str">
        <f>IFERROR(IF(D894="HERRAMIENTA MENOR (% M.O)",P933,INDEX([239]EQUIPOS!D:D,MATCH(B894,[239]EQUIPOS!A:A,0))),"")</f>
        <v/>
      </c>
      <c r="N894" s="125"/>
      <c r="O894" s="126"/>
      <c r="P894" s="127" t="str">
        <f t="shared" si="30"/>
        <v xml:space="preserve"> </v>
      </c>
      <c r="Q894" s="119"/>
      <c r="R894" s="4"/>
    </row>
    <row r="895" spans="1:18" ht="15.75" thickBot="1">
      <c r="A895" s="1">
        <f t="shared" si="31"/>
        <v>0</v>
      </c>
      <c r="B895" s="2"/>
      <c r="C895" s="8"/>
      <c r="D895" s="128" t="s">
        <v>24</v>
      </c>
      <c r="E895" s="129"/>
      <c r="F895" s="129"/>
      <c r="G895" s="129"/>
      <c r="H895" s="129"/>
      <c r="I895" s="129"/>
      <c r="J895" s="129"/>
      <c r="K895" s="129"/>
      <c r="L895" s="129"/>
      <c r="M895" s="129"/>
      <c r="N895" s="129"/>
      <c r="O895" s="130"/>
      <c r="P895" s="131">
        <f>SUM(P889:P894)</f>
        <v>4892.92</v>
      </c>
      <c r="Q895" s="132"/>
      <c r="R895" s="4"/>
    </row>
    <row r="896" spans="1:18" ht="15.75" thickBot="1">
      <c r="A896" s="1">
        <f t="shared" si="31"/>
        <v>0</v>
      </c>
      <c r="B896" s="2"/>
      <c r="C896" s="8"/>
      <c r="D896" s="74" t="s">
        <v>25</v>
      </c>
      <c r="E896" s="37"/>
      <c r="F896" s="37"/>
      <c r="G896" s="37"/>
      <c r="H896" s="37"/>
      <c r="I896" s="37"/>
      <c r="J896" s="37"/>
      <c r="K896" s="37"/>
      <c r="L896" s="37"/>
      <c r="M896" s="37"/>
      <c r="N896" s="37"/>
      <c r="O896" s="37"/>
      <c r="P896" s="99"/>
      <c r="Q896" s="100"/>
      <c r="R896" s="4"/>
    </row>
    <row r="897" spans="1:18">
      <c r="A897" s="1">
        <f t="shared" si="31"/>
        <v>0</v>
      </c>
      <c r="B897" s="2"/>
      <c r="C897" s="8"/>
      <c r="D897" s="101" t="s">
        <v>14</v>
      </c>
      <c r="E897" s="133"/>
      <c r="F897" s="133"/>
      <c r="G897" s="133"/>
      <c r="H897" s="133"/>
      <c r="I897" s="133"/>
      <c r="J897" s="133"/>
      <c r="K897" s="105"/>
      <c r="L897" s="134" t="s">
        <v>15</v>
      </c>
      <c r="M897" s="106" t="s">
        <v>16</v>
      </c>
      <c r="N897" s="104" t="s">
        <v>26</v>
      </c>
      <c r="O897" s="105"/>
      <c r="P897" s="107" t="s">
        <v>22</v>
      </c>
      <c r="Q897" s="108"/>
      <c r="R897" s="4"/>
    </row>
    <row r="898" spans="1:18">
      <c r="A898" s="1">
        <f t="shared" si="31"/>
        <v>0</v>
      </c>
      <c r="B898" s="2" t="s">
        <v>337</v>
      </c>
      <c r="C898" s="8"/>
      <c r="D898" s="109" t="str">
        <f>IFERROR(INDEX([239]MATERIALES!C:C,MATCH(B898,[239]MATERIALES!B:B,0)),"")</f>
        <v>CERÁMICA PARA PISO PEI IV</v>
      </c>
      <c r="E898" s="135"/>
      <c r="F898" s="135"/>
      <c r="G898" s="135"/>
      <c r="H898" s="135"/>
      <c r="I898" s="135"/>
      <c r="J898" s="135"/>
      <c r="K898" s="136"/>
      <c r="L898" s="137" t="str">
        <f>IFERROR(INDEX([239]MATERIALES!D:D,MATCH(B898,[239]MATERIALES!B:B,0)),"")</f>
        <v>M2</v>
      </c>
      <c r="M898" s="138">
        <v>1</v>
      </c>
      <c r="N898" s="139">
        <f>IFERROR(INDEX([239]MATERIALES!P:P,MATCH(B898,[239]MATERIALES!B:B,0)),"")</f>
        <v>42708.98</v>
      </c>
      <c r="O898" s="140"/>
      <c r="P898" s="118">
        <f>IFERROR(ROUND(N898*M898,2),"")</f>
        <v>42708.98</v>
      </c>
      <c r="Q898" s="119"/>
      <c r="R898" s="4"/>
    </row>
    <row r="899" spans="1:18">
      <c r="A899" s="1">
        <f t="shared" si="31"/>
        <v>0</v>
      </c>
      <c r="B899" s="2" t="s">
        <v>330</v>
      </c>
      <c r="C899" s="8"/>
      <c r="D899" s="109" t="str">
        <f>IFERROR(INDEX([239]MATERIALES!C:C,MATCH(B899,[239]MATERIALES!B:B,0)),"")</f>
        <v>PEGANTE CERÁMICO (PEGACOR O SIMILAR)</v>
      </c>
      <c r="E899" s="135"/>
      <c r="F899" s="135"/>
      <c r="G899" s="135"/>
      <c r="H899" s="135"/>
      <c r="I899" s="135"/>
      <c r="J899" s="135"/>
      <c r="K899" s="136"/>
      <c r="L899" s="137" t="str">
        <f>IFERROR(INDEX([239]MATERIALES!D:D,MATCH(B899,[239]MATERIALES!B:B,0)),"")</f>
        <v>KG</v>
      </c>
      <c r="M899" s="138">
        <v>5</v>
      </c>
      <c r="N899" s="139">
        <f>IFERROR(INDEX([239]MATERIALES!P:P,MATCH(B899,[239]MATERIALES!B:B,0)),"")</f>
        <v>1397.76</v>
      </c>
      <c r="O899" s="140"/>
      <c r="P899" s="118">
        <f>IFERROR(ROUND(N899*M899,2),"")</f>
        <v>6988.8</v>
      </c>
      <c r="Q899" s="119"/>
      <c r="R899" s="4"/>
    </row>
    <row r="900" spans="1:18">
      <c r="A900" s="1">
        <f t="shared" si="31"/>
        <v>0</v>
      </c>
      <c r="B900" s="2" t="s">
        <v>331</v>
      </c>
      <c r="C900" s="8"/>
      <c r="D900" s="109" t="str">
        <f>IFERROR(INDEX([239]MATERIALES!C:C,MATCH(B900,[239]MATERIALES!B:B,0)),"")</f>
        <v>BOQUILLA PARA JUNTAS</v>
      </c>
      <c r="E900" s="110"/>
      <c r="F900" s="110"/>
      <c r="G900" s="110"/>
      <c r="H900" s="110"/>
      <c r="I900" s="110"/>
      <c r="J900" s="110"/>
      <c r="K900" s="111"/>
      <c r="L900" s="137" t="str">
        <f>IFERROR(INDEX([239]MATERIALES!D:D,MATCH(B900,[239]MATERIALES!B:B,0)),"")</f>
        <v>KG</v>
      </c>
      <c r="M900" s="138">
        <v>0.25</v>
      </c>
      <c r="N900" s="139">
        <f>IFERROR(INDEX([239]MATERIALES!P:P,MATCH(B900,[239]MATERIALES!B:B,0)),"")</f>
        <v>7350</v>
      </c>
      <c r="O900" s="140"/>
      <c r="P900" s="118">
        <f>IFERROR(ROUND(N900*M900,2),"")</f>
        <v>1837.5</v>
      </c>
      <c r="Q900" s="119"/>
      <c r="R900" s="4"/>
    </row>
    <row r="901" spans="1:18">
      <c r="A901" s="1">
        <f t="shared" si="31"/>
        <v>0</v>
      </c>
      <c r="B901" s="2" t="s">
        <v>332</v>
      </c>
      <c r="C901" s="8"/>
      <c r="D901" s="109" t="str">
        <f>IFERROR(INDEX([239]MATERIALES!C:C,MATCH(B901,[239]MATERIALES!B:B,0)),"")</f>
        <v>NIVELADOR PLÁSTICO REUTILIZABLE</v>
      </c>
      <c r="E901" s="110"/>
      <c r="F901" s="110"/>
      <c r="G901" s="110"/>
      <c r="H901" s="110"/>
      <c r="I901" s="110"/>
      <c r="J901" s="110"/>
      <c r="K901" s="111"/>
      <c r="L901" s="137" t="str">
        <f>IFERROR(INDEX([239]MATERIALES!D:D,MATCH(B901,[239]MATERIALES!B:B,0)),"")</f>
        <v>UND</v>
      </c>
      <c r="M901" s="138">
        <v>2</v>
      </c>
      <c r="N901" s="139">
        <f>IFERROR(INDEX([239]MATERIALES!P:P,MATCH(B901,[239]MATERIALES!B:B,0)),"")</f>
        <v>1453.92</v>
      </c>
      <c r="O901" s="140"/>
      <c r="P901" s="118">
        <f>IFERROR(ROUND(N901*M901,2),"")</f>
        <v>2907.84</v>
      </c>
      <c r="Q901" s="119"/>
      <c r="R901" s="4"/>
    </row>
    <row r="902" spans="1:18">
      <c r="A902" s="1">
        <f t="shared" si="31"/>
        <v>0</v>
      </c>
      <c r="B902" s="2" t="s">
        <v>333</v>
      </c>
      <c r="C902" s="8"/>
      <c r="D902" s="109" t="str">
        <f>IFERROR(INDEX([239]MATERIALES!C:C,MATCH(B902,[239]MATERIALES!B:B,0)),"")</f>
        <v>JUNTA PLÁSTICA PARA ENCAPE 3 MM</v>
      </c>
      <c r="E902" s="110"/>
      <c r="F902" s="110"/>
      <c r="G902" s="110"/>
      <c r="H902" s="110"/>
      <c r="I902" s="110"/>
      <c r="J902" s="110"/>
      <c r="K902" s="111"/>
      <c r="L902" s="137" t="str">
        <f>IFERROR(INDEX([239]MATERIALES!D:D,MATCH(B902,[239]MATERIALES!B:B,0)),"")</f>
        <v>UND</v>
      </c>
      <c r="M902" s="138">
        <v>3</v>
      </c>
      <c r="N902" s="139">
        <f>IFERROR(INDEX([239]MATERIALES!P:P,MATCH(B902,[239]MATERIALES!B:B,0)),"")</f>
        <v>67.5</v>
      </c>
      <c r="O902" s="140"/>
      <c r="P902" s="118">
        <f t="shared" ref="P902:P911" si="32">IFERROR(ROUND(N902*M902,2),"")</f>
        <v>202.5</v>
      </c>
      <c r="Q902" s="119"/>
      <c r="R902" s="4"/>
    </row>
    <row r="903" spans="1:18">
      <c r="A903" s="1">
        <f t="shared" si="31"/>
        <v>0</v>
      </c>
      <c r="B903" s="2"/>
      <c r="C903" s="8"/>
      <c r="D903" s="109" t="str">
        <f>IFERROR(INDEX([239]MATERIALES!C:C,MATCH(B903,[239]MATERIALES!B:B,0)),"")</f>
        <v/>
      </c>
      <c r="E903" s="110"/>
      <c r="F903" s="110"/>
      <c r="G903" s="110"/>
      <c r="H903" s="110"/>
      <c r="I903" s="110"/>
      <c r="J903" s="110"/>
      <c r="K903" s="111"/>
      <c r="L903" s="137" t="str">
        <f>IFERROR(INDEX([239]MATERIALES!D:D,MATCH(B903,[239]MATERIALES!B:B,0)),"")</f>
        <v/>
      </c>
      <c r="M903" s="138"/>
      <c r="N903" s="139" t="str">
        <f>IFERROR(INDEX([239]MATERIALES!P:P,MATCH(B903,[239]MATERIALES!B:B,0)),"")</f>
        <v/>
      </c>
      <c r="O903" s="140"/>
      <c r="P903" s="118" t="str">
        <f t="shared" si="32"/>
        <v/>
      </c>
      <c r="Q903" s="119"/>
      <c r="R903" s="4"/>
    </row>
    <row r="904" spans="1:18">
      <c r="A904" s="1">
        <f t="shared" si="31"/>
        <v>0</v>
      </c>
      <c r="B904" s="2"/>
      <c r="C904" s="8"/>
      <c r="D904" s="109" t="str">
        <f>IFERROR(INDEX([239]MATERIALES!C:C,MATCH(B904,[239]MATERIALES!B:B,0)),"")</f>
        <v/>
      </c>
      <c r="E904" s="110"/>
      <c r="F904" s="110"/>
      <c r="G904" s="110"/>
      <c r="H904" s="110"/>
      <c r="I904" s="110"/>
      <c r="J904" s="110"/>
      <c r="K904" s="111"/>
      <c r="L904" s="137" t="str">
        <f>IFERROR(INDEX([239]MATERIALES!D:D,MATCH(B904,[239]MATERIALES!B:B,0)),"")</f>
        <v/>
      </c>
      <c r="M904" s="138"/>
      <c r="N904" s="139" t="str">
        <f>IFERROR(INDEX([239]MATERIALES!P:P,MATCH(B904,[239]MATERIALES!B:B,0)),"")</f>
        <v/>
      </c>
      <c r="O904" s="140"/>
      <c r="P904" s="118" t="str">
        <f t="shared" si="32"/>
        <v/>
      </c>
      <c r="Q904" s="119"/>
      <c r="R904" s="4"/>
    </row>
    <row r="905" spans="1:18">
      <c r="A905" s="1">
        <f t="shared" si="31"/>
        <v>0</v>
      </c>
      <c r="B905" s="2"/>
      <c r="C905" s="8"/>
      <c r="D905" s="109" t="str">
        <f>IFERROR(INDEX([239]MATERIALES!C:C,MATCH(B905,[239]MATERIALES!B:B,0)),"")</f>
        <v/>
      </c>
      <c r="E905" s="110"/>
      <c r="F905" s="110"/>
      <c r="G905" s="110"/>
      <c r="H905" s="110"/>
      <c r="I905" s="110"/>
      <c r="J905" s="110"/>
      <c r="K905" s="111"/>
      <c r="L905" s="137" t="str">
        <f>IFERROR(INDEX([239]MATERIALES!D:D,MATCH(B905,[239]MATERIALES!B:B,0)),"")</f>
        <v/>
      </c>
      <c r="M905" s="138"/>
      <c r="N905" s="139" t="str">
        <f>IFERROR(INDEX([239]MATERIALES!P:P,MATCH(B905,[239]MATERIALES!B:B,0)),"")</f>
        <v/>
      </c>
      <c r="O905" s="140"/>
      <c r="P905" s="118" t="str">
        <f t="shared" si="32"/>
        <v/>
      </c>
      <c r="Q905" s="119"/>
      <c r="R905" s="4"/>
    </row>
    <row r="906" spans="1:18">
      <c r="A906" s="1">
        <f t="shared" si="31"/>
        <v>0</v>
      </c>
      <c r="B906" s="2"/>
      <c r="C906" s="8"/>
      <c r="D906" s="109" t="str">
        <f>IFERROR(INDEX([239]MATERIALES!C:C,MATCH(B906,[239]MATERIALES!B:B,0)),"")</f>
        <v/>
      </c>
      <c r="E906" s="110"/>
      <c r="F906" s="110"/>
      <c r="G906" s="110"/>
      <c r="H906" s="110"/>
      <c r="I906" s="110"/>
      <c r="J906" s="110"/>
      <c r="K906" s="111"/>
      <c r="L906" s="137" t="str">
        <f>IFERROR(INDEX([239]MATERIALES!D:D,MATCH(B906,[239]MATERIALES!B:B,0)),"")</f>
        <v/>
      </c>
      <c r="M906" s="138"/>
      <c r="N906" s="139" t="str">
        <f>IFERROR(INDEX([239]MATERIALES!P:P,MATCH(B906,[239]MATERIALES!B:B,0)),"")</f>
        <v/>
      </c>
      <c r="O906" s="140"/>
      <c r="P906" s="118" t="str">
        <f t="shared" si="32"/>
        <v/>
      </c>
      <c r="Q906" s="119"/>
      <c r="R906" s="4"/>
    </row>
    <row r="907" spans="1:18">
      <c r="A907" s="1">
        <f t="shared" si="31"/>
        <v>0</v>
      </c>
      <c r="B907" s="2"/>
      <c r="C907" s="8"/>
      <c r="D907" s="109" t="str">
        <f>IFERROR(INDEX([239]MATERIALES!C:C,MATCH(B907,[239]MATERIALES!B:B,0)),"")</f>
        <v/>
      </c>
      <c r="E907" s="110"/>
      <c r="F907" s="110"/>
      <c r="G907" s="110"/>
      <c r="H907" s="110"/>
      <c r="I907" s="110"/>
      <c r="J907" s="110"/>
      <c r="K907" s="111"/>
      <c r="L907" s="137" t="str">
        <f>IFERROR(INDEX([239]MATERIALES!D:D,MATCH(B907,[239]MATERIALES!B:B,0)),"")</f>
        <v/>
      </c>
      <c r="M907" s="138"/>
      <c r="N907" s="139" t="str">
        <f>IFERROR(INDEX([239]MATERIALES!P:P,MATCH(B907,[239]MATERIALES!B:B,0)),"")</f>
        <v/>
      </c>
      <c r="O907" s="140"/>
      <c r="P907" s="118" t="str">
        <f t="shared" si="32"/>
        <v/>
      </c>
      <c r="Q907" s="119"/>
      <c r="R907" s="4"/>
    </row>
    <row r="908" spans="1:18">
      <c r="A908" s="1">
        <f t="shared" si="31"/>
        <v>0</v>
      </c>
      <c r="B908" s="2"/>
      <c r="C908" s="8"/>
      <c r="D908" s="109" t="str">
        <f>IFERROR(INDEX([239]MATERIALES!C:C,MATCH(B908,[239]MATERIALES!B:B,0)),"")</f>
        <v/>
      </c>
      <c r="E908" s="110"/>
      <c r="F908" s="110"/>
      <c r="G908" s="110"/>
      <c r="H908" s="110"/>
      <c r="I908" s="110"/>
      <c r="J908" s="110"/>
      <c r="K908" s="111"/>
      <c r="L908" s="137" t="str">
        <f>IFERROR(INDEX([239]MATERIALES!D:D,MATCH(B908,[239]MATERIALES!B:B,0)),"")</f>
        <v/>
      </c>
      <c r="M908" s="138"/>
      <c r="N908" s="139" t="str">
        <f>IFERROR(INDEX([239]MATERIALES!P:P,MATCH(B908,[239]MATERIALES!B:B,0)),"")</f>
        <v/>
      </c>
      <c r="O908" s="140"/>
      <c r="P908" s="118" t="str">
        <f t="shared" si="32"/>
        <v/>
      </c>
      <c r="Q908" s="119"/>
      <c r="R908" s="4"/>
    </row>
    <row r="909" spans="1:18">
      <c r="A909" s="1">
        <f t="shared" si="31"/>
        <v>0</v>
      </c>
      <c r="B909" s="2"/>
      <c r="C909" s="8"/>
      <c r="D909" s="109" t="str">
        <f>IFERROR(INDEX([239]MATERIALES!C:C,MATCH(B909,[239]MATERIALES!B:B,0)),"")</f>
        <v/>
      </c>
      <c r="E909" s="110"/>
      <c r="F909" s="110"/>
      <c r="G909" s="110"/>
      <c r="H909" s="110"/>
      <c r="I909" s="110"/>
      <c r="J909" s="110"/>
      <c r="K909" s="111"/>
      <c r="L909" s="137" t="str">
        <f>IFERROR(INDEX([239]MATERIALES!D:D,MATCH(B909,[239]MATERIALES!B:B,0)),"")</f>
        <v/>
      </c>
      <c r="M909" s="138"/>
      <c r="N909" s="139" t="str">
        <f>IFERROR(INDEX([239]MATERIALES!P:P,MATCH(B909,[239]MATERIALES!B:B,0)),"")</f>
        <v/>
      </c>
      <c r="O909" s="140"/>
      <c r="P909" s="118" t="str">
        <f t="shared" si="32"/>
        <v/>
      </c>
      <c r="Q909" s="119"/>
      <c r="R909" s="4"/>
    </row>
    <row r="910" spans="1:18">
      <c r="A910" s="1">
        <f t="shared" si="31"/>
        <v>0</v>
      </c>
      <c r="B910" s="2"/>
      <c r="C910" s="8"/>
      <c r="D910" s="109" t="str">
        <f>IFERROR(INDEX([239]MATERIALES!C:C,MATCH(B910,[239]MATERIALES!B:B,0)),"")</f>
        <v/>
      </c>
      <c r="E910" s="110"/>
      <c r="F910" s="110"/>
      <c r="G910" s="110"/>
      <c r="H910" s="110"/>
      <c r="I910" s="110"/>
      <c r="J910" s="110"/>
      <c r="K910" s="111"/>
      <c r="L910" s="137" t="str">
        <f>IFERROR(INDEX([239]MATERIALES!D:D,MATCH(B910,[239]MATERIALES!B:B,0)),"")</f>
        <v/>
      </c>
      <c r="M910" s="138"/>
      <c r="N910" s="139" t="str">
        <f>IFERROR(INDEX([239]MATERIALES!P:P,MATCH(B910,[239]MATERIALES!B:B,0)),"")</f>
        <v/>
      </c>
      <c r="O910" s="140"/>
      <c r="P910" s="118" t="str">
        <f t="shared" si="32"/>
        <v/>
      </c>
      <c r="Q910" s="119"/>
      <c r="R910" s="4"/>
    </row>
    <row r="911" spans="1:18">
      <c r="A911" s="1">
        <f t="shared" si="31"/>
        <v>0</v>
      </c>
      <c r="B911" s="2"/>
      <c r="C911" s="8"/>
      <c r="D911" s="109" t="str">
        <f>IFERROR(INDEX([239]MATERIALES!C:C,MATCH(B911,[239]MATERIALES!B:B,0)),"")</f>
        <v/>
      </c>
      <c r="E911" s="110"/>
      <c r="F911" s="110"/>
      <c r="G911" s="110"/>
      <c r="H911" s="110"/>
      <c r="I911" s="110"/>
      <c r="J911" s="110"/>
      <c r="K911" s="111"/>
      <c r="L911" s="137" t="str">
        <f>IFERROR(INDEX([239]MATERIALES!D:D,MATCH(B911,[239]MATERIALES!B:B,0)),"")</f>
        <v/>
      </c>
      <c r="M911" s="138"/>
      <c r="N911" s="139" t="str">
        <f>IFERROR(INDEX([239]MATERIALES!P:P,MATCH(B911,[239]MATERIALES!B:B,0)),"")</f>
        <v/>
      </c>
      <c r="O911" s="140"/>
      <c r="P911" s="118" t="str">
        <f t="shared" si="32"/>
        <v/>
      </c>
      <c r="Q911" s="119"/>
      <c r="R911" s="4"/>
    </row>
    <row r="912" spans="1:18" ht="15.75" thickBot="1">
      <c r="A912" s="1">
        <f t="shared" si="31"/>
        <v>0</v>
      </c>
      <c r="B912" s="2"/>
      <c r="C912" s="8"/>
      <c r="D912" s="109" t="s">
        <v>28</v>
      </c>
      <c r="E912" s="110"/>
      <c r="F912" s="110"/>
      <c r="G912" s="110"/>
      <c r="H912" s="110"/>
      <c r="I912" s="110"/>
      <c r="J912" s="110"/>
      <c r="K912" s="111"/>
      <c r="L912" s="137" t="s">
        <v>29</v>
      </c>
      <c r="M912" s="138">
        <v>0.05</v>
      </c>
      <c r="N912" s="139">
        <f>SUM(P898:P911)</f>
        <v>54645.62000000001</v>
      </c>
      <c r="O912" s="140"/>
      <c r="P912" s="118">
        <f>ROUND(N912*M912,2)</f>
        <v>2732.28</v>
      </c>
      <c r="Q912" s="119"/>
      <c r="R912" s="4"/>
    </row>
    <row r="913" spans="1:18" ht="15.75" thickBot="1">
      <c r="A913" s="1">
        <f t="shared" si="31"/>
        <v>0</v>
      </c>
      <c r="B913" s="2"/>
      <c r="C913" s="8"/>
      <c r="D913" s="128" t="s">
        <v>24</v>
      </c>
      <c r="E913" s="129"/>
      <c r="F913" s="129"/>
      <c r="G913" s="129"/>
      <c r="H913" s="129"/>
      <c r="I913" s="129"/>
      <c r="J913" s="129"/>
      <c r="K913" s="129"/>
      <c r="L913" s="129"/>
      <c r="M913" s="129"/>
      <c r="N913" s="129"/>
      <c r="O913" s="130"/>
      <c r="P913" s="131">
        <f>SUM(P898:P912)</f>
        <v>57377.900000000009</v>
      </c>
      <c r="Q913" s="119"/>
      <c r="R913" s="4"/>
    </row>
    <row r="914" spans="1:18" ht="15.75" thickBot="1">
      <c r="A914" s="1">
        <f t="shared" si="31"/>
        <v>0</v>
      </c>
      <c r="B914" s="2"/>
      <c r="C914" s="8"/>
      <c r="D914" s="74" t="s">
        <v>30</v>
      </c>
      <c r="E914" s="37"/>
      <c r="F914" s="37"/>
      <c r="G914" s="37"/>
      <c r="H914" s="37"/>
      <c r="I914" s="37"/>
      <c r="J914" s="37"/>
      <c r="K914" s="37"/>
      <c r="L914" s="37"/>
      <c r="M914" s="37"/>
      <c r="N914" s="37"/>
      <c r="O914" s="37"/>
      <c r="P914" s="99"/>
      <c r="Q914" s="100"/>
      <c r="R914" s="4"/>
    </row>
    <row r="915" spans="1:18">
      <c r="A915" s="1">
        <f t="shared" si="31"/>
        <v>0</v>
      </c>
      <c r="B915" s="2"/>
      <c r="C915" s="8"/>
      <c r="D915" s="101" t="s">
        <v>31</v>
      </c>
      <c r="E915" s="133"/>
      <c r="F915" s="133"/>
      <c r="G915" s="133"/>
      <c r="H915" s="133"/>
      <c r="I915" s="133"/>
      <c r="J915" s="133"/>
      <c r="K915" s="106" t="s">
        <v>32</v>
      </c>
      <c r="L915" s="141" t="s">
        <v>33</v>
      </c>
      <c r="M915" s="106" t="s">
        <v>34</v>
      </c>
      <c r="N915" s="104" t="s">
        <v>20</v>
      </c>
      <c r="O915" s="105"/>
      <c r="P915" s="107" t="s">
        <v>22</v>
      </c>
      <c r="Q915" s="108"/>
      <c r="R915" s="4"/>
    </row>
    <row r="916" spans="1:18">
      <c r="A916" s="1">
        <f t="shared" si="31"/>
        <v>0</v>
      </c>
      <c r="B916" s="2"/>
      <c r="C916" s="8"/>
      <c r="D916" s="142" t="str">
        <f>IFERROR(INDEX([239]TRANSPORTES!B:B,MATCH(B916,[239]TRANSPORTES!A:A,0)),"")</f>
        <v/>
      </c>
      <c r="E916" s="143"/>
      <c r="F916" s="143"/>
      <c r="G916" s="143"/>
      <c r="H916" s="143"/>
      <c r="I916" s="143"/>
      <c r="J916" s="143"/>
      <c r="K916" s="220"/>
      <c r="L916" s="145"/>
      <c r="M916" s="146" t="str">
        <f>IFERROR(INDEX([239]TRANSPORTES!C:C,MATCH(B916,[239]TRANSPORTES!A:A,0)),"")</f>
        <v/>
      </c>
      <c r="N916" s="139" t="str">
        <f>IFERROR(INDEX([239]TRANSPORTES!D:D,MATCH(B916,[239]TRANSPORTES!A:A,0)),"")</f>
        <v/>
      </c>
      <c r="O916" s="147"/>
      <c r="P916" s="148" t="str">
        <f>IFERROR(ROUND(K916*N916*L916,2),"")</f>
        <v/>
      </c>
      <c r="Q916" s="119"/>
      <c r="R916" s="4"/>
    </row>
    <row r="917" spans="1:18">
      <c r="A917" s="1">
        <f t="shared" si="31"/>
        <v>0</v>
      </c>
      <c r="B917" s="2"/>
      <c r="C917" s="8"/>
      <c r="D917" s="142" t="str">
        <f>IFERROR(INDEX([239]TRANSPORTES!B:B,MATCH(B917,[239]TRANSPORTES!A:A,0)),"")</f>
        <v/>
      </c>
      <c r="E917" s="143"/>
      <c r="F917" s="143"/>
      <c r="G917" s="143"/>
      <c r="H917" s="143"/>
      <c r="I917" s="143"/>
      <c r="J917" s="143"/>
      <c r="K917" s="144"/>
      <c r="L917" s="145"/>
      <c r="M917" s="146" t="str">
        <f>IFERROR(INDEX([239]TRANSPORTES!C:C,MATCH(B917,[239]TRANSPORTES!A:A,0)),"")</f>
        <v/>
      </c>
      <c r="N917" s="139" t="str">
        <f>IFERROR(INDEX([239]TRANSPORTES!D:D,MATCH(B917,[239]TRANSPORTES!A:A,0)),"")</f>
        <v/>
      </c>
      <c r="O917" s="147"/>
      <c r="P917" s="148" t="str">
        <f>IFERROR(ROUND(K917*N917*L917,2),"")</f>
        <v/>
      </c>
      <c r="Q917" s="119"/>
      <c r="R917" s="4"/>
    </row>
    <row r="918" spans="1:18">
      <c r="A918" s="1">
        <f t="shared" si="31"/>
        <v>0</v>
      </c>
      <c r="B918" s="2"/>
      <c r="C918" s="8"/>
      <c r="D918" s="142" t="str">
        <f>IFERROR(INDEX([239]TRANSPORTES!B:B,MATCH(B918,[239]TRANSPORTES!A:A,0)),"")</f>
        <v/>
      </c>
      <c r="E918" s="143"/>
      <c r="F918" s="143"/>
      <c r="G918" s="143"/>
      <c r="H918" s="143"/>
      <c r="I918" s="143"/>
      <c r="J918" s="143"/>
      <c r="K918" s="144"/>
      <c r="L918" s="145"/>
      <c r="M918" s="146" t="str">
        <f>IFERROR(INDEX([239]TRANSPORTES!C:C,MATCH(B918,[239]TRANSPORTES!A:A,0)),"")</f>
        <v/>
      </c>
      <c r="N918" s="139" t="str">
        <f>IFERROR(INDEX([239]TRANSPORTES!D:D,MATCH(B918,[239]TRANSPORTES!A:A,0)),"")</f>
        <v/>
      </c>
      <c r="O918" s="147"/>
      <c r="P918" s="148" t="str">
        <f>IFERROR(ROUND(K918*N918*L918,2),"")</f>
        <v/>
      </c>
      <c r="Q918" s="119"/>
      <c r="R918" s="4"/>
    </row>
    <row r="919" spans="1:18" ht="15.75" thickBot="1">
      <c r="A919" s="1">
        <f t="shared" si="31"/>
        <v>0</v>
      </c>
      <c r="B919" s="2"/>
      <c r="C919" s="8"/>
      <c r="D919" s="142" t="str">
        <f>IFERROR(INDEX([239]TRANSPORTES!B:B,MATCH(B919,[239]TRANSPORTES!A:A,0)),"")</f>
        <v/>
      </c>
      <c r="E919" s="143"/>
      <c r="F919" s="143"/>
      <c r="G919" s="143"/>
      <c r="H919" s="143"/>
      <c r="I919" s="143"/>
      <c r="J919" s="143"/>
      <c r="K919" s="149"/>
      <c r="L919" s="150"/>
      <c r="M919" s="146" t="str">
        <f>IFERROR(INDEX([239]TRANSPORTES!C:C,MATCH(B919,[239]TRANSPORTES!A:A,0)),"")</f>
        <v/>
      </c>
      <c r="N919" s="139" t="str">
        <f>IFERROR(INDEX([239]TRANSPORTES!D:D,MATCH(B919,[239]TRANSPORTES!A:A,0)),"")</f>
        <v/>
      </c>
      <c r="O919" s="147"/>
      <c r="P919" s="148" t="str">
        <f>IFERROR(ROUND(K919*N919*L919,2),"")</f>
        <v/>
      </c>
      <c r="Q919" s="119"/>
      <c r="R919" s="4"/>
    </row>
    <row r="920" spans="1:18" ht="15.75" thickBot="1">
      <c r="A920" s="1">
        <f t="shared" si="31"/>
        <v>0</v>
      </c>
      <c r="B920" s="2"/>
      <c r="C920" s="8"/>
      <c r="D920" s="128" t="s">
        <v>24</v>
      </c>
      <c r="E920" s="129"/>
      <c r="F920" s="129"/>
      <c r="G920" s="129"/>
      <c r="H920" s="129"/>
      <c r="I920" s="129"/>
      <c r="J920" s="129"/>
      <c r="K920" s="129"/>
      <c r="L920" s="129"/>
      <c r="M920" s="129"/>
      <c r="N920" s="129"/>
      <c r="O920" s="130"/>
      <c r="P920" s="151">
        <f>SUM(P916:P919)</f>
        <v>0</v>
      </c>
      <c r="Q920" s="132"/>
      <c r="R920" s="4"/>
    </row>
    <row r="921" spans="1:18" ht="15.75" thickBot="1">
      <c r="A921" s="1">
        <f t="shared" si="31"/>
        <v>0</v>
      </c>
      <c r="B921" s="2"/>
      <c r="C921" s="8"/>
      <c r="D921" s="74" t="s">
        <v>36</v>
      </c>
      <c r="E921" s="37"/>
      <c r="F921" s="37"/>
      <c r="G921" s="37"/>
      <c r="H921" s="37"/>
      <c r="I921" s="37"/>
      <c r="J921" s="37"/>
      <c r="K921" s="37"/>
      <c r="L921" s="37"/>
      <c r="M921" s="37"/>
      <c r="N921" s="37"/>
      <c r="O921" s="37"/>
      <c r="P921" s="99"/>
      <c r="Q921" s="100"/>
      <c r="R921" s="4"/>
    </row>
    <row r="922" spans="1:18" ht="30">
      <c r="A922" s="1">
        <f t="shared" si="31"/>
        <v>0</v>
      </c>
      <c r="B922" s="2"/>
      <c r="C922" s="8"/>
      <c r="D922" s="101" t="s">
        <v>37</v>
      </c>
      <c r="E922" s="133"/>
      <c r="F922" s="133"/>
      <c r="G922" s="133"/>
      <c r="H922" s="133"/>
      <c r="I922" s="133"/>
      <c r="J922" s="133"/>
      <c r="K922" s="106" t="s">
        <v>38</v>
      </c>
      <c r="L922" s="152" t="s">
        <v>39</v>
      </c>
      <c r="M922" s="153" t="s">
        <v>40</v>
      </c>
      <c r="N922" s="104" t="s">
        <v>21</v>
      </c>
      <c r="O922" s="105"/>
      <c r="P922" s="154" t="s">
        <v>22</v>
      </c>
      <c r="Q922" s="155"/>
      <c r="R922" s="4"/>
    </row>
    <row r="923" spans="1:18">
      <c r="A923" s="1">
        <f t="shared" si="31"/>
        <v>0</v>
      </c>
      <c r="B923" s="2" t="s">
        <v>41</v>
      </c>
      <c r="C923" s="8"/>
      <c r="D923" s="109" t="str">
        <f>IFERROR(INDEX('[239]MANO DE OBRA'!B:B,MATCH(B923,'[239]MANO DE OBRA'!A:A,0)),"")</f>
        <v>OFICIAL</v>
      </c>
      <c r="E923" s="110"/>
      <c r="F923" s="110"/>
      <c r="G923" s="110"/>
      <c r="H923" s="110"/>
      <c r="I923" s="110"/>
      <c r="J923" s="111"/>
      <c r="K923" s="156">
        <f>IFERROR(INDEX('[239]MANO DE OBRA'!D:D,MATCH(B923,'[239]MANO DE OBRA'!A:A,0)),"")</f>
        <v>95930</v>
      </c>
      <c r="L923" s="157">
        <f>+IF(D923&lt;&gt;"",'[239]FACTOR PRESTACIONAL'!$E$21," ")</f>
        <v>1.95</v>
      </c>
      <c r="M923" s="158">
        <f>IFERROR(K923*L923," ")</f>
        <v>187063.5</v>
      </c>
      <c r="N923" s="159">
        <f>ROUND(8/1.2,2)</f>
        <v>6.67</v>
      </c>
      <c r="O923" s="160"/>
      <c r="P923" s="161">
        <f>IFERROR(ROUND(M923/N923,2)," ")</f>
        <v>28045.5</v>
      </c>
      <c r="Q923" s="162"/>
      <c r="R923" s="4"/>
    </row>
    <row r="924" spans="1:18">
      <c r="A924" s="1">
        <f t="shared" si="31"/>
        <v>0</v>
      </c>
      <c r="B924" s="2" t="s">
        <v>81</v>
      </c>
      <c r="C924" s="8"/>
      <c r="D924" s="109" t="str">
        <f>IFERROR(INDEX('[239]MANO DE OBRA'!B:B,MATCH(B924,'[239]MANO DE OBRA'!A:A,0)),"")</f>
        <v>AYUDANTE (1)</v>
      </c>
      <c r="E924" s="110"/>
      <c r="F924" s="110"/>
      <c r="G924" s="110"/>
      <c r="H924" s="110"/>
      <c r="I924" s="110"/>
      <c r="J924" s="111"/>
      <c r="K924" s="156">
        <f>IFERROR(INDEX('[239]MANO DE OBRA'!D:D,MATCH(B924,'[239]MANO DE OBRA'!A:A,0)),"")</f>
        <v>71433</v>
      </c>
      <c r="L924" s="157">
        <f>+IF(D924&lt;&gt;"",'[239]FACTOR PRESTACIONAL'!$E$21," ")</f>
        <v>1.95</v>
      </c>
      <c r="M924" s="158">
        <f>IFERROR(K924*L924," ")</f>
        <v>139294.35</v>
      </c>
      <c r="N924" s="159">
        <f>ROUND(8/1.2,2)</f>
        <v>6.67</v>
      </c>
      <c r="O924" s="160"/>
      <c r="P924" s="161">
        <f>IFERROR(ROUND(M924/N924,2)," ")</f>
        <v>20883.71</v>
      </c>
      <c r="Q924" s="162"/>
      <c r="R924" s="4"/>
    </row>
    <row r="925" spans="1:18">
      <c r="A925" s="1">
        <f t="shared" si="31"/>
        <v>0</v>
      </c>
      <c r="B925" s="2"/>
      <c r="C925" s="8"/>
      <c r="D925" s="109" t="str">
        <f>IFERROR(INDEX('[239]MANO DE OBRA'!B:B,MATCH(B925,'[239]MANO DE OBRA'!A:A,0)),"")</f>
        <v/>
      </c>
      <c r="E925" s="110"/>
      <c r="F925" s="110"/>
      <c r="G925" s="110"/>
      <c r="H925" s="110"/>
      <c r="I925" s="110"/>
      <c r="J925" s="111"/>
      <c r="K925" s="156" t="str">
        <f>IFERROR(INDEX('[239]MANO DE OBRA'!D:D,MATCH(B925,'[239]MANO DE OBRA'!A:A,0)),"")</f>
        <v/>
      </c>
      <c r="L925" s="157" t="str">
        <f>+IF(D925&lt;&gt;"",'[239]FACTOR PRESTACIONAL'!$E$21," ")</f>
        <v xml:space="preserve"> </v>
      </c>
      <c r="M925" s="158" t="str">
        <f>IFERROR(K925*L925," ")</f>
        <v xml:space="preserve"> </v>
      </c>
      <c r="N925" s="159"/>
      <c r="O925" s="160"/>
      <c r="P925" s="161" t="str">
        <f>IFERROR(ROUND(M925/N925,2)," ")</f>
        <v xml:space="preserve"> </v>
      </c>
      <c r="Q925" s="162"/>
      <c r="R925" s="4"/>
    </row>
    <row r="926" spans="1:18">
      <c r="A926" s="1">
        <f t="shared" si="31"/>
        <v>0</v>
      </c>
      <c r="B926" s="2"/>
      <c r="C926" s="8"/>
      <c r="D926" s="109" t="str">
        <f>IFERROR(INDEX('[239]MANO DE OBRA'!B:B,MATCH(B926,'[239]MANO DE OBRA'!A:A,0)),"")</f>
        <v/>
      </c>
      <c r="E926" s="110"/>
      <c r="F926" s="110"/>
      <c r="G926" s="110"/>
      <c r="H926" s="110"/>
      <c r="I926" s="110"/>
      <c r="J926" s="111"/>
      <c r="K926" s="156" t="str">
        <f>IFERROR(INDEX('[239]MANO DE OBRA'!D:D,MATCH(B926,'[239]MANO DE OBRA'!A:A,0)),"")</f>
        <v/>
      </c>
      <c r="L926" s="157" t="str">
        <f>+IF(D926&lt;&gt;"",'[239]FACTOR PRESTACIONAL'!$E$21," ")</f>
        <v xml:space="preserve"> </v>
      </c>
      <c r="M926" s="158" t="str">
        <f>IFERROR(K926*L926," ")</f>
        <v xml:space="preserve"> </v>
      </c>
      <c r="N926" s="159"/>
      <c r="O926" s="160"/>
      <c r="P926" s="161" t="str">
        <f>IFERROR(ROUND(M926/N926,2)," ")</f>
        <v xml:space="preserve"> </v>
      </c>
      <c r="Q926" s="162"/>
      <c r="R926" s="4"/>
    </row>
    <row r="927" spans="1:18" ht="15.75" thickBot="1">
      <c r="A927" s="1">
        <f t="shared" si="31"/>
        <v>0</v>
      </c>
      <c r="B927" s="2"/>
      <c r="C927" s="8"/>
      <c r="D927" s="109" t="str">
        <f>IFERROR(INDEX('[239]MANO DE OBRA'!B:B,MATCH(B927,'[239]MANO DE OBRA'!A:A,0)),"")</f>
        <v/>
      </c>
      <c r="E927" s="110"/>
      <c r="F927" s="110"/>
      <c r="G927" s="110"/>
      <c r="H927" s="110"/>
      <c r="I927" s="110"/>
      <c r="J927" s="111"/>
      <c r="K927" s="156" t="str">
        <f>IFERROR(INDEX('[239]MANO DE OBRA'!D:D,MATCH(B927,'[239]MANO DE OBRA'!A:A,0)),"")</f>
        <v/>
      </c>
      <c r="L927" s="157" t="str">
        <f>+IF(D927&lt;&gt;"",'[239]FACTOR PRESTACIONAL'!$E$21," ")</f>
        <v xml:space="preserve"> </v>
      </c>
      <c r="M927" s="158" t="str">
        <f>IFERROR(K927*L927," ")</f>
        <v xml:space="preserve"> </v>
      </c>
      <c r="N927" s="159"/>
      <c r="O927" s="160"/>
      <c r="P927" s="161" t="str">
        <f>IFERROR(ROUND(M927/N927,2)," ")</f>
        <v xml:space="preserve"> </v>
      </c>
      <c r="Q927" s="119"/>
      <c r="R927" s="4"/>
    </row>
    <row r="928" spans="1:18" ht="15.75" thickBot="1">
      <c r="A928" s="1">
        <f t="shared" si="31"/>
        <v>0</v>
      </c>
      <c r="B928" s="2"/>
      <c r="C928" s="8"/>
      <c r="D928" s="128" t="s">
        <v>24</v>
      </c>
      <c r="E928" s="129"/>
      <c r="F928" s="129"/>
      <c r="G928" s="129"/>
      <c r="H928" s="129"/>
      <c r="I928" s="129"/>
      <c r="J928" s="129"/>
      <c r="K928" s="129"/>
      <c r="L928" s="129"/>
      <c r="M928" s="129"/>
      <c r="N928" s="129"/>
      <c r="O928" s="130"/>
      <c r="P928" s="131">
        <f>SUM(P923:P927)</f>
        <v>48929.21</v>
      </c>
      <c r="Q928" s="119"/>
      <c r="R928" s="4"/>
    </row>
    <row r="929" spans="1:18" ht="15.75" thickBot="1">
      <c r="A929" s="1">
        <f t="shared" si="31"/>
        <v>0</v>
      </c>
      <c r="B929" s="2"/>
      <c r="C929" s="8"/>
      <c r="D929" s="87"/>
      <c r="E929" s="20"/>
      <c r="F929" s="20"/>
      <c r="G929" s="20"/>
      <c r="H929" s="20"/>
      <c r="I929" s="20"/>
      <c r="J929" s="20"/>
      <c r="K929" s="20"/>
      <c r="L929" s="20"/>
      <c r="M929" s="20"/>
      <c r="N929" s="20"/>
      <c r="O929" s="20"/>
      <c r="P929" s="88"/>
      <c r="Q929" s="13"/>
      <c r="R929" s="4"/>
    </row>
    <row r="930" spans="1:18" ht="15.75" thickBot="1">
      <c r="A930" s="1"/>
      <c r="B930" s="2"/>
      <c r="C930" s="8"/>
      <c r="D930" s="163" t="s">
        <v>43</v>
      </c>
      <c r="E930" s="164"/>
      <c r="F930" s="164"/>
      <c r="G930" s="164"/>
      <c r="H930" s="164"/>
      <c r="I930" s="164"/>
      <c r="J930" s="164"/>
      <c r="K930" s="164"/>
      <c r="L930" s="164"/>
      <c r="M930" s="164"/>
      <c r="N930" s="164"/>
      <c r="O930" s="165"/>
      <c r="P930" s="166">
        <f>+P928+P920+P913+P895</f>
        <v>111200.03000000001</v>
      </c>
      <c r="Q930" s="167"/>
      <c r="R930" s="168"/>
    </row>
    <row r="931" spans="1:18" ht="15.75" thickBot="1">
      <c r="A931" s="1"/>
      <c r="B931" s="2"/>
      <c r="C931" s="8"/>
      <c r="D931" s="169"/>
      <c r="E931" s="170"/>
      <c r="F931" s="170"/>
      <c r="G931" s="170"/>
      <c r="H931" s="170"/>
      <c r="I931" s="170"/>
      <c r="J931" s="170"/>
      <c r="K931" s="170"/>
      <c r="L931" s="170"/>
      <c r="M931" s="170"/>
      <c r="N931" s="170"/>
      <c r="O931" s="170"/>
      <c r="P931" s="171"/>
      <c r="Q931" s="100"/>
      <c r="R931" s="4"/>
    </row>
    <row r="932" spans="1:18">
      <c r="A932" s="1"/>
      <c r="B932" s="2"/>
      <c r="C932" s="8"/>
      <c r="D932" s="172" t="s">
        <v>73</v>
      </c>
      <c r="E932" s="173"/>
      <c r="F932" s="173"/>
      <c r="G932" s="173"/>
      <c r="H932" s="173"/>
      <c r="I932" s="173"/>
      <c r="J932" s="173"/>
      <c r="K932" s="141"/>
      <c r="L932" s="174"/>
      <c r="M932" s="153" t="s">
        <v>44</v>
      </c>
      <c r="N932" s="175" t="s">
        <v>45</v>
      </c>
      <c r="O932" s="176"/>
      <c r="P932" s="154"/>
      <c r="Q932" s="155"/>
      <c r="R932" s="4"/>
    </row>
    <row r="933" spans="1:18">
      <c r="A933" s="1"/>
      <c r="B933" s="2"/>
      <c r="C933" s="8"/>
      <c r="D933" s="109" t="s">
        <v>65</v>
      </c>
      <c r="E933" s="110"/>
      <c r="F933" s="110"/>
      <c r="G933" s="110"/>
      <c r="H933" s="110"/>
      <c r="I933" s="110"/>
      <c r="J933" s="110"/>
      <c r="K933" s="177"/>
      <c r="L933" s="178"/>
      <c r="M933" s="179">
        <f>+[239]INICIO!$F$10</f>
        <v>0.24</v>
      </c>
      <c r="N933" s="180">
        <f>ROUND(M933*P930,2)</f>
        <v>26688.01</v>
      </c>
      <c r="O933" s="181"/>
      <c r="P933" s="182"/>
      <c r="Q933" s="119"/>
      <c r="R933" s="4"/>
    </row>
    <row r="934" spans="1:18">
      <c r="A934" s="1"/>
      <c r="B934" s="2"/>
      <c r="C934" s="8"/>
      <c r="D934" s="183" t="s">
        <v>67</v>
      </c>
      <c r="E934" s="61"/>
      <c r="F934" s="61"/>
      <c r="G934" s="61"/>
      <c r="H934" s="61"/>
      <c r="I934" s="61"/>
      <c r="J934" s="61"/>
      <c r="K934" s="177"/>
      <c r="L934" s="178"/>
      <c r="M934" s="179">
        <f>+[239]INICIO!$F$11</f>
        <v>0.02</v>
      </c>
      <c r="N934" s="180">
        <f>ROUND(M934*P930,2)</f>
        <v>2224</v>
      </c>
      <c r="O934" s="181"/>
      <c r="P934" s="182"/>
      <c r="Q934" s="119"/>
      <c r="R934" s="4"/>
    </row>
    <row r="935" spans="1:18" ht="15.75" thickBot="1">
      <c r="A935" s="1"/>
      <c r="B935" s="2"/>
      <c r="C935" s="8"/>
      <c r="D935" s="77" t="s">
        <v>69</v>
      </c>
      <c r="E935" s="78"/>
      <c r="F935" s="78"/>
      <c r="G935" s="78"/>
      <c r="H935" s="78"/>
      <c r="I935" s="78"/>
      <c r="J935" s="78"/>
      <c r="K935" s="184"/>
      <c r="L935" s="185"/>
      <c r="M935" s="179">
        <f>+[239]INICIO!$F$12</f>
        <v>7.0000000000000007E-2</v>
      </c>
      <c r="N935" s="180">
        <f>ROUND(M935*P930,2)</f>
        <v>7784</v>
      </c>
      <c r="O935" s="181"/>
      <c r="P935" s="182"/>
      <c r="Q935" s="119"/>
      <c r="R935" s="4"/>
    </row>
    <row r="936" spans="1:18" ht="15.75" thickBot="1">
      <c r="A936" s="1"/>
      <c r="B936" s="2"/>
      <c r="C936" s="8"/>
      <c r="D936" s="128"/>
      <c r="E936" s="129"/>
      <c r="F936" s="129"/>
      <c r="G936" s="129"/>
      <c r="H936" s="129"/>
      <c r="I936" s="129"/>
      <c r="J936" s="129"/>
      <c r="K936" s="129"/>
      <c r="L936" s="129"/>
      <c r="M936" s="129"/>
      <c r="N936" s="129"/>
      <c r="O936" s="130"/>
      <c r="P936" s="131">
        <f>SUM(N933:N935)</f>
        <v>36696.009999999995</v>
      </c>
      <c r="Q936" s="186"/>
      <c r="R936" s="4"/>
    </row>
    <row r="937" spans="1:18" ht="15.75" thickBot="1">
      <c r="A937" s="1"/>
      <c r="B937" s="2"/>
      <c r="C937" s="8"/>
      <c r="D937" s="87"/>
      <c r="E937" s="20"/>
      <c r="F937" s="20"/>
      <c r="G937" s="20"/>
      <c r="H937" s="20"/>
      <c r="I937" s="20"/>
      <c r="J937" s="20"/>
      <c r="K937" s="20"/>
      <c r="L937" s="20"/>
      <c r="M937" s="20"/>
      <c r="N937" s="20"/>
      <c r="O937" s="20"/>
      <c r="P937" s="88"/>
      <c r="Q937" s="13"/>
      <c r="R937" s="4"/>
    </row>
    <row r="938" spans="1:18" ht="15.75" thickBot="1">
      <c r="A938" s="1"/>
      <c r="B938" s="2"/>
      <c r="C938" s="8"/>
      <c r="D938" s="187" t="s">
        <v>46</v>
      </c>
      <c r="E938" s="188"/>
      <c r="F938" s="188"/>
      <c r="G938" s="188"/>
      <c r="H938" s="188"/>
      <c r="I938" s="188"/>
      <c r="J938" s="188"/>
      <c r="K938" s="188"/>
      <c r="L938" s="188"/>
      <c r="M938" s="188"/>
      <c r="N938" s="188"/>
      <c r="O938" s="189"/>
      <c r="P938" s="166">
        <f>ROUND(P936+P930,0)</f>
        <v>147896</v>
      </c>
      <c r="Q938" s="186"/>
      <c r="R938" s="4"/>
    </row>
    <row r="939" spans="1:18">
      <c r="A939" s="1"/>
      <c r="B939" s="2"/>
      <c r="C939" s="8"/>
      <c r="D939" s="80"/>
      <c r="E939" s="81"/>
      <c r="F939" s="81"/>
      <c r="G939" s="81"/>
      <c r="H939" s="81"/>
      <c r="I939" s="81"/>
      <c r="J939" s="81"/>
      <c r="K939" s="81"/>
      <c r="L939" s="81"/>
      <c r="M939" s="81"/>
      <c r="N939" s="81"/>
      <c r="O939" s="81"/>
      <c r="P939" s="82"/>
      <c r="Q939" s="13"/>
      <c r="R939" s="4"/>
    </row>
    <row r="940" spans="1:18">
      <c r="A940" s="1"/>
      <c r="B940" s="2"/>
      <c r="C940" s="8"/>
      <c r="D940" s="87"/>
      <c r="E940" s="20"/>
      <c r="F940" s="20"/>
      <c r="G940" s="20"/>
      <c r="H940" s="20"/>
      <c r="I940" s="20"/>
      <c r="J940" s="20"/>
      <c r="K940" s="20"/>
      <c r="L940" s="20"/>
      <c r="M940" s="20"/>
      <c r="N940" s="20"/>
      <c r="O940" s="20"/>
      <c r="P940" s="88"/>
      <c r="Q940" s="13"/>
      <c r="R940" s="4"/>
    </row>
    <row r="941" spans="1:18">
      <c r="A941" s="1"/>
      <c r="B941" s="2"/>
      <c r="C941" s="8"/>
      <c r="D941" s="87"/>
      <c r="E941" s="20"/>
      <c r="F941" s="20"/>
      <c r="G941" s="20"/>
      <c r="H941" s="20"/>
      <c r="I941" s="20"/>
      <c r="J941" s="20"/>
      <c r="K941" s="20"/>
      <c r="L941" s="20"/>
      <c r="M941" s="20"/>
      <c r="N941" s="20"/>
      <c r="O941" s="20"/>
      <c r="P941" s="88"/>
      <c r="Q941" s="13"/>
      <c r="R941" s="4"/>
    </row>
    <row r="942" spans="1:18">
      <c r="A942" s="1"/>
      <c r="B942" s="2"/>
      <c r="C942" s="8"/>
      <c r="D942" s="87"/>
      <c r="E942" s="20"/>
      <c r="F942" s="20"/>
      <c r="G942" s="20"/>
      <c r="H942" s="20"/>
      <c r="I942" s="20"/>
      <c r="J942" s="20"/>
      <c r="K942" s="20"/>
      <c r="L942" s="20"/>
      <c r="M942" s="20"/>
      <c r="N942" s="20"/>
      <c r="O942" s="20"/>
      <c r="P942" s="88"/>
      <c r="Q942" s="13"/>
      <c r="R942" s="4"/>
    </row>
    <row r="943" spans="1:18">
      <c r="A943" s="1"/>
      <c r="B943" s="2"/>
      <c r="C943" s="8"/>
      <c r="D943" s="219" t="str">
        <f>+[239]INICIO!$B$13</f>
        <v>Proyectó:</v>
      </c>
      <c r="E943" s="49"/>
      <c r="F943" s="49"/>
      <c r="G943" s="49"/>
      <c r="H943" s="49"/>
      <c r="I943" s="49"/>
      <c r="J943" s="49"/>
      <c r="K943" s="20"/>
      <c r="L943" s="69" t="str">
        <f>+[239]INICIO!$B$16</f>
        <v>Aprobó:</v>
      </c>
      <c r="M943" s="49"/>
      <c r="N943" s="49"/>
      <c r="O943" s="49"/>
      <c r="P943" s="88"/>
      <c r="Q943" s="13"/>
      <c r="R943" s="4"/>
    </row>
    <row r="944" spans="1:18">
      <c r="A944" s="1"/>
      <c r="B944" s="2"/>
      <c r="C944" s="8"/>
      <c r="D944" s="87"/>
      <c r="E944" s="20" t="str">
        <f>+Hoja2!C$13</f>
        <v>HELMER EDUARDO BECERRA SANTANDER</v>
      </c>
      <c r="F944" s="20"/>
      <c r="G944" s="20"/>
      <c r="H944" s="20"/>
      <c r="I944" s="20"/>
      <c r="J944" s="20"/>
      <c r="K944" s="20"/>
      <c r="L944" s="20"/>
      <c r="M944" s="20" t="str">
        <f>+Hoja2!$C$16</f>
        <v>JESÚS IVÁN QUIÑONES RUEDA</v>
      </c>
      <c r="N944" s="20"/>
      <c r="O944" s="20"/>
      <c r="P944" s="88"/>
      <c r="Q944" s="190"/>
      <c r="R944" s="4"/>
    </row>
    <row r="945" spans="1:18">
      <c r="A945" s="1"/>
      <c r="B945" s="2"/>
      <c r="C945" s="8"/>
      <c r="D945" s="87"/>
      <c r="E945" s="20" t="str">
        <f>+Hoja2!C$14</f>
        <v>APOYO SEC. DE PLANEACIÓN Y OBRAS PÚBLICAS</v>
      </c>
      <c r="F945" s="20"/>
      <c r="G945" s="20"/>
      <c r="H945" s="20"/>
      <c r="I945" s="20"/>
      <c r="J945" s="20"/>
      <c r="K945" s="20"/>
      <c r="L945" s="20"/>
      <c r="M945" s="20" t="str">
        <f>+Hoja2!$C$17</f>
        <v>SECRETARIO DE PLANEACIÓN Y OBRAS PUBLICAS</v>
      </c>
      <c r="N945" s="20"/>
      <c r="O945" s="20"/>
      <c r="P945" s="88"/>
      <c r="Q945" s="190"/>
      <c r="R945" s="4"/>
    </row>
    <row r="946" spans="1:18">
      <c r="A946" s="1"/>
      <c r="B946" s="2"/>
      <c r="C946" s="8"/>
      <c r="D946" s="68"/>
      <c r="E946" s="20" t="str">
        <f>+Hoja2!C$15</f>
        <v>123769-0701671 NTS</v>
      </c>
      <c r="F946" s="191"/>
      <c r="G946" s="191"/>
      <c r="H946" s="191"/>
      <c r="I946" s="20"/>
      <c r="J946" s="191"/>
      <c r="K946" s="191"/>
      <c r="L946" s="191"/>
      <c r="M946" s="192" t="str">
        <f>+Hoja2!C$18</f>
        <v>A21382020-1090480860</v>
      </c>
      <c r="N946" s="191"/>
      <c r="O946" s="191"/>
      <c r="P946" s="193"/>
      <c r="Q946" s="194"/>
      <c r="R946" s="4"/>
    </row>
    <row r="947" spans="1:18" ht="16.5" thickBot="1">
      <c r="A947" s="1"/>
      <c r="B947" s="2"/>
      <c r="C947" s="8"/>
      <c r="D947" s="195"/>
      <c r="E947" s="150"/>
      <c r="F947" s="150"/>
      <c r="G947" s="150"/>
      <c r="H947" s="150"/>
      <c r="I947" s="150"/>
      <c r="J947" s="150"/>
      <c r="K947" s="150"/>
      <c r="L947" s="150"/>
      <c r="M947" s="150"/>
      <c r="N947" s="150"/>
      <c r="O947" s="150"/>
      <c r="P947" s="196"/>
      <c r="Q947" s="197"/>
      <c r="R947" s="4"/>
    </row>
    <row r="948" spans="1:18" ht="15.75" thickBot="1">
      <c r="A948" s="1"/>
      <c r="B948" s="2"/>
      <c r="C948" s="198"/>
      <c r="D948" s="199"/>
      <c r="E948" s="199"/>
      <c r="F948" s="199"/>
      <c r="G948" s="199"/>
      <c r="H948" s="199"/>
      <c r="I948" s="199"/>
      <c r="J948" s="199"/>
      <c r="K948" s="199"/>
      <c r="L948" s="199"/>
      <c r="M948" s="199"/>
      <c r="N948" s="199"/>
      <c r="O948" s="199"/>
      <c r="P948" s="199"/>
      <c r="Q948" s="200"/>
      <c r="R948" s="4"/>
    </row>
    <row r="949" spans="1:18" ht="15.75" thickTop="1"/>
    <row r="950" spans="1:18" ht="15.75" thickBot="1"/>
    <row r="951" spans="1:18" ht="15.75" thickTop="1">
      <c r="A951" s="1"/>
      <c r="B951" s="2"/>
      <c r="C951" s="5"/>
      <c r="D951" s="6"/>
      <c r="E951" s="6"/>
      <c r="F951" s="6"/>
      <c r="G951" s="6"/>
      <c r="H951" s="6"/>
      <c r="I951" s="6"/>
      <c r="J951" s="6"/>
      <c r="K951" s="6"/>
      <c r="L951" s="6"/>
      <c r="M951" s="6"/>
      <c r="N951" s="6"/>
      <c r="O951" s="6"/>
      <c r="P951" s="6"/>
      <c r="Q951" s="7"/>
      <c r="R951" s="4"/>
    </row>
    <row r="952" spans="1:18" ht="24">
      <c r="A952" s="1"/>
      <c r="B952" s="2"/>
      <c r="C952" s="8"/>
      <c r="D952" s="9" t="str">
        <f>+[239]INICIO!$C$8</f>
        <v>Análisis de Precios Unitarios- Secretaria de Planeación y Obras Publicas de Cubará, Boyacá.</v>
      </c>
      <c r="E952" s="10"/>
      <c r="F952" s="10"/>
      <c r="G952" s="10"/>
      <c r="H952" s="11"/>
      <c r="I952" s="12"/>
      <c r="J952" s="12"/>
      <c r="K952" s="12"/>
      <c r="L952" s="12"/>
      <c r="M952" s="12"/>
      <c r="N952" s="12"/>
      <c r="O952" s="12"/>
      <c r="P952" s="12"/>
      <c r="Q952" s="13"/>
      <c r="R952" s="4"/>
    </row>
    <row r="953" spans="1:18">
      <c r="A953" s="1"/>
      <c r="B953" s="2"/>
      <c r="C953" s="8"/>
      <c r="D953" s="14" t="s">
        <v>0</v>
      </c>
      <c r="E953" s="15" t="str">
        <f>+[239]INICIO!$C$7</f>
        <v>CCE-EICP-FM-14</v>
      </c>
      <c r="F953" s="16"/>
      <c r="G953" s="17" t="str">
        <f>+[239]INICIO!$B$6</f>
        <v>VERSIÓN</v>
      </c>
      <c r="H953" s="14">
        <f>+[239]INICIO!$C$6</f>
        <v>1</v>
      </c>
      <c r="I953" s="12"/>
      <c r="J953" s="12"/>
      <c r="K953" s="12"/>
      <c r="L953" s="12"/>
      <c r="M953" s="12"/>
      <c r="N953" s="12"/>
      <c r="O953" s="12"/>
      <c r="P953" s="12"/>
      <c r="Q953" s="13"/>
      <c r="R953" s="4"/>
    </row>
    <row r="954" spans="1:18">
      <c r="A954" s="1"/>
      <c r="B954" s="2"/>
      <c r="C954" s="8"/>
      <c r="D954" s="18"/>
      <c r="E954" s="19"/>
      <c r="F954" s="18"/>
      <c r="G954" s="19"/>
      <c r="H954" s="12"/>
      <c r="I954" s="12"/>
      <c r="J954" s="12"/>
      <c r="K954" s="12"/>
      <c r="L954" s="12"/>
      <c r="M954" s="12"/>
      <c r="N954" s="12"/>
      <c r="O954" s="12"/>
      <c r="P954" s="12"/>
      <c r="Q954" s="13"/>
      <c r="R954" s="4"/>
    </row>
    <row r="955" spans="1:18" ht="15.75" thickBot="1">
      <c r="A955" s="1"/>
      <c r="B955" s="2"/>
      <c r="C955" s="8"/>
      <c r="D955" s="20"/>
      <c r="E955" s="20"/>
      <c r="F955" s="20"/>
      <c r="G955" s="20"/>
      <c r="H955" s="20"/>
      <c r="I955" s="20"/>
      <c r="J955" s="20"/>
      <c r="K955" s="20"/>
      <c r="L955" s="20"/>
      <c r="M955" s="20"/>
      <c r="N955" s="20"/>
      <c r="O955" s="20"/>
      <c r="P955" s="20"/>
      <c r="Q955" s="13"/>
      <c r="R955" s="4"/>
    </row>
    <row r="956" spans="1:18">
      <c r="A956" s="1"/>
      <c r="B956" s="2"/>
      <c r="C956" s="8"/>
      <c r="D956" s="21"/>
      <c r="E956" s="22"/>
      <c r="F956" s="23"/>
      <c r="G956" s="23"/>
      <c r="H956" s="23"/>
      <c r="I956" s="23"/>
      <c r="J956" s="23"/>
      <c r="K956" s="23"/>
      <c r="L956" s="24"/>
      <c r="M956" s="25"/>
      <c r="N956" s="26"/>
      <c r="O956" s="26"/>
      <c r="P956" s="27"/>
      <c r="Q956" s="28"/>
      <c r="R956" s="4"/>
    </row>
    <row r="957" spans="1:18">
      <c r="A957" s="1"/>
      <c r="B957" s="2"/>
      <c r="C957" s="8"/>
      <c r="D957" s="29"/>
      <c r="E957" s="30" t="s">
        <v>1</v>
      </c>
      <c r="F957" s="31"/>
      <c r="G957" s="31"/>
      <c r="H957" s="31"/>
      <c r="I957" s="31"/>
      <c r="J957" s="31"/>
      <c r="K957" s="31"/>
      <c r="L957" s="32"/>
      <c r="M957" s="33"/>
      <c r="N957" s="34"/>
      <c r="O957" s="34"/>
      <c r="P957" s="35"/>
      <c r="Q957" s="28"/>
      <c r="R957" s="4"/>
    </row>
    <row r="958" spans="1:18">
      <c r="A958" s="1"/>
      <c r="B958" s="2"/>
      <c r="C958" s="8"/>
      <c r="D958" s="29"/>
      <c r="E958" s="36"/>
      <c r="F958" s="37"/>
      <c r="G958" s="37"/>
      <c r="H958" s="37"/>
      <c r="I958" s="37"/>
      <c r="J958" s="37"/>
      <c r="K958" s="37"/>
      <c r="L958" s="38"/>
      <c r="M958" s="39"/>
      <c r="N958" s="40"/>
      <c r="O958" s="41"/>
      <c r="P958" s="42"/>
      <c r="Q958" s="28"/>
      <c r="R958" s="4"/>
    </row>
    <row r="959" spans="1:18">
      <c r="A959" s="1"/>
      <c r="B959" s="2"/>
      <c r="C959" s="8"/>
      <c r="D959" s="29"/>
      <c r="E959" s="36"/>
      <c r="F959" s="37"/>
      <c r="G959" s="37"/>
      <c r="H959" s="37"/>
      <c r="I959" s="37"/>
      <c r="J959" s="37"/>
      <c r="K959" s="37"/>
      <c r="L959" s="38"/>
      <c r="M959" s="43" t="s">
        <v>2</v>
      </c>
      <c r="N959" s="44"/>
      <c r="O959" s="45">
        <f>+[239]INICIO!$C$6</f>
        <v>1</v>
      </c>
      <c r="P959" s="46"/>
      <c r="Q959" s="28"/>
      <c r="R959" s="4"/>
    </row>
    <row r="960" spans="1:18">
      <c r="A960" s="1"/>
      <c r="B960" s="2"/>
      <c r="C960" s="8"/>
      <c r="D960" s="29"/>
      <c r="E960" s="36"/>
      <c r="F960" s="37"/>
      <c r="G960" s="37"/>
      <c r="H960" s="37"/>
      <c r="I960" s="37"/>
      <c r="J960" s="37"/>
      <c r="K960" s="37"/>
      <c r="L960" s="38"/>
      <c r="M960" s="47"/>
      <c r="N960" s="48"/>
      <c r="O960" s="49"/>
      <c r="P960" s="50"/>
      <c r="Q960" s="51"/>
      <c r="R960" s="4"/>
    </row>
    <row r="961" spans="1:18">
      <c r="A961" s="1"/>
      <c r="B961" s="2"/>
      <c r="C961" s="8"/>
      <c r="D961" s="29"/>
      <c r="E961" s="52"/>
      <c r="F961" s="53"/>
      <c r="G961" s="53"/>
      <c r="H961" s="53"/>
      <c r="I961" s="53"/>
      <c r="J961" s="53"/>
      <c r="K961" s="53"/>
      <c r="L961" s="54"/>
      <c r="M961" s="39"/>
      <c r="N961" s="55"/>
      <c r="O961" s="55"/>
      <c r="P961" s="56"/>
      <c r="Q961" s="28"/>
      <c r="R961" s="4"/>
    </row>
    <row r="962" spans="1:18">
      <c r="A962" s="1"/>
      <c r="B962" s="2"/>
      <c r="C962" s="8"/>
      <c r="D962" s="29"/>
      <c r="E962" s="52"/>
      <c r="F962" s="53"/>
      <c r="G962" s="53"/>
      <c r="H962" s="53"/>
      <c r="I962" s="53"/>
      <c r="J962" s="53"/>
      <c r="K962" s="53"/>
      <c r="L962" s="54"/>
      <c r="M962" s="43" t="s">
        <v>3</v>
      </c>
      <c r="N962" s="43" t="str">
        <f>+VLOOKUP(D973,'PRESUPUESTO OFICIAL '!C:Q,9,FALSE)</f>
        <v>48</v>
      </c>
      <c r="O962" s="43" t="s">
        <v>4</v>
      </c>
      <c r="P962" s="508" t="str">
        <f>+'PRESUPUESTO OFICIAL '!$M$122</f>
        <v>62</v>
      </c>
      <c r="Q962" s="28"/>
      <c r="R962" s="4"/>
    </row>
    <row r="963" spans="1:18">
      <c r="A963" s="1"/>
      <c r="B963" s="2"/>
      <c r="C963" s="8"/>
      <c r="D963" s="29"/>
      <c r="E963" s="30" t="s">
        <v>5</v>
      </c>
      <c r="F963" s="31"/>
      <c r="G963" s="31"/>
      <c r="H963" s="31"/>
      <c r="I963" s="31"/>
      <c r="J963" s="31"/>
      <c r="K963" s="31"/>
      <c r="L963" s="32"/>
      <c r="M963" s="43"/>
      <c r="N963" s="57"/>
      <c r="O963" s="57"/>
      <c r="P963" s="58"/>
      <c r="Q963" s="28"/>
      <c r="R963" s="4"/>
    </row>
    <row r="964" spans="1:18" ht="15.75" thickBot="1">
      <c r="A964" s="1"/>
      <c r="B964" s="2"/>
      <c r="C964" s="8"/>
      <c r="D964" s="59"/>
      <c r="E964" s="60"/>
      <c r="F964" s="60"/>
      <c r="G964" s="60"/>
      <c r="H964" s="60"/>
      <c r="I964" s="60"/>
      <c r="J964" s="60"/>
      <c r="K964" s="60"/>
      <c r="L964" s="60"/>
      <c r="M964" s="60"/>
      <c r="N964" s="61"/>
      <c r="O964" s="61"/>
      <c r="P964" s="62"/>
      <c r="Q964" s="63"/>
      <c r="R964" s="4"/>
    </row>
    <row r="965" spans="1:18">
      <c r="A965" s="1"/>
      <c r="B965" s="2"/>
      <c r="C965" s="8"/>
      <c r="D965" s="64"/>
      <c r="E965" s="65"/>
      <c r="F965" s="65"/>
      <c r="G965" s="65"/>
      <c r="H965" s="65"/>
      <c r="I965" s="65"/>
      <c r="J965" s="65"/>
      <c r="K965" s="65"/>
      <c r="L965" s="65"/>
      <c r="M965" s="66" t="s">
        <v>6</v>
      </c>
      <c r="N965" s="66" t="s">
        <v>7</v>
      </c>
      <c r="O965" s="66" t="s">
        <v>8</v>
      </c>
      <c r="P965" s="67" t="s">
        <v>9</v>
      </c>
      <c r="Q965" s="51"/>
      <c r="R965" s="4"/>
    </row>
    <row r="966" spans="1:18">
      <c r="A966" s="1"/>
      <c r="B966" s="2"/>
      <c r="C966" s="8"/>
      <c r="D966" s="68"/>
      <c r="E966" s="69"/>
      <c r="F966" s="69"/>
      <c r="G966" s="69"/>
      <c r="H966" s="69"/>
      <c r="I966" s="69"/>
      <c r="J966" s="69"/>
      <c r="K966" s="69"/>
      <c r="L966" s="69"/>
      <c r="M966" s="70"/>
      <c r="N966" s="71">
        <f>+Hoja2!B$5</f>
        <v>5</v>
      </c>
      <c r="O966" s="71">
        <f>+Hoja2!C$5</f>
        <v>8</v>
      </c>
      <c r="P966" s="72">
        <f>+Hoja2!D$5</f>
        <v>2026</v>
      </c>
      <c r="Q966" s="73"/>
      <c r="R966" s="4"/>
    </row>
    <row r="967" spans="1:18">
      <c r="A967" s="1"/>
      <c r="B967" s="2"/>
      <c r="C967" s="8"/>
      <c r="D967" s="74"/>
      <c r="E967" s="37"/>
      <c r="F967" s="37"/>
      <c r="G967" s="37"/>
      <c r="H967" s="69"/>
      <c r="I967" s="69"/>
      <c r="J967" s="69"/>
      <c r="K967" s="20"/>
      <c r="L967" s="69"/>
      <c r="M967" s="75"/>
      <c r="N967" s="20"/>
      <c r="O967" s="20"/>
      <c r="P967" s="76"/>
      <c r="Q967" s="73"/>
      <c r="R967" s="4"/>
    </row>
    <row r="968" spans="1:18" ht="15.75" thickBot="1">
      <c r="A968" s="1"/>
      <c r="B968" s="2"/>
      <c r="C968" s="8"/>
      <c r="D968" s="77"/>
      <c r="E968" s="78"/>
      <c r="F968" s="78"/>
      <c r="G968" s="78"/>
      <c r="H968" s="78"/>
      <c r="I968" s="78"/>
      <c r="J968" s="78"/>
      <c r="K968" s="78"/>
      <c r="L968" s="78"/>
      <c r="M968" s="78"/>
      <c r="N968" s="78"/>
      <c r="O968" s="78"/>
      <c r="P968" s="79"/>
      <c r="Q968" s="13"/>
      <c r="R968" s="4"/>
    </row>
    <row r="969" spans="1:18" ht="15.75" thickBot="1">
      <c r="A969" s="1"/>
      <c r="B969" s="2"/>
      <c r="C969" s="8"/>
      <c r="D969" s="80"/>
      <c r="E969" s="81"/>
      <c r="F969" s="81"/>
      <c r="G969" s="81"/>
      <c r="H969" s="81"/>
      <c r="I969" s="81"/>
      <c r="J969" s="20"/>
      <c r="K969" s="20"/>
      <c r="L969" s="81"/>
      <c r="M969" s="81"/>
      <c r="N969" s="81"/>
      <c r="O969" s="81"/>
      <c r="P969" s="82"/>
      <c r="Q969" s="13"/>
      <c r="R969" s="4"/>
    </row>
    <row r="970" spans="1:18">
      <c r="A970" s="1"/>
      <c r="B970" s="2"/>
      <c r="C970" s="8"/>
      <c r="D970" s="83" t="s">
        <v>10</v>
      </c>
      <c r="E970" s="84"/>
      <c r="F970" s="84"/>
      <c r="G970" s="84"/>
      <c r="H970" s="84"/>
      <c r="I970" s="84"/>
      <c r="J970" s="84"/>
      <c r="K970" s="84"/>
      <c r="L970" s="84"/>
      <c r="M970" s="84"/>
      <c r="N970" s="84"/>
      <c r="O970" s="84"/>
      <c r="P970" s="85"/>
      <c r="Q970" s="86"/>
      <c r="R970" s="4"/>
    </row>
    <row r="971" spans="1:18" ht="15.75" thickBot="1">
      <c r="A971" s="1"/>
      <c r="B971" s="2"/>
      <c r="C971" s="8"/>
      <c r="D971" s="87"/>
      <c r="E971" s="20"/>
      <c r="F971" s="20"/>
      <c r="G971" s="20"/>
      <c r="H971" s="20"/>
      <c r="I971" s="20"/>
      <c r="J971" s="20"/>
      <c r="K971" s="20"/>
      <c r="L971" s="20"/>
      <c r="M971" s="20"/>
      <c r="N971" s="20"/>
      <c r="O971" s="20"/>
      <c r="P971" s="88"/>
      <c r="Q971" s="13"/>
      <c r="R971" s="4"/>
    </row>
    <row r="972" spans="1:18">
      <c r="A972" s="1" t="s">
        <v>11</v>
      </c>
      <c r="B972" s="2" t="s">
        <v>12</v>
      </c>
      <c r="C972" s="8"/>
      <c r="D972" s="89" t="s">
        <v>13</v>
      </c>
      <c r="E972" s="90" t="s">
        <v>14</v>
      </c>
      <c r="F972" s="90"/>
      <c r="G972" s="90"/>
      <c r="H972" s="90"/>
      <c r="I972" s="90"/>
      <c r="J972" s="90"/>
      <c r="K972" s="90"/>
      <c r="L972" s="90"/>
      <c r="M972" s="90"/>
      <c r="N972" s="91" t="s">
        <v>15</v>
      </c>
      <c r="O972" s="91"/>
      <c r="P972" s="92" t="s">
        <v>16</v>
      </c>
      <c r="Q972" s="93"/>
      <c r="R972" s="4"/>
    </row>
    <row r="973" spans="1:18" ht="15.75" thickBot="1">
      <c r="A973" s="1"/>
      <c r="B973" s="2"/>
      <c r="C973" s="8"/>
      <c r="D973" s="349">
        <f>+'PRESUPUESTO OFICIAL '!C75</f>
        <v>6.07</v>
      </c>
      <c r="E973" s="94" t="str">
        <f>+VLOOKUP(D973,'PRESUPUESTO OFICIAL '!C:H,2,FALSE)</f>
        <v>ENCHAPE CERÁMICO EN MESÓN DE COCINA</v>
      </c>
      <c r="F973" s="94"/>
      <c r="G973" s="94"/>
      <c r="H973" s="94"/>
      <c r="I973" s="94"/>
      <c r="J973" s="94"/>
      <c r="K973" s="94"/>
      <c r="L973" s="94"/>
      <c r="M973" s="94"/>
      <c r="N973" s="94" t="str">
        <f>+VLOOKUP(D973,'PRESUPUESTO OFICIAL '!C:H,3,FALSE)</f>
        <v>M2</v>
      </c>
      <c r="O973" s="95"/>
      <c r="P973" s="96">
        <f>+VLOOKUP(D973,'PRESUPUESTO OFICIAL '!C:H,4,FALSE)</f>
        <v>32.5</v>
      </c>
      <c r="Q973" s="97"/>
      <c r="R973" s="98">
        <f>+P1025</f>
        <v>142204</v>
      </c>
    </row>
    <row r="974" spans="1:18" ht="15.75" thickBot="1">
      <c r="A974" s="1"/>
      <c r="B974" s="2"/>
      <c r="C974" s="8"/>
      <c r="D974" s="74" t="s">
        <v>17</v>
      </c>
      <c r="E974" s="37"/>
      <c r="F974" s="37"/>
      <c r="G974" s="37"/>
      <c r="H974" s="37"/>
      <c r="I974" s="37"/>
      <c r="J974" s="37"/>
      <c r="K974" s="37"/>
      <c r="L974" s="37"/>
      <c r="M974" s="37"/>
      <c r="N974" s="37"/>
      <c r="O974" s="37"/>
      <c r="P974" s="99"/>
      <c r="Q974" s="100"/>
      <c r="R974" s="4"/>
    </row>
    <row r="975" spans="1:18">
      <c r="A975" s="1"/>
      <c r="B975" s="2"/>
      <c r="C975" s="8"/>
      <c r="D975" s="101" t="s">
        <v>14</v>
      </c>
      <c r="E975" s="102"/>
      <c r="F975" s="102"/>
      <c r="G975" s="102"/>
      <c r="H975" s="103"/>
      <c r="I975" s="104" t="s">
        <v>18</v>
      </c>
      <c r="J975" s="102"/>
      <c r="K975" s="104" t="s">
        <v>19</v>
      </c>
      <c r="L975" s="105"/>
      <c r="M975" s="106" t="s">
        <v>20</v>
      </c>
      <c r="N975" s="104" t="s">
        <v>21</v>
      </c>
      <c r="O975" s="105"/>
      <c r="P975" s="107" t="s">
        <v>22</v>
      </c>
      <c r="Q975" s="108"/>
      <c r="R975" s="4"/>
    </row>
    <row r="976" spans="1:18">
      <c r="A976" s="1" t="e">
        <f>[239]INDICE!#REF!</f>
        <v>#REF!</v>
      </c>
      <c r="B976" s="2" t="s">
        <v>23</v>
      </c>
      <c r="C976" s="8"/>
      <c r="D976" s="109" t="str">
        <f>IFERROR(INDEX([239]EQUIPOS!B:B,MATCH(B976,[239]EQUIPOS!A:A,0)),"")</f>
        <v>HERRAMIENTA MENOR (% M.O)</v>
      </c>
      <c r="E976" s="110"/>
      <c r="F976" s="110"/>
      <c r="G976" s="110"/>
      <c r="H976" s="111"/>
      <c r="I976" s="112"/>
      <c r="J976" s="111"/>
      <c r="K976" s="113" t="str">
        <f>IFERROR(INDEX([239]EQUIPOS!C:C,MATCH(B976,[239]EQUIPOS!A:A,0)),"")</f>
        <v>%</v>
      </c>
      <c r="L976" s="114"/>
      <c r="M976" s="115">
        <f>IFERROR(IF(D976="HERRAMIENTA MENOR (% M.O)",P1015,INDEX([239]EQUIPOS!D:D,MATCH(B976,[239]EQUIPOS!A:A,0))),"")</f>
        <v>50208.9</v>
      </c>
      <c r="N976" s="116">
        <v>10</v>
      </c>
      <c r="O976" s="117"/>
      <c r="P976" s="118">
        <f t="shared" ref="P976:P981" si="33">IFERROR(ROUND(IF(D976="HERRAMIENTA MENOR (% M.O)",N976%*M976,M976/N976),2)," ")</f>
        <v>5020.8900000000003</v>
      </c>
      <c r="Q976" s="119"/>
      <c r="R976" s="4"/>
    </row>
    <row r="977" spans="1:18">
      <c r="A977" s="1">
        <f>+$A$2593</f>
        <v>0</v>
      </c>
      <c r="B977" s="2"/>
      <c r="C977" s="8"/>
      <c r="D977" s="109" t="str">
        <f>IFERROR(INDEX([239]EQUIPOS!B:B,MATCH(B977,[239]EQUIPOS!A:A,0)),"")</f>
        <v/>
      </c>
      <c r="E977" s="110"/>
      <c r="F977" s="110"/>
      <c r="G977" s="110"/>
      <c r="H977" s="111"/>
      <c r="I977" s="112"/>
      <c r="J977" s="111"/>
      <c r="K977" s="113" t="str">
        <f>IFERROR(INDEX([239]EQUIPOS!C:C,MATCH(B977,[239]EQUIPOS!A:A,0)),"")</f>
        <v/>
      </c>
      <c r="L977" s="114"/>
      <c r="M977" s="115" t="str">
        <f>IFERROR(IF(D977="HERRAMIENTA MENOR (% M.O)",P1016,INDEX([239]EQUIPOS!D:D,MATCH(B977,[239]EQUIPOS!A:A,0))),"")</f>
        <v/>
      </c>
      <c r="N977" s="116"/>
      <c r="O977" s="117"/>
      <c r="P977" s="118" t="str">
        <f t="shared" si="33"/>
        <v xml:space="preserve"> </v>
      </c>
      <c r="Q977" s="119"/>
      <c r="R977" s="4"/>
    </row>
    <row r="978" spans="1:18">
      <c r="A978" s="1">
        <f t="shared" ref="A978:A1016" si="34">+A977</f>
        <v>0</v>
      </c>
      <c r="B978" s="2"/>
      <c r="C978" s="8"/>
      <c r="D978" s="109" t="str">
        <f>IFERROR(INDEX([239]EQUIPOS!B:B,MATCH(B978,[239]EQUIPOS!A:A,0)),"")</f>
        <v/>
      </c>
      <c r="E978" s="110"/>
      <c r="F978" s="110"/>
      <c r="G978" s="110"/>
      <c r="H978" s="111"/>
      <c r="I978" s="120"/>
      <c r="J978" s="121"/>
      <c r="K978" s="113" t="str">
        <f>IFERROR(INDEX([239]EQUIPOS!C:C,MATCH(B978,[239]EQUIPOS!A:A,0)),"")</f>
        <v/>
      </c>
      <c r="L978" s="114"/>
      <c r="M978" s="115" t="str">
        <f>IFERROR(IF(D978="HERRAMIENTA MENOR (% M.O)",P1017,INDEX([239]EQUIPOS!D:D,MATCH(B978,[239]EQUIPOS!A:A,0))),"")</f>
        <v/>
      </c>
      <c r="N978" s="116"/>
      <c r="O978" s="117"/>
      <c r="P978" s="118" t="str">
        <f t="shared" si="33"/>
        <v xml:space="preserve"> </v>
      </c>
      <c r="Q978" s="119"/>
      <c r="R978" s="4"/>
    </row>
    <row r="979" spans="1:18">
      <c r="A979" s="1">
        <f t="shared" si="34"/>
        <v>0</v>
      </c>
      <c r="B979" s="2"/>
      <c r="C979" s="8"/>
      <c r="D979" s="109" t="str">
        <f>IFERROR(INDEX([239]EQUIPOS!B:B,MATCH(B979,[239]EQUIPOS!A:A,0)),"")</f>
        <v/>
      </c>
      <c r="E979" s="110"/>
      <c r="F979" s="110"/>
      <c r="G979" s="110"/>
      <c r="H979" s="111"/>
      <c r="I979" s="120"/>
      <c r="J979" s="121"/>
      <c r="K979" s="113" t="str">
        <f>IFERROR(INDEX([239]EQUIPOS!C:C,MATCH(B979,[239]EQUIPOS!A:A,0)),"")</f>
        <v/>
      </c>
      <c r="L979" s="114"/>
      <c r="M979" s="115" t="str">
        <f>IFERROR(IF(D979="HERRAMIENTA MENOR (% M.O)",P1018,INDEX([239]EQUIPOS!D:D,MATCH(B979,[239]EQUIPOS!A:A,0))),"")</f>
        <v/>
      </c>
      <c r="N979" s="116"/>
      <c r="O979" s="117"/>
      <c r="P979" s="118" t="str">
        <f t="shared" si="33"/>
        <v xml:space="preserve"> </v>
      </c>
      <c r="Q979" s="119"/>
      <c r="R979" s="4"/>
    </row>
    <row r="980" spans="1:18">
      <c r="A980" s="1">
        <f t="shared" si="34"/>
        <v>0</v>
      </c>
      <c r="B980" s="2"/>
      <c r="C980" s="8"/>
      <c r="D980" s="109" t="str">
        <f>IFERROR(INDEX([239]EQUIPOS!B:B,MATCH(B980,[239]EQUIPOS!A:A,0)),"")</f>
        <v/>
      </c>
      <c r="E980" s="110"/>
      <c r="F980" s="110"/>
      <c r="G980" s="110"/>
      <c r="H980" s="111"/>
      <c r="I980" s="112"/>
      <c r="J980" s="111"/>
      <c r="K980" s="113" t="str">
        <f>IFERROR(INDEX([239]EQUIPOS!C:C,MATCH(B980,[239]EQUIPOS!A:A,0)),"")</f>
        <v/>
      </c>
      <c r="L980" s="114"/>
      <c r="M980" s="115" t="str">
        <f>IFERROR(IF(D980="HERRAMIENTA MENOR (% M.O)",P1019,INDEX([239]EQUIPOS!D:D,MATCH(B980,[239]EQUIPOS!A:A,0))),"")</f>
        <v/>
      </c>
      <c r="N980" s="116"/>
      <c r="O980" s="117"/>
      <c r="P980" s="118" t="str">
        <f t="shared" si="33"/>
        <v xml:space="preserve"> </v>
      </c>
      <c r="Q980" s="119"/>
      <c r="R980" s="4"/>
    </row>
    <row r="981" spans="1:18" ht="15.75" thickBot="1">
      <c r="A981" s="1">
        <f t="shared" si="34"/>
        <v>0</v>
      </c>
      <c r="B981" s="2"/>
      <c r="C981" s="8"/>
      <c r="D981" s="109" t="str">
        <f>IFERROR(INDEX([239]EQUIPOS!B:B,MATCH(B981,[239]EQUIPOS!A:A,0)),"")</f>
        <v/>
      </c>
      <c r="E981" s="78"/>
      <c r="F981" s="78"/>
      <c r="G981" s="78"/>
      <c r="H981" s="122"/>
      <c r="I981" s="123"/>
      <c r="J981" s="122"/>
      <c r="K981" s="113" t="str">
        <f>IFERROR(INDEX([239]EQUIPOS!C:C,MATCH(B981,[239]EQUIPOS!A:A,0)),"")</f>
        <v/>
      </c>
      <c r="L981" s="124"/>
      <c r="M981" s="115" t="str">
        <f>IFERROR(IF(D981="HERRAMIENTA MENOR (% M.O)",P1020,INDEX([239]EQUIPOS!D:D,MATCH(B981,[239]EQUIPOS!A:A,0))),"")</f>
        <v/>
      </c>
      <c r="N981" s="125"/>
      <c r="O981" s="126"/>
      <c r="P981" s="127" t="str">
        <f t="shared" si="33"/>
        <v xml:space="preserve"> </v>
      </c>
      <c r="Q981" s="119"/>
      <c r="R981" s="4"/>
    </row>
    <row r="982" spans="1:18" ht="15.75" thickBot="1">
      <c r="A982" s="1">
        <f t="shared" si="34"/>
        <v>0</v>
      </c>
      <c r="B982" s="2"/>
      <c r="C982" s="8"/>
      <c r="D982" s="128" t="s">
        <v>24</v>
      </c>
      <c r="E982" s="129"/>
      <c r="F982" s="129"/>
      <c r="G982" s="129"/>
      <c r="H982" s="129"/>
      <c r="I982" s="129"/>
      <c r="J982" s="129"/>
      <c r="K982" s="129"/>
      <c r="L982" s="129"/>
      <c r="M982" s="129"/>
      <c r="N982" s="129"/>
      <c r="O982" s="130"/>
      <c r="P982" s="131">
        <f>SUM(P976:P981)</f>
        <v>5020.8900000000003</v>
      </c>
      <c r="Q982" s="132"/>
      <c r="R982" s="4"/>
    </row>
    <row r="983" spans="1:18" ht="15.75" thickBot="1">
      <c r="A983" s="1">
        <f t="shared" si="34"/>
        <v>0</v>
      </c>
      <c r="B983" s="2"/>
      <c r="C983" s="8"/>
      <c r="D983" s="74" t="s">
        <v>25</v>
      </c>
      <c r="E983" s="37"/>
      <c r="F983" s="37"/>
      <c r="G983" s="37"/>
      <c r="H983" s="37"/>
      <c r="I983" s="37"/>
      <c r="J983" s="37"/>
      <c r="K983" s="37"/>
      <c r="L983" s="37"/>
      <c r="M983" s="37"/>
      <c r="N983" s="37"/>
      <c r="O983" s="37"/>
      <c r="P983" s="99"/>
      <c r="Q983" s="100"/>
      <c r="R983" s="4"/>
    </row>
    <row r="984" spans="1:18">
      <c r="A984" s="1">
        <f t="shared" si="34"/>
        <v>0</v>
      </c>
      <c r="B984" s="2"/>
      <c r="C984" s="8"/>
      <c r="D984" s="101" t="s">
        <v>14</v>
      </c>
      <c r="E984" s="133"/>
      <c r="F984" s="133"/>
      <c r="G984" s="133"/>
      <c r="H984" s="133"/>
      <c r="I984" s="133"/>
      <c r="J984" s="133"/>
      <c r="K984" s="105"/>
      <c r="L984" s="134" t="s">
        <v>15</v>
      </c>
      <c r="M984" s="106" t="s">
        <v>16</v>
      </c>
      <c r="N984" s="104" t="s">
        <v>26</v>
      </c>
      <c r="O984" s="105"/>
      <c r="P984" s="107" t="s">
        <v>22</v>
      </c>
      <c r="Q984" s="108"/>
      <c r="R984" s="4"/>
    </row>
    <row r="985" spans="1:18">
      <c r="A985" s="1">
        <f t="shared" si="34"/>
        <v>0</v>
      </c>
      <c r="B985" s="2" t="s">
        <v>338</v>
      </c>
      <c r="C985" s="8"/>
      <c r="D985" s="109" t="str">
        <f>IFERROR(INDEX([239]MATERIALES!C:C,MATCH(B985,[239]MATERIALES!B:B,0)),"")</f>
        <v>CERÁMICA COCINA</v>
      </c>
      <c r="E985" s="135"/>
      <c r="F985" s="135"/>
      <c r="G985" s="135"/>
      <c r="H985" s="135"/>
      <c r="I985" s="135"/>
      <c r="J985" s="135"/>
      <c r="K985" s="136"/>
      <c r="L985" s="137" t="str">
        <f>IFERROR(INDEX([239]MATERIALES!D:D,MATCH(B985,[239]MATERIALES!B:B,0)),"")</f>
        <v>M2</v>
      </c>
      <c r="M985" s="138">
        <v>1</v>
      </c>
      <c r="N985" s="139">
        <f>IFERROR(INDEX([239]MATERIALES!P:P,MATCH(B985,[239]MATERIALES!B:B,0)),"")</f>
        <v>40200</v>
      </c>
      <c r="O985" s="140"/>
      <c r="P985" s="118">
        <f>IFERROR(ROUND(N985*M985,2),"")</f>
        <v>40200</v>
      </c>
      <c r="Q985" s="119"/>
      <c r="R985" s="4"/>
    </row>
    <row r="986" spans="1:18">
      <c r="A986" s="1">
        <f t="shared" si="34"/>
        <v>0</v>
      </c>
      <c r="B986" s="2" t="s">
        <v>330</v>
      </c>
      <c r="C986" s="8"/>
      <c r="D986" s="109" t="str">
        <f>IFERROR(INDEX([239]MATERIALES!C:C,MATCH(B986,[239]MATERIALES!B:B,0)),"")</f>
        <v>PEGANTE CERÁMICO (PEGACOR O SIMILAR)</v>
      </c>
      <c r="E986" s="135"/>
      <c r="F986" s="135"/>
      <c r="G986" s="135"/>
      <c r="H986" s="135"/>
      <c r="I986" s="135"/>
      <c r="J986" s="135"/>
      <c r="K986" s="136"/>
      <c r="L986" s="137" t="str">
        <f>IFERROR(INDEX([239]MATERIALES!D:D,MATCH(B986,[239]MATERIALES!B:B,0)),"")</f>
        <v>KG</v>
      </c>
      <c r="M986" s="138">
        <v>5</v>
      </c>
      <c r="N986" s="139">
        <f>IFERROR(INDEX([239]MATERIALES!P:P,MATCH(B986,[239]MATERIALES!B:B,0)),"")</f>
        <v>1397.76</v>
      </c>
      <c r="O986" s="140"/>
      <c r="P986" s="118">
        <f>IFERROR(ROUND(N986*M986,2),"")</f>
        <v>6988.8</v>
      </c>
      <c r="Q986" s="119"/>
      <c r="R986" s="4"/>
    </row>
    <row r="987" spans="1:18">
      <c r="A987" s="1">
        <f t="shared" si="34"/>
        <v>0</v>
      </c>
      <c r="B987" s="2" t="s">
        <v>331</v>
      </c>
      <c r="C987" s="8"/>
      <c r="D987" s="109" t="str">
        <f>IFERROR(INDEX([239]MATERIALES!C:C,MATCH(B987,[239]MATERIALES!B:B,0)),"")</f>
        <v>BOQUILLA PARA JUNTAS</v>
      </c>
      <c r="E987" s="110"/>
      <c r="F987" s="110"/>
      <c r="G987" s="110"/>
      <c r="H987" s="110"/>
      <c r="I987" s="110"/>
      <c r="J987" s="110"/>
      <c r="K987" s="111"/>
      <c r="L987" s="137" t="str">
        <f>IFERROR(INDEX([239]MATERIALES!D:D,MATCH(B987,[239]MATERIALES!B:B,0)),"")</f>
        <v>KG</v>
      </c>
      <c r="M987" s="352">
        <v>0.25</v>
      </c>
      <c r="N987" s="139">
        <f>IFERROR(INDEX([239]MATERIALES!P:P,MATCH(B987,[239]MATERIALES!B:B,0)),"")</f>
        <v>7350</v>
      </c>
      <c r="O987" s="140"/>
      <c r="P987" s="118">
        <f>IFERROR(ROUND(N987*M987,2),"")</f>
        <v>1837.5</v>
      </c>
      <c r="Q987" s="119"/>
      <c r="R987" s="4"/>
    </row>
    <row r="988" spans="1:18">
      <c r="A988" s="1">
        <f t="shared" si="34"/>
        <v>0</v>
      </c>
      <c r="B988" s="2" t="s">
        <v>333</v>
      </c>
      <c r="C988" s="8"/>
      <c r="D988" s="109" t="str">
        <f>IFERROR(INDEX([239]MATERIALES!C:C,MATCH(B988,[239]MATERIALES!B:B,0)),"")</f>
        <v>JUNTA PLÁSTICA PARA ENCAPE 3 MM</v>
      </c>
      <c r="E988" s="110"/>
      <c r="F988" s="110"/>
      <c r="G988" s="110"/>
      <c r="H988" s="110"/>
      <c r="I988" s="110"/>
      <c r="J988" s="110"/>
      <c r="K988" s="111"/>
      <c r="L988" s="137" t="str">
        <f>IFERROR(INDEX([239]MATERIALES!D:D,MATCH(B988,[239]MATERIALES!B:B,0)),"")</f>
        <v>UND</v>
      </c>
      <c r="M988" s="138">
        <v>3</v>
      </c>
      <c r="N988" s="139">
        <f>IFERROR(INDEX([239]MATERIALES!P:P,MATCH(B988,[239]MATERIALES!B:B,0)),"")</f>
        <v>67.5</v>
      </c>
      <c r="O988" s="140"/>
      <c r="P988" s="118">
        <f>IFERROR(ROUND(N988*M988,2),"")</f>
        <v>202.5</v>
      </c>
      <c r="Q988" s="119"/>
      <c r="R988" s="4"/>
    </row>
    <row r="989" spans="1:18">
      <c r="A989" s="1">
        <f t="shared" si="34"/>
        <v>0</v>
      </c>
      <c r="B989" s="2"/>
      <c r="C989" s="8"/>
      <c r="D989" s="109" t="str">
        <f>IFERROR(INDEX([239]MATERIALES!C:C,MATCH(B989,[239]MATERIALES!B:B,0)),"")</f>
        <v/>
      </c>
      <c r="E989" s="110"/>
      <c r="F989" s="110"/>
      <c r="G989" s="110"/>
      <c r="H989" s="110"/>
      <c r="I989" s="110"/>
      <c r="J989" s="110"/>
      <c r="K989" s="111"/>
      <c r="L989" s="137" t="str">
        <f>IFERROR(INDEX([239]MATERIALES!D:D,MATCH(B989,[239]MATERIALES!B:B,0)),"")</f>
        <v/>
      </c>
      <c r="M989" s="138"/>
      <c r="N989" s="139" t="str">
        <f>IFERROR(INDEX([239]MATERIALES!P:P,MATCH(B989,[239]MATERIALES!B:B,0)),"")</f>
        <v/>
      </c>
      <c r="O989" s="140"/>
      <c r="P989" s="118" t="str">
        <f t="shared" ref="P989:P998" si="35">IFERROR(ROUND(N989*M989,2),"")</f>
        <v/>
      </c>
      <c r="Q989" s="119"/>
      <c r="R989" s="4"/>
    </row>
    <row r="990" spans="1:18">
      <c r="A990" s="1">
        <f t="shared" si="34"/>
        <v>0</v>
      </c>
      <c r="B990" s="2"/>
      <c r="C990" s="8"/>
      <c r="D990" s="109" t="str">
        <f>IFERROR(INDEX([239]MATERIALES!C:C,MATCH(B990,[239]MATERIALES!B:B,0)),"")</f>
        <v/>
      </c>
      <c r="E990" s="110"/>
      <c r="F990" s="110"/>
      <c r="G990" s="110"/>
      <c r="H990" s="110"/>
      <c r="I990" s="110"/>
      <c r="J990" s="110"/>
      <c r="K990" s="111"/>
      <c r="L990" s="137" t="str">
        <f>IFERROR(INDEX([239]MATERIALES!D:D,MATCH(B990,[239]MATERIALES!B:B,0)),"")</f>
        <v/>
      </c>
      <c r="M990" s="138"/>
      <c r="N990" s="139" t="str">
        <f>IFERROR(INDEX([239]MATERIALES!P:P,MATCH(B990,[239]MATERIALES!B:B,0)),"")</f>
        <v/>
      </c>
      <c r="O990" s="140"/>
      <c r="P990" s="118" t="str">
        <f t="shared" si="35"/>
        <v/>
      </c>
      <c r="Q990" s="119"/>
      <c r="R990" s="4"/>
    </row>
    <row r="991" spans="1:18">
      <c r="A991" s="1">
        <f t="shared" si="34"/>
        <v>0</v>
      </c>
      <c r="B991" s="2"/>
      <c r="C991" s="8"/>
      <c r="D991" s="109" t="str">
        <f>IFERROR(INDEX([239]MATERIALES!C:C,MATCH(B991,[239]MATERIALES!B:B,0)),"")</f>
        <v/>
      </c>
      <c r="E991" s="110"/>
      <c r="F991" s="110"/>
      <c r="G991" s="110"/>
      <c r="H991" s="110"/>
      <c r="I991" s="110"/>
      <c r="J991" s="110"/>
      <c r="K991" s="111"/>
      <c r="L991" s="137" t="str">
        <f>IFERROR(INDEX([239]MATERIALES!D:D,MATCH(B991,[239]MATERIALES!B:B,0)),"")</f>
        <v/>
      </c>
      <c r="M991" s="138"/>
      <c r="N991" s="139" t="str">
        <f>IFERROR(INDEX([239]MATERIALES!P:P,MATCH(B991,[239]MATERIALES!B:B,0)),"")</f>
        <v/>
      </c>
      <c r="O991" s="140"/>
      <c r="P991" s="118" t="str">
        <f t="shared" si="35"/>
        <v/>
      </c>
      <c r="Q991" s="119"/>
      <c r="R991" s="4"/>
    </row>
    <row r="992" spans="1:18">
      <c r="A992" s="1">
        <f t="shared" si="34"/>
        <v>0</v>
      </c>
      <c r="B992" s="2"/>
      <c r="C992" s="8"/>
      <c r="D992" s="109" t="str">
        <f>IFERROR(INDEX([239]MATERIALES!C:C,MATCH(B992,[239]MATERIALES!B:B,0)),"")</f>
        <v/>
      </c>
      <c r="E992" s="110"/>
      <c r="F992" s="110"/>
      <c r="G992" s="110"/>
      <c r="H992" s="110"/>
      <c r="I992" s="110"/>
      <c r="J992" s="110"/>
      <c r="K992" s="111"/>
      <c r="L992" s="137" t="str">
        <f>IFERROR(INDEX([239]MATERIALES!D:D,MATCH(B992,[239]MATERIALES!B:B,0)),"")</f>
        <v/>
      </c>
      <c r="M992" s="138"/>
      <c r="N992" s="139" t="str">
        <f>IFERROR(INDEX([239]MATERIALES!P:P,MATCH(B992,[239]MATERIALES!B:B,0)),"")</f>
        <v/>
      </c>
      <c r="O992" s="140"/>
      <c r="P992" s="118" t="str">
        <f t="shared" si="35"/>
        <v/>
      </c>
      <c r="Q992" s="119"/>
      <c r="R992" s="4"/>
    </row>
    <row r="993" spans="1:18">
      <c r="A993" s="1">
        <f t="shared" si="34"/>
        <v>0</v>
      </c>
      <c r="B993" s="2"/>
      <c r="C993" s="8"/>
      <c r="D993" s="109" t="str">
        <f>IFERROR(INDEX([239]MATERIALES!C:C,MATCH(B993,[239]MATERIALES!B:B,0)),"")</f>
        <v/>
      </c>
      <c r="E993" s="110"/>
      <c r="F993" s="110"/>
      <c r="G993" s="110"/>
      <c r="H993" s="110"/>
      <c r="I993" s="110"/>
      <c r="J993" s="110"/>
      <c r="K993" s="111"/>
      <c r="L993" s="137" t="str">
        <f>IFERROR(INDEX([239]MATERIALES!D:D,MATCH(B993,[239]MATERIALES!B:B,0)),"")</f>
        <v/>
      </c>
      <c r="M993" s="138"/>
      <c r="N993" s="139" t="str">
        <f>IFERROR(INDEX([239]MATERIALES!P:P,MATCH(B993,[239]MATERIALES!B:B,0)),"")</f>
        <v/>
      </c>
      <c r="O993" s="140"/>
      <c r="P993" s="118" t="str">
        <f t="shared" si="35"/>
        <v/>
      </c>
      <c r="Q993" s="119"/>
      <c r="R993" s="4"/>
    </row>
    <row r="994" spans="1:18">
      <c r="A994" s="1">
        <f t="shared" si="34"/>
        <v>0</v>
      </c>
      <c r="B994" s="2"/>
      <c r="C994" s="8"/>
      <c r="D994" s="109" t="str">
        <f>IFERROR(INDEX([239]MATERIALES!C:C,MATCH(B994,[239]MATERIALES!B:B,0)),"")</f>
        <v/>
      </c>
      <c r="E994" s="110"/>
      <c r="F994" s="110"/>
      <c r="G994" s="110"/>
      <c r="H994" s="110"/>
      <c r="I994" s="110"/>
      <c r="J994" s="110"/>
      <c r="K994" s="111"/>
      <c r="L994" s="137" t="str">
        <f>IFERROR(INDEX([239]MATERIALES!D:D,MATCH(B994,[239]MATERIALES!B:B,0)),"")</f>
        <v/>
      </c>
      <c r="M994" s="138"/>
      <c r="N994" s="139" t="str">
        <f>IFERROR(INDEX([239]MATERIALES!P:P,MATCH(B994,[239]MATERIALES!B:B,0)),"")</f>
        <v/>
      </c>
      <c r="O994" s="140"/>
      <c r="P994" s="118" t="str">
        <f t="shared" si="35"/>
        <v/>
      </c>
      <c r="Q994" s="119"/>
      <c r="R994" s="4"/>
    </row>
    <row r="995" spans="1:18">
      <c r="A995" s="1">
        <f t="shared" si="34"/>
        <v>0</v>
      </c>
      <c r="B995" s="2"/>
      <c r="C995" s="8"/>
      <c r="D995" s="109" t="str">
        <f>IFERROR(INDEX([239]MATERIALES!C:C,MATCH(B995,[239]MATERIALES!B:B,0)),"")</f>
        <v/>
      </c>
      <c r="E995" s="110"/>
      <c r="F995" s="110"/>
      <c r="G995" s="110"/>
      <c r="H995" s="110"/>
      <c r="I995" s="110"/>
      <c r="J995" s="110"/>
      <c r="K995" s="111"/>
      <c r="L995" s="137" t="str">
        <f>IFERROR(INDEX([239]MATERIALES!D:D,MATCH(B995,[239]MATERIALES!B:B,0)),"")</f>
        <v/>
      </c>
      <c r="M995" s="138"/>
      <c r="N995" s="139" t="str">
        <f>IFERROR(INDEX([239]MATERIALES!P:P,MATCH(B995,[239]MATERIALES!B:B,0)),"")</f>
        <v/>
      </c>
      <c r="O995" s="140"/>
      <c r="P995" s="118" t="str">
        <f t="shared" si="35"/>
        <v/>
      </c>
      <c r="Q995" s="119"/>
      <c r="R995" s="4"/>
    </row>
    <row r="996" spans="1:18">
      <c r="A996" s="1">
        <f t="shared" si="34"/>
        <v>0</v>
      </c>
      <c r="B996" s="2"/>
      <c r="C996" s="8"/>
      <c r="D996" s="109" t="str">
        <f>IFERROR(INDEX([239]MATERIALES!C:C,MATCH(B996,[239]MATERIALES!B:B,0)),"")</f>
        <v/>
      </c>
      <c r="E996" s="110"/>
      <c r="F996" s="110"/>
      <c r="G996" s="110"/>
      <c r="H996" s="110"/>
      <c r="I996" s="110"/>
      <c r="J996" s="110"/>
      <c r="K996" s="111"/>
      <c r="L996" s="137" t="str">
        <f>IFERROR(INDEX([239]MATERIALES!D:D,MATCH(B996,[239]MATERIALES!B:B,0)),"")</f>
        <v/>
      </c>
      <c r="M996" s="138"/>
      <c r="N996" s="139" t="str">
        <f>IFERROR(INDEX([239]MATERIALES!P:P,MATCH(B996,[239]MATERIALES!B:B,0)),"")</f>
        <v/>
      </c>
      <c r="O996" s="140"/>
      <c r="P996" s="118" t="str">
        <f t="shared" si="35"/>
        <v/>
      </c>
      <c r="Q996" s="119"/>
      <c r="R996" s="4"/>
    </row>
    <row r="997" spans="1:18">
      <c r="A997" s="1">
        <f t="shared" si="34"/>
        <v>0</v>
      </c>
      <c r="B997" s="2"/>
      <c r="C997" s="8"/>
      <c r="D997" s="109" t="str">
        <f>IFERROR(INDEX([239]MATERIALES!C:C,MATCH(B997,[239]MATERIALES!B:B,0)),"")</f>
        <v/>
      </c>
      <c r="E997" s="110"/>
      <c r="F997" s="110"/>
      <c r="G997" s="110"/>
      <c r="H997" s="110"/>
      <c r="I997" s="110"/>
      <c r="J997" s="110"/>
      <c r="K997" s="111"/>
      <c r="L997" s="137" t="str">
        <f>IFERROR(INDEX([239]MATERIALES!D:D,MATCH(B997,[239]MATERIALES!B:B,0)),"")</f>
        <v/>
      </c>
      <c r="M997" s="138"/>
      <c r="N997" s="139" t="str">
        <f>IFERROR(INDEX([239]MATERIALES!P:P,MATCH(B997,[239]MATERIALES!B:B,0)),"")</f>
        <v/>
      </c>
      <c r="O997" s="140"/>
      <c r="P997" s="118" t="str">
        <f t="shared" si="35"/>
        <v/>
      </c>
      <c r="Q997" s="119"/>
      <c r="R997" s="4"/>
    </row>
    <row r="998" spans="1:18">
      <c r="A998" s="1">
        <f t="shared" si="34"/>
        <v>0</v>
      </c>
      <c r="B998" s="2"/>
      <c r="C998" s="8"/>
      <c r="D998" s="109" t="str">
        <f>IFERROR(INDEX([239]MATERIALES!C:C,MATCH(B998,[239]MATERIALES!B:B,0)),"")</f>
        <v/>
      </c>
      <c r="E998" s="110"/>
      <c r="F998" s="110"/>
      <c r="G998" s="110"/>
      <c r="H998" s="110"/>
      <c r="I998" s="110"/>
      <c r="J998" s="110"/>
      <c r="K998" s="111"/>
      <c r="L998" s="137" t="str">
        <f>IFERROR(INDEX([239]MATERIALES!D:D,MATCH(B998,[239]MATERIALES!B:B,0)),"")</f>
        <v/>
      </c>
      <c r="M998" s="138"/>
      <c r="N998" s="139" t="str">
        <f>IFERROR(INDEX([239]MATERIALES!P:P,MATCH(B998,[239]MATERIALES!B:B,0)),"")</f>
        <v/>
      </c>
      <c r="O998" s="140"/>
      <c r="P998" s="118" t="str">
        <f t="shared" si="35"/>
        <v/>
      </c>
      <c r="Q998" s="119"/>
      <c r="R998" s="4"/>
    </row>
    <row r="999" spans="1:18" ht="15.75" thickBot="1">
      <c r="A999" s="1">
        <f t="shared" si="34"/>
        <v>0</v>
      </c>
      <c r="B999" s="2"/>
      <c r="C999" s="8"/>
      <c r="D999" s="109" t="s">
        <v>28</v>
      </c>
      <c r="E999" s="110"/>
      <c r="F999" s="110"/>
      <c r="G999" s="110"/>
      <c r="H999" s="110"/>
      <c r="I999" s="110"/>
      <c r="J999" s="110"/>
      <c r="K999" s="111"/>
      <c r="L999" s="137" t="s">
        <v>29</v>
      </c>
      <c r="M999" s="138">
        <v>0.05</v>
      </c>
      <c r="N999" s="139">
        <f>SUM(P985:P998)</f>
        <v>49228.800000000003</v>
      </c>
      <c r="O999" s="140"/>
      <c r="P999" s="118">
        <f>ROUND(N999*M999,2)</f>
        <v>2461.44</v>
      </c>
      <c r="Q999" s="119"/>
      <c r="R999" s="4"/>
    </row>
    <row r="1000" spans="1:18" ht="15.75" thickBot="1">
      <c r="A1000" s="1">
        <f t="shared" si="34"/>
        <v>0</v>
      </c>
      <c r="B1000" s="2"/>
      <c r="C1000" s="8"/>
      <c r="D1000" s="128" t="s">
        <v>24</v>
      </c>
      <c r="E1000" s="129"/>
      <c r="F1000" s="129"/>
      <c r="G1000" s="129"/>
      <c r="H1000" s="129"/>
      <c r="I1000" s="129"/>
      <c r="J1000" s="129"/>
      <c r="K1000" s="129"/>
      <c r="L1000" s="129"/>
      <c r="M1000" s="129"/>
      <c r="N1000" s="129"/>
      <c r="O1000" s="130"/>
      <c r="P1000" s="131">
        <f>SUM(P985:P999)</f>
        <v>51690.240000000005</v>
      </c>
      <c r="Q1000" s="119"/>
      <c r="R1000" s="4"/>
    </row>
    <row r="1001" spans="1:18" ht="15.75" thickBot="1">
      <c r="A1001" s="1">
        <f t="shared" si="34"/>
        <v>0</v>
      </c>
      <c r="B1001" s="2"/>
      <c r="C1001" s="8"/>
      <c r="D1001" s="74" t="s">
        <v>30</v>
      </c>
      <c r="E1001" s="37"/>
      <c r="F1001" s="37"/>
      <c r="G1001" s="37"/>
      <c r="H1001" s="37"/>
      <c r="I1001" s="37"/>
      <c r="J1001" s="37"/>
      <c r="K1001" s="37"/>
      <c r="L1001" s="37"/>
      <c r="M1001" s="37"/>
      <c r="N1001" s="37"/>
      <c r="O1001" s="37"/>
      <c r="P1001" s="99"/>
      <c r="Q1001" s="100"/>
      <c r="R1001" s="4"/>
    </row>
    <row r="1002" spans="1:18">
      <c r="A1002" s="1">
        <f t="shared" si="34"/>
        <v>0</v>
      </c>
      <c r="B1002" s="2"/>
      <c r="C1002" s="8"/>
      <c r="D1002" s="101" t="s">
        <v>31</v>
      </c>
      <c r="E1002" s="133"/>
      <c r="F1002" s="133"/>
      <c r="G1002" s="133"/>
      <c r="H1002" s="133"/>
      <c r="I1002" s="133"/>
      <c r="J1002" s="133"/>
      <c r="K1002" s="106" t="s">
        <v>32</v>
      </c>
      <c r="L1002" s="141" t="s">
        <v>33</v>
      </c>
      <c r="M1002" s="106" t="s">
        <v>34</v>
      </c>
      <c r="N1002" s="104" t="s">
        <v>20</v>
      </c>
      <c r="O1002" s="105"/>
      <c r="P1002" s="107" t="s">
        <v>22</v>
      </c>
      <c r="Q1002" s="108"/>
      <c r="R1002" s="4"/>
    </row>
    <row r="1003" spans="1:18">
      <c r="A1003" s="1">
        <f t="shared" si="34"/>
        <v>0</v>
      </c>
      <c r="B1003" s="2"/>
      <c r="C1003" s="8"/>
      <c r="D1003" s="142" t="str">
        <f>IFERROR(INDEX([239]TRANSPORTES!B:B,MATCH(B1003,[239]TRANSPORTES!A:A,0)),"")</f>
        <v/>
      </c>
      <c r="E1003" s="143"/>
      <c r="F1003" s="143"/>
      <c r="G1003" s="143"/>
      <c r="H1003" s="143"/>
      <c r="I1003" s="143"/>
      <c r="J1003" s="143"/>
      <c r="K1003" s="220"/>
      <c r="L1003" s="145"/>
      <c r="M1003" s="146" t="str">
        <f>IFERROR(INDEX([239]TRANSPORTES!C:C,MATCH(B1003,[239]TRANSPORTES!A:A,0)),"")</f>
        <v/>
      </c>
      <c r="N1003" s="139" t="str">
        <f>IFERROR(INDEX([239]TRANSPORTES!D:D,MATCH(B1003,[239]TRANSPORTES!A:A,0)),"")</f>
        <v/>
      </c>
      <c r="O1003" s="147"/>
      <c r="P1003" s="148" t="str">
        <f>IFERROR(ROUND(K1003*N1003*L1003,2),"")</f>
        <v/>
      </c>
      <c r="Q1003" s="119"/>
      <c r="R1003" s="4"/>
    </row>
    <row r="1004" spans="1:18">
      <c r="A1004" s="1">
        <f t="shared" si="34"/>
        <v>0</v>
      </c>
      <c r="B1004" s="2"/>
      <c r="C1004" s="8"/>
      <c r="D1004" s="142" t="str">
        <f>IFERROR(INDEX([239]TRANSPORTES!B:B,MATCH(B1004,[239]TRANSPORTES!A:A,0)),"")</f>
        <v/>
      </c>
      <c r="E1004" s="143"/>
      <c r="F1004" s="143"/>
      <c r="G1004" s="143"/>
      <c r="H1004" s="143"/>
      <c r="I1004" s="143"/>
      <c r="J1004" s="143"/>
      <c r="K1004" s="144"/>
      <c r="L1004" s="145"/>
      <c r="M1004" s="146" t="str">
        <f>IFERROR(INDEX([239]TRANSPORTES!C:C,MATCH(B1004,[239]TRANSPORTES!A:A,0)),"")</f>
        <v/>
      </c>
      <c r="N1004" s="139" t="str">
        <f>IFERROR(INDEX([239]TRANSPORTES!D:D,MATCH(B1004,[239]TRANSPORTES!A:A,0)),"")</f>
        <v/>
      </c>
      <c r="O1004" s="147"/>
      <c r="P1004" s="148" t="str">
        <f>IFERROR(ROUND(K1004*N1004*L1004,2),"")</f>
        <v/>
      </c>
      <c r="Q1004" s="119"/>
      <c r="R1004" s="4"/>
    </row>
    <row r="1005" spans="1:18">
      <c r="A1005" s="1">
        <f t="shared" si="34"/>
        <v>0</v>
      </c>
      <c r="B1005" s="2"/>
      <c r="C1005" s="8"/>
      <c r="D1005" s="142" t="str">
        <f>IFERROR(INDEX([239]TRANSPORTES!B:B,MATCH(B1005,[239]TRANSPORTES!A:A,0)),"")</f>
        <v/>
      </c>
      <c r="E1005" s="143"/>
      <c r="F1005" s="143"/>
      <c r="G1005" s="143"/>
      <c r="H1005" s="143"/>
      <c r="I1005" s="143"/>
      <c r="J1005" s="143"/>
      <c r="K1005" s="144"/>
      <c r="L1005" s="145"/>
      <c r="M1005" s="146" t="str">
        <f>IFERROR(INDEX([239]TRANSPORTES!C:C,MATCH(B1005,[239]TRANSPORTES!A:A,0)),"")</f>
        <v/>
      </c>
      <c r="N1005" s="139" t="str">
        <f>IFERROR(INDEX([239]TRANSPORTES!D:D,MATCH(B1005,[239]TRANSPORTES!A:A,0)),"")</f>
        <v/>
      </c>
      <c r="O1005" s="147"/>
      <c r="P1005" s="148" t="str">
        <f>IFERROR(ROUND(K1005*N1005*L1005,2),"")</f>
        <v/>
      </c>
      <c r="Q1005" s="119"/>
      <c r="R1005" s="4"/>
    </row>
    <row r="1006" spans="1:18" ht="15.75" thickBot="1">
      <c r="A1006" s="1">
        <f t="shared" si="34"/>
        <v>0</v>
      </c>
      <c r="B1006" s="2"/>
      <c r="C1006" s="8"/>
      <c r="D1006" s="142" t="str">
        <f>IFERROR(INDEX([239]TRANSPORTES!B:B,MATCH(B1006,[239]TRANSPORTES!A:A,0)),"")</f>
        <v/>
      </c>
      <c r="E1006" s="143"/>
      <c r="F1006" s="143"/>
      <c r="G1006" s="143"/>
      <c r="H1006" s="143"/>
      <c r="I1006" s="143"/>
      <c r="J1006" s="143"/>
      <c r="K1006" s="149"/>
      <c r="L1006" s="150"/>
      <c r="M1006" s="146" t="str">
        <f>IFERROR(INDEX([239]TRANSPORTES!C:C,MATCH(B1006,[239]TRANSPORTES!A:A,0)),"")</f>
        <v/>
      </c>
      <c r="N1006" s="139" t="str">
        <f>IFERROR(INDEX([239]TRANSPORTES!D:D,MATCH(B1006,[239]TRANSPORTES!A:A,0)),"")</f>
        <v/>
      </c>
      <c r="O1006" s="147"/>
      <c r="P1006" s="148" t="str">
        <f>IFERROR(ROUND(K1006*N1006*L1006,2),"")</f>
        <v/>
      </c>
      <c r="Q1006" s="119"/>
      <c r="R1006" s="4"/>
    </row>
    <row r="1007" spans="1:18" ht="15.75" thickBot="1">
      <c r="A1007" s="1">
        <f t="shared" si="34"/>
        <v>0</v>
      </c>
      <c r="B1007" s="2"/>
      <c r="C1007" s="8"/>
      <c r="D1007" s="128" t="s">
        <v>24</v>
      </c>
      <c r="E1007" s="129"/>
      <c r="F1007" s="129"/>
      <c r="G1007" s="129"/>
      <c r="H1007" s="129"/>
      <c r="I1007" s="129"/>
      <c r="J1007" s="129"/>
      <c r="K1007" s="129"/>
      <c r="L1007" s="129"/>
      <c r="M1007" s="129"/>
      <c r="N1007" s="129"/>
      <c r="O1007" s="130"/>
      <c r="P1007" s="151">
        <f>SUM(P1003:P1006)</f>
        <v>0</v>
      </c>
      <c r="Q1007" s="132"/>
      <c r="R1007" s="4"/>
    </row>
    <row r="1008" spans="1:18" ht="15.75" thickBot="1">
      <c r="A1008" s="1">
        <f t="shared" si="34"/>
        <v>0</v>
      </c>
      <c r="B1008" s="2"/>
      <c r="C1008" s="8"/>
      <c r="D1008" s="74" t="s">
        <v>36</v>
      </c>
      <c r="E1008" s="37"/>
      <c r="F1008" s="37"/>
      <c r="G1008" s="37"/>
      <c r="H1008" s="37"/>
      <c r="I1008" s="37"/>
      <c r="J1008" s="37"/>
      <c r="K1008" s="37"/>
      <c r="L1008" s="37"/>
      <c r="M1008" s="37"/>
      <c r="N1008" s="37"/>
      <c r="O1008" s="37"/>
      <c r="P1008" s="99"/>
      <c r="Q1008" s="100"/>
      <c r="R1008" s="4"/>
    </row>
    <row r="1009" spans="1:18" ht="30">
      <c r="A1009" s="1">
        <f t="shared" si="34"/>
        <v>0</v>
      </c>
      <c r="B1009" s="2"/>
      <c r="C1009" s="8"/>
      <c r="D1009" s="101" t="s">
        <v>37</v>
      </c>
      <c r="E1009" s="133"/>
      <c r="F1009" s="133"/>
      <c r="G1009" s="133"/>
      <c r="H1009" s="133"/>
      <c r="I1009" s="133"/>
      <c r="J1009" s="133"/>
      <c r="K1009" s="106" t="s">
        <v>38</v>
      </c>
      <c r="L1009" s="152" t="s">
        <v>39</v>
      </c>
      <c r="M1009" s="153" t="s">
        <v>40</v>
      </c>
      <c r="N1009" s="104" t="s">
        <v>21</v>
      </c>
      <c r="O1009" s="105"/>
      <c r="P1009" s="154" t="s">
        <v>22</v>
      </c>
      <c r="Q1009" s="155"/>
      <c r="R1009" s="4"/>
    </row>
    <row r="1010" spans="1:18">
      <c r="A1010" s="1">
        <f t="shared" si="34"/>
        <v>0</v>
      </c>
      <c r="B1010" s="2" t="s">
        <v>41</v>
      </c>
      <c r="C1010" s="8"/>
      <c r="D1010" s="109" t="str">
        <f>IFERROR(INDEX('[239]MANO DE OBRA'!B:B,MATCH(B1010,'[239]MANO DE OBRA'!A:A,0)),"")</f>
        <v>OFICIAL</v>
      </c>
      <c r="E1010" s="110"/>
      <c r="F1010" s="110"/>
      <c r="G1010" s="110"/>
      <c r="H1010" s="110"/>
      <c r="I1010" s="110"/>
      <c r="J1010" s="111"/>
      <c r="K1010" s="156">
        <f>IFERROR(INDEX('[239]MANO DE OBRA'!D:D,MATCH(B1010,'[239]MANO DE OBRA'!A:A,0)),"")</f>
        <v>95930</v>
      </c>
      <c r="L1010" s="157">
        <f>+IF(D1010&lt;&gt;"",'[239]FACTOR PRESTACIONAL'!$E$21," ")</f>
        <v>1.95</v>
      </c>
      <c r="M1010" s="158">
        <f>IFERROR(K1010*L1010," ")</f>
        <v>187063.5</v>
      </c>
      <c r="N1010" s="159">
        <v>6.5</v>
      </c>
      <c r="O1010" s="160"/>
      <c r="P1010" s="161">
        <f>IFERROR(ROUND(M1010/N1010,2)," ")</f>
        <v>28779</v>
      </c>
      <c r="Q1010" s="162"/>
      <c r="R1010" s="4"/>
    </row>
    <row r="1011" spans="1:18">
      <c r="A1011" s="1">
        <f t="shared" si="34"/>
        <v>0</v>
      </c>
      <c r="B1011" s="2" t="s">
        <v>81</v>
      </c>
      <c r="C1011" s="8"/>
      <c r="D1011" s="109" t="str">
        <f>IFERROR(INDEX('[239]MANO DE OBRA'!B:B,MATCH(B1011,'[239]MANO DE OBRA'!A:A,0)),"")</f>
        <v>AYUDANTE (1)</v>
      </c>
      <c r="E1011" s="110"/>
      <c r="F1011" s="110"/>
      <c r="G1011" s="110"/>
      <c r="H1011" s="110"/>
      <c r="I1011" s="110"/>
      <c r="J1011" s="111"/>
      <c r="K1011" s="156">
        <f>IFERROR(INDEX('[239]MANO DE OBRA'!D:D,MATCH(B1011,'[239]MANO DE OBRA'!A:A,0)),"")</f>
        <v>71433</v>
      </c>
      <c r="L1011" s="157">
        <f>+IF(D1011&lt;&gt;"",'[239]FACTOR PRESTACIONAL'!$E$21," ")</f>
        <v>1.95</v>
      </c>
      <c r="M1011" s="158">
        <f>IFERROR(K1011*L1011," ")</f>
        <v>139294.35</v>
      </c>
      <c r="N1011" s="159">
        <v>6.5</v>
      </c>
      <c r="O1011" s="160"/>
      <c r="P1011" s="161">
        <f>IFERROR(ROUND(M1011/N1011,2)," ")</f>
        <v>21429.9</v>
      </c>
      <c r="Q1011" s="162"/>
      <c r="R1011" s="4"/>
    </row>
    <row r="1012" spans="1:18">
      <c r="A1012" s="1">
        <f t="shared" si="34"/>
        <v>0</v>
      </c>
      <c r="B1012" s="2"/>
      <c r="C1012" s="8"/>
      <c r="D1012" s="109" t="str">
        <f>IFERROR(INDEX('[239]MANO DE OBRA'!B:B,MATCH(B1012,'[239]MANO DE OBRA'!A:A,0)),"")</f>
        <v/>
      </c>
      <c r="E1012" s="110"/>
      <c r="F1012" s="110"/>
      <c r="G1012" s="110"/>
      <c r="H1012" s="110"/>
      <c r="I1012" s="110"/>
      <c r="J1012" s="111"/>
      <c r="K1012" s="156" t="str">
        <f>IFERROR(INDEX('[239]MANO DE OBRA'!D:D,MATCH(B1012,'[239]MANO DE OBRA'!A:A,0)),"")</f>
        <v/>
      </c>
      <c r="L1012" s="157" t="str">
        <f>+IF(D1012&lt;&gt;"",'[239]FACTOR PRESTACIONAL'!$E$21," ")</f>
        <v xml:space="preserve"> </v>
      </c>
      <c r="M1012" s="158" t="str">
        <f>IFERROR(K1012*L1012," ")</f>
        <v xml:space="preserve"> </v>
      </c>
      <c r="N1012" s="159"/>
      <c r="O1012" s="160"/>
      <c r="P1012" s="161" t="str">
        <f>IFERROR(ROUND(M1012/N1012,2)," ")</f>
        <v xml:space="preserve"> </v>
      </c>
      <c r="Q1012" s="162"/>
      <c r="R1012" s="4"/>
    </row>
    <row r="1013" spans="1:18">
      <c r="A1013" s="1">
        <f t="shared" si="34"/>
        <v>0</v>
      </c>
      <c r="B1013" s="2"/>
      <c r="C1013" s="8"/>
      <c r="D1013" s="109" t="str">
        <f>IFERROR(INDEX('[239]MANO DE OBRA'!B:B,MATCH(B1013,'[239]MANO DE OBRA'!A:A,0)),"")</f>
        <v/>
      </c>
      <c r="E1013" s="110"/>
      <c r="F1013" s="110"/>
      <c r="G1013" s="110"/>
      <c r="H1013" s="110"/>
      <c r="I1013" s="110"/>
      <c r="J1013" s="111"/>
      <c r="K1013" s="156" t="str">
        <f>IFERROR(INDEX('[239]MANO DE OBRA'!D:D,MATCH(B1013,'[239]MANO DE OBRA'!A:A,0)),"")</f>
        <v/>
      </c>
      <c r="L1013" s="157" t="str">
        <f>+IF(D1013&lt;&gt;"",'[239]FACTOR PRESTACIONAL'!$E$21," ")</f>
        <v xml:space="preserve"> </v>
      </c>
      <c r="M1013" s="158" t="str">
        <f>IFERROR(K1013*L1013," ")</f>
        <v xml:space="preserve"> </v>
      </c>
      <c r="N1013" s="159"/>
      <c r="O1013" s="160"/>
      <c r="P1013" s="161" t="str">
        <f>IFERROR(ROUND(M1013/N1013,2)," ")</f>
        <v xml:space="preserve"> </v>
      </c>
      <c r="Q1013" s="162"/>
      <c r="R1013" s="4"/>
    </row>
    <row r="1014" spans="1:18" ht="15.75" thickBot="1">
      <c r="A1014" s="1">
        <f t="shared" si="34"/>
        <v>0</v>
      </c>
      <c r="B1014" s="2"/>
      <c r="C1014" s="8"/>
      <c r="D1014" s="109" t="str">
        <f>IFERROR(INDEX('[239]MANO DE OBRA'!B:B,MATCH(B1014,'[239]MANO DE OBRA'!A:A,0)),"")</f>
        <v/>
      </c>
      <c r="E1014" s="110"/>
      <c r="F1014" s="110"/>
      <c r="G1014" s="110"/>
      <c r="H1014" s="110"/>
      <c r="I1014" s="110"/>
      <c r="J1014" s="111"/>
      <c r="K1014" s="156" t="str">
        <f>IFERROR(INDEX('[239]MANO DE OBRA'!D:D,MATCH(B1014,'[239]MANO DE OBRA'!A:A,0)),"")</f>
        <v/>
      </c>
      <c r="L1014" s="157" t="str">
        <f>+IF(D1014&lt;&gt;"",'[239]FACTOR PRESTACIONAL'!$E$21," ")</f>
        <v xml:space="preserve"> </v>
      </c>
      <c r="M1014" s="158" t="str">
        <f>IFERROR(K1014*L1014," ")</f>
        <v xml:space="preserve"> </v>
      </c>
      <c r="N1014" s="159"/>
      <c r="O1014" s="160"/>
      <c r="P1014" s="161" t="str">
        <f>IFERROR(ROUND(M1014/N1014,2)," ")</f>
        <v xml:space="preserve"> </v>
      </c>
      <c r="Q1014" s="119"/>
      <c r="R1014" s="4"/>
    </row>
    <row r="1015" spans="1:18" ht="15.75" thickBot="1">
      <c r="A1015" s="1">
        <f t="shared" si="34"/>
        <v>0</v>
      </c>
      <c r="B1015" s="2"/>
      <c r="C1015" s="8"/>
      <c r="D1015" s="128" t="s">
        <v>24</v>
      </c>
      <c r="E1015" s="129"/>
      <c r="F1015" s="129"/>
      <c r="G1015" s="129"/>
      <c r="H1015" s="129"/>
      <c r="I1015" s="129"/>
      <c r="J1015" s="129"/>
      <c r="K1015" s="129"/>
      <c r="L1015" s="129"/>
      <c r="M1015" s="129"/>
      <c r="N1015" s="129"/>
      <c r="O1015" s="130"/>
      <c r="P1015" s="131">
        <f>SUM(P1010:P1014)</f>
        <v>50208.9</v>
      </c>
      <c r="Q1015" s="119"/>
      <c r="R1015" s="4"/>
    </row>
    <row r="1016" spans="1:18" ht="15.75" thickBot="1">
      <c r="A1016" s="1">
        <f t="shared" si="34"/>
        <v>0</v>
      </c>
      <c r="B1016" s="2"/>
      <c r="C1016" s="8"/>
      <c r="D1016" s="87"/>
      <c r="E1016" s="20"/>
      <c r="F1016" s="20"/>
      <c r="G1016" s="20"/>
      <c r="H1016" s="20"/>
      <c r="I1016" s="20"/>
      <c r="J1016" s="20"/>
      <c r="K1016" s="20"/>
      <c r="L1016" s="20"/>
      <c r="M1016" s="20"/>
      <c r="N1016" s="20"/>
      <c r="O1016" s="20"/>
      <c r="P1016" s="88"/>
      <c r="Q1016" s="13"/>
      <c r="R1016" s="4"/>
    </row>
    <row r="1017" spans="1:18" ht="15.75" thickBot="1">
      <c r="A1017" s="1"/>
      <c r="B1017" s="2"/>
      <c r="C1017" s="8"/>
      <c r="D1017" s="163" t="s">
        <v>43</v>
      </c>
      <c r="E1017" s="164"/>
      <c r="F1017" s="164"/>
      <c r="G1017" s="164"/>
      <c r="H1017" s="164"/>
      <c r="I1017" s="164"/>
      <c r="J1017" s="164"/>
      <c r="K1017" s="164"/>
      <c r="L1017" s="164"/>
      <c r="M1017" s="164"/>
      <c r="N1017" s="164"/>
      <c r="O1017" s="165"/>
      <c r="P1017" s="166">
        <f>+P1015+P1007+P1000+P982</f>
        <v>106920.03000000001</v>
      </c>
      <c r="Q1017" s="167"/>
      <c r="R1017" s="168"/>
    </row>
    <row r="1018" spans="1:18" ht="15.75" thickBot="1">
      <c r="A1018" s="1"/>
      <c r="B1018" s="2"/>
      <c r="C1018" s="8"/>
      <c r="D1018" s="169"/>
      <c r="E1018" s="170"/>
      <c r="F1018" s="170"/>
      <c r="G1018" s="170"/>
      <c r="H1018" s="170"/>
      <c r="I1018" s="170"/>
      <c r="J1018" s="170"/>
      <c r="K1018" s="170"/>
      <c r="L1018" s="170"/>
      <c r="M1018" s="170"/>
      <c r="N1018" s="170"/>
      <c r="O1018" s="170"/>
      <c r="P1018" s="171"/>
      <c r="Q1018" s="100"/>
      <c r="R1018" s="4"/>
    </row>
    <row r="1019" spans="1:18">
      <c r="A1019" s="1"/>
      <c r="B1019" s="2"/>
      <c r="C1019" s="8"/>
      <c r="D1019" s="172" t="s">
        <v>73</v>
      </c>
      <c r="E1019" s="173"/>
      <c r="F1019" s="173"/>
      <c r="G1019" s="173"/>
      <c r="H1019" s="173"/>
      <c r="I1019" s="173"/>
      <c r="J1019" s="173"/>
      <c r="K1019" s="141"/>
      <c r="L1019" s="174"/>
      <c r="M1019" s="153" t="s">
        <v>44</v>
      </c>
      <c r="N1019" s="175" t="s">
        <v>45</v>
      </c>
      <c r="O1019" s="176"/>
      <c r="P1019" s="154"/>
      <c r="Q1019" s="155"/>
      <c r="R1019" s="4"/>
    </row>
    <row r="1020" spans="1:18">
      <c r="A1020" s="1"/>
      <c r="B1020" s="2"/>
      <c r="C1020" s="8"/>
      <c r="D1020" s="109" t="s">
        <v>65</v>
      </c>
      <c r="E1020" s="110"/>
      <c r="F1020" s="110"/>
      <c r="G1020" s="110"/>
      <c r="H1020" s="110"/>
      <c r="I1020" s="110"/>
      <c r="J1020" s="110"/>
      <c r="K1020" s="177"/>
      <c r="L1020" s="178"/>
      <c r="M1020" s="179">
        <f>+[239]INICIO!$F$10</f>
        <v>0.24</v>
      </c>
      <c r="N1020" s="180">
        <f>ROUND(M1020*P1017,2)</f>
        <v>25660.81</v>
      </c>
      <c r="O1020" s="181"/>
      <c r="P1020" s="182"/>
      <c r="Q1020" s="119"/>
      <c r="R1020" s="4"/>
    </row>
    <row r="1021" spans="1:18">
      <c r="A1021" s="1"/>
      <c r="B1021" s="2"/>
      <c r="C1021" s="8"/>
      <c r="D1021" s="183" t="s">
        <v>67</v>
      </c>
      <c r="E1021" s="61"/>
      <c r="F1021" s="61"/>
      <c r="G1021" s="61"/>
      <c r="H1021" s="61"/>
      <c r="I1021" s="61"/>
      <c r="J1021" s="61"/>
      <c r="K1021" s="177"/>
      <c r="L1021" s="178"/>
      <c r="M1021" s="179">
        <f>+[239]INICIO!$F$11</f>
        <v>0.02</v>
      </c>
      <c r="N1021" s="180">
        <f>ROUND(M1021*P1017,2)</f>
        <v>2138.4</v>
      </c>
      <c r="O1021" s="181"/>
      <c r="P1021" s="182"/>
      <c r="Q1021" s="119"/>
      <c r="R1021" s="4"/>
    </row>
    <row r="1022" spans="1:18" ht="15.75" thickBot="1">
      <c r="A1022" s="1"/>
      <c r="B1022" s="2"/>
      <c r="C1022" s="8"/>
      <c r="D1022" s="77" t="s">
        <v>69</v>
      </c>
      <c r="E1022" s="78"/>
      <c r="F1022" s="78"/>
      <c r="G1022" s="78"/>
      <c r="H1022" s="78"/>
      <c r="I1022" s="78"/>
      <c r="J1022" s="78"/>
      <c r="K1022" s="184"/>
      <c r="L1022" s="185"/>
      <c r="M1022" s="179">
        <f>+[239]INICIO!$F$12</f>
        <v>7.0000000000000007E-2</v>
      </c>
      <c r="N1022" s="180">
        <f>ROUND(M1022*P1017,2)</f>
        <v>7484.4</v>
      </c>
      <c r="O1022" s="181"/>
      <c r="P1022" s="182"/>
      <c r="Q1022" s="119"/>
      <c r="R1022" s="4"/>
    </row>
    <row r="1023" spans="1:18" ht="15.75" thickBot="1">
      <c r="A1023" s="1"/>
      <c r="B1023" s="2"/>
      <c r="C1023" s="8"/>
      <c r="D1023" s="128"/>
      <c r="E1023" s="129"/>
      <c r="F1023" s="129"/>
      <c r="G1023" s="129"/>
      <c r="H1023" s="129"/>
      <c r="I1023" s="129"/>
      <c r="J1023" s="129"/>
      <c r="K1023" s="129"/>
      <c r="L1023" s="129"/>
      <c r="M1023" s="129"/>
      <c r="N1023" s="129"/>
      <c r="O1023" s="130"/>
      <c r="P1023" s="131">
        <f>SUM(N1020:N1022)</f>
        <v>35283.61</v>
      </c>
      <c r="Q1023" s="186"/>
      <c r="R1023" s="4"/>
    </row>
    <row r="1024" spans="1:18" ht="15.75" thickBot="1">
      <c r="A1024" s="1"/>
      <c r="B1024" s="2"/>
      <c r="C1024" s="8"/>
      <c r="D1024" s="87"/>
      <c r="E1024" s="20"/>
      <c r="F1024" s="20"/>
      <c r="G1024" s="20"/>
      <c r="H1024" s="20"/>
      <c r="I1024" s="20"/>
      <c r="J1024" s="20"/>
      <c r="K1024" s="20"/>
      <c r="L1024" s="20"/>
      <c r="M1024" s="20"/>
      <c r="N1024" s="20"/>
      <c r="O1024" s="20"/>
      <c r="P1024" s="88"/>
      <c r="Q1024" s="13"/>
      <c r="R1024" s="4"/>
    </row>
    <row r="1025" spans="1:18" ht="15.75" thickBot="1">
      <c r="A1025" s="1"/>
      <c r="B1025" s="2"/>
      <c r="C1025" s="8"/>
      <c r="D1025" s="187" t="s">
        <v>46</v>
      </c>
      <c r="E1025" s="188"/>
      <c r="F1025" s="188"/>
      <c r="G1025" s="188"/>
      <c r="H1025" s="188"/>
      <c r="I1025" s="188"/>
      <c r="J1025" s="188"/>
      <c r="K1025" s="188"/>
      <c r="L1025" s="188"/>
      <c r="M1025" s="188"/>
      <c r="N1025" s="188"/>
      <c r="O1025" s="189"/>
      <c r="P1025" s="166">
        <f>ROUND(P1023+P1017,0)</f>
        <v>142204</v>
      </c>
      <c r="Q1025" s="186"/>
      <c r="R1025" s="4"/>
    </row>
    <row r="1026" spans="1:18">
      <c r="A1026" s="1"/>
      <c r="B1026" s="2"/>
      <c r="C1026" s="8"/>
      <c r="D1026" s="80"/>
      <c r="E1026" s="81"/>
      <c r="F1026" s="81"/>
      <c r="G1026" s="81"/>
      <c r="H1026" s="81"/>
      <c r="I1026" s="81"/>
      <c r="J1026" s="81"/>
      <c r="K1026" s="81"/>
      <c r="L1026" s="81"/>
      <c r="M1026" s="81"/>
      <c r="N1026" s="81"/>
      <c r="O1026" s="81"/>
      <c r="P1026" s="82"/>
      <c r="Q1026" s="13"/>
      <c r="R1026" s="4"/>
    </row>
    <row r="1027" spans="1:18">
      <c r="A1027" s="1"/>
      <c r="B1027" s="2"/>
      <c r="C1027" s="8"/>
      <c r="D1027" s="87"/>
      <c r="E1027" s="20"/>
      <c r="F1027" s="20"/>
      <c r="G1027" s="20"/>
      <c r="H1027" s="20"/>
      <c r="I1027" s="20"/>
      <c r="J1027" s="20"/>
      <c r="K1027" s="20"/>
      <c r="L1027" s="20"/>
      <c r="M1027" s="20"/>
      <c r="N1027" s="20"/>
      <c r="O1027" s="20"/>
      <c r="P1027" s="88"/>
      <c r="Q1027" s="13"/>
      <c r="R1027" s="4"/>
    </row>
    <row r="1028" spans="1:18">
      <c r="A1028" s="1"/>
      <c r="B1028" s="2"/>
      <c r="C1028" s="8"/>
      <c r="D1028" s="87"/>
      <c r="E1028" s="20"/>
      <c r="F1028" s="20"/>
      <c r="G1028" s="20"/>
      <c r="H1028" s="20"/>
      <c r="I1028" s="20"/>
      <c r="J1028" s="20"/>
      <c r="K1028" s="20"/>
      <c r="L1028" s="20"/>
      <c r="M1028" s="20"/>
      <c r="N1028" s="20"/>
      <c r="O1028" s="20"/>
      <c r="P1028" s="88"/>
      <c r="Q1028" s="13"/>
      <c r="R1028" s="4"/>
    </row>
    <row r="1029" spans="1:18">
      <c r="A1029" s="1"/>
      <c r="B1029" s="2"/>
      <c r="C1029" s="8"/>
      <c r="D1029" s="87"/>
      <c r="E1029" s="20"/>
      <c r="F1029" s="20"/>
      <c r="G1029" s="20"/>
      <c r="H1029" s="20"/>
      <c r="I1029" s="20"/>
      <c r="J1029" s="20"/>
      <c r="K1029" s="20"/>
      <c r="L1029" s="20"/>
      <c r="M1029" s="20"/>
      <c r="N1029" s="20"/>
      <c r="O1029" s="20"/>
      <c r="P1029" s="88"/>
      <c r="Q1029" s="13"/>
      <c r="R1029" s="4"/>
    </row>
    <row r="1030" spans="1:18">
      <c r="A1030" s="1"/>
      <c r="B1030" s="2"/>
      <c r="C1030" s="8"/>
      <c r="D1030" s="219" t="str">
        <f>+[239]INICIO!$B$13</f>
        <v>Proyectó:</v>
      </c>
      <c r="E1030" s="49"/>
      <c r="F1030" s="49"/>
      <c r="G1030" s="49"/>
      <c r="H1030" s="49"/>
      <c r="I1030" s="49"/>
      <c r="J1030" s="49"/>
      <c r="K1030" s="20"/>
      <c r="L1030" s="69" t="str">
        <f>+[239]INICIO!$B$16</f>
        <v>Aprobó:</v>
      </c>
      <c r="M1030" s="49"/>
      <c r="N1030" s="49"/>
      <c r="O1030" s="49"/>
      <c r="P1030" s="88"/>
      <c r="Q1030" s="13"/>
      <c r="R1030" s="4"/>
    </row>
    <row r="1031" spans="1:18">
      <c r="A1031" s="1"/>
      <c r="B1031" s="2"/>
      <c r="C1031" s="8"/>
      <c r="D1031" s="87"/>
      <c r="E1031" s="20" t="str">
        <f>+Hoja2!C$13</f>
        <v>HELMER EDUARDO BECERRA SANTANDER</v>
      </c>
      <c r="F1031" s="20"/>
      <c r="G1031" s="20"/>
      <c r="H1031" s="20"/>
      <c r="I1031" s="20"/>
      <c r="J1031" s="20"/>
      <c r="K1031" s="20"/>
      <c r="L1031" s="20"/>
      <c r="M1031" s="20" t="str">
        <f>+Hoja2!$C$16</f>
        <v>JESÚS IVÁN QUIÑONES RUEDA</v>
      </c>
      <c r="N1031" s="20"/>
      <c r="O1031" s="20"/>
      <c r="P1031" s="88"/>
      <c r="Q1031" s="190"/>
      <c r="R1031" s="4"/>
    </row>
    <row r="1032" spans="1:18">
      <c r="A1032" s="1"/>
      <c r="B1032" s="2"/>
      <c r="C1032" s="8"/>
      <c r="D1032" s="87"/>
      <c r="E1032" s="20" t="str">
        <f>+Hoja2!C$14</f>
        <v>APOYO SEC. DE PLANEACIÓN Y OBRAS PÚBLICAS</v>
      </c>
      <c r="F1032" s="20"/>
      <c r="G1032" s="20"/>
      <c r="H1032" s="20"/>
      <c r="I1032" s="20"/>
      <c r="J1032" s="20"/>
      <c r="K1032" s="20"/>
      <c r="L1032" s="20"/>
      <c r="M1032" s="20" t="str">
        <f>+Hoja2!$C$17</f>
        <v>SECRETARIO DE PLANEACIÓN Y OBRAS PUBLICAS</v>
      </c>
      <c r="N1032" s="20"/>
      <c r="O1032" s="20"/>
      <c r="P1032" s="88"/>
      <c r="Q1032" s="190"/>
      <c r="R1032" s="4"/>
    </row>
    <row r="1033" spans="1:18">
      <c r="A1033" s="1"/>
      <c r="B1033" s="2"/>
      <c r="C1033" s="8"/>
      <c r="D1033" s="68"/>
      <c r="E1033" s="20" t="str">
        <f>+Hoja2!C$15</f>
        <v>123769-0701671 NTS</v>
      </c>
      <c r="F1033" s="191"/>
      <c r="G1033" s="191"/>
      <c r="H1033" s="191"/>
      <c r="I1033" s="20"/>
      <c r="J1033" s="191"/>
      <c r="K1033" s="191"/>
      <c r="L1033" s="191"/>
      <c r="M1033" s="192" t="str">
        <f>+Hoja2!C$18</f>
        <v>A21382020-1090480860</v>
      </c>
      <c r="N1033" s="191"/>
      <c r="O1033" s="191"/>
      <c r="P1033" s="193"/>
      <c r="Q1033" s="194"/>
      <c r="R1033" s="4"/>
    </row>
    <row r="1034" spans="1:18" ht="16.5" thickBot="1">
      <c r="A1034" s="1"/>
      <c r="B1034" s="2"/>
      <c r="C1034" s="8"/>
      <c r="D1034" s="195"/>
      <c r="E1034" s="150"/>
      <c r="F1034" s="150"/>
      <c r="G1034" s="150"/>
      <c r="H1034" s="150"/>
      <c r="I1034" s="150"/>
      <c r="J1034" s="150"/>
      <c r="K1034" s="150"/>
      <c r="L1034" s="150"/>
      <c r="M1034" s="150"/>
      <c r="N1034" s="150"/>
      <c r="O1034" s="150"/>
      <c r="P1034" s="196"/>
      <c r="Q1034" s="197"/>
      <c r="R1034" s="4"/>
    </row>
    <row r="1035" spans="1:18" ht="15.75" thickBot="1">
      <c r="A1035" s="1"/>
      <c r="B1035" s="2"/>
      <c r="C1035" s="198"/>
      <c r="D1035" s="199"/>
      <c r="E1035" s="199"/>
      <c r="F1035" s="199"/>
      <c r="G1035" s="199"/>
      <c r="H1035" s="199"/>
      <c r="I1035" s="199"/>
      <c r="J1035" s="199"/>
      <c r="K1035" s="199"/>
      <c r="L1035" s="199"/>
      <c r="M1035" s="199"/>
      <c r="N1035" s="199"/>
      <c r="O1035" s="199"/>
      <c r="P1035" s="199"/>
      <c r="Q1035" s="200"/>
      <c r="R1035" s="4"/>
    </row>
    <row r="1036" spans="1:18" ht="16.5" thickTop="1" thickBot="1">
      <c r="A1036" s="1"/>
      <c r="B1036" s="2"/>
      <c r="C1036" s="3"/>
      <c r="D1036" s="4"/>
      <c r="E1036" s="4"/>
      <c r="F1036" s="4"/>
      <c r="G1036" s="4"/>
      <c r="H1036" s="4"/>
      <c r="I1036" s="4"/>
      <c r="J1036" s="4"/>
      <c r="K1036" s="4"/>
      <c r="L1036" s="4"/>
      <c r="M1036" s="4"/>
      <c r="N1036" s="4"/>
      <c r="O1036" s="4"/>
      <c r="P1036" s="4"/>
      <c r="Q1036" s="4"/>
      <c r="R1036" s="4"/>
    </row>
    <row r="1037" spans="1:18" ht="15.75" thickTop="1">
      <c r="A1037" s="1"/>
      <c r="B1037" s="2"/>
      <c r="C1037" s="5"/>
      <c r="D1037" s="6"/>
      <c r="E1037" s="6"/>
      <c r="F1037" s="6"/>
      <c r="G1037" s="6"/>
      <c r="H1037" s="6"/>
      <c r="I1037" s="6"/>
      <c r="J1037" s="6"/>
      <c r="K1037" s="6"/>
      <c r="L1037" s="6"/>
      <c r="M1037" s="6"/>
      <c r="N1037" s="6"/>
      <c r="O1037" s="6"/>
      <c r="P1037" s="6"/>
      <c r="Q1037" s="7"/>
      <c r="R1037" s="4"/>
    </row>
    <row r="1038" spans="1:18" ht="24">
      <c r="A1038" s="1"/>
      <c r="B1038" s="2"/>
      <c r="C1038" s="8"/>
      <c r="D1038" s="9" t="str">
        <f>+[239]INICIO!$C$8</f>
        <v>Análisis de Precios Unitarios- Secretaria de Planeación y Obras Publicas de Cubará, Boyacá.</v>
      </c>
      <c r="E1038" s="10"/>
      <c r="F1038" s="10"/>
      <c r="G1038" s="10"/>
      <c r="H1038" s="11"/>
      <c r="I1038" s="12"/>
      <c r="J1038" s="12"/>
      <c r="K1038" s="12"/>
      <c r="L1038" s="12"/>
      <c r="M1038" s="12"/>
      <c r="N1038" s="12"/>
      <c r="O1038" s="12"/>
      <c r="P1038" s="12"/>
      <c r="Q1038" s="13"/>
      <c r="R1038" s="4"/>
    </row>
    <row r="1039" spans="1:18">
      <c r="A1039" s="1"/>
      <c r="B1039" s="2"/>
      <c r="C1039" s="8"/>
      <c r="D1039" s="14" t="s">
        <v>0</v>
      </c>
      <c r="E1039" s="15" t="str">
        <f>+[239]INICIO!$C$7</f>
        <v>CCE-EICP-FM-14</v>
      </c>
      <c r="F1039" s="16"/>
      <c r="G1039" s="17" t="str">
        <f>+[239]INICIO!$B$6</f>
        <v>VERSIÓN</v>
      </c>
      <c r="H1039" s="14">
        <f>+[239]INICIO!$C$6</f>
        <v>1</v>
      </c>
      <c r="I1039" s="12"/>
      <c r="J1039" s="12"/>
      <c r="K1039" s="12"/>
      <c r="L1039" s="12"/>
      <c r="M1039" s="12"/>
      <c r="N1039" s="12"/>
      <c r="O1039" s="12"/>
      <c r="P1039" s="12"/>
      <c r="Q1039" s="13"/>
      <c r="R1039" s="4"/>
    </row>
    <row r="1040" spans="1:18">
      <c r="A1040" s="1"/>
      <c r="B1040" s="2"/>
      <c r="C1040" s="8"/>
      <c r="D1040" s="18"/>
      <c r="E1040" s="19"/>
      <c r="F1040" s="18"/>
      <c r="G1040" s="19"/>
      <c r="H1040" s="12"/>
      <c r="I1040" s="12"/>
      <c r="J1040" s="12"/>
      <c r="K1040" s="12"/>
      <c r="L1040" s="12"/>
      <c r="M1040" s="12"/>
      <c r="N1040" s="12"/>
      <c r="O1040" s="12"/>
      <c r="P1040" s="12"/>
      <c r="Q1040" s="13"/>
      <c r="R1040" s="4"/>
    </row>
    <row r="1041" spans="1:18" ht="15.75" thickBot="1">
      <c r="A1041" s="1"/>
      <c r="B1041" s="2"/>
      <c r="C1041" s="8"/>
      <c r="D1041" s="20"/>
      <c r="E1041" s="20"/>
      <c r="F1041" s="20"/>
      <c r="G1041" s="20"/>
      <c r="H1041" s="20"/>
      <c r="I1041" s="20"/>
      <c r="J1041" s="20"/>
      <c r="K1041" s="20"/>
      <c r="L1041" s="20"/>
      <c r="M1041" s="20"/>
      <c r="N1041" s="20"/>
      <c r="O1041" s="20"/>
      <c r="P1041" s="20"/>
      <c r="Q1041" s="13"/>
      <c r="R1041" s="4"/>
    </row>
    <row r="1042" spans="1:18">
      <c r="A1042" s="1"/>
      <c r="B1042" s="2"/>
      <c r="C1042" s="8"/>
      <c r="D1042" s="21"/>
      <c r="E1042" s="22"/>
      <c r="F1042" s="23"/>
      <c r="G1042" s="23"/>
      <c r="H1042" s="23"/>
      <c r="I1042" s="23"/>
      <c r="J1042" s="23"/>
      <c r="K1042" s="23"/>
      <c r="L1042" s="24"/>
      <c r="M1042" s="25"/>
      <c r="N1042" s="26"/>
      <c r="O1042" s="26"/>
      <c r="P1042" s="27"/>
      <c r="Q1042" s="28"/>
      <c r="R1042" s="4"/>
    </row>
    <row r="1043" spans="1:18">
      <c r="A1043" s="1"/>
      <c r="B1043" s="2"/>
      <c r="C1043" s="8"/>
      <c r="D1043" s="29"/>
      <c r="E1043" s="30" t="s">
        <v>1</v>
      </c>
      <c r="F1043" s="31"/>
      <c r="G1043" s="31"/>
      <c r="H1043" s="31"/>
      <c r="I1043" s="31"/>
      <c r="J1043" s="31"/>
      <c r="K1043" s="31"/>
      <c r="L1043" s="32"/>
      <c r="M1043" s="33"/>
      <c r="N1043" s="34"/>
      <c r="O1043" s="34"/>
      <c r="P1043" s="35"/>
      <c r="Q1043" s="28"/>
      <c r="R1043" s="4"/>
    </row>
    <row r="1044" spans="1:18">
      <c r="A1044" s="1"/>
      <c r="B1044" s="2"/>
      <c r="C1044" s="8"/>
      <c r="D1044" s="29"/>
      <c r="E1044" s="36"/>
      <c r="F1044" s="37"/>
      <c r="G1044" s="37"/>
      <c r="H1044" s="37"/>
      <c r="I1044" s="37"/>
      <c r="J1044" s="37"/>
      <c r="K1044" s="37"/>
      <c r="L1044" s="38"/>
      <c r="M1044" s="39"/>
      <c r="N1044" s="40"/>
      <c r="O1044" s="41"/>
      <c r="P1044" s="42"/>
      <c r="Q1044" s="28"/>
      <c r="R1044" s="4"/>
    </row>
    <row r="1045" spans="1:18">
      <c r="A1045" s="1"/>
      <c r="B1045" s="2"/>
      <c r="C1045" s="8"/>
      <c r="D1045" s="29"/>
      <c r="E1045" s="36"/>
      <c r="F1045" s="37"/>
      <c r="G1045" s="37"/>
      <c r="H1045" s="37"/>
      <c r="I1045" s="37"/>
      <c r="J1045" s="37"/>
      <c r="K1045" s="37"/>
      <c r="L1045" s="38"/>
      <c r="M1045" s="43" t="s">
        <v>2</v>
      </c>
      <c r="N1045" s="44"/>
      <c r="O1045" s="45">
        <f>+[239]INICIO!$C$6</f>
        <v>1</v>
      </c>
      <c r="P1045" s="46"/>
      <c r="Q1045" s="28"/>
      <c r="R1045" s="4"/>
    </row>
    <row r="1046" spans="1:18">
      <c r="A1046" s="1"/>
      <c r="B1046" s="2"/>
      <c r="C1046" s="8"/>
      <c r="D1046" s="29"/>
      <c r="E1046" s="36"/>
      <c r="F1046" s="37"/>
      <c r="G1046" s="37"/>
      <c r="H1046" s="37"/>
      <c r="I1046" s="37"/>
      <c r="J1046" s="37"/>
      <c r="K1046" s="37"/>
      <c r="L1046" s="38"/>
      <c r="M1046" s="47"/>
      <c r="N1046" s="48"/>
      <c r="O1046" s="49"/>
      <c r="P1046" s="50"/>
      <c r="Q1046" s="51"/>
      <c r="R1046" s="4"/>
    </row>
    <row r="1047" spans="1:18">
      <c r="A1047" s="1"/>
      <c r="B1047" s="2"/>
      <c r="C1047" s="8"/>
      <c r="D1047" s="29"/>
      <c r="E1047" s="52"/>
      <c r="F1047" s="53"/>
      <c r="G1047" s="53"/>
      <c r="H1047" s="53"/>
      <c r="I1047" s="53"/>
      <c r="J1047" s="53"/>
      <c r="K1047" s="53"/>
      <c r="L1047" s="54"/>
      <c r="M1047" s="39"/>
      <c r="N1047" s="55"/>
      <c r="O1047" s="55"/>
      <c r="P1047" s="56"/>
      <c r="Q1047" s="28"/>
      <c r="R1047" s="4"/>
    </row>
    <row r="1048" spans="1:18">
      <c r="A1048" s="1"/>
      <c r="B1048" s="2"/>
      <c r="C1048" s="8"/>
      <c r="D1048" s="29"/>
      <c r="E1048" s="52"/>
      <c r="F1048" s="53"/>
      <c r="G1048" s="53"/>
      <c r="H1048" s="53"/>
      <c r="I1048" s="53"/>
      <c r="J1048" s="53"/>
      <c r="K1048" s="53"/>
      <c r="L1048" s="54"/>
      <c r="M1048" s="43" t="s">
        <v>3</v>
      </c>
      <c r="N1048" s="43" t="str">
        <f>+VLOOKUP(D1059,'PRESUPUESTO OFICIAL '!C:Q,9,FALSE)</f>
        <v>49</v>
      </c>
      <c r="O1048" s="43" t="s">
        <v>4</v>
      </c>
      <c r="P1048" s="508" t="str">
        <f>+'PRESUPUESTO OFICIAL '!$M$122</f>
        <v>62</v>
      </c>
      <c r="Q1048" s="28"/>
      <c r="R1048" s="4"/>
    </row>
    <row r="1049" spans="1:18">
      <c r="A1049" s="1"/>
      <c r="B1049" s="2"/>
      <c r="C1049" s="8"/>
      <c r="D1049" s="29"/>
      <c r="E1049" s="30" t="s">
        <v>5</v>
      </c>
      <c r="F1049" s="31"/>
      <c r="G1049" s="31"/>
      <c r="H1049" s="31"/>
      <c r="I1049" s="31"/>
      <c r="J1049" s="31"/>
      <c r="K1049" s="31"/>
      <c r="L1049" s="32"/>
      <c r="M1049" s="43"/>
      <c r="N1049" s="57"/>
      <c r="O1049" s="57"/>
      <c r="P1049" s="58"/>
      <c r="Q1049" s="28"/>
      <c r="R1049" s="4"/>
    </row>
    <row r="1050" spans="1:18" ht="15.75" thickBot="1">
      <c r="A1050" s="1"/>
      <c r="B1050" s="2"/>
      <c r="C1050" s="8"/>
      <c r="D1050" s="59"/>
      <c r="E1050" s="60"/>
      <c r="F1050" s="60"/>
      <c r="G1050" s="60"/>
      <c r="H1050" s="60"/>
      <c r="I1050" s="60"/>
      <c r="J1050" s="60"/>
      <c r="K1050" s="60"/>
      <c r="L1050" s="60"/>
      <c r="M1050" s="60"/>
      <c r="N1050" s="61"/>
      <c r="O1050" s="61"/>
      <c r="P1050" s="62"/>
      <c r="Q1050" s="63"/>
      <c r="R1050" s="4"/>
    </row>
    <row r="1051" spans="1:18">
      <c r="A1051" s="1"/>
      <c r="B1051" s="2"/>
      <c r="C1051" s="8"/>
      <c r="D1051" s="64"/>
      <c r="E1051" s="65"/>
      <c r="F1051" s="65"/>
      <c r="G1051" s="65"/>
      <c r="H1051" s="65"/>
      <c r="I1051" s="65"/>
      <c r="J1051" s="65"/>
      <c r="K1051" s="65"/>
      <c r="L1051" s="65"/>
      <c r="M1051" s="66" t="s">
        <v>6</v>
      </c>
      <c r="N1051" s="66" t="s">
        <v>7</v>
      </c>
      <c r="O1051" s="66" t="s">
        <v>8</v>
      </c>
      <c r="P1051" s="67" t="s">
        <v>9</v>
      </c>
      <c r="Q1051" s="51"/>
      <c r="R1051" s="4"/>
    </row>
    <row r="1052" spans="1:18">
      <c r="A1052" s="1"/>
      <c r="B1052" s="2"/>
      <c r="C1052" s="8"/>
      <c r="D1052" s="68"/>
      <c r="E1052" s="69"/>
      <c r="F1052" s="69"/>
      <c r="G1052" s="69"/>
      <c r="H1052" s="69"/>
      <c r="I1052" s="69"/>
      <c r="J1052" s="69"/>
      <c r="K1052" s="69"/>
      <c r="L1052" s="69"/>
      <c r="M1052" s="70"/>
      <c r="N1052" s="71">
        <f>+Hoja2!B$5</f>
        <v>5</v>
      </c>
      <c r="O1052" s="71">
        <f>+Hoja2!C$5</f>
        <v>8</v>
      </c>
      <c r="P1052" s="72">
        <f>+Hoja2!D$5</f>
        <v>2026</v>
      </c>
      <c r="Q1052" s="73"/>
      <c r="R1052" s="4"/>
    </row>
    <row r="1053" spans="1:18">
      <c r="A1053" s="1"/>
      <c r="B1053" s="2"/>
      <c r="C1053" s="8"/>
      <c r="D1053" s="74"/>
      <c r="E1053" s="37"/>
      <c r="F1053" s="37"/>
      <c r="G1053" s="37"/>
      <c r="H1053" s="69"/>
      <c r="I1053" s="69"/>
      <c r="J1053" s="69"/>
      <c r="K1053" s="20"/>
      <c r="L1053" s="69"/>
      <c r="M1053" s="75"/>
      <c r="N1053" s="20"/>
      <c r="O1053" s="20"/>
      <c r="P1053" s="76"/>
      <c r="Q1053" s="73"/>
      <c r="R1053" s="4"/>
    </row>
    <row r="1054" spans="1:18" ht="15.75" thickBot="1">
      <c r="A1054" s="1"/>
      <c r="B1054" s="2"/>
      <c r="C1054" s="8"/>
      <c r="D1054" s="77"/>
      <c r="E1054" s="78"/>
      <c r="F1054" s="78"/>
      <c r="G1054" s="78"/>
      <c r="H1054" s="78"/>
      <c r="I1054" s="78"/>
      <c r="J1054" s="78"/>
      <c r="K1054" s="78"/>
      <c r="L1054" s="78"/>
      <c r="M1054" s="78"/>
      <c r="N1054" s="78"/>
      <c r="O1054" s="78"/>
      <c r="P1054" s="79"/>
      <c r="Q1054" s="13"/>
      <c r="R1054" s="4"/>
    </row>
    <row r="1055" spans="1:18" ht="15.75" thickBot="1">
      <c r="A1055" s="1"/>
      <c r="B1055" s="2"/>
      <c r="C1055" s="8"/>
      <c r="D1055" s="80"/>
      <c r="E1055" s="81"/>
      <c r="F1055" s="81"/>
      <c r="G1055" s="81"/>
      <c r="H1055" s="81"/>
      <c r="I1055" s="81"/>
      <c r="J1055" s="20"/>
      <c r="K1055" s="20"/>
      <c r="L1055" s="81"/>
      <c r="M1055" s="81"/>
      <c r="N1055" s="81"/>
      <c r="O1055" s="81"/>
      <c r="P1055" s="82"/>
      <c r="Q1055" s="13"/>
      <c r="R1055" s="4"/>
    </row>
    <row r="1056" spans="1:18">
      <c r="A1056" s="1"/>
      <c r="B1056" s="2"/>
      <c r="C1056" s="8"/>
      <c r="D1056" s="83" t="s">
        <v>10</v>
      </c>
      <c r="E1056" s="84"/>
      <c r="F1056" s="84"/>
      <c r="G1056" s="84"/>
      <c r="H1056" s="84"/>
      <c r="I1056" s="84"/>
      <c r="J1056" s="84"/>
      <c r="K1056" s="84"/>
      <c r="L1056" s="84"/>
      <c r="M1056" s="84"/>
      <c r="N1056" s="84"/>
      <c r="O1056" s="84"/>
      <c r="P1056" s="85"/>
      <c r="Q1056" s="86"/>
      <c r="R1056" s="4"/>
    </row>
    <row r="1057" spans="1:18" ht="15.75" thickBot="1">
      <c r="A1057" s="1"/>
      <c r="B1057" s="2"/>
      <c r="C1057" s="8"/>
      <c r="D1057" s="87"/>
      <c r="E1057" s="20"/>
      <c r="F1057" s="20"/>
      <c r="G1057" s="20"/>
      <c r="H1057" s="20"/>
      <c r="I1057" s="20"/>
      <c r="J1057" s="20"/>
      <c r="K1057" s="20"/>
      <c r="L1057" s="20"/>
      <c r="M1057" s="20"/>
      <c r="N1057" s="20"/>
      <c r="O1057" s="20"/>
      <c r="P1057" s="88"/>
      <c r="Q1057" s="13"/>
      <c r="R1057" s="4"/>
    </row>
    <row r="1058" spans="1:18">
      <c r="A1058" s="1" t="s">
        <v>11</v>
      </c>
      <c r="B1058" s="2" t="s">
        <v>12</v>
      </c>
      <c r="C1058" s="8"/>
      <c r="D1058" s="89" t="s">
        <v>13</v>
      </c>
      <c r="E1058" s="90" t="s">
        <v>14</v>
      </c>
      <c r="F1058" s="90"/>
      <c r="G1058" s="90"/>
      <c r="H1058" s="90"/>
      <c r="I1058" s="90"/>
      <c r="J1058" s="90"/>
      <c r="K1058" s="90"/>
      <c r="L1058" s="90"/>
      <c r="M1058" s="90"/>
      <c r="N1058" s="91" t="s">
        <v>15</v>
      </c>
      <c r="O1058" s="91"/>
      <c r="P1058" s="92" t="s">
        <v>16</v>
      </c>
      <c r="Q1058" s="93"/>
      <c r="R1058" s="4"/>
    </row>
    <row r="1059" spans="1:18" ht="15.75" thickBot="1">
      <c r="A1059" s="1"/>
      <c r="B1059" s="2"/>
      <c r="C1059" s="8"/>
      <c r="D1059" s="349">
        <f>+'PRESUPUESTO OFICIAL '!C76</f>
        <v>6.08</v>
      </c>
      <c r="E1059" s="94" t="str">
        <f>+VLOOKUP(D1059,'PRESUPUESTO OFICIAL '!C:H,2,FALSE)</f>
        <v>GUARDA ESCOBA EN CERÁMICA E = 8.0 CM.</v>
      </c>
      <c r="F1059" s="94"/>
      <c r="G1059" s="94"/>
      <c r="H1059" s="94"/>
      <c r="I1059" s="94"/>
      <c r="J1059" s="94"/>
      <c r="K1059" s="94"/>
      <c r="L1059" s="94"/>
      <c r="M1059" s="94"/>
      <c r="N1059" s="94" t="str">
        <f>+VLOOKUP(D1059,'PRESUPUESTO OFICIAL '!C:H,3,FALSE)</f>
        <v>M</v>
      </c>
      <c r="O1059" s="95"/>
      <c r="P1059" s="96">
        <f>+VLOOKUP(D1059,'PRESUPUESTO OFICIAL '!C:H,4,FALSE)</f>
        <v>160.96</v>
      </c>
      <c r="Q1059" s="97"/>
      <c r="R1059" s="98">
        <f>+P1111</f>
        <v>25699</v>
      </c>
    </row>
    <row r="1060" spans="1:18" ht="15.75" thickBot="1">
      <c r="A1060" s="1"/>
      <c r="B1060" s="2"/>
      <c r="C1060" s="8"/>
      <c r="D1060" s="74" t="s">
        <v>17</v>
      </c>
      <c r="E1060" s="37"/>
      <c r="F1060" s="37"/>
      <c r="G1060" s="37"/>
      <c r="H1060" s="37"/>
      <c r="I1060" s="37"/>
      <c r="J1060" s="37"/>
      <c r="K1060" s="37"/>
      <c r="L1060" s="37"/>
      <c r="M1060" s="37"/>
      <c r="N1060" s="37"/>
      <c r="O1060" s="37"/>
      <c r="P1060" s="99"/>
      <c r="Q1060" s="100"/>
      <c r="R1060" s="4"/>
    </row>
    <row r="1061" spans="1:18">
      <c r="A1061" s="1"/>
      <c r="B1061" s="2"/>
      <c r="C1061" s="8"/>
      <c r="D1061" s="101" t="s">
        <v>14</v>
      </c>
      <c r="E1061" s="102"/>
      <c r="F1061" s="102"/>
      <c r="G1061" s="102"/>
      <c r="H1061" s="103"/>
      <c r="I1061" s="104" t="s">
        <v>18</v>
      </c>
      <c r="J1061" s="102"/>
      <c r="K1061" s="104" t="s">
        <v>19</v>
      </c>
      <c r="L1061" s="105"/>
      <c r="M1061" s="106" t="s">
        <v>20</v>
      </c>
      <c r="N1061" s="104" t="s">
        <v>21</v>
      </c>
      <c r="O1061" s="105"/>
      <c r="P1061" s="107" t="s">
        <v>22</v>
      </c>
      <c r="Q1061" s="108"/>
      <c r="R1061" s="4"/>
    </row>
    <row r="1062" spans="1:18">
      <c r="A1062" s="1" t="s">
        <v>261</v>
      </c>
      <c r="B1062" s="2" t="s">
        <v>23</v>
      </c>
      <c r="C1062" s="8"/>
      <c r="D1062" s="109" t="str">
        <f>IFERROR(INDEX([239]EQUIPOS!B:B,MATCH(B1062,[239]EQUIPOS!A:A,0)),"")</f>
        <v>HERRAMIENTA MENOR (% M.O)</v>
      </c>
      <c r="E1062" s="110"/>
      <c r="F1062" s="110"/>
      <c r="G1062" s="110"/>
      <c r="H1062" s="111"/>
      <c r="I1062" s="112"/>
      <c r="J1062" s="111"/>
      <c r="K1062" s="113" t="str">
        <f>IFERROR(INDEX([239]EQUIPOS!C:C,MATCH(B1062,[239]EQUIPOS!A:A,0)),"")</f>
        <v>%</v>
      </c>
      <c r="L1062" s="114"/>
      <c r="M1062" s="115">
        <f>IFERROR(IF(D1062="HERRAMIENTA MENOR (% M.O)",P1101,INDEX([239]EQUIPOS!D:D,MATCH(B1062,[239]EQUIPOS!A:A,0))),"")</f>
        <v>13598.240000000002</v>
      </c>
      <c r="N1062" s="116">
        <v>10</v>
      </c>
      <c r="O1062" s="117"/>
      <c r="P1062" s="118">
        <f t="shared" ref="P1062:P1067" si="36">IFERROR(ROUND(IF(D1062="HERRAMIENTA MENOR (% M.O)",N1062%*M1062,M1062/N1062),2)," ")</f>
        <v>1359.82</v>
      </c>
      <c r="Q1062" s="119"/>
      <c r="R1062" s="4"/>
    </row>
    <row r="1063" spans="1:18">
      <c r="A1063" s="1">
        <f>+$A$2593</f>
        <v>0</v>
      </c>
      <c r="B1063" s="2"/>
      <c r="C1063" s="8"/>
      <c r="D1063" s="109" t="str">
        <f>IFERROR(INDEX([239]EQUIPOS!B:B,MATCH(B1063,[239]EQUIPOS!A:A,0)),"")</f>
        <v/>
      </c>
      <c r="E1063" s="110"/>
      <c r="F1063" s="110"/>
      <c r="G1063" s="110"/>
      <c r="H1063" s="111"/>
      <c r="I1063" s="112"/>
      <c r="J1063" s="111"/>
      <c r="K1063" s="113" t="str">
        <f>IFERROR(INDEX([239]EQUIPOS!C:C,MATCH(B1063,[239]EQUIPOS!A:A,0)),"")</f>
        <v/>
      </c>
      <c r="L1063" s="114"/>
      <c r="M1063" s="115" t="str">
        <f>IFERROR(IF(D1063="HERRAMIENTA MENOR (% M.O)",P1102,INDEX([239]EQUIPOS!D:D,MATCH(B1063,[239]EQUIPOS!A:A,0))),"")</f>
        <v/>
      </c>
      <c r="N1063" s="116"/>
      <c r="O1063" s="117"/>
      <c r="P1063" s="118" t="str">
        <f t="shared" si="36"/>
        <v xml:space="preserve"> </v>
      </c>
      <c r="Q1063" s="119"/>
      <c r="R1063" s="4"/>
    </row>
    <row r="1064" spans="1:18">
      <c r="A1064" s="1">
        <f t="shared" ref="A1064:A1102" si="37">+A1063</f>
        <v>0</v>
      </c>
      <c r="B1064" s="2"/>
      <c r="C1064" s="8"/>
      <c r="D1064" s="109" t="str">
        <f>IFERROR(INDEX([239]EQUIPOS!B:B,MATCH(B1064,[239]EQUIPOS!A:A,0)),"")</f>
        <v/>
      </c>
      <c r="E1064" s="110"/>
      <c r="F1064" s="110"/>
      <c r="G1064" s="110"/>
      <c r="H1064" s="111"/>
      <c r="I1064" s="120"/>
      <c r="J1064" s="121"/>
      <c r="K1064" s="113" t="str">
        <f>IFERROR(INDEX([239]EQUIPOS!C:C,MATCH(B1064,[239]EQUIPOS!A:A,0)),"")</f>
        <v/>
      </c>
      <c r="L1064" s="114"/>
      <c r="M1064" s="115" t="str">
        <f>IFERROR(IF(D1064="HERRAMIENTA MENOR (% M.O)",P1103,INDEX([239]EQUIPOS!D:D,MATCH(B1064,[239]EQUIPOS!A:A,0))),"")</f>
        <v/>
      </c>
      <c r="N1064" s="116"/>
      <c r="O1064" s="117"/>
      <c r="P1064" s="118" t="str">
        <f t="shared" si="36"/>
        <v xml:space="preserve"> </v>
      </c>
      <c r="Q1064" s="119"/>
      <c r="R1064" s="4"/>
    </row>
    <row r="1065" spans="1:18">
      <c r="A1065" s="1"/>
      <c r="B1065" s="2"/>
      <c r="C1065" s="8"/>
      <c r="D1065" s="109" t="str">
        <f>IFERROR(INDEX([239]EQUIPOS!B:B,MATCH(B1065,[239]EQUIPOS!A:A,0)),"")</f>
        <v/>
      </c>
      <c r="E1065" s="110"/>
      <c r="F1065" s="110"/>
      <c r="G1065" s="110"/>
      <c r="H1065" s="111"/>
      <c r="I1065" s="120"/>
      <c r="J1065" s="121"/>
      <c r="K1065" s="113" t="str">
        <f>IFERROR(INDEX([239]EQUIPOS!C:C,MATCH(B1065,[239]EQUIPOS!A:A,0)),"")</f>
        <v/>
      </c>
      <c r="L1065" s="114"/>
      <c r="M1065" s="115" t="str">
        <f>IFERROR(IF(D1065="HERRAMIENTA MENOR (% M.O)",P1104,INDEX([239]EQUIPOS!D:D,MATCH(B1065,[239]EQUIPOS!A:A,0))),"")</f>
        <v/>
      </c>
      <c r="N1065" s="116"/>
      <c r="O1065" s="117"/>
      <c r="P1065" s="118" t="str">
        <f t="shared" si="36"/>
        <v xml:space="preserve"> </v>
      </c>
      <c r="Q1065" s="119"/>
      <c r="R1065" s="4"/>
    </row>
    <row r="1066" spans="1:18">
      <c r="A1066" s="1"/>
      <c r="B1066" s="2"/>
      <c r="C1066" s="8"/>
      <c r="D1066" s="109" t="str">
        <f>IFERROR(INDEX([239]EQUIPOS!B:B,MATCH(B1066,[239]EQUIPOS!A:A,0)),"")</f>
        <v/>
      </c>
      <c r="E1066" s="110"/>
      <c r="F1066" s="110"/>
      <c r="G1066" s="110"/>
      <c r="H1066" s="111"/>
      <c r="I1066" s="112"/>
      <c r="J1066" s="111"/>
      <c r="K1066" s="113" t="str">
        <f>IFERROR(INDEX([239]EQUIPOS!C:C,MATCH(B1066,[239]EQUIPOS!A:A,0)),"")</f>
        <v/>
      </c>
      <c r="L1066" s="114"/>
      <c r="M1066" s="115" t="str">
        <f>IFERROR(IF(D1066="HERRAMIENTA MENOR (% M.O)",P1105,INDEX([239]EQUIPOS!D:D,MATCH(B1066,[239]EQUIPOS!A:A,0))),"")</f>
        <v/>
      </c>
      <c r="N1066" s="116"/>
      <c r="O1066" s="117"/>
      <c r="P1066" s="118" t="str">
        <f t="shared" si="36"/>
        <v xml:space="preserve"> </v>
      </c>
      <c r="Q1066" s="119"/>
      <c r="R1066" s="4"/>
    </row>
    <row r="1067" spans="1:18" ht="15.75" thickBot="1">
      <c r="A1067" s="1"/>
      <c r="B1067" s="2"/>
      <c r="C1067" s="8"/>
      <c r="D1067" s="109" t="str">
        <f>IFERROR(INDEX([239]EQUIPOS!B:B,MATCH(B1067,[239]EQUIPOS!A:A,0)),"")</f>
        <v/>
      </c>
      <c r="E1067" s="78"/>
      <c r="F1067" s="78"/>
      <c r="G1067" s="78"/>
      <c r="H1067" s="122"/>
      <c r="I1067" s="123"/>
      <c r="J1067" s="122"/>
      <c r="K1067" s="113" t="str">
        <f>IFERROR(INDEX([239]EQUIPOS!C:C,MATCH(B1067,[239]EQUIPOS!A:A,0)),"")</f>
        <v/>
      </c>
      <c r="L1067" s="124"/>
      <c r="M1067" s="115" t="str">
        <f>IFERROR(IF(D1067="HERRAMIENTA MENOR (% M.O)",P1106,INDEX([239]EQUIPOS!D:D,MATCH(B1067,[239]EQUIPOS!A:A,0))),"")</f>
        <v/>
      </c>
      <c r="N1067" s="125"/>
      <c r="O1067" s="126"/>
      <c r="P1067" s="127" t="str">
        <f t="shared" si="36"/>
        <v xml:space="preserve"> </v>
      </c>
      <c r="Q1067" s="119"/>
      <c r="R1067" s="4"/>
    </row>
    <row r="1068" spans="1:18" ht="15.75" thickBot="1">
      <c r="A1068" s="1"/>
      <c r="B1068" s="2"/>
      <c r="C1068" s="8"/>
      <c r="D1068" s="128" t="s">
        <v>24</v>
      </c>
      <c r="E1068" s="129"/>
      <c r="F1068" s="129"/>
      <c r="G1068" s="129"/>
      <c r="H1068" s="129"/>
      <c r="I1068" s="129"/>
      <c r="J1068" s="129"/>
      <c r="K1068" s="129"/>
      <c r="L1068" s="129"/>
      <c r="M1068" s="129"/>
      <c r="N1068" s="129"/>
      <c r="O1068" s="130"/>
      <c r="P1068" s="131">
        <f>SUM(P1062:P1067)</f>
        <v>1359.82</v>
      </c>
      <c r="Q1068" s="132"/>
      <c r="R1068" s="4"/>
    </row>
    <row r="1069" spans="1:18" ht="15.75" thickBot="1">
      <c r="A1069" s="1"/>
      <c r="B1069" s="2"/>
      <c r="C1069" s="8"/>
      <c r="D1069" s="74" t="s">
        <v>25</v>
      </c>
      <c r="E1069" s="37"/>
      <c r="F1069" s="37"/>
      <c r="G1069" s="37"/>
      <c r="H1069" s="37"/>
      <c r="I1069" s="37"/>
      <c r="J1069" s="37"/>
      <c r="K1069" s="37"/>
      <c r="L1069" s="37"/>
      <c r="M1069" s="37"/>
      <c r="N1069" s="37"/>
      <c r="O1069" s="37"/>
      <c r="P1069" s="99"/>
      <c r="Q1069" s="100"/>
      <c r="R1069" s="4"/>
    </row>
    <row r="1070" spans="1:18">
      <c r="A1070" s="1"/>
      <c r="B1070" s="2"/>
      <c r="C1070" s="8"/>
      <c r="D1070" s="101" t="s">
        <v>14</v>
      </c>
      <c r="E1070" s="133"/>
      <c r="F1070" s="133"/>
      <c r="G1070" s="133"/>
      <c r="H1070" s="133"/>
      <c r="I1070" s="133"/>
      <c r="J1070" s="133"/>
      <c r="K1070" s="105"/>
      <c r="L1070" s="134" t="s">
        <v>15</v>
      </c>
      <c r="M1070" s="106" t="s">
        <v>16</v>
      </c>
      <c r="N1070" s="104" t="s">
        <v>26</v>
      </c>
      <c r="O1070" s="105"/>
      <c r="P1070" s="107" t="s">
        <v>22</v>
      </c>
      <c r="Q1070" s="108"/>
      <c r="R1070" s="4"/>
    </row>
    <row r="1071" spans="1:18">
      <c r="A1071" s="1"/>
      <c r="B1071" s="2" t="s">
        <v>337</v>
      </c>
      <c r="C1071" s="8"/>
      <c r="D1071" s="109" t="str">
        <f>IFERROR(INDEX([239]MATERIALES!C:C,MATCH(B1071,[239]MATERIALES!B:B,0)),"")</f>
        <v>CERÁMICA PARA PISO PEI IV</v>
      </c>
      <c r="E1071" s="135"/>
      <c r="F1071" s="135"/>
      <c r="G1071" s="135"/>
      <c r="H1071" s="135"/>
      <c r="I1071" s="135"/>
      <c r="J1071" s="135"/>
      <c r="K1071" s="136"/>
      <c r="L1071" s="137" t="str">
        <f>IFERROR(INDEX([239]MATERIALES!D:D,MATCH(B1071,[239]MATERIALES!B:B,0)),"")</f>
        <v>M2</v>
      </c>
      <c r="M1071" s="138">
        <f>1*0.08</f>
        <v>0.08</v>
      </c>
      <c r="N1071" s="139">
        <f>IFERROR(INDEX([239]MATERIALES!P:P,MATCH(B1071,[239]MATERIALES!B:B,0)),"")</f>
        <v>42708.98</v>
      </c>
      <c r="O1071" s="140"/>
      <c r="P1071" s="118">
        <f>IFERROR(ROUND(N1071*M1071,2),"")</f>
        <v>3416.72</v>
      </c>
      <c r="Q1071" s="119"/>
      <c r="R1071" s="4"/>
    </row>
    <row r="1072" spans="1:18">
      <c r="A1072" s="1">
        <f t="shared" si="37"/>
        <v>0</v>
      </c>
      <c r="B1072" s="2" t="s">
        <v>330</v>
      </c>
      <c r="C1072" s="8"/>
      <c r="D1072" s="109" t="str">
        <f>IFERROR(INDEX([239]MATERIALES!C:C,MATCH(B1072,[239]MATERIALES!B:B,0)),"")</f>
        <v>PEGANTE CERÁMICO (PEGACOR O SIMILAR)</v>
      </c>
      <c r="E1072" s="135"/>
      <c r="F1072" s="135"/>
      <c r="G1072" s="135"/>
      <c r="H1072" s="135"/>
      <c r="I1072" s="135"/>
      <c r="J1072" s="135"/>
      <c r="K1072" s="136"/>
      <c r="L1072" s="137" t="str">
        <f>IFERROR(INDEX([239]MATERIALES!D:D,MATCH(B1072,[239]MATERIALES!B:B,0)),"")</f>
        <v>KG</v>
      </c>
      <c r="M1072" s="138">
        <v>0.45</v>
      </c>
      <c r="N1072" s="139">
        <f>IFERROR(INDEX([239]MATERIALES!P:P,MATCH(B1072,[239]MATERIALES!B:B,0)),"")</f>
        <v>1397.76</v>
      </c>
      <c r="O1072" s="140"/>
      <c r="P1072" s="118">
        <f>IFERROR(ROUND(N1072*M1072,2),"")</f>
        <v>628.99</v>
      </c>
      <c r="Q1072" s="119"/>
      <c r="R1072" s="4"/>
    </row>
    <row r="1073" spans="1:18">
      <c r="A1073" s="1">
        <f t="shared" si="37"/>
        <v>0</v>
      </c>
      <c r="B1073" s="2" t="s">
        <v>331</v>
      </c>
      <c r="C1073" s="8"/>
      <c r="D1073" s="109" t="str">
        <f>IFERROR(INDEX([239]MATERIALES!C:C,MATCH(B1073,[239]MATERIALES!B:B,0)),"")</f>
        <v>BOQUILLA PARA JUNTAS</v>
      </c>
      <c r="E1073" s="110"/>
      <c r="F1073" s="110"/>
      <c r="G1073" s="110"/>
      <c r="H1073" s="110"/>
      <c r="I1073" s="110"/>
      <c r="J1073" s="110"/>
      <c r="K1073" s="111"/>
      <c r="L1073" s="137" t="str">
        <f>IFERROR(INDEX([239]MATERIALES!D:D,MATCH(B1073,[239]MATERIALES!B:B,0)),"")</f>
        <v>KG</v>
      </c>
      <c r="M1073" s="352">
        <v>1.4999999999999999E-2</v>
      </c>
      <c r="N1073" s="139">
        <f>IFERROR(INDEX([239]MATERIALES!P:P,MATCH(B1073,[239]MATERIALES!B:B,0)),"")</f>
        <v>7350</v>
      </c>
      <c r="O1073" s="140"/>
      <c r="P1073" s="118">
        <f>IFERROR(ROUND(N1073*M1073,2),"")</f>
        <v>110.25</v>
      </c>
      <c r="Q1073" s="119"/>
      <c r="R1073" s="4"/>
    </row>
    <row r="1074" spans="1:18">
      <c r="A1074" s="1">
        <f t="shared" si="37"/>
        <v>0</v>
      </c>
      <c r="B1074" s="2" t="s">
        <v>27</v>
      </c>
      <c r="C1074" s="8"/>
      <c r="D1074" s="109" t="str">
        <f>IFERROR(INDEX([239]MATERIALES!C:C,MATCH(B1074,[239]MATERIALES!B:B,0)),"")</f>
        <v>AGUA</v>
      </c>
      <c r="E1074" s="110"/>
      <c r="F1074" s="110"/>
      <c r="G1074" s="110"/>
      <c r="H1074" s="110"/>
      <c r="I1074" s="110"/>
      <c r="J1074" s="110"/>
      <c r="K1074" s="111"/>
      <c r="L1074" s="137" t="str">
        <f>IFERROR(INDEX([239]MATERIALES!D:D,MATCH(B1074,[239]MATERIALES!B:B,0)),"")</f>
        <v>LT</v>
      </c>
      <c r="M1074" s="138">
        <v>0.1</v>
      </c>
      <c r="N1074" s="139">
        <f>IFERROR(INDEX([239]MATERIALES!P:P,MATCH(B1074,[239]MATERIALES!B:B,0)),"")</f>
        <v>3.65</v>
      </c>
      <c r="O1074" s="140"/>
      <c r="P1074" s="118">
        <f>IFERROR(ROUND(N1074*M1074,2),"")</f>
        <v>0.37</v>
      </c>
      <c r="Q1074" s="119"/>
      <c r="R1074" s="4"/>
    </row>
    <row r="1075" spans="1:18">
      <c r="A1075" s="1">
        <f t="shared" si="37"/>
        <v>0</v>
      </c>
      <c r="B1075" s="2"/>
      <c r="C1075" s="8"/>
      <c r="D1075" s="109" t="str">
        <f>IFERROR(INDEX([239]MATERIALES!C:C,MATCH(B1075,[239]MATERIALES!B:B,0)),"")</f>
        <v/>
      </c>
      <c r="E1075" s="110"/>
      <c r="F1075" s="110"/>
      <c r="G1075" s="110"/>
      <c r="H1075" s="110"/>
      <c r="I1075" s="110"/>
      <c r="J1075" s="110"/>
      <c r="K1075" s="111"/>
      <c r="L1075" s="137" t="str">
        <f>IFERROR(INDEX([239]MATERIALES!D:D,MATCH(B1075,[239]MATERIALES!B:B,0)),"")</f>
        <v/>
      </c>
      <c r="M1075" s="138"/>
      <c r="N1075" s="139" t="str">
        <f>IFERROR(INDEX([239]MATERIALES!P:P,MATCH(B1075,[239]MATERIALES!B:B,0)),"")</f>
        <v/>
      </c>
      <c r="O1075" s="140"/>
      <c r="P1075" s="118" t="str">
        <f t="shared" ref="P1075:P1084" si="38">IFERROR(ROUND(N1075*M1075,2),"")</f>
        <v/>
      </c>
      <c r="Q1075" s="119"/>
      <c r="R1075" s="4"/>
    </row>
    <row r="1076" spans="1:18">
      <c r="A1076" s="1">
        <f t="shared" si="37"/>
        <v>0</v>
      </c>
      <c r="B1076" s="2"/>
      <c r="C1076" s="8"/>
      <c r="D1076" s="109" t="str">
        <f>IFERROR(INDEX([239]MATERIALES!C:C,MATCH(B1076,[239]MATERIALES!B:B,0)),"")</f>
        <v/>
      </c>
      <c r="E1076" s="110"/>
      <c r="F1076" s="110"/>
      <c r="G1076" s="110"/>
      <c r="H1076" s="110"/>
      <c r="I1076" s="110"/>
      <c r="J1076" s="110"/>
      <c r="K1076" s="111"/>
      <c r="L1076" s="137" t="str">
        <f>IFERROR(INDEX([239]MATERIALES!D:D,MATCH(B1076,[239]MATERIALES!B:B,0)),"")</f>
        <v/>
      </c>
      <c r="M1076" s="138"/>
      <c r="N1076" s="139" t="str">
        <f>IFERROR(INDEX([239]MATERIALES!P:P,MATCH(B1076,[239]MATERIALES!B:B,0)),"")</f>
        <v/>
      </c>
      <c r="O1076" s="140"/>
      <c r="P1076" s="118" t="str">
        <f t="shared" si="38"/>
        <v/>
      </c>
      <c r="Q1076" s="119"/>
      <c r="R1076" s="4"/>
    </row>
    <row r="1077" spans="1:18">
      <c r="A1077" s="1">
        <f t="shared" si="37"/>
        <v>0</v>
      </c>
      <c r="B1077" s="2"/>
      <c r="C1077" s="8"/>
      <c r="D1077" s="109" t="str">
        <f>IFERROR(INDEX([239]MATERIALES!C:C,MATCH(B1077,[239]MATERIALES!B:B,0)),"")</f>
        <v/>
      </c>
      <c r="E1077" s="110"/>
      <c r="F1077" s="110"/>
      <c r="G1077" s="110"/>
      <c r="H1077" s="110"/>
      <c r="I1077" s="110"/>
      <c r="J1077" s="110"/>
      <c r="K1077" s="111"/>
      <c r="L1077" s="137" t="str">
        <f>IFERROR(INDEX([239]MATERIALES!D:D,MATCH(B1077,[239]MATERIALES!B:B,0)),"")</f>
        <v/>
      </c>
      <c r="M1077" s="138"/>
      <c r="N1077" s="139" t="str">
        <f>IFERROR(INDEX([239]MATERIALES!P:P,MATCH(B1077,[239]MATERIALES!B:B,0)),"")</f>
        <v/>
      </c>
      <c r="O1077" s="140"/>
      <c r="P1077" s="118" t="str">
        <f t="shared" si="38"/>
        <v/>
      </c>
      <c r="Q1077" s="119"/>
      <c r="R1077" s="4"/>
    </row>
    <row r="1078" spans="1:18">
      <c r="A1078" s="1">
        <f t="shared" si="37"/>
        <v>0</v>
      </c>
      <c r="B1078" s="2"/>
      <c r="C1078" s="8"/>
      <c r="D1078" s="109" t="str">
        <f>IFERROR(INDEX([239]MATERIALES!C:C,MATCH(B1078,[239]MATERIALES!B:B,0)),"")</f>
        <v/>
      </c>
      <c r="E1078" s="110"/>
      <c r="F1078" s="110"/>
      <c r="G1078" s="110"/>
      <c r="H1078" s="110"/>
      <c r="I1078" s="110"/>
      <c r="J1078" s="110"/>
      <c r="K1078" s="111"/>
      <c r="L1078" s="137" t="str">
        <f>IFERROR(INDEX([239]MATERIALES!D:D,MATCH(B1078,[239]MATERIALES!B:B,0)),"")</f>
        <v/>
      </c>
      <c r="M1078" s="138"/>
      <c r="N1078" s="139" t="str">
        <f>IFERROR(INDEX([239]MATERIALES!P:P,MATCH(B1078,[239]MATERIALES!B:B,0)),"")</f>
        <v/>
      </c>
      <c r="O1078" s="140"/>
      <c r="P1078" s="118" t="str">
        <f t="shared" si="38"/>
        <v/>
      </c>
      <c r="Q1078" s="119"/>
      <c r="R1078" s="4"/>
    </row>
    <row r="1079" spans="1:18">
      <c r="A1079" s="1">
        <f t="shared" si="37"/>
        <v>0</v>
      </c>
      <c r="B1079" s="2"/>
      <c r="C1079" s="8"/>
      <c r="D1079" s="109" t="str">
        <f>IFERROR(INDEX([239]MATERIALES!C:C,MATCH(B1079,[239]MATERIALES!B:B,0)),"")</f>
        <v/>
      </c>
      <c r="E1079" s="110"/>
      <c r="F1079" s="110"/>
      <c r="G1079" s="110"/>
      <c r="H1079" s="110"/>
      <c r="I1079" s="110"/>
      <c r="J1079" s="110"/>
      <c r="K1079" s="111"/>
      <c r="L1079" s="137" t="str">
        <f>IFERROR(INDEX([239]MATERIALES!D:D,MATCH(B1079,[239]MATERIALES!B:B,0)),"")</f>
        <v/>
      </c>
      <c r="M1079" s="138"/>
      <c r="N1079" s="139" t="str">
        <f>IFERROR(INDEX([239]MATERIALES!P:P,MATCH(B1079,[239]MATERIALES!B:B,0)),"")</f>
        <v/>
      </c>
      <c r="O1079" s="140"/>
      <c r="P1079" s="118" t="str">
        <f t="shared" si="38"/>
        <v/>
      </c>
      <c r="Q1079" s="119"/>
      <c r="R1079" s="4"/>
    </row>
    <row r="1080" spans="1:18">
      <c r="A1080" s="1">
        <f t="shared" si="37"/>
        <v>0</v>
      </c>
      <c r="B1080" s="2"/>
      <c r="C1080" s="8"/>
      <c r="D1080" s="109" t="str">
        <f>IFERROR(INDEX([239]MATERIALES!C:C,MATCH(B1080,[239]MATERIALES!B:B,0)),"")</f>
        <v/>
      </c>
      <c r="E1080" s="110"/>
      <c r="F1080" s="110"/>
      <c r="G1080" s="110"/>
      <c r="H1080" s="110"/>
      <c r="I1080" s="110"/>
      <c r="J1080" s="110"/>
      <c r="K1080" s="111"/>
      <c r="L1080" s="137" t="str">
        <f>IFERROR(INDEX([239]MATERIALES!D:D,MATCH(B1080,[239]MATERIALES!B:B,0)),"")</f>
        <v/>
      </c>
      <c r="M1080" s="138"/>
      <c r="N1080" s="139" t="str">
        <f>IFERROR(INDEX([239]MATERIALES!P:P,MATCH(B1080,[239]MATERIALES!B:B,0)),"")</f>
        <v/>
      </c>
      <c r="O1080" s="140"/>
      <c r="P1080" s="118" t="str">
        <f t="shared" si="38"/>
        <v/>
      </c>
      <c r="Q1080" s="119"/>
      <c r="R1080" s="4"/>
    </row>
    <row r="1081" spans="1:18">
      <c r="A1081" s="1">
        <f t="shared" si="37"/>
        <v>0</v>
      </c>
      <c r="B1081" s="2"/>
      <c r="C1081" s="8"/>
      <c r="D1081" s="109" t="str">
        <f>IFERROR(INDEX([239]MATERIALES!C:C,MATCH(B1081,[239]MATERIALES!B:B,0)),"")</f>
        <v/>
      </c>
      <c r="E1081" s="110"/>
      <c r="F1081" s="110"/>
      <c r="G1081" s="110"/>
      <c r="H1081" s="110"/>
      <c r="I1081" s="110"/>
      <c r="J1081" s="110"/>
      <c r="K1081" s="111"/>
      <c r="L1081" s="137" t="str">
        <f>IFERROR(INDEX([239]MATERIALES!D:D,MATCH(B1081,[239]MATERIALES!B:B,0)),"")</f>
        <v/>
      </c>
      <c r="M1081" s="138"/>
      <c r="N1081" s="139" t="str">
        <f>IFERROR(INDEX([239]MATERIALES!P:P,MATCH(B1081,[239]MATERIALES!B:B,0)),"")</f>
        <v/>
      </c>
      <c r="O1081" s="140"/>
      <c r="P1081" s="118" t="str">
        <f t="shared" si="38"/>
        <v/>
      </c>
      <c r="Q1081" s="119"/>
      <c r="R1081" s="4"/>
    </row>
    <row r="1082" spans="1:18">
      <c r="A1082" s="1">
        <f t="shared" si="37"/>
        <v>0</v>
      </c>
      <c r="B1082" s="2"/>
      <c r="C1082" s="8"/>
      <c r="D1082" s="109" t="str">
        <f>IFERROR(INDEX([239]MATERIALES!C:C,MATCH(B1082,[239]MATERIALES!B:B,0)),"")</f>
        <v/>
      </c>
      <c r="E1082" s="110"/>
      <c r="F1082" s="110"/>
      <c r="G1082" s="110"/>
      <c r="H1082" s="110"/>
      <c r="I1082" s="110"/>
      <c r="J1082" s="110"/>
      <c r="K1082" s="111"/>
      <c r="L1082" s="137" t="str">
        <f>IFERROR(INDEX([239]MATERIALES!D:D,MATCH(B1082,[239]MATERIALES!B:B,0)),"")</f>
        <v/>
      </c>
      <c r="M1082" s="138"/>
      <c r="N1082" s="139" t="str">
        <f>IFERROR(INDEX([239]MATERIALES!P:P,MATCH(B1082,[239]MATERIALES!B:B,0)),"")</f>
        <v/>
      </c>
      <c r="O1082" s="140"/>
      <c r="P1082" s="118" t="str">
        <f t="shared" si="38"/>
        <v/>
      </c>
      <c r="Q1082" s="119"/>
      <c r="R1082" s="4"/>
    </row>
    <row r="1083" spans="1:18">
      <c r="A1083" s="1">
        <f t="shared" si="37"/>
        <v>0</v>
      </c>
      <c r="B1083" s="2"/>
      <c r="C1083" s="8"/>
      <c r="D1083" s="109" t="str">
        <f>IFERROR(INDEX([239]MATERIALES!C:C,MATCH(B1083,[239]MATERIALES!B:B,0)),"")</f>
        <v/>
      </c>
      <c r="E1083" s="110"/>
      <c r="F1083" s="110"/>
      <c r="G1083" s="110"/>
      <c r="H1083" s="110"/>
      <c r="I1083" s="110"/>
      <c r="J1083" s="110"/>
      <c r="K1083" s="111"/>
      <c r="L1083" s="137" t="str">
        <f>IFERROR(INDEX([239]MATERIALES!D:D,MATCH(B1083,[239]MATERIALES!B:B,0)),"")</f>
        <v/>
      </c>
      <c r="M1083" s="138"/>
      <c r="N1083" s="139" t="str">
        <f>IFERROR(INDEX([239]MATERIALES!P:P,MATCH(B1083,[239]MATERIALES!B:B,0)),"")</f>
        <v/>
      </c>
      <c r="O1083" s="140"/>
      <c r="P1083" s="118" t="str">
        <f t="shared" si="38"/>
        <v/>
      </c>
      <c r="Q1083" s="119"/>
      <c r="R1083" s="4"/>
    </row>
    <row r="1084" spans="1:18">
      <c r="A1084" s="1">
        <f t="shared" si="37"/>
        <v>0</v>
      </c>
      <c r="B1084" s="2"/>
      <c r="C1084" s="8"/>
      <c r="D1084" s="109" t="str">
        <f>IFERROR(INDEX([239]MATERIALES!C:C,MATCH(B1084,[239]MATERIALES!B:B,0)),"")</f>
        <v/>
      </c>
      <c r="E1084" s="110"/>
      <c r="F1084" s="110"/>
      <c r="G1084" s="110"/>
      <c r="H1084" s="110"/>
      <c r="I1084" s="110"/>
      <c r="J1084" s="110"/>
      <c r="K1084" s="111"/>
      <c r="L1084" s="137" t="str">
        <f>IFERROR(INDEX([239]MATERIALES!D:D,MATCH(B1084,[239]MATERIALES!B:B,0)),"")</f>
        <v/>
      </c>
      <c r="M1084" s="138"/>
      <c r="N1084" s="139" t="str">
        <f>IFERROR(INDEX([239]MATERIALES!P:P,MATCH(B1084,[239]MATERIALES!B:B,0)),"")</f>
        <v/>
      </c>
      <c r="O1084" s="140"/>
      <c r="P1084" s="118" t="str">
        <f t="shared" si="38"/>
        <v/>
      </c>
      <c r="Q1084" s="119"/>
      <c r="R1084" s="4"/>
    </row>
    <row r="1085" spans="1:18" ht="15.75" thickBot="1">
      <c r="A1085" s="1">
        <f t="shared" si="37"/>
        <v>0</v>
      </c>
      <c r="B1085" s="2"/>
      <c r="C1085" s="8"/>
      <c r="D1085" s="109" t="s">
        <v>28</v>
      </c>
      <c r="E1085" s="110"/>
      <c r="F1085" s="110"/>
      <c r="G1085" s="110"/>
      <c r="H1085" s="110"/>
      <c r="I1085" s="110"/>
      <c r="J1085" s="110"/>
      <c r="K1085" s="111"/>
      <c r="L1085" s="137" t="s">
        <v>29</v>
      </c>
      <c r="M1085" s="138">
        <v>0.05</v>
      </c>
      <c r="N1085" s="139">
        <f>SUM(P1071:P1084)</f>
        <v>4156.33</v>
      </c>
      <c r="O1085" s="140"/>
      <c r="P1085" s="118">
        <f>ROUND(N1085*M1085,2)</f>
        <v>207.82</v>
      </c>
      <c r="Q1085" s="119"/>
      <c r="R1085" s="4"/>
    </row>
    <row r="1086" spans="1:18" ht="15.75" thickBot="1">
      <c r="A1086" s="1">
        <f t="shared" si="37"/>
        <v>0</v>
      </c>
      <c r="B1086" s="2"/>
      <c r="C1086" s="8"/>
      <c r="D1086" s="128" t="s">
        <v>24</v>
      </c>
      <c r="E1086" s="129"/>
      <c r="F1086" s="129"/>
      <c r="G1086" s="129"/>
      <c r="H1086" s="129"/>
      <c r="I1086" s="129"/>
      <c r="J1086" s="129"/>
      <c r="K1086" s="129"/>
      <c r="L1086" s="129"/>
      <c r="M1086" s="129"/>
      <c r="N1086" s="129"/>
      <c r="O1086" s="130"/>
      <c r="P1086" s="131">
        <f>SUM(P1071:P1085)</f>
        <v>4364.1499999999996</v>
      </c>
      <c r="Q1086" s="119"/>
      <c r="R1086" s="4"/>
    </row>
    <row r="1087" spans="1:18" ht="15.75" thickBot="1">
      <c r="A1087" s="1">
        <f t="shared" si="37"/>
        <v>0</v>
      </c>
      <c r="B1087" s="2"/>
      <c r="C1087" s="8"/>
      <c r="D1087" s="74" t="s">
        <v>30</v>
      </c>
      <c r="E1087" s="37"/>
      <c r="F1087" s="37"/>
      <c r="G1087" s="37"/>
      <c r="H1087" s="37"/>
      <c r="I1087" s="37"/>
      <c r="J1087" s="37"/>
      <c r="K1087" s="37"/>
      <c r="L1087" s="37"/>
      <c r="M1087" s="37"/>
      <c r="N1087" s="37"/>
      <c r="O1087" s="37"/>
      <c r="P1087" s="99"/>
      <c r="Q1087" s="100"/>
      <c r="R1087" s="4"/>
    </row>
    <row r="1088" spans="1:18">
      <c r="A1088" s="1">
        <f t="shared" si="37"/>
        <v>0</v>
      </c>
      <c r="B1088" s="2"/>
      <c r="C1088" s="8"/>
      <c r="D1088" s="101" t="s">
        <v>31</v>
      </c>
      <c r="E1088" s="133"/>
      <c r="F1088" s="133"/>
      <c r="G1088" s="133"/>
      <c r="H1088" s="133"/>
      <c r="I1088" s="133"/>
      <c r="J1088" s="133"/>
      <c r="K1088" s="106" t="s">
        <v>32</v>
      </c>
      <c r="L1088" s="141" t="s">
        <v>33</v>
      </c>
      <c r="M1088" s="106" t="s">
        <v>34</v>
      </c>
      <c r="N1088" s="104" t="s">
        <v>20</v>
      </c>
      <c r="O1088" s="105"/>
      <c r="P1088" s="107" t="s">
        <v>22</v>
      </c>
      <c r="Q1088" s="108"/>
      <c r="R1088" s="4"/>
    </row>
    <row r="1089" spans="1:18">
      <c r="A1089" s="1">
        <f t="shared" si="37"/>
        <v>0</v>
      </c>
      <c r="B1089" s="2"/>
      <c r="C1089" s="8"/>
      <c r="D1089" s="142" t="str">
        <f>IFERROR(INDEX([239]TRANSPORTES!B:B,MATCH(B1089,[239]TRANSPORTES!A:A,0)),"")</f>
        <v/>
      </c>
      <c r="E1089" s="143"/>
      <c r="F1089" s="143"/>
      <c r="G1089" s="143"/>
      <c r="H1089" s="143"/>
      <c r="I1089" s="143"/>
      <c r="J1089" s="143"/>
      <c r="K1089" s="220"/>
      <c r="L1089" s="145"/>
      <c r="M1089" s="146" t="str">
        <f>IFERROR(INDEX([239]TRANSPORTES!C:C,MATCH(B1089,[239]TRANSPORTES!A:A,0)),"")</f>
        <v/>
      </c>
      <c r="N1089" s="139" t="str">
        <f>IFERROR(INDEX([239]TRANSPORTES!D:D,MATCH(B1089,[239]TRANSPORTES!A:A,0)),"")</f>
        <v/>
      </c>
      <c r="O1089" s="147"/>
      <c r="P1089" s="148" t="str">
        <f>IFERROR(ROUND(K1089*N1089*L1089,2),"")</f>
        <v/>
      </c>
      <c r="Q1089" s="119"/>
      <c r="R1089" s="4"/>
    </row>
    <row r="1090" spans="1:18">
      <c r="A1090" s="1">
        <f t="shared" si="37"/>
        <v>0</v>
      </c>
      <c r="B1090" s="2"/>
      <c r="C1090" s="8"/>
      <c r="D1090" s="142" t="str">
        <f>IFERROR(INDEX([239]TRANSPORTES!B:B,MATCH(B1090,[239]TRANSPORTES!A:A,0)),"")</f>
        <v/>
      </c>
      <c r="E1090" s="143"/>
      <c r="F1090" s="143"/>
      <c r="G1090" s="143"/>
      <c r="H1090" s="143"/>
      <c r="I1090" s="143"/>
      <c r="J1090" s="143"/>
      <c r="K1090" s="144"/>
      <c r="L1090" s="145"/>
      <c r="M1090" s="146" t="str">
        <f>IFERROR(INDEX([239]TRANSPORTES!C:C,MATCH(B1090,[239]TRANSPORTES!A:A,0)),"")</f>
        <v/>
      </c>
      <c r="N1090" s="139" t="str">
        <f>IFERROR(INDEX([239]TRANSPORTES!D:D,MATCH(B1090,[239]TRANSPORTES!A:A,0)),"")</f>
        <v/>
      </c>
      <c r="O1090" s="147"/>
      <c r="P1090" s="148" t="str">
        <f>IFERROR(ROUND(K1090*N1090*L1090,2),"")</f>
        <v/>
      </c>
      <c r="Q1090" s="119"/>
      <c r="R1090" s="4"/>
    </row>
    <row r="1091" spans="1:18">
      <c r="A1091" s="1">
        <f t="shared" si="37"/>
        <v>0</v>
      </c>
      <c r="B1091" s="2"/>
      <c r="C1091" s="8"/>
      <c r="D1091" s="142" t="str">
        <f>IFERROR(INDEX([239]TRANSPORTES!B:B,MATCH(B1091,[239]TRANSPORTES!A:A,0)),"")</f>
        <v/>
      </c>
      <c r="E1091" s="143"/>
      <c r="F1091" s="143"/>
      <c r="G1091" s="143"/>
      <c r="H1091" s="143"/>
      <c r="I1091" s="143"/>
      <c r="J1091" s="143"/>
      <c r="K1091" s="144"/>
      <c r="L1091" s="145"/>
      <c r="M1091" s="146" t="str">
        <f>IFERROR(INDEX([239]TRANSPORTES!C:C,MATCH(B1091,[239]TRANSPORTES!A:A,0)),"")</f>
        <v/>
      </c>
      <c r="N1091" s="139" t="str">
        <f>IFERROR(INDEX([239]TRANSPORTES!D:D,MATCH(B1091,[239]TRANSPORTES!A:A,0)),"")</f>
        <v/>
      </c>
      <c r="O1091" s="147"/>
      <c r="P1091" s="148" t="str">
        <f>IFERROR(ROUND(K1091*N1091*L1091,2),"")</f>
        <v/>
      </c>
      <c r="Q1091" s="119"/>
      <c r="R1091" s="4"/>
    </row>
    <row r="1092" spans="1:18" ht="15.75" thickBot="1">
      <c r="A1092" s="1">
        <f t="shared" si="37"/>
        <v>0</v>
      </c>
      <c r="B1092" s="2"/>
      <c r="C1092" s="8"/>
      <c r="D1092" s="142" t="str">
        <f>IFERROR(INDEX([239]TRANSPORTES!B:B,MATCH(B1092,[239]TRANSPORTES!A:A,0)),"")</f>
        <v/>
      </c>
      <c r="E1092" s="143"/>
      <c r="F1092" s="143"/>
      <c r="G1092" s="143"/>
      <c r="H1092" s="143"/>
      <c r="I1092" s="143"/>
      <c r="J1092" s="143"/>
      <c r="K1092" s="149"/>
      <c r="L1092" s="150"/>
      <c r="M1092" s="146" t="str">
        <f>IFERROR(INDEX([239]TRANSPORTES!C:C,MATCH(B1092,[239]TRANSPORTES!A:A,0)),"")</f>
        <v/>
      </c>
      <c r="N1092" s="139" t="str">
        <f>IFERROR(INDEX([239]TRANSPORTES!D:D,MATCH(B1092,[239]TRANSPORTES!A:A,0)),"")</f>
        <v/>
      </c>
      <c r="O1092" s="147"/>
      <c r="P1092" s="148" t="str">
        <f>IFERROR(ROUND(K1092*N1092*L1092,2),"")</f>
        <v/>
      </c>
      <c r="Q1092" s="119"/>
      <c r="R1092" s="4"/>
    </row>
    <row r="1093" spans="1:18" ht="15.75" thickBot="1">
      <c r="A1093" s="1">
        <f t="shared" si="37"/>
        <v>0</v>
      </c>
      <c r="B1093" s="2"/>
      <c r="C1093" s="8"/>
      <c r="D1093" s="128" t="s">
        <v>24</v>
      </c>
      <c r="E1093" s="129"/>
      <c r="F1093" s="129"/>
      <c r="G1093" s="129"/>
      <c r="H1093" s="129"/>
      <c r="I1093" s="129"/>
      <c r="J1093" s="129"/>
      <c r="K1093" s="129"/>
      <c r="L1093" s="129"/>
      <c r="M1093" s="129"/>
      <c r="N1093" s="129"/>
      <c r="O1093" s="130"/>
      <c r="P1093" s="151">
        <f>SUM(P1089:P1092)</f>
        <v>0</v>
      </c>
      <c r="Q1093" s="132"/>
      <c r="R1093" s="4"/>
    </row>
    <row r="1094" spans="1:18" ht="15.75" thickBot="1">
      <c r="A1094" s="1">
        <f t="shared" si="37"/>
        <v>0</v>
      </c>
      <c r="B1094" s="2"/>
      <c r="C1094" s="8"/>
      <c r="D1094" s="74" t="s">
        <v>36</v>
      </c>
      <c r="E1094" s="37"/>
      <c r="F1094" s="37"/>
      <c r="G1094" s="37"/>
      <c r="H1094" s="37"/>
      <c r="I1094" s="37"/>
      <c r="J1094" s="37"/>
      <c r="K1094" s="37"/>
      <c r="L1094" s="37"/>
      <c r="M1094" s="37"/>
      <c r="N1094" s="37"/>
      <c r="O1094" s="37"/>
      <c r="P1094" s="99"/>
      <c r="Q1094" s="100"/>
      <c r="R1094" s="4"/>
    </row>
    <row r="1095" spans="1:18" ht="30">
      <c r="A1095" s="1">
        <f t="shared" si="37"/>
        <v>0</v>
      </c>
      <c r="B1095" s="2"/>
      <c r="C1095" s="8"/>
      <c r="D1095" s="101" t="s">
        <v>37</v>
      </c>
      <c r="E1095" s="133"/>
      <c r="F1095" s="133"/>
      <c r="G1095" s="133"/>
      <c r="H1095" s="133"/>
      <c r="I1095" s="133"/>
      <c r="J1095" s="133"/>
      <c r="K1095" s="106" t="s">
        <v>38</v>
      </c>
      <c r="L1095" s="152" t="s">
        <v>39</v>
      </c>
      <c r="M1095" s="153" t="s">
        <v>40</v>
      </c>
      <c r="N1095" s="104" t="s">
        <v>21</v>
      </c>
      <c r="O1095" s="105"/>
      <c r="P1095" s="154" t="s">
        <v>22</v>
      </c>
      <c r="Q1095" s="155"/>
      <c r="R1095" s="4"/>
    </row>
    <row r="1096" spans="1:18">
      <c r="A1096" s="1">
        <f t="shared" si="37"/>
        <v>0</v>
      </c>
      <c r="B1096" s="2" t="s">
        <v>41</v>
      </c>
      <c r="C1096" s="8"/>
      <c r="D1096" s="109" t="str">
        <f>IFERROR(INDEX('[239]MANO DE OBRA'!B:B,MATCH(B1096,'[239]MANO DE OBRA'!A:A,0)),"")</f>
        <v>OFICIAL</v>
      </c>
      <c r="E1096" s="110"/>
      <c r="F1096" s="110"/>
      <c r="G1096" s="110"/>
      <c r="H1096" s="110"/>
      <c r="I1096" s="110"/>
      <c r="J1096" s="111"/>
      <c r="K1096" s="156">
        <f>IFERROR(INDEX('[239]MANO DE OBRA'!D:D,MATCH(B1096,'[239]MANO DE OBRA'!A:A,0)),"")</f>
        <v>95930</v>
      </c>
      <c r="L1096" s="157">
        <f>+IF(D1096&lt;&gt;"",'[239]FACTOR PRESTACIONAL'!$E$21," ")</f>
        <v>1.95</v>
      </c>
      <c r="M1096" s="158">
        <f>IFERROR(K1096*L1096," ")</f>
        <v>187063.5</v>
      </c>
      <c r="N1096" s="159">
        <v>24</v>
      </c>
      <c r="O1096" s="160"/>
      <c r="P1096" s="161">
        <f>IFERROR(ROUND(M1096/N1096,2)," ")</f>
        <v>7794.31</v>
      </c>
      <c r="Q1096" s="162"/>
      <c r="R1096" s="4"/>
    </row>
    <row r="1097" spans="1:18">
      <c r="A1097" s="1">
        <f t="shared" si="37"/>
        <v>0</v>
      </c>
      <c r="B1097" s="2" t="s">
        <v>81</v>
      </c>
      <c r="C1097" s="8"/>
      <c r="D1097" s="109" t="str">
        <f>IFERROR(INDEX('[239]MANO DE OBRA'!B:B,MATCH(B1097,'[239]MANO DE OBRA'!A:A,0)),"")</f>
        <v>AYUDANTE (1)</v>
      </c>
      <c r="E1097" s="110"/>
      <c r="F1097" s="110"/>
      <c r="G1097" s="110"/>
      <c r="H1097" s="110"/>
      <c r="I1097" s="110"/>
      <c r="J1097" s="111"/>
      <c r="K1097" s="156">
        <f>IFERROR(INDEX('[239]MANO DE OBRA'!D:D,MATCH(B1097,'[239]MANO DE OBRA'!A:A,0)),"")</f>
        <v>71433</v>
      </c>
      <c r="L1097" s="157">
        <f>+IF(D1097&lt;&gt;"",'[239]FACTOR PRESTACIONAL'!$E$21," ")</f>
        <v>1.95</v>
      </c>
      <c r="M1097" s="158">
        <f>IFERROR(K1097*L1097," ")</f>
        <v>139294.35</v>
      </c>
      <c r="N1097" s="159">
        <v>24</v>
      </c>
      <c r="O1097" s="160"/>
      <c r="P1097" s="161">
        <f>IFERROR(ROUND(M1097/N1097,2)," ")</f>
        <v>5803.93</v>
      </c>
      <c r="Q1097" s="162"/>
      <c r="R1097" s="4"/>
    </row>
    <row r="1098" spans="1:18">
      <c r="A1098" s="1">
        <f t="shared" si="37"/>
        <v>0</v>
      </c>
      <c r="B1098" s="2"/>
      <c r="C1098" s="8"/>
      <c r="D1098" s="109" t="str">
        <f>IFERROR(INDEX('[239]MANO DE OBRA'!B:B,MATCH(B1098,'[239]MANO DE OBRA'!A:A,0)),"")</f>
        <v/>
      </c>
      <c r="E1098" s="110"/>
      <c r="F1098" s="110"/>
      <c r="G1098" s="110"/>
      <c r="H1098" s="110"/>
      <c r="I1098" s="110"/>
      <c r="J1098" s="111"/>
      <c r="K1098" s="156" t="str">
        <f>IFERROR(INDEX('[239]MANO DE OBRA'!D:D,MATCH(B1098,'[239]MANO DE OBRA'!A:A,0)),"")</f>
        <v/>
      </c>
      <c r="L1098" s="157" t="str">
        <f>+IF(D1098&lt;&gt;"",'[239]FACTOR PRESTACIONAL'!$E$21," ")</f>
        <v xml:space="preserve"> </v>
      </c>
      <c r="M1098" s="158" t="str">
        <f>IFERROR(K1098*L1098," ")</f>
        <v xml:space="preserve"> </v>
      </c>
      <c r="N1098" s="159"/>
      <c r="O1098" s="160"/>
      <c r="P1098" s="161" t="str">
        <f>IFERROR(ROUND(M1098/N1098,2)," ")</f>
        <v xml:space="preserve"> </v>
      </c>
      <c r="Q1098" s="162"/>
      <c r="R1098" s="4"/>
    </row>
    <row r="1099" spans="1:18">
      <c r="A1099" s="1">
        <f t="shared" si="37"/>
        <v>0</v>
      </c>
      <c r="B1099" s="2"/>
      <c r="C1099" s="8"/>
      <c r="D1099" s="109" t="str">
        <f>IFERROR(INDEX('[239]MANO DE OBRA'!B:B,MATCH(B1099,'[239]MANO DE OBRA'!A:A,0)),"")</f>
        <v/>
      </c>
      <c r="E1099" s="110"/>
      <c r="F1099" s="110"/>
      <c r="G1099" s="110"/>
      <c r="H1099" s="110"/>
      <c r="I1099" s="110"/>
      <c r="J1099" s="111"/>
      <c r="K1099" s="156" t="str">
        <f>IFERROR(INDEX('[239]MANO DE OBRA'!D:D,MATCH(B1099,'[239]MANO DE OBRA'!A:A,0)),"")</f>
        <v/>
      </c>
      <c r="L1099" s="157" t="str">
        <f>+IF(D1099&lt;&gt;"",'[239]FACTOR PRESTACIONAL'!$E$21," ")</f>
        <v xml:space="preserve"> </v>
      </c>
      <c r="M1099" s="158" t="str">
        <f>IFERROR(K1099*L1099," ")</f>
        <v xml:space="preserve"> </v>
      </c>
      <c r="N1099" s="159"/>
      <c r="O1099" s="160"/>
      <c r="P1099" s="161" t="str">
        <f>IFERROR(ROUND(M1099/N1099,2)," ")</f>
        <v xml:space="preserve"> </v>
      </c>
      <c r="Q1099" s="162"/>
      <c r="R1099" s="4"/>
    </row>
    <row r="1100" spans="1:18" ht="15.75" thickBot="1">
      <c r="A1100" s="1">
        <f t="shared" si="37"/>
        <v>0</v>
      </c>
      <c r="B1100" s="2"/>
      <c r="C1100" s="8"/>
      <c r="D1100" s="109" t="str">
        <f>IFERROR(INDEX('[239]MANO DE OBRA'!B:B,MATCH(B1100,'[239]MANO DE OBRA'!A:A,0)),"")</f>
        <v/>
      </c>
      <c r="E1100" s="110"/>
      <c r="F1100" s="110"/>
      <c r="G1100" s="110"/>
      <c r="H1100" s="110"/>
      <c r="I1100" s="110"/>
      <c r="J1100" s="111"/>
      <c r="K1100" s="156" t="str">
        <f>IFERROR(INDEX('[239]MANO DE OBRA'!D:D,MATCH(B1100,'[239]MANO DE OBRA'!A:A,0)),"")</f>
        <v/>
      </c>
      <c r="L1100" s="157" t="str">
        <f>+IF(D1100&lt;&gt;"",'[239]FACTOR PRESTACIONAL'!$E$21," ")</f>
        <v xml:space="preserve"> </v>
      </c>
      <c r="M1100" s="158" t="str">
        <f>IFERROR(K1100*L1100," ")</f>
        <v xml:space="preserve"> </v>
      </c>
      <c r="N1100" s="159"/>
      <c r="O1100" s="160"/>
      <c r="P1100" s="161" t="str">
        <f>IFERROR(ROUND(M1100/N1100,2)," ")</f>
        <v xml:space="preserve"> </v>
      </c>
      <c r="Q1100" s="119"/>
      <c r="R1100" s="4"/>
    </row>
    <row r="1101" spans="1:18" ht="15.75" thickBot="1">
      <c r="A1101" s="1">
        <f t="shared" si="37"/>
        <v>0</v>
      </c>
      <c r="B1101" s="2"/>
      <c r="C1101" s="8"/>
      <c r="D1101" s="128" t="s">
        <v>24</v>
      </c>
      <c r="E1101" s="129"/>
      <c r="F1101" s="129"/>
      <c r="G1101" s="129"/>
      <c r="H1101" s="129"/>
      <c r="I1101" s="129"/>
      <c r="J1101" s="129"/>
      <c r="K1101" s="129"/>
      <c r="L1101" s="129"/>
      <c r="M1101" s="129"/>
      <c r="N1101" s="129"/>
      <c r="O1101" s="130"/>
      <c r="P1101" s="131">
        <f>SUM(P1096:P1100)</f>
        <v>13598.240000000002</v>
      </c>
      <c r="Q1101" s="119"/>
      <c r="R1101" s="4"/>
    </row>
    <row r="1102" spans="1:18" ht="15.75" thickBot="1">
      <c r="A1102" s="1">
        <f t="shared" si="37"/>
        <v>0</v>
      </c>
      <c r="B1102" s="2"/>
      <c r="C1102" s="8"/>
      <c r="D1102" s="87"/>
      <c r="E1102" s="20"/>
      <c r="F1102" s="20"/>
      <c r="G1102" s="20"/>
      <c r="H1102" s="20"/>
      <c r="I1102" s="20"/>
      <c r="J1102" s="20"/>
      <c r="K1102" s="20"/>
      <c r="L1102" s="20"/>
      <c r="M1102" s="20"/>
      <c r="N1102" s="20"/>
      <c r="O1102" s="20"/>
      <c r="P1102" s="88"/>
      <c r="Q1102" s="13"/>
      <c r="R1102" s="4"/>
    </row>
    <row r="1103" spans="1:18" ht="15.75" thickBot="1">
      <c r="A1103" s="1"/>
      <c r="B1103" s="2"/>
      <c r="C1103" s="8"/>
      <c r="D1103" s="163" t="s">
        <v>43</v>
      </c>
      <c r="E1103" s="164"/>
      <c r="F1103" s="164"/>
      <c r="G1103" s="164"/>
      <c r="H1103" s="164"/>
      <c r="I1103" s="164"/>
      <c r="J1103" s="164"/>
      <c r="K1103" s="164"/>
      <c r="L1103" s="164"/>
      <c r="M1103" s="164"/>
      <c r="N1103" s="164"/>
      <c r="O1103" s="165"/>
      <c r="P1103" s="166">
        <f>+P1101+P1093+P1086+P1068</f>
        <v>19322.21</v>
      </c>
      <c r="Q1103" s="167"/>
      <c r="R1103" s="168"/>
    </row>
    <row r="1104" spans="1:18" ht="15.75" thickBot="1">
      <c r="A1104" s="1"/>
      <c r="B1104" s="2"/>
      <c r="C1104" s="8"/>
      <c r="D1104" s="169"/>
      <c r="E1104" s="170"/>
      <c r="F1104" s="170"/>
      <c r="G1104" s="170"/>
      <c r="H1104" s="170"/>
      <c r="I1104" s="170"/>
      <c r="J1104" s="170"/>
      <c r="K1104" s="170"/>
      <c r="L1104" s="170"/>
      <c r="M1104" s="170"/>
      <c r="N1104" s="170"/>
      <c r="O1104" s="170"/>
      <c r="P1104" s="171"/>
      <c r="Q1104" s="100"/>
      <c r="R1104" s="4"/>
    </row>
    <row r="1105" spans="1:18">
      <c r="A1105" s="1"/>
      <c r="B1105" s="2"/>
      <c r="C1105" s="8"/>
      <c r="D1105" s="172" t="s">
        <v>73</v>
      </c>
      <c r="E1105" s="173"/>
      <c r="F1105" s="173"/>
      <c r="G1105" s="173"/>
      <c r="H1105" s="173"/>
      <c r="I1105" s="173"/>
      <c r="J1105" s="173"/>
      <c r="K1105" s="141"/>
      <c r="L1105" s="174"/>
      <c r="M1105" s="153" t="s">
        <v>44</v>
      </c>
      <c r="N1105" s="175" t="s">
        <v>45</v>
      </c>
      <c r="O1105" s="176"/>
      <c r="P1105" s="154"/>
      <c r="Q1105" s="155"/>
      <c r="R1105" s="4"/>
    </row>
    <row r="1106" spans="1:18">
      <c r="A1106" s="1"/>
      <c r="B1106" s="2"/>
      <c r="C1106" s="8"/>
      <c r="D1106" s="109" t="s">
        <v>65</v>
      </c>
      <c r="E1106" s="110"/>
      <c r="F1106" s="110"/>
      <c r="G1106" s="110"/>
      <c r="H1106" s="110"/>
      <c r="I1106" s="110"/>
      <c r="J1106" s="110"/>
      <c r="K1106" s="177"/>
      <c r="L1106" s="178"/>
      <c r="M1106" s="179">
        <f>+[239]INICIO!$F$10</f>
        <v>0.24</v>
      </c>
      <c r="N1106" s="180">
        <f>ROUND(M1106*P1103,2)</f>
        <v>4637.33</v>
      </c>
      <c r="O1106" s="181"/>
      <c r="P1106" s="182"/>
      <c r="Q1106" s="119"/>
      <c r="R1106" s="4"/>
    </row>
    <row r="1107" spans="1:18">
      <c r="A1107" s="1"/>
      <c r="B1107" s="2"/>
      <c r="C1107" s="8"/>
      <c r="D1107" s="183" t="s">
        <v>67</v>
      </c>
      <c r="E1107" s="61"/>
      <c r="F1107" s="61"/>
      <c r="G1107" s="61"/>
      <c r="H1107" s="61"/>
      <c r="I1107" s="61"/>
      <c r="J1107" s="61"/>
      <c r="K1107" s="177"/>
      <c r="L1107" s="178"/>
      <c r="M1107" s="179">
        <f>+[239]INICIO!$F$11</f>
        <v>0.02</v>
      </c>
      <c r="N1107" s="180">
        <f>ROUND(M1107*P1103,2)</f>
        <v>386.44</v>
      </c>
      <c r="O1107" s="181"/>
      <c r="P1107" s="182"/>
      <c r="Q1107" s="119"/>
      <c r="R1107" s="4"/>
    </row>
    <row r="1108" spans="1:18" ht="15.75" thickBot="1">
      <c r="A1108" s="1"/>
      <c r="B1108" s="2"/>
      <c r="C1108" s="8"/>
      <c r="D1108" s="77" t="s">
        <v>69</v>
      </c>
      <c r="E1108" s="78"/>
      <c r="F1108" s="78"/>
      <c r="G1108" s="78"/>
      <c r="H1108" s="78"/>
      <c r="I1108" s="78"/>
      <c r="J1108" s="78"/>
      <c r="K1108" s="184"/>
      <c r="L1108" s="185"/>
      <c r="M1108" s="179">
        <f>+[239]INICIO!$F$12</f>
        <v>7.0000000000000007E-2</v>
      </c>
      <c r="N1108" s="180">
        <f>ROUND(M1108*P1103,2)</f>
        <v>1352.55</v>
      </c>
      <c r="O1108" s="181"/>
      <c r="P1108" s="182"/>
      <c r="Q1108" s="119"/>
      <c r="R1108" s="4"/>
    </row>
    <row r="1109" spans="1:18" ht="15.75" thickBot="1">
      <c r="A1109" s="1"/>
      <c r="B1109" s="2"/>
      <c r="C1109" s="8"/>
      <c r="D1109" s="128"/>
      <c r="E1109" s="129"/>
      <c r="F1109" s="129"/>
      <c r="G1109" s="129"/>
      <c r="H1109" s="129"/>
      <c r="I1109" s="129"/>
      <c r="J1109" s="129"/>
      <c r="K1109" s="129"/>
      <c r="L1109" s="129"/>
      <c r="M1109" s="129"/>
      <c r="N1109" s="129"/>
      <c r="O1109" s="130"/>
      <c r="P1109" s="131">
        <f>SUM(N1106:N1108)</f>
        <v>6376.32</v>
      </c>
      <c r="Q1109" s="186"/>
      <c r="R1109" s="4"/>
    </row>
    <row r="1110" spans="1:18" ht="15.75" thickBot="1">
      <c r="A1110" s="1"/>
      <c r="B1110" s="2"/>
      <c r="C1110" s="8"/>
      <c r="D1110" s="87"/>
      <c r="E1110" s="20"/>
      <c r="F1110" s="20"/>
      <c r="G1110" s="20"/>
      <c r="H1110" s="20"/>
      <c r="I1110" s="20"/>
      <c r="J1110" s="20"/>
      <c r="K1110" s="20"/>
      <c r="L1110" s="20"/>
      <c r="M1110" s="20"/>
      <c r="N1110" s="20"/>
      <c r="O1110" s="20"/>
      <c r="P1110" s="88"/>
      <c r="Q1110" s="13"/>
      <c r="R1110" s="4"/>
    </row>
    <row r="1111" spans="1:18" ht="15.75" thickBot="1">
      <c r="A1111" s="1"/>
      <c r="B1111" s="2"/>
      <c r="C1111" s="8"/>
      <c r="D1111" s="187" t="s">
        <v>46</v>
      </c>
      <c r="E1111" s="188"/>
      <c r="F1111" s="188"/>
      <c r="G1111" s="188"/>
      <c r="H1111" s="188"/>
      <c r="I1111" s="188"/>
      <c r="J1111" s="188"/>
      <c r="K1111" s="188"/>
      <c r="L1111" s="188"/>
      <c r="M1111" s="188"/>
      <c r="N1111" s="188"/>
      <c r="O1111" s="189"/>
      <c r="P1111" s="166">
        <f>ROUND(P1109+P1103,0)</f>
        <v>25699</v>
      </c>
      <c r="Q1111" s="186"/>
      <c r="R1111" s="4"/>
    </row>
    <row r="1112" spans="1:18">
      <c r="A1112" s="1"/>
      <c r="B1112" s="2"/>
      <c r="C1112" s="8"/>
      <c r="D1112" s="80"/>
      <c r="E1112" s="81"/>
      <c r="F1112" s="81"/>
      <c r="G1112" s="81"/>
      <c r="H1112" s="81"/>
      <c r="I1112" s="81"/>
      <c r="J1112" s="81"/>
      <c r="K1112" s="81"/>
      <c r="L1112" s="81"/>
      <c r="M1112" s="81"/>
      <c r="N1112" s="81"/>
      <c r="O1112" s="81"/>
      <c r="P1112" s="82"/>
      <c r="Q1112" s="13"/>
      <c r="R1112" s="4"/>
    </row>
    <row r="1113" spans="1:18">
      <c r="A1113" s="1"/>
      <c r="B1113" s="2"/>
      <c r="C1113" s="8"/>
      <c r="D1113" s="87"/>
      <c r="E1113" s="20"/>
      <c r="F1113" s="20"/>
      <c r="G1113" s="20"/>
      <c r="H1113" s="20"/>
      <c r="I1113" s="20"/>
      <c r="J1113" s="20"/>
      <c r="K1113" s="20"/>
      <c r="L1113" s="20"/>
      <c r="M1113" s="20"/>
      <c r="N1113" s="20"/>
      <c r="O1113" s="20"/>
      <c r="P1113" s="88"/>
      <c r="Q1113" s="13"/>
      <c r="R1113" s="4"/>
    </row>
    <row r="1114" spans="1:18">
      <c r="A1114" s="1"/>
      <c r="B1114" s="2"/>
      <c r="C1114" s="8"/>
      <c r="D1114" s="87"/>
      <c r="E1114" s="20"/>
      <c r="F1114" s="20"/>
      <c r="G1114" s="20"/>
      <c r="H1114" s="20"/>
      <c r="I1114" s="20"/>
      <c r="J1114" s="20"/>
      <c r="K1114" s="20"/>
      <c r="L1114" s="20"/>
      <c r="M1114" s="20"/>
      <c r="N1114" s="20"/>
      <c r="O1114" s="20"/>
      <c r="P1114" s="88"/>
      <c r="Q1114" s="13"/>
      <c r="R1114" s="4"/>
    </row>
    <row r="1115" spans="1:18">
      <c r="A1115" s="1"/>
      <c r="B1115" s="2"/>
      <c r="C1115" s="8"/>
      <c r="D1115" s="87"/>
      <c r="E1115" s="20"/>
      <c r="F1115" s="20"/>
      <c r="G1115" s="20"/>
      <c r="H1115" s="20"/>
      <c r="I1115" s="20"/>
      <c r="J1115" s="20"/>
      <c r="K1115" s="20"/>
      <c r="L1115" s="20"/>
      <c r="M1115" s="20"/>
      <c r="N1115" s="20"/>
      <c r="O1115" s="20"/>
      <c r="P1115" s="88"/>
      <c r="Q1115" s="13"/>
      <c r="R1115" s="4"/>
    </row>
    <row r="1116" spans="1:18">
      <c r="A1116" s="1"/>
      <c r="B1116" s="2"/>
      <c r="C1116" s="8"/>
      <c r="D1116" s="219" t="str">
        <f>+[239]INICIO!$B$13</f>
        <v>Proyectó:</v>
      </c>
      <c r="E1116" s="49"/>
      <c r="F1116" s="49"/>
      <c r="G1116" s="49"/>
      <c r="H1116" s="49"/>
      <c r="I1116" s="49"/>
      <c r="J1116" s="49"/>
      <c r="K1116" s="20"/>
      <c r="L1116" s="69" t="str">
        <f>+[239]INICIO!$B$16</f>
        <v>Aprobó:</v>
      </c>
      <c r="M1116" s="49"/>
      <c r="N1116" s="49"/>
      <c r="O1116" s="49"/>
      <c r="P1116" s="88"/>
      <c r="Q1116" s="13"/>
      <c r="R1116" s="4"/>
    </row>
    <row r="1117" spans="1:18">
      <c r="A1117" s="1"/>
      <c r="B1117" s="2"/>
      <c r="C1117" s="8"/>
      <c r="D1117" s="87"/>
      <c r="E1117" s="20" t="str">
        <f>+Hoja2!C$13</f>
        <v>HELMER EDUARDO BECERRA SANTANDER</v>
      </c>
      <c r="F1117" s="20"/>
      <c r="G1117" s="20"/>
      <c r="H1117" s="20"/>
      <c r="I1117" s="20"/>
      <c r="J1117" s="20"/>
      <c r="K1117" s="20"/>
      <c r="L1117" s="20"/>
      <c r="M1117" s="20" t="str">
        <f>+Hoja2!$C$16</f>
        <v>JESÚS IVÁN QUIÑONES RUEDA</v>
      </c>
      <c r="N1117" s="20"/>
      <c r="O1117" s="20"/>
      <c r="P1117" s="88"/>
      <c r="Q1117" s="190"/>
      <c r="R1117" s="4"/>
    </row>
    <row r="1118" spans="1:18">
      <c r="A1118" s="1"/>
      <c r="B1118" s="2"/>
      <c r="C1118" s="8"/>
      <c r="D1118" s="87"/>
      <c r="E1118" s="20" t="str">
        <f>+Hoja2!C$14</f>
        <v>APOYO SEC. DE PLANEACIÓN Y OBRAS PÚBLICAS</v>
      </c>
      <c r="F1118" s="20"/>
      <c r="G1118" s="20"/>
      <c r="H1118" s="20"/>
      <c r="I1118" s="20"/>
      <c r="J1118" s="20"/>
      <c r="K1118" s="20"/>
      <c r="L1118" s="20"/>
      <c r="M1118" s="20" t="str">
        <f>+Hoja2!$C$17</f>
        <v>SECRETARIO DE PLANEACIÓN Y OBRAS PUBLICAS</v>
      </c>
      <c r="N1118" s="20"/>
      <c r="O1118" s="20"/>
      <c r="P1118" s="88"/>
      <c r="Q1118" s="190"/>
      <c r="R1118" s="4"/>
    </row>
    <row r="1119" spans="1:18">
      <c r="A1119" s="1"/>
      <c r="B1119" s="2"/>
      <c r="C1119" s="8"/>
      <c r="D1119" s="68"/>
      <c r="E1119" s="20" t="str">
        <f>+Hoja2!C$15</f>
        <v>123769-0701671 NTS</v>
      </c>
      <c r="F1119" s="191"/>
      <c r="G1119" s="191"/>
      <c r="H1119" s="191"/>
      <c r="I1119" s="20"/>
      <c r="J1119" s="191"/>
      <c r="K1119" s="191"/>
      <c r="L1119" s="191"/>
      <c r="M1119" s="192" t="str">
        <f>+Hoja2!C$18</f>
        <v>A21382020-1090480860</v>
      </c>
      <c r="N1119" s="191"/>
      <c r="O1119" s="191"/>
      <c r="P1119" s="193"/>
      <c r="Q1119" s="194"/>
      <c r="R1119" s="4"/>
    </row>
    <row r="1120" spans="1:18" ht="16.5" thickBot="1">
      <c r="A1120" s="1"/>
      <c r="B1120" s="2"/>
      <c r="C1120" s="8"/>
      <c r="D1120" s="195"/>
      <c r="E1120" s="150"/>
      <c r="F1120" s="150"/>
      <c r="G1120" s="150"/>
      <c r="H1120" s="150"/>
      <c r="I1120" s="150"/>
      <c r="J1120" s="150"/>
      <c r="K1120" s="150"/>
      <c r="L1120" s="150"/>
      <c r="M1120" s="150"/>
      <c r="N1120" s="150"/>
      <c r="O1120" s="150"/>
      <c r="P1120" s="196"/>
      <c r="Q1120" s="197"/>
      <c r="R1120" s="4"/>
    </row>
    <row r="1121" spans="1:18" ht="15.75" thickBot="1">
      <c r="A1121" s="1"/>
      <c r="B1121" s="2"/>
      <c r="C1121" s="198"/>
      <c r="D1121" s="199"/>
      <c r="E1121" s="199"/>
      <c r="F1121" s="199"/>
      <c r="G1121" s="199"/>
      <c r="H1121" s="199"/>
      <c r="I1121" s="199"/>
      <c r="J1121" s="199"/>
      <c r="K1121" s="199"/>
      <c r="L1121" s="199"/>
      <c r="M1121" s="199"/>
      <c r="N1121" s="199"/>
      <c r="O1121" s="199"/>
      <c r="P1121" s="199"/>
      <c r="Q1121" s="200"/>
      <c r="R1121" s="4"/>
    </row>
    <row r="1122" spans="1:18" ht="16.5" thickTop="1" thickBot="1">
      <c r="A1122" s="2"/>
      <c r="B1122" s="2"/>
      <c r="C1122" s="3"/>
      <c r="D1122" s="4"/>
      <c r="E1122" s="4"/>
      <c r="F1122" s="4"/>
      <c r="G1122" s="4"/>
      <c r="H1122" s="4"/>
      <c r="I1122" s="4"/>
      <c r="J1122" s="4"/>
      <c r="K1122" s="4"/>
      <c r="L1122" s="4"/>
      <c r="M1122" s="4"/>
      <c r="N1122" s="4"/>
      <c r="O1122" s="4"/>
      <c r="P1122" s="4"/>
      <c r="Q1122" s="4"/>
      <c r="R1122" s="4"/>
    </row>
    <row r="1123" spans="1:18" ht="15.75" thickTop="1">
      <c r="A1123" s="1"/>
      <c r="B1123" s="2"/>
      <c r="C1123" s="5"/>
      <c r="D1123" s="6"/>
      <c r="E1123" s="6"/>
      <c r="F1123" s="6"/>
      <c r="G1123" s="6"/>
      <c r="H1123" s="6"/>
      <c r="I1123" s="6"/>
      <c r="J1123" s="6"/>
      <c r="K1123" s="6"/>
      <c r="L1123" s="6"/>
      <c r="M1123" s="6"/>
      <c r="N1123" s="6"/>
      <c r="O1123" s="6"/>
      <c r="P1123" s="6"/>
      <c r="Q1123" s="7"/>
      <c r="R1123" s="4"/>
    </row>
    <row r="1124" spans="1:18" ht="24">
      <c r="A1124" s="1"/>
      <c r="B1124" s="2"/>
      <c r="C1124" s="8"/>
      <c r="D1124" s="9" t="str">
        <f>+[239]INICIO!$C$8</f>
        <v>Análisis de Precios Unitarios- Secretaria de Planeación y Obras Publicas de Cubará, Boyacá.</v>
      </c>
      <c r="E1124" s="10"/>
      <c r="F1124" s="10"/>
      <c r="G1124" s="10"/>
      <c r="H1124" s="11"/>
      <c r="I1124" s="12"/>
      <c r="J1124" s="12"/>
      <c r="K1124" s="12"/>
      <c r="L1124" s="12"/>
      <c r="M1124" s="12"/>
      <c r="N1124" s="12"/>
      <c r="O1124" s="12"/>
      <c r="P1124" s="12"/>
      <c r="Q1124" s="13"/>
      <c r="R1124" s="4"/>
    </row>
    <row r="1125" spans="1:18">
      <c r="A1125" s="1"/>
      <c r="B1125" s="2"/>
      <c r="C1125" s="8"/>
      <c r="D1125" s="14" t="s">
        <v>0</v>
      </c>
      <c r="E1125" s="15" t="str">
        <f>+[239]INICIO!$C$7</f>
        <v>CCE-EICP-FM-14</v>
      </c>
      <c r="F1125" s="16"/>
      <c r="G1125" s="17" t="str">
        <f>+[239]INICIO!$B$6</f>
        <v>VERSIÓN</v>
      </c>
      <c r="H1125" s="14">
        <f>+[239]INICIO!$C$6</f>
        <v>1</v>
      </c>
      <c r="I1125" s="12"/>
      <c r="J1125" s="12"/>
      <c r="K1125" s="12"/>
      <c r="L1125" s="12"/>
      <c r="M1125" s="12"/>
      <c r="N1125" s="12"/>
      <c r="O1125" s="12"/>
      <c r="P1125" s="12"/>
      <c r="Q1125" s="13"/>
      <c r="R1125" s="4"/>
    </row>
    <row r="1126" spans="1:18">
      <c r="A1126" s="1"/>
      <c r="B1126" s="2"/>
      <c r="C1126" s="8"/>
      <c r="D1126" s="18"/>
      <c r="E1126" s="19"/>
      <c r="F1126" s="18"/>
      <c r="G1126" s="19"/>
      <c r="H1126" s="12"/>
      <c r="I1126" s="12"/>
      <c r="J1126" s="12"/>
      <c r="K1126" s="12"/>
      <c r="L1126" s="12"/>
      <c r="M1126" s="12"/>
      <c r="N1126" s="12"/>
      <c r="O1126" s="12"/>
      <c r="P1126" s="12"/>
      <c r="Q1126" s="13"/>
      <c r="R1126" s="4"/>
    </row>
    <row r="1127" spans="1:18" ht="15.75" thickBot="1">
      <c r="A1127" s="1"/>
      <c r="B1127" s="2"/>
      <c r="C1127" s="8"/>
      <c r="D1127" s="20"/>
      <c r="E1127" s="20"/>
      <c r="F1127" s="20"/>
      <c r="G1127" s="20"/>
      <c r="H1127" s="20"/>
      <c r="I1127" s="20"/>
      <c r="J1127" s="20"/>
      <c r="K1127" s="20"/>
      <c r="L1127" s="20"/>
      <c r="M1127" s="20"/>
      <c r="N1127" s="20"/>
      <c r="O1127" s="20"/>
      <c r="P1127" s="20"/>
      <c r="Q1127" s="13"/>
      <c r="R1127" s="4"/>
    </row>
    <row r="1128" spans="1:18">
      <c r="A1128" s="1"/>
      <c r="B1128" s="2"/>
      <c r="C1128" s="8"/>
      <c r="D1128" s="21"/>
      <c r="E1128" s="22"/>
      <c r="F1128" s="23"/>
      <c r="G1128" s="23"/>
      <c r="H1128" s="23"/>
      <c r="I1128" s="23"/>
      <c r="J1128" s="23"/>
      <c r="K1128" s="23"/>
      <c r="L1128" s="24"/>
      <c r="M1128" s="25"/>
      <c r="N1128" s="26"/>
      <c r="O1128" s="26"/>
      <c r="P1128" s="27"/>
      <c r="Q1128" s="28"/>
      <c r="R1128" s="4"/>
    </row>
    <row r="1129" spans="1:18">
      <c r="A1129" s="1"/>
      <c r="B1129" s="2"/>
      <c r="C1129" s="8"/>
      <c r="D1129" s="29"/>
      <c r="E1129" s="30" t="s">
        <v>1</v>
      </c>
      <c r="F1129" s="31"/>
      <c r="G1129" s="31"/>
      <c r="H1129" s="31"/>
      <c r="I1129" s="31"/>
      <c r="J1129" s="31"/>
      <c r="K1129" s="31"/>
      <c r="L1129" s="32"/>
      <c r="M1129" s="33"/>
      <c r="N1129" s="34"/>
      <c r="O1129" s="34"/>
      <c r="P1129" s="35"/>
      <c r="Q1129" s="28"/>
      <c r="R1129" s="4"/>
    </row>
    <row r="1130" spans="1:18">
      <c r="A1130" s="1"/>
      <c r="B1130" s="2"/>
      <c r="C1130" s="8"/>
      <c r="D1130" s="29"/>
      <c r="E1130" s="36"/>
      <c r="F1130" s="37"/>
      <c r="G1130" s="37"/>
      <c r="H1130" s="37"/>
      <c r="I1130" s="37"/>
      <c r="J1130" s="37"/>
      <c r="K1130" s="37"/>
      <c r="L1130" s="38"/>
      <c r="M1130" s="39"/>
      <c r="N1130" s="40"/>
      <c r="O1130" s="41"/>
      <c r="P1130" s="42"/>
      <c r="Q1130" s="28"/>
      <c r="R1130" s="4"/>
    </row>
    <row r="1131" spans="1:18">
      <c r="A1131" s="1"/>
      <c r="B1131" s="2"/>
      <c r="C1131" s="8"/>
      <c r="D1131" s="29"/>
      <c r="E1131" s="36"/>
      <c r="F1131" s="37"/>
      <c r="G1131" s="37"/>
      <c r="H1131" s="37"/>
      <c r="I1131" s="37"/>
      <c r="J1131" s="37"/>
      <c r="K1131" s="37"/>
      <c r="L1131" s="38"/>
      <c r="M1131" s="43" t="s">
        <v>2</v>
      </c>
      <c r="N1131" s="44"/>
      <c r="O1131" s="45">
        <f>+[239]INICIO!$C$6</f>
        <v>1</v>
      </c>
      <c r="P1131" s="46"/>
      <c r="Q1131" s="28"/>
      <c r="R1131" s="4"/>
    </row>
    <row r="1132" spans="1:18">
      <c r="A1132" s="1"/>
      <c r="B1132" s="2"/>
      <c r="C1132" s="8"/>
      <c r="D1132" s="29"/>
      <c r="E1132" s="36"/>
      <c r="F1132" s="37"/>
      <c r="G1132" s="37"/>
      <c r="H1132" s="37"/>
      <c r="I1132" s="37"/>
      <c r="J1132" s="37"/>
      <c r="K1132" s="37"/>
      <c r="L1132" s="38"/>
      <c r="M1132" s="47"/>
      <c r="N1132" s="48"/>
      <c r="O1132" s="49"/>
      <c r="P1132" s="50"/>
      <c r="Q1132" s="51"/>
      <c r="R1132" s="4"/>
    </row>
    <row r="1133" spans="1:18">
      <c r="A1133" s="1"/>
      <c r="B1133" s="2"/>
      <c r="C1133" s="8"/>
      <c r="D1133" s="29"/>
      <c r="E1133" s="52"/>
      <c r="F1133" s="53"/>
      <c r="G1133" s="53"/>
      <c r="H1133" s="53"/>
      <c r="I1133" s="53"/>
      <c r="J1133" s="53"/>
      <c r="K1133" s="53"/>
      <c r="L1133" s="54"/>
      <c r="M1133" s="39"/>
      <c r="N1133" s="55"/>
      <c r="O1133" s="55"/>
      <c r="P1133" s="56"/>
      <c r="Q1133" s="28"/>
      <c r="R1133" s="4"/>
    </row>
    <row r="1134" spans="1:18">
      <c r="A1134" s="1"/>
      <c r="B1134" s="2"/>
      <c r="C1134" s="8"/>
      <c r="D1134" s="29"/>
      <c r="E1134" s="52"/>
      <c r="F1134" s="53"/>
      <c r="G1134" s="53"/>
      <c r="H1134" s="53"/>
      <c r="I1134" s="53"/>
      <c r="J1134" s="53"/>
      <c r="K1134" s="53"/>
      <c r="L1134" s="54"/>
      <c r="M1134" s="43" t="s">
        <v>3</v>
      </c>
      <c r="N1134" s="43" t="str">
        <f>+VLOOKUP(D1145,'PRESUPUESTO OFICIAL '!C:Q,9,FALSE)</f>
        <v>50</v>
      </c>
      <c r="O1134" s="43" t="s">
        <v>4</v>
      </c>
      <c r="P1134" s="508" t="str">
        <f>+'PRESUPUESTO OFICIAL '!$M$122</f>
        <v>62</v>
      </c>
      <c r="Q1134" s="28"/>
      <c r="R1134" s="4"/>
    </row>
    <row r="1135" spans="1:18">
      <c r="A1135" s="1"/>
      <c r="B1135" s="2"/>
      <c r="C1135" s="8"/>
      <c r="D1135" s="29"/>
      <c r="E1135" s="30" t="s">
        <v>5</v>
      </c>
      <c r="F1135" s="31"/>
      <c r="G1135" s="31"/>
      <c r="H1135" s="31"/>
      <c r="I1135" s="31"/>
      <c r="J1135" s="31"/>
      <c r="K1135" s="31"/>
      <c r="L1135" s="32"/>
      <c r="M1135" s="43"/>
      <c r="N1135" s="57"/>
      <c r="O1135" s="57"/>
      <c r="P1135" s="58"/>
      <c r="Q1135" s="28"/>
      <c r="R1135" s="4"/>
    </row>
    <row r="1136" spans="1:18" ht="15.75" thickBot="1">
      <c r="A1136" s="1"/>
      <c r="B1136" s="2"/>
      <c r="C1136" s="8"/>
      <c r="D1136" s="59"/>
      <c r="E1136" s="60"/>
      <c r="F1136" s="60"/>
      <c r="G1136" s="60"/>
      <c r="H1136" s="60"/>
      <c r="I1136" s="60"/>
      <c r="J1136" s="60"/>
      <c r="K1136" s="60"/>
      <c r="L1136" s="60"/>
      <c r="M1136" s="60"/>
      <c r="N1136" s="61"/>
      <c r="O1136" s="61"/>
      <c r="P1136" s="62"/>
      <c r="Q1136" s="63"/>
      <c r="R1136" s="4"/>
    </row>
    <row r="1137" spans="1:18">
      <c r="A1137" s="1"/>
      <c r="B1137" s="2"/>
      <c r="C1137" s="8"/>
      <c r="D1137" s="64"/>
      <c r="E1137" s="65"/>
      <c r="F1137" s="65"/>
      <c r="G1137" s="65"/>
      <c r="H1137" s="65"/>
      <c r="I1137" s="65"/>
      <c r="J1137" s="65"/>
      <c r="K1137" s="65"/>
      <c r="L1137" s="65"/>
      <c r="M1137" s="66" t="s">
        <v>6</v>
      </c>
      <c r="N1137" s="66" t="s">
        <v>7</v>
      </c>
      <c r="O1137" s="66" t="s">
        <v>8</v>
      </c>
      <c r="P1137" s="67" t="s">
        <v>9</v>
      </c>
      <c r="Q1137" s="51"/>
      <c r="R1137" s="4"/>
    </row>
    <row r="1138" spans="1:18">
      <c r="A1138" s="1"/>
      <c r="B1138" s="2"/>
      <c r="C1138" s="8"/>
      <c r="D1138" s="68"/>
      <c r="E1138" s="69"/>
      <c r="F1138" s="69"/>
      <c r="G1138" s="69"/>
      <c r="H1138" s="69"/>
      <c r="I1138" s="69"/>
      <c r="J1138" s="69"/>
      <c r="K1138" s="69"/>
      <c r="L1138" s="69"/>
      <c r="M1138" s="70"/>
      <c r="N1138" s="71">
        <f>+Hoja2!B$5</f>
        <v>5</v>
      </c>
      <c r="O1138" s="71">
        <f>+Hoja2!C$5</f>
        <v>8</v>
      </c>
      <c r="P1138" s="72">
        <f>+Hoja2!D$5</f>
        <v>2026</v>
      </c>
      <c r="Q1138" s="73"/>
      <c r="R1138" s="4"/>
    </row>
    <row r="1139" spans="1:18">
      <c r="A1139" s="1"/>
      <c r="B1139" s="2"/>
      <c r="C1139" s="8"/>
      <c r="D1139" s="74"/>
      <c r="E1139" s="37"/>
      <c r="F1139" s="37"/>
      <c r="G1139" s="37"/>
      <c r="H1139" s="69"/>
      <c r="I1139" s="69"/>
      <c r="J1139" s="69"/>
      <c r="K1139" s="20"/>
      <c r="L1139" s="69"/>
      <c r="M1139" s="75"/>
      <c r="N1139" s="20"/>
      <c r="O1139" s="20"/>
      <c r="P1139" s="76"/>
      <c r="Q1139" s="73"/>
      <c r="R1139" s="4"/>
    </row>
    <row r="1140" spans="1:18" ht="15.75" thickBot="1">
      <c r="A1140" s="1"/>
      <c r="B1140" s="2"/>
      <c r="C1140" s="8"/>
      <c r="D1140" s="77"/>
      <c r="E1140" s="78"/>
      <c r="F1140" s="78"/>
      <c r="G1140" s="78"/>
      <c r="H1140" s="78"/>
      <c r="I1140" s="78"/>
      <c r="J1140" s="78"/>
      <c r="K1140" s="78"/>
      <c r="L1140" s="78"/>
      <c r="M1140" s="78"/>
      <c r="N1140" s="78"/>
      <c r="O1140" s="78"/>
      <c r="P1140" s="79"/>
      <c r="Q1140" s="13"/>
      <c r="R1140" s="4"/>
    </row>
    <row r="1141" spans="1:18" ht="15.75" thickBot="1">
      <c r="A1141" s="1"/>
      <c r="B1141" s="2"/>
      <c r="C1141" s="8"/>
      <c r="D1141" s="80"/>
      <c r="E1141" s="81"/>
      <c r="F1141" s="81"/>
      <c r="G1141" s="81"/>
      <c r="H1141" s="81"/>
      <c r="I1141" s="81"/>
      <c r="J1141" s="20"/>
      <c r="K1141" s="20"/>
      <c r="L1141" s="81"/>
      <c r="M1141" s="81"/>
      <c r="N1141" s="81"/>
      <c r="O1141" s="81"/>
      <c r="P1141" s="82"/>
      <c r="Q1141" s="13"/>
      <c r="R1141" s="4"/>
    </row>
    <row r="1142" spans="1:18">
      <c r="A1142" s="1"/>
      <c r="B1142" s="2"/>
      <c r="C1142" s="8"/>
      <c r="D1142" s="83" t="s">
        <v>10</v>
      </c>
      <c r="E1142" s="84"/>
      <c r="F1142" s="84"/>
      <c r="G1142" s="84"/>
      <c r="H1142" s="84"/>
      <c r="I1142" s="84"/>
      <c r="J1142" s="84"/>
      <c r="K1142" s="84"/>
      <c r="L1142" s="84"/>
      <c r="M1142" s="84"/>
      <c r="N1142" s="84"/>
      <c r="O1142" s="84"/>
      <c r="P1142" s="85"/>
      <c r="Q1142" s="86"/>
      <c r="R1142" s="4"/>
    </row>
    <row r="1143" spans="1:18" ht="15.75" thickBot="1">
      <c r="A1143" s="1"/>
      <c r="B1143" s="2"/>
      <c r="C1143" s="8"/>
      <c r="D1143" s="87"/>
      <c r="E1143" s="20"/>
      <c r="F1143" s="20"/>
      <c r="G1143" s="20"/>
      <c r="H1143" s="20"/>
      <c r="I1143" s="20"/>
      <c r="J1143" s="20"/>
      <c r="K1143" s="20"/>
      <c r="L1143" s="20"/>
      <c r="M1143" s="20"/>
      <c r="N1143" s="20"/>
      <c r="O1143" s="20"/>
      <c r="P1143" s="88"/>
      <c r="Q1143" s="13"/>
      <c r="R1143" s="4"/>
    </row>
    <row r="1144" spans="1:18">
      <c r="A1144" s="1" t="s">
        <v>11</v>
      </c>
      <c r="B1144" s="2" t="s">
        <v>12</v>
      </c>
      <c r="C1144" s="8"/>
      <c r="D1144" s="89" t="s">
        <v>13</v>
      </c>
      <c r="E1144" s="90" t="s">
        <v>14</v>
      </c>
      <c r="F1144" s="90"/>
      <c r="G1144" s="90"/>
      <c r="H1144" s="90"/>
      <c r="I1144" s="90"/>
      <c r="J1144" s="90"/>
      <c r="K1144" s="90"/>
      <c r="L1144" s="90"/>
      <c r="M1144" s="90"/>
      <c r="N1144" s="91" t="s">
        <v>15</v>
      </c>
      <c r="O1144" s="91"/>
      <c r="P1144" s="92" t="s">
        <v>16</v>
      </c>
      <c r="Q1144" s="93"/>
      <c r="R1144" s="4"/>
    </row>
    <row r="1145" spans="1:18" ht="24" customHeight="1" thickBot="1">
      <c r="A1145" s="1"/>
      <c r="B1145" s="2"/>
      <c r="C1145" s="8"/>
      <c r="D1145" s="349">
        <f>+'PRESUPUESTO OFICIAL '!C80</f>
        <v>7.01</v>
      </c>
      <c r="E1145" s="94" t="str">
        <f>+VLOOKUP(D1145,'PRESUPUESTO OFICIAL '!C:H,2,FALSE)</f>
        <v>SUMINISTRO E INSTALACIÓN DE TUBO RECTANGULAR DE 3 X 1 1/2" CAL. 18</v>
      </c>
      <c r="F1145" s="94"/>
      <c r="G1145" s="94"/>
      <c r="H1145" s="94"/>
      <c r="I1145" s="94"/>
      <c r="J1145" s="94"/>
      <c r="K1145" s="94"/>
      <c r="L1145" s="94"/>
      <c r="M1145" s="94"/>
      <c r="N1145" s="94" t="str">
        <f>+VLOOKUP(D1145,'PRESUPUESTO OFICIAL '!C:H,3,FALSE)</f>
        <v>M</v>
      </c>
      <c r="O1145" s="95"/>
      <c r="P1145" s="96">
        <f>+VLOOKUP(D1145,'PRESUPUESTO OFICIAL '!C:H,4,FALSE)</f>
        <v>1399.87</v>
      </c>
      <c r="Q1145" s="97"/>
      <c r="R1145" s="98">
        <f>+P1197</f>
        <v>59674</v>
      </c>
    </row>
    <row r="1146" spans="1:18" ht="15.75" thickBot="1">
      <c r="A1146" s="1"/>
      <c r="B1146" s="2"/>
      <c r="C1146" s="8"/>
      <c r="D1146" s="74" t="s">
        <v>17</v>
      </c>
      <c r="E1146" s="37"/>
      <c r="F1146" s="37"/>
      <c r="G1146" s="37"/>
      <c r="H1146" s="37"/>
      <c r="I1146" s="37"/>
      <c r="J1146" s="37"/>
      <c r="K1146" s="37"/>
      <c r="L1146" s="37"/>
      <c r="M1146" s="37"/>
      <c r="N1146" s="37"/>
      <c r="O1146" s="37"/>
      <c r="P1146" s="99"/>
      <c r="Q1146" s="100"/>
      <c r="R1146" s="4"/>
    </row>
    <row r="1147" spans="1:18">
      <c r="A1147" s="1"/>
      <c r="B1147" s="2"/>
      <c r="C1147" s="8"/>
      <c r="D1147" s="101" t="s">
        <v>14</v>
      </c>
      <c r="E1147" s="102"/>
      <c r="F1147" s="102"/>
      <c r="G1147" s="102"/>
      <c r="H1147" s="103"/>
      <c r="I1147" s="104" t="s">
        <v>18</v>
      </c>
      <c r="J1147" s="102"/>
      <c r="K1147" s="104" t="s">
        <v>19</v>
      </c>
      <c r="L1147" s="105"/>
      <c r="M1147" s="106" t="s">
        <v>20</v>
      </c>
      <c r="N1147" s="104" t="s">
        <v>21</v>
      </c>
      <c r="O1147" s="105"/>
      <c r="P1147" s="107" t="s">
        <v>22</v>
      </c>
      <c r="Q1147" s="108"/>
      <c r="R1147" s="4"/>
    </row>
    <row r="1148" spans="1:18">
      <c r="A1148" s="1" t="e">
        <f>[239]INDICE!#REF!</f>
        <v>#REF!</v>
      </c>
      <c r="B1148" s="2" t="s">
        <v>23</v>
      </c>
      <c r="C1148" s="8"/>
      <c r="D1148" s="109" t="str">
        <f>IFERROR(INDEX([239]EQUIPOS!B:B,MATCH(B1148,[239]EQUIPOS!A:A,0)),"")</f>
        <v>HERRAMIENTA MENOR (% M.O)</v>
      </c>
      <c r="E1148" s="110"/>
      <c r="F1148" s="110"/>
      <c r="G1148" s="110"/>
      <c r="H1148" s="111"/>
      <c r="I1148" s="112"/>
      <c r="J1148" s="111"/>
      <c r="K1148" s="113" t="str">
        <f>IFERROR(INDEX([239]EQUIPOS!C:C,MATCH(B1148,[239]EQUIPOS!A:A,0)),"")</f>
        <v>%</v>
      </c>
      <c r="L1148" s="114"/>
      <c r="M1148" s="115">
        <f>IFERROR(IF(D1148="HERRAMIENTA MENOR (% M.O)",P1187,INDEX([239]EQUIPOS!D:D,MATCH(B1148,[239]EQUIPOS!A:A,0))),"")</f>
        <v>15401.44</v>
      </c>
      <c r="N1148" s="116">
        <v>10</v>
      </c>
      <c r="O1148" s="117"/>
      <c r="P1148" s="118">
        <f t="shared" ref="P1148:P1153" si="39">IFERROR(ROUND(IF(D1148="HERRAMIENTA MENOR (% M.O)",N1148%*M1148,M1148/N1148),2)," ")</f>
        <v>1540.14</v>
      </c>
      <c r="Q1148" s="119"/>
      <c r="R1148" s="4"/>
    </row>
    <row r="1149" spans="1:18">
      <c r="A1149" s="1">
        <f>+$A$2593</f>
        <v>0</v>
      </c>
      <c r="B1149" s="2" t="s">
        <v>264</v>
      </c>
      <c r="C1149" s="8"/>
      <c r="D1149" s="109" t="str">
        <f>IFERROR(INDEX([239]EQUIPOS!B:B,MATCH(B1149,[239]EQUIPOS!A:A,0)),"")</f>
        <v>PULIDORA</v>
      </c>
      <c r="E1149" s="110"/>
      <c r="F1149" s="110"/>
      <c r="G1149" s="110"/>
      <c r="H1149" s="111"/>
      <c r="I1149" s="112"/>
      <c r="J1149" s="111"/>
      <c r="K1149" s="113" t="str">
        <f>IFERROR(INDEX([239]EQUIPOS!C:C,MATCH(B1149,[239]EQUIPOS!A:A,0)),"")</f>
        <v>DIA</v>
      </c>
      <c r="L1149" s="114"/>
      <c r="M1149" s="115">
        <f>IFERROR(IF(D1149="HERRAMIENTA MENOR (% M.O)",P1188,INDEX([239]EQUIPOS!D:D,MATCH(B1149,[239]EQUIPOS!A:A,0))),"")</f>
        <v>45000</v>
      </c>
      <c r="N1149" s="116">
        <v>240</v>
      </c>
      <c r="O1149" s="117"/>
      <c r="P1149" s="118">
        <f t="shared" si="39"/>
        <v>187.5</v>
      </c>
      <c r="Q1149" s="119"/>
      <c r="R1149" s="4"/>
    </row>
    <row r="1150" spans="1:18">
      <c r="A1150" s="1">
        <f t="shared" ref="A1150:A1188" si="40">+A1149</f>
        <v>0</v>
      </c>
      <c r="B1150" s="2" t="s">
        <v>278</v>
      </c>
      <c r="C1150" s="8"/>
      <c r="D1150" s="109" t="str">
        <f>IFERROR(INDEX([239]EQUIPOS!B:B,MATCH(B1150,[239]EQUIPOS!A:A,0)),"")</f>
        <v>EQUIPO DE SOLDADURA</v>
      </c>
      <c r="E1150" s="110"/>
      <c r="F1150" s="110"/>
      <c r="G1150" s="110"/>
      <c r="H1150" s="111"/>
      <c r="I1150" s="120"/>
      <c r="J1150" s="121"/>
      <c r="K1150" s="113" t="str">
        <f>IFERROR(INDEX([239]EQUIPOS!C:C,MATCH(B1150,[239]EQUIPOS!A:A,0)),"")</f>
        <v>DIA</v>
      </c>
      <c r="L1150" s="114"/>
      <c r="M1150" s="115">
        <f>IFERROR(IF(D1150="HERRAMIENTA MENOR (% M.O)",P1189,INDEX([239]EQUIPOS!D:D,MATCH(B1150,[239]EQUIPOS!A:A,0))),"")</f>
        <v>80000</v>
      </c>
      <c r="N1150" s="116">
        <v>96</v>
      </c>
      <c r="O1150" s="117"/>
      <c r="P1150" s="118">
        <f t="shared" si="39"/>
        <v>833.33</v>
      </c>
      <c r="Q1150" s="119"/>
      <c r="R1150" s="4"/>
    </row>
    <row r="1151" spans="1:18">
      <c r="A1151" s="1">
        <f t="shared" si="40"/>
        <v>0</v>
      </c>
      <c r="B1151" s="2" t="s">
        <v>339</v>
      </c>
      <c r="C1151" s="8"/>
      <c r="D1151" s="109" t="str">
        <f>IFERROR(INDEX([239]EQUIPOS!B:B,MATCH(B1151,[239]EQUIPOS!A:A,0)),"")</f>
        <v>COMPRESOR DE PINTURA</v>
      </c>
      <c r="E1151" s="110"/>
      <c r="F1151" s="110"/>
      <c r="G1151" s="110"/>
      <c r="H1151" s="111"/>
      <c r="I1151" s="120"/>
      <c r="J1151" s="121"/>
      <c r="K1151" s="113" t="str">
        <f>IFERROR(INDEX([239]EQUIPOS!C:C,MATCH(B1151,[239]EQUIPOS!A:A,0)),"")</f>
        <v>DIA</v>
      </c>
      <c r="L1151" s="114"/>
      <c r="M1151" s="115">
        <f>IFERROR(IF(D1151="HERRAMIENTA MENOR (% M.O)",P1190,INDEX([239]EQUIPOS!D:D,MATCH(B1151,[239]EQUIPOS!A:A,0))),"")</f>
        <v>90792</v>
      </c>
      <c r="N1151" s="116">
        <v>160</v>
      </c>
      <c r="O1151" s="117"/>
      <c r="P1151" s="118">
        <f t="shared" si="39"/>
        <v>567.45000000000005</v>
      </c>
      <c r="Q1151" s="119"/>
      <c r="R1151" s="4"/>
    </row>
    <row r="1152" spans="1:18">
      <c r="A1152" s="1">
        <f t="shared" si="40"/>
        <v>0</v>
      </c>
      <c r="B1152" s="2" t="s">
        <v>258</v>
      </c>
      <c r="C1152" s="8"/>
      <c r="D1152" s="109" t="str">
        <f>IFERROR(INDEX([239]EQUIPOS!B:B,MATCH(B1152,[239]EQUIPOS!A:A,0)),"")</f>
        <v>SECCIÓN DE ANDAMIO (02)</v>
      </c>
      <c r="E1152" s="110"/>
      <c r="F1152" s="110"/>
      <c r="G1152" s="110"/>
      <c r="H1152" s="111"/>
      <c r="I1152" s="112"/>
      <c r="J1152" s="111"/>
      <c r="K1152" s="113" t="str">
        <f>IFERROR(INDEX([239]EQUIPOS!C:C,MATCH(B1152,[239]EQUIPOS!A:A,0)),"")</f>
        <v>DIA</v>
      </c>
      <c r="L1152" s="114"/>
      <c r="M1152" s="115">
        <f>IFERROR(IF(D1152="HERRAMIENTA MENOR (% M.O)",P1191,INDEX([239]EQUIPOS!D:D,MATCH(B1152,[239]EQUIPOS!A:A,0))),"")</f>
        <v>6000</v>
      </c>
      <c r="N1152" s="116">
        <f>+N1182</f>
        <v>35</v>
      </c>
      <c r="O1152" s="117"/>
      <c r="P1152" s="118">
        <f t="shared" si="39"/>
        <v>171.43</v>
      </c>
      <c r="Q1152" s="119"/>
      <c r="R1152" s="4"/>
    </row>
    <row r="1153" spans="1:18" ht="15.75" thickBot="1">
      <c r="A1153" s="1">
        <f t="shared" si="40"/>
        <v>0</v>
      </c>
      <c r="B1153" s="2"/>
      <c r="C1153" s="8"/>
      <c r="D1153" s="109" t="str">
        <f>IFERROR(INDEX([239]EQUIPOS!B:B,MATCH(B1153,[239]EQUIPOS!A:A,0)),"")</f>
        <v/>
      </c>
      <c r="E1153" s="78"/>
      <c r="F1153" s="78"/>
      <c r="G1153" s="78"/>
      <c r="H1153" s="122"/>
      <c r="I1153" s="123"/>
      <c r="J1153" s="122"/>
      <c r="K1153" s="113" t="str">
        <f>IFERROR(INDEX([239]EQUIPOS!C:C,MATCH(B1153,[239]EQUIPOS!A:A,0)),"")</f>
        <v/>
      </c>
      <c r="L1153" s="124"/>
      <c r="M1153" s="115" t="str">
        <f>IFERROR(IF(D1153="HERRAMIENTA MENOR (% M.O)",P1192,INDEX([239]EQUIPOS!D:D,MATCH(B1153,[239]EQUIPOS!A:A,0))),"")</f>
        <v/>
      </c>
      <c r="N1153" s="125"/>
      <c r="O1153" s="126"/>
      <c r="P1153" s="127" t="str">
        <f t="shared" si="39"/>
        <v xml:space="preserve"> </v>
      </c>
      <c r="Q1153" s="119"/>
      <c r="R1153" s="4"/>
    </row>
    <row r="1154" spans="1:18" ht="15.75" thickBot="1">
      <c r="A1154" s="1">
        <f t="shared" si="40"/>
        <v>0</v>
      </c>
      <c r="B1154" s="2"/>
      <c r="C1154" s="8"/>
      <c r="D1154" s="128" t="s">
        <v>24</v>
      </c>
      <c r="E1154" s="129"/>
      <c r="F1154" s="129"/>
      <c r="G1154" s="129"/>
      <c r="H1154" s="129"/>
      <c r="I1154" s="129"/>
      <c r="J1154" s="129"/>
      <c r="K1154" s="129"/>
      <c r="L1154" s="129"/>
      <c r="M1154" s="129"/>
      <c r="N1154" s="129"/>
      <c r="O1154" s="130"/>
      <c r="P1154" s="131">
        <f>SUM(P1148:P1153)</f>
        <v>3299.85</v>
      </c>
      <c r="Q1154" s="132"/>
      <c r="R1154" s="4"/>
    </row>
    <row r="1155" spans="1:18" ht="15.75" thickBot="1">
      <c r="A1155" s="1">
        <f t="shared" si="40"/>
        <v>0</v>
      </c>
      <c r="B1155" s="2"/>
      <c r="C1155" s="8"/>
      <c r="D1155" s="74" t="s">
        <v>25</v>
      </c>
      <c r="E1155" s="37"/>
      <c r="F1155" s="37"/>
      <c r="G1155" s="37"/>
      <c r="H1155" s="37"/>
      <c r="I1155" s="37"/>
      <c r="J1155" s="37"/>
      <c r="K1155" s="37"/>
      <c r="L1155" s="37"/>
      <c r="M1155" s="37"/>
      <c r="N1155" s="37"/>
      <c r="O1155" s="37"/>
      <c r="P1155" s="99"/>
      <c r="Q1155" s="100"/>
      <c r="R1155" s="4"/>
    </row>
    <row r="1156" spans="1:18">
      <c r="A1156" s="1">
        <f t="shared" si="40"/>
        <v>0</v>
      </c>
      <c r="B1156" s="2"/>
      <c r="C1156" s="8"/>
      <c r="D1156" s="101" t="s">
        <v>14</v>
      </c>
      <c r="E1156" s="133"/>
      <c r="F1156" s="133"/>
      <c r="G1156" s="133"/>
      <c r="H1156" s="133"/>
      <c r="I1156" s="133"/>
      <c r="J1156" s="133"/>
      <c r="K1156" s="105"/>
      <c r="L1156" s="134" t="s">
        <v>15</v>
      </c>
      <c r="M1156" s="106" t="s">
        <v>16</v>
      </c>
      <c r="N1156" s="104" t="s">
        <v>26</v>
      </c>
      <c r="O1156" s="105"/>
      <c r="P1156" s="107" t="s">
        <v>22</v>
      </c>
      <c r="Q1156" s="108"/>
      <c r="R1156" s="4"/>
    </row>
    <row r="1157" spans="1:18">
      <c r="A1157" s="1">
        <f t="shared" si="40"/>
        <v>0</v>
      </c>
      <c r="B1157" s="2" t="s">
        <v>340</v>
      </c>
      <c r="C1157" s="8"/>
      <c r="D1157" s="109" t="str">
        <f>IFERROR(INDEX([239]MATERIALES!C:C,MATCH(B1157,[239]MATERIALES!B:B,0)),"")</f>
        <v>TUBO RECTANGULAR DE 3" x 1 1/2" CAL.18</v>
      </c>
      <c r="E1157" s="135"/>
      <c r="F1157" s="135"/>
      <c r="G1157" s="135"/>
      <c r="H1157" s="135"/>
      <c r="I1157" s="135"/>
      <c r="J1157" s="135"/>
      <c r="K1157" s="136"/>
      <c r="L1157" s="137" t="str">
        <f>IFERROR(INDEX([239]MATERIALES!D:D,MATCH(B1157,[239]MATERIALES!B:B,0)),"")</f>
        <v>M</v>
      </c>
      <c r="M1157" s="138">
        <v>1</v>
      </c>
      <c r="N1157" s="139">
        <f>IFERROR(INDEX([239]MATERIALES!P:P,MATCH(B1157,[239]MATERIALES!B:B,0)),"")</f>
        <v>13517.78</v>
      </c>
      <c r="O1157" s="140"/>
      <c r="P1157" s="118">
        <f>IFERROR(ROUND(N1157*M1157,2),"")</f>
        <v>13517.78</v>
      </c>
      <c r="Q1157" s="119"/>
      <c r="R1157" s="4"/>
    </row>
    <row r="1158" spans="1:18">
      <c r="A1158" s="1">
        <f t="shared" si="40"/>
        <v>0</v>
      </c>
      <c r="B1158" s="2" t="s">
        <v>280</v>
      </c>
      <c r="C1158" s="8"/>
      <c r="D1158" s="109" t="str">
        <f>IFERROR(INDEX([239]MATERIALES!C:C,MATCH(B1158,[239]MATERIALES!B:B,0)),"")</f>
        <v>SOLDADURA ELÉCTRICA 6013</v>
      </c>
      <c r="E1158" s="135"/>
      <c r="F1158" s="135"/>
      <c r="G1158" s="135"/>
      <c r="H1158" s="135"/>
      <c r="I1158" s="135"/>
      <c r="J1158" s="135"/>
      <c r="K1158" s="136"/>
      <c r="L1158" s="137" t="str">
        <f>IFERROR(INDEX([239]MATERIALES!D:D,MATCH(B1158,[239]MATERIALES!B:B,0)),"")</f>
        <v>KG</v>
      </c>
      <c r="M1158" s="138">
        <v>0.1</v>
      </c>
      <c r="N1158" s="139">
        <f>IFERROR(INDEX([239]MATERIALES!P:P,MATCH(B1158,[239]MATERIALES!B:B,0)),"")</f>
        <v>23035.3</v>
      </c>
      <c r="O1158" s="140"/>
      <c r="P1158" s="118">
        <f>IFERROR(ROUND(N1158*M1158,2),"")</f>
        <v>2303.5300000000002</v>
      </c>
      <c r="Q1158" s="119"/>
      <c r="R1158" s="4"/>
    </row>
    <row r="1159" spans="1:18">
      <c r="A1159" s="1">
        <f t="shared" si="40"/>
        <v>0</v>
      </c>
      <c r="B1159" s="2" t="s">
        <v>282</v>
      </c>
      <c r="C1159" s="8"/>
      <c r="D1159" s="109" t="str">
        <f>IFERROR(INDEX([239]MATERIALES!C:C,MATCH(B1159,[239]MATERIALES!B:B,0)),"")</f>
        <v>DISOLVENTE THINNER</v>
      </c>
      <c r="E1159" s="110"/>
      <c r="F1159" s="110"/>
      <c r="G1159" s="110"/>
      <c r="H1159" s="110"/>
      <c r="I1159" s="110"/>
      <c r="J1159" s="110"/>
      <c r="K1159" s="111"/>
      <c r="L1159" s="137" t="str">
        <f>IFERROR(INDEX([239]MATERIALES!D:D,MATCH(B1159,[239]MATERIALES!B:B,0)),"")</f>
        <v>GAL</v>
      </c>
      <c r="M1159" s="138">
        <v>0.02</v>
      </c>
      <c r="N1159" s="139">
        <f>IFERROR(INDEX([239]MATERIALES!P:P,MATCH(B1159,[239]MATERIALES!B:B,0)),"")</f>
        <v>31200</v>
      </c>
      <c r="O1159" s="140"/>
      <c r="P1159" s="118">
        <f>IFERROR(ROUND(N1159*M1159,2),"")</f>
        <v>624</v>
      </c>
      <c r="Q1159" s="119"/>
      <c r="R1159" s="4"/>
    </row>
    <row r="1160" spans="1:18">
      <c r="A1160" s="1">
        <f t="shared" si="40"/>
        <v>0</v>
      </c>
      <c r="B1160" s="2" t="s">
        <v>283</v>
      </c>
      <c r="C1160" s="8"/>
      <c r="D1160" s="109" t="str">
        <f>IFERROR(INDEX([239]MATERIALES!C:C,MATCH(B1160,[239]MATERIALES!B:B,0)),"")</f>
        <v>PINTURA ANTICORROSIVO</v>
      </c>
      <c r="E1160" s="110"/>
      <c r="F1160" s="110"/>
      <c r="G1160" s="110"/>
      <c r="H1160" s="110"/>
      <c r="I1160" s="110"/>
      <c r="J1160" s="110"/>
      <c r="K1160" s="111"/>
      <c r="L1160" s="137" t="str">
        <f>IFERROR(INDEX([239]MATERIALES!D:D,MATCH(B1160,[239]MATERIALES!B:B,0)),"")</f>
        <v>GAL</v>
      </c>
      <c r="M1160" s="138">
        <v>0.05</v>
      </c>
      <c r="N1160" s="139">
        <f>IFERROR(INDEX([239]MATERIALES!P:P,MATCH(B1160,[239]MATERIALES!B:B,0)),"")</f>
        <v>61200</v>
      </c>
      <c r="O1160" s="140"/>
      <c r="P1160" s="118">
        <f>IFERROR(ROUND(N1160*M1160,2),"")</f>
        <v>3060</v>
      </c>
      <c r="Q1160" s="119"/>
      <c r="R1160" s="4"/>
    </row>
    <row r="1161" spans="1:18">
      <c r="A1161" s="1">
        <f t="shared" si="40"/>
        <v>0</v>
      </c>
      <c r="B1161" s="2" t="s">
        <v>284</v>
      </c>
      <c r="C1161" s="8"/>
      <c r="D1161" s="109" t="str">
        <f>IFERROR(INDEX([239]MATERIALES!C:C,MATCH(B1161,[239]MATERIALES!B:B,0)),"")</f>
        <v>PINTURA ESMALTE SINTÉTICO TIPO I</v>
      </c>
      <c r="E1161" s="110"/>
      <c r="F1161" s="110"/>
      <c r="G1161" s="110"/>
      <c r="H1161" s="110"/>
      <c r="I1161" s="110"/>
      <c r="J1161" s="110"/>
      <c r="K1161" s="111"/>
      <c r="L1161" s="137" t="str">
        <f>IFERROR(INDEX([239]MATERIALES!D:D,MATCH(B1161,[239]MATERIALES!B:B,0)),"")</f>
        <v>GAL</v>
      </c>
      <c r="M1161" s="138">
        <v>0.05</v>
      </c>
      <c r="N1161" s="139">
        <f>IFERROR(INDEX([239]MATERIALES!P:P,MATCH(B1161,[239]MATERIALES!B:B,0)),"")</f>
        <v>96598.66</v>
      </c>
      <c r="O1161" s="140"/>
      <c r="P1161" s="118">
        <f t="shared" ref="P1161:P1170" si="41">IFERROR(ROUND(N1161*M1161,2),"")</f>
        <v>4829.93</v>
      </c>
      <c r="Q1161" s="119"/>
      <c r="R1161" s="4"/>
    </row>
    <row r="1162" spans="1:18">
      <c r="A1162" s="1">
        <f t="shared" si="40"/>
        <v>0</v>
      </c>
      <c r="B1162" s="2" t="s">
        <v>281</v>
      </c>
      <c r="C1162" s="8"/>
      <c r="D1162" s="109" t="str">
        <f>IFERROR(INDEX([239]MATERIALES!C:C,MATCH(B1162,[239]MATERIALES!B:B,0)),"")</f>
        <v>DISCO CORTE DE METAL 7"</v>
      </c>
      <c r="E1162" s="110"/>
      <c r="F1162" s="110"/>
      <c r="G1162" s="110"/>
      <c r="H1162" s="110"/>
      <c r="I1162" s="110"/>
      <c r="J1162" s="110"/>
      <c r="K1162" s="111"/>
      <c r="L1162" s="137" t="str">
        <f>IFERROR(INDEX([239]MATERIALES!D:D,MATCH(B1162,[239]MATERIALES!B:B,0)),"")</f>
        <v>UND</v>
      </c>
      <c r="M1162" s="138">
        <v>0.06</v>
      </c>
      <c r="N1162" s="139">
        <f>IFERROR(INDEX([239]MATERIALES!P:P,MATCH(B1162,[239]MATERIALES!B:B,0)),"")</f>
        <v>9750</v>
      </c>
      <c r="O1162" s="140"/>
      <c r="P1162" s="118">
        <f t="shared" si="41"/>
        <v>585</v>
      </c>
      <c r="Q1162" s="119"/>
      <c r="R1162" s="4"/>
    </row>
    <row r="1163" spans="1:18">
      <c r="A1163" s="1">
        <f t="shared" si="40"/>
        <v>0</v>
      </c>
      <c r="B1163" s="2"/>
      <c r="C1163" s="8"/>
      <c r="D1163" s="109" t="str">
        <f>IFERROR(INDEX([239]MATERIALES!C:C,MATCH(B1163,[239]MATERIALES!B:B,0)),"")</f>
        <v/>
      </c>
      <c r="E1163" s="110"/>
      <c r="F1163" s="110"/>
      <c r="G1163" s="110"/>
      <c r="H1163" s="110"/>
      <c r="I1163" s="110"/>
      <c r="J1163" s="110"/>
      <c r="K1163" s="111"/>
      <c r="L1163" s="137" t="str">
        <f>IFERROR(INDEX([239]MATERIALES!D:D,MATCH(B1163,[239]MATERIALES!B:B,0)),"")</f>
        <v/>
      </c>
      <c r="M1163" s="138"/>
      <c r="N1163" s="139" t="str">
        <f>IFERROR(INDEX([239]MATERIALES!P:P,MATCH(B1163,[239]MATERIALES!B:B,0)),"")</f>
        <v/>
      </c>
      <c r="O1163" s="140"/>
      <c r="P1163" s="118" t="str">
        <f t="shared" si="41"/>
        <v/>
      </c>
      <c r="Q1163" s="119"/>
      <c r="R1163" s="4"/>
    </row>
    <row r="1164" spans="1:18">
      <c r="A1164" s="1">
        <f t="shared" si="40"/>
        <v>0</v>
      </c>
      <c r="B1164" s="2"/>
      <c r="C1164" s="8"/>
      <c r="D1164" s="109" t="str">
        <f>IFERROR(INDEX([239]MATERIALES!C:C,MATCH(B1164,[239]MATERIALES!B:B,0)),"")</f>
        <v/>
      </c>
      <c r="E1164" s="110"/>
      <c r="F1164" s="110"/>
      <c r="G1164" s="110"/>
      <c r="H1164" s="110"/>
      <c r="I1164" s="110"/>
      <c r="J1164" s="110"/>
      <c r="K1164" s="111"/>
      <c r="L1164" s="137" t="str">
        <f>IFERROR(INDEX([239]MATERIALES!D:D,MATCH(B1164,[239]MATERIALES!B:B,0)),"")</f>
        <v/>
      </c>
      <c r="M1164" s="138"/>
      <c r="N1164" s="139" t="str">
        <f>IFERROR(INDEX([239]MATERIALES!P:P,MATCH(B1164,[239]MATERIALES!B:B,0)),"")</f>
        <v/>
      </c>
      <c r="O1164" s="140"/>
      <c r="P1164" s="118" t="str">
        <f t="shared" si="41"/>
        <v/>
      </c>
      <c r="Q1164" s="119"/>
      <c r="R1164" s="4"/>
    </row>
    <row r="1165" spans="1:18">
      <c r="A1165" s="1">
        <f t="shared" si="40"/>
        <v>0</v>
      </c>
      <c r="B1165" s="2"/>
      <c r="C1165" s="8"/>
      <c r="D1165" s="109" t="str">
        <f>IFERROR(INDEX([239]MATERIALES!C:C,MATCH(B1165,[239]MATERIALES!B:B,0)),"")</f>
        <v/>
      </c>
      <c r="E1165" s="110"/>
      <c r="F1165" s="110"/>
      <c r="G1165" s="110"/>
      <c r="H1165" s="110"/>
      <c r="I1165" s="110"/>
      <c r="J1165" s="110"/>
      <c r="K1165" s="111"/>
      <c r="L1165" s="137" t="str">
        <f>IFERROR(INDEX([239]MATERIALES!D:D,MATCH(B1165,[239]MATERIALES!B:B,0)),"")</f>
        <v/>
      </c>
      <c r="M1165" s="138"/>
      <c r="N1165" s="139" t="str">
        <f>IFERROR(INDEX([239]MATERIALES!P:P,MATCH(B1165,[239]MATERIALES!B:B,0)),"")</f>
        <v/>
      </c>
      <c r="O1165" s="140"/>
      <c r="P1165" s="118" t="str">
        <f t="shared" si="41"/>
        <v/>
      </c>
      <c r="Q1165" s="119"/>
      <c r="R1165" s="4"/>
    </row>
    <row r="1166" spans="1:18">
      <c r="A1166" s="1">
        <f t="shared" si="40"/>
        <v>0</v>
      </c>
      <c r="B1166" s="2"/>
      <c r="C1166" s="8"/>
      <c r="D1166" s="109" t="str">
        <f>IFERROR(INDEX([239]MATERIALES!C:C,MATCH(B1166,[239]MATERIALES!B:B,0)),"")</f>
        <v/>
      </c>
      <c r="E1166" s="110"/>
      <c r="F1166" s="110"/>
      <c r="G1166" s="110"/>
      <c r="H1166" s="110"/>
      <c r="I1166" s="110"/>
      <c r="J1166" s="110"/>
      <c r="K1166" s="111"/>
      <c r="L1166" s="137" t="str">
        <f>IFERROR(INDEX([239]MATERIALES!D:D,MATCH(B1166,[239]MATERIALES!B:B,0)),"")</f>
        <v/>
      </c>
      <c r="M1166" s="138"/>
      <c r="N1166" s="139" t="str">
        <f>IFERROR(INDEX([239]MATERIALES!P:P,MATCH(B1166,[239]MATERIALES!B:B,0)),"")</f>
        <v/>
      </c>
      <c r="O1166" s="140"/>
      <c r="P1166" s="118" t="str">
        <f t="shared" si="41"/>
        <v/>
      </c>
      <c r="Q1166" s="119"/>
      <c r="R1166" s="4"/>
    </row>
    <row r="1167" spans="1:18">
      <c r="A1167" s="1">
        <f t="shared" si="40"/>
        <v>0</v>
      </c>
      <c r="B1167" s="2"/>
      <c r="C1167" s="8"/>
      <c r="D1167" s="109" t="str">
        <f>IFERROR(INDEX([239]MATERIALES!C:C,MATCH(B1167,[239]MATERIALES!B:B,0)),"")</f>
        <v/>
      </c>
      <c r="E1167" s="110"/>
      <c r="F1167" s="110"/>
      <c r="G1167" s="110"/>
      <c r="H1167" s="110"/>
      <c r="I1167" s="110"/>
      <c r="J1167" s="110"/>
      <c r="K1167" s="111"/>
      <c r="L1167" s="137" t="str">
        <f>IFERROR(INDEX([239]MATERIALES!D:D,MATCH(B1167,[239]MATERIALES!B:B,0)),"")</f>
        <v/>
      </c>
      <c r="M1167" s="138"/>
      <c r="N1167" s="139" t="str">
        <f>IFERROR(INDEX([239]MATERIALES!P:P,MATCH(B1167,[239]MATERIALES!B:B,0)),"")</f>
        <v/>
      </c>
      <c r="O1167" s="140"/>
      <c r="P1167" s="118" t="str">
        <f t="shared" si="41"/>
        <v/>
      </c>
      <c r="Q1167" s="119"/>
      <c r="R1167" s="4"/>
    </row>
    <row r="1168" spans="1:18">
      <c r="A1168" s="1">
        <f t="shared" si="40"/>
        <v>0</v>
      </c>
      <c r="B1168" s="2"/>
      <c r="C1168" s="8"/>
      <c r="D1168" s="109" t="str">
        <f>IFERROR(INDEX([239]MATERIALES!C:C,MATCH(B1168,[239]MATERIALES!B:B,0)),"")</f>
        <v/>
      </c>
      <c r="E1168" s="110"/>
      <c r="F1168" s="110"/>
      <c r="G1168" s="110"/>
      <c r="H1168" s="110"/>
      <c r="I1168" s="110"/>
      <c r="J1168" s="110"/>
      <c r="K1168" s="111"/>
      <c r="L1168" s="137" t="str">
        <f>IFERROR(INDEX([239]MATERIALES!D:D,MATCH(B1168,[239]MATERIALES!B:B,0)),"")</f>
        <v/>
      </c>
      <c r="M1168" s="138"/>
      <c r="N1168" s="139" t="str">
        <f>IFERROR(INDEX([239]MATERIALES!P:P,MATCH(B1168,[239]MATERIALES!B:B,0)),"")</f>
        <v/>
      </c>
      <c r="O1168" s="140"/>
      <c r="P1168" s="118" t="str">
        <f t="shared" si="41"/>
        <v/>
      </c>
      <c r="Q1168" s="119"/>
      <c r="R1168" s="4"/>
    </row>
    <row r="1169" spans="1:18">
      <c r="A1169" s="1">
        <f t="shared" si="40"/>
        <v>0</v>
      </c>
      <c r="B1169" s="2"/>
      <c r="C1169" s="8"/>
      <c r="D1169" s="109" t="str">
        <f>IFERROR(INDEX([239]MATERIALES!C:C,MATCH(B1169,[239]MATERIALES!B:B,0)),"")</f>
        <v/>
      </c>
      <c r="E1169" s="110"/>
      <c r="F1169" s="110"/>
      <c r="G1169" s="110"/>
      <c r="H1169" s="110"/>
      <c r="I1169" s="110"/>
      <c r="J1169" s="110"/>
      <c r="K1169" s="111"/>
      <c r="L1169" s="137" t="str">
        <f>IFERROR(INDEX([239]MATERIALES!D:D,MATCH(B1169,[239]MATERIALES!B:B,0)),"")</f>
        <v/>
      </c>
      <c r="M1169" s="138"/>
      <c r="N1169" s="139" t="str">
        <f>IFERROR(INDEX([239]MATERIALES!P:P,MATCH(B1169,[239]MATERIALES!B:B,0)),"")</f>
        <v/>
      </c>
      <c r="O1169" s="140"/>
      <c r="P1169" s="118" t="str">
        <f t="shared" si="41"/>
        <v/>
      </c>
      <c r="Q1169" s="119"/>
      <c r="R1169" s="4"/>
    </row>
    <row r="1170" spans="1:18">
      <c r="A1170" s="1">
        <f t="shared" si="40"/>
        <v>0</v>
      </c>
      <c r="B1170" s="2"/>
      <c r="C1170" s="8"/>
      <c r="D1170" s="109" t="str">
        <f>IFERROR(INDEX([239]MATERIALES!C:C,MATCH(B1170,[239]MATERIALES!B:B,0)),"")</f>
        <v/>
      </c>
      <c r="E1170" s="110"/>
      <c r="F1170" s="110"/>
      <c r="G1170" s="110"/>
      <c r="H1170" s="110"/>
      <c r="I1170" s="110"/>
      <c r="J1170" s="110"/>
      <c r="K1170" s="111"/>
      <c r="L1170" s="137" t="str">
        <f>IFERROR(INDEX([239]MATERIALES!D:D,MATCH(B1170,[239]MATERIALES!B:B,0)),"")</f>
        <v/>
      </c>
      <c r="M1170" s="138"/>
      <c r="N1170" s="139" t="str">
        <f>IFERROR(INDEX([239]MATERIALES!P:P,MATCH(B1170,[239]MATERIALES!B:B,0)),"")</f>
        <v/>
      </c>
      <c r="O1170" s="140"/>
      <c r="P1170" s="118" t="str">
        <f t="shared" si="41"/>
        <v/>
      </c>
      <c r="Q1170" s="119"/>
      <c r="R1170" s="4"/>
    </row>
    <row r="1171" spans="1:18" ht="15.75" thickBot="1">
      <c r="A1171" s="1">
        <f t="shared" si="40"/>
        <v>0</v>
      </c>
      <c r="B1171" s="2"/>
      <c r="C1171" s="8"/>
      <c r="D1171" s="109" t="s">
        <v>28</v>
      </c>
      <c r="E1171" s="110"/>
      <c r="F1171" s="110"/>
      <c r="G1171" s="110"/>
      <c r="H1171" s="110"/>
      <c r="I1171" s="110"/>
      <c r="J1171" s="110"/>
      <c r="K1171" s="111"/>
      <c r="L1171" s="137" t="s">
        <v>29</v>
      </c>
      <c r="M1171" s="138">
        <v>0.05</v>
      </c>
      <c r="N1171" s="139">
        <f>SUM(P1157:P1170)</f>
        <v>24920.240000000002</v>
      </c>
      <c r="O1171" s="140"/>
      <c r="P1171" s="118">
        <f>ROUND(N1171*M1171,2)</f>
        <v>1246.01</v>
      </c>
      <c r="Q1171" s="119"/>
      <c r="R1171" s="4"/>
    </row>
    <row r="1172" spans="1:18" ht="15.75" thickBot="1">
      <c r="A1172" s="1">
        <f t="shared" si="40"/>
        <v>0</v>
      </c>
      <c r="B1172" s="2"/>
      <c r="C1172" s="8"/>
      <c r="D1172" s="128" t="s">
        <v>24</v>
      </c>
      <c r="E1172" s="129"/>
      <c r="F1172" s="129"/>
      <c r="G1172" s="129"/>
      <c r="H1172" s="129"/>
      <c r="I1172" s="129"/>
      <c r="J1172" s="129"/>
      <c r="K1172" s="129"/>
      <c r="L1172" s="129"/>
      <c r="M1172" s="129"/>
      <c r="N1172" s="129"/>
      <c r="O1172" s="130"/>
      <c r="P1172" s="131">
        <f>SUM(P1157:P1171)</f>
        <v>26166.25</v>
      </c>
      <c r="Q1172" s="119"/>
      <c r="R1172" s="4"/>
    </row>
    <row r="1173" spans="1:18" ht="15.75" thickBot="1">
      <c r="A1173" s="1">
        <f t="shared" si="40"/>
        <v>0</v>
      </c>
      <c r="B1173" s="2"/>
      <c r="C1173" s="8"/>
      <c r="D1173" s="74" t="s">
        <v>30</v>
      </c>
      <c r="E1173" s="37"/>
      <c r="F1173" s="37"/>
      <c r="G1173" s="37"/>
      <c r="H1173" s="37"/>
      <c r="I1173" s="37"/>
      <c r="J1173" s="37"/>
      <c r="K1173" s="37"/>
      <c r="L1173" s="37"/>
      <c r="M1173" s="37"/>
      <c r="N1173" s="37"/>
      <c r="O1173" s="37"/>
      <c r="P1173" s="99"/>
      <c r="Q1173" s="100"/>
      <c r="R1173" s="4"/>
    </row>
    <row r="1174" spans="1:18">
      <c r="A1174" s="1">
        <f t="shared" si="40"/>
        <v>0</v>
      </c>
      <c r="B1174" s="2"/>
      <c r="C1174" s="8"/>
      <c r="D1174" s="101" t="s">
        <v>31</v>
      </c>
      <c r="E1174" s="133"/>
      <c r="F1174" s="133"/>
      <c r="G1174" s="133"/>
      <c r="H1174" s="133"/>
      <c r="I1174" s="133"/>
      <c r="J1174" s="133"/>
      <c r="K1174" s="106" t="s">
        <v>32</v>
      </c>
      <c r="L1174" s="141" t="s">
        <v>33</v>
      </c>
      <c r="M1174" s="106" t="s">
        <v>34</v>
      </c>
      <c r="N1174" s="104" t="s">
        <v>20</v>
      </c>
      <c r="O1174" s="105"/>
      <c r="P1174" s="107" t="s">
        <v>22</v>
      </c>
      <c r="Q1174" s="108"/>
      <c r="R1174" s="4"/>
    </row>
    <row r="1175" spans="1:18">
      <c r="A1175" s="1">
        <f t="shared" si="40"/>
        <v>0</v>
      </c>
      <c r="B1175" s="2"/>
      <c r="C1175" s="8"/>
      <c r="D1175" s="142" t="str">
        <f>IFERROR(INDEX([239]TRANSPORTES!B:B,MATCH(B1175,[239]TRANSPORTES!A:A,0)),"")</f>
        <v/>
      </c>
      <c r="E1175" s="143"/>
      <c r="F1175" s="143"/>
      <c r="G1175" s="143"/>
      <c r="H1175" s="143"/>
      <c r="I1175" s="143"/>
      <c r="J1175" s="143"/>
      <c r="K1175" s="220"/>
      <c r="L1175" s="145"/>
      <c r="M1175" s="146" t="str">
        <f>IFERROR(INDEX([239]TRANSPORTES!C:C,MATCH(B1175,[239]TRANSPORTES!A:A,0)),"")</f>
        <v/>
      </c>
      <c r="N1175" s="139" t="str">
        <f>IFERROR(INDEX([239]TRANSPORTES!D:D,MATCH(B1175,[239]TRANSPORTES!A:A,0)),"")</f>
        <v/>
      </c>
      <c r="O1175" s="147"/>
      <c r="P1175" s="148" t="str">
        <f>IFERROR(ROUND(K1175*N1175*L1175,2),"")</f>
        <v/>
      </c>
      <c r="Q1175" s="119"/>
      <c r="R1175" s="4"/>
    </row>
    <row r="1176" spans="1:18">
      <c r="A1176" s="1">
        <f t="shared" si="40"/>
        <v>0</v>
      </c>
      <c r="B1176" s="2"/>
      <c r="C1176" s="8"/>
      <c r="D1176" s="142" t="str">
        <f>IFERROR(INDEX([239]TRANSPORTES!B:B,MATCH(B1176,[239]TRANSPORTES!A:A,0)),"")</f>
        <v/>
      </c>
      <c r="E1176" s="143"/>
      <c r="F1176" s="143"/>
      <c r="G1176" s="143"/>
      <c r="H1176" s="143"/>
      <c r="I1176" s="143"/>
      <c r="J1176" s="143"/>
      <c r="K1176" s="144"/>
      <c r="L1176" s="145"/>
      <c r="M1176" s="146" t="str">
        <f>IFERROR(INDEX([239]TRANSPORTES!C:C,MATCH(B1176,[239]TRANSPORTES!A:A,0)),"")</f>
        <v/>
      </c>
      <c r="N1176" s="139" t="str">
        <f>IFERROR(INDEX([239]TRANSPORTES!D:D,MATCH(B1176,[239]TRANSPORTES!A:A,0)),"")</f>
        <v/>
      </c>
      <c r="O1176" s="147"/>
      <c r="P1176" s="148" t="str">
        <f>IFERROR(ROUND(K1176*N1176*L1176,2),"")</f>
        <v/>
      </c>
      <c r="Q1176" s="119"/>
      <c r="R1176" s="4"/>
    </row>
    <row r="1177" spans="1:18">
      <c r="A1177" s="1">
        <f t="shared" si="40"/>
        <v>0</v>
      </c>
      <c r="B1177" s="2"/>
      <c r="C1177" s="8"/>
      <c r="D1177" s="142" t="str">
        <f>IFERROR(INDEX([239]TRANSPORTES!B:B,MATCH(B1177,[239]TRANSPORTES!A:A,0)),"")</f>
        <v/>
      </c>
      <c r="E1177" s="143"/>
      <c r="F1177" s="143"/>
      <c r="G1177" s="143"/>
      <c r="H1177" s="143"/>
      <c r="I1177" s="143"/>
      <c r="J1177" s="143"/>
      <c r="K1177" s="144"/>
      <c r="L1177" s="145"/>
      <c r="M1177" s="146" t="str">
        <f>IFERROR(INDEX([239]TRANSPORTES!C:C,MATCH(B1177,[239]TRANSPORTES!A:A,0)),"")</f>
        <v/>
      </c>
      <c r="N1177" s="139" t="str">
        <f>IFERROR(INDEX([239]TRANSPORTES!D:D,MATCH(B1177,[239]TRANSPORTES!A:A,0)),"")</f>
        <v/>
      </c>
      <c r="O1177" s="147"/>
      <c r="P1177" s="148" t="str">
        <f>IFERROR(ROUND(K1177*N1177*L1177,2),"")</f>
        <v/>
      </c>
      <c r="Q1177" s="119"/>
      <c r="R1177" s="4"/>
    </row>
    <row r="1178" spans="1:18" ht="15.75" thickBot="1">
      <c r="A1178" s="1">
        <f t="shared" si="40"/>
        <v>0</v>
      </c>
      <c r="B1178" s="2"/>
      <c r="C1178" s="8"/>
      <c r="D1178" s="142" t="str">
        <f>IFERROR(INDEX([239]TRANSPORTES!B:B,MATCH(B1178,[239]TRANSPORTES!A:A,0)),"")</f>
        <v/>
      </c>
      <c r="E1178" s="143"/>
      <c r="F1178" s="143"/>
      <c r="G1178" s="143"/>
      <c r="H1178" s="143"/>
      <c r="I1178" s="143"/>
      <c r="J1178" s="143"/>
      <c r="K1178" s="149"/>
      <c r="L1178" s="150"/>
      <c r="M1178" s="146" t="str">
        <f>IFERROR(INDEX([239]TRANSPORTES!C:C,MATCH(B1178,[239]TRANSPORTES!A:A,0)),"")</f>
        <v/>
      </c>
      <c r="N1178" s="139" t="str">
        <f>IFERROR(INDEX([239]TRANSPORTES!D:D,MATCH(B1178,[239]TRANSPORTES!A:A,0)),"")</f>
        <v/>
      </c>
      <c r="O1178" s="147"/>
      <c r="P1178" s="148" t="str">
        <f>IFERROR(ROUND(K1178*N1178*L1178,2),"")</f>
        <v/>
      </c>
      <c r="Q1178" s="119"/>
      <c r="R1178" s="4"/>
    </row>
    <row r="1179" spans="1:18" ht="15.75" thickBot="1">
      <c r="A1179" s="1">
        <f t="shared" si="40"/>
        <v>0</v>
      </c>
      <c r="B1179" s="2"/>
      <c r="C1179" s="8"/>
      <c r="D1179" s="128" t="s">
        <v>24</v>
      </c>
      <c r="E1179" s="129"/>
      <c r="F1179" s="129"/>
      <c r="G1179" s="129"/>
      <c r="H1179" s="129"/>
      <c r="I1179" s="129"/>
      <c r="J1179" s="129"/>
      <c r="K1179" s="129"/>
      <c r="L1179" s="129"/>
      <c r="M1179" s="129"/>
      <c r="N1179" s="129"/>
      <c r="O1179" s="130"/>
      <c r="P1179" s="151">
        <f>SUM(P1175:P1178)</f>
        <v>0</v>
      </c>
      <c r="Q1179" s="132"/>
      <c r="R1179" s="4"/>
    </row>
    <row r="1180" spans="1:18" ht="15.75" thickBot="1">
      <c r="A1180" s="1">
        <f t="shared" si="40"/>
        <v>0</v>
      </c>
      <c r="B1180" s="2"/>
      <c r="C1180" s="8"/>
      <c r="D1180" s="74" t="s">
        <v>36</v>
      </c>
      <c r="E1180" s="37"/>
      <c r="F1180" s="37"/>
      <c r="G1180" s="37"/>
      <c r="H1180" s="37"/>
      <c r="I1180" s="37"/>
      <c r="J1180" s="37"/>
      <c r="K1180" s="37"/>
      <c r="L1180" s="37"/>
      <c r="M1180" s="37"/>
      <c r="N1180" s="37"/>
      <c r="O1180" s="37"/>
      <c r="P1180" s="99"/>
      <c r="Q1180" s="100"/>
      <c r="R1180" s="4"/>
    </row>
    <row r="1181" spans="1:18" ht="30">
      <c r="A1181" s="1">
        <f t="shared" si="40"/>
        <v>0</v>
      </c>
      <c r="B1181" s="2"/>
      <c r="C1181" s="8"/>
      <c r="D1181" s="101" t="s">
        <v>37</v>
      </c>
      <c r="E1181" s="133"/>
      <c r="F1181" s="133"/>
      <c r="G1181" s="133"/>
      <c r="H1181" s="133"/>
      <c r="I1181" s="133"/>
      <c r="J1181" s="133"/>
      <c r="K1181" s="106" t="s">
        <v>38</v>
      </c>
      <c r="L1181" s="152" t="s">
        <v>39</v>
      </c>
      <c r="M1181" s="153" t="s">
        <v>40</v>
      </c>
      <c r="N1181" s="104" t="s">
        <v>21</v>
      </c>
      <c r="O1181" s="105"/>
      <c r="P1181" s="154" t="s">
        <v>22</v>
      </c>
      <c r="Q1181" s="155"/>
      <c r="R1181" s="4"/>
    </row>
    <row r="1182" spans="1:18">
      <c r="A1182" s="1">
        <f t="shared" si="40"/>
        <v>0</v>
      </c>
      <c r="B1182" s="2" t="s">
        <v>285</v>
      </c>
      <c r="C1182" s="8"/>
      <c r="D1182" s="109" t="str">
        <f>IFERROR(INDEX('[239]MANO DE OBRA'!B:B,MATCH(B1182,'[239]MANO DE OBRA'!A:A,0)),"")</f>
        <v>SOLDADOR</v>
      </c>
      <c r="E1182" s="110"/>
      <c r="F1182" s="110"/>
      <c r="G1182" s="110"/>
      <c r="H1182" s="110"/>
      <c r="I1182" s="110"/>
      <c r="J1182" s="111"/>
      <c r="K1182" s="156">
        <f>IFERROR(INDEX('[239]MANO DE OBRA'!D:D,MATCH(B1182,'[239]MANO DE OBRA'!A:A,0)),"")</f>
        <v>133570</v>
      </c>
      <c r="L1182" s="157">
        <f>+IF(D1182&lt;&gt;"",'[239]FACTOR PRESTACIONAL'!$E$21," ")</f>
        <v>1.95</v>
      </c>
      <c r="M1182" s="158">
        <f>IFERROR(K1182*L1182," ")</f>
        <v>260461.5</v>
      </c>
      <c r="N1182" s="159">
        <v>35</v>
      </c>
      <c r="O1182" s="160"/>
      <c r="P1182" s="161">
        <f>IFERROR(ROUND(M1182/N1182,2)," ")</f>
        <v>7441.76</v>
      </c>
      <c r="Q1182" s="162"/>
      <c r="R1182" s="4"/>
    </row>
    <row r="1183" spans="1:18">
      <c r="A1183" s="1">
        <f t="shared" si="40"/>
        <v>0</v>
      </c>
      <c r="B1183" s="2" t="s">
        <v>42</v>
      </c>
      <c r="C1183" s="8"/>
      <c r="D1183" s="109" t="str">
        <f>IFERROR(INDEX('[239]MANO DE OBRA'!B:B,MATCH(B1183,'[239]MANO DE OBRA'!A:A,0)),"")</f>
        <v>AYUDANTE (2)</v>
      </c>
      <c r="E1183" s="110"/>
      <c r="F1183" s="110"/>
      <c r="G1183" s="110"/>
      <c r="H1183" s="110"/>
      <c r="I1183" s="110"/>
      <c r="J1183" s="111"/>
      <c r="K1183" s="156">
        <f>IFERROR(INDEX('[239]MANO DE OBRA'!D:D,MATCH(B1183,'[239]MANO DE OBRA'!A:A,0)),"")</f>
        <v>142866</v>
      </c>
      <c r="L1183" s="157">
        <f>+IF(D1183&lt;&gt;"",'[239]FACTOR PRESTACIONAL'!$E$21," ")</f>
        <v>1.95</v>
      </c>
      <c r="M1183" s="158">
        <f>IFERROR(K1183*L1183," ")</f>
        <v>278588.7</v>
      </c>
      <c r="N1183" s="159">
        <f>+N1182</f>
        <v>35</v>
      </c>
      <c r="O1183" s="160"/>
      <c r="P1183" s="161">
        <f>IFERROR(ROUND(M1183/N1183,2)," ")</f>
        <v>7959.68</v>
      </c>
      <c r="Q1183" s="162"/>
      <c r="R1183" s="4"/>
    </row>
    <row r="1184" spans="1:18">
      <c r="A1184" s="1">
        <f t="shared" si="40"/>
        <v>0</v>
      </c>
      <c r="B1184" s="2"/>
      <c r="C1184" s="8"/>
      <c r="D1184" s="109" t="str">
        <f>IFERROR(INDEX('[239]MANO DE OBRA'!B:B,MATCH(B1184,'[239]MANO DE OBRA'!A:A,0)),"")</f>
        <v/>
      </c>
      <c r="E1184" s="110"/>
      <c r="F1184" s="110"/>
      <c r="G1184" s="110"/>
      <c r="H1184" s="110"/>
      <c r="I1184" s="110"/>
      <c r="J1184" s="111"/>
      <c r="K1184" s="156" t="str">
        <f>IFERROR(INDEX('[239]MANO DE OBRA'!D:D,MATCH(B1184,'[239]MANO DE OBRA'!A:A,0)),"")</f>
        <v/>
      </c>
      <c r="L1184" s="157" t="str">
        <f>+IF(D1184&lt;&gt;"",'[239]FACTOR PRESTACIONAL'!$E$21," ")</f>
        <v xml:space="preserve"> </v>
      </c>
      <c r="M1184" s="158" t="str">
        <f>IFERROR(K1184*L1184," ")</f>
        <v xml:space="preserve"> </v>
      </c>
      <c r="N1184" s="159"/>
      <c r="O1184" s="160"/>
      <c r="P1184" s="161" t="str">
        <f>IFERROR(ROUND(M1184/N1184,2)," ")</f>
        <v xml:space="preserve"> </v>
      </c>
      <c r="Q1184" s="162"/>
      <c r="R1184" s="4"/>
    </row>
    <row r="1185" spans="1:18">
      <c r="A1185" s="1">
        <f t="shared" si="40"/>
        <v>0</v>
      </c>
      <c r="B1185" s="2"/>
      <c r="C1185" s="8"/>
      <c r="D1185" s="109" t="str">
        <f>IFERROR(INDEX('[239]MANO DE OBRA'!B:B,MATCH(B1185,'[239]MANO DE OBRA'!A:A,0)),"")</f>
        <v/>
      </c>
      <c r="E1185" s="110"/>
      <c r="F1185" s="110"/>
      <c r="G1185" s="110"/>
      <c r="H1185" s="110"/>
      <c r="I1185" s="110"/>
      <c r="J1185" s="111"/>
      <c r="K1185" s="156" t="str">
        <f>IFERROR(INDEX('[239]MANO DE OBRA'!D:D,MATCH(B1185,'[239]MANO DE OBRA'!A:A,0)),"")</f>
        <v/>
      </c>
      <c r="L1185" s="157" t="str">
        <f>+IF(D1185&lt;&gt;"",'[239]FACTOR PRESTACIONAL'!$E$21," ")</f>
        <v xml:space="preserve"> </v>
      </c>
      <c r="M1185" s="158" t="str">
        <f>IFERROR(K1185*L1185," ")</f>
        <v xml:space="preserve"> </v>
      </c>
      <c r="N1185" s="159"/>
      <c r="O1185" s="160"/>
      <c r="P1185" s="161" t="str">
        <f>IFERROR(ROUND(M1185/N1185,2)," ")</f>
        <v xml:space="preserve"> </v>
      </c>
      <c r="Q1185" s="162"/>
      <c r="R1185" s="4"/>
    </row>
    <row r="1186" spans="1:18" ht="15.75" thickBot="1">
      <c r="A1186" s="1">
        <f t="shared" si="40"/>
        <v>0</v>
      </c>
      <c r="B1186" s="2"/>
      <c r="C1186" s="8"/>
      <c r="D1186" s="109" t="str">
        <f>IFERROR(INDEX('[239]MANO DE OBRA'!B:B,MATCH(B1186,'[239]MANO DE OBRA'!A:A,0)),"")</f>
        <v/>
      </c>
      <c r="E1186" s="110"/>
      <c r="F1186" s="110"/>
      <c r="G1186" s="110"/>
      <c r="H1186" s="110"/>
      <c r="I1186" s="110"/>
      <c r="J1186" s="111"/>
      <c r="K1186" s="156" t="str">
        <f>IFERROR(INDEX('[239]MANO DE OBRA'!D:D,MATCH(B1186,'[239]MANO DE OBRA'!A:A,0)),"")</f>
        <v/>
      </c>
      <c r="L1186" s="157" t="str">
        <f>+IF(D1186&lt;&gt;"",'[239]FACTOR PRESTACIONAL'!$E$21," ")</f>
        <v xml:space="preserve"> </v>
      </c>
      <c r="M1186" s="158" t="str">
        <f>IFERROR(K1186*L1186," ")</f>
        <v xml:space="preserve"> </v>
      </c>
      <c r="N1186" s="159"/>
      <c r="O1186" s="160"/>
      <c r="P1186" s="161" t="str">
        <f>IFERROR(ROUND(M1186/N1186,2)," ")</f>
        <v xml:space="preserve"> </v>
      </c>
      <c r="Q1186" s="119"/>
      <c r="R1186" s="4"/>
    </row>
    <row r="1187" spans="1:18" ht="15.75" thickBot="1">
      <c r="A1187" s="1">
        <f t="shared" si="40"/>
        <v>0</v>
      </c>
      <c r="B1187" s="2"/>
      <c r="C1187" s="8"/>
      <c r="D1187" s="128" t="s">
        <v>24</v>
      </c>
      <c r="E1187" s="129"/>
      <c r="F1187" s="129"/>
      <c r="G1187" s="129"/>
      <c r="H1187" s="129"/>
      <c r="I1187" s="129"/>
      <c r="J1187" s="129"/>
      <c r="K1187" s="129"/>
      <c r="L1187" s="129"/>
      <c r="M1187" s="129"/>
      <c r="N1187" s="129"/>
      <c r="O1187" s="130"/>
      <c r="P1187" s="131">
        <f>SUM(P1182:P1186)</f>
        <v>15401.44</v>
      </c>
      <c r="Q1187" s="119"/>
      <c r="R1187" s="4"/>
    </row>
    <row r="1188" spans="1:18" ht="15.75" thickBot="1">
      <c r="A1188" s="1">
        <f t="shared" si="40"/>
        <v>0</v>
      </c>
      <c r="B1188" s="2"/>
      <c r="C1188" s="8"/>
      <c r="D1188" s="87"/>
      <c r="E1188" s="20"/>
      <c r="F1188" s="20"/>
      <c r="G1188" s="20"/>
      <c r="H1188" s="20"/>
      <c r="I1188" s="20"/>
      <c r="J1188" s="20"/>
      <c r="K1188" s="20"/>
      <c r="L1188" s="20"/>
      <c r="M1188" s="20"/>
      <c r="N1188" s="20"/>
      <c r="O1188" s="20"/>
      <c r="P1188" s="88"/>
      <c r="Q1188" s="13"/>
      <c r="R1188" s="4"/>
    </row>
    <row r="1189" spans="1:18" ht="15.75" thickBot="1">
      <c r="A1189" s="1"/>
      <c r="B1189" s="2"/>
      <c r="C1189" s="8"/>
      <c r="D1189" s="163" t="s">
        <v>43</v>
      </c>
      <c r="E1189" s="164"/>
      <c r="F1189" s="164"/>
      <c r="G1189" s="164"/>
      <c r="H1189" s="164"/>
      <c r="I1189" s="164"/>
      <c r="J1189" s="164"/>
      <c r="K1189" s="164"/>
      <c r="L1189" s="164"/>
      <c r="M1189" s="164"/>
      <c r="N1189" s="164"/>
      <c r="O1189" s="165"/>
      <c r="P1189" s="166">
        <f>+P1187+P1179+P1172+P1154</f>
        <v>44867.54</v>
      </c>
      <c r="Q1189" s="167"/>
      <c r="R1189" s="168"/>
    </row>
    <row r="1190" spans="1:18" ht="15.75" thickBot="1">
      <c r="A1190" s="1"/>
      <c r="B1190" s="2"/>
      <c r="C1190" s="8"/>
      <c r="D1190" s="169"/>
      <c r="E1190" s="170"/>
      <c r="F1190" s="170"/>
      <c r="G1190" s="170"/>
      <c r="H1190" s="170"/>
      <c r="I1190" s="170"/>
      <c r="J1190" s="170"/>
      <c r="K1190" s="170"/>
      <c r="L1190" s="170"/>
      <c r="M1190" s="170"/>
      <c r="N1190" s="170"/>
      <c r="O1190" s="170"/>
      <c r="P1190" s="171"/>
      <c r="Q1190" s="100"/>
      <c r="R1190" s="4"/>
    </row>
    <row r="1191" spans="1:18">
      <c r="A1191" s="1"/>
      <c r="B1191" s="2"/>
      <c r="C1191" s="8"/>
      <c r="D1191" s="172" t="s">
        <v>73</v>
      </c>
      <c r="E1191" s="173"/>
      <c r="F1191" s="173"/>
      <c r="G1191" s="173"/>
      <c r="H1191" s="173"/>
      <c r="I1191" s="173"/>
      <c r="J1191" s="173"/>
      <c r="K1191" s="141"/>
      <c r="L1191" s="174"/>
      <c r="M1191" s="153" t="s">
        <v>44</v>
      </c>
      <c r="N1191" s="175" t="s">
        <v>45</v>
      </c>
      <c r="O1191" s="176"/>
      <c r="P1191" s="154"/>
      <c r="Q1191" s="155"/>
      <c r="R1191" s="4"/>
    </row>
    <row r="1192" spans="1:18">
      <c r="A1192" s="1"/>
      <c r="B1192" s="2"/>
      <c r="C1192" s="8"/>
      <c r="D1192" s="109" t="s">
        <v>65</v>
      </c>
      <c r="E1192" s="110"/>
      <c r="F1192" s="110"/>
      <c r="G1192" s="110"/>
      <c r="H1192" s="110"/>
      <c r="I1192" s="110"/>
      <c r="J1192" s="110"/>
      <c r="K1192" s="177"/>
      <c r="L1192" s="178"/>
      <c r="M1192" s="179">
        <f>+[239]INICIO!$F$10</f>
        <v>0.24</v>
      </c>
      <c r="N1192" s="180">
        <f>ROUND(M1192*P1189,2)</f>
        <v>10768.21</v>
      </c>
      <c r="O1192" s="181"/>
      <c r="P1192" s="182"/>
      <c r="Q1192" s="119"/>
      <c r="R1192" s="4"/>
    </row>
    <row r="1193" spans="1:18">
      <c r="A1193" s="1"/>
      <c r="B1193" s="2"/>
      <c r="C1193" s="8"/>
      <c r="D1193" s="183" t="s">
        <v>67</v>
      </c>
      <c r="E1193" s="61"/>
      <c r="F1193" s="61"/>
      <c r="G1193" s="61"/>
      <c r="H1193" s="61"/>
      <c r="I1193" s="61"/>
      <c r="J1193" s="61"/>
      <c r="K1193" s="177"/>
      <c r="L1193" s="178"/>
      <c r="M1193" s="179">
        <f>+[239]INICIO!$F$11</f>
        <v>0.02</v>
      </c>
      <c r="N1193" s="180">
        <f>ROUND(M1193*P1189,2)</f>
        <v>897.35</v>
      </c>
      <c r="O1193" s="181"/>
      <c r="P1193" s="182"/>
      <c r="Q1193" s="119"/>
      <c r="R1193" s="4"/>
    </row>
    <row r="1194" spans="1:18" ht="15.75" thickBot="1">
      <c r="A1194" s="1"/>
      <c r="B1194" s="2"/>
      <c r="C1194" s="8"/>
      <c r="D1194" s="77" t="s">
        <v>69</v>
      </c>
      <c r="E1194" s="78"/>
      <c r="F1194" s="78"/>
      <c r="G1194" s="78"/>
      <c r="H1194" s="78"/>
      <c r="I1194" s="78"/>
      <c r="J1194" s="78"/>
      <c r="K1194" s="184"/>
      <c r="L1194" s="185"/>
      <c r="M1194" s="179">
        <f>+[239]INICIO!$F$12</f>
        <v>7.0000000000000007E-2</v>
      </c>
      <c r="N1194" s="180">
        <f>ROUND(M1194*P1189,2)</f>
        <v>3140.73</v>
      </c>
      <c r="O1194" s="181"/>
      <c r="P1194" s="182"/>
      <c r="Q1194" s="119"/>
      <c r="R1194" s="4"/>
    </row>
    <row r="1195" spans="1:18" ht="15.75" thickBot="1">
      <c r="A1195" s="1"/>
      <c r="B1195" s="2"/>
      <c r="C1195" s="8"/>
      <c r="D1195" s="128"/>
      <c r="E1195" s="129"/>
      <c r="F1195" s="129"/>
      <c r="G1195" s="129"/>
      <c r="H1195" s="129"/>
      <c r="I1195" s="129"/>
      <c r="J1195" s="129"/>
      <c r="K1195" s="129"/>
      <c r="L1195" s="129"/>
      <c r="M1195" s="129"/>
      <c r="N1195" s="129"/>
      <c r="O1195" s="130"/>
      <c r="P1195" s="131">
        <f>SUM(N1192:N1194)</f>
        <v>14806.289999999999</v>
      </c>
      <c r="Q1195" s="186"/>
      <c r="R1195" s="4"/>
    </row>
    <row r="1196" spans="1:18" ht="15.75" thickBot="1">
      <c r="A1196" s="1"/>
      <c r="B1196" s="2"/>
      <c r="C1196" s="8"/>
      <c r="D1196" s="87"/>
      <c r="E1196" s="20"/>
      <c r="F1196" s="20"/>
      <c r="G1196" s="20"/>
      <c r="H1196" s="20"/>
      <c r="I1196" s="20"/>
      <c r="J1196" s="20"/>
      <c r="K1196" s="20"/>
      <c r="L1196" s="20"/>
      <c r="M1196" s="20"/>
      <c r="N1196" s="20"/>
      <c r="O1196" s="20"/>
      <c r="P1196" s="88"/>
      <c r="Q1196" s="13"/>
      <c r="R1196" s="4"/>
    </row>
    <row r="1197" spans="1:18" ht="15.75" thickBot="1">
      <c r="A1197" s="1"/>
      <c r="B1197" s="2"/>
      <c r="C1197" s="8"/>
      <c r="D1197" s="187" t="s">
        <v>46</v>
      </c>
      <c r="E1197" s="188"/>
      <c r="F1197" s="188"/>
      <c r="G1197" s="188"/>
      <c r="H1197" s="188"/>
      <c r="I1197" s="188"/>
      <c r="J1197" s="188"/>
      <c r="K1197" s="188"/>
      <c r="L1197" s="188"/>
      <c r="M1197" s="188"/>
      <c r="N1197" s="188"/>
      <c r="O1197" s="189"/>
      <c r="P1197" s="166">
        <f>ROUND(P1195+P1189,0)</f>
        <v>59674</v>
      </c>
      <c r="Q1197" s="186"/>
      <c r="R1197" s="4"/>
    </row>
    <row r="1198" spans="1:18">
      <c r="A1198" s="1"/>
      <c r="B1198" s="2"/>
      <c r="C1198" s="8"/>
      <c r="D1198" s="80"/>
      <c r="E1198" s="81"/>
      <c r="F1198" s="81"/>
      <c r="G1198" s="81"/>
      <c r="H1198" s="81"/>
      <c r="I1198" s="81"/>
      <c r="J1198" s="81"/>
      <c r="K1198" s="81"/>
      <c r="L1198" s="81"/>
      <c r="M1198" s="81"/>
      <c r="N1198" s="81"/>
      <c r="O1198" s="81"/>
      <c r="P1198" s="82"/>
      <c r="Q1198" s="13"/>
      <c r="R1198" s="4"/>
    </row>
    <row r="1199" spans="1:18">
      <c r="A1199" s="1"/>
      <c r="B1199" s="2"/>
      <c r="C1199" s="8"/>
      <c r="D1199" s="87"/>
      <c r="E1199" s="20"/>
      <c r="F1199" s="20"/>
      <c r="G1199" s="20"/>
      <c r="H1199" s="20"/>
      <c r="I1199" s="20"/>
      <c r="J1199" s="20"/>
      <c r="K1199" s="20"/>
      <c r="L1199" s="20"/>
      <c r="M1199" s="20"/>
      <c r="N1199" s="20"/>
      <c r="O1199" s="20"/>
      <c r="P1199" s="88"/>
      <c r="Q1199" s="13"/>
      <c r="R1199" s="4"/>
    </row>
    <row r="1200" spans="1:18">
      <c r="A1200" s="1"/>
      <c r="B1200" s="2"/>
      <c r="C1200" s="8"/>
      <c r="D1200" s="87"/>
      <c r="E1200" s="20"/>
      <c r="F1200" s="20"/>
      <c r="G1200" s="20"/>
      <c r="H1200" s="20"/>
      <c r="I1200" s="20"/>
      <c r="J1200" s="20"/>
      <c r="K1200" s="20"/>
      <c r="L1200" s="20"/>
      <c r="M1200" s="20"/>
      <c r="N1200" s="20"/>
      <c r="O1200" s="20"/>
      <c r="P1200" s="88"/>
      <c r="Q1200" s="13"/>
      <c r="R1200" s="4"/>
    </row>
    <row r="1201" spans="1:18">
      <c r="A1201" s="1"/>
      <c r="B1201" s="2"/>
      <c r="C1201" s="8"/>
      <c r="D1201" s="87"/>
      <c r="E1201" s="20"/>
      <c r="F1201" s="20"/>
      <c r="G1201" s="20"/>
      <c r="H1201" s="20"/>
      <c r="I1201" s="20"/>
      <c r="J1201" s="20"/>
      <c r="K1201" s="20"/>
      <c r="L1201" s="20"/>
      <c r="M1201" s="20"/>
      <c r="N1201" s="20"/>
      <c r="O1201" s="20"/>
      <c r="P1201" s="88"/>
      <c r="Q1201" s="13"/>
      <c r="R1201" s="4"/>
    </row>
    <row r="1202" spans="1:18">
      <c r="A1202" s="1"/>
      <c r="B1202" s="2"/>
      <c r="C1202" s="8"/>
      <c r="D1202" s="219" t="str">
        <f>+[239]INICIO!$B$13</f>
        <v>Proyectó:</v>
      </c>
      <c r="E1202" s="49"/>
      <c r="F1202" s="49"/>
      <c r="G1202" s="49"/>
      <c r="H1202" s="49"/>
      <c r="I1202" s="49"/>
      <c r="J1202" s="49"/>
      <c r="K1202" s="20"/>
      <c r="L1202" s="69" t="str">
        <f>+[239]INICIO!$B$16</f>
        <v>Aprobó:</v>
      </c>
      <c r="M1202" s="49"/>
      <c r="N1202" s="49"/>
      <c r="O1202" s="49"/>
      <c r="P1202" s="88"/>
      <c r="Q1202" s="13"/>
      <c r="R1202" s="4"/>
    </row>
    <row r="1203" spans="1:18">
      <c r="A1203" s="1"/>
      <c r="B1203" s="2"/>
      <c r="C1203" s="8"/>
      <c r="D1203" s="87"/>
      <c r="E1203" s="20" t="str">
        <f>+Hoja2!C$13</f>
        <v>HELMER EDUARDO BECERRA SANTANDER</v>
      </c>
      <c r="F1203" s="20"/>
      <c r="G1203" s="20"/>
      <c r="H1203" s="20"/>
      <c r="I1203" s="20"/>
      <c r="J1203" s="20"/>
      <c r="K1203" s="20"/>
      <c r="L1203" s="20"/>
      <c r="M1203" s="20" t="str">
        <f>+Hoja2!$C$16</f>
        <v>JESÚS IVÁN QUIÑONES RUEDA</v>
      </c>
      <c r="N1203" s="20"/>
      <c r="O1203" s="20"/>
      <c r="P1203" s="88"/>
      <c r="Q1203" s="190"/>
      <c r="R1203" s="4"/>
    </row>
    <row r="1204" spans="1:18">
      <c r="A1204" s="1"/>
      <c r="B1204" s="2"/>
      <c r="C1204" s="8"/>
      <c r="D1204" s="87"/>
      <c r="E1204" s="20" t="str">
        <f>+Hoja2!C$14</f>
        <v>APOYO SEC. DE PLANEACIÓN Y OBRAS PÚBLICAS</v>
      </c>
      <c r="F1204" s="20"/>
      <c r="G1204" s="20"/>
      <c r="H1204" s="20"/>
      <c r="I1204" s="20"/>
      <c r="J1204" s="20"/>
      <c r="K1204" s="20"/>
      <c r="L1204" s="20"/>
      <c r="M1204" s="20" t="str">
        <f>+Hoja2!$C$17</f>
        <v>SECRETARIO DE PLANEACIÓN Y OBRAS PUBLICAS</v>
      </c>
      <c r="N1204" s="20"/>
      <c r="O1204" s="20"/>
      <c r="P1204" s="88"/>
      <c r="Q1204" s="190"/>
      <c r="R1204" s="4"/>
    </row>
    <row r="1205" spans="1:18">
      <c r="A1205" s="1"/>
      <c r="B1205" s="2"/>
      <c r="C1205" s="8"/>
      <c r="D1205" s="68"/>
      <c r="E1205" s="20" t="str">
        <f>+Hoja2!C$15</f>
        <v>123769-0701671 NTS</v>
      </c>
      <c r="F1205" s="191"/>
      <c r="G1205" s="191"/>
      <c r="H1205" s="191"/>
      <c r="I1205" s="20"/>
      <c r="J1205" s="191"/>
      <c r="K1205" s="191"/>
      <c r="L1205" s="191"/>
      <c r="M1205" s="192" t="str">
        <f>+Hoja2!C$18</f>
        <v>A21382020-1090480860</v>
      </c>
      <c r="N1205" s="191"/>
      <c r="O1205" s="191"/>
      <c r="P1205" s="193"/>
      <c r="Q1205" s="194"/>
      <c r="R1205" s="4"/>
    </row>
    <row r="1206" spans="1:18" ht="16.5" thickBot="1">
      <c r="A1206" s="1"/>
      <c r="B1206" s="2"/>
      <c r="C1206" s="8"/>
      <c r="D1206" s="195"/>
      <c r="E1206" s="150"/>
      <c r="F1206" s="150"/>
      <c r="G1206" s="150"/>
      <c r="H1206" s="150"/>
      <c r="I1206" s="150"/>
      <c r="J1206" s="150"/>
      <c r="K1206" s="150"/>
      <c r="L1206" s="150"/>
      <c r="M1206" s="150"/>
      <c r="N1206" s="150"/>
      <c r="O1206" s="150"/>
      <c r="P1206" s="196"/>
      <c r="Q1206" s="197"/>
      <c r="R1206" s="4"/>
    </row>
    <row r="1207" spans="1:18" ht="15.75" thickBot="1">
      <c r="A1207" s="1"/>
      <c r="B1207" s="2"/>
      <c r="C1207" s="198"/>
      <c r="D1207" s="199"/>
      <c r="E1207" s="199"/>
      <c r="F1207" s="199"/>
      <c r="G1207" s="199"/>
      <c r="H1207" s="199"/>
      <c r="I1207" s="199"/>
      <c r="J1207" s="199"/>
      <c r="K1207" s="199"/>
      <c r="L1207" s="199"/>
      <c r="M1207" s="199"/>
      <c r="N1207" s="199"/>
      <c r="O1207" s="199"/>
      <c r="P1207" s="199"/>
      <c r="Q1207" s="200"/>
      <c r="R1207" s="4"/>
    </row>
    <row r="1208" spans="1:18" ht="15.75" thickTop="1">
      <c r="A1208" s="1"/>
      <c r="B1208" s="2"/>
      <c r="C1208" s="5"/>
      <c r="D1208" s="6"/>
      <c r="E1208" s="6"/>
      <c r="F1208" s="6"/>
      <c r="G1208" s="6"/>
      <c r="H1208" s="6"/>
      <c r="I1208" s="6"/>
      <c r="J1208" s="6"/>
      <c r="K1208" s="6"/>
      <c r="L1208" s="6"/>
      <c r="M1208" s="6"/>
      <c r="N1208" s="6"/>
      <c r="O1208" s="6"/>
      <c r="P1208" s="6"/>
      <c r="Q1208" s="7"/>
      <c r="R1208" s="4"/>
    </row>
    <row r="1209" spans="1:18" ht="24">
      <c r="A1209" s="1"/>
      <c r="B1209" s="2"/>
      <c r="C1209" s="8"/>
      <c r="D1209" s="9" t="str">
        <f>+[239]INICIO!$C$8</f>
        <v>Análisis de Precios Unitarios- Secretaria de Planeación y Obras Publicas de Cubará, Boyacá.</v>
      </c>
      <c r="E1209" s="10"/>
      <c r="F1209" s="10"/>
      <c r="G1209" s="10"/>
      <c r="H1209" s="11"/>
      <c r="I1209" s="12"/>
      <c r="J1209" s="12"/>
      <c r="K1209" s="12"/>
      <c r="L1209" s="12"/>
      <c r="M1209" s="12"/>
      <c r="N1209" s="12"/>
      <c r="O1209" s="12"/>
      <c r="P1209" s="12"/>
      <c r="Q1209" s="13"/>
      <c r="R1209" s="4"/>
    </row>
    <row r="1210" spans="1:18">
      <c r="A1210" s="1"/>
      <c r="B1210" s="2"/>
      <c r="C1210" s="8"/>
      <c r="D1210" s="14" t="s">
        <v>0</v>
      </c>
      <c r="E1210" s="15" t="str">
        <f>+[239]INICIO!$C$7</f>
        <v>CCE-EICP-FM-14</v>
      </c>
      <c r="F1210" s="16"/>
      <c r="G1210" s="17" t="str">
        <f>+[239]INICIO!$B$6</f>
        <v>VERSIÓN</v>
      </c>
      <c r="H1210" s="14">
        <f>+[239]INICIO!$C$6</f>
        <v>1</v>
      </c>
      <c r="I1210" s="12"/>
      <c r="J1210" s="12"/>
      <c r="K1210" s="12"/>
      <c r="L1210" s="12"/>
      <c r="M1210" s="12"/>
      <c r="N1210" s="12"/>
      <c r="O1210" s="12"/>
      <c r="P1210" s="12"/>
      <c r="Q1210" s="13"/>
      <c r="R1210" s="4"/>
    </row>
    <row r="1211" spans="1:18">
      <c r="A1211" s="1"/>
      <c r="B1211" s="2"/>
      <c r="C1211" s="8"/>
      <c r="D1211" s="18"/>
      <c r="E1211" s="19"/>
      <c r="F1211" s="18"/>
      <c r="G1211" s="19"/>
      <c r="H1211" s="12"/>
      <c r="I1211" s="12"/>
      <c r="J1211" s="12"/>
      <c r="K1211" s="12"/>
      <c r="L1211" s="12"/>
      <c r="M1211" s="12"/>
      <c r="N1211" s="12"/>
      <c r="O1211" s="12"/>
      <c r="P1211" s="12"/>
      <c r="Q1211" s="13"/>
      <c r="R1211" s="4"/>
    </row>
    <row r="1212" spans="1:18" ht="15.75" thickBot="1">
      <c r="A1212" s="1"/>
      <c r="B1212" s="2"/>
      <c r="C1212" s="8"/>
      <c r="D1212" s="20"/>
      <c r="E1212" s="20"/>
      <c r="F1212" s="20"/>
      <c r="G1212" s="20"/>
      <c r="H1212" s="20"/>
      <c r="I1212" s="20"/>
      <c r="J1212" s="20"/>
      <c r="K1212" s="20"/>
      <c r="L1212" s="20"/>
      <c r="M1212" s="20"/>
      <c r="N1212" s="20"/>
      <c r="O1212" s="20"/>
      <c r="P1212" s="20"/>
      <c r="Q1212" s="13"/>
      <c r="R1212" s="4"/>
    </row>
    <row r="1213" spans="1:18">
      <c r="A1213" s="1"/>
      <c r="B1213" s="2"/>
      <c r="C1213" s="8"/>
      <c r="D1213" s="21"/>
      <c r="E1213" s="22"/>
      <c r="F1213" s="23"/>
      <c r="G1213" s="23"/>
      <c r="H1213" s="23"/>
      <c r="I1213" s="23"/>
      <c r="J1213" s="23"/>
      <c r="K1213" s="23"/>
      <c r="L1213" s="24"/>
      <c r="M1213" s="25"/>
      <c r="N1213" s="26"/>
      <c r="O1213" s="26"/>
      <c r="P1213" s="27"/>
      <c r="Q1213" s="28"/>
      <c r="R1213" s="4"/>
    </row>
    <row r="1214" spans="1:18">
      <c r="A1214" s="1"/>
      <c r="B1214" s="2"/>
      <c r="C1214" s="8"/>
      <c r="D1214" s="29"/>
      <c r="E1214" s="30" t="s">
        <v>1</v>
      </c>
      <c r="F1214" s="31"/>
      <c r="G1214" s="31"/>
      <c r="H1214" s="31"/>
      <c r="I1214" s="31"/>
      <c r="J1214" s="31"/>
      <c r="K1214" s="31"/>
      <c r="L1214" s="32"/>
      <c r="M1214" s="33"/>
      <c r="N1214" s="34"/>
      <c r="O1214" s="34"/>
      <c r="P1214" s="35"/>
      <c r="Q1214" s="28"/>
      <c r="R1214" s="4"/>
    </row>
    <row r="1215" spans="1:18">
      <c r="A1215" s="1"/>
      <c r="B1215" s="2"/>
      <c r="C1215" s="8"/>
      <c r="D1215" s="29"/>
      <c r="E1215" s="36"/>
      <c r="F1215" s="37"/>
      <c r="G1215" s="37"/>
      <c r="H1215" s="37"/>
      <c r="I1215" s="37"/>
      <c r="J1215" s="37"/>
      <c r="K1215" s="37"/>
      <c r="L1215" s="38"/>
      <c r="M1215" s="39"/>
      <c r="N1215" s="40"/>
      <c r="O1215" s="41"/>
      <c r="P1215" s="42"/>
      <c r="Q1215" s="28"/>
      <c r="R1215" s="4"/>
    </row>
    <row r="1216" spans="1:18">
      <c r="A1216" s="1"/>
      <c r="B1216" s="2"/>
      <c r="C1216" s="8"/>
      <c r="D1216" s="29"/>
      <c r="E1216" s="36"/>
      <c r="F1216" s="37"/>
      <c r="G1216" s="37"/>
      <c r="H1216" s="37"/>
      <c r="I1216" s="37"/>
      <c r="J1216" s="37"/>
      <c r="K1216" s="37"/>
      <c r="L1216" s="38"/>
      <c r="M1216" s="43" t="s">
        <v>2</v>
      </c>
      <c r="N1216" s="44"/>
      <c r="O1216" s="45">
        <f>+[239]INICIO!$C$6</f>
        <v>1</v>
      </c>
      <c r="P1216" s="46"/>
      <c r="Q1216" s="28"/>
      <c r="R1216" s="4"/>
    </row>
    <row r="1217" spans="1:18">
      <c r="A1217" s="1"/>
      <c r="B1217" s="2"/>
      <c r="C1217" s="8"/>
      <c r="D1217" s="29"/>
      <c r="E1217" s="36"/>
      <c r="F1217" s="37"/>
      <c r="G1217" s="37"/>
      <c r="H1217" s="37"/>
      <c r="I1217" s="37"/>
      <c r="J1217" s="37"/>
      <c r="K1217" s="37"/>
      <c r="L1217" s="38"/>
      <c r="M1217" s="47"/>
      <c r="N1217" s="48"/>
      <c r="O1217" s="49"/>
      <c r="P1217" s="50"/>
      <c r="Q1217" s="51"/>
      <c r="R1217" s="4"/>
    </row>
    <row r="1218" spans="1:18">
      <c r="A1218" s="1"/>
      <c r="B1218" s="2"/>
      <c r="C1218" s="8"/>
      <c r="D1218" s="29"/>
      <c r="E1218" s="52"/>
      <c r="F1218" s="53"/>
      <c r="G1218" s="53"/>
      <c r="H1218" s="53"/>
      <c r="I1218" s="53"/>
      <c r="J1218" s="53"/>
      <c r="K1218" s="53"/>
      <c r="L1218" s="54"/>
      <c r="M1218" s="39"/>
      <c r="N1218" s="55"/>
      <c r="O1218" s="55"/>
      <c r="P1218" s="56"/>
      <c r="Q1218" s="28"/>
      <c r="R1218" s="4"/>
    </row>
    <row r="1219" spans="1:18">
      <c r="A1219" s="1"/>
      <c r="B1219" s="2"/>
      <c r="C1219" s="8"/>
      <c r="D1219" s="29"/>
      <c r="E1219" s="52"/>
      <c r="F1219" s="53"/>
      <c r="G1219" s="53"/>
      <c r="H1219" s="53"/>
      <c r="I1219" s="53"/>
      <c r="J1219" s="53"/>
      <c r="K1219" s="53"/>
      <c r="L1219" s="54"/>
      <c r="M1219" s="43" t="s">
        <v>3</v>
      </c>
      <c r="N1219" s="43" t="str">
        <f>+VLOOKUP(D1230,'PRESUPUESTO OFICIAL '!C:Q,9,FALSE)</f>
        <v>51</v>
      </c>
      <c r="O1219" s="43" t="s">
        <v>4</v>
      </c>
      <c r="P1219" s="508" t="str">
        <f>+'PRESUPUESTO OFICIAL '!$M$122</f>
        <v>62</v>
      </c>
      <c r="Q1219" s="28"/>
      <c r="R1219" s="4"/>
    </row>
    <row r="1220" spans="1:18">
      <c r="A1220" s="1"/>
      <c r="B1220" s="2"/>
      <c r="C1220" s="8"/>
      <c r="D1220" s="29"/>
      <c r="E1220" s="30" t="s">
        <v>5</v>
      </c>
      <c r="F1220" s="31"/>
      <c r="G1220" s="31"/>
      <c r="H1220" s="31"/>
      <c r="I1220" s="31"/>
      <c r="J1220" s="31"/>
      <c r="K1220" s="31"/>
      <c r="L1220" s="32"/>
      <c r="M1220" s="43"/>
      <c r="N1220" s="57"/>
      <c r="O1220" s="57"/>
      <c r="P1220" s="58"/>
      <c r="Q1220" s="28"/>
      <c r="R1220" s="4"/>
    </row>
    <row r="1221" spans="1:18" ht="15.75" thickBot="1">
      <c r="A1221" s="1"/>
      <c r="B1221" s="2"/>
      <c r="C1221" s="8"/>
      <c r="D1221" s="59"/>
      <c r="E1221" s="60"/>
      <c r="F1221" s="60"/>
      <c r="G1221" s="60"/>
      <c r="H1221" s="60"/>
      <c r="I1221" s="60"/>
      <c r="J1221" s="60"/>
      <c r="K1221" s="60"/>
      <c r="L1221" s="60"/>
      <c r="M1221" s="60"/>
      <c r="N1221" s="61"/>
      <c r="O1221" s="61"/>
      <c r="P1221" s="62"/>
      <c r="Q1221" s="63"/>
      <c r="R1221" s="4"/>
    </row>
    <row r="1222" spans="1:18">
      <c r="A1222" s="1"/>
      <c r="B1222" s="2"/>
      <c r="C1222" s="8"/>
      <c r="D1222" s="64"/>
      <c r="E1222" s="65"/>
      <c r="F1222" s="65"/>
      <c r="G1222" s="65"/>
      <c r="H1222" s="65"/>
      <c r="I1222" s="65"/>
      <c r="J1222" s="65"/>
      <c r="K1222" s="65"/>
      <c r="L1222" s="65"/>
      <c r="M1222" s="66" t="s">
        <v>6</v>
      </c>
      <c r="N1222" s="66" t="s">
        <v>7</v>
      </c>
      <c r="O1222" s="66" t="s">
        <v>8</v>
      </c>
      <c r="P1222" s="67" t="s">
        <v>9</v>
      </c>
      <c r="Q1222" s="51"/>
      <c r="R1222" s="4"/>
    </row>
    <row r="1223" spans="1:18">
      <c r="A1223" s="1"/>
      <c r="B1223" s="2"/>
      <c r="C1223" s="8"/>
      <c r="D1223" s="68"/>
      <c r="E1223" s="69"/>
      <c r="F1223" s="69"/>
      <c r="G1223" s="69"/>
      <c r="H1223" s="69"/>
      <c r="I1223" s="69"/>
      <c r="J1223" s="69"/>
      <c r="K1223" s="69"/>
      <c r="L1223" s="69"/>
      <c r="M1223" s="70"/>
      <c r="N1223" s="71">
        <f>+Hoja2!B$5</f>
        <v>5</v>
      </c>
      <c r="O1223" s="71">
        <f>+Hoja2!C$5</f>
        <v>8</v>
      </c>
      <c r="P1223" s="72">
        <f>+Hoja2!D$5</f>
        <v>2026</v>
      </c>
      <c r="Q1223" s="73"/>
      <c r="R1223" s="4"/>
    </row>
    <row r="1224" spans="1:18">
      <c r="A1224" s="1"/>
      <c r="B1224" s="2"/>
      <c r="C1224" s="8"/>
      <c r="D1224" s="74"/>
      <c r="E1224" s="37"/>
      <c r="F1224" s="37"/>
      <c r="G1224" s="37"/>
      <c r="H1224" s="69"/>
      <c r="I1224" s="69"/>
      <c r="J1224" s="69"/>
      <c r="K1224" s="20"/>
      <c r="L1224" s="69"/>
      <c r="M1224" s="75"/>
      <c r="N1224" s="20"/>
      <c r="O1224" s="20"/>
      <c r="P1224" s="76"/>
      <c r="Q1224" s="73"/>
      <c r="R1224" s="4"/>
    </row>
    <row r="1225" spans="1:18" ht="15.75" thickBot="1">
      <c r="A1225" s="1"/>
      <c r="B1225" s="2"/>
      <c r="C1225" s="8"/>
      <c r="D1225" s="77"/>
      <c r="E1225" s="78"/>
      <c r="F1225" s="78"/>
      <c r="G1225" s="78"/>
      <c r="H1225" s="78"/>
      <c r="I1225" s="78"/>
      <c r="J1225" s="78"/>
      <c r="K1225" s="78"/>
      <c r="L1225" s="78"/>
      <c r="M1225" s="78"/>
      <c r="N1225" s="78"/>
      <c r="O1225" s="78"/>
      <c r="P1225" s="79"/>
      <c r="Q1225" s="13"/>
      <c r="R1225" s="4"/>
    </row>
    <row r="1226" spans="1:18" ht="15.75" thickBot="1">
      <c r="A1226" s="1"/>
      <c r="B1226" s="2"/>
      <c r="C1226" s="8"/>
      <c r="D1226" s="80"/>
      <c r="E1226" s="81"/>
      <c r="F1226" s="81"/>
      <c r="G1226" s="81"/>
      <c r="H1226" s="81"/>
      <c r="I1226" s="81"/>
      <c r="J1226" s="20"/>
      <c r="K1226" s="20"/>
      <c r="L1226" s="81"/>
      <c r="M1226" s="81"/>
      <c r="N1226" s="81"/>
      <c r="O1226" s="81"/>
      <c r="P1226" s="82"/>
      <c r="Q1226" s="13"/>
      <c r="R1226" s="4"/>
    </row>
    <row r="1227" spans="1:18">
      <c r="A1227" s="1"/>
      <c r="B1227" s="2"/>
      <c r="C1227" s="8"/>
      <c r="D1227" s="83" t="s">
        <v>10</v>
      </c>
      <c r="E1227" s="84"/>
      <c r="F1227" s="84"/>
      <c r="G1227" s="84"/>
      <c r="H1227" s="84"/>
      <c r="I1227" s="84"/>
      <c r="J1227" s="84"/>
      <c r="K1227" s="84"/>
      <c r="L1227" s="84"/>
      <c r="M1227" s="84"/>
      <c r="N1227" s="84"/>
      <c r="O1227" s="84"/>
      <c r="P1227" s="85"/>
      <c r="Q1227" s="86"/>
      <c r="R1227" s="4"/>
    </row>
    <row r="1228" spans="1:18" ht="15.75" thickBot="1">
      <c r="A1228" s="1"/>
      <c r="B1228" s="2"/>
      <c r="C1228" s="8"/>
      <c r="D1228" s="87"/>
      <c r="E1228" s="20"/>
      <c r="F1228" s="20"/>
      <c r="G1228" s="20"/>
      <c r="H1228" s="20"/>
      <c r="I1228" s="20"/>
      <c r="J1228" s="20"/>
      <c r="K1228" s="20"/>
      <c r="L1228" s="20"/>
      <c r="M1228" s="20"/>
      <c r="N1228" s="20"/>
      <c r="O1228" s="20"/>
      <c r="P1228" s="88"/>
      <c r="Q1228" s="13"/>
      <c r="R1228" s="4"/>
    </row>
    <row r="1229" spans="1:18">
      <c r="A1229" s="1" t="s">
        <v>11</v>
      </c>
      <c r="B1229" s="2" t="s">
        <v>12</v>
      </c>
      <c r="C1229" s="8"/>
      <c r="D1229" s="89" t="s">
        <v>13</v>
      </c>
      <c r="E1229" s="90" t="s">
        <v>14</v>
      </c>
      <c r="F1229" s="90"/>
      <c r="G1229" s="90"/>
      <c r="H1229" s="90"/>
      <c r="I1229" s="90"/>
      <c r="J1229" s="90"/>
      <c r="K1229" s="90"/>
      <c r="L1229" s="90"/>
      <c r="M1229" s="90"/>
      <c r="N1229" s="91" t="s">
        <v>15</v>
      </c>
      <c r="O1229" s="91"/>
      <c r="P1229" s="92" t="s">
        <v>16</v>
      </c>
      <c r="Q1229" s="93"/>
      <c r="R1229" s="4"/>
    </row>
    <row r="1230" spans="1:18" ht="15.75" thickBot="1">
      <c r="A1230" s="1"/>
      <c r="B1230" s="2"/>
      <c r="C1230" s="8"/>
      <c r="D1230" s="349">
        <f>+'PRESUPUESTO OFICIAL '!C81</f>
        <v>7.02</v>
      </c>
      <c r="E1230" s="94" t="str">
        <f>+VLOOKUP(D1230,'PRESUPUESTO OFICIAL '!C:H,2,FALSE)</f>
        <v>SUMINISTRO E INSTALACIÓN DE TUBO RECTANGULAR DE 4X 2" CAL. 14</v>
      </c>
      <c r="F1230" s="94"/>
      <c r="G1230" s="94"/>
      <c r="H1230" s="94"/>
      <c r="I1230" s="94"/>
      <c r="J1230" s="94"/>
      <c r="K1230" s="94"/>
      <c r="L1230" s="94"/>
      <c r="M1230" s="94"/>
      <c r="N1230" s="94" t="str">
        <f>+VLOOKUP(D1230,'PRESUPUESTO OFICIAL '!C:H,3,FALSE)</f>
        <v>M</v>
      </c>
      <c r="O1230" s="95"/>
      <c r="P1230" s="96">
        <f>+VLOOKUP(D1230,'PRESUPUESTO OFICIAL '!C:H,4,FALSE)</f>
        <v>193.71</v>
      </c>
      <c r="Q1230" s="97"/>
      <c r="R1230" s="98">
        <f>+P1282</f>
        <v>79465</v>
      </c>
    </row>
    <row r="1231" spans="1:18" ht="15.75" thickBot="1">
      <c r="A1231" s="1"/>
      <c r="B1231" s="2"/>
      <c r="C1231" s="8"/>
      <c r="D1231" s="74"/>
      <c r="E1231" s="37"/>
      <c r="F1231" s="37"/>
      <c r="G1231" s="37"/>
      <c r="H1231" s="37"/>
      <c r="I1231" s="37"/>
      <c r="J1231" s="37"/>
      <c r="K1231" s="37"/>
      <c r="L1231" s="37"/>
      <c r="M1231" s="37"/>
      <c r="N1231" s="37"/>
      <c r="O1231" s="37"/>
      <c r="P1231" s="99"/>
      <c r="Q1231" s="100"/>
      <c r="R1231" s="4"/>
    </row>
    <row r="1232" spans="1:18">
      <c r="A1232" s="1"/>
      <c r="B1232" s="2"/>
      <c r="C1232" s="8"/>
      <c r="D1232" s="101" t="s">
        <v>14</v>
      </c>
      <c r="E1232" s="102"/>
      <c r="F1232" s="102"/>
      <c r="G1232" s="102"/>
      <c r="H1232" s="103"/>
      <c r="I1232" s="104" t="s">
        <v>18</v>
      </c>
      <c r="J1232" s="102"/>
      <c r="K1232" s="104" t="s">
        <v>19</v>
      </c>
      <c r="L1232" s="105"/>
      <c r="M1232" s="106" t="s">
        <v>20</v>
      </c>
      <c r="N1232" s="104" t="s">
        <v>21</v>
      </c>
      <c r="O1232" s="105"/>
      <c r="P1232" s="107" t="s">
        <v>22</v>
      </c>
      <c r="Q1232" s="108"/>
      <c r="R1232" s="4"/>
    </row>
    <row r="1233" spans="1:18">
      <c r="A1233" s="1" t="e">
        <f>[239]INDICE!#REF!</f>
        <v>#REF!</v>
      </c>
      <c r="B1233" s="2" t="s">
        <v>23</v>
      </c>
      <c r="C1233" s="8"/>
      <c r="D1233" s="109" t="str">
        <f>IFERROR(INDEX([239]EQUIPOS!B:B,MATCH(B1233,[239]EQUIPOS!A:A,0)),"")</f>
        <v>HERRAMIENTA MENOR (% M.O)</v>
      </c>
      <c r="E1233" s="110"/>
      <c r="F1233" s="110"/>
      <c r="G1233" s="110"/>
      <c r="H1233" s="111"/>
      <c r="I1233" s="112"/>
      <c r="J1233" s="111"/>
      <c r="K1233" s="113" t="str">
        <f>IFERROR(INDEX([239]EQUIPOS!C:C,MATCH(B1233,[239]EQUIPOS!A:A,0)),"")</f>
        <v>%</v>
      </c>
      <c r="L1233" s="114"/>
      <c r="M1233" s="115">
        <f>IFERROR(IF(D1233="HERRAMIENTA MENOR (% M.O)",P1272,INDEX([239]EQUIPOS!D:D,MATCH(B1233,[239]EQUIPOS!A:A,0))),"")</f>
        <v>15401.44</v>
      </c>
      <c r="N1233" s="116">
        <v>10</v>
      </c>
      <c r="O1233" s="117"/>
      <c r="P1233" s="118">
        <f t="shared" ref="P1233:P1238" si="42">IFERROR(ROUND(IF(D1233="HERRAMIENTA MENOR (% M.O)",N1233%*M1233,M1233/N1233),2)," ")</f>
        <v>1540.14</v>
      </c>
      <c r="Q1233" s="119"/>
      <c r="R1233" s="4"/>
    </row>
    <row r="1234" spans="1:18">
      <c r="A1234" s="1">
        <f>+$A$2593</f>
        <v>0</v>
      </c>
      <c r="B1234" s="2" t="s">
        <v>264</v>
      </c>
      <c r="C1234" s="8"/>
      <c r="D1234" s="109" t="str">
        <f>IFERROR(INDEX([239]EQUIPOS!B:B,MATCH(B1234,[239]EQUIPOS!A:A,0)),"")</f>
        <v>PULIDORA</v>
      </c>
      <c r="E1234" s="110"/>
      <c r="F1234" s="110"/>
      <c r="G1234" s="110"/>
      <c r="H1234" s="111"/>
      <c r="I1234" s="112"/>
      <c r="J1234" s="111"/>
      <c r="K1234" s="113" t="str">
        <f>IFERROR(INDEX([239]EQUIPOS!C:C,MATCH(B1234,[239]EQUIPOS!A:A,0)),"")</f>
        <v>DIA</v>
      </c>
      <c r="L1234" s="114"/>
      <c r="M1234" s="115">
        <f>IFERROR(IF(D1234="HERRAMIENTA MENOR (% M.O)",P1273,INDEX([239]EQUIPOS!D:D,MATCH(B1234,[239]EQUIPOS!A:A,0))),"")</f>
        <v>45000</v>
      </c>
      <c r="N1234" s="116">
        <v>240</v>
      </c>
      <c r="O1234" s="117"/>
      <c r="P1234" s="118">
        <f t="shared" si="42"/>
        <v>187.5</v>
      </c>
      <c r="Q1234" s="119"/>
      <c r="R1234" s="4"/>
    </row>
    <row r="1235" spans="1:18">
      <c r="A1235" s="1">
        <f t="shared" ref="A1235:A1273" si="43">+A1234</f>
        <v>0</v>
      </c>
      <c r="B1235" s="2" t="s">
        <v>278</v>
      </c>
      <c r="C1235" s="8"/>
      <c r="D1235" s="109" t="str">
        <f>IFERROR(INDEX([239]EQUIPOS!B:B,MATCH(B1235,[239]EQUIPOS!A:A,0)),"")</f>
        <v>EQUIPO DE SOLDADURA</v>
      </c>
      <c r="E1235" s="110"/>
      <c r="F1235" s="110"/>
      <c r="G1235" s="110"/>
      <c r="H1235" s="111"/>
      <c r="I1235" s="120"/>
      <c r="J1235" s="121"/>
      <c r="K1235" s="113" t="str">
        <f>IFERROR(INDEX([239]EQUIPOS!C:C,MATCH(B1235,[239]EQUIPOS!A:A,0)),"")</f>
        <v>DIA</v>
      </c>
      <c r="L1235" s="114"/>
      <c r="M1235" s="115">
        <f>IFERROR(IF(D1235="HERRAMIENTA MENOR (% M.O)",P1274,INDEX([239]EQUIPOS!D:D,MATCH(B1235,[239]EQUIPOS!A:A,0))),"")</f>
        <v>80000</v>
      </c>
      <c r="N1235" s="116">
        <v>96</v>
      </c>
      <c r="O1235" s="117"/>
      <c r="P1235" s="118">
        <f t="shared" si="42"/>
        <v>833.33</v>
      </c>
      <c r="Q1235" s="119"/>
      <c r="R1235" s="4"/>
    </row>
    <row r="1236" spans="1:18">
      <c r="A1236" s="1">
        <f t="shared" si="43"/>
        <v>0</v>
      </c>
      <c r="B1236" s="2" t="s">
        <v>339</v>
      </c>
      <c r="C1236" s="8"/>
      <c r="D1236" s="109" t="str">
        <f>IFERROR(INDEX([239]EQUIPOS!B:B,MATCH(B1236,[239]EQUIPOS!A:A,0)),"")</f>
        <v>COMPRESOR DE PINTURA</v>
      </c>
      <c r="E1236" s="110"/>
      <c r="F1236" s="110"/>
      <c r="G1236" s="110"/>
      <c r="H1236" s="111"/>
      <c r="I1236" s="120"/>
      <c r="J1236" s="121"/>
      <c r="K1236" s="113" t="str">
        <f>IFERROR(INDEX([239]EQUIPOS!C:C,MATCH(B1236,[239]EQUIPOS!A:A,0)),"")</f>
        <v>DIA</v>
      </c>
      <c r="L1236" s="114"/>
      <c r="M1236" s="115">
        <f>IFERROR(IF(D1236="HERRAMIENTA MENOR (% M.O)",P1275,INDEX([239]EQUIPOS!D:D,MATCH(B1236,[239]EQUIPOS!A:A,0))),"")</f>
        <v>90792</v>
      </c>
      <c r="N1236" s="116">
        <v>160</v>
      </c>
      <c r="O1236" s="117"/>
      <c r="P1236" s="118">
        <f t="shared" si="42"/>
        <v>567.45000000000005</v>
      </c>
      <c r="Q1236" s="119"/>
      <c r="R1236" s="4"/>
    </row>
    <row r="1237" spans="1:18">
      <c r="A1237" s="1">
        <f t="shared" si="43"/>
        <v>0</v>
      </c>
      <c r="B1237" s="2" t="s">
        <v>258</v>
      </c>
      <c r="C1237" s="8"/>
      <c r="D1237" s="109" t="str">
        <f>IFERROR(INDEX([239]EQUIPOS!B:B,MATCH(B1237,[239]EQUIPOS!A:A,0)),"")</f>
        <v>SECCIÓN DE ANDAMIO (02)</v>
      </c>
      <c r="E1237" s="110"/>
      <c r="F1237" s="110"/>
      <c r="G1237" s="110"/>
      <c r="H1237" s="111"/>
      <c r="I1237" s="112"/>
      <c r="J1237" s="111"/>
      <c r="K1237" s="113" t="str">
        <f>IFERROR(INDEX([239]EQUIPOS!C:C,MATCH(B1237,[239]EQUIPOS!A:A,0)),"")</f>
        <v>DIA</v>
      </c>
      <c r="L1237" s="114"/>
      <c r="M1237" s="115">
        <f>IFERROR(IF(D1237="HERRAMIENTA MENOR (% M.O)",P1276,INDEX([239]EQUIPOS!D:D,MATCH(B1237,[239]EQUIPOS!A:A,0))),"")</f>
        <v>6000</v>
      </c>
      <c r="N1237" s="116">
        <f>+N1267</f>
        <v>35</v>
      </c>
      <c r="O1237" s="117"/>
      <c r="P1237" s="118">
        <f t="shared" si="42"/>
        <v>171.43</v>
      </c>
      <c r="Q1237" s="119"/>
      <c r="R1237" s="4"/>
    </row>
    <row r="1238" spans="1:18" ht="15.75" thickBot="1">
      <c r="A1238" s="1">
        <f t="shared" si="43"/>
        <v>0</v>
      </c>
      <c r="B1238" s="2"/>
      <c r="C1238" s="8"/>
      <c r="D1238" s="109" t="str">
        <f>IFERROR(INDEX([239]EQUIPOS!B:B,MATCH(B1238,[239]EQUIPOS!A:A,0)),"")</f>
        <v/>
      </c>
      <c r="E1238" s="78"/>
      <c r="F1238" s="78"/>
      <c r="G1238" s="78"/>
      <c r="H1238" s="122"/>
      <c r="I1238" s="123"/>
      <c r="J1238" s="122"/>
      <c r="K1238" s="113" t="str">
        <f>IFERROR(INDEX([239]EQUIPOS!C:C,MATCH(B1238,[239]EQUIPOS!A:A,0)),"")</f>
        <v/>
      </c>
      <c r="L1238" s="124"/>
      <c r="M1238" s="115" t="str">
        <f>IFERROR(IF(D1238="HERRAMIENTA MENOR (% M.O)",P1277,INDEX([239]EQUIPOS!D:D,MATCH(B1238,[239]EQUIPOS!A:A,0))),"")</f>
        <v/>
      </c>
      <c r="N1238" s="125"/>
      <c r="O1238" s="126"/>
      <c r="P1238" s="127" t="str">
        <f t="shared" si="42"/>
        <v xml:space="preserve"> </v>
      </c>
      <c r="Q1238" s="119"/>
      <c r="R1238" s="4"/>
    </row>
    <row r="1239" spans="1:18" ht="15.75" thickBot="1">
      <c r="A1239" s="1">
        <f t="shared" si="43"/>
        <v>0</v>
      </c>
      <c r="B1239" s="2"/>
      <c r="C1239" s="8"/>
      <c r="D1239" s="128" t="s">
        <v>24</v>
      </c>
      <c r="E1239" s="129"/>
      <c r="F1239" s="129"/>
      <c r="G1239" s="129"/>
      <c r="H1239" s="129"/>
      <c r="I1239" s="129"/>
      <c r="J1239" s="129"/>
      <c r="K1239" s="129"/>
      <c r="L1239" s="129"/>
      <c r="M1239" s="129"/>
      <c r="N1239" s="129"/>
      <c r="O1239" s="130"/>
      <c r="P1239" s="131">
        <f>SUM(P1233:P1238)</f>
        <v>3299.85</v>
      </c>
      <c r="Q1239" s="132"/>
      <c r="R1239" s="4"/>
    </row>
    <row r="1240" spans="1:18" ht="15.75" thickBot="1">
      <c r="A1240" s="1">
        <f t="shared" si="43"/>
        <v>0</v>
      </c>
      <c r="B1240" s="2"/>
      <c r="C1240" s="8"/>
      <c r="D1240" s="74" t="s">
        <v>25</v>
      </c>
      <c r="E1240" s="37"/>
      <c r="F1240" s="37"/>
      <c r="G1240" s="37"/>
      <c r="H1240" s="37"/>
      <c r="I1240" s="37"/>
      <c r="J1240" s="37"/>
      <c r="K1240" s="37"/>
      <c r="L1240" s="37"/>
      <c r="M1240" s="37"/>
      <c r="N1240" s="37"/>
      <c r="O1240" s="37"/>
      <c r="P1240" s="99"/>
      <c r="Q1240" s="100"/>
      <c r="R1240" s="4"/>
    </row>
    <row r="1241" spans="1:18">
      <c r="A1241" s="1">
        <f t="shared" si="43"/>
        <v>0</v>
      </c>
      <c r="B1241" s="2"/>
      <c r="C1241" s="8"/>
      <c r="D1241" s="101" t="s">
        <v>14</v>
      </c>
      <c r="E1241" s="133"/>
      <c r="F1241" s="133"/>
      <c r="G1241" s="133"/>
      <c r="H1241" s="133"/>
      <c r="I1241" s="133"/>
      <c r="J1241" s="133"/>
      <c r="K1241" s="105"/>
      <c r="L1241" s="134" t="s">
        <v>15</v>
      </c>
      <c r="M1241" s="106" t="s">
        <v>16</v>
      </c>
      <c r="N1241" s="104" t="s">
        <v>26</v>
      </c>
      <c r="O1241" s="105"/>
      <c r="P1241" s="107" t="s">
        <v>22</v>
      </c>
      <c r="Q1241" s="108"/>
      <c r="R1241" s="4"/>
    </row>
    <row r="1242" spans="1:18">
      <c r="A1242" s="1">
        <f t="shared" si="43"/>
        <v>0</v>
      </c>
      <c r="B1242" s="2" t="s">
        <v>341</v>
      </c>
      <c r="C1242" s="8"/>
      <c r="D1242" s="109" t="str">
        <f>IFERROR(INDEX([239]MATERIALES!C:C,MATCH(B1242,[239]MATERIALES!B:B,0)),"")</f>
        <v>TUBO RECTANGULAR DE 4" x 2" CAL.14</v>
      </c>
      <c r="E1242" s="135"/>
      <c r="F1242" s="135"/>
      <c r="G1242" s="135"/>
      <c r="H1242" s="135"/>
      <c r="I1242" s="135"/>
      <c r="J1242" s="135"/>
      <c r="K1242" s="136"/>
      <c r="L1242" s="137" t="str">
        <f>IFERROR(INDEX([239]MATERIALES!D:D,MATCH(B1242,[239]MATERIALES!B:B,0)),"")</f>
        <v>M</v>
      </c>
      <c r="M1242" s="138">
        <v>1</v>
      </c>
      <c r="N1242" s="139">
        <f>IFERROR(INDEX([239]MATERIALES!P:P,MATCH(B1242,[239]MATERIALES!B:B,0)),"")</f>
        <v>25800</v>
      </c>
      <c r="O1242" s="140"/>
      <c r="P1242" s="118">
        <f>IFERROR(ROUND(N1242*M1242,2),"")</f>
        <v>25800</v>
      </c>
      <c r="Q1242" s="119"/>
      <c r="R1242" s="4"/>
    </row>
    <row r="1243" spans="1:18">
      <c r="A1243" s="1">
        <f t="shared" si="43"/>
        <v>0</v>
      </c>
      <c r="B1243" s="2" t="s">
        <v>280</v>
      </c>
      <c r="C1243" s="8"/>
      <c r="D1243" s="109" t="str">
        <f>IFERROR(INDEX([239]MATERIALES!C:C,MATCH(B1243,[239]MATERIALES!B:B,0)),"")</f>
        <v>SOLDADURA ELÉCTRICA 6013</v>
      </c>
      <c r="E1243" s="135"/>
      <c r="F1243" s="135"/>
      <c r="G1243" s="135"/>
      <c r="H1243" s="135"/>
      <c r="I1243" s="135"/>
      <c r="J1243" s="135"/>
      <c r="K1243" s="136"/>
      <c r="L1243" s="137" t="str">
        <f>IFERROR(INDEX([239]MATERIALES!D:D,MATCH(B1243,[239]MATERIALES!B:B,0)),"")</f>
        <v>KG</v>
      </c>
      <c r="M1243" s="138">
        <v>0.1</v>
      </c>
      <c r="N1243" s="139">
        <f>IFERROR(INDEX([239]MATERIALES!P:P,MATCH(B1243,[239]MATERIALES!B:B,0)),"")</f>
        <v>23035.3</v>
      </c>
      <c r="O1243" s="140"/>
      <c r="P1243" s="118">
        <f>IFERROR(ROUND(N1243*M1243,2),"")</f>
        <v>2303.5300000000002</v>
      </c>
      <c r="Q1243" s="119"/>
      <c r="R1243" s="4"/>
    </row>
    <row r="1244" spans="1:18">
      <c r="A1244" s="1">
        <f t="shared" si="43"/>
        <v>0</v>
      </c>
      <c r="B1244" s="2" t="s">
        <v>282</v>
      </c>
      <c r="C1244" s="8"/>
      <c r="D1244" s="109" t="str">
        <f>IFERROR(INDEX([239]MATERIALES!C:C,MATCH(B1244,[239]MATERIALES!B:B,0)),"")</f>
        <v>DISOLVENTE THINNER</v>
      </c>
      <c r="E1244" s="110"/>
      <c r="F1244" s="110"/>
      <c r="G1244" s="110"/>
      <c r="H1244" s="110"/>
      <c r="I1244" s="110"/>
      <c r="J1244" s="110"/>
      <c r="K1244" s="111"/>
      <c r="L1244" s="137" t="str">
        <f>IFERROR(INDEX([239]MATERIALES!D:D,MATCH(B1244,[239]MATERIALES!B:B,0)),"")</f>
        <v>GAL</v>
      </c>
      <c r="M1244" s="138">
        <v>0.03</v>
      </c>
      <c r="N1244" s="139">
        <f>IFERROR(INDEX([239]MATERIALES!P:P,MATCH(B1244,[239]MATERIALES!B:B,0)),"")</f>
        <v>31200</v>
      </c>
      <c r="O1244" s="140"/>
      <c r="P1244" s="118">
        <f>IFERROR(ROUND(N1244*M1244,2),"")</f>
        <v>936</v>
      </c>
      <c r="Q1244" s="119"/>
      <c r="R1244" s="4"/>
    </row>
    <row r="1245" spans="1:18">
      <c r="A1245" s="1">
        <f t="shared" si="43"/>
        <v>0</v>
      </c>
      <c r="B1245" s="2" t="s">
        <v>283</v>
      </c>
      <c r="C1245" s="8"/>
      <c r="D1245" s="109" t="str">
        <f>IFERROR(INDEX([239]MATERIALES!C:C,MATCH(B1245,[239]MATERIALES!B:B,0)),"")</f>
        <v>PINTURA ANTICORROSIVO</v>
      </c>
      <c r="E1245" s="110"/>
      <c r="F1245" s="110"/>
      <c r="G1245" s="110"/>
      <c r="H1245" s="110"/>
      <c r="I1245" s="110"/>
      <c r="J1245" s="110"/>
      <c r="K1245" s="111"/>
      <c r="L1245" s="137" t="str">
        <f>IFERROR(INDEX([239]MATERIALES!D:D,MATCH(B1245,[239]MATERIALES!B:B,0)),"")</f>
        <v>GAL</v>
      </c>
      <c r="M1245" s="138">
        <v>0.06</v>
      </c>
      <c r="N1245" s="139">
        <f>IFERROR(INDEX([239]MATERIALES!P:P,MATCH(B1245,[239]MATERIALES!B:B,0)),"")</f>
        <v>61200</v>
      </c>
      <c r="O1245" s="140"/>
      <c r="P1245" s="118">
        <f>IFERROR(ROUND(N1245*M1245,2),"")</f>
        <v>3672</v>
      </c>
      <c r="Q1245" s="119"/>
      <c r="R1245" s="4"/>
    </row>
    <row r="1246" spans="1:18">
      <c r="A1246" s="1">
        <f t="shared" si="43"/>
        <v>0</v>
      </c>
      <c r="B1246" s="2" t="s">
        <v>284</v>
      </c>
      <c r="C1246" s="8"/>
      <c r="D1246" s="109" t="str">
        <f>IFERROR(INDEX([239]MATERIALES!C:C,MATCH(B1246,[239]MATERIALES!B:B,0)),"")</f>
        <v>PINTURA ESMALTE SINTÉTICO TIPO I</v>
      </c>
      <c r="E1246" s="110"/>
      <c r="F1246" s="110"/>
      <c r="G1246" s="110"/>
      <c r="H1246" s="110"/>
      <c r="I1246" s="110"/>
      <c r="J1246" s="110"/>
      <c r="K1246" s="111"/>
      <c r="L1246" s="137" t="str">
        <f>IFERROR(INDEX([239]MATERIALES!D:D,MATCH(B1246,[239]MATERIALES!B:B,0)),"")</f>
        <v>GAL</v>
      </c>
      <c r="M1246" s="138">
        <v>0.06</v>
      </c>
      <c r="N1246" s="139">
        <f>IFERROR(INDEX([239]MATERIALES!P:P,MATCH(B1246,[239]MATERIALES!B:B,0)),"")</f>
        <v>96598.66</v>
      </c>
      <c r="O1246" s="140"/>
      <c r="P1246" s="118">
        <f t="shared" ref="P1246:P1255" si="44">IFERROR(ROUND(N1246*M1246,2),"")</f>
        <v>5795.92</v>
      </c>
      <c r="Q1246" s="119"/>
      <c r="R1246" s="4"/>
    </row>
    <row r="1247" spans="1:18">
      <c r="A1247" s="1">
        <f t="shared" si="43"/>
        <v>0</v>
      </c>
      <c r="B1247" s="2" t="s">
        <v>281</v>
      </c>
      <c r="C1247" s="8"/>
      <c r="D1247" s="109" t="str">
        <f>IFERROR(INDEX([239]MATERIALES!C:C,MATCH(B1247,[239]MATERIALES!B:B,0)),"")</f>
        <v>DISCO CORTE DE METAL 7"</v>
      </c>
      <c r="E1247" s="110"/>
      <c r="F1247" s="110"/>
      <c r="G1247" s="110"/>
      <c r="H1247" s="110"/>
      <c r="I1247" s="110"/>
      <c r="J1247" s="110"/>
      <c r="K1247" s="111"/>
      <c r="L1247" s="137" t="str">
        <f>IFERROR(INDEX([239]MATERIALES!D:D,MATCH(B1247,[239]MATERIALES!B:B,0)),"")</f>
        <v>UND</v>
      </c>
      <c r="M1247" s="138">
        <v>0.06</v>
      </c>
      <c r="N1247" s="139">
        <f>IFERROR(INDEX([239]MATERIALES!P:P,MATCH(B1247,[239]MATERIALES!B:B,0)),"")</f>
        <v>9750</v>
      </c>
      <c r="O1247" s="140"/>
      <c r="P1247" s="118">
        <f t="shared" si="44"/>
        <v>585</v>
      </c>
      <c r="Q1247" s="119"/>
      <c r="R1247" s="4"/>
    </row>
    <row r="1248" spans="1:18">
      <c r="A1248" s="1">
        <f t="shared" si="43"/>
        <v>0</v>
      </c>
      <c r="B1248" s="2"/>
      <c r="C1248" s="8"/>
      <c r="D1248" s="109" t="str">
        <f>IFERROR(INDEX([239]MATERIALES!C:C,MATCH(B1248,[239]MATERIALES!B:B,0)),"")</f>
        <v/>
      </c>
      <c r="E1248" s="110"/>
      <c r="F1248" s="110"/>
      <c r="G1248" s="110"/>
      <c r="H1248" s="110"/>
      <c r="I1248" s="110"/>
      <c r="J1248" s="110"/>
      <c r="K1248" s="111"/>
      <c r="L1248" s="137" t="str">
        <f>IFERROR(INDEX([239]MATERIALES!D:D,MATCH(B1248,[239]MATERIALES!B:B,0)),"")</f>
        <v/>
      </c>
      <c r="M1248" s="138"/>
      <c r="N1248" s="139" t="str">
        <f>IFERROR(INDEX([239]MATERIALES!P:P,MATCH(B1248,[239]MATERIALES!B:B,0)),"")</f>
        <v/>
      </c>
      <c r="O1248" s="140"/>
      <c r="P1248" s="118" t="str">
        <f t="shared" si="44"/>
        <v/>
      </c>
      <c r="Q1248" s="119"/>
      <c r="R1248" s="4"/>
    </row>
    <row r="1249" spans="1:18">
      <c r="A1249" s="1">
        <f t="shared" si="43"/>
        <v>0</v>
      </c>
      <c r="B1249" s="2"/>
      <c r="C1249" s="8"/>
      <c r="D1249" s="109" t="str">
        <f>IFERROR(INDEX([239]MATERIALES!C:C,MATCH(B1249,[239]MATERIALES!B:B,0)),"")</f>
        <v/>
      </c>
      <c r="E1249" s="110"/>
      <c r="F1249" s="110"/>
      <c r="G1249" s="110"/>
      <c r="H1249" s="110"/>
      <c r="I1249" s="110"/>
      <c r="J1249" s="110"/>
      <c r="K1249" s="111"/>
      <c r="L1249" s="137" t="str">
        <f>IFERROR(INDEX([239]MATERIALES!D:D,MATCH(B1249,[239]MATERIALES!B:B,0)),"")</f>
        <v/>
      </c>
      <c r="M1249" s="138"/>
      <c r="N1249" s="139" t="str">
        <f>IFERROR(INDEX([239]MATERIALES!P:P,MATCH(B1249,[239]MATERIALES!B:B,0)),"")</f>
        <v/>
      </c>
      <c r="O1249" s="140"/>
      <c r="P1249" s="118" t="str">
        <f t="shared" si="44"/>
        <v/>
      </c>
      <c r="Q1249" s="119"/>
      <c r="R1249" s="4"/>
    </row>
    <row r="1250" spans="1:18">
      <c r="A1250" s="1">
        <f t="shared" si="43"/>
        <v>0</v>
      </c>
      <c r="B1250" s="2"/>
      <c r="C1250" s="8"/>
      <c r="D1250" s="109" t="str">
        <f>IFERROR(INDEX([239]MATERIALES!C:C,MATCH(B1250,[239]MATERIALES!B:B,0)),"")</f>
        <v/>
      </c>
      <c r="E1250" s="110"/>
      <c r="F1250" s="110"/>
      <c r="G1250" s="110"/>
      <c r="H1250" s="110"/>
      <c r="I1250" s="110"/>
      <c r="J1250" s="110"/>
      <c r="K1250" s="111"/>
      <c r="L1250" s="137" t="str">
        <f>IFERROR(INDEX([239]MATERIALES!D:D,MATCH(B1250,[239]MATERIALES!B:B,0)),"")</f>
        <v/>
      </c>
      <c r="M1250" s="138"/>
      <c r="N1250" s="139" t="str">
        <f>IFERROR(INDEX([239]MATERIALES!P:P,MATCH(B1250,[239]MATERIALES!B:B,0)),"")</f>
        <v/>
      </c>
      <c r="O1250" s="140"/>
      <c r="P1250" s="118" t="str">
        <f t="shared" si="44"/>
        <v/>
      </c>
      <c r="Q1250" s="119"/>
      <c r="R1250" s="4"/>
    </row>
    <row r="1251" spans="1:18">
      <c r="A1251" s="1">
        <f t="shared" si="43"/>
        <v>0</v>
      </c>
      <c r="B1251" s="2"/>
      <c r="C1251" s="8"/>
      <c r="D1251" s="109" t="str">
        <f>IFERROR(INDEX([239]MATERIALES!C:C,MATCH(B1251,[239]MATERIALES!B:B,0)),"")</f>
        <v/>
      </c>
      <c r="E1251" s="110"/>
      <c r="F1251" s="110"/>
      <c r="G1251" s="110"/>
      <c r="H1251" s="110"/>
      <c r="I1251" s="110"/>
      <c r="J1251" s="110"/>
      <c r="K1251" s="111"/>
      <c r="L1251" s="137" t="str">
        <f>IFERROR(INDEX([239]MATERIALES!D:D,MATCH(B1251,[239]MATERIALES!B:B,0)),"")</f>
        <v/>
      </c>
      <c r="M1251" s="138"/>
      <c r="N1251" s="139" t="str">
        <f>IFERROR(INDEX([239]MATERIALES!P:P,MATCH(B1251,[239]MATERIALES!B:B,0)),"")</f>
        <v/>
      </c>
      <c r="O1251" s="140"/>
      <c r="P1251" s="118" t="str">
        <f t="shared" si="44"/>
        <v/>
      </c>
      <c r="Q1251" s="119"/>
      <c r="R1251" s="4"/>
    </row>
    <row r="1252" spans="1:18">
      <c r="A1252" s="1">
        <f t="shared" si="43"/>
        <v>0</v>
      </c>
      <c r="B1252" s="2"/>
      <c r="C1252" s="8"/>
      <c r="D1252" s="109" t="str">
        <f>IFERROR(INDEX([239]MATERIALES!C:C,MATCH(B1252,[239]MATERIALES!B:B,0)),"")</f>
        <v/>
      </c>
      <c r="E1252" s="110"/>
      <c r="F1252" s="110"/>
      <c r="G1252" s="110"/>
      <c r="H1252" s="110"/>
      <c r="I1252" s="110"/>
      <c r="J1252" s="110"/>
      <c r="K1252" s="111"/>
      <c r="L1252" s="137" t="str">
        <f>IFERROR(INDEX([239]MATERIALES!D:D,MATCH(B1252,[239]MATERIALES!B:B,0)),"")</f>
        <v/>
      </c>
      <c r="M1252" s="138"/>
      <c r="N1252" s="139" t="str">
        <f>IFERROR(INDEX([239]MATERIALES!P:P,MATCH(B1252,[239]MATERIALES!B:B,0)),"")</f>
        <v/>
      </c>
      <c r="O1252" s="140"/>
      <c r="P1252" s="118" t="str">
        <f t="shared" si="44"/>
        <v/>
      </c>
      <c r="Q1252" s="119"/>
      <c r="R1252" s="4"/>
    </row>
    <row r="1253" spans="1:18">
      <c r="A1253" s="1">
        <f t="shared" si="43"/>
        <v>0</v>
      </c>
      <c r="B1253" s="2"/>
      <c r="C1253" s="8"/>
      <c r="D1253" s="109" t="str">
        <f>IFERROR(INDEX([239]MATERIALES!C:C,MATCH(B1253,[239]MATERIALES!B:B,0)),"")</f>
        <v/>
      </c>
      <c r="E1253" s="110"/>
      <c r="F1253" s="110"/>
      <c r="G1253" s="110"/>
      <c r="H1253" s="110"/>
      <c r="I1253" s="110"/>
      <c r="J1253" s="110"/>
      <c r="K1253" s="111"/>
      <c r="L1253" s="137" t="str">
        <f>IFERROR(INDEX([239]MATERIALES!D:D,MATCH(B1253,[239]MATERIALES!B:B,0)),"")</f>
        <v/>
      </c>
      <c r="M1253" s="138"/>
      <c r="N1253" s="139" t="str">
        <f>IFERROR(INDEX([239]MATERIALES!P:P,MATCH(B1253,[239]MATERIALES!B:B,0)),"")</f>
        <v/>
      </c>
      <c r="O1253" s="140"/>
      <c r="P1253" s="118" t="str">
        <f t="shared" si="44"/>
        <v/>
      </c>
      <c r="Q1253" s="119"/>
      <c r="R1253" s="4"/>
    </row>
    <row r="1254" spans="1:18">
      <c r="A1254" s="1">
        <f t="shared" si="43"/>
        <v>0</v>
      </c>
      <c r="B1254" s="2"/>
      <c r="C1254" s="8"/>
      <c r="D1254" s="109" t="str">
        <f>IFERROR(INDEX([239]MATERIALES!C:C,MATCH(B1254,[239]MATERIALES!B:B,0)),"")</f>
        <v/>
      </c>
      <c r="E1254" s="110"/>
      <c r="F1254" s="110"/>
      <c r="G1254" s="110"/>
      <c r="H1254" s="110"/>
      <c r="I1254" s="110"/>
      <c r="J1254" s="110"/>
      <c r="K1254" s="111"/>
      <c r="L1254" s="137" t="str">
        <f>IFERROR(INDEX([239]MATERIALES!D:D,MATCH(B1254,[239]MATERIALES!B:B,0)),"")</f>
        <v/>
      </c>
      <c r="M1254" s="138"/>
      <c r="N1254" s="139" t="str">
        <f>IFERROR(INDEX([239]MATERIALES!P:P,MATCH(B1254,[239]MATERIALES!B:B,0)),"")</f>
        <v/>
      </c>
      <c r="O1254" s="140"/>
      <c r="P1254" s="118" t="str">
        <f t="shared" si="44"/>
        <v/>
      </c>
      <c r="Q1254" s="119"/>
      <c r="R1254" s="4"/>
    </row>
    <row r="1255" spans="1:18">
      <c r="A1255" s="1">
        <f t="shared" si="43"/>
        <v>0</v>
      </c>
      <c r="B1255" s="2"/>
      <c r="C1255" s="8"/>
      <c r="D1255" s="109" t="str">
        <f>IFERROR(INDEX([239]MATERIALES!C:C,MATCH(B1255,[239]MATERIALES!B:B,0)),"")</f>
        <v/>
      </c>
      <c r="E1255" s="110"/>
      <c r="F1255" s="110"/>
      <c r="G1255" s="110"/>
      <c r="H1255" s="110"/>
      <c r="I1255" s="110"/>
      <c r="J1255" s="110"/>
      <c r="K1255" s="111"/>
      <c r="L1255" s="137" t="str">
        <f>IFERROR(INDEX([239]MATERIALES!D:D,MATCH(B1255,[239]MATERIALES!B:B,0)),"")</f>
        <v/>
      </c>
      <c r="M1255" s="138"/>
      <c r="N1255" s="139" t="str">
        <f>IFERROR(INDEX([239]MATERIALES!P:P,MATCH(B1255,[239]MATERIALES!B:B,0)),"")</f>
        <v/>
      </c>
      <c r="O1255" s="140"/>
      <c r="P1255" s="118" t="str">
        <f t="shared" si="44"/>
        <v/>
      </c>
      <c r="Q1255" s="119"/>
      <c r="R1255" s="4"/>
    </row>
    <row r="1256" spans="1:18" ht="15.75" thickBot="1">
      <c r="A1256" s="1">
        <f t="shared" si="43"/>
        <v>0</v>
      </c>
      <c r="B1256" s="2"/>
      <c r="C1256" s="8"/>
      <c r="D1256" s="109" t="s">
        <v>28</v>
      </c>
      <c r="E1256" s="110"/>
      <c r="F1256" s="110"/>
      <c r="G1256" s="110"/>
      <c r="H1256" s="110"/>
      <c r="I1256" s="110"/>
      <c r="J1256" s="110"/>
      <c r="K1256" s="111"/>
      <c r="L1256" s="137" t="s">
        <v>29</v>
      </c>
      <c r="M1256" s="138">
        <v>0.05</v>
      </c>
      <c r="N1256" s="139">
        <f>SUM(P1242:P1255)</f>
        <v>39092.449999999997</v>
      </c>
      <c r="O1256" s="140"/>
      <c r="P1256" s="118">
        <f>ROUND(N1256*M1256,2)</f>
        <v>1954.62</v>
      </c>
      <c r="Q1256" s="119"/>
      <c r="R1256" s="4"/>
    </row>
    <row r="1257" spans="1:18" ht="15.75" thickBot="1">
      <c r="A1257" s="1">
        <f t="shared" si="43"/>
        <v>0</v>
      </c>
      <c r="B1257" s="2"/>
      <c r="C1257" s="8"/>
      <c r="D1257" s="128" t="s">
        <v>24</v>
      </c>
      <c r="E1257" s="129"/>
      <c r="F1257" s="129"/>
      <c r="G1257" s="129"/>
      <c r="H1257" s="129"/>
      <c r="I1257" s="129"/>
      <c r="J1257" s="129"/>
      <c r="K1257" s="129"/>
      <c r="L1257" s="129"/>
      <c r="M1257" s="129"/>
      <c r="N1257" s="129"/>
      <c r="O1257" s="130"/>
      <c r="P1257" s="131">
        <f>SUM(P1242:P1256)</f>
        <v>41047.07</v>
      </c>
      <c r="Q1257" s="119"/>
      <c r="R1257" s="4"/>
    </row>
    <row r="1258" spans="1:18" ht="15.75" thickBot="1">
      <c r="A1258" s="1">
        <f t="shared" si="43"/>
        <v>0</v>
      </c>
      <c r="B1258" s="2"/>
      <c r="C1258" s="8"/>
      <c r="D1258" s="74" t="s">
        <v>30</v>
      </c>
      <c r="E1258" s="37"/>
      <c r="F1258" s="37"/>
      <c r="G1258" s="37"/>
      <c r="H1258" s="37"/>
      <c r="I1258" s="37"/>
      <c r="J1258" s="37"/>
      <c r="K1258" s="37"/>
      <c r="L1258" s="37"/>
      <c r="M1258" s="37"/>
      <c r="N1258" s="37"/>
      <c r="O1258" s="37"/>
      <c r="P1258" s="99"/>
      <c r="Q1258" s="100"/>
      <c r="R1258" s="4"/>
    </row>
    <row r="1259" spans="1:18">
      <c r="A1259" s="1">
        <f t="shared" si="43"/>
        <v>0</v>
      </c>
      <c r="B1259" s="2"/>
      <c r="C1259" s="8"/>
      <c r="D1259" s="101" t="s">
        <v>31</v>
      </c>
      <c r="E1259" s="133"/>
      <c r="F1259" s="133"/>
      <c r="G1259" s="133"/>
      <c r="H1259" s="133"/>
      <c r="I1259" s="133"/>
      <c r="J1259" s="133"/>
      <c r="K1259" s="106" t="s">
        <v>32</v>
      </c>
      <c r="L1259" s="141" t="s">
        <v>33</v>
      </c>
      <c r="M1259" s="106" t="s">
        <v>34</v>
      </c>
      <c r="N1259" s="104" t="s">
        <v>20</v>
      </c>
      <c r="O1259" s="105"/>
      <c r="P1259" s="107" t="s">
        <v>22</v>
      </c>
      <c r="Q1259" s="108"/>
      <c r="R1259" s="4"/>
    </row>
    <row r="1260" spans="1:18">
      <c r="A1260" s="1">
        <f t="shared" si="43"/>
        <v>0</v>
      </c>
      <c r="B1260" s="2"/>
      <c r="C1260" s="8"/>
      <c r="D1260" s="142" t="str">
        <f>IFERROR(INDEX([239]TRANSPORTES!B:B,MATCH(B1260,[239]TRANSPORTES!A:A,0)),"")</f>
        <v/>
      </c>
      <c r="E1260" s="143"/>
      <c r="F1260" s="143"/>
      <c r="G1260" s="143"/>
      <c r="H1260" s="143"/>
      <c r="I1260" s="143"/>
      <c r="J1260" s="143"/>
      <c r="K1260" s="220"/>
      <c r="L1260" s="145"/>
      <c r="M1260" s="146" t="str">
        <f>IFERROR(INDEX([239]TRANSPORTES!C:C,MATCH(B1260,[239]TRANSPORTES!A:A,0)),"")</f>
        <v/>
      </c>
      <c r="N1260" s="139" t="str">
        <f>IFERROR(INDEX([239]TRANSPORTES!D:D,MATCH(B1260,[239]TRANSPORTES!A:A,0)),"")</f>
        <v/>
      </c>
      <c r="O1260" s="147"/>
      <c r="P1260" s="148" t="str">
        <f>IFERROR(ROUND(K1260*N1260*L1260,2),"")</f>
        <v/>
      </c>
      <c r="Q1260" s="119"/>
      <c r="R1260" s="4"/>
    </row>
    <row r="1261" spans="1:18">
      <c r="A1261" s="1">
        <f t="shared" si="43"/>
        <v>0</v>
      </c>
      <c r="B1261" s="2"/>
      <c r="C1261" s="8"/>
      <c r="D1261" s="142" t="str">
        <f>IFERROR(INDEX([239]TRANSPORTES!B:B,MATCH(B1261,[239]TRANSPORTES!A:A,0)),"")</f>
        <v/>
      </c>
      <c r="E1261" s="143"/>
      <c r="F1261" s="143"/>
      <c r="G1261" s="143"/>
      <c r="H1261" s="143"/>
      <c r="I1261" s="143"/>
      <c r="J1261" s="143"/>
      <c r="K1261" s="144"/>
      <c r="L1261" s="145"/>
      <c r="M1261" s="146" t="str">
        <f>IFERROR(INDEX([239]TRANSPORTES!C:C,MATCH(B1261,[239]TRANSPORTES!A:A,0)),"")</f>
        <v/>
      </c>
      <c r="N1261" s="139" t="str">
        <f>IFERROR(INDEX([239]TRANSPORTES!D:D,MATCH(B1261,[239]TRANSPORTES!A:A,0)),"")</f>
        <v/>
      </c>
      <c r="O1261" s="147"/>
      <c r="P1261" s="148" t="str">
        <f>IFERROR(ROUND(K1261*N1261*L1261,2),"")</f>
        <v/>
      </c>
      <c r="Q1261" s="119"/>
      <c r="R1261" s="4"/>
    </row>
    <row r="1262" spans="1:18">
      <c r="A1262" s="1">
        <f t="shared" si="43"/>
        <v>0</v>
      </c>
      <c r="B1262" s="2"/>
      <c r="C1262" s="8"/>
      <c r="D1262" s="142" t="str">
        <f>IFERROR(INDEX([239]TRANSPORTES!B:B,MATCH(B1262,[239]TRANSPORTES!A:A,0)),"")</f>
        <v/>
      </c>
      <c r="E1262" s="143"/>
      <c r="F1262" s="143"/>
      <c r="G1262" s="143"/>
      <c r="H1262" s="143"/>
      <c r="I1262" s="143"/>
      <c r="J1262" s="143"/>
      <c r="K1262" s="144"/>
      <c r="L1262" s="145"/>
      <c r="M1262" s="146" t="str">
        <f>IFERROR(INDEX([239]TRANSPORTES!C:C,MATCH(B1262,[239]TRANSPORTES!A:A,0)),"")</f>
        <v/>
      </c>
      <c r="N1262" s="139" t="str">
        <f>IFERROR(INDEX([239]TRANSPORTES!D:D,MATCH(B1262,[239]TRANSPORTES!A:A,0)),"")</f>
        <v/>
      </c>
      <c r="O1262" s="147"/>
      <c r="P1262" s="148" t="str">
        <f>IFERROR(ROUND(K1262*N1262*L1262,2),"")</f>
        <v/>
      </c>
      <c r="Q1262" s="119"/>
      <c r="R1262" s="4"/>
    </row>
    <row r="1263" spans="1:18" ht="15.75" thickBot="1">
      <c r="A1263" s="1">
        <f t="shared" si="43"/>
        <v>0</v>
      </c>
      <c r="B1263" s="2"/>
      <c r="C1263" s="8"/>
      <c r="D1263" s="142" t="str">
        <f>IFERROR(INDEX([239]TRANSPORTES!B:B,MATCH(B1263,[239]TRANSPORTES!A:A,0)),"")</f>
        <v/>
      </c>
      <c r="E1263" s="143"/>
      <c r="F1263" s="143"/>
      <c r="G1263" s="143"/>
      <c r="H1263" s="143"/>
      <c r="I1263" s="143"/>
      <c r="J1263" s="143"/>
      <c r="K1263" s="149"/>
      <c r="L1263" s="150"/>
      <c r="M1263" s="146" t="str">
        <f>IFERROR(INDEX([239]TRANSPORTES!C:C,MATCH(B1263,[239]TRANSPORTES!A:A,0)),"")</f>
        <v/>
      </c>
      <c r="N1263" s="139" t="str">
        <f>IFERROR(INDEX([239]TRANSPORTES!D:D,MATCH(B1263,[239]TRANSPORTES!A:A,0)),"")</f>
        <v/>
      </c>
      <c r="O1263" s="147"/>
      <c r="P1263" s="148" t="str">
        <f>IFERROR(ROUND(K1263*N1263*L1263,2),"")</f>
        <v/>
      </c>
      <c r="Q1263" s="119"/>
      <c r="R1263" s="4"/>
    </row>
    <row r="1264" spans="1:18" ht="15.75" thickBot="1">
      <c r="A1264" s="1">
        <f t="shared" si="43"/>
        <v>0</v>
      </c>
      <c r="B1264" s="2"/>
      <c r="C1264" s="8"/>
      <c r="D1264" s="128" t="s">
        <v>24</v>
      </c>
      <c r="E1264" s="129"/>
      <c r="F1264" s="129"/>
      <c r="G1264" s="129"/>
      <c r="H1264" s="129"/>
      <c r="I1264" s="129"/>
      <c r="J1264" s="129"/>
      <c r="K1264" s="129"/>
      <c r="L1264" s="129"/>
      <c r="M1264" s="129"/>
      <c r="N1264" s="129"/>
      <c r="O1264" s="130"/>
      <c r="P1264" s="151">
        <f>SUM(P1260:P1263)</f>
        <v>0</v>
      </c>
      <c r="Q1264" s="132"/>
      <c r="R1264" s="4"/>
    </row>
    <row r="1265" spans="1:18" ht="15.75" thickBot="1">
      <c r="A1265" s="1">
        <f t="shared" si="43"/>
        <v>0</v>
      </c>
      <c r="B1265" s="2"/>
      <c r="C1265" s="8"/>
      <c r="D1265" s="74" t="s">
        <v>36</v>
      </c>
      <c r="E1265" s="37"/>
      <c r="F1265" s="37"/>
      <c r="G1265" s="37"/>
      <c r="H1265" s="37"/>
      <c r="I1265" s="37"/>
      <c r="J1265" s="37"/>
      <c r="K1265" s="37"/>
      <c r="L1265" s="37"/>
      <c r="M1265" s="37"/>
      <c r="N1265" s="37"/>
      <c r="O1265" s="37"/>
      <c r="P1265" s="99"/>
      <c r="Q1265" s="100"/>
      <c r="R1265" s="4"/>
    </row>
    <row r="1266" spans="1:18" ht="30">
      <c r="A1266" s="1">
        <f t="shared" si="43"/>
        <v>0</v>
      </c>
      <c r="B1266" s="2"/>
      <c r="C1266" s="8"/>
      <c r="D1266" s="101" t="s">
        <v>37</v>
      </c>
      <c r="E1266" s="133"/>
      <c r="F1266" s="133"/>
      <c r="G1266" s="133"/>
      <c r="H1266" s="133"/>
      <c r="I1266" s="133"/>
      <c r="J1266" s="133"/>
      <c r="K1266" s="106" t="s">
        <v>38</v>
      </c>
      <c r="L1266" s="152" t="s">
        <v>39</v>
      </c>
      <c r="M1266" s="153" t="s">
        <v>40</v>
      </c>
      <c r="N1266" s="104" t="s">
        <v>21</v>
      </c>
      <c r="O1266" s="105"/>
      <c r="P1266" s="154" t="s">
        <v>22</v>
      </c>
      <c r="Q1266" s="155"/>
      <c r="R1266" s="4"/>
    </row>
    <row r="1267" spans="1:18">
      <c r="A1267" s="1">
        <f t="shared" si="43"/>
        <v>0</v>
      </c>
      <c r="B1267" s="2" t="s">
        <v>285</v>
      </c>
      <c r="C1267" s="8"/>
      <c r="D1267" s="109" t="str">
        <f>IFERROR(INDEX('[239]MANO DE OBRA'!B:B,MATCH(B1267,'[239]MANO DE OBRA'!A:A,0)),"")</f>
        <v>SOLDADOR</v>
      </c>
      <c r="E1267" s="110"/>
      <c r="F1267" s="110"/>
      <c r="G1267" s="110"/>
      <c r="H1267" s="110"/>
      <c r="I1267" s="110"/>
      <c r="J1267" s="111"/>
      <c r="K1267" s="156">
        <f>IFERROR(INDEX('[239]MANO DE OBRA'!D:D,MATCH(B1267,'[239]MANO DE OBRA'!A:A,0)),"")</f>
        <v>133570</v>
      </c>
      <c r="L1267" s="157">
        <f>+IF(D1267&lt;&gt;"",'[239]FACTOR PRESTACIONAL'!$E$21," ")</f>
        <v>1.95</v>
      </c>
      <c r="M1267" s="158">
        <f>IFERROR(K1267*L1267," ")</f>
        <v>260461.5</v>
      </c>
      <c r="N1267" s="159">
        <v>35</v>
      </c>
      <c r="O1267" s="160"/>
      <c r="P1267" s="161">
        <f>IFERROR(ROUND(M1267/N1267,2)," ")</f>
        <v>7441.76</v>
      </c>
      <c r="Q1267" s="162"/>
      <c r="R1267" s="4"/>
    </row>
    <row r="1268" spans="1:18">
      <c r="A1268" s="1">
        <f t="shared" si="43"/>
        <v>0</v>
      </c>
      <c r="B1268" s="2" t="s">
        <v>42</v>
      </c>
      <c r="C1268" s="8"/>
      <c r="D1268" s="109" t="str">
        <f>IFERROR(INDEX('[239]MANO DE OBRA'!B:B,MATCH(B1268,'[239]MANO DE OBRA'!A:A,0)),"")</f>
        <v>AYUDANTE (2)</v>
      </c>
      <c r="E1268" s="110"/>
      <c r="F1268" s="110"/>
      <c r="G1268" s="110"/>
      <c r="H1268" s="110"/>
      <c r="I1268" s="110"/>
      <c r="J1268" s="111"/>
      <c r="K1268" s="156">
        <f>IFERROR(INDEX('[239]MANO DE OBRA'!D:D,MATCH(B1268,'[239]MANO DE OBRA'!A:A,0)),"")</f>
        <v>142866</v>
      </c>
      <c r="L1268" s="157">
        <f>+IF(D1268&lt;&gt;"",'[239]FACTOR PRESTACIONAL'!$E$21," ")</f>
        <v>1.95</v>
      </c>
      <c r="M1268" s="158">
        <f>IFERROR(K1268*L1268," ")</f>
        <v>278588.7</v>
      </c>
      <c r="N1268" s="159">
        <f>+N1267</f>
        <v>35</v>
      </c>
      <c r="O1268" s="160"/>
      <c r="P1268" s="161">
        <f>IFERROR(ROUND(M1268/N1268,2)," ")</f>
        <v>7959.68</v>
      </c>
      <c r="Q1268" s="162"/>
      <c r="R1268" s="4"/>
    </row>
    <row r="1269" spans="1:18">
      <c r="A1269" s="1">
        <f t="shared" si="43"/>
        <v>0</v>
      </c>
      <c r="B1269" s="2"/>
      <c r="C1269" s="8"/>
      <c r="D1269" s="109" t="str">
        <f>IFERROR(INDEX('[239]MANO DE OBRA'!B:B,MATCH(B1269,'[239]MANO DE OBRA'!A:A,0)),"")</f>
        <v/>
      </c>
      <c r="E1269" s="110"/>
      <c r="F1269" s="110"/>
      <c r="G1269" s="110"/>
      <c r="H1269" s="110"/>
      <c r="I1269" s="110"/>
      <c r="J1269" s="111"/>
      <c r="K1269" s="156" t="str">
        <f>IFERROR(INDEX('[239]MANO DE OBRA'!D:D,MATCH(B1269,'[239]MANO DE OBRA'!A:A,0)),"")</f>
        <v/>
      </c>
      <c r="L1269" s="157" t="str">
        <f>+IF(D1269&lt;&gt;"",'[239]FACTOR PRESTACIONAL'!$E$21," ")</f>
        <v xml:space="preserve"> </v>
      </c>
      <c r="M1269" s="158" t="str">
        <f>IFERROR(K1269*L1269," ")</f>
        <v xml:space="preserve"> </v>
      </c>
      <c r="N1269" s="159"/>
      <c r="O1269" s="160"/>
      <c r="P1269" s="161" t="str">
        <f>IFERROR(ROUND(M1269/N1269,2)," ")</f>
        <v xml:space="preserve"> </v>
      </c>
      <c r="Q1269" s="162"/>
      <c r="R1269" s="4"/>
    </row>
    <row r="1270" spans="1:18">
      <c r="A1270" s="1">
        <f t="shared" si="43"/>
        <v>0</v>
      </c>
      <c r="B1270" s="2"/>
      <c r="C1270" s="8"/>
      <c r="D1270" s="109" t="str">
        <f>IFERROR(INDEX('[239]MANO DE OBRA'!B:B,MATCH(B1270,'[239]MANO DE OBRA'!A:A,0)),"")</f>
        <v/>
      </c>
      <c r="E1270" s="110"/>
      <c r="F1270" s="110"/>
      <c r="G1270" s="110"/>
      <c r="H1270" s="110"/>
      <c r="I1270" s="110"/>
      <c r="J1270" s="111"/>
      <c r="K1270" s="156" t="str">
        <f>IFERROR(INDEX('[239]MANO DE OBRA'!D:D,MATCH(B1270,'[239]MANO DE OBRA'!A:A,0)),"")</f>
        <v/>
      </c>
      <c r="L1270" s="157" t="str">
        <f>+IF(D1270&lt;&gt;"",'[239]FACTOR PRESTACIONAL'!$E$21," ")</f>
        <v xml:space="preserve"> </v>
      </c>
      <c r="M1270" s="158" t="str">
        <f>IFERROR(K1270*L1270," ")</f>
        <v xml:space="preserve"> </v>
      </c>
      <c r="N1270" s="159"/>
      <c r="O1270" s="160"/>
      <c r="P1270" s="161" t="str">
        <f>IFERROR(ROUND(M1270/N1270,2)," ")</f>
        <v xml:space="preserve"> </v>
      </c>
      <c r="Q1270" s="162"/>
      <c r="R1270" s="4"/>
    </row>
    <row r="1271" spans="1:18" ht="15.75" thickBot="1">
      <c r="A1271" s="1">
        <f t="shared" si="43"/>
        <v>0</v>
      </c>
      <c r="B1271" s="2"/>
      <c r="C1271" s="8"/>
      <c r="D1271" s="109" t="str">
        <f>IFERROR(INDEX('[239]MANO DE OBRA'!B:B,MATCH(B1271,'[239]MANO DE OBRA'!A:A,0)),"")</f>
        <v/>
      </c>
      <c r="E1271" s="110"/>
      <c r="F1271" s="110"/>
      <c r="G1271" s="110"/>
      <c r="H1271" s="110"/>
      <c r="I1271" s="110"/>
      <c r="J1271" s="111"/>
      <c r="K1271" s="156" t="str">
        <f>IFERROR(INDEX('[239]MANO DE OBRA'!D:D,MATCH(B1271,'[239]MANO DE OBRA'!A:A,0)),"")</f>
        <v/>
      </c>
      <c r="L1271" s="157" t="str">
        <f>+IF(D1271&lt;&gt;"",'[239]FACTOR PRESTACIONAL'!$E$21," ")</f>
        <v xml:space="preserve"> </v>
      </c>
      <c r="M1271" s="158" t="str">
        <f>IFERROR(K1271*L1271," ")</f>
        <v xml:space="preserve"> </v>
      </c>
      <c r="N1271" s="159"/>
      <c r="O1271" s="160"/>
      <c r="P1271" s="161" t="str">
        <f>IFERROR(ROUND(M1271/N1271,2)," ")</f>
        <v xml:space="preserve"> </v>
      </c>
      <c r="Q1271" s="119"/>
      <c r="R1271" s="4"/>
    </row>
    <row r="1272" spans="1:18" ht="15.75" thickBot="1">
      <c r="A1272" s="1">
        <f t="shared" si="43"/>
        <v>0</v>
      </c>
      <c r="B1272" s="2"/>
      <c r="C1272" s="8"/>
      <c r="D1272" s="128" t="s">
        <v>24</v>
      </c>
      <c r="E1272" s="129"/>
      <c r="F1272" s="129"/>
      <c r="G1272" s="129"/>
      <c r="H1272" s="129"/>
      <c r="I1272" s="129"/>
      <c r="J1272" s="129"/>
      <c r="K1272" s="129"/>
      <c r="L1272" s="129"/>
      <c r="M1272" s="129"/>
      <c r="N1272" s="129"/>
      <c r="O1272" s="130"/>
      <c r="P1272" s="131">
        <f>SUM(P1267:P1271)</f>
        <v>15401.44</v>
      </c>
      <c r="Q1272" s="119"/>
      <c r="R1272" s="4"/>
    </row>
    <row r="1273" spans="1:18" ht="15.75" thickBot="1">
      <c r="A1273" s="1">
        <f t="shared" si="43"/>
        <v>0</v>
      </c>
      <c r="B1273" s="2"/>
      <c r="C1273" s="8"/>
      <c r="D1273" s="87"/>
      <c r="E1273" s="20"/>
      <c r="F1273" s="20"/>
      <c r="G1273" s="20"/>
      <c r="H1273" s="20"/>
      <c r="I1273" s="20"/>
      <c r="J1273" s="20"/>
      <c r="K1273" s="20"/>
      <c r="L1273" s="20"/>
      <c r="M1273" s="20"/>
      <c r="N1273" s="20"/>
      <c r="O1273" s="20"/>
      <c r="P1273" s="88"/>
      <c r="Q1273" s="13"/>
      <c r="R1273" s="4"/>
    </row>
    <row r="1274" spans="1:18" ht="15.75" thickBot="1">
      <c r="A1274" s="1"/>
      <c r="B1274" s="2"/>
      <c r="C1274" s="8"/>
      <c r="D1274" s="163" t="s">
        <v>43</v>
      </c>
      <c r="E1274" s="164"/>
      <c r="F1274" s="164"/>
      <c r="G1274" s="164"/>
      <c r="H1274" s="164"/>
      <c r="I1274" s="164"/>
      <c r="J1274" s="164"/>
      <c r="K1274" s="164"/>
      <c r="L1274" s="164"/>
      <c r="M1274" s="164"/>
      <c r="N1274" s="164"/>
      <c r="O1274" s="165"/>
      <c r="P1274" s="166">
        <f>+P1272+P1264+P1257+P1239</f>
        <v>59748.36</v>
      </c>
      <c r="Q1274" s="167"/>
      <c r="R1274" s="168"/>
    </row>
    <row r="1275" spans="1:18" ht="15.75" thickBot="1">
      <c r="A1275" s="1"/>
      <c r="B1275" s="2"/>
      <c r="C1275" s="8"/>
      <c r="D1275" s="169"/>
      <c r="E1275" s="170"/>
      <c r="F1275" s="170"/>
      <c r="G1275" s="170"/>
      <c r="H1275" s="170"/>
      <c r="I1275" s="170"/>
      <c r="J1275" s="170"/>
      <c r="K1275" s="170"/>
      <c r="L1275" s="170"/>
      <c r="M1275" s="170"/>
      <c r="N1275" s="170"/>
      <c r="O1275" s="170"/>
      <c r="P1275" s="171"/>
      <c r="Q1275" s="100"/>
      <c r="R1275" s="4"/>
    </row>
    <row r="1276" spans="1:18">
      <c r="A1276" s="1"/>
      <c r="B1276" s="2"/>
      <c r="C1276" s="8"/>
      <c r="D1276" s="172" t="s">
        <v>73</v>
      </c>
      <c r="E1276" s="173"/>
      <c r="F1276" s="173"/>
      <c r="G1276" s="173"/>
      <c r="H1276" s="173"/>
      <c r="I1276" s="173"/>
      <c r="J1276" s="173"/>
      <c r="K1276" s="141"/>
      <c r="L1276" s="174"/>
      <c r="M1276" s="153" t="s">
        <v>44</v>
      </c>
      <c r="N1276" s="175" t="s">
        <v>45</v>
      </c>
      <c r="O1276" s="176"/>
      <c r="P1276" s="154"/>
      <c r="Q1276" s="155"/>
      <c r="R1276" s="4"/>
    </row>
    <row r="1277" spans="1:18">
      <c r="A1277" s="1"/>
      <c r="B1277" s="2"/>
      <c r="C1277" s="8"/>
      <c r="D1277" s="109" t="s">
        <v>65</v>
      </c>
      <c r="E1277" s="110"/>
      <c r="F1277" s="110"/>
      <c r="G1277" s="110"/>
      <c r="H1277" s="110"/>
      <c r="I1277" s="110"/>
      <c r="J1277" s="110"/>
      <c r="K1277" s="177"/>
      <c r="L1277" s="178"/>
      <c r="M1277" s="179">
        <f>+[239]INICIO!$F$10</f>
        <v>0.24</v>
      </c>
      <c r="N1277" s="180">
        <f>ROUND(M1277*P1274,2)</f>
        <v>14339.61</v>
      </c>
      <c r="O1277" s="181"/>
      <c r="P1277" s="182"/>
      <c r="Q1277" s="119"/>
      <c r="R1277" s="4"/>
    </row>
    <row r="1278" spans="1:18">
      <c r="A1278" s="1"/>
      <c r="B1278" s="2"/>
      <c r="C1278" s="8"/>
      <c r="D1278" s="183" t="s">
        <v>67</v>
      </c>
      <c r="E1278" s="61"/>
      <c r="F1278" s="61"/>
      <c r="G1278" s="61"/>
      <c r="H1278" s="61"/>
      <c r="I1278" s="61"/>
      <c r="J1278" s="61"/>
      <c r="K1278" s="177"/>
      <c r="L1278" s="178"/>
      <c r="M1278" s="179">
        <f>+[239]INICIO!$F$11</f>
        <v>0.02</v>
      </c>
      <c r="N1278" s="180">
        <f>ROUND(M1278*P1274,2)</f>
        <v>1194.97</v>
      </c>
      <c r="O1278" s="181"/>
      <c r="P1278" s="182"/>
      <c r="Q1278" s="119"/>
      <c r="R1278" s="4"/>
    </row>
    <row r="1279" spans="1:18" ht="15.75" thickBot="1">
      <c r="A1279" s="1"/>
      <c r="B1279" s="2"/>
      <c r="C1279" s="8"/>
      <c r="D1279" s="77" t="s">
        <v>69</v>
      </c>
      <c r="E1279" s="78"/>
      <c r="F1279" s="78"/>
      <c r="G1279" s="78"/>
      <c r="H1279" s="78"/>
      <c r="I1279" s="78"/>
      <c r="J1279" s="78"/>
      <c r="K1279" s="184"/>
      <c r="L1279" s="185"/>
      <c r="M1279" s="179">
        <f>+[239]INICIO!$F$12</f>
        <v>7.0000000000000007E-2</v>
      </c>
      <c r="N1279" s="180">
        <f>ROUND(M1279*P1274,2)</f>
        <v>4182.3900000000003</v>
      </c>
      <c r="O1279" s="181"/>
      <c r="P1279" s="182"/>
      <c r="Q1279" s="119"/>
      <c r="R1279" s="4"/>
    </row>
    <row r="1280" spans="1:18" ht="15.75" thickBot="1">
      <c r="A1280" s="1"/>
      <c r="B1280" s="2"/>
      <c r="C1280" s="8"/>
      <c r="D1280" s="128"/>
      <c r="E1280" s="129"/>
      <c r="F1280" s="129"/>
      <c r="G1280" s="129"/>
      <c r="H1280" s="129"/>
      <c r="I1280" s="129"/>
      <c r="J1280" s="129"/>
      <c r="K1280" s="129"/>
      <c r="L1280" s="129"/>
      <c r="M1280" s="129"/>
      <c r="N1280" s="129"/>
      <c r="O1280" s="130"/>
      <c r="P1280" s="131">
        <f>SUM(N1277:N1279)</f>
        <v>19716.97</v>
      </c>
      <c r="Q1280" s="186"/>
      <c r="R1280" s="4"/>
    </row>
    <row r="1281" spans="1:18" ht="15.75" thickBot="1">
      <c r="A1281" s="1"/>
      <c r="B1281" s="2"/>
      <c r="C1281" s="8"/>
      <c r="D1281" s="87"/>
      <c r="E1281" s="20"/>
      <c r="F1281" s="20"/>
      <c r="G1281" s="20"/>
      <c r="H1281" s="20"/>
      <c r="I1281" s="20"/>
      <c r="J1281" s="20"/>
      <c r="K1281" s="20"/>
      <c r="L1281" s="20"/>
      <c r="M1281" s="20"/>
      <c r="N1281" s="20"/>
      <c r="O1281" s="20"/>
      <c r="P1281" s="88"/>
      <c r="Q1281" s="13"/>
      <c r="R1281" s="4"/>
    </row>
    <row r="1282" spans="1:18" ht="15.75" thickBot="1">
      <c r="A1282" s="1"/>
      <c r="B1282" s="2"/>
      <c r="C1282" s="8"/>
      <c r="D1282" s="187" t="s">
        <v>46</v>
      </c>
      <c r="E1282" s="188"/>
      <c r="F1282" s="188"/>
      <c r="G1282" s="188"/>
      <c r="H1282" s="188"/>
      <c r="I1282" s="188"/>
      <c r="J1282" s="188"/>
      <c r="K1282" s="188"/>
      <c r="L1282" s="188"/>
      <c r="M1282" s="188"/>
      <c r="N1282" s="188"/>
      <c r="O1282" s="189"/>
      <c r="P1282" s="166">
        <f>ROUND(P1280+P1274,0)</f>
        <v>79465</v>
      </c>
      <c r="Q1282" s="186"/>
      <c r="R1282" s="4"/>
    </row>
    <row r="1283" spans="1:18">
      <c r="A1283" s="1"/>
      <c r="B1283" s="2"/>
      <c r="C1283" s="8"/>
      <c r="D1283" s="80"/>
      <c r="E1283" s="81"/>
      <c r="F1283" s="81"/>
      <c r="G1283" s="81"/>
      <c r="H1283" s="81"/>
      <c r="I1283" s="81"/>
      <c r="J1283" s="81"/>
      <c r="K1283" s="81"/>
      <c r="L1283" s="81"/>
      <c r="M1283" s="81"/>
      <c r="N1283" s="81"/>
      <c r="O1283" s="81"/>
      <c r="P1283" s="82"/>
      <c r="Q1283" s="13"/>
      <c r="R1283" s="4"/>
    </row>
    <row r="1284" spans="1:18">
      <c r="A1284" s="1"/>
      <c r="B1284" s="2"/>
      <c r="C1284" s="8"/>
      <c r="D1284" s="87"/>
      <c r="E1284" s="20"/>
      <c r="F1284" s="20"/>
      <c r="G1284" s="20"/>
      <c r="H1284" s="20"/>
      <c r="I1284" s="20"/>
      <c r="J1284" s="20"/>
      <c r="K1284" s="20"/>
      <c r="L1284" s="20"/>
      <c r="M1284" s="20"/>
      <c r="N1284" s="20"/>
      <c r="O1284" s="20"/>
      <c r="P1284" s="88"/>
      <c r="Q1284" s="13"/>
      <c r="R1284" s="4"/>
    </row>
    <row r="1285" spans="1:18">
      <c r="A1285" s="1"/>
      <c r="B1285" s="2"/>
      <c r="C1285" s="8"/>
      <c r="D1285" s="87"/>
      <c r="E1285" s="20"/>
      <c r="F1285" s="20"/>
      <c r="G1285" s="20"/>
      <c r="H1285" s="20"/>
      <c r="I1285" s="20"/>
      <c r="J1285" s="20"/>
      <c r="K1285" s="20"/>
      <c r="L1285" s="20"/>
      <c r="M1285" s="20"/>
      <c r="N1285" s="20"/>
      <c r="O1285" s="20"/>
      <c r="P1285" s="88"/>
      <c r="Q1285" s="13"/>
      <c r="R1285" s="4"/>
    </row>
    <row r="1286" spans="1:18">
      <c r="A1286" s="1"/>
      <c r="B1286" s="2"/>
      <c r="C1286" s="8"/>
      <c r="D1286" s="87"/>
      <c r="E1286" s="20"/>
      <c r="F1286" s="20"/>
      <c r="G1286" s="20"/>
      <c r="H1286" s="20"/>
      <c r="I1286" s="20"/>
      <c r="J1286" s="20"/>
      <c r="K1286" s="20"/>
      <c r="L1286" s="20"/>
      <c r="M1286" s="20"/>
      <c r="N1286" s="20"/>
      <c r="O1286" s="20"/>
      <c r="P1286" s="88"/>
      <c r="Q1286" s="13"/>
      <c r="R1286" s="4"/>
    </row>
    <row r="1287" spans="1:18">
      <c r="A1287" s="1"/>
      <c r="B1287" s="2"/>
      <c r="C1287" s="8"/>
      <c r="D1287" s="219" t="str">
        <f>+[239]INICIO!$B$13</f>
        <v>Proyectó:</v>
      </c>
      <c r="E1287" s="49"/>
      <c r="F1287" s="49"/>
      <c r="G1287" s="49"/>
      <c r="H1287" s="49"/>
      <c r="I1287" s="49"/>
      <c r="J1287" s="49"/>
      <c r="K1287" s="20"/>
      <c r="L1287" s="69" t="str">
        <f>+[239]INICIO!$B$16</f>
        <v>Aprobó:</v>
      </c>
      <c r="M1287" s="49"/>
      <c r="N1287" s="49"/>
      <c r="O1287" s="49"/>
      <c r="P1287" s="88"/>
      <c r="Q1287" s="13"/>
      <c r="R1287" s="4"/>
    </row>
    <row r="1288" spans="1:18">
      <c r="A1288" s="1"/>
      <c r="B1288" s="2"/>
      <c r="C1288" s="8"/>
      <c r="D1288" s="87"/>
      <c r="E1288" s="20" t="str">
        <f>+Hoja2!C$13</f>
        <v>HELMER EDUARDO BECERRA SANTANDER</v>
      </c>
      <c r="F1288" s="20"/>
      <c r="G1288" s="20"/>
      <c r="H1288" s="20"/>
      <c r="I1288" s="20"/>
      <c r="J1288" s="20"/>
      <c r="K1288" s="20"/>
      <c r="L1288" s="20"/>
      <c r="M1288" s="20" t="str">
        <f>+Hoja2!$C$16</f>
        <v>JESÚS IVÁN QUIÑONES RUEDA</v>
      </c>
      <c r="N1288" s="20"/>
      <c r="O1288" s="20"/>
      <c r="P1288" s="88"/>
      <c r="Q1288" s="190"/>
      <c r="R1288" s="4"/>
    </row>
    <row r="1289" spans="1:18">
      <c r="A1289" s="1"/>
      <c r="B1289" s="2"/>
      <c r="C1289" s="8"/>
      <c r="D1289" s="87"/>
      <c r="E1289" s="20" t="str">
        <f>+Hoja2!C$14</f>
        <v>APOYO SEC. DE PLANEACIÓN Y OBRAS PÚBLICAS</v>
      </c>
      <c r="F1289" s="20"/>
      <c r="G1289" s="20"/>
      <c r="H1289" s="20"/>
      <c r="I1289" s="20"/>
      <c r="J1289" s="20"/>
      <c r="K1289" s="20"/>
      <c r="L1289" s="20"/>
      <c r="M1289" s="20" t="str">
        <f>+Hoja2!$C$17</f>
        <v>SECRETARIO DE PLANEACIÓN Y OBRAS PUBLICAS</v>
      </c>
      <c r="N1289" s="20"/>
      <c r="O1289" s="20"/>
      <c r="P1289" s="88"/>
      <c r="Q1289" s="190"/>
      <c r="R1289" s="4"/>
    </row>
    <row r="1290" spans="1:18">
      <c r="A1290" s="1"/>
      <c r="B1290" s="2"/>
      <c r="C1290" s="8"/>
      <c r="D1290" s="68"/>
      <c r="E1290" s="20" t="str">
        <f>+Hoja2!C$15</f>
        <v>123769-0701671 NTS</v>
      </c>
      <c r="F1290" s="191"/>
      <c r="G1290" s="191"/>
      <c r="H1290" s="191"/>
      <c r="I1290" s="20"/>
      <c r="J1290" s="191"/>
      <c r="K1290" s="191"/>
      <c r="L1290" s="191"/>
      <c r="M1290" s="192" t="str">
        <f>+Hoja2!C$18</f>
        <v>A21382020-1090480860</v>
      </c>
      <c r="N1290" s="191"/>
      <c r="O1290" s="191"/>
      <c r="P1290" s="193"/>
      <c r="Q1290" s="194"/>
      <c r="R1290" s="4"/>
    </row>
    <row r="1291" spans="1:18" ht="16.5" thickBot="1">
      <c r="A1291" s="1"/>
      <c r="B1291" s="2"/>
      <c r="C1291" s="8"/>
      <c r="D1291" s="195"/>
      <c r="E1291" s="150"/>
      <c r="F1291" s="150"/>
      <c r="G1291" s="150"/>
      <c r="H1291" s="150"/>
      <c r="I1291" s="150"/>
      <c r="J1291" s="150"/>
      <c r="K1291" s="150"/>
      <c r="L1291" s="150"/>
      <c r="M1291" s="150"/>
      <c r="N1291" s="150"/>
      <c r="O1291" s="150"/>
      <c r="P1291" s="196"/>
      <c r="Q1291" s="197"/>
      <c r="R1291" s="4"/>
    </row>
    <row r="1292" spans="1:18" ht="15.75" thickBot="1">
      <c r="A1292" s="1"/>
      <c r="B1292" s="2"/>
      <c r="C1292" s="198"/>
      <c r="D1292" s="199"/>
      <c r="E1292" s="199"/>
      <c r="F1292" s="199"/>
      <c r="G1292" s="199"/>
      <c r="H1292" s="199"/>
      <c r="I1292" s="199"/>
      <c r="J1292" s="199"/>
      <c r="K1292" s="199"/>
      <c r="L1292" s="199"/>
      <c r="M1292" s="199"/>
      <c r="N1292" s="199"/>
      <c r="O1292" s="199"/>
      <c r="P1292" s="199"/>
      <c r="Q1292" s="200"/>
      <c r="R1292" s="4"/>
    </row>
    <row r="1293" spans="1:18" ht="16.5" thickTop="1" thickBot="1"/>
    <row r="1294" spans="1:18" ht="15.75" thickTop="1">
      <c r="A1294" s="1"/>
      <c r="B1294" s="2"/>
      <c r="C1294" s="5"/>
      <c r="D1294" s="6"/>
      <c r="E1294" s="6"/>
      <c r="F1294" s="6"/>
      <c r="G1294" s="6"/>
      <c r="H1294" s="6"/>
      <c r="I1294" s="6"/>
      <c r="J1294" s="6"/>
      <c r="K1294" s="6"/>
      <c r="L1294" s="6"/>
      <c r="M1294" s="6"/>
      <c r="N1294" s="6"/>
      <c r="O1294" s="6"/>
      <c r="P1294" s="6"/>
      <c r="Q1294" s="7"/>
      <c r="R1294" s="4"/>
    </row>
    <row r="1295" spans="1:18" ht="24">
      <c r="A1295" s="1"/>
      <c r="B1295" s="2"/>
      <c r="C1295" s="8"/>
      <c r="D1295" s="9" t="str">
        <f>+[239]INICIO!$C$8</f>
        <v>Análisis de Precios Unitarios- Secretaria de Planeación y Obras Publicas de Cubará, Boyacá.</v>
      </c>
      <c r="E1295" s="10"/>
      <c r="F1295" s="10"/>
      <c r="G1295" s="10"/>
      <c r="H1295" s="11"/>
      <c r="I1295" s="12"/>
      <c r="J1295" s="12"/>
      <c r="K1295" s="12"/>
      <c r="L1295" s="12"/>
      <c r="M1295" s="12"/>
      <c r="N1295" s="12"/>
      <c r="O1295" s="12"/>
      <c r="P1295" s="12"/>
      <c r="Q1295" s="13"/>
      <c r="R1295" s="4"/>
    </row>
    <row r="1296" spans="1:18">
      <c r="A1296" s="1"/>
      <c r="B1296" s="2"/>
      <c r="C1296" s="8"/>
      <c r="D1296" s="14" t="s">
        <v>0</v>
      </c>
      <c r="E1296" s="15" t="str">
        <f>+[239]INICIO!$C$7</f>
        <v>CCE-EICP-FM-14</v>
      </c>
      <c r="F1296" s="16"/>
      <c r="G1296" s="17" t="str">
        <f>+[239]INICIO!$B$6</f>
        <v>VERSIÓN</v>
      </c>
      <c r="H1296" s="14">
        <f>+[239]INICIO!$C$6</f>
        <v>1</v>
      </c>
      <c r="I1296" s="12"/>
      <c r="J1296" s="12"/>
      <c r="K1296" s="12"/>
      <c r="L1296" s="12"/>
      <c r="M1296" s="12"/>
      <c r="N1296" s="12"/>
      <c r="O1296" s="12"/>
      <c r="P1296" s="12"/>
      <c r="Q1296" s="13"/>
      <c r="R1296" s="4"/>
    </row>
    <row r="1297" spans="1:18">
      <c r="A1297" s="1"/>
      <c r="B1297" s="2"/>
      <c r="C1297" s="8"/>
      <c r="D1297" s="18"/>
      <c r="E1297" s="19"/>
      <c r="F1297" s="18"/>
      <c r="G1297" s="19"/>
      <c r="H1297" s="12"/>
      <c r="I1297" s="12"/>
      <c r="J1297" s="12"/>
      <c r="K1297" s="12"/>
      <c r="L1297" s="12"/>
      <c r="M1297" s="12"/>
      <c r="N1297" s="12"/>
      <c r="O1297" s="12"/>
      <c r="P1297" s="12"/>
      <c r="Q1297" s="13"/>
      <c r="R1297" s="4"/>
    </row>
    <row r="1298" spans="1:18" ht="15.75" thickBot="1">
      <c r="A1298" s="1"/>
      <c r="B1298" s="2"/>
      <c r="C1298" s="8"/>
      <c r="D1298" s="20"/>
      <c r="E1298" s="20"/>
      <c r="F1298" s="20"/>
      <c r="G1298" s="20"/>
      <c r="H1298" s="20"/>
      <c r="I1298" s="20"/>
      <c r="J1298" s="20"/>
      <c r="K1298" s="20"/>
      <c r="L1298" s="20"/>
      <c r="M1298" s="20"/>
      <c r="N1298" s="20"/>
      <c r="O1298" s="20"/>
      <c r="P1298" s="20"/>
      <c r="Q1298" s="13"/>
      <c r="R1298" s="4"/>
    </row>
    <row r="1299" spans="1:18">
      <c r="A1299" s="1"/>
      <c r="B1299" s="2"/>
      <c r="C1299" s="8"/>
      <c r="D1299" s="21"/>
      <c r="E1299" s="22"/>
      <c r="F1299" s="23"/>
      <c r="G1299" s="23"/>
      <c r="H1299" s="23"/>
      <c r="I1299" s="23"/>
      <c r="J1299" s="23"/>
      <c r="K1299" s="23"/>
      <c r="L1299" s="24"/>
      <c r="M1299" s="25"/>
      <c r="N1299" s="26"/>
      <c r="O1299" s="26"/>
      <c r="P1299" s="27"/>
      <c r="Q1299" s="28"/>
      <c r="R1299" s="4"/>
    </row>
    <row r="1300" spans="1:18">
      <c r="A1300" s="1"/>
      <c r="B1300" s="2"/>
      <c r="C1300" s="8"/>
      <c r="D1300" s="29"/>
      <c r="E1300" s="30" t="s">
        <v>1</v>
      </c>
      <c r="F1300" s="31"/>
      <c r="G1300" s="31"/>
      <c r="H1300" s="31"/>
      <c r="I1300" s="31"/>
      <c r="J1300" s="31"/>
      <c r="K1300" s="31"/>
      <c r="L1300" s="32"/>
      <c r="M1300" s="33"/>
      <c r="N1300" s="34"/>
      <c r="O1300" s="34"/>
      <c r="P1300" s="35"/>
      <c r="Q1300" s="28"/>
      <c r="R1300" s="4"/>
    </row>
    <row r="1301" spans="1:18">
      <c r="A1301" s="1"/>
      <c r="B1301" s="2"/>
      <c r="C1301" s="8"/>
      <c r="D1301" s="29"/>
      <c r="E1301" s="36"/>
      <c r="F1301" s="37"/>
      <c r="G1301" s="37"/>
      <c r="H1301" s="37"/>
      <c r="I1301" s="37"/>
      <c r="J1301" s="37"/>
      <c r="K1301" s="37"/>
      <c r="L1301" s="38"/>
      <c r="M1301" s="39"/>
      <c r="N1301" s="40"/>
      <c r="O1301" s="41"/>
      <c r="P1301" s="42"/>
      <c r="Q1301" s="28"/>
      <c r="R1301" s="4"/>
    </row>
    <row r="1302" spans="1:18">
      <c r="A1302" s="1"/>
      <c r="B1302" s="2"/>
      <c r="C1302" s="8"/>
      <c r="D1302" s="29"/>
      <c r="E1302" s="36"/>
      <c r="F1302" s="37"/>
      <c r="G1302" s="37"/>
      <c r="H1302" s="37"/>
      <c r="I1302" s="37"/>
      <c r="J1302" s="37"/>
      <c r="K1302" s="37"/>
      <c r="L1302" s="38"/>
      <c r="M1302" s="43" t="s">
        <v>2</v>
      </c>
      <c r="N1302" s="44"/>
      <c r="O1302" s="45">
        <f>+[239]INICIO!$C$6</f>
        <v>1</v>
      </c>
      <c r="P1302" s="46"/>
      <c r="Q1302" s="28"/>
      <c r="R1302" s="4"/>
    </row>
    <row r="1303" spans="1:18">
      <c r="A1303" s="1"/>
      <c r="B1303" s="2"/>
      <c r="C1303" s="8"/>
      <c r="D1303" s="29"/>
      <c r="E1303" s="36"/>
      <c r="F1303" s="37"/>
      <c r="G1303" s="37"/>
      <c r="H1303" s="37"/>
      <c r="I1303" s="37"/>
      <c r="J1303" s="37"/>
      <c r="K1303" s="37"/>
      <c r="L1303" s="38"/>
      <c r="M1303" s="47"/>
      <c r="N1303" s="48"/>
      <c r="O1303" s="49"/>
      <c r="P1303" s="50"/>
      <c r="Q1303" s="51"/>
      <c r="R1303" s="4"/>
    </row>
    <row r="1304" spans="1:18">
      <c r="A1304" s="1"/>
      <c r="B1304" s="2"/>
      <c r="C1304" s="8"/>
      <c r="D1304" s="29"/>
      <c r="E1304" s="52"/>
      <c r="F1304" s="53"/>
      <c r="G1304" s="53"/>
      <c r="H1304" s="53"/>
      <c r="I1304" s="53"/>
      <c r="J1304" s="53"/>
      <c r="K1304" s="53"/>
      <c r="L1304" s="54"/>
      <c r="M1304" s="39"/>
      <c r="N1304" s="55"/>
      <c r="O1304" s="55"/>
      <c r="P1304" s="56"/>
      <c r="Q1304" s="28"/>
      <c r="R1304" s="4"/>
    </row>
    <row r="1305" spans="1:18">
      <c r="A1305" s="1"/>
      <c r="B1305" s="2"/>
      <c r="C1305" s="8"/>
      <c r="D1305" s="29"/>
      <c r="E1305" s="52"/>
      <c r="F1305" s="53"/>
      <c r="G1305" s="53"/>
      <c r="H1305" s="53"/>
      <c r="I1305" s="53"/>
      <c r="J1305" s="53"/>
      <c r="K1305" s="53"/>
      <c r="L1305" s="54"/>
      <c r="M1305" s="43" t="s">
        <v>3</v>
      </c>
      <c r="N1305" s="43" t="str">
        <f>+VLOOKUP(D1316,'PRESUPUESTO OFICIAL '!C:Q,9,FALSE)</f>
        <v>52</v>
      </c>
      <c r="O1305" s="43" t="s">
        <v>4</v>
      </c>
      <c r="P1305" s="508" t="str">
        <f>+'PRESUPUESTO OFICIAL '!$M$122</f>
        <v>62</v>
      </c>
      <c r="Q1305" s="28"/>
      <c r="R1305" s="4"/>
    </row>
    <row r="1306" spans="1:18">
      <c r="A1306" s="1"/>
      <c r="B1306" s="2"/>
      <c r="C1306" s="8"/>
      <c r="D1306" s="29"/>
      <c r="E1306" s="30" t="s">
        <v>5</v>
      </c>
      <c r="F1306" s="31"/>
      <c r="G1306" s="31"/>
      <c r="H1306" s="31"/>
      <c r="I1306" s="31"/>
      <c r="J1306" s="31"/>
      <c r="K1306" s="31"/>
      <c r="L1306" s="32"/>
      <c r="M1306" s="43"/>
      <c r="N1306" s="57"/>
      <c r="O1306" s="57"/>
      <c r="P1306" s="58"/>
      <c r="Q1306" s="28"/>
      <c r="R1306" s="4"/>
    </row>
    <row r="1307" spans="1:18" ht="15.75" thickBot="1">
      <c r="A1307" s="1"/>
      <c r="B1307" s="2"/>
      <c r="C1307" s="8"/>
      <c r="D1307" s="59"/>
      <c r="E1307" s="60"/>
      <c r="F1307" s="60"/>
      <c r="G1307" s="60"/>
      <c r="H1307" s="60"/>
      <c r="I1307" s="60"/>
      <c r="J1307" s="60"/>
      <c r="K1307" s="60"/>
      <c r="L1307" s="60"/>
      <c r="M1307" s="60"/>
      <c r="N1307" s="61"/>
      <c r="O1307" s="61"/>
      <c r="P1307" s="62"/>
      <c r="Q1307" s="63"/>
      <c r="R1307" s="4"/>
    </row>
    <row r="1308" spans="1:18">
      <c r="A1308" s="1"/>
      <c r="B1308" s="2"/>
      <c r="C1308" s="8"/>
      <c r="D1308" s="64"/>
      <c r="E1308" s="65"/>
      <c r="F1308" s="65"/>
      <c r="G1308" s="65"/>
      <c r="H1308" s="65"/>
      <c r="I1308" s="65"/>
      <c r="J1308" s="65"/>
      <c r="K1308" s="65"/>
      <c r="L1308" s="65"/>
      <c r="M1308" s="66" t="s">
        <v>6</v>
      </c>
      <c r="N1308" s="66" t="s">
        <v>7</v>
      </c>
      <c r="O1308" s="66" t="s">
        <v>8</v>
      </c>
      <c r="P1308" s="67" t="s">
        <v>9</v>
      </c>
      <c r="Q1308" s="51"/>
      <c r="R1308" s="4"/>
    </row>
    <row r="1309" spans="1:18">
      <c r="A1309" s="1"/>
      <c r="B1309" s="2"/>
      <c r="C1309" s="8"/>
      <c r="D1309" s="68"/>
      <c r="E1309" s="69"/>
      <c r="F1309" s="69"/>
      <c r="G1309" s="69"/>
      <c r="H1309" s="69"/>
      <c r="I1309" s="69"/>
      <c r="J1309" s="69"/>
      <c r="K1309" s="69"/>
      <c r="L1309" s="69"/>
      <c r="M1309" s="70"/>
      <c r="N1309" s="71">
        <f>+Hoja2!B$5</f>
        <v>5</v>
      </c>
      <c r="O1309" s="71">
        <f>+Hoja2!C$5</f>
        <v>8</v>
      </c>
      <c r="P1309" s="72">
        <f>+Hoja2!D$5</f>
        <v>2026</v>
      </c>
      <c r="Q1309" s="73"/>
      <c r="R1309" s="4"/>
    </row>
    <row r="1310" spans="1:18">
      <c r="A1310" s="1"/>
      <c r="B1310" s="2"/>
      <c r="C1310" s="8"/>
      <c r="D1310" s="74"/>
      <c r="E1310" s="37"/>
      <c r="F1310" s="37"/>
      <c r="G1310" s="37"/>
      <c r="H1310" s="69"/>
      <c r="I1310" s="69"/>
      <c r="J1310" s="69"/>
      <c r="K1310" s="20"/>
      <c r="L1310" s="69"/>
      <c r="M1310" s="75"/>
      <c r="N1310" s="20"/>
      <c r="O1310" s="20"/>
      <c r="P1310" s="76"/>
      <c r="Q1310" s="73"/>
      <c r="R1310" s="4"/>
    </row>
    <row r="1311" spans="1:18" ht="15.75" thickBot="1">
      <c r="A1311" s="1"/>
      <c r="B1311" s="2"/>
      <c r="C1311" s="8"/>
      <c r="D1311" s="77"/>
      <c r="E1311" s="78"/>
      <c r="F1311" s="78"/>
      <c r="G1311" s="78"/>
      <c r="H1311" s="78"/>
      <c r="I1311" s="78"/>
      <c r="J1311" s="78"/>
      <c r="K1311" s="78"/>
      <c r="L1311" s="78"/>
      <c r="M1311" s="78"/>
      <c r="N1311" s="78"/>
      <c r="O1311" s="78"/>
      <c r="P1311" s="79"/>
      <c r="Q1311" s="13"/>
      <c r="R1311" s="4"/>
    </row>
    <row r="1312" spans="1:18" ht="15.75" thickBot="1">
      <c r="A1312" s="1"/>
      <c r="B1312" s="2"/>
      <c r="C1312" s="8"/>
      <c r="D1312" s="80"/>
      <c r="E1312" s="81"/>
      <c r="F1312" s="81"/>
      <c r="G1312" s="81"/>
      <c r="H1312" s="81"/>
      <c r="I1312" s="81"/>
      <c r="J1312" s="20"/>
      <c r="K1312" s="20"/>
      <c r="L1312" s="81"/>
      <c r="M1312" s="81"/>
      <c r="N1312" s="81"/>
      <c r="O1312" s="81"/>
      <c r="P1312" s="82"/>
      <c r="Q1312" s="13"/>
      <c r="R1312" s="4"/>
    </row>
    <row r="1313" spans="1:18">
      <c r="A1313" s="1"/>
      <c r="B1313" s="2"/>
      <c r="C1313" s="8"/>
      <c r="D1313" s="83" t="s">
        <v>10</v>
      </c>
      <c r="E1313" s="84"/>
      <c r="F1313" s="84"/>
      <c r="G1313" s="84"/>
      <c r="H1313" s="84"/>
      <c r="I1313" s="84"/>
      <c r="J1313" s="84"/>
      <c r="K1313" s="84"/>
      <c r="L1313" s="84"/>
      <c r="M1313" s="84"/>
      <c r="N1313" s="84"/>
      <c r="O1313" s="84"/>
      <c r="P1313" s="85"/>
      <c r="Q1313" s="86"/>
      <c r="R1313" s="4"/>
    </row>
    <row r="1314" spans="1:18" ht="15.75" thickBot="1">
      <c r="A1314" s="1"/>
      <c r="B1314" s="2"/>
      <c r="C1314" s="8"/>
      <c r="D1314" s="87"/>
      <c r="E1314" s="20"/>
      <c r="F1314" s="20"/>
      <c r="G1314" s="20"/>
      <c r="H1314" s="20"/>
      <c r="I1314" s="20"/>
      <c r="J1314" s="20"/>
      <c r="K1314" s="20"/>
      <c r="L1314" s="20"/>
      <c r="M1314" s="20"/>
      <c r="N1314" s="20"/>
      <c r="O1314" s="20"/>
      <c r="P1314" s="88"/>
      <c r="Q1314" s="13"/>
      <c r="R1314" s="4"/>
    </row>
    <row r="1315" spans="1:18">
      <c r="A1315" s="1" t="s">
        <v>11</v>
      </c>
      <c r="B1315" s="2" t="s">
        <v>12</v>
      </c>
      <c r="C1315" s="8"/>
      <c r="D1315" s="89" t="s">
        <v>13</v>
      </c>
      <c r="E1315" s="90" t="s">
        <v>14</v>
      </c>
      <c r="F1315" s="90"/>
      <c r="G1315" s="90"/>
      <c r="H1315" s="90"/>
      <c r="I1315" s="90"/>
      <c r="J1315" s="90"/>
      <c r="K1315" s="90"/>
      <c r="L1315" s="90"/>
      <c r="M1315" s="90"/>
      <c r="N1315" s="91" t="s">
        <v>15</v>
      </c>
      <c r="O1315" s="91"/>
      <c r="P1315" s="92" t="s">
        <v>16</v>
      </c>
      <c r="Q1315" s="93"/>
      <c r="R1315" s="4"/>
    </row>
    <row r="1316" spans="1:18" ht="15.75" thickBot="1">
      <c r="A1316" s="1"/>
      <c r="B1316" s="2"/>
      <c r="C1316" s="8"/>
      <c r="D1316" s="349">
        <f>+'PRESUPUESTO OFICIAL '!C82</f>
        <v>7.03</v>
      </c>
      <c r="E1316" s="94" t="str">
        <f>+VLOOKUP(D1316,'PRESUPUESTO OFICIAL '!C:H,2,FALSE)</f>
        <v>MANTENIMIENTO DE TUBO RECTANGULAR DE 3 X 1 1/2" CAL. 18</v>
      </c>
      <c r="F1316" s="94"/>
      <c r="G1316" s="94"/>
      <c r="H1316" s="94"/>
      <c r="I1316" s="94"/>
      <c r="J1316" s="94"/>
      <c r="K1316" s="94"/>
      <c r="L1316" s="94"/>
      <c r="M1316" s="94"/>
      <c r="N1316" s="94" t="str">
        <f>+VLOOKUP(D1316,'PRESUPUESTO OFICIAL '!C:H,3,FALSE)</f>
        <v>M</v>
      </c>
      <c r="O1316" s="95"/>
      <c r="P1316" s="96">
        <f>+VLOOKUP(D1316,'PRESUPUESTO OFICIAL '!C:H,4,FALSE)</f>
        <v>57.6</v>
      </c>
      <c r="Q1316" s="97"/>
      <c r="R1316" s="98">
        <f>+P1368</f>
        <v>36885</v>
      </c>
    </row>
    <row r="1317" spans="1:18" ht="15.75" thickBot="1">
      <c r="A1317" s="1"/>
      <c r="B1317" s="2"/>
      <c r="C1317" s="8"/>
      <c r="D1317" s="74" t="s">
        <v>17</v>
      </c>
      <c r="E1317" s="37"/>
      <c r="F1317" s="37"/>
      <c r="G1317" s="37"/>
      <c r="H1317" s="37"/>
      <c r="I1317" s="37"/>
      <c r="J1317" s="37"/>
      <c r="K1317" s="37"/>
      <c r="L1317" s="37"/>
      <c r="M1317" s="37"/>
      <c r="N1317" s="37"/>
      <c r="O1317" s="37"/>
      <c r="P1317" s="99"/>
      <c r="Q1317" s="100"/>
      <c r="R1317" s="4"/>
    </row>
    <row r="1318" spans="1:18">
      <c r="A1318" s="1"/>
      <c r="B1318" s="2"/>
      <c r="C1318" s="8"/>
      <c r="D1318" s="101" t="s">
        <v>14</v>
      </c>
      <c r="E1318" s="102"/>
      <c r="F1318" s="102"/>
      <c r="G1318" s="102"/>
      <c r="H1318" s="103"/>
      <c r="I1318" s="104" t="s">
        <v>18</v>
      </c>
      <c r="J1318" s="102"/>
      <c r="K1318" s="104" t="s">
        <v>19</v>
      </c>
      <c r="L1318" s="105"/>
      <c r="M1318" s="106" t="s">
        <v>20</v>
      </c>
      <c r="N1318" s="104" t="s">
        <v>21</v>
      </c>
      <c r="O1318" s="105"/>
      <c r="P1318" s="107" t="s">
        <v>22</v>
      </c>
      <c r="Q1318" s="108"/>
      <c r="R1318" s="4"/>
    </row>
    <row r="1319" spans="1:18">
      <c r="A1319" s="1" t="e">
        <f>[239]INDICE!#REF!</f>
        <v>#REF!</v>
      </c>
      <c r="B1319" s="2" t="s">
        <v>23</v>
      </c>
      <c r="C1319" s="8"/>
      <c r="D1319" s="109" t="str">
        <f>IFERROR(INDEX([239]EQUIPOS!B:B,MATCH(B1319,[239]EQUIPOS!A:A,0)),"")</f>
        <v>HERRAMIENTA MENOR (% M.O)</v>
      </c>
      <c r="E1319" s="110"/>
      <c r="F1319" s="110"/>
      <c r="G1319" s="110"/>
      <c r="H1319" s="111"/>
      <c r="I1319" s="112"/>
      <c r="J1319" s="111"/>
      <c r="K1319" s="113" t="str">
        <f>IFERROR(INDEX([239]EQUIPOS!C:C,MATCH(B1319,[239]EQUIPOS!A:A,0)),"")</f>
        <v>%</v>
      </c>
      <c r="L1319" s="114"/>
      <c r="M1319" s="115">
        <f>IFERROR(IF(D1319="HERRAMIENTA MENOR (% M.O)",P1358,INDEX([239]EQUIPOS!D:D,MATCH(B1319,[239]EQUIPOS!A:A,0))),"")</f>
        <v>13476.26</v>
      </c>
      <c r="N1319" s="116">
        <v>10</v>
      </c>
      <c r="O1319" s="117"/>
      <c r="P1319" s="118">
        <f t="shared" ref="P1319:P1324" si="45">IFERROR(ROUND(IF(D1319="HERRAMIENTA MENOR (% M.O)",N1319%*M1319,M1319/N1319),2)," ")</f>
        <v>1347.63</v>
      </c>
      <c r="Q1319" s="119"/>
      <c r="R1319" s="4"/>
    </row>
    <row r="1320" spans="1:18">
      <c r="A1320" s="1">
        <f>+$A$2593</f>
        <v>0</v>
      </c>
      <c r="B1320" s="2" t="s">
        <v>264</v>
      </c>
      <c r="C1320" s="8"/>
      <c r="D1320" s="109"/>
      <c r="E1320" s="110"/>
      <c r="F1320" s="110"/>
      <c r="G1320" s="110"/>
      <c r="H1320" s="111"/>
      <c r="I1320" s="112"/>
      <c r="J1320" s="111"/>
      <c r="K1320" s="113"/>
      <c r="L1320" s="114"/>
      <c r="M1320" s="115"/>
      <c r="N1320" s="116"/>
      <c r="O1320" s="117"/>
      <c r="P1320" s="118"/>
      <c r="Q1320" s="119"/>
      <c r="R1320" s="4"/>
    </row>
    <row r="1321" spans="1:18">
      <c r="A1321" s="1">
        <f t="shared" ref="A1321:A1359" si="46">+A1320</f>
        <v>0</v>
      </c>
      <c r="B1321" s="2" t="s">
        <v>278</v>
      </c>
      <c r="C1321" s="8"/>
      <c r="D1321" s="109" t="str">
        <f>IFERROR(INDEX([239]EQUIPOS!B:B,MATCH(B1321,[239]EQUIPOS!A:A,0)),"")</f>
        <v>EQUIPO DE SOLDADURA</v>
      </c>
      <c r="E1321" s="110"/>
      <c r="F1321" s="110"/>
      <c r="G1321" s="110"/>
      <c r="H1321" s="111"/>
      <c r="I1321" s="120"/>
      <c r="J1321" s="121"/>
      <c r="K1321" s="113" t="str">
        <f>IFERROR(INDEX([239]EQUIPOS!C:C,MATCH(B1321,[239]EQUIPOS!A:A,0)),"")</f>
        <v>DIA</v>
      </c>
      <c r="L1321" s="114"/>
      <c r="M1321" s="115">
        <f>IFERROR(IF(D1321="HERRAMIENTA MENOR (% M.O)",P1360,INDEX([239]EQUIPOS!D:D,MATCH(B1321,[239]EQUIPOS!A:A,0))),"")</f>
        <v>80000</v>
      </c>
      <c r="N1321" s="116">
        <v>96</v>
      </c>
      <c r="O1321" s="117"/>
      <c r="P1321" s="118">
        <f t="shared" si="45"/>
        <v>833.33</v>
      </c>
      <c r="Q1321" s="119"/>
      <c r="R1321" s="4"/>
    </row>
    <row r="1322" spans="1:18">
      <c r="A1322" s="1">
        <f t="shared" si="46"/>
        <v>0</v>
      </c>
      <c r="B1322" s="2" t="s">
        <v>339</v>
      </c>
      <c r="C1322" s="8"/>
      <c r="D1322" s="109" t="str">
        <f>IFERROR(INDEX([239]EQUIPOS!B:B,MATCH(B1322,[239]EQUIPOS!A:A,0)),"")</f>
        <v>COMPRESOR DE PINTURA</v>
      </c>
      <c r="E1322" s="110"/>
      <c r="F1322" s="110"/>
      <c r="G1322" s="110"/>
      <c r="H1322" s="111"/>
      <c r="I1322" s="120"/>
      <c r="J1322" s="121"/>
      <c r="K1322" s="113" t="str">
        <f>IFERROR(INDEX([239]EQUIPOS!C:C,MATCH(B1322,[239]EQUIPOS!A:A,0)),"")</f>
        <v>DIA</v>
      </c>
      <c r="L1322" s="114"/>
      <c r="M1322" s="115">
        <f>IFERROR(IF(D1322="HERRAMIENTA MENOR (% M.O)",P1361,INDEX([239]EQUIPOS!D:D,MATCH(B1322,[239]EQUIPOS!A:A,0))),"")</f>
        <v>90792</v>
      </c>
      <c r="N1322" s="116">
        <v>160</v>
      </c>
      <c r="O1322" s="117"/>
      <c r="P1322" s="118">
        <f t="shared" si="45"/>
        <v>567.45000000000005</v>
      </c>
      <c r="Q1322" s="119"/>
      <c r="R1322" s="4"/>
    </row>
    <row r="1323" spans="1:18">
      <c r="A1323" s="1">
        <f t="shared" si="46"/>
        <v>0</v>
      </c>
      <c r="B1323" s="2" t="s">
        <v>258</v>
      </c>
      <c r="C1323" s="8"/>
      <c r="D1323" s="109" t="str">
        <f>IFERROR(INDEX([239]EQUIPOS!B:B,MATCH(B1323,[239]EQUIPOS!A:A,0)),"")</f>
        <v>SECCIÓN DE ANDAMIO (02)</v>
      </c>
      <c r="E1323" s="110"/>
      <c r="F1323" s="110"/>
      <c r="G1323" s="110"/>
      <c r="H1323" s="111"/>
      <c r="I1323" s="112"/>
      <c r="J1323" s="111"/>
      <c r="K1323" s="113" t="str">
        <f>IFERROR(INDEX([239]EQUIPOS!C:C,MATCH(B1323,[239]EQUIPOS!A:A,0)),"")</f>
        <v>DIA</v>
      </c>
      <c r="L1323" s="114"/>
      <c r="M1323" s="115">
        <f>IFERROR(IF(D1323="HERRAMIENTA MENOR (% M.O)",P1362,INDEX([239]EQUIPOS!D:D,MATCH(B1323,[239]EQUIPOS!A:A,0))),"")</f>
        <v>6000</v>
      </c>
      <c r="N1323" s="116">
        <f>+N1353</f>
        <v>40</v>
      </c>
      <c r="O1323" s="117"/>
      <c r="P1323" s="118">
        <f t="shared" si="45"/>
        <v>150</v>
      </c>
      <c r="Q1323" s="119"/>
      <c r="R1323" s="4"/>
    </row>
    <row r="1324" spans="1:18" ht="15.75" thickBot="1">
      <c r="A1324" s="1">
        <f t="shared" si="46"/>
        <v>0</v>
      </c>
      <c r="B1324" s="2"/>
      <c r="C1324" s="8"/>
      <c r="D1324" s="109" t="str">
        <f>IFERROR(INDEX([239]EQUIPOS!B:B,MATCH(B1324,[239]EQUIPOS!A:A,0)),"")</f>
        <v/>
      </c>
      <c r="E1324" s="78"/>
      <c r="F1324" s="78"/>
      <c r="G1324" s="78"/>
      <c r="H1324" s="122"/>
      <c r="I1324" s="123"/>
      <c r="J1324" s="122"/>
      <c r="K1324" s="113" t="str">
        <f>IFERROR(INDEX([239]EQUIPOS!C:C,MATCH(B1324,[239]EQUIPOS!A:A,0)),"")</f>
        <v/>
      </c>
      <c r="L1324" s="124"/>
      <c r="M1324" s="115" t="str">
        <f>IFERROR(IF(D1324="HERRAMIENTA MENOR (% M.O)",P1363,INDEX([239]EQUIPOS!D:D,MATCH(B1324,[239]EQUIPOS!A:A,0))),"")</f>
        <v/>
      </c>
      <c r="N1324" s="125"/>
      <c r="O1324" s="126"/>
      <c r="P1324" s="127" t="str">
        <f t="shared" si="45"/>
        <v xml:space="preserve"> </v>
      </c>
      <c r="Q1324" s="119"/>
      <c r="R1324" s="4"/>
    </row>
    <row r="1325" spans="1:18" ht="15.75" thickBot="1">
      <c r="A1325" s="1">
        <f t="shared" si="46"/>
        <v>0</v>
      </c>
      <c r="B1325" s="2"/>
      <c r="C1325" s="8"/>
      <c r="D1325" s="128" t="s">
        <v>24</v>
      </c>
      <c r="E1325" s="129"/>
      <c r="F1325" s="129"/>
      <c r="G1325" s="129"/>
      <c r="H1325" s="129"/>
      <c r="I1325" s="129"/>
      <c r="J1325" s="129"/>
      <c r="K1325" s="129"/>
      <c r="L1325" s="129"/>
      <c r="M1325" s="129"/>
      <c r="N1325" s="129"/>
      <c r="O1325" s="130"/>
      <c r="P1325" s="131">
        <f>SUM(P1319:P1324)</f>
        <v>2898.41</v>
      </c>
      <c r="Q1325" s="132"/>
      <c r="R1325" s="4"/>
    </row>
    <row r="1326" spans="1:18" ht="15.75" thickBot="1">
      <c r="A1326" s="1">
        <f t="shared" si="46"/>
        <v>0</v>
      </c>
      <c r="B1326" s="2"/>
      <c r="C1326" s="8"/>
      <c r="D1326" s="74" t="s">
        <v>25</v>
      </c>
      <c r="E1326" s="37"/>
      <c r="F1326" s="37"/>
      <c r="G1326" s="37"/>
      <c r="H1326" s="37"/>
      <c r="I1326" s="37"/>
      <c r="J1326" s="37"/>
      <c r="K1326" s="37"/>
      <c r="L1326" s="37"/>
      <c r="M1326" s="37"/>
      <c r="N1326" s="37"/>
      <c r="O1326" s="37"/>
      <c r="P1326" s="99"/>
      <c r="Q1326" s="100"/>
      <c r="R1326" s="4"/>
    </row>
    <row r="1327" spans="1:18">
      <c r="A1327" s="1">
        <f t="shared" si="46"/>
        <v>0</v>
      </c>
      <c r="B1327" s="2"/>
      <c r="C1327" s="8"/>
      <c r="D1327" s="101" t="s">
        <v>14</v>
      </c>
      <c r="E1327" s="133"/>
      <c r="F1327" s="133"/>
      <c r="G1327" s="133"/>
      <c r="H1327" s="133"/>
      <c r="I1327" s="133"/>
      <c r="J1327" s="133"/>
      <c r="K1327" s="105"/>
      <c r="L1327" s="134" t="s">
        <v>15</v>
      </c>
      <c r="M1327" s="106" t="s">
        <v>16</v>
      </c>
      <c r="N1327" s="104" t="s">
        <v>26</v>
      </c>
      <c r="O1327" s="105"/>
      <c r="P1327" s="107" t="s">
        <v>22</v>
      </c>
      <c r="Q1327" s="108"/>
      <c r="R1327" s="4"/>
    </row>
    <row r="1328" spans="1:18">
      <c r="A1328" s="1">
        <f t="shared" si="46"/>
        <v>0</v>
      </c>
      <c r="B1328" s="2" t="s">
        <v>340</v>
      </c>
      <c r="C1328" s="8"/>
      <c r="D1328" s="109"/>
      <c r="E1328" s="135"/>
      <c r="F1328" s="135"/>
      <c r="G1328" s="135"/>
      <c r="H1328" s="135"/>
      <c r="I1328" s="135"/>
      <c r="J1328" s="135"/>
      <c r="K1328" s="136"/>
      <c r="L1328" s="137"/>
      <c r="M1328" s="138"/>
      <c r="N1328" s="139"/>
      <c r="O1328" s="140"/>
      <c r="P1328" s="118"/>
      <c r="Q1328" s="119"/>
      <c r="R1328" s="4"/>
    </row>
    <row r="1329" spans="1:18">
      <c r="A1329" s="1">
        <f t="shared" si="46"/>
        <v>0</v>
      </c>
      <c r="B1329" s="2" t="s">
        <v>280</v>
      </c>
      <c r="C1329" s="8"/>
      <c r="D1329" s="109" t="str">
        <f>IFERROR(INDEX([239]MATERIALES!C:C,MATCH(B1329,[239]MATERIALES!B:B,0)),"")</f>
        <v>SOLDADURA ELÉCTRICA 6013</v>
      </c>
      <c r="E1329" s="135"/>
      <c r="F1329" s="135"/>
      <c r="G1329" s="135"/>
      <c r="H1329" s="135"/>
      <c r="I1329" s="135"/>
      <c r="J1329" s="135"/>
      <c r="K1329" s="136"/>
      <c r="L1329" s="137" t="str">
        <f>IFERROR(INDEX([239]MATERIALES!D:D,MATCH(B1329,[239]MATERIALES!B:B,0)),"")</f>
        <v>KG</v>
      </c>
      <c r="M1329" s="138">
        <v>0.1</v>
      </c>
      <c r="N1329" s="139">
        <f>IFERROR(INDEX([239]MATERIALES!P:P,MATCH(B1329,[239]MATERIALES!B:B,0)),"")</f>
        <v>23035.3</v>
      </c>
      <c r="O1329" s="140"/>
      <c r="P1329" s="118">
        <f>IFERROR(ROUND(N1329*M1329,2),"")</f>
        <v>2303.5300000000002</v>
      </c>
      <c r="Q1329" s="119"/>
      <c r="R1329" s="4"/>
    </row>
    <row r="1330" spans="1:18">
      <c r="A1330" s="1">
        <f t="shared" si="46"/>
        <v>0</v>
      </c>
      <c r="B1330" s="2" t="s">
        <v>282</v>
      </c>
      <c r="C1330" s="8"/>
      <c r="D1330" s="109" t="str">
        <f>IFERROR(INDEX([239]MATERIALES!C:C,MATCH(B1330,[239]MATERIALES!B:B,0)),"")</f>
        <v>DISOLVENTE THINNER</v>
      </c>
      <c r="E1330" s="110"/>
      <c r="F1330" s="110"/>
      <c r="G1330" s="110"/>
      <c r="H1330" s="110"/>
      <c r="I1330" s="110"/>
      <c r="J1330" s="110"/>
      <c r="K1330" s="111"/>
      <c r="L1330" s="137" t="str">
        <f>IFERROR(INDEX([239]MATERIALES!D:D,MATCH(B1330,[239]MATERIALES!B:B,0)),"")</f>
        <v>GAL</v>
      </c>
      <c r="M1330" s="138">
        <v>0.02</v>
      </c>
      <c r="N1330" s="139">
        <f>IFERROR(INDEX([239]MATERIALES!P:P,MATCH(B1330,[239]MATERIALES!B:B,0)),"")</f>
        <v>31200</v>
      </c>
      <c r="O1330" s="140"/>
      <c r="P1330" s="118">
        <f>IFERROR(ROUND(N1330*M1330,2),"")</f>
        <v>624</v>
      </c>
      <c r="Q1330" s="119"/>
      <c r="R1330" s="4"/>
    </row>
    <row r="1331" spans="1:18">
      <c r="A1331" s="1">
        <f t="shared" si="46"/>
        <v>0</v>
      </c>
      <c r="B1331" s="2" t="s">
        <v>283</v>
      </c>
      <c r="C1331" s="8"/>
      <c r="D1331" s="109" t="str">
        <f>IFERROR(INDEX([239]MATERIALES!C:C,MATCH(B1331,[239]MATERIALES!B:B,0)),"")</f>
        <v>PINTURA ANTICORROSIVO</v>
      </c>
      <c r="E1331" s="110"/>
      <c r="F1331" s="110"/>
      <c r="G1331" s="110"/>
      <c r="H1331" s="110"/>
      <c r="I1331" s="110"/>
      <c r="J1331" s="110"/>
      <c r="K1331" s="111"/>
      <c r="L1331" s="137" t="str">
        <f>IFERROR(INDEX([239]MATERIALES!D:D,MATCH(B1331,[239]MATERIALES!B:B,0)),"")</f>
        <v>GAL</v>
      </c>
      <c r="M1331" s="138">
        <v>0.05</v>
      </c>
      <c r="N1331" s="139">
        <f>IFERROR(INDEX([239]MATERIALES!P:P,MATCH(B1331,[239]MATERIALES!B:B,0)),"")</f>
        <v>61200</v>
      </c>
      <c r="O1331" s="140"/>
      <c r="P1331" s="118">
        <f>IFERROR(ROUND(N1331*M1331,2),"")</f>
        <v>3060</v>
      </c>
      <c r="Q1331" s="119"/>
      <c r="R1331" s="4"/>
    </row>
    <row r="1332" spans="1:18">
      <c r="A1332" s="1">
        <f t="shared" si="46"/>
        <v>0</v>
      </c>
      <c r="B1332" s="2" t="s">
        <v>284</v>
      </c>
      <c r="C1332" s="8"/>
      <c r="D1332" s="109" t="str">
        <f>IFERROR(INDEX([239]MATERIALES!C:C,MATCH(B1332,[239]MATERIALES!B:B,0)),"")</f>
        <v>PINTURA ESMALTE SINTÉTICO TIPO I</v>
      </c>
      <c r="E1332" s="110"/>
      <c r="F1332" s="110"/>
      <c r="G1332" s="110"/>
      <c r="H1332" s="110"/>
      <c r="I1332" s="110"/>
      <c r="J1332" s="110"/>
      <c r="K1332" s="111"/>
      <c r="L1332" s="137" t="str">
        <f>IFERROR(INDEX([239]MATERIALES!D:D,MATCH(B1332,[239]MATERIALES!B:B,0)),"")</f>
        <v>GAL</v>
      </c>
      <c r="M1332" s="138">
        <v>0.05</v>
      </c>
      <c r="N1332" s="139">
        <f>IFERROR(INDEX([239]MATERIALES!P:P,MATCH(B1332,[239]MATERIALES!B:B,0)),"")</f>
        <v>96598.66</v>
      </c>
      <c r="O1332" s="140"/>
      <c r="P1332" s="118">
        <f t="shared" ref="P1332:P1341" si="47">IFERROR(ROUND(N1332*M1332,2),"")</f>
        <v>4829.93</v>
      </c>
      <c r="Q1332" s="119"/>
      <c r="R1332" s="4"/>
    </row>
    <row r="1333" spans="1:18">
      <c r="A1333" s="1">
        <f t="shared" si="46"/>
        <v>0</v>
      </c>
      <c r="B1333" s="2" t="s">
        <v>281</v>
      </c>
      <c r="C1333" s="8"/>
      <c r="D1333" s="109"/>
      <c r="E1333" s="110"/>
      <c r="F1333" s="110"/>
      <c r="G1333" s="110"/>
      <c r="H1333" s="110"/>
      <c r="I1333" s="110"/>
      <c r="J1333" s="110"/>
      <c r="K1333" s="111"/>
      <c r="L1333" s="137"/>
      <c r="M1333" s="138"/>
      <c r="N1333" s="139"/>
      <c r="O1333" s="140"/>
      <c r="P1333" s="118"/>
      <c r="Q1333" s="119"/>
      <c r="R1333" s="4"/>
    </row>
    <row r="1334" spans="1:18">
      <c r="A1334" s="1">
        <f t="shared" si="46"/>
        <v>0</v>
      </c>
      <c r="B1334" s="2"/>
      <c r="C1334" s="8"/>
      <c r="D1334" s="109" t="str">
        <f>IFERROR(INDEX([239]MATERIALES!C:C,MATCH(B1334,[239]MATERIALES!B:B,0)),"")</f>
        <v/>
      </c>
      <c r="E1334" s="110"/>
      <c r="F1334" s="110"/>
      <c r="G1334" s="110"/>
      <c r="H1334" s="110"/>
      <c r="I1334" s="110"/>
      <c r="J1334" s="110"/>
      <c r="K1334" s="111"/>
      <c r="L1334" s="137" t="str">
        <f>IFERROR(INDEX([239]MATERIALES!D:D,MATCH(B1334,[239]MATERIALES!B:B,0)),"")</f>
        <v/>
      </c>
      <c r="M1334" s="138"/>
      <c r="N1334" s="139" t="str">
        <f>IFERROR(INDEX([239]MATERIALES!P:P,MATCH(B1334,[239]MATERIALES!B:B,0)),"")</f>
        <v/>
      </c>
      <c r="O1334" s="140"/>
      <c r="P1334" s="118" t="str">
        <f t="shared" si="47"/>
        <v/>
      </c>
      <c r="Q1334" s="119"/>
      <c r="R1334" s="4"/>
    </row>
    <row r="1335" spans="1:18">
      <c r="A1335" s="1">
        <f t="shared" si="46"/>
        <v>0</v>
      </c>
      <c r="B1335" s="2"/>
      <c r="C1335" s="8"/>
      <c r="D1335" s="109" t="str">
        <f>IFERROR(INDEX([239]MATERIALES!C:C,MATCH(B1335,[239]MATERIALES!B:B,0)),"")</f>
        <v/>
      </c>
      <c r="E1335" s="110"/>
      <c r="F1335" s="110"/>
      <c r="G1335" s="110"/>
      <c r="H1335" s="110"/>
      <c r="I1335" s="110"/>
      <c r="J1335" s="110"/>
      <c r="K1335" s="111"/>
      <c r="L1335" s="137" t="str">
        <f>IFERROR(INDEX([239]MATERIALES!D:D,MATCH(B1335,[239]MATERIALES!B:B,0)),"")</f>
        <v/>
      </c>
      <c r="M1335" s="138"/>
      <c r="N1335" s="139" t="str">
        <f>IFERROR(INDEX([239]MATERIALES!P:P,MATCH(B1335,[239]MATERIALES!B:B,0)),"")</f>
        <v/>
      </c>
      <c r="O1335" s="140"/>
      <c r="P1335" s="118" t="str">
        <f t="shared" si="47"/>
        <v/>
      </c>
      <c r="Q1335" s="119"/>
      <c r="R1335" s="4"/>
    </row>
    <row r="1336" spans="1:18">
      <c r="A1336" s="1">
        <f t="shared" si="46"/>
        <v>0</v>
      </c>
      <c r="B1336" s="2"/>
      <c r="C1336" s="8"/>
      <c r="D1336" s="109" t="str">
        <f>IFERROR(INDEX([239]MATERIALES!C:C,MATCH(B1336,[239]MATERIALES!B:B,0)),"")</f>
        <v/>
      </c>
      <c r="E1336" s="110"/>
      <c r="F1336" s="110"/>
      <c r="G1336" s="110"/>
      <c r="H1336" s="110"/>
      <c r="I1336" s="110"/>
      <c r="J1336" s="110"/>
      <c r="K1336" s="111"/>
      <c r="L1336" s="137" t="str">
        <f>IFERROR(INDEX([239]MATERIALES!D:D,MATCH(B1336,[239]MATERIALES!B:B,0)),"")</f>
        <v/>
      </c>
      <c r="M1336" s="138"/>
      <c r="N1336" s="139" t="str">
        <f>IFERROR(INDEX([239]MATERIALES!P:P,MATCH(B1336,[239]MATERIALES!B:B,0)),"")</f>
        <v/>
      </c>
      <c r="O1336" s="140"/>
      <c r="P1336" s="118" t="str">
        <f t="shared" si="47"/>
        <v/>
      </c>
      <c r="Q1336" s="119"/>
      <c r="R1336" s="4"/>
    </row>
    <row r="1337" spans="1:18">
      <c r="A1337" s="1">
        <f t="shared" si="46"/>
        <v>0</v>
      </c>
      <c r="B1337" s="2"/>
      <c r="C1337" s="8"/>
      <c r="D1337" s="109" t="str">
        <f>IFERROR(INDEX([239]MATERIALES!C:C,MATCH(B1337,[239]MATERIALES!B:B,0)),"")</f>
        <v/>
      </c>
      <c r="E1337" s="110"/>
      <c r="F1337" s="110"/>
      <c r="G1337" s="110"/>
      <c r="H1337" s="110"/>
      <c r="I1337" s="110"/>
      <c r="J1337" s="110"/>
      <c r="K1337" s="111"/>
      <c r="L1337" s="137" t="str">
        <f>IFERROR(INDEX([239]MATERIALES!D:D,MATCH(B1337,[239]MATERIALES!B:B,0)),"")</f>
        <v/>
      </c>
      <c r="M1337" s="138"/>
      <c r="N1337" s="139" t="str">
        <f>IFERROR(INDEX([239]MATERIALES!P:P,MATCH(B1337,[239]MATERIALES!B:B,0)),"")</f>
        <v/>
      </c>
      <c r="O1337" s="140"/>
      <c r="P1337" s="118" t="str">
        <f t="shared" si="47"/>
        <v/>
      </c>
      <c r="Q1337" s="119"/>
      <c r="R1337" s="4"/>
    </row>
    <row r="1338" spans="1:18">
      <c r="A1338" s="1">
        <f t="shared" si="46"/>
        <v>0</v>
      </c>
      <c r="B1338" s="2"/>
      <c r="C1338" s="8"/>
      <c r="D1338" s="109" t="str">
        <f>IFERROR(INDEX([239]MATERIALES!C:C,MATCH(B1338,[239]MATERIALES!B:B,0)),"")</f>
        <v/>
      </c>
      <c r="E1338" s="110"/>
      <c r="F1338" s="110"/>
      <c r="G1338" s="110"/>
      <c r="H1338" s="110"/>
      <c r="I1338" s="110"/>
      <c r="J1338" s="110"/>
      <c r="K1338" s="111"/>
      <c r="L1338" s="137" t="str">
        <f>IFERROR(INDEX([239]MATERIALES!D:D,MATCH(B1338,[239]MATERIALES!B:B,0)),"")</f>
        <v/>
      </c>
      <c r="M1338" s="138"/>
      <c r="N1338" s="139" t="str">
        <f>IFERROR(INDEX([239]MATERIALES!P:P,MATCH(B1338,[239]MATERIALES!B:B,0)),"")</f>
        <v/>
      </c>
      <c r="O1338" s="140"/>
      <c r="P1338" s="118" t="str">
        <f t="shared" si="47"/>
        <v/>
      </c>
      <c r="Q1338" s="119"/>
      <c r="R1338" s="4"/>
    </row>
    <row r="1339" spans="1:18">
      <c r="A1339" s="1">
        <f t="shared" si="46"/>
        <v>0</v>
      </c>
      <c r="B1339" s="2"/>
      <c r="C1339" s="8"/>
      <c r="D1339" s="109" t="str">
        <f>IFERROR(INDEX([239]MATERIALES!C:C,MATCH(B1339,[239]MATERIALES!B:B,0)),"")</f>
        <v/>
      </c>
      <c r="E1339" s="110"/>
      <c r="F1339" s="110"/>
      <c r="G1339" s="110"/>
      <c r="H1339" s="110"/>
      <c r="I1339" s="110"/>
      <c r="J1339" s="110"/>
      <c r="K1339" s="111"/>
      <c r="L1339" s="137" t="str">
        <f>IFERROR(INDEX([239]MATERIALES!D:D,MATCH(B1339,[239]MATERIALES!B:B,0)),"")</f>
        <v/>
      </c>
      <c r="M1339" s="138"/>
      <c r="N1339" s="139" t="str">
        <f>IFERROR(INDEX([239]MATERIALES!P:P,MATCH(B1339,[239]MATERIALES!B:B,0)),"")</f>
        <v/>
      </c>
      <c r="O1339" s="140"/>
      <c r="P1339" s="118" t="str">
        <f t="shared" si="47"/>
        <v/>
      </c>
      <c r="Q1339" s="119"/>
      <c r="R1339" s="4"/>
    </row>
    <row r="1340" spans="1:18">
      <c r="A1340" s="1">
        <f t="shared" si="46"/>
        <v>0</v>
      </c>
      <c r="B1340" s="2"/>
      <c r="C1340" s="8"/>
      <c r="D1340" s="109" t="str">
        <f>IFERROR(INDEX([239]MATERIALES!C:C,MATCH(B1340,[239]MATERIALES!B:B,0)),"")</f>
        <v/>
      </c>
      <c r="E1340" s="110"/>
      <c r="F1340" s="110"/>
      <c r="G1340" s="110"/>
      <c r="H1340" s="110"/>
      <c r="I1340" s="110"/>
      <c r="J1340" s="110"/>
      <c r="K1340" s="111"/>
      <c r="L1340" s="137" t="str">
        <f>IFERROR(INDEX([239]MATERIALES!D:D,MATCH(B1340,[239]MATERIALES!B:B,0)),"")</f>
        <v/>
      </c>
      <c r="M1340" s="138"/>
      <c r="N1340" s="139" t="str">
        <f>IFERROR(INDEX([239]MATERIALES!P:P,MATCH(B1340,[239]MATERIALES!B:B,0)),"")</f>
        <v/>
      </c>
      <c r="O1340" s="140"/>
      <c r="P1340" s="118" t="str">
        <f t="shared" si="47"/>
        <v/>
      </c>
      <c r="Q1340" s="119"/>
      <c r="R1340" s="4"/>
    </row>
    <row r="1341" spans="1:18">
      <c r="A1341" s="1">
        <f t="shared" si="46"/>
        <v>0</v>
      </c>
      <c r="B1341" s="2"/>
      <c r="C1341" s="8"/>
      <c r="D1341" s="109" t="str">
        <f>IFERROR(INDEX([239]MATERIALES!C:C,MATCH(B1341,[239]MATERIALES!B:B,0)),"")</f>
        <v/>
      </c>
      <c r="E1341" s="110"/>
      <c r="F1341" s="110"/>
      <c r="G1341" s="110"/>
      <c r="H1341" s="110"/>
      <c r="I1341" s="110"/>
      <c r="J1341" s="110"/>
      <c r="K1341" s="111"/>
      <c r="L1341" s="137" t="str">
        <f>IFERROR(INDEX([239]MATERIALES!D:D,MATCH(B1341,[239]MATERIALES!B:B,0)),"")</f>
        <v/>
      </c>
      <c r="M1341" s="138"/>
      <c r="N1341" s="139" t="str">
        <f>IFERROR(INDEX([239]MATERIALES!P:P,MATCH(B1341,[239]MATERIALES!B:B,0)),"")</f>
        <v/>
      </c>
      <c r="O1341" s="140"/>
      <c r="P1341" s="118" t="str">
        <f t="shared" si="47"/>
        <v/>
      </c>
      <c r="Q1341" s="119"/>
      <c r="R1341" s="4"/>
    </row>
    <row r="1342" spans="1:18" ht="15.75" thickBot="1">
      <c r="A1342" s="1">
        <f t="shared" si="46"/>
        <v>0</v>
      </c>
      <c r="B1342" s="2"/>
      <c r="C1342" s="8"/>
      <c r="D1342" s="109" t="s">
        <v>28</v>
      </c>
      <c r="E1342" s="110"/>
      <c r="F1342" s="110"/>
      <c r="G1342" s="110"/>
      <c r="H1342" s="110"/>
      <c r="I1342" s="110"/>
      <c r="J1342" s="110"/>
      <c r="K1342" s="111"/>
      <c r="L1342" s="137" t="s">
        <v>29</v>
      </c>
      <c r="M1342" s="138">
        <v>0.05</v>
      </c>
      <c r="N1342" s="139">
        <f>SUM(P1328:P1341)</f>
        <v>10817.460000000001</v>
      </c>
      <c r="O1342" s="140"/>
      <c r="P1342" s="118">
        <f>ROUND(N1342*M1342,2)</f>
        <v>540.87</v>
      </c>
      <c r="Q1342" s="119"/>
      <c r="R1342" s="4"/>
    </row>
    <row r="1343" spans="1:18" ht="15.75" thickBot="1">
      <c r="A1343" s="1">
        <f t="shared" si="46"/>
        <v>0</v>
      </c>
      <c r="B1343" s="2"/>
      <c r="C1343" s="8"/>
      <c r="D1343" s="128" t="s">
        <v>24</v>
      </c>
      <c r="E1343" s="129"/>
      <c r="F1343" s="129"/>
      <c r="G1343" s="129"/>
      <c r="H1343" s="129"/>
      <c r="I1343" s="129"/>
      <c r="J1343" s="129"/>
      <c r="K1343" s="129"/>
      <c r="L1343" s="129"/>
      <c r="M1343" s="129"/>
      <c r="N1343" s="129"/>
      <c r="O1343" s="130"/>
      <c r="P1343" s="131">
        <f>SUM(P1328:P1342)</f>
        <v>11358.330000000002</v>
      </c>
      <c r="Q1343" s="119"/>
      <c r="R1343" s="4"/>
    </row>
    <row r="1344" spans="1:18" ht="15.75" thickBot="1">
      <c r="A1344" s="1">
        <f t="shared" si="46"/>
        <v>0</v>
      </c>
      <c r="B1344" s="2"/>
      <c r="C1344" s="8"/>
      <c r="D1344" s="74" t="s">
        <v>30</v>
      </c>
      <c r="E1344" s="37"/>
      <c r="F1344" s="37"/>
      <c r="G1344" s="37"/>
      <c r="H1344" s="37"/>
      <c r="I1344" s="37"/>
      <c r="J1344" s="37"/>
      <c r="K1344" s="37"/>
      <c r="L1344" s="37"/>
      <c r="M1344" s="37"/>
      <c r="N1344" s="37"/>
      <c r="O1344" s="37"/>
      <c r="P1344" s="99"/>
      <c r="Q1344" s="100"/>
      <c r="R1344" s="4"/>
    </row>
    <row r="1345" spans="1:18">
      <c r="A1345" s="1">
        <f t="shared" si="46"/>
        <v>0</v>
      </c>
      <c r="B1345" s="2"/>
      <c r="C1345" s="8"/>
      <c r="D1345" s="101" t="s">
        <v>31</v>
      </c>
      <c r="E1345" s="133"/>
      <c r="F1345" s="133"/>
      <c r="G1345" s="133"/>
      <c r="H1345" s="133"/>
      <c r="I1345" s="133"/>
      <c r="J1345" s="133"/>
      <c r="K1345" s="106" t="s">
        <v>32</v>
      </c>
      <c r="L1345" s="141" t="s">
        <v>33</v>
      </c>
      <c r="M1345" s="106" t="s">
        <v>34</v>
      </c>
      <c r="N1345" s="104" t="s">
        <v>20</v>
      </c>
      <c r="O1345" s="105"/>
      <c r="P1345" s="107" t="s">
        <v>22</v>
      </c>
      <c r="Q1345" s="108"/>
      <c r="R1345" s="4"/>
    </row>
    <row r="1346" spans="1:18">
      <c r="A1346" s="1">
        <f t="shared" si="46"/>
        <v>0</v>
      </c>
      <c r="B1346" s="2"/>
      <c r="C1346" s="8"/>
      <c r="D1346" s="142" t="str">
        <f>IFERROR(INDEX([239]TRANSPORTES!B:B,MATCH(B1346,[239]TRANSPORTES!A:A,0)),"")</f>
        <v/>
      </c>
      <c r="E1346" s="143"/>
      <c r="F1346" s="143"/>
      <c r="G1346" s="143"/>
      <c r="H1346" s="143"/>
      <c r="I1346" s="143"/>
      <c r="J1346" s="143"/>
      <c r="K1346" s="220"/>
      <c r="L1346" s="145"/>
      <c r="M1346" s="146" t="str">
        <f>IFERROR(INDEX([239]TRANSPORTES!C:C,MATCH(B1346,[239]TRANSPORTES!A:A,0)),"")</f>
        <v/>
      </c>
      <c r="N1346" s="139" t="str">
        <f>IFERROR(INDEX([239]TRANSPORTES!D:D,MATCH(B1346,[239]TRANSPORTES!A:A,0)),"")</f>
        <v/>
      </c>
      <c r="O1346" s="147"/>
      <c r="P1346" s="148" t="str">
        <f>IFERROR(ROUND(K1346*N1346*L1346,2),"")</f>
        <v/>
      </c>
      <c r="Q1346" s="119"/>
      <c r="R1346" s="4"/>
    </row>
    <row r="1347" spans="1:18">
      <c r="A1347" s="1">
        <f t="shared" si="46"/>
        <v>0</v>
      </c>
      <c r="B1347" s="2"/>
      <c r="C1347" s="8"/>
      <c r="D1347" s="142" t="str">
        <f>IFERROR(INDEX([239]TRANSPORTES!B:B,MATCH(B1347,[239]TRANSPORTES!A:A,0)),"")</f>
        <v/>
      </c>
      <c r="E1347" s="143"/>
      <c r="F1347" s="143"/>
      <c r="G1347" s="143"/>
      <c r="H1347" s="143"/>
      <c r="I1347" s="143"/>
      <c r="J1347" s="143"/>
      <c r="K1347" s="144"/>
      <c r="L1347" s="145"/>
      <c r="M1347" s="146" t="str">
        <f>IFERROR(INDEX([239]TRANSPORTES!C:C,MATCH(B1347,[239]TRANSPORTES!A:A,0)),"")</f>
        <v/>
      </c>
      <c r="N1347" s="139" t="str">
        <f>IFERROR(INDEX([239]TRANSPORTES!D:D,MATCH(B1347,[239]TRANSPORTES!A:A,0)),"")</f>
        <v/>
      </c>
      <c r="O1347" s="147"/>
      <c r="P1347" s="148" t="str">
        <f>IFERROR(ROUND(K1347*N1347*L1347,2),"")</f>
        <v/>
      </c>
      <c r="Q1347" s="119"/>
      <c r="R1347" s="4"/>
    </row>
    <row r="1348" spans="1:18">
      <c r="A1348" s="1">
        <f t="shared" si="46"/>
        <v>0</v>
      </c>
      <c r="B1348" s="2"/>
      <c r="C1348" s="8"/>
      <c r="D1348" s="142" t="str">
        <f>IFERROR(INDEX([239]TRANSPORTES!B:B,MATCH(B1348,[239]TRANSPORTES!A:A,0)),"")</f>
        <v/>
      </c>
      <c r="E1348" s="143"/>
      <c r="F1348" s="143"/>
      <c r="G1348" s="143"/>
      <c r="H1348" s="143"/>
      <c r="I1348" s="143"/>
      <c r="J1348" s="143"/>
      <c r="K1348" s="144"/>
      <c r="L1348" s="145"/>
      <c r="M1348" s="146" t="str">
        <f>IFERROR(INDEX([239]TRANSPORTES!C:C,MATCH(B1348,[239]TRANSPORTES!A:A,0)),"")</f>
        <v/>
      </c>
      <c r="N1348" s="139" t="str">
        <f>IFERROR(INDEX([239]TRANSPORTES!D:D,MATCH(B1348,[239]TRANSPORTES!A:A,0)),"")</f>
        <v/>
      </c>
      <c r="O1348" s="147"/>
      <c r="P1348" s="148" t="str">
        <f>IFERROR(ROUND(K1348*N1348*L1348,2),"")</f>
        <v/>
      </c>
      <c r="Q1348" s="119"/>
      <c r="R1348" s="4"/>
    </row>
    <row r="1349" spans="1:18" ht="15.75" thickBot="1">
      <c r="A1349" s="1">
        <f t="shared" si="46"/>
        <v>0</v>
      </c>
      <c r="B1349" s="2"/>
      <c r="C1349" s="8"/>
      <c r="D1349" s="142" t="str">
        <f>IFERROR(INDEX([239]TRANSPORTES!B:B,MATCH(B1349,[239]TRANSPORTES!A:A,0)),"")</f>
        <v/>
      </c>
      <c r="E1349" s="143"/>
      <c r="F1349" s="143"/>
      <c r="G1349" s="143"/>
      <c r="H1349" s="143"/>
      <c r="I1349" s="143"/>
      <c r="J1349" s="143"/>
      <c r="K1349" s="149"/>
      <c r="L1349" s="150"/>
      <c r="M1349" s="146" t="str">
        <f>IFERROR(INDEX([239]TRANSPORTES!C:C,MATCH(B1349,[239]TRANSPORTES!A:A,0)),"")</f>
        <v/>
      </c>
      <c r="N1349" s="139" t="str">
        <f>IFERROR(INDEX([239]TRANSPORTES!D:D,MATCH(B1349,[239]TRANSPORTES!A:A,0)),"")</f>
        <v/>
      </c>
      <c r="O1349" s="147"/>
      <c r="P1349" s="148" t="str">
        <f>IFERROR(ROUND(K1349*N1349*L1349,2),"")</f>
        <v/>
      </c>
      <c r="Q1349" s="119"/>
      <c r="R1349" s="4"/>
    </row>
    <row r="1350" spans="1:18" ht="15.75" thickBot="1">
      <c r="A1350" s="1">
        <f t="shared" si="46"/>
        <v>0</v>
      </c>
      <c r="B1350" s="2"/>
      <c r="C1350" s="8"/>
      <c r="D1350" s="128" t="s">
        <v>24</v>
      </c>
      <c r="E1350" s="129"/>
      <c r="F1350" s="129"/>
      <c r="G1350" s="129"/>
      <c r="H1350" s="129"/>
      <c r="I1350" s="129"/>
      <c r="J1350" s="129"/>
      <c r="K1350" s="129"/>
      <c r="L1350" s="129"/>
      <c r="M1350" s="129"/>
      <c r="N1350" s="129"/>
      <c r="O1350" s="130"/>
      <c r="P1350" s="151">
        <f>SUM(P1346:P1349)</f>
        <v>0</v>
      </c>
      <c r="Q1350" s="132"/>
      <c r="R1350" s="4"/>
    </row>
    <row r="1351" spans="1:18" ht="15.75" thickBot="1">
      <c r="A1351" s="1">
        <f t="shared" si="46"/>
        <v>0</v>
      </c>
      <c r="B1351" s="2"/>
      <c r="C1351" s="8"/>
      <c r="D1351" s="74" t="s">
        <v>36</v>
      </c>
      <c r="E1351" s="37"/>
      <c r="F1351" s="37"/>
      <c r="G1351" s="37"/>
      <c r="H1351" s="37"/>
      <c r="I1351" s="37"/>
      <c r="J1351" s="37"/>
      <c r="K1351" s="37"/>
      <c r="L1351" s="37"/>
      <c r="M1351" s="37"/>
      <c r="N1351" s="37"/>
      <c r="O1351" s="37"/>
      <c r="P1351" s="99"/>
      <c r="Q1351" s="100"/>
      <c r="R1351" s="4"/>
    </row>
    <row r="1352" spans="1:18" ht="30">
      <c r="A1352" s="1">
        <f t="shared" si="46"/>
        <v>0</v>
      </c>
      <c r="B1352" s="2"/>
      <c r="C1352" s="8"/>
      <c r="D1352" s="101" t="s">
        <v>37</v>
      </c>
      <c r="E1352" s="133"/>
      <c r="F1352" s="133"/>
      <c r="G1352" s="133"/>
      <c r="H1352" s="133"/>
      <c r="I1352" s="133"/>
      <c r="J1352" s="133"/>
      <c r="K1352" s="106" t="s">
        <v>38</v>
      </c>
      <c r="L1352" s="152" t="s">
        <v>39</v>
      </c>
      <c r="M1352" s="153" t="s">
        <v>40</v>
      </c>
      <c r="N1352" s="104" t="s">
        <v>21</v>
      </c>
      <c r="O1352" s="105"/>
      <c r="P1352" s="154" t="s">
        <v>22</v>
      </c>
      <c r="Q1352" s="155"/>
      <c r="R1352" s="4"/>
    </row>
    <row r="1353" spans="1:18">
      <c r="A1353" s="1">
        <f t="shared" si="46"/>
        <v>0</v>
      </c>
      <c r="B1353" s="2" t="s">
        <v>285</v>
      </c>
      <c r="C1353" s="8"/>
      <c r="D1353" s="109" t="str">
        <f>IFERROR(INDEX('[239]MANO DE OBRA'!B:B,MATCH(B1353,'[239]MANO DE OBRA'!A:A,0)),"")</f>
        <v>SOLDADOR</v>
      </c>
      <c r="E1353" s="110"/>
      <c r="F1353" s="110"/>
      <c r="G1353" s="110"/>
      <c r="H1353" s="110"/>
      <c r="I1353" s="110"/>
      <c r="J1353" s="111"/>
      <c r="K1353" s="156">
        <f>IFERROR(INDEX('[239]MANO DE OBRA'!D:D,MATCH(B1353,'[239]MANO DE OBRA'!A:A,0)),"")</f>
        <v>133570</v>
      </c>
      <c r="L1353" s="157">
        <f>+IF(D1353&lt;&gt;"",'[239]FACTOR PRESTACIONAL'!$E$21," ")</f>
        <v>1.95</v>
      </c>
      <c r="M1353" s="158">
        <f>IFERROR(K1353*L1353," ")</f>
        <v>260461.5</v>
      </c>
      <c r="N1353" s="159">
        <v>40</v>
      </c>
      <c r="O1353" s="160"/>
      <c r="P1353" s="161">
        <f>IFERROR(ROUND(M1353/N1353,2)," ")</f>
        <v>6511.54</v>
      </c>
      <c r="Q1353" s="162"/>
      <c r="R1353" s="4"/>
    </row>
    <row r="1354" spans="1:18">
      <c r="A1354" s="1">
        <f t="shared" si="46"/>
        <v>0</v>
      </c>
      <c r="B1354" s="2" t="s">
        <v>42</v>
      </c>
      <c r="C1354" s="8"/>
      <c r="D1354" s="109" t="str">
        <f>IFERROR(INDEX('[239]MANO DE OBRA'!B:B,MATCH(B1354,'[239]MANO DE OBRA'!A:A,0)),"")</f>
        <v>AYUDANTE (2)</v>
      </c>
      <c r="E1354" s="110"/>
      <c r="F1354" s="110"/>
      <c r="G1354" s="110"/>
      <c r="H1354" s="110"/>
      <c r="I1354" s="110"/>
      <c r="J1354" s="111"/>
      <c r="K1354" s="156">
        <f>IFERROR(INDEX('[239]MANO DE OBRA'!D:D,MATCH(B1354,'[239]MANO DE OBRA'!A:A,0)),"")</f>
        <v>142866</v>
      </c>
      <c r="L1354" s="157">
        <f>+IF(D1354&lt;&gt;"",'[239]FACTOR PRESTACIONAL'!$E$21," ")</f>
        <v>1.95</v>
      </c>
      <c r="M1354" s="158">
        <f>IFERROR(K1354*L1354," ")</f>
        <v>278588.7</v>
      </c>
      <c r="N1354" s="159">
        <f>+N1353</f>
        <v>40</v>
      </c>
      <c r="O1354" s="160"/>
      <c r="P1354" s="161">
        <f>IFERROR(ROUND(M1354/N1354,2)," ")</f>
        <v>6964.72</v>
      </c>
      <c r="Q1354" s="162"/>
      <c r="R1354" s="4"/>
    </row>
    <row r="1355" spans="1:18">
      <c r="A1355" s="1">
        <f t="shared" si="46"/>
        <v>0</v>
      </c>
      <c r="B1355" s="2"/>
      <c r="C1355" s="8"/>
      <c r="D1355" s="109" t="str">
        <f>IFERROR(INDEX('[239]MANO DE OBRA'!B:B,MATCH(B1355,'[239]MANO DE OBRA'!A:A,0)),"")</f>
        <v/>
      </c>
      <c r="E1355" s="110"/>
      <c r="F1355" s="110"/>
      <c r="G1355" s="110"/>
      <c r="H1355" s="110"/>
      <c r="I1355" s="110"/>
      <c r="J1355" s="111"/>
      <c r="K1355" s="156" t="str">
        <f>IFERROR(INDEX('[239]MANO DE OBRA'!D:D,MATCH(B1355,'[239]MANO DE OBRA'!A:A,0)),"")</f>
        <v/>
      </c>
      <c r="L1355" s="157" t="str">
        <f>+IF(D1355&lt;&gt;"",'[239]FACTOR PRESTACIONAL'!$E$21," ")</f>
        <v xml:space="preserve"> </v>
      </c>
      <c r="M1355" s="158" t="str">
        <f>IFERROR(K1355*L1355," ")</f>
        <v xml:space="preserve"> </v>
      </c>
      <c r="N1355" s="159"/>
      <c r="O1355" s="160"/>
      <c r="P1355" s="161" t="str">
        <f>IFERROR(ROUND(M1355/N1355,2)," ")</f>
        <v xml:space="preserve"> </v>
      </c>
      <c r="Q1355" s="162"/>
      <c r="R1355" s="4"/>
    </row>
    <row r="1356" spans="1:18">
      <c r="A1356" s="1">
        <f t="shared" si="46"/>
        <v>0</v>
      </c>
      <c r="B1356" s="2"/>
      <c r="C1356" s="8"/>
      <c r="D1356" s="109" t="str">
        <f>IFERROR(INDEX('[239]MANO DE OBRA'!B:B,MATCH(B1356,'[239]MANO DE OBRA'!A:A,0)),"")</f>
        <v/>
      </c>
      <c r="E1356" s="110"/>
      <c r="F1356" s="110"/>
      <c r="G1356" s="110"/>
      <c r="H1356" s="110"/>
      <c r="I1356" s="110"/>
      <c r="J1356" s="111"/>
      <c r="K1356" s="156" t="str">
        <f>IFERROR(INDEX('[239]MANO DE OBRA'!D:D,MATCH(B1356,'[239]MANO DE OBRA'!A:A,0)),"")</f>
        <v/>
      </c>
      <c r="L1356" s="157" t="str">
        <f>+IF(D1356&lt;&gt;"",'[239]FACTOR PRESTACIONAL'!$E$21," ")</f>
        <v xml:space="preserve"> </v>
      </c>
      <c r="M1356" s="158" t="str">
        <f>IFERROR(K1356*L1356," ")</f>
        <v xml:space="preserve"> </v>
      </c>
      <c r="N1356" s="159"/>
      <c r="O1356" s="160"/>
      <c r="P1356" s="161" t="str">
        <f>IFERROR(ROUND(M1356/N1356,2)," ")</f>
        <v xml:space="preserve"> </v>
      </c>
      <c r="Q1356" s="162"/>
      <c r="R1356" s="4"/>
    </row>
    <row r="1357" spans="1:18" ht="15.75" thickBot="1">
      <c r="A1357" s="1">
        <f t="shared" si="46"/>
        <v>0</v>
      </c>
      <c r="B1357" s="2"/>
      <c r="C1357" s="8"/>
      <c r="D1357" s="109" t="str">
        <f>IFERROR(INDEX('[239]MANO DE OBRA'!B:B,MATCH(B1357,'[239]MANO DE OBRA'!A:A,0)),"")</f>
        <v/>
      </c>
      <c r="E1357" s="110"/>
      <c r="F1357" s="110"/>
      <c r="G1357" s="110"/>
      <c r="H1357" s="110"/>
      <c r="I1357" s="110"/>
      <c r="J1357" s="111"/>
      <c r="K1357" s="156" t="str">
        <f>IFERROR(INDEX('[239]MANO DE OBRA'!D:D,MATCH(B1357,'[239]MANO DE OBRA'!A:A,0)),"")</f>
        <v/>
      </c>
      <c r="L1357" s="157" t="str">
        <f>+IF(D1357&lt;&gt;"",'[239]FACTOR PRESTACIONAL'!$E$21," ")</f>
        <v xml:space="preserve"> </v>
      </c>
      <c r="M1357" s="158" t="str">
        <f>IFERROR(K1357*L1357," ")</f>
        <v xml:space="preserve"> </v>
      </c>
      <c r="N1357" s="159"/>
      <c r="O1357" s="160"/>
      <c r="P1357" s="161" t="str">
        <f>IFERROR(ROUND(M1357/N1357,2)," ")</f>
        <v xml:space="preserve"> </v>
      </c>
      <c r="Q1357" s="119"/>
      <c r="R1357" s="4"/>
    </row>
    <row r="1358" spans="1:18" ht="15.75" thickBot="1">
      <c r="A1358" s="1">
        <f t="shared" si="46"/>
        <v>0</v>
      </c>
      <c r="B1358" s="2"/>
      <c r="C1358" s="8"/>
      <c r="D1358" s="128" t="s">
        <v>24</v>
      </c>
      <c r="E1358" s="129"/>
      <c r="F1358" s="129"/>
      <c r="G1358" s="129"/>
      <c r="H1358" s="129"/>
      <c r="I1358" s="129"/>
      <c r="J1358" s="129"/>
      <c r="K1358" s="129"/>
      <c r="L1358" s="129"/>
      <c r="M1358" s="129"/>
      <c r="N1358" s="129"/>
      <c r="O1358" s="130"/>
      <c r="P1358" s="131">
        <f>SUM(P1353:P1357)</f>
        <v>13476.26</v>
      </c>
      <c r="Q1358" s="119"/>
      <c r="R1358" s="4"/>
    </row>
    <row r="1359" spans="1:18" ht="15.75" thickBot="1">
      <c r="A1359" s="1">
        <f t="shared" si="46"/>
        <v>0</v>
      </c>
      <c r="B1359" s="2"/>
      <c r="C1359" s="8"/>
      <c r="D1359" s="87"/>
      <c r="E1359" s="20"/>
      <c r="F1359" s="20"/>
      <c r="G1359" s="20"/>
      <c r="H1359" s="20"/>
      <c r="I1359" s="20"/>
      <c r="J1359" s="20"/>
      <c r="K1359" s="20"/>
      <c r="L1359" s="20"/>
      <c r="M1359" s="20"/>
      <c r="N1359" s="20"/>
      <c r="O1359" s="20"/>
      <c r="P1359" s="88"/>
      <c r="Q1359" s="13"/>
      <c r="R1359" s="4"/>
    </row>
    <row r="1360" spans="1:18" ht="15.75" thickBot="1">
      <c r="A1360" s="1"/>
      <c r="B1360" s="2"/>
      <c r="C1360" s="8"/>
      <c r="D1360" s="163" t="s">
        <v>43</v>
      </c>
      <c r="E1360" s="164"/>
      <c r="F1360" s="164"/>
      <c r="G1360" s="164"/>
      <c r="H1360" s="164"/>
      <c r="I1360" s="164"/>
      <c r="J1360" s="164"/>
      <c r="K1360" s="164"/>
      <c r="L1360" s="164"/>
      <c r="M1360" s="164"/>
      <c r="N1360" s="164"/>
      <c r="O1360" s="165"/>
      <c r="P1360" s="166">
        <f>+P1358+P1350+P1343+P1325</f>
        <v>27733.000000000004</v>
      </c>
      <c r="Q1360" s="167"/>
      <c r="R1360" s="168"/>
    </row>
    <row r="1361" spans="1:18" ht="15.75" thickBot="1">
      <c r="A1361" s="1"/>
      <c r="B1361" s="2"/>
      <c r="C1361" s="8"/>
      <c r="D1361" s="169"/>
      <c r="E1361" s="170"/>
      <c r="F1361" s="170"/>
      <c r="G1361" s="170"/>
      <c r="H1361" s="170"/>
      <c r="I1361" s="170"/>
      <c r="J1361" s="170"/>
      <c r="K1361" s="170"/>
      <c r="L1361" s="170"/>
      <c r="M1361" s="170"/>
      <c r="N1361" s="170"/>
      <c r="O1361" s="170"/>
      <c r="P1361" s="171"/>
      <c r="Q1361" s="100"/>
      <c r="R1361" s="4"/>
    </row>
    <row r="1362" spans="1:18">
      <c r="A1362" s="1"/>
      <c r="B1362" s="2"/>
      <c r="C1362" s="8"/>
      <c r="D1362" s="172" t="s">
        <v>73</v>
      </c>
      <c r="E1362" s="173"/>
      <c r="F1362" s="173"/>
      <c r="G1362" s="173"/>
      <c r="H1362" s="173"/>
      <c r="I1362" s="173"/>
      <c r="J1362" s="173"/>
      <c r="K1362" s="141"/>
      <c r="L1362" s="174"/>
      <c r="M1362" s="153" t="s">
        <v>44</v>
      </c>
      <c r="N1362" s="175" t="s">
        <v>45</v>
      </c>
      <c r="O1362" s="176"/>
      <c r="P1362" s="154"/>
      <c r="Q1362" s="155"/>
      <c r="R1362" s="4"/>
    </row>
    <row r="1363" spans="1:18">
      <c r="A1363" s="1"/>
      <c r="B1363" s="2"/>
      <c r="C1363" s="8"/>
      <c r="D1363" s="109" t="s">
        <v>65</v>
      </c>
      <c r="E1363" s="110"/>
      <c r="F1363" s="110"/>
      <c r="G1363" s="110"/>
      <c r="H1363" s="110"/>
      <c r="I1363" s="110"/>
      <c r="J1363" s="110"/>
      <c r="K1363" s="177"/>
      <c r="L1363" s="178"/>
      <c r="M1363" s="179">
        <f>+[239]INICIO!$F$10</f>
        <v>0.24</v>
      </c>
      <c r="N1363" s="180">
        <f>ROUND(M1363*P1360,2)</f>
        <v>6655.92</v>
      </c>
      <c r="O1363" s="181"/>
      <c r="P1363" s="182"/>
      <c r="Q1363" s="119"/>
      <c r="R1363" s="4"/>
    </row>
    <row r="1364" spans="1:18">
      <c r="A1364" s="1"/>
      <c r="B1364" s="2"/>
      <c r="C1364" s="8"/>
      <c r="D1364" s="183" t="s">
        <v>67</v>
      </c>
      <c r="E1364" s="61"/>
      <c r="F1364" s="61"/>
      <c r="G1364" s="61"/>
      <c r="H1364" s="61"/>
      <c r="I1364" s="61"/>
      <c r="J1364" s="61"/>
      <c r="K1364" s="177"/>
      <c r="L1364" s="178"/>
      <c r="M1364" s="179">
        <f>+[239]INICIO!$F$11</f>
        <v>0.02</v>
      </c>
      <c r="N1364" s="180">
        <f>ROUND(M1364*P1360,2)</f>
        <v>554.66</v>
      </c>
      <c r="O1364" s="181"/>
      <c r="P1364" s="182"/>
      <c r="Q1364" s="119"/>
      <c r="R1364" s="4"/>
    </row>
    <row r="1365" spans="1:18" ht="15.75" thickBot="1">
      <c r="A1365" s="1"/>
      <c r="B1365" s="2"/>
      <c r="C1365" s="8"/>
      <c r="D1365" s="77" t="s">
        <v>69</v>
      </c>
      <c r="E1365" s="78"/>
      <c r="F1365" s="78"/>
      <c r="G1365" s="78"/>
      <c r="H1365" s="78"/>
      <c r="I1365" s="78"/>
      <c r="J1365" s="78"/>
      <c r="K1365" s="184"/>
      <c r="L1365" s="185"/>
      <c r="M1365" s="179">
        <f>+[239]INICIO!$F$12</f>
        <v>7.0000000000000007E-2</v>
      </c>
      <c r="N1365" s="180">
        <f>ROUND(M1365*P1360,2)</f>
        <v>1941.31</v>
      </c>
      <c r="O1365" s="181"/>
      <c r="P1365" s="182"/>
      <c r="Q1365" s="119"/>
      <c r="R1365" s="4"/>
    </row>
    <row r="1366" spans="1:18" ht="15.75" thickBot="1">
      <c r="A1366" s="1"/>
      <c r="B1366" s="2"/>
      <c r="C1366" s="8"/>
      <c r="D1366" s="128"/>
      <c r="E1366" s="129"/>
      <c r="F1366" s="129"/>
      <c r="G1366" s="129"/>
      <c r="H1366" s="129"/>
      <c r="I1366" s="129"/>
      <c r="J1366" s="129"/>
      <c r="K1366" s="129"/>
      <c r="L1366" s="129"/>
      <c r="M1366" s="129"/>
      <c r="N1366" s="129"/>
      <c r="O1366" s="130"/>
      <c r="P1366" s="131">
        <f>SUM(N1363:N1365)</f>
        <v>9151.89</v>
      </c>
      <c r="Q1366" s="186"/>
      <c r="R1366" s="4"/>
    </row>
    <row r="1367" spans="1:18" ht="15.75" thickBot="1">
      <c r="A1367" s="1"/>
      <c r="B1367" s="2"/>
      <c r="C1367" s="8"/>
      <c r="D1367" s="87"/>
      <c r="E1367" s="20"/>
      <c r="F1367" s="20"/>
      <c r="G1367" s="20"/>
      <c r="H1367" s="20"/>
      <c r="I1367" s="20"/>
      <c r="J1367" s="20"/>
      <c r="K1367" s="20"/>
      <c r="L1367" s="20"/>
      <c r="M1367" s="20"/>
      <c r="N1367" s="20"/>
      <c r="O1367" s="20"/>
      <c r="P1367" s="88"/>
      <c r="Q1367" s="13"/>
      <c r="R1367" s="4"/>
    </row>
    <row r="1368" spans="1:18" ht="15.75" thickBot="1">
      <c r="A1368" s="1"/>
      <c r="B1368" s="2"/>
      <c r="C1368" s="8"/>
      <c r="D1368" s="187" t="s">
        <v>46</v>
      </c>
      <c r="E1368" s="188"/>
      <c r="F1368" s="188"/>
      <c r="G1368" s="188"/>
      <c r="H1368" s="188"/>
      <c r="I1368" s="188"/>
      <c r="J1368" s="188"/>
      <c r="K1368" s="188"/>
      <c r="L1368" s="188"/>
      <c r="M1368" s="188"/>
      <c r="N1368" s="188"/>
      <c r="O1368" s="189"/>
      <c r="P1368" s="166">
        <f>ROUND(P1366+P1360,0)</f>
        <v>36885</v>
      </c>
      <c r="Q1368" s="186"/>
      <c r="R1368" s="4"/>
    </row>
    <row r="1369" spans="1:18">
      <c r="A1369" s="1"/>
      <c r="B1369" s="2"/>
      <c r="C1369" s="8"/>
      <c r="D1369" s="80"/>
      <c r="E1369" s="81"/>
      <c r="F1369" s="81"/>
      <c r="G1369" s="81"/>
      <c r="H1369" s="81"/>
      <c r="I1369" s="81"/>
      <c r="J1369" s="81"/>
      <c r="K1369" s="81"/>
      <c r="L1369" s="81"/>
      <c r="M1369" s="81"/>
      <c r="N1369" s="81"/>
      <c r="O1369" s="81"/>
      <c r="P1369" s="82"/>
      <c r="Q1369" s="13"/>
      <c r="R1369" s="4"/>
    </row>
    <row r="1370" spans="1:18">
      <c r="A1370" s="1"/>
      <c r="B1370" s="2"/>
      <c r="C1370" s="8"/>
      <c r="D1370" s="87"/>
      <c r="E1370" s="20"/>
      <c r="F1370" s="20"/>
      <c r="G1370" s="20"/>
      <c r="H1370" s="20"/>
      <c r="I1370" s="20"/>
      <c r="J1370" s="20"/>
      <c r="K1370" s="20"/>
      <c r="L1370" s="20"/>
      <c r="M1370" s="20"/>
      <c r="N1370" s="20"/>
      <c r="O1370" s="20"/>
      <c r="P1370" s="88"/>
      <c r="Q1370" s="13"/>
      <c r="R1370" s="4"/>
    </row>
    <row r="1371" spans="1:18">
      <c r="A1371" s="1"/>
      <c r="B1371" s="2"/>
      <c r="C1371" s="8"/>
      <c r="D1371" s="87"/>
      <c r="E1371" s="20"/>
      <c r="F1371" s="20"/>
      <c r="G1371" s="20"/>
      <c r="H1371" s="20"/>
      <c r="I1371" s="20"/>
      <c r="J1371" s="20"/>
      <c r="K1371" s="20"/>
      <c r="L1371" s="20"/>
      <c r="M1371" s="20"/>
      <c r="N1371" s="20"/>
      <c r="O1371" s="20"/>
      <c r="P1371" s="88"/>
      <c r="Q1371" s="13"/>
      <c r="R1371" s="4"/>
    </row>
    <row r="1372" spans="1:18">
      <c r="A1372" s="1"/>
      <c r="B1372" s="2"/>
      <c r="C1372" s="8"/>
      <c r="D1372" s="87"/>
      <c r="E1372" s="20"/>
      <c r="F1372" s="20"/>
      <c r="G1372" s="20"/>
      <c r="H1372" s="20"/>
      <c r="I1372" s="20"/>
      <c r="J1372" s="20"/>
      <c r="K1372" s="20"/>
      <c r="L1372" s="20"/>
      <c r="M1372" s="20"/>
      <c r="N1372" s="20"/>
      <c r="O1372" s="20"/>
      <c r="P1372" s="88"/>
      <c r="Q1372" s="13"/>
      <c r="R1372" s="4"/>
    </row>
    <row r="1373" spans="1:18">
      <c r="A1373" s="1"/>
      <c r="B1373" s="2"/>
      <c r="C1373" s="8"/>
      <c r="D1373" s="219" t="str">
        <f>+[239]INICIO!$B$13</f>
        <v>Proyectó:</v>
      </c>
      <c r="E1373" s="49"/>
      <c r="F1373" s="49"/>
      <c r="G1373" s="49"/>
      <c r="H1373" s="49"/>
      <c r="I1373" s="49"/>
      <c r="J1373" s="49"/>
      <c r="K1373" s="20"/>
      <c r="L1373" s="69" t="str">
        <f>+[239]INICIO!$B$16</f>
        <v>Aprobó:</v>
      </c>
      <c r="M1373" s="49"/>
      <c r="N1373" s="49"/>
      <c r="O1373" s="49"/>
      <c r="P1373" s="88"/>
      <c r="Q1373" s="13"/>
      <c r="R1373" s="4"/>
    </row>
    <row r="1374" spans="1:18">
      <c r="A1374" s="1"/>
      <c r="B1374" s="2"/>
      <c r="C1374" s="8"/>
      <c r="D1374" s="87"/>
      <c r="E1374" s="20" t="str">
        <f>+Hoja2!C$13</f>
        <v>HELMER EDUARDO BECERRA SANTANDER</v>
      </c>
      <c r="F1374" s="20"/>
      <c r="G1374" s="20"/>
      <c r="H1374" s="20"/>
      <c r="I1374" s="20"/>
      <c r="J1374" s="20"/>
      <c r="K1374" s="20"/>
      <c r="L1374" s="20"/>
      <c r="M1374" s="20" t="str">
        <f>+Hoja2!$C$16</f>
        <v>JESÚS IVÁN QUIÑONES RUEDA</v>
      </c>
      <c r="N1374" s="20"/>
      <c r="O1374" s="20"/>
      <c r="P1374" s="88"/>
      <c r="Q1374" s="190"/>
      <c r="R1374" s="4"/>
    </row>
    <row r="1375" spans="1:18">
      <c r="A1375" s="1"/>
      <c r="B1375" s="2"/>
      <c r="C1375" s="8"/>
      <c r="D1375" s="87"/>
      <c r="E1375" s="20" t="str">
        <f>+Hoja2!C$14</f>
        <v>APOYO SEC. DE PLANEACIÓN Y OBRAS PÚBLICAS</v>
      </c>
      <c r="F1375" s="20"/>
      <c r="G1375" s="20"/>
      <c r="H1375" s="20"/>
      <c r="I1375" s="20"/>
      <c r="J1375" s="20"/>
      <c r="K1375" s="20"/>
      <c r="L1375" s="20"/>
      <c r="M1375" s="20" t="str">
        <f>+Hoja2!$C$17</f>
        <v>SECRETARIO DE PLANEACIÓN Y OBRAS PUBLICAS</v>
      </c>
      <c r="N1375" s="20"/>
      <c r="O1375" s="20"/>
      <c r="P1375" s="88"/>
      <c r="Q1375" s="190"/>
      <c r="R1375" s="4"/>
    </row>
    <row r="1376" spans="1:18">
      <c r="A1376" s="1"/>
      <c r="B1376" s="2"/>
      <c r="C1376" s="8"/>
      <c r="D1376" s="68"/>
      <c r="E1376" s="20" t="str">
        <f>+Hoja2!C$15</f>
        <v>123769-0701671 NTS</v>
      </c>
      <c r="F1376" s="191"/>
      <c r="G1376" s="191"/>
      <c r="H1376" s="191"/>
      <c r="I1376" s="20"/>
      <c r="J1376" s="191"/>
      <c r="K1376" s="191"/>
      <c r="L1376" s="191"/>
      <c r="M1376" s="192" t="str">
        <f>+Hoja2!C$18</f>
        <v>A21382020-1090480860</v>
      </c>
      <c r="N1376" s="191"/>
      <c r="O1376" s="191"/>
      <c r="P1376" s="193"/>
      <c r="Q1376" s="194"/>
      <c r="R1376" s="4"/>
    </row>
    <row r="1377" spans="1:18" ht="16.5" thickBot="1">
      <c r="A1377" s="1"/>
      <c r="B1377" s="2"/>
      <c r="C1377" s="8"/>
      <c r="D1377" s="195"/>
      <c r="E1377" s="150"/>
      <c r="F1377" s="150"/>
      <c r="G1377" s="150"/>
      <c r="H1377" s="150"/>
      <c r="I1377" s="150"/>
      <c r="J1377" s="150"/>
      <c r="K1377" s="150"/>
      <c r="L1377" s="150"/>
      <c r="M1377" s="150"/>
      <c r="N1377" s="150"/>
      <c r="O1377" s="150"/>
      <c r="P1377" s="196"/>
      <c r="Q1377" s="197"/>
      <c r="R1377" s="4"/>
    </row>
    <row r="1378" spans="1:18" ht="15.75" thickBot="1">
      <c r="A1378" s="1"/>
      <c r="B1378" s="2"/>
      <c r="C1378" s="198"/>
      <c r="D1378" s="199"/>
      <c r="E1378" s="199"/>
      <c r="F1378" s="199"/>
      <c r="G1378" s="199"/>
      <c r="H1378" s="199"/>
      <c r="I1378" s="199"/>
      <c r="J1378" s="199"/>
      <c r="K1378" s="199"/>
      <c r="L1378" s="199"/>
      <c r="M1378" s="199"/>
      <c r="N1378" s="199"/>
      <c r="O1378" s="199"/>
      <c r="P1378" s="199"/>
      <c r="Q1378" s="200"/>
      <c r="R1378" s="4"/>
    </row>
    <row r="1379" spans="1:18" ht="15.75" thickTop="1"/>
    <row r="1380" spans="1:18" ht="15.75" thickBot="1"/>
    <row r="1381" spans="1:18" ht="15.75" thickTop="1">
      <c r="A1381" s="1"/>
      <c r="B1381" s="2"/>
      <c r="C1381" s="5"/>
      <c r="D1381" s="6"/>
      <c r="E1381" s="6"/>
      <c r="F1381" s="6"/>
      <c r="G1381" s="6"/>
      <c r="H1381" s="6"/>
      <c r="I1381" s="6"/>
      <c r="J1381" s="6"/>
      <c r="K1381" s="6"/>
      <c r="L1381" s="6"/>
      <c r="M1381" s="6"/>
      <c r="N1381" s="6"/>
      <c r="O1381" s="6"/>
      <c r="P1381" s="6"/>
      <c r="Q1381" s="7"/>
      <c r="R1381" s="4"/>
    </row>
    <row r="1382" spans="1:18" ht="24">
      <c r="A1382" s="1"/>
      <c r="B1382" s="2"/>
      <c r="C1382" s="8"/>
      <c r="D1382" s="9" t="str">
        <f>+[239]INICIO!$C$8</f>
        <v>Análisis de Precios Unitarios- Secretaria de Planeación y Obras Publicas de Cubará, Boyacá.</v>
      </c>
      <c r="E1382" s="10"/>
      <c r="F1382" s="10"/>
      <c r="G1382" s="10"/>
      <c r="H1382" s="11"/>
      <c r="I1382" s="12"/>
      <c r="J1382" s="12"/>
      <c r="K1382" s="12"/>
      <c r="L1382" s="12"/>
      <c r="M1382" s="12"/>
      <c r="N1382" s="12"/>
      <c r="O1382" s="12"/>
      <c r="P1382" s="12"/>
      <c r="Q1382" s="13"/>
      <c r="R1382" s="4"/>
    </row>
    <row r="1383" spans="1:18">
      <c r="A1383" s="1"/>
      <c r="B1383" s="2"/>
      <c r="C1383" s="8"/>
      <c r="D1383" s="14" t="s">
        <v>0</v>
      </c>
      <c r="E1383" s="15" t="str">
        <f>+[239]INICIO!$C$7</f>
        <v>CCE-EICP-FM-14</v>
      </c>
      <c r="F1383" s="16"/>
      <c r="G1383" s="17" t="str">
        <f>+[239]INICIO!$B$6</f>
        <v>VERSIÓN</v>
      </c>
      <c r="H1383" s="14">
        <f>+[239]INICIO!$C$6</f>
        <v>1</v>
      </c>
      <c r="I1383" s="12"/>
      <c r="J1383" s="12"/>
      <c r="K1383" s="12"/>
      <c r="L1383" s="12"/>
      <c r="M1383" s="12"/>
      <c r="N1383" s="12"/>
      <c r="O1383" s="12"/>
      <c r="P1383" s="12"/>
      <c r="Q1383" s="13"/>
      <c r="R1383" s="4"/>
    </row>
    <row r="1384" spans="1:18">
      <c r="A1384" s="1"/>
      <c r="B1384" s="2"/>
      <c r="C1384" s="8"/>
      <c r="D1384" s="18"/>
      <c r="E1384" s="19"/>
      <c r="F1384" s="18"/>
      <c r="G1384" s="19"/>
      <c r="H1384" s="12"/>
      <c r="I1384" s="12"/>
      <c r="J1384" s="12"/>
      <c r="K1384" s="12"/>
      <c r="L1384" s="12"/>
      <c r="M1384" s="12"/>
      <c r="N1384" s="12"/>
      <c r="O1384" s="12"/>
      <c r="P1384" s="12"/>
      <c r="Q1384" s="13"/>
      <c r="R1384" s="4"/>
    </row>
    <row r="1385" spans="1:18" ht="15.75" thickBot="1">
      <c r="A1385" s="1"/>
      <c r="B1385" s="2"/>
      <c r="C1385" s="8"/>
      <c r="D1385" s="20"/>
      <c r="E1385" s="20"/>
      <c r="F1385" s="20"/>
      <c r="G1385" s="20"/>
      <c r="H1385" s="20"/>
      <c r="I1385" s="20"/>
      <c r="J1385" s="20"/>
      <c r="K1385" s="20"/>
      <c r="L1385" s="20"/>
      <c r="M1385" s="20"/>
      <c r="N1385" s="20"/>
      <c r="O1385" s="20"/>
      <c r="P1385" s="20"/>
      <c r="Q1385" s="13"/>
      <c r="R1385" s="4"/>
    </row>
    <row r="1386" spans="1:18">
      <c r="A1386" s="1"/>
      <c r="B1386" s="2"/>
      <c r="C1386" s="8"/>
      <c r="D1386" s="21"/>
      <c r="E1386" s="22"/>
      <c r="F1386" s="23"/>
      <c r="G1386" s="23"/>
      <c r="H1386" s="23"/>
      <c r="I1386" s="23"/>
      <c r="J1386" s="23"/>
      <c r="K1386" s="23"/>
      <c r="L1386" s="24"/>
      <c r="M1386" s="25"/>
      <c r="N1386" s="26"/>
      <c r="O1386" s="26"/>
      <c r="P1386" s="27"/>
      <c r="Q1386" s="28"/>
      <c r="R1386" s="4"/>
    </row>
    <row r="1387" spans="1:18">
      <c r="A1387" s="1"/>
      <c r="B1387" s="2"/>
      <c r="C1387" s="8"/>
      <c r="D1387" s="29"/>
      <c r="E1387" s="30" t="s">
        <v>1</v>
      </c>
      <c r="F1387" s="31"/>
      <c r="G1387" s="31"/>
      <c r="H1387" s="31"/>
      <c r="I1387" s="31"/>
      <c r="J1387" s="31"/>
      <c r="K1387" s="31"/>
      <c r="L1387" s="32"/>
      <c r="M1387" s="33"/>
      <c r="N1387" s="34"/>
      <c r="O1387" s="34"/>
      <c r="P1387" s="35"/>
      <c r="Q1387" s="28"/>
      <c r="R1387" s="4"/>
    </row>
    <row r="1388" spans="1:18">
      <c r="A1388" s="1"/>
      <c r="B1388" s="2"/>
      <c r="C1388" s="8"/>
      <c r="D1388" s="29"/>
      <c r="E1388" s="36"/>
      <c r="F1388" s="37"/>
      <c r="G1388" s="37"/>
      <c r="H1388" s="37"/>
      <c r="I1388" s="37"/>
      <c r="J1388" s="37"/>
      <c r="K1388" s="37"/>
      <c r="L1388" s="38"/>
      <c r="M1388" s="39"/>
      <c r="N1388" s="40"/>
      <c r="O1388" s="41"/>
      <c r="P1388" s="42"/>
      <c r="Q1388" s="28"/>
      <c r="R1388" s="4"/>
    </row>
    <row r="1389" spans="1:18">
      <c r="A1389" s="1"/>
      <c r="B1389" s="2"/>
      <c r="C1389" s="8"/>
      <c r="D1389" s="29"/>
      <c r="E1389" s="36"/>
      <c r="F1389" s="37"/>
      <c r="G1389" s="37"/>
      <c r="H1389" s="37"/>
      <c r="I1389" s="37"/>
      <c r="J1389" s="37"/>
      <c r="K1389" s="37"/>
      <c r="L1389" s="38"/>
      <c r="M1389" s="43" t="s">
        <v>2</v>
      </c>
      <c r="N1389" s="44"/>
      <c r="O1389" s="45">
        <f>+[239]INICIO!$C$6</f>
        <v>1</v>
      </c>
      <c r="P1389" s="46"/>
      <c r="Q1389" s="28"/>
      <c r="R1389" s="4"/>
    </row>
    <row r="1390" spans="1:18">
      <c r="A1390" s="1"/>
      <c r="B1390" s="2"/>
      <c r="C1390" s="8"/>
      <c r="D1390" s="29"/>
      <c r="E1390" s="36"/>
      <c r="F1390" s="37"/>
      <c r="G1390" s="37"/>
      <c r="H1390" s="37"/>
      <c r="I1390" s="37"/>
      <c r="J1390" s="37"/>
      <c r="K1390" s="37"/>
      <c r="L1390" s="38"/>
      <c r="M1390" s="47"/>
      <c r="N1390" s="48"/>
      <c r="O1390" s="49"/>
      <c r="P1390" s="50"/>
      <c r="Q1390" s="51"/>
      <c r="R1390" s="4"/>
    </row>
    <row r="1391" spans="1:18">
      <c r="A1391" s="1"/>
      <c r="B1391" s="2"/>
      <c r="C1391" s="8"/>
      <c r="D1391" s="29"/>
      <c r="E1391" s="52"/>
      <c r="F1391" s="53"/>
      <c r="G1391" s="53"/>
      <c r="H1391" s="53"/>
      <c r="I1391" s="53"/>
      <c r="J1391" s="53"/>
      <c r="K1391" s="53"/>
      <c r="L1391" s="54"/>
      <c r="M1391" s="39"/>
      <c r="N1391" s="55"/>
      <c r="O1391" s="55"/>
      <c r="P1391" s="56"/>
      <c r="Q1391" s="28"/>
      <c r="R1391" s="4"/>
    </row>
    <row r="1392" spans="1:18">
      <c r="A1392" s="1"/>
      <c r="B1392" s="2"/>
      <c r="C1392" s="8"/>
      <c r="D1392" s="29"/>
      <c r="E1392" s="52"/>
      <c r="F1392" s="53"/>
      <c r="G1392" s="53"/>
      <c r="H1392" s="53"/>
      <c r="I1392" s="53"/>
      <c r="J1392" s="53"/>
      <c r="K1392" s="53"/>
      <c r="L1392" s="54"/>
      <c r="M1392" s="43" t="s">
        <v>3</v>
      </c>
      <c r="N1392" s="43" t="str">
        <f>+VLOOKUP(D1403,'PRESUPUESTO OFICIAL '!C:Q,9,FALSE)</f>
        <v>53</v>
      </c>
      <c r="O1392" s="43" t="s">
        <v>4</v>
      </c>
      <c r="P1392" s="508" t="str">
        <f>+'PRESUPUESTO OFICIAL '!$M$122</f>
        <v>62</v>
      </c>
      <c r="Q1392" s="28"/>
      <c r="R1392" s="4"/>
    </row>
    <row r="1393" spans="1:18">
      <c r="A1393" s="1"/>
      <c r="B1393" s="2"/>
      <c r="C1393" s="8"/>
      <c r="D1393" s="29"/>
      <c r="E1393" s="30" t="s">
        <v>5</v>
      </c>
      <c r="F1393" s="31"/>
      <c r="G1393" s="31"/>
      <c r="H1393" s="31"/>
      <c r="I1393" s="31"/>
      <c r="J1393" s="31"/>
      <c r="K1393" s="31"/>
      <c r="L1393" s="32"/>
      <c r="M1393" s="43"/>
      <c r="N1393" s="57"/>
      <c r="O1393" s="57"/>
      <c r="P1393" s="58"/>
      <c r="Q1393" s="28"/>
      <c r="R1393" s="4"/>
    </row>
    <row r="1394" spans="1:18" ht="15.75" thickBot="1">
      <c r="A1394" s="1"/>
      <c r="B1394" s="2"/>
      <c r="C1394" s="8"/>
      <c r="D1394" s="59"/>
      <c r="E1394" s="60"/>
      <c r="F1394" s="60"/>
      <c r="G1394" s="60"/>
      <c r="H1394" s="60"/>
      <c r="I1394" s="60"/>
      <c r="J1394" s="60"/>
      <c r="K1394" s="60"/>
      <c r="L1394" s="60"/>
      <c r="M1394" s="60"/>
      <c r="N1394" s="61"/>
      <c r="O1394" s="61"/>
      <c r="P1394" s="62"/>
      <c r="Q1394" s="63"/>
      <c r="R1394" s="4"/>
    </row>
    <row r="1395" spans="1:18">
      <c r="A1395" s="1"/>
      <c r="B1395" s="2"/>
      <c r="C1395" s="8"/>
      <c r="D1395" s="64"/>
      <c r="E1395" s="65"/>
      <c r="F1395" s="65"/>
      <c r="G1395" s="65"/>
      <c r="H1395" s="65"/>
      <c r="I1395" s="65"/>
      <c r="J1395" s="65"/>
      <c r="K1395" s="65"/>
      <c r="L1395" s="65"/>
      <c r="M1395" s="66" t="s">
        <v>6</v>
      </c>
      <c r="N1395" s="66" t="s">
        <v>7</v>
      </c>
      <c r="O1395" s="66" t="s">
        <v>8</v>
      </c>
      <c r="P1395" s="67" t="s">
        <v>9</v>
      </c>
      <c r="Q1395" s="51"/>
      <c r="R1395" s="4"/>
    </row>
    <row r="1396" spans="1:18">
      <c r="A1396" s="1"/>
      <c r="B1396" s="2"/>
      <c r="C1396" s="8"/>
      <c r="D1396" s="68"/>
      <c r="E1396" s="69"/>
      <c r="F1396" s="69"/>
      <c r="G1396" s="69"/>
      <c r="H1396" s="69"/>
      <c r="I1396" s="69"/>
      <c r="J1396" s="69"/>
      <c r="K1396" s="69"/>
      <c r="L1396" s="69"/>
      <c r="M1396" s="70"/>
      <c r="N1396" s="71">
        <f>+Hoja2!B$5</f>
        <v>5</v>
      </c>
      <c r="O1396" s="71">
        <f>+Hoja2!C$5</f>
        <v>8</v>
      </c>
      <c r="P1396" s="72">
        <f>+Hoja2!D$5</f>
        <v>2026</v>
      </c>
      <c r="Q1396" s="73"/>
      <c r="R1396" s="4"/>
    </row>
    <row r="1397" spans="1:18">
      <c r="A1397" s="1"/>
      <c r="B1397" s="2"/>
      <c r="C1397" s="8"/>
      <c r="D1397" s="74"/>
      <c r="E1397" s="37"/>
      <c r="F1397" s="37"/>
      <c r="G1397" s="37"/>
      <c r="H1397" s="69"/>
      <c r="I1397" s="69"/>
      <c r="J1397" s="69"/>
      <c r="K1397" s="20"/>
      <c r="L1397" s="69"/>
      <c r="M1397" s="75"/>
      <c r="N1397" s="20"/>
      <c r="O1397" s="20"/>
      <c r="P1397" s="76"/>
      <c r="Q1397" s="73"/>
      <c r="R1397" s="4"/>
    </row>
    <row r="1398" spans="1:18" ht="15.75" thickBot="1">
      <c r="A1398" s="1"/>
      <c r="B1398" s="2"/>
      <c r="C1398" s="8"/>
      <c r="D1398" s="77"/>
      <c r="E1398" s="78"/>
      <c r="F1398" s="78"/>
      <c r="G1398" s="78"/>
      <c r="H1398" s="78"/>
      <c r="I1398" s="78"/>
      <c r="J1398" s="78"/>
      <c r="K1398" s="78"/>
      <c r="L1398" s="78"/>
      <c r="M1398" s="78"/>
      <c r="N1398" s="78"/>
      <c r="O1398" s="78"/>
      <c r="P1398" s="79"/>
      <c r="Q1398" s="13"/>
      <c r="R1398" s="4"/>
    </row>
    <row r="1399" spans="1:18" ht="15.75" thickBot="1">
      <c r="A1399" s="1"/>
      <c r="B1399" s="2"/>
      <c r="C1399" s="8"/>
      <c r="D1399" s="80"/>
      <c r="E1399" s="81"/>
      <c r="F1399" s="81"/>
      <c r="G1399" s="81"/>
      <c r="H1399" s="81"/>
      <c r="I1399" s="81"/>
      <c r="J1399" s="20"/>
      <c r="K1399" s="20"/>
      <c r="L1399" s="81"/>
      <c r="M1399" s="81"/>
      <c r="N1399" s="81"/>
      <c r="O1399" s="81"/>
      <c r="P1399" s="82"/>
      <c r="Q1399" s="13"/>
      <c r="R1399" s="4"/>
    </row>
    <row r="1400" spans="1:18">
      <c r="A1400" s="1"/>
      <c r="B1400" s="2"/>
      <c r="C1400" s="8"/>
      <c r="D1400" s="83" t="s">
        <v>10</v>
      </c>
      <c r="E1400" s="84"/>
      <c r="F1400" s="84"/>
      <c r="G1400" s="84"/>
      <c r="H1400" s="84"/>
      <c r="I1400" s="84"/>
      <c r="J1400" s="84"/>
      <c r="K1400" s="84"/>
      <c r="L1400" s="84"/>
      <c r="M1400" s="84"/>
      <c r="N1400" s="84"/>
      <c r="O1400" s="84"/>
      <c r="P1400" s="85"/>
      <c r="Q1400" s="86"/>
      <c r="R1400" s="4"/>
    </row>
    <row r="1401" spans="1:18" ht="15.75" thickBot="1">
      <c r="A1401" s="1"/>
      <c r="B1401" s="2"/>
      <c r="C1401" s="8"/>
      <c r="D1401" s="87"/>
      <c r="E1401" s="20"/>
      <c r="F1401" s="20"/>
      <c r="G1401" s="20"/>
      <c r="H1401" s="20"/>
      <c r="I1401" s="20"/>
      <c r="J1401" s="20"/>
      <c r="K1401" s="20"/>
      <c r="L1401" s="20"/>
      <c r="M1401" s="20"/>
      <c r="N1401" s="20"/>
      <c r="O1401" s="20"/>
      <c r="P1401" s="88"/>
      <c r="Q1401" s="13"/>
      <c r="R1401" s="4"/>
    </row>
    <row r="1402" spans="1:18">
      <c r="A1402" s="1" t="s">
        <v>11</v>
      </c>
      <c r="B1402" s="2" t="s">
        <v>12</v>
      </c>
      <c r="C1402" s="8"/>
      <c r="D1402" s="89" t="s">
        <v>13</v>
      </c>
      <c r="E1402" s="90" t="s">
        <v>14</v>
      </c>
      <c r="F1402" s="90"/>
      <c r="G1402" s="90"/>
      <c r="H1402" s="90"/>
      <c r="I1402" s="90"/>
      <c r="J1402" s="90"/>
      <c r="K1402" s="90"/>
      <c r="L1402" s="90"/>
      <c r="M1402" s="90"/>
      <c r="N1402" s="91" t="s">
        <v>15</v>
      </c>
      <c r="O1402" s="91"/>
      <c r="P1402" s="92" t="s">
        <v>16</v>
      </c>
      <c r="Q1402" s="93"/>
      <c r="R1402" s="4"/>
    </row>
    <row r="1403" spans="1:18" ht="38.25" customHeight="1" thickBot="1">
      <c r="A1403" s="1"/>
      <c r="B1403" s="2"/>
      <c r="C1403" s="8"/>
      <c r="D1403" s="349">
        <f>+'PRESUPUESTO OFICIAL '!C83</f>
        <v>7.04</v>
      </c>
      <c r="E1403" s="94" t="str">
        <f>+VLOOKUP(D1403,'PRESUPUESTO OFICIAL '!C:H,2,FALSE)</f>
        <v>SUMINISTRO E INSTALACIÓN DE CUBIERTA EN TEJA MASTER 1000 CAL.28 1,00 X 3,05 M</v>
      </c>
      <c r="F1403" s="94"/>
      <c r="G1403" s="94"/>
      <c r="H1403" s="94"/>
      <c r="I1403" s="94"/>
      <c r="J1403" s="94"/>
      <c r="K1403" s="94"/>
      <c r="L1403" s="94"/>
      <c r="M1403" s="94"/>
      <c r="N1403" s="94" t="str">
        <f>+VLOOKUP(D1403,'PRESUPUESTO OFICIAL '!C:H,3,FALSE)</f>
        <v>M2</v>
      </c>
      <c r="O1403" s="95"/>
      <c r="P1403" s="96">
        <f>+VLOOKUP(D1403,'PRESUPUESTO OFICIAL '!C:H,4,FALSE)</f>
        <v>1439.84</v>
      </c>
      <c r="Q1403" s="97"/>
      <c r="R1403" s="98">
        <f>+P1455</f>
        <v>84966</v>
      </c>
    </row>
    <row r="1404" spans="1:18" ht="15.75" thickBot="1">
      <c r="A1404" s="1"/>
      <c r="B1404" s="2"/>
      <c r="C1404" s="8"/>
      <c r="D1404" s="74" t="s">
        <v>17</v>
      </c>
      <c r="E1404" s="37"/>
      <c r="F1404" s="37"/>
      <c r="G1404" s="37"/>
      <c r="H1404" s="37"/>
      <c r="I1404" s="37"/>
      <c r="J1404" s="37"/>
      <c r="K1404" s="37"/>
      <c r="L1404" s="37"/>
      <c r="M1404" s="37"/>
      <c r="N1404" s="37"/>
      <c r="O1404" s="37"/>
      <c r="P1404" s="99"/>
      <c r="Q1404" s="100"/>
      <c r="R1404" s="4"/>
    </row>
    <row r="1405" spans="1:18">
      <c r="A1405" s="1"/>
      <c r="B1405" s="2"/>
      <c r="C1405" s="8"/>
      <c r="D1405" s="101" t="s">
        <v>14</v>
      </c>
      <c r="E1405" s="102"/>
      <c r="F1405" s="102"/>
      <c r="G1405" s="102"/>
      <c r="H1405" s="103"/>
      <c r="I1405" s="104" t="s">
        <v>18</v>
      </c>
      <c r="J1405" s="102"/>
      <c r="K1405" s="104" t="s">
        <v>19</v>
      </c>
      <c r="L1405" s="105"/>
      <c r="M1405" s="106" t="s">
        <v>20</v>
      </c>
      <c r="N1405" s="104" t="s">
        <v>21</v>
      </c>
      <c r="O1405" s="105"/>
      <c r="P1405" s="107" t="s">
        <v>22</v>
      </c>
      <c r="Q1405" s="108"/>
      <c r="R1405" s="4"/>
    </row>
    <row r="1406" spans="1:18">
      <c r="A1406" s="1" t="e">
        <f>[239]INDICE!#REF!</f>
        <v>#REF!</v>
      </c>
      <c r="B1406" s="2" t="s">
        <v>23</v>
      </c>
      <c r="C1406" s="8"/>
      <c r="D1406" s="109" t="str">
        <f>IFERROR(INDEX([239]EQUIPOS!B:B,MATCH(B1406,[239]EQUIPOS!A:A,0)),"")</f>
        <v>HERRAMIENTA MENOR (% M.O)</v>
      </c>
      <c r="E1406" s="110"/>
      <c r="F1406" s="110"/>
      <c r="G1406" s="110"/>
      <c r="H1406" s="111"/>
      <c r="I1406" s="112"/>
      <c r="J1406" s="111"/>
      <c r="K1406" s="113" t="str">
        <f>IFERROR(INDEX([239]EQUIPOS!C:C,MATCH(B1406,[239]EQUIPOS!A:A,0)),"")</f>
        <v>%</v>
      </c>
      <c r="L1406" s="114"/>
      <c r="M1406" s="115">
        <f>IFERROR(IF(D1406="HERRAMIENTA MENOR (% M.O)",P1445,INDEX([239]EQUIPOS!D:D,MATCH(B1406,[239]EQUIPOS!A:A,0))),"")</f>
        <v>16298.64</v>
      </c>
      <c r="N1406" s="116">
        <v>10</v>
      </c>
      <c r="O1406" s="117"/>
      <c r="P1406" s="118">
        <f t="shared" ref="P1406:P1411" si="48">IFERROR(ROUND(IF(D1406="HERRAMIENTA MENOR (% M.O)",N1406%*M1406,M1406/N1406),2)," ")</f>
        <v>1629.86</v>
      </c>
      <c r="Q1406" s="119"/>
      <c r="R1406" s="4"/>
    </row>
    <row r="1407" spans="1:18">
      <c r="A1407" s="1">
        <f>+$A$2593</f>
        <v>0</v>
      </c>
      <c r="B1407" s="2" t="s">
        <v>342</v>
      </c>
      <c r="C1407" s="8"/>
      <c r="D1407" s="109" t="str">
        <f>IFERROR(INDEX([239]EQUIPOS!B:B,MATCH(B1407,[239]EQUIPOS!A:A,0)),"")</f>
        <v>TALADRO</v>
      </c>
      <c r="E1407" s="110"/>
      <c r="F1407" s="110"/>
      <c r="G1407" s="110"/>
      <c r="H1407" s="111"/>
      <c r="I1407" s="112"/>
      <c r="J1407" s="111"/>
      <c r="K1407" s="113" t="str">
        <f>IFERROR(INDEX([239]EQUIPOS!C:C,MATCH(B1407,[239]EQUIPOS!A:A,0)),"")</f>
        <v>DIA</v>
      </c>
      <c r="L1407" s="114"/>
      <c r="M1407" s="115">
        <f>IFERROR(IF(D1407="HERRAMIENTA MENOR (% M.O)",P1446,INDEX([239]EQUIPOS!D:D,MATCH(B1407,[239]EQUIPOS!A:A,0))),"")</f>
        <v>36968</v>
      </c>
      <c r="N1407" s="116">
        <v>160</v>
      </c>
      <c r="O1407" s="117"/>
      <c r="P1407" s="118">
        <f t="shared" si="48"/>
        <v>231.05</v>
      </c>
      <c r="Q1407" s="119"/>
      <c r="R1407" s="4"/>
    </row>
    <row r="1408" spans="1:18">
      <c r="A1408" s="1">
        <f t="shared" ref="A1408:A1446" si="49">+A1407</f>
        <v>0</v>
      </c>
      <c r="B1408" s="2" t="s">
        <v>258</v>
      </c>
      <c r="C1408" s="8"/>
      <c r="D1408" s="109" t="str">
        <f>IFERROR(INDEX([239]EQUIPOS!B:B,MATCH(B1408,[239]EQUIPOS!A:A,0)),"")</f>
        <v>SECCIÓN DE ANDAMIO (02)</v>
      </c>
      <c r="E1408" s="110"/>
      <c r="F1408" s="110"/>
      <c r="G1408" s="110"/>
      <c r="H1408" s="111"/>
      <c r="I1408" s="120"/>
      <c r="J1408" s="121"/>
      <c r="K1408" s="113" t="str">
        <f>IFERROR(INDEX([239]EQUIPOS!C:C,MATCH(B1408,[239]EQUIPOS!A:A,0)),"")</f>
        <v>DIA</v>
      </c>
      <c r="L1408" s="114"/>
      <c r="M1408" s="115">
        <f>IFERROR(IF(D1408="HERRAMIENTA MENOR (% M.O)",P1447,INDEX([239]EQUIPOS!D:D,MATCH(B1408,[239]EQUIPOS!A:A,0))),"")</f>
        <v>6000</v>
      </c>
      <c r="N1408" s="116">
        <f>+N1440</f>
        <v>28.57</v>
      </c>
      <c r="O1408" s="117"/>
      <c r="P1408" s="118">
        <f t="shared" si="48"/>
        <v>210.01</v>
      </c>
      <c r="Q1408" s="119"/>
      <c r="R1408" s="4"/>
    </row>
    <row r="1409" spans="1:25">
      <c r="A1409" s="1">
        <f t="shared" si="49"/>
        <v>0</v>
      </c>
      <c r="B1409" s="2"/>
      <c r="C1409" s="8"/>
      <c r="D1409" s="109" t="str">
        <f>IFERROR(INDEX([239]EQUIPOS!B:B,MATCH(B1409,[239]EQUIPOS!A:A,0)),"")</f>
        <v/>
      </c>
      <c r="E1409" s="110"/>
      <c r="F1409" s="110"/>
      <c r="G1409" s="110"/>
      <c r="H1409" s="111"/>
      <c r="I1409" s="120"/>
      <c r="J1409" s="121"/>
      <c r="K1409" s="113" t="str">
        <f>IFERROR(INDEX([239]EQUIPOS!C:C,MATCH(B1409,[239]EQUIPOS!A:A,0)),"")</f>
        <v/>
      </c>
      <c r="L1409" s="114"/>
      <c r="M1409" s="115" t="str">
        <f>IFERROR(IF(D1409="HERRAMIENTA MENOR (% M.O)",P1448,INDEX([239]EQUIPOS!D:D,MATCH(B1409,[239]EQUIPOS!A:A,0))),"")</f>
        <v/>
      </c>
      <c r="N1409" s="116"/>
      <c r="O1409" s="117"/>
      <c r="P1409" s="118" t="str">
        <f t="shared" si="48"/>
        <v xml:space="preserve"> </v>
      </c>
      <c r="Q1409" s="119"/>
      <c r="R1409" s="4"/>
    </row>
    <row r="1410" spans="1:25">
      <c r="A1410" s="1">
        <f t="shared" si="49"/>
        <v>0</v>
      </c>
      <c r="B1410" s="2"/>
      <c r="C1410" s="8"/>
      <c r="D1410" s="109" t="str">
        <f>IFERROR(INDEX([239]EQUIPOS!B:B,MATCH(B1410,[239]EQUIPOS!A:A,0)),"")</f>
        <v/>
      </c>
      <c r="E1410" s="110"/>
      <c r="F1410" s="110"/>
      <c r="G1410" s="110"/>
      <c r="H1410" s="111"/>
      <c r="I1410" s="112"/>
      <c r="J1410" s="111"/>
      <c r="K1410" s="113" t="str">
        <f>IFERROR(INDEX([239]EQUIPOS!C:C,MATCH(B1410,[239]EQUIPOS!A:A,0)),"")</f>
        <v/>
      </c>
      <c r="L1410" s="114"/>
      <c r="M1410" s="115" t="str">
        <f>IFERROR(IF(D1410="HERRAMIENTA MENOR (% M.O)",P1449,INDEX([239]EQUIPOS!D:D,MATCH(B1410,[239]EQUIPOS!A:A,0))),"")</f>
        <v/>
      </c>
      <c r="N1410" s="116"/>
      <c r="O1410" s="117"/>
      <c r="P1410" s="118" t="str">
        <f t="shared" si="48"/>
        <v xml:space="preserve"> </v>
      </c>
      <c r="Q1410" s="119"/>
      <c r="R1410" s="4"/>
    </row>
    <row r="1411" spans="1:25" ht="15.75" thickBot="1">
      <c r="A1411" s="1">
        <f t="shared" si="49"/>
        <v>0</v>
      </c>
      <c r="B1411" s="2"/>
      <c r="C1411" s="8"/>
      <c r="D1411" s="109" t="str">
        <f>IFERROR(INDEX([239]EQUIPOS!B:B,MATCH(B1411,[239]EQUIPOS!A:A,0)),"")</f>
        <v/>
      </c>
      <c r="E1411" s="78"/>
      <c r="F1411" s="78"/>
      <c r="G1411" s="78"/>
      <c r="H1411" s="122"/>
      <c r="I1411" s="123"/>
      <c r="J1411" s="122"/>
      <c r="K1411" s="113" t="str">
        <f>IFERROR(INDEX([239]EQUIPOS!C:C,MATCH(B1411,[239]EQUIPOS!A:A,0)),"")</f>
        <v/>
      </c>
      <c r="L1411" s="124"/>
      <c r="M1411" s="115" t="str">
        <f>IFERROR(IF(D1411="HERRAMIENTA MENOR (% M.O)",P1450,INDEX([239]EQUIPOS!D:D,MATCH(B1411,[239]EQUIPOS!A:A,0))),"")</f>
        <v/>
      </c>
      <c r="N1411" s="125"/>
      <c r="O1411" s="126"/>
      <c r="P1411" s="127" t="str">
        <f t="shared" si="48"/>
        <v xml:space="preserve"> </v>
      </c>
      <c r="Q1411" s="119"/>
      <c r="R1411" s="4"/>
    </row>
    <row r="1412" spans="1:25" ht="15.75" thickBot="1">
      <c r="A1412" s="1">
        <f t="shared" si="49"/>
        <v>0</v>
      </c>
      <c r="B1412" s="2"/>
      <c r="C1412" s="8"/>
      <c r="D1412" s="128" t="s">
        <v>24</v>
      </c>
      <c r="E1412" s="129"/>
      <c r="F1412" s="129"/>
      <c r="G1412" s="129"/>
      <c r="H1412" s="129"/>
      <c r="I1412" s="129"/>
      <c r="J1412" s="129"/>
      <c r="K1412" s="129"/>
      <c r="L1412" s="129"/>
      <c r="M1412" s="129"/>
      <c r="N1412" s="129"/>
      <c r="O1412" s="130"/>
      <c r="P1412" s="131">
        <f>SUM(P1406:P1411)</f>
        <v>2070.92</v>
      </c>
      <c r="Q1412" s="132"/>
      <c r="R1412" s="4"/>
    </row>
    <row r="1413" spans="1:25" ht="15.75" thickBot="1">
      <c r="A1413" s="1">
        <f t="shared" si="49"/>
        <v>0</v>
      </c>
      <c r="B1413" s="2"/>
      <c r="C1413" s="8"/>
      <c r="D1413" s="74" t="s">
        <v>25</v>
      </c>
      <c r="E1413" s="37"/>
      <c r="F1413" s="37"/>
      <c r="G1413" s="37"/>
      <c r="H1413" s="37"/>
      <c r="I1413" s="37"/>
      <c r="J1413" s="37"/>
      <c r="K1413" s="37"/>
      <c r="L1413" s="37"/>
      <c r="M1413" s="37"/>
      <c r="N1413" s="37"/>
      <c r="O1413" s="37"/>
      <c r="P1413" s="99"/>
      <c r="Q1413" s="100"/>
      <c r="R1413" s="4"/>
    </row>
    <row r="1414" spans="1:25">
      <c r="A1414" s="1">
        <f t="shared" si="49"/>
        <v>0</v>
      </c>
      <c r="B1414" s="2"/>
      <c r="C1414" s="8"/>
      <c r="D1414" s="101" t="s">
        <v>14</v>
      </c>
      <c r="E1414" s="133"/>
      <c r="F1414" s="133"/>
      <c r="G1414" s="133"/>
      <c r="H1414" s="133"/>
      <c r="I1414" s="133"/>
      <c r="J1414" s="133"/>
      <c r="K1414" s="105"/>
      <c r="L1414" s="134" t="s">
        <v>15</v>
      </c>
      <c r="M1414" s="106" t="s">
        <v>16</v>
      </c>
      <c r="N1414" s="104" t="s">
        <v>26</v>
      </c>
      <c r="O1414" s="105"/>
      <c r="P1414" s="107" t="s">
        <v>22</v>
      </c>
      <c r="Q1414" s="108"/>
      <c r="R1414" s="4"/>
      <c r="S1414">
        <v>40000</v>
      </c>
    </row>
    <row r="1415" spans="1:25">
      <c r="A1415" s="1">
        <f t="shared" si="49"/>
        <v>0</v>
      </c>
      <c r="B1415" s="2" t="s">
        <v>343</v>
      </c>
      <c r="C1415" s="8"/>
      <c r="D1415" s="109" t="str">
        <f>IFERROR(INDEX([239]MATERIALES!C:C,MATCH(B1415,[239]MATERIALES!B:B,0)),"")</f>
        <v>CUBIERTA MASTER 1000 1*3 M CAL.28 1,00 X 3,05 M PREPINTADA</v>
      </c>
      <c r="E1415" s="135"/>
      <c r="F1415" s="135"/>
      <c r="G1415" s="135"/>
      <c r="H1415" s="135"/>
      <c r="I1415" s="135"/>
      <c r="J1415" s="135"/>
      <c r="K1415" s="136"/>
      <c r="L1415" s="137" t="str">
        <f>IFERROR(INDEX([239]MATERIALES!D:D,MATCH(B1415,[239]MATERIALES!B:B,0)),"")</f>
        <v>UND</v>
      </c>
      <c r="M1415" s="138">
        <v>0.33</v>
      </c>
      <c r="N1415" s="139">
        <v>121000</v>
      </c>
      <c r="O1415" s="140"/>
      <c r="P1415" s="118">
        <f>IFERROR(ROUND(N1415*M1415,2),"")</f>
        <v>39930</v>
      </c>
      <c r="Q1415" s="119"/>
      <c r="R1415" s="4"/>
      <c r="U1415">
        <f>+P1415/N1415</f>
        <v>0.33</v>
      </c>
      <c r="V1415" s="374">
        <f>+S1414/M1415</f>
        <v>121212.1212121212</v>
      </c>
    </row>
    <row r="1416" spans="1:25">
      <c r="A1416" s="1">
        <f t="shared" si="49"/>
        <v>0</v>
      </c>
      <c r="B1416" s="2" t="s">
        <v>344</v>
      </c>
      <c r="C1416" s="8"/>
      <c r="D1416" s="109" t="str">
        <f>IFERROR(INDEX([239]MATERIALES!C:C,MATCH(B1416,[239]MATERIALES!B:B,0)),"")</f>
        <v>TORNILLO AUTOPERFORANTE CON ARANDELA DE NEOPRENO DE 12 X 1-1/2"</v>
      </c>
      <c r="E1416" s="135"/>
      <c r="F1416" s="135"/>
      <c r="G1416" s="135"/>
      <c r="H1416" s="135"/>
      <c r="I1416" s="135"/>
      <c r="J1416" s="135"/>
      <c r="K1416" s="136"/>
      <c r="L1416" s="137" t="str">
        <f>IFERROR(INDEX([239]MATERIALES!D:D,MATCH(B1416,[239]MATERIALES!B:B,0)),"")</f>
        <v>UND</v>
      </c>
      <c r="M1416" s="138">
        <v>6</v>
      </c>
      <c r="N1416" s="139">
        <f>IFERROR(INDEX([239]MATERIALES!P:P,MATCH(B1416,[239]MATERIALES!B:B,0)),"")</f>
        <v>535.08000000000004</v>
      </c>
      <c r="O1416" s="140"/>
      <c r="P1416" s="118">
        <f>IFERROR(ROUND(N1416*M1416,2),"")</f>
        <v>3210.48</v>
      </c>
      <c r="Q1416" s="119"/>
      <c r="R1416" s="4"/>
    </row>
    <row r="1417" spans="1:25">
      <c r="A1417" s="1">
        <f t="shared" si="49"/>
        <v>0</v>
      </c>
      <c r="B1417" s="2" t="s">
        <v>345</v>
      </c>
      <c r="C1417" s="8"/>
      <c r="D1417" s="109" t="str">
        <f>IFERROR(INDEX([239]MATERIALES!C:C,MATCH(B1417,[239]MATERIALES!B:B,0)),"")</f>
        <v>SILICONA LIQUIDA 300 ML</v>
      </c>
      <c r="E1417" s="110"/>
      <c r="F1417" s="110"/>
      <c r="G1417" s="110"/>
      <c r="H1417" s="110"/>
      <c r="I1417" s="110"/>
      <c r="J1417" s="110"/>
      <c r="K1417" s="111"/>
      <c r="L1417" s="137" t="str">
        <f>IFERROR(INDEX([239]MATERIALES!D:D,MATCH(B1417,[239]MATERIALES!B:B,0)),"")</f>
        <v>UND</v>
      </c>
      <c r="M1417" s="138">
        <v>0.02</v>
      </c>
      <c r="N1417" s="139">
        <f>IFERROR(INDEX([239]MATERIALES!P:P,MATCH(B1417,[239]MATERIALES!B:B,0)),"")</f>
        <v>10350</v>
      </c>
      <c r="O1417" s="140"/>
      <c r="P1417" s="118">
        <f>IFERROR(ROUND(N1417*M1417,2),"")</f>
        <v>207</v>
      </c>
      <c r="Q1417" s="119"/>
      <c r="R1417" s="4"/>
    </row>
    <row r="1418" spans="1:25">
      <c r="A1418" s="1">
        <f t="shared" si="49"/>
        <v>0</v>
      </c>
      <c r="B1418" s="2"/>
      <c r="C1418" s="8"/>
      <c r="D1418" s="109" t="str">
        <f>IFERROR(INDEX([239]MATERIALES!C:C,MATCH(B1418,[239]MATERIALES!B:B,0)),"")</f>
        <v/>
      </c>
      <c r="E1418" s="110"/>
      <c r="F1418" s="110"/>
      <c r="G1418" s="110"/>
      <c r="H1418" s="110"/>
      <c r="I1418" s="110"/>
      <c r="J1418" s="110"/>
      <c r="K1418" s="111"/>
      <c r="L1418" s="137" t="str">
        <f>IFERROR(INDEX([239]MATERIALES!D:D,MATCH(B1418,[239]MATERIALES!B:B,0)),"")</f>
        <v/>
      </c>
      <c r="M1418" s="138"/>
      <c r="N1418" s="139" t="str">
        <f>IFERROR(INDEX([239]MATERIALES!P:P,MATCH(B1418,[239]MATERIALES!B:B,0)),"")</f>
        <v/>
      </c>
      <c r="O1418" s="140"/>
      <c r="P1418" s="118" t="str">
        <f>IFERROR(ROUND(N1418*M1418,2),"")</f>
        <v/>
      </c>
      <c r="Q1418" s="119"/>
      <c r="R1418" s="4"/>
    </row>
    <row r="1419" spans="1:25">
      <c r="A1419" s="1">
        <f t="shared" si="49"/>
        <v>0</v>
      </c>
      <c r="B1419" s="2"/>
      <c r="C1419" s="8"/>
      <c r="D1419" s="109" t="str">
        <f>IFERROR(INDEX([239]MATERIALES!C:C,MATCH(B1419,[239]MATERIALES!B:B,0)),"")</f>
        <v/>
      </c>
      <c r="E1419" s="110"/>
      <c r="F1419" s="110"/>
      <c r="G1419" s="110"/>
      <c r="H1419" s="110"/>
      <c r="I1419" s="110"/>
      <c r="J1419" s="110"/>
      <c r="K1419" s="111"/>
      <c r="L1419" s="137" t="str">
        <f>IFERROR(INDEX([239]MATERIALES!D:D,MATCH(B1419,[239]MATERIALES!B:B,0)),"")</f>
        <v/>
      </c>
      <c r="M1419" s="138"/>
      <c r="N1419" s="139" t="str">
        <f>IFERROR(INDEX([239]MATERIALES!P:P,MATCH(B1419,[239]MATERIALES!B:B,0)),"")</f>
        <v/>
      </c>
      <c r="O1419" s="140"/>
      <c r="P1419" s="118" t="str">
        <f t="shared" ref="P1419:P1428" si="50">IFERROR(ROUND(N1419*M1419,2),"")</f>
        <v/>
      </c>
      <c r="Q1419" s="119"/>
      <c r="R1419" s="4"/>
    </row>
    <row r="1420" spans="1:25">
      <c r="A1420" s="1">
        <f t="shared" si="49"/>
        <v>0</v>
      </c>
      <c r="B1420" s="2"/>
      <c r="C1420" s="8"/>
      <c r="D1420" s="109" t="str">
        <f>IFERROR(INDEX([239]MATERIALES!C:C,MATCH(B1420,[239]MATERIALES!B:B,0)),"")</f>
        <v/>
      </c>
      <c r="E1420" s="110"/>
      <c r="F1420" s="110"/>
      <c r="G1420" s="110"/>
      <c r="H1420" s="110"/>
      <c r="I1420" s="110"/>
      <c r="J1420" s="110"/>
      <c r="K1420" s="111"/>
      <c r="L1420" s="137" t="str">
        <f>IFERROR(INDEX([239]MATERIALES!D:D,MATCH(B1420,[239]MATERIALES!B:B,0)),"")</f>
        <v/>
      </c>
      <c r="M1420" s="138"/>
      <c r="N1420" s="139" t="str">
        <f>IFERROR(INDEX([239]MATERIALES!P:P,MATCH(B1420,[239]MATERIALES!B:B,0)),"")</f>
        <v/>
      </c>
      <c r="O1420" s="140"/>
      <c r="P1420" s="118" t="str">
        <f t="shared" si="50"/>
        <v/>
      </c>
      <c r="Q1420" s="119"/>
      <c r="R1420" s="4"/>
    </row>
    <row r="1421" spans="1:25">
      <c r="A1421" s="1">
        <f t="shared" si="49"/>
        <v>0</v>
      </c>
      <c r="B1421" s="2"/>
      <c r="C1421" s="8"/>
      <c r="D1421" s="109" t="str">
        <f>IFERROR(INDEX([239]MATERIALES!C:C,MATCH(B1421,[239]MATERIALES!B:B,0)),"")</f>
        <v/>
      </c>
      <c r="E1421" s="110"/>
      <c r="F1421" s="110"/>
      <c r="G1421" s="110"/>
      <c r="H1421" s="110"/>
      <c r="I1421" s="110"/>
      <c r="J1421" s="110"/>
      <c r="K1421" s="111"/>
      <c r="L1421" s="137" t="str">
        <f>IFERROR(INDEX([239]MATERIALES!D:D,MATCH(B1421,[239]MATERIALES!B:B,0)),"")</f>
        <v/>
      </c>
      <c r="M1421" s="138"/>
      <c r="N1421" s="139" t="str">
        <f>IFERROR(INDEX([239]MATERIALES!P:P,MATCH(B1421,[239]MATERIALES!B:B,0)),"")</f>
        <v/>
      </c>
      <c r="O1421" s="140"/>
      <c r="P1421" s="118" t="str">
        <f t="shared" si="50"/>
        <v/>
      </c>
      <c r="Q1421" s="119"/>
      <c r="R1421" s="4"/>
    </row>
    <row r="1422" spans="1:25" ht="15.75" thickBot="1">
      <c r="A1422" s="1">
        <f t="shared" si="49"/>
        <v>0</v>
      </c>
      <c r="B1422" s="2"/>
      <c r="C1422" s="8"/>
      <c r="D1422" s="109" t="str">
        <f>IFERROR(INDEX([239]MATERIALES!C:C,MATCH(B1422,[239]MATERIALES!B:B,0)),"")</f>
        <v/>
      </c>
      <c r="E1422" s="110"/>
      <c r="F1422" s="110"/>
      <c r="G1422" s="110"/>
      <c r="H1422" s="110"/>
      <c r="I1422" s="110"/>
      <c r="J1422" s="110"/>
      <c r="K1422" s="111"/>
      <c r="L1422" s="137" t="str">
        <f>IFERROR(INDEX([239]MATERIALES!D:D,MATCH(B1422,[239]MATERIALES!B:B,0)),"")</f>
        <v/>
      </c>
      <c r="M1422" s="138"/>
      <c r="N1422" s="139" t="str">
        <f>IFERROR(INDEX([239]MATERIALES!P:P,MATCH(B1422,[239]MATERIALES!B:B,0)),"")</f>
        <v/>
      </c>
      <c r="O1422" s="140"/>
      <c r="P1422" s="118" t="str">
        <f t="shared" si="50"/>
        <v/>
      </c>
      <c r="Q1422" s="119"/>
      <c r="R1422" s="4"/>
    </row>
    <row r="1423" spans="1:25">
      <c r="A1423" s="1">
        <f t="shared" si="49"/>
        <v>0</v>
      </c>
      <c r="B1423" s="2"/>
      <c r="C1423" s="8"/>
      <c r="D1423" s="109" t="str">
        <f>IFERROR(INDEX([239]MATERIALES!C:C,MATCH(B1423,[239]MATERIALES!B:B,0)),"")</f>
        <v/>
      </c>
      <c r="E1423" s="110"/>
      <c r="F1423" s="110"/>
      <c r="G1423" s="110"/>
      <c r="H1423" s="110"/>
      <c r="I1423" s="110"/>
      <c r="J1423" s="110"/>
      <c r="K1423" s="111"/>
      <c r="L1423" s="137" t="str">
        <f>IFERROR(INDEX([239]MATERIALES!D:D,MATCH(B1423,[239]MATERIALES!B:B,0)),"")</f>
        <v/>
      </c>
      <c r="M1423" s="138"/>
      <c r="N1423" s="139" t="str">
        <f>IFERROR(INDEX([239]MATERIALES!P:P,MATCH(B1423,[239]MATERIALES!B:B,0)),"")</f>
        <v/>
      </c>
      <c r="O1423" s="140"/>
      <c r="P1423" s="118" t="str">
        <f t="shared" si="50"/>
        <v/>
      </c>
      <c r="Q1423" s="119"/>
      <c r="R1423" s="4"/>
      <c r="W1423" s="375">
        <f>0.9*6</f>
        <v>5.4</v>
      </c>
      <c r="X1423" s="376">
        <v>171000</v>
      </c>
      <c r="Y1423" s="377"/>
    </row>
    <row r="1424" spans="1:25" ht="15.75" thickBot="1">
      <c r="A1424" s="1">
        <f t="shared" si="49"/>
        <v>0</v>
      </c>
      <c r="B1424" s="2"/>
      <c r="C1424" s="8"/>
      <c r="D1424" s="109" t="str">
        <f>IFERROR(INDEX([239]MATERIALES!C:C,MATCH(B1424,[239]MATERIALES!B:B,0)),"")</f>
        <v/>
      </c>
      <c r="E1424" s="110"/>
      <c r="F1424" s="110"/>
      <c r="G1424" s="110"/>
      <c r="H1424" s="110"/>
      <c r="I1424" s="110"/>
      <c r="J1424" s="110"/>
      <c r="K1424" s="111"/>
      <c r="L1424" s="137" t="str">
        <f>IFERROR(INDEX([239]MATERIALES!D:D,MATCH(B1424,[239]MATERIALES!B:B,0)),"")</f>
        <v/>
      </c>
      <c r="M1424" s="138"/>
      <c r="N1424" s="139" t="str">
        <f>IFERROR(INDEX([239]MATERIALES!P:P,MATCH(B1424,[239]MATERIALES!B:B,0)),"")</f>
        <v/>
      </c>
      <c r="O1424" s="140"/>
      <c r="P1424" s="118" t="str">
        <f t="shared" si="50"/>
        <v/>
      </c>
      <c r="Q1424" s="119"/>
      <c r="R1424" s="4"/>
      <c r="W1424" s="378">
        <v>1</v>
      </c>
      <c r="X1424" s="379">
        <f>+W1424*X1423/W1423</f>
        <v>31666.666666666664</v>
      </c>
      <c r="Y1424" s="380">
        <f>+X1424*1.2</f>
        <v>37999.999999999993</v>
      </c>
    </row>
    <row r="1425" spans="1:25">
      <c r="A1425" s="1">
        <f t="shared" si="49"/>
        <v>0</v>
      </c>
      <c r="B1425" s="2"/>
      <c r="C1425" s="8"/>
      <c r="D1425" s="109" t="str">
        <f>IFERROR(INDEX([239]MATERIALES!C:C,MATCH(B1425,[239]MATERIALES!B:B,0)),"")</f>
        <v/>
      </c>
      <c r="E1425" s="110"/>
      <c r="F1425" s="110"/>
      <c r="G1425" s="110"/>
      <c r="H1425" s="110"/>
      <c r="I1425" s="110"/>
      <c r="J1425" s="110"/>
      <c r="K1425" s="111"/>
      <c r="L1425" s="137" t="str">
        <f>IFERROR(INDEX([239]MATERIALES!D:D,MATCH(B1425,[239]MATERIALES!B:B,0)),"")</f>
        <v/>
      </c>
      <c r="M1425" s="138"/>
      <c r="N1425" s="139" t="str">
        <f>IFERROR(INDEX([239]MATERIALES!P:P,MATCH(B1425,[239]MATERIALES!B:B,0)),"")</f>
        <v/>
      </c>
      <c r="O1425" s="140"/>
      <c r="P1425" s="118" t="str">
        <f t="shared" si="50"/>
        <v/>
      </c>
      <c r="Q1425" s="119"/>
      <c r="R1425" s="4"/>
    </row>
    <row r="1426" spans="1:25">
      <c r="A1426" s="1">
        <f t="shared" si="49"/>
        <v>0</v>
      </c>
      <c r="B1426" s="2"/>
      <c r="C1426" s="8"/>
      <c r="D1426" s="109" t="str">
        <f>IFERROR(INDEX([239]MATERIALES!C:C,MATCH(B1426,[239]MATERIALES!B:B,0)),"")</f>
        <v/>
      </c>
      <c r="E1426" s="110"/>
      <c r="F1426" s="110"/>
      <c r="G1426" s="110"/>
      <c r="H1426" s="110"/>
      <c r="I1426" s="110"/>
      <c r="J1426" s="110"/>
      <c r="K1426" s="111"/>
      <c r="L1426" s="137" t="str">
        <f>IFERROR(INDEX([239]MATERIALES!D:D,MATCH(B1426,[239]MATERIALES!B:B,0)),"")</f>
        <v/>
      </c>
      <c r="M1426" s="138"/>
      <c r="N1426" s="139" t="str">
        <f>IFERROR(INDEX([239]MATERIALES!P:P,MATCH(B1426,[239]MATERIALES!B:B,0)),"")</f>
        <v/>
      </c>
      <c r="O1426" s="140"/>
      <c r="P1426" s="118" t="str">
        <f t="shared" si="50"/>
        <v/>
      </c>
      <c r="Q1426" s="119"/>
      <c r="R1426" s="4"/>
      <c r="Y1426">
        <f>+X1424/Y1424</f>
        <v>0.83333333333333348</v>
      </c>
    </row>
    <row r="1427" spans="1:25">
      <c r="A1427" s="1">
        <f t="shared" si="49"/>
        <v>0</v>
      </c>
      <c r="B1427" s="2"/>
      <c r="C1427" s="8"/>
      <c r="D1427" s="109" t="str">
        <f>IFERROR(INDEX([239]MATERIALES!C:C,MATCH(B1427,[239]MATERIALES!B:B,0)),"")</f>
        <v/>
      </c>
      <c r="E1427" s="110"/>
      <c r="F1427" s="110"/>
      <c r="G1427" s="110"/>
      <c r="H1427" s="110"/>
      <c r="I1427" s="110"/>
      <c r="J1427" s="110"/>
      <c r="K1427" s="111"/>
      <c r="L1427" s="137" t="str">
        <f>IFERROR(INDEX([239]MATERIALES!D:D,MATCH(B1427,[239]MATERIALES!B:B,0)),"")</f>
        <v/>
      </c>
      <c r="M1427" s="138"/>
      <c r="N1427" s="139" t="str">
        <f>IFERROR(INDEX([239]MATERIALES!P:P,MATCH(B1427,[239]MATERIALES!B:B,0)),"")</f>
        <v/>
      </c>
      <c r="O1427" s="140"/>
      <c r="P1427" s="118" t="str">
        <f t="shared" si="50"/>
        <v/>
      </c>
      <c r="Q1427" s="119"/>
      <c r="R1427" s="4"/>
      <c r="V1427">
        <f>8/0.4</f>
        <v>20</v>
      </c>
      <c r="Y1427">
        <f>1-Y1426</f>
        <v>0.16666666666666652</v>
      </c>
    </row>
    <row r="1428" spans="1:25">
      <c r="A1428" s="1">
        <f t="shared" si="49"/>
        <v>0</v>
      </c>
      <c r="B1428" s="2"/>
      <c r="C1428" s="8"/>
      <c r="D1428" s="109" t="str">
        <f>IFERROR(INDEX([239]MATERIALES!C:C,MATCH(B1428,[239]MATERIALES!B:B,0)),"")</f>
        <v/>
      </c>
      <c r="E1428" s="110"/>
      <c r="F1428" s="110"/>
      <c r="G1428" s="110"/>
      <c r="H1428" s="110"/>
      <c r="I1428" s="110"/>
      <c r="J1428" s="110"/>
      <c r="K1428" s="111"/>
      <c r="L1428" s="137" t="str">
        <f>IFERROR(INDEX([239]MATERIALES!D:D,MATCH(B1428,[239]MATERIALES!B:B,0)),"")</f>
        <v/>
      </c>
      <c r="M1428" s="138"/>
      <c r="N1428" s="139" t="str">
        <f>IFERROR(INDEX([239]MATERIALES!P:P,MATCH(B1428,[239]MATERIALES!B:B,0)),"")</f>
        <v/>
      </c>
      <c r="O1428" s="140"/>
      <c r="P1428" s="118" t="str">
        <f t="shared" si="50"/>
        <v/>
      </c>
      <c r="Q1428" s="119"/>
      <c r="R1428" s="4"/>
    </row>
    <row r="1429" spans="1:25" ht="15.75" thickBot="1">
      <c r="A1429" s="1">
        <f t="shared" si="49"/>
        <v>0</v>
      </c>
      <c r="B1429" s="2"/>
      <c r="C1429" s="8"/>
      <c r="D1429" s="109" t="s">
        <v>28</v>
      </c>
      <c r="E1429" s="110"/>
      <c r="F1429" s="110"/>
      <c r="G1429" s="110"/>
      <c r="H1429" s="110"/>
      <c r="I1429" s="110"/>
      <c r="J1429" s="110"/>
      <c r="K1429" s="111"/>
      <c r="L1429" s="137" t="s">
        <v>29</v>
      </c>
      <c r="M1429" s="138">
        <v>0.05</v>
      </c>
      <c r="N1429" s="139">
        <f>SUM(P1415:P1428)</f>
        <v>43347.48</v>
      </c>
      <c r="O1429" s="140"/>
      <c r="P1429" s="118">
        <f>ROUND(N1429*M1429,2)</f>
        <v>2167.37</v>
      </c>
      <c r="Q1429" s="119"/>
      <c r="R1429" s="4"/>
    </row>
    <row r="1430" spans="1:25" ht="15.75" thickBot="1">
      <c r="A1430" s="1">
        <f t="shared" si="49"/>
        <v>0</v>
      </c>
      <c r="B1430" s="2"/>
      <c r="C1430" s="8"/>
      <c r="D1430" s="128" t="s">
        <v>24</v>
      </c>
      <c r="E1430" s="129"/>
      <c r="F1430" s="129"/>
      <c r="G1430" s="129"/>
      <c r="H1430" s="129"/>
      <c r="I1430" s="129"/>
      <c r="J1430" s="129"/>
      <c r="K1430" s="129"/>
      <c r="L1430" s="129"/>
      <c r="M1430" s="129"/>
      <c r="N1430" s="129"/>
      <c r="O1430" s="130"/>
      <c r="P1430" s="131">
        <f>SUM(P1415:P1429)</f>
        <v>45514.850000000006</v>
      </c>
      <c r="Q1430" s="119"/>
      <c r="R1430" s="4"/>
    </row>
    <row r="1431" spans="1:25" ht="15.75" thickBot="1">
      <c r="A1431" s="1">
        <f t="shared" si="49"/>
        <v>0</v>
      </c>
      <c r="B1431" s="2"/>
      <c r="C1431" s="8"/>
      <c r="D1431" s="74" t="s">
        <v>30</v>
      </c>
      <c r="E1431" s="37"/>
      <c r="F1431" s="37"/>
      <c r="G1431" s="37"/>
      <c r="H1431" s="37"/>
      <c r="I1431" s="37"/>
      <c r="J1431" s="37"/>
      <c r="K1431" s="37"/>
      <c r="L1431" s="37"/>
      <c r="M1431" s="37"/>
      <c r="N1431" s="37"/>
      <c r="O1431" s="37"/>
      <c r="P1431" s="99"/>
      <c r="Q1431" s="100"/>
      <c r="R1431" s="4"/>
    </row>
    <row r="1432" spans="1:25">
      <c r="A1432" s="1">
        <f t="shared" si="49"/>
        <v>0</v>
      </c>
      <c r="B1432" s="2"/>
      <c r="C1432" s="8"/>
      <c r="D1432" s="101" t="s">
        <v>31</v>
      </c>
      <c r="E1432" s="133"/>
      <c r="F1432" s="133"/>
      <c r="G1432" s="133"/>
      <c r="H1432" s="133"/>
      <c r="I1432" s="133"/>
      <c r="J1432" s="133"/>
      <c r="K1432" s="106" t="s">
        <v>32</v>
      </c>
      <c r="L1432" s="141" t="s">
        <v>33</v>
      </c>
      <c r="M1432" s="106" t="s">
        <v>34</v>
      </c>
      <c r="N1432" s="104" t="s">
        <v>20</v>
      </c>
      <c r="O1432" s="105"/>
      <c r="P1432" s="107" t="s">
        <v>22</v>
      </c>
      <c r="Q1432" s="108"/>
      <c r="R1432" s="4"/>
    </row>
    <row r="1433" spans="1:25">
      <c r="A1433" s="1">
        <f t="shared" si="49"/>
        <v>0</v>
      </c>
      <c r="B1433" s="2"/>
      <c r="C1433" s="8"/>
      <c r="D1433" s="142" t="str">
        <f>IFERROR(INDEX([239]TRANSPORTES!B:B,MATCH(B1433,[239]TRANSPORTES!A:A,0)),"")</f>
        <v/>
      </c>
      <c r="E1433" s="143"/>
      <c r="F1433" s="143"/>
      <c r="G1433" s="143"/>
      <c r="H1433" s="143"/>
      <c r="I1433" s="143"/>
      <c r="J1433" s="143"/>
      <c r="K1433" s="220"/>
      <c r="L1433" s="145"/>
      <c r="M1433" s="146" t="str">
        <f>IFERROR(INDEX([239]TRANSPORTES!C:C,MATCH(B1433,[239]TRANSPORTES!A:A,0)),"")</f>
        <v/>
      </c>
      <c r="N1433" s="139" t="str">
        <f>IFERROR(INDEX([239]TRANSPORTES!D:D,MATCH(B1433,[239]TRANSPORTES!A:A,0)),"")</f>
        <v/>
      </c>
      <c r="O1433" s="147"/>
      <c r="P1433" s="148" t="str">
        <f>IFERROR(ROUND(K1433*N1433*L1433,2),"")</f>
        <v/>
      </c>
      <c r="Q1433" s="119"/>
      <c r="R1433" s="4"/>
    </row>
    <row r="1434" spans="1:25">
      <c r="A1434" s="1">
        <f t="shared" si="49"/>
        <v>0</v>
      </c>
      <c r="B1434" s="2"/>
      <c r="C1434" s="8"/>
      <c r="D1434" s="142" t="str">
        <f>IFERROR(INDEX([239]TRANSPORTES!B:B,MATCH(B1434,[239]TRANSPORTES!A:A,0)),"")</f>
        <v/>
      </c>
      <c r="E1434" s="143"/>
      <c r="F1434" s="143"/>
      <c r="G1434" s="143"/>
      <c r="H1434" s="143"/>
      <c r="I1434" s="143"/>
      <c r="J1434" s="143"/>
      <c r="K1434" s="144"/>
      <c r="L1434" s="145"/>
      <c r="M1434" s="146" t="str">
        <f>IFERROR(INDEX([239]TRANSPORTES!C:C,MATCH(B1434,[239]TRANSPORTES!A:A,0)),"")</f>
        <v/>
      </c>
      <c r="N1434" s="139" t="str">
        <f>IFERROR(INDEX([239]TRANSPORTES!D:D,MATCH(B1434,[239]TRANSPORTES!A:A,0)),"")</f>
        <v/>
      </c>
      <c r="O1434" s="147"/>
      <c r="P1434" s="148" t="str">
        <f>IFERROR(ROUND(K1434*N1434*L1434,2),"")</f>
        <v/>
      </c>
      <c r="Q1434" s="119"/>
      <c r="R1434" s="4"/>
    </row>
    <row r="1435" spans="1:25">
      <c r="A1435" s="1">
        <f t="shared" si="49"/>
        <v>0</v>
      </c>
      <c r="B1435" s="2"/>
      <c r="C1435" s="8"/>
      <c r="D1435" s="142" t="str">
        <f>IFERROR(INDEX([239]TRANSPORTES!B:B,MATCH(B1435,[239]TRANSPORTES!A:A,0)),"")</f>
        <v/>
      </c>
      <c r="E1435" s="143"/>
      <c r="F1435" s="143"/>
      <c r="G1435" s="143"/>
      <c r="H1435" s="143"/>
      <c r="I1435" s="143"/>
      <c r="J1435" s="143"/>
      <c r="K1435" s="144"/>
      <c r="L1435" s="145"/>
      <c r="M1435" s="146" t="str">
        <f>IFERROR(INDEX([239]TRANSPORTES!C:C,MATCH(B1435,[239]TRANSPORTES!A:A,0)),"")</f>
        <v/>
      </c>
      <c r="N1435" s="139" t="str">
        <f>IFERROR(INDEX([239]TRANSPORTES!D:D,MATCH(B1435,[239]TRANSPORTES!A:A,0)),"")</f>
        <v/>
      </c>
      <c r="O1435" s="147"/>
      <c r="P1435" s="148" t="str">
        <f>IFERROR(ROUND(K1435*N1435*L1435,2),"")</f>
        <v/>
      </c>
      <c r="Q1435" s="119"/>
      <c r="R1435" s="4"/>
    </row>
    <row r="1436" spans="1:25" ht="15.75" thickBot="1">
      <c r="A1436" s="1">
        <f t="shared" si="49"/>
        <v>0</v>
      </c>
      <c r="B1436" s="2"/>
      <c r="C1436" s="8"/>
      <c r="D1436" s="142" t="str">
        <f>IFERROR(INDEX([239]TRANSPORTES!B:B,MATCH(B1436,[239]TRANSPORTES!A:A,0)),"")</f>
        <v/>
      </c>
      <c r="E1436" s="143"/>
      <c r="F1436" s="143"/>
      <c r="G1436" s="143"/>
      <c r="H1436" s="143"/>
      <c r="I1436" s="143"/>
      <c r="J1436" s="143"/>
      <c r="K1436" s="149"/>
      <c r="L1436" s="150"/>
      <c r="M1436" s="146" t="str">
        <f>IFERROR(INDEX([239]TRANSPORTES!C:C,MATCH(B1436,[239]TRANSPORTES!A:A,0)),"")</f>
        <v/>
      </c>
      <c r="N1436" s="139" t="str">
        <f>IFERROR(INDEX([239]TRANSPORTES!D:D,MATCH(B1436,[239]TRANSPORTES!A:A,0)),"")</f>
        <v/>
      </c>
      <c r="O1436" s="147"/>
      <c r="P1436" s="148" t="str">
        <f>IFERROR(ROUND(K1436*N1436*L1436,2),"")</f>
        <v/>
      </c>
      <c r="Q1436" s="119"/>
      <c r="R1436" s="4"/>
    </row>
    <row r="1437" spans="1:25" ht="15.75" thickBot="1">
      <c r="A1437" s="1">
        <f t="shared" si="49"/>
        <v>0</v>
      </c>
      <c r="B1437" s="2"/>
      <c r="C1437" s="8"/>
      <c r="D1437" s="128" t="s">
        <v>24</v>
      </c>
      <c r="E1437" s="129"/>
      <c r="F1437" s="129"/>
      <c r="G1437" s="129"/>
      <c r="H1437" s="129"/>
      <c r="I1437" s="129"/>
      <c r="J1437" s="129"/>
      <c r="K1437" s="129"/>
      <c r="L1437" s="129"/>
      <c r="M1437" s="129"/>
      <c r="N1437" s="129"/>
      <c r="O1437" s="130"/>
      <c r="P1437" s="151">
        <f>SUM(P1433:P1436)</f>
        <v>0</v>
      </c>
      <c r="Q1437" s="132"/>
      <c r="R1437" s="4"/>
      <c r="S1437">
        <f>5*5</f>
        <v>25</v>
      </c>
    </row>
    <row r="1438" spans="1:25" ht="15.75" thickBot="1">
      <c r="A1438" s="1">
        <f t="shared" si="49"/>
        <v>0</v>
      </c>
      <c r="B1438" s="2"/>
      <c r="C1438" s="8"/>
      <c r="D1438" s="74" t="s">
        <v>36</v>
      </c>
      <c r="E1438" s="37"/>
      <c r="F1438" s="37"/>
      <c r="G1438" s="37"/>
      <c r="H1438" s="37"/>
      <c r="I1438" s="37"/>
      <c r="J1438" s="37"/>
      <c r="K1438" s="37"/>
      <c r="L1438" s="37"/>
      <c r="M1438" s="37"/>
      <c r="N1438" s="37"/>
      <c r="O1438" s="37"/>
      <c r="P1438" s="99"/>
      <c r="Q1438" s="100"/>
      <c r="R1438" s="4"/>
    </row>
    <row r="1439" spans="1:25" ht="30">
      <c r="A1439" s="1">
        <f t="shared" si="49"/>
        <v>0</v>
      </c>
      <c r="B1439" s="2"/>
      <c r="C1439" s="8"/>
      <c r="D1439" s="101" t="s">
        <v>37</v>
      </c>
      <c r="E1439" s="133"/>
      <c r="F1439" s="133"/>
      <c r="G1439" s="133"/>
      <c r="H1439" s="133"/>
      <c r="I1439" s="133"/>
      <c r="J1439" s="133"/>
      <c r="K1439" s="106" t="s">
        <v>38</v>
      </c>
      <c r="L1439" s="152" t="s">
        <v>39</v>
      </c>
      <c r="M1439" s="153" t="s">
        <v>40</v>
      </c>
      <c r="N1439" s="104" t="s">
        <v>21</v>
      </c>
      <c r="O1439" s="105"/>
      <c r="P1439" s="154" t="s">
        <v>22</v>
      </c>
      <c r="Q1439" s="155"/>
      <c r="R1439" s="4"/>
    </row>
    <row r="1440" spans="1:25">
      <c r="A1440" s="1">
        <f t="shared" si="49"/>
        <v>0</v>
      </c>
      <c r="B1440" s="2" t="s">
        <v>41</v>
      </c>
      <c r="C1440" s="8"/>
      <c r="D1440" s="109" t="str">
        <f>IFERROR(INDEX('[239]MANO DE OBRA'!B:B,MATCH(B1440,'[239]MANO DE OBRA'!A:A,0)),"")</f>
        <v>OFICIAL</v>
      </c>
      <c r="E1440" s="110"/>
      <c r="F1440" s="110"/>
      <c r="G1440" s="110"/>
      <c r="H1440" s="110"/>
      <c r="I1440" s="110"/>
      <c r="J1440" s="111"/>
      <c r="K1440" s="156">
        <f>IFERROR(INDEX('[239]MANO DE OBRA'!D:D,MATCH(B1440,'[239]MANO DE OBRA'!A:A,0)),"")</f>
        <v>95930</v>
      </c>
      <c r="L1440" s="157">
        <f>+IF(D1440&lt;&gt;"",'[239]FACTOR PRESTACIONAL'!$E$21," ")</f>
        <v>1.95</v>
      </c>
      <c r="M1440" s="158">
        <f>IFERROR(K1440*L1440," ")</f>
        <v>187063.5</v>
      </c>
      <c r="N1440" s="159">
        <v>28.57</v>
      </c>
      <c r="O1440" s="160"/>
      <c r="P1440" s="161">
        <f>IFERROR(ROUND(M1440/N1440,2)," ")</f>
        <v>6547.55</v>
      </c>
      <c r="Q1440" s="162"/>
      <c r="R1440" s="4"/>
    </row>
    <row r="1441" spans="1:18">
      <c r="A1441" s="1">
        <f t="shared" si="49"/>
        <v>0</v>
      </c>
      <c r="B1441" s="2" t="s">
        <v>42</v>
      </c>
      <c r="C1441" s="8"/>
      <c r="D1441" s="109" t="str">
        <f>IFERROR(INDEX('[239]MANO DE OBRA'!B:B,MATCH(B1441,'[239]MANO DE OBRA'!A:A,0)),"")</f>
        <v>AYUDANTE (2)</v>
      </c>
      <c r="E1441" s="110"/>
      <c r="F1441" s="110"/>
      <c r="G1441" s="110"/>
      <c r="H1441" s="110"/>
      <c r="I1441" s="110"/>
      <c r="J1441" s="111"/>
      <c r="K1441" s="156">
        <f>IFERROR(INDEX('[239]MANO DE OBRA'!D:D,MATCH(B1441,'[239]MANO DE OBRA'!A:A,0)),"")</f>
        <v>142866</v>
      </c>
      <c r="L1441" s="157">
        <f>+IF(D1441&lt;&gt;"",'[239]FACTOR PRESTACIONAL'!$E$21," ")</f>
        <v>1.95</v>
      </c>
      <c r="M1441" s="158">
        <f>IFERROR(K1441*L1441," ")</f>
        <v>278588.7</v>
      </c>
      <c r="N1441" s="159">
        <v>28.57</v>
      </c>
      <c r="O1441" s="160"/>
      <c r="P1441" s="161">
        <f>IFERROR(ROUND(M1441/N1441,2)," ")</f>
        <v>9751.09</v>
      </c>
      <c r="Q1441" s="162"/>
      <c r="R1441" s="4"/>
    </row>
    <row r="1442" spans="1:18">
      <c r="A1442" s="1">
        <f t="shared" si="49"/>
        <v>0</v>
      </c>
      <c r="B1442" s="2"/>
      <c r="C1442" s="8"/>
      <c r="D1442" s="109" t="str">
        <f>IFERROR(INDEX('[239]MANO DE OBRA'!B:B,MATCH(B1442,'[239]MANO DE OBRA'!A:A,0)),"")</f>
        <v/>
      </c>
      <c r="E1442" s="110"/>
      <c r="F1442" s="110"/>
      <c r="G1442" s="110"/>
      <c r="H1442" s="110"/>
      <c r="I1442" s="110"/>
      <c r="J1442" s="111"/>
      <c r="K1442" s="156" t="str">
        <f>IFERROR(INDEX('[239]MANO DE OBRA'!D:D,MATCH(B1442,'[239]MANO DE OBRA'!A:A,0)),"")</f>
        <v/>
      </c>
      <c r="L1442" s="157" t="str">
        <f>+IF(D1442&lt;&gt;"",'[239]FACTOR PRESTACIONAL'!$E$21," ")</f>
        <v xml:space="preserve"> </v>
      </c>
      <c r="M1442" s="158" t="str">
        <f>IFERROR(K1442*L1442," ")</f>
        <v xml:space="preserve"> </v>
      </c>
      <c r="N1442" s="159"/>
      <c r="O1442" s="160"/>
      <c r="P1442" s="161" t="str">
        <f>IFERROR(ROUND(M1442/N1442,2)," ")</f>
        <v xml:space="preserve"> </v>
      </c>
      <c r="Q1442" s="162"/>
      <c r="R1442" s="4"/>
    </row>
    <row r="1443" spans="1:18">
      <c r="A1443" s="1">
        <f t="shared" si="49"/>
        <v>0</v>
      </c>
      <c r="B1443" s="2"/>
      <c r="C1443" s="8"/>
      <c r="D1443" s="109" t="str">
        <f>IFERROR(INDEX('[239]MANO DE OBRA'!B:B,MATCH(B1443,'[239]MANO DE OBRA'!A:A,0)),"")</f>
        <v/>
      </c>
      <c r="E1443" s="110"/>
      <c r="F1443" s="110"/>
      <c r="G1443" s="110"/>
      <c r="H1443" s="110"/>
      <c r="I1443" s="110"/>
      <c r="J1443" s="111"/>
      <c r="K1443" s="156" t="str">
        <f>IFERROR(INDEX('[239]MANO DE OBRA'!D:D,MATCH(B1443,'[239]MANO DE OBRA'!A:A,0)),"")</f>
        <v/>
      </c>
      <c r="L1443" s="157" t="str">
        <f>+IF(D1443&lt;&gt;"",'[239]FACTOR PRESTACIONAL'!$E$21," ")</f>
        <v xml:space="preserve"> </v>
      </c>
      <c r="M1443" s="158" t="str">
        <f>IFERROR(K1443*L1443," ")</f>
        <v xml:space="preserve"> </v>
      </c>
      <c r="N1443" s="159"/>
      <c r="O1443" s="160"/>
      <c r="P1443" s="161" t="str">
        <f>IFERROR(ROUND(M1443/N1443,2)," ")</f>
        <v xml:space="preserve"> </v>
      </c>
      <c r="Q1443" s="162"/>
      <c r="R1443" s="4"/>
    </row>
    <row r="1444" spans="1:18" ht="15.75" thickBot="1">
      <c r="A1444" s="1">
        <f t="shared" si="49"/>
        <v>0</v>
      </c>
      <c r="B1444" s="2"/>
      <c r="C1444" s="8"/>
      <c r="D1444" s="109" t="str">
        <f>IFERROR(INDEX('[239]MANO DE OBRA'!B:B,MATCH(B1444,'[239]MANO DE OBRA'!A:A,0)),"")</f>
        <v/>
      </c>
      <c r="E1444" s="110"/>
      <c r="F1444" s="110"/>
      <c r="G1444" s="110"/>
      <c r="H1444" s="110"/>
      <c r="I1444" s="110"/>
      <c r="J1444" s="111"/>
      <c r="K1444" s="156" t="str">
        <f>IFERROR(INDEX('[239]MANO DE OBRA'!D:D,MATCH(B1444,'[239]MANO DE OBRA'!A:A,0)),"")</f>
        <v/>
      </c>
      <c r="L1444" s="157" t="str">
        <f>+IF(D1444&lt;&gt;"",'[239]FACTOR PRESTACIONAL'!$E$21," ")</f>
        <v xml:space="preserve"> </v>
      </c>
      <c r="M1444" s="158" t="str">
        <f>IFERROR(K1444*L1444," ")</f>
        <v xml:space="preserve"> </v>
      </c>
      <c r="N1444" s="159"/>
      <c r="O1444" s="160"/>
      <c r="P1444" s="161" t="str">
        <f>IFERROR(ROUND(M1444/N1444,2)," ")</f>
        <v xml:space="preserve"> </v>
      </c>
      <c r="Q1444" s="119"/>
      <c r="R1444" s="4"/>
    </row>
    <row r="1445" spans="1:18" ht="15.75" thickBot="1">
      <c r="A1445" s="1">
        <f t="shared" si="49"/>
        <v>0</v>
      </c>
      <c r="B1445" s="2"/>
      <c r="C1445" s="8"/>
      <c r="D1445" s="128" t="s">
        <v>24</v>
      </c>
      <c r="E1445" s="129"/>
      <c r="F1445" s="129"/>
      <c r="G1445" s="129"/>
      <c r="H1445" s="129"/>
      <c r="I1445" s="129"/>
      <c r="J1445" s="129"/>
      <c r="K1445" s="129"/>
      <c r="L1445" s="129"/>
      <c r="M1445" s="129"/>
      <c r="N1445" s="129"/>
      <c r="O1445" s="130"/>
      <c r="P1445" s="131">
        <f>SUM(P1440:P1444)</f>
        <v>16298.64</v>
      </c>
      <c r="Q1445" s="119"/>
      <c r="R1445" s="4"/>
    </row>
    <row r="1446" spans="1:18" ht="15.75" thickBot="1">
      <c r="A1446" s="1">
        <f t="shared" si="49"/>
        <v>0</v>
      </c>
      <c r="B1446" s="2"/>
      <c r="C1446" s="8"/>
      <c r="D1446" s="87"/>
      <c r="E1446" s="20"/>
      <c r="F1446" s="20"/>
      <c r="G1446" s="20"/>
      <c r="H1446" s="20"/>
      <c r="I1446" s="20"/>
      <c r="J1446" s="20"/>
      <c r="K1446" s="20"/>
      <c r="L1446" s="20"/>
      <c r="M1446" s="20"/>
      <c r="N1446" s="20"/>
      <c r="O1446" s="20"/>
      <c r="P1446" s="88"/>
      <c r="Q1446" s="13"/>
      <c r="R1446" s="4"/>
    </row>
    <row r="1447" spans="1:18" ht="15.75" thickBot="1">
      <c r="A1447" s="1"/>
      <c r="B1447" s="2"/>
      <c r="C1447" s="8"/>
      <c r="D1447" s="163" t="s">
        <v>43</v>
      </c>
      <c r="E1447" s="164"/>
      <c r="F1447" s="164"/>
      <c r="G1447" s="164"/>
      <c r="H1447" s="164"/>
      <c r="I1447" s="164"/>
      <c r="J1447" s="164"/>
      <c r="K1447" s="164"/>
      <c r="L1447" s="164"/>
      <c r="M1447" s="164"/>
      <c r="N1447" s="164"/>
      <c r="O1447" s="165"/>
      <c r="P1447" s="166">
        <f>+P1445+P1437+P1430+P1412</f>
        <v>63884.41</v>
      </c>
      <c r="Q1447" s="167"/>
      <c r="R1447" s="168"/>
    </row>
    <row r="1448" spans="1:18" ht="15.75" thickBot="1">
      <c r="A1448" s="1"/>
      <c r="B1448" s="2"/>
      <c r="C1448" s="8"/>
      <c r="D1448" s="169"/>
      <c r="E1448" s="170"/>
      <c r="F1448" s="170"/>
      <c r="G1448" s="170"/>
      <c r="H1448" s="170"/>
      <c r="I1448" s="170"/>
      <c r="J1448" s="170"/>
      <c r="K1448" s="170"/>
      <c r="L1448" s="170"/>
      <c r="M1448" s="170"/>
      <c r="N1448" s="170"/>
      <c r="O1448" s="170"/>
      <c r="P1448" s="171"/>
      <c r="Q1448" s="100"/>
      <c r="R1448" s="4"/>
    </row>
    <row r="1449" spans="1:18">
      <c r="A1449" s="1"/>
      <c r="B1449" s="2"/>
      <c r="C1449" s="8"/>
      <c r="D1449" s="172" t="s">
        <v>73</v>
      </c>
      <c r="E1449" s="173"/>
      <c r="F1449" s="173"/>
      <c r="G1449" s="173"/>
      <c r="H1449" s="173"/>
      <c r="I1449" s="173"/>
      <c r="J1449" s="173"/>
      <c r="K1449" s="141"/>
      <c r="L1449" s="174"/>
      <c r="M1449" s="153" t="s">
        <v>44</v>
      </c>
      <c r="N1449" s="175" t="s">
        <v>45</v>
      </c>
      <c r="O1449" s="176"/>
      <c r="P1449" s="154"/>
      <c r="Q1449" s="155"/>
      <c r="R1449" s="4"/>
    </row>
    <row r="1450" spans="1:18">
      <c r="A1450" s="1"/>
      <c r="B1450" s="2"/>
      <c r="C1450" s="8"/>
      <c r="D1450" s="109" t="s">
        <v>65</v>
      </c>
      <c r="E1450" s="110"/>
      <c r="F1450" s="110"/>
      <c r="G1450" s="110"/>
      <c r="H1450" s="110"/>
      <c r="I1450" s="110"/>
      <c r="J1450" s="110"/>
      <c r="K1450" s="177"/>
      <c r="L1450" s="178"/>
      <c r="M1450" s="179">
        <f>+[239]INICIO!$F$10</f>
        <v>0.24</v>
      </c>
      <c r="N1450" s="180">
        <f>ROUND(M1450*P1447,2)</f>
        <v>15332.26</v>
      </c>
      <c r="O1450" s="181"/>
      <c r="P1450" s="182"/>
      <c r="Q1450" s="119"/>
      <c r="R1450" s="4"/>
    </row>
    <row r="1451" spans="1:18">
      <c r="A1451" s="1"/>
      <c r="B1451" s="2"/>
      <c r="C1451" s="8"/>
      <c r="D1451" s="183" t="s">
        <v>67</v>
      </c>
      <c r="E1451" s="61"/>
      <c r="F1451" s="61"/>
      <c r="G1451" s="61"/>
      <c r="H1451" s="61"/>
      <c r="I1451" s="61"/>
      <c r="J1451" s="61"/>
      <c r="K1451" s="177"/>
      <c r="L1451" s="178"/>
      <c r="M1451" s="179">
        <f>+[239]INICIO!$F$11</f>
        <v>0.02</v>
      </c>
      <c r="N1451" s="180">
        <f>ROUND(M1451*P1447,2)</f>
        <v>1277.69</v>
      </c>
      <c r="O1451" s="181"/>
      <c r="P1451" s="182"/>
      <c r="Q1451" s="119"/>
      <c r="R1451" s="4"/>
    </row>
    <row r="1452" spans="1:18" ht="15.75" thickBot="1">
      <c r="A1452" s="1"/>
      <c r="B1452" s="2"/>
      <c r="C1452" s="8"/>
      <c r="D1452" s="77" t="s">
        <v>69</v>
      </c>
      <c r="E1452" s="78"/>
      <c r="F1452" s="78"/>
      <c r="G1452" s="78"/>
      <c r="H1452" s="78"/>
      <c r="I1452" s="78"/>
      <c r="J1452" s="78"/>
      <c r="K1452" s="184"/>
      <c r="L1452" s="185"/>
      <c r="M1452" s="179">
        <f>+[239]INICIO!$F$12</f>
        <v>7.0000000000000007E-2</v>
      </c>
      <c r="N1452" s="180">
        <f>ROUND(M1452*P1447,2)</f>
        <v>4471.91</v>
      </c>
      <c r="O1452" s="181"/>
      <c r="P1452" s="182"/>
      <c r="Q1452" s="119"/>
      <c r="R1452" s="4"/>
    </row>
    <row r="1453" spans="1:18" ht="15.75" thickBot="1">
      <c r="A1453" s="1"/>
      <c r="B1453" s="2"/>
      <c r="C1453" s="8"/>
      <c r="D1453" s="128"/>
      <c r="E1453" s="129"/>
      <c r="F1453" s="129"/>
      <c r="G1453" s="129"/>
      <c r="H1453" s="129"/>
      <c r="I1453" s="129"/>
      <c r="J1453" s="129"/>
      <c r="K1453" s="129"/>
      <c r="L1453" s="129"/>
      <c r="M1453" s="129"/>
      <c r="N1453" s="129"/>
      <c r="O1453" s="130"/>
      <c r="P1453" s="131">
        <f>SUM(N1450:N1452)</f>
        <v>21081.86</v>
      </c>
      <c r="Q1453" s="186"/>
      <c r="R1453" s="4"/>
    </row>
    <row r="1454" spans="1:18" ht="15.75" thickBot="1">
      <c r="A1454" s="1"/>
      <c r="B1454" s="2"/>
      <c r="C1454" s="8"/>
      <c r="D1454" s="87"/>
      <c r="E1454" s="20"/>
      <c r="F1454" s="20"/>
      <c r="G1454" s="20"/>
      <c r="H1454" s="20"/>
      <c r="I1454" s="20"/>
      <c r="J1454" s="20"/>
      <c r="K1454" s="20"/>
      <c r="L1454" s="20"/>
      <c r="M1454" s="20"/>
      <c r="N1454" s="20"/>
      <c r="O1454" s="20"/>
      <c r="P1454" s="88"/>
      <c r="Q1454" s="13"/>
      <c r="R1454" s="4"/>
    </row>
    <row r="1455" spans="1:18" ht="15.75" thickBot="1">
      <c r="A1455" s="1"/>
      <c r="B1455" s="2"/>
      <c r="C1455" s="8"/>
      <c r="D1455" s="187" t="s">
        <v>46</v>
      </c>
      <c r="E1455" s="188"/>
      <c r="F1455" s="188"/>
      <c r="G1455" s="188"/>
      <c r="H1455" s="188"/>
      <c r="I1455" s="188"/>
      <c r="J1455" s="188"/>
      <c r="K1455" s="188"/>
      <c r="L1455" s="188"/>
      <c r="M1455" s="188"/>
      <c r="N1455" s="188"/>
      <c r="O1455" s="189"/>
      <c r="P1455" s="166">
        <f>ROUND(P1453+P1447,0)</f>
        <v>84966</v>
      </c>
      <c r="Q1455" s="186"/>
      <c r="R1455" s="4"/>
    </row>
    <row r="1456" spans="1:18">
      <c r="A1456" s="1"/>
      <c r="B1456" s="2"/>
      <c r="C1456" s="8"/>
      <c r="D1456" s="80"/>
      <c r="E1456" s="81"/>
      <c r="F1456" s="81"/>
      <c r="G1456" s="81"/>
      <c r="H1456" s="81"/>
      <c r="I1456" s="81"/>
      <c r="J1456" s="81"/>
      <c r="K1456" s="81"/>
      <c r="L1456" s="81"/>
      <c r="M1456" s="81"/>
      <c r="N1456" s="81"/>
      <c r="O1456" s="81"/>
      <c r="P1456" s="82"/>
      <c r="Q1456" s="13"/>
      <c r="R1456" s="4"/>
    </row>
    <row r="1457" spans="1:18">
      <c r="A1457" s="1"/>
      <c r="B1457" s="2"/>
      <c r="C1457" s="8"/>
      <c r="D1457" s="87"/>
      <c r="E1457" s="20"/>
      <c r="F1457" s="20"/>
      <c r="G1457" s="20"/>
      <c r="H1457" s="20"/>
      <c r="I1457" s="20"/>
      <c r="J1457" s="20"/>
      <c r="K1457" s="20"/>
      <c r="L1457" s="20"/>
      <c r="M1457" s="20"/>
      <c r="N1457" s="20"/>
      <c r="O1457" s="20"/>
      <c r="P1457" s="88"/>
      <c r="Q1457" s="13"/>
      <c r="R1457" s="4"/>
    </row>
    <row r="1458" spans="1:18">
      <c r="A1458" s="1"/>
      <c r="B1458" s="2"/>
      <c r="C1458" s="8"/>
      <c r="D1458" s="87"/>
      <c r="E1458" s="20"/>
      <c r="F1458" s="20"/>
      <c r="G1458" s="20"/>
      <c r="H1458" s="20"/>
      <c r="I1458" s="20"/>
      <c r="J1458" s="20"/>
      <c r="K1458" s="20"/>
      <c r="L1458" s="20"/>
      <c r="M1458" s="20"/>
      <c r="N1458" s="20"/>
      <c r="O1458" s="20"/>
      <c r="P1458" s="88"/>
      <c r="Q1458" s="13"/>
      <c r="R1458" s="4"/>
    </row>
    <row r="1459" spans="1:18">
      <c r="A1459" s="1"/>
      <c r="B1459" s="2"/>
      <c r="C1459" s="8"/>
      <c r="D1459" s="87"/>
      <c r="E1459" s="20"/>
      <c r="F1459" s="20"/>
      <c r="G1459" s="20"/>
      <c r="H1459" s="20"/>
      <c r="I1459" s="20"/>
      <c r="J1459" s="20"/>
      <c r="K1459" s="20"/>
      <c r="L1459" s="20"/>
      <c r="M1459" s="20"/>
      <c r="N1459" s="20"/>
      <c r="O1459" s="20"/>
      <c r="P1459" s="88"/>
      <c r="Q1459" s="13"/>
      <c r="R1459" s="4"/>
    </row>
    <row r="1460" spans="1:18">
      <c r="A1460" s="1"/>
      <c r="B1460" s="2"/>
      <c r="C1460" s="8"/>
      <c r="D1460" s="219" t="str">
        <f>+[239]INICIO!$B$13</f>
        <v>Proyectó:</v>
      </c>
      <c r="E1460" s="49"/>
      <c r="F1460" s="49"/>
      <c r="G1460" s="49"/>
      <c r="H1460" s="49"/>
      <c r="I1460" s="49"/>
      <c r="J1460" s="49"/>
      <c r="K1460" s="20"/>
      <c r="L1460" s="69" t="str">
        <f>+[239]INICIO!$B$16</f>
        <v>Aprobó:</v>
      </c>
      <c r="M1460" s="49"/>
      <c r="N1460" s="49"/>
      <c r="O1460" s="49"/>
      <c r="P1460" s="88"/>
      <c r="Q1460" s="13"/>
      <c r="R1460" s="4"/>
    </row>
    <row r="1461" spans="1:18">
      <c r="A1461" s="1"/>
      <c r="B1461" s="2"/>
      <c r="C1461" s="8"/>
      <c r="D1461" s="87"/>
      <c r="E1461" s="20" t="str">
        <f>+Hoja2!C$13</f>
        <v>HELMER EDUARDO BECERRA SANTANDER</v>
      </c>
      <c r="F1461" s="20"/>
      <c r="G1461" s="20"/>
      <c r="H1461" s="20"/>
      <c r="I1461" s="20"/>
      <c r="J1461" s="20"/>
      <c r="K1461" s="20"/>
      <c r="L1461" s="20"/>
      <c r="M1461" s="20" t="str">
        <f>+Hoja2!$C$16</f>
        <v>JESÚS IVÁN QUIÑONES RUEDA</v>
      </c>
      <c r="N1461" s="20"/>
      <c r="O1461" s="20"/>
      <c r="P1461" s="88"/>
      <c r="Q1461" s="190"/>
      <c r="R1461" s="4"/>
    </row>
    <row r="1462" spans="1:18">
      <c r="A1462" s="1"/>
      <c r="B1462" s="2"/>
      <c r="C1462" s="8"/>
      <c r="D1462" s="87"/>
      <c r="E1462" s="20" t="str">
        <f>+Hoja2!C$14</f>
        <v>APOYO SEC. DE PLANEACIÓN Y OBRAS PÚBLICAS</v>
      </c>
      <c r="F1462" s="20"/>
      <c r="G1462" s="20"/>
      <c r="H1462" s="20"/>
      <c r="I1462" s="20"/>
      <c r="J1462" s="20"/>
      <c r="K1462" s="20"/>
      <c r="L1462" s="20"/>
      <c r="M1462" s="20" t="str">
        <f>+Hoja2!$C$17</f>
        <v>SECRETARIO DE PLANEACIÓN Y OBRAS PUBLICAS</v>
      </c>
      <c r="N1462" s="20"/>
      <c r="O1462" s="20"/>
      <c r="P1462" s="88"/>
      <c r="Q1462" s="190"/>
      <c r="R1462" s="4"/>
    </row>
    <row r="1463" spans="1:18">
      <c r="A1463" s="1"/>
      <c r="B1463" s="2"/>
      <c r="C1463" s="8"/>
      <c r="D1463" s="68"/>
      <c r="E1463" s="20" t="str">
        <f>+Hoja2!C$15</f>
        <v>123769-0701671 NTS</v>
      </c>
      <c r="F1463" s="191"/>
      <c r="G1463" s="191"/>
      <c r="H1463" s="191"/>
      <c r="I1463" s="20"/>
      <c r="J1463" s="191"/>
      <c r="K1463" s="191"/>
      <c r="L1463" s="191"/>
      <c r="M1463" s="192" t="str">
        <f>+Hoja2!C$18</f>
        <v>A21382020-1090480860</v>
      </c>
      <c r="N1463" s="191"/>
      <c r="O1463" s="191"/>
      <c r="P1463" s="193"/>
      <c r="Q1463" s="194"/>
      <c r="R1463" s="4"/>
    </row>
    <row r="1464" spans="1:18" ht="16.5" thickBot="1">
      <c r="A1464" s="1"/>
      <c r="B1464" s="2"/>
      <c r="C1464" s="8"/>
      <c r="D1464" s="195"/>
      <c r="E1464" s="150"/>
      <c r="F1464" s="150"/>
      <c r="G1464" s="150"/>
      <c r="H1464" s="150"/>
      <c r="I1464" s="150"/>
      <c r="J1464" s="150"/>
      <c r="K1464" s="150"/>
      <c r="L1464" s="150"/>
      <c r="M1464" s="150"/>
      <c r="N1464" s="150"/>
      <c r="O1464" s="150"/>
      <c r="P1464" s="196"/>
      <c r="Q1464" s="197"/>
      <c r="R1464" s="4"/>
    </row>
    <row r="1465" spans="1:18" ht="15.75" thickBot="1">
      <c r="A1465" s="1"/>
      <c r="B1465" s="2"/>
      <c r="C1465" s="198"/>
      <c r="D1465" s="199"/>
      <c r="E1465" s="199"/>
      <c r="F1465" s="199"/>
      <c r="G1465" s="199"/>
      <c r="H1465" s="199"/>
      <c r="I1465" s="199"/>
      <c r="J1465" s="199"/>
      <c r="K1465" s="199"/>
      <c r="L1465" s="199"/>
      <c r="M1465" s="199"/>
      <c r="N1465" s="199"/>
      <c r="O1465" s="199"/>
      <c r="P1465" s="199"/>
      <c r="Q1465" s="200"/>
      <c r="R1465" s="4"/>
    </row>
    <row r="1466" spans="1:18" ht="15.75" thickTop="1"/>
    <row r="1467" spans="1:18" ht="15.75" thickBot="1"/>
    <row r="1468" spans="1:18" ht="15.75" thickTop="1">
      <c r="A1468" s="1"/>
      <c r="B1468" s="2"/>
      <c r="C1468" s="5"/>
      <c r="D1468" s="6"/>
      <c r="E1468" s="6"/>
      <c r="F1468" s="6"/>
      <c r="G1468" s="6"/>
      <c r="H1468" s="6"/>
      <c r="I1468" s="6"/>
      <c r="J1468" s="6"/>
      <c r="K1468" s="6"/>
      <c r="L1468" s="6"/>
      <c r="M1468" s="6"/>
      <c r="N1468" s="6"/>
      <c r="O1468" s="6"/>
      <c r="P1468" s="6"/>
      <c r="Q1468" s="7"/>
      <c r="R1468" s="4"/>
    </row>
    <row r="1469" spans="1:18" ht="24">
      <c r="A1469" s="1"/>
      <c r="B1469" s="2"/>
      <c r="C1469" s="8"/>
      <c r="D1469" s="9" t="str">
        <f>+[239]INICIO!$C$8</f>
        <v>Análisis de Precios Unitarios- Secretaria de Planeación y Obras Publicas de Cubará, Boyacá.</v>
      </c>
      <c r="E1469" s="10"/>
      <c r="F1469" s="10"/>
      <c r="G1469" s="10"/>
      <c r="H1469" s="11"/>
      <c r="I1469" s="12"/>
      <c r="J1469" s="12"/>
      <c r="K1469" s="12"/>
      <c r="L1469" s="12"/>
      <c r="M1469" s="12"/>
      <c r="N1469" s="12"/>
      <c r="O1469" s="12"/>
      <c r="P1469" s="12"/>
      <c r="Q1469" s="13"/>
      <c r="R1469" s="4"/>
    </row>
    <row r="1470" spans="1:18">
      <c r="A1470" s="1"/>
      <c r="B1470" s="2"/>
      <c r="C1470" s="8"/>
      <c r="D1470" s="14" t="s">
        <v>0</v>
      </c>
      <c r="E1470" s="15" t="str">
        <f>+[239]INICIO!$C$7</f>
        <v>CCE-EICP-FM-14</v>
      </c>
      <c r="F1470" s="16"/>
      <c r="G1470" s="17" t="str">
        <f>+[239]INICIO!$B$6</f>
        <v>VERSIÓN</v>
      </c>
      <c r="H1470" s="14">
        <f>+[239]INICIO!$C$6</f>
        <v>1</v>
      </c>
      <c r="I1470" s="12"/>
      <c r="J1470" s="12"/>
      <c r="K1470" s="12"/>
      <c r="L1470" s="12"/>
      <c r="M1470" s="12"/>
      <c r="N1470" s="12"/>
      <c r="O1470" s="12"/>
      <c r="P1470" s="12"/>
      <c r="Q1470" s="13"/>
      <c r="R1470" s="4"/>
    </row>
    <row r="1471" spans="1:18">
      <c r="A1471" s="1"/>
      <c r="B1471" s="2"/>
      <c r="C1471" s="8"/>
      <c r="D1471" s="18"/>
      <c r="E1471" s="19"/>
      <c r="F1471" s="18"/>
      <c r="G1471" s="19"/>
      <c r="H1471" s="12"/>
      <c r="I1471" s="12"/>
      <c r="J1471" s="12"/>
      <c r="K1471" s="12"/>
      <c r="L1471" s="12"/>
      <c r="M1471" s="12"/>
      <c r="N1471" s="12"/>
      <c r="O1471" s="12"/>
      <c r="P1471" s="12"/>
      <c r="Q1471" s="13"/>
      <c r="R1471" s="4"/>
    </row>
    <row r="1472" spans="1:18" ht="15.75" thickBot="1">
      <c r="A1472" s="1"/>
      <c r="B1472" s="2"/>
      <c r="C1472" s="8"/>
      <c r="D1472" s="20"/>
      <c r="E1472" s="20"/>
      <c r="F1472" s="20"/>
      <c r="G1472" s="20"/>
      <c r="H1472" s="20"/>
      <c r="I1472" s="20"/>
      <c r="J1472" s="20"/>
      <c r="K1472" s="20"/>
      <c r="L1472" s="20"/>
      <c r="M1472" s="20"/>
      <c r="N1472" s="20"/>
      <c r="O1472" s="20"/>
      <c r="P1472" s="20"/>
      <c r="Q1472" s="13"/>
      <c r="R1472" s="4"/>
    </row>
    <row r="1473" spans="1:18">
      <c r="A1473" s="1"/>
      <c r="B1473" s="2"/>
      <c r="C1473" s="8"/>
      <c r="D1473" s="21"/>
      <c r="E1473" s="22"/>
      <c r="F1473" s="23"/>
      <c r="G1473" s="23"/>
      <c r="H1473" s="23"/>
      <c r="I1473" s="23"/>
      <c r="J1473" s="23"/>
      <c r="K1473" s="23"/>
      <c r="L1473" s="24"/>
      <c r="M1473" s="25"/>
      <c r="N1473" s="26"/>
      <c r="O1473" s="26"/>
      <c r="P1473" s="27"/>
      <c r="Q1473" s="28"/>
      <c r="R1473" s="4"/>
    </row>
    <row r="1474" spans="1:18">
      <c r="A1474" s="1"/>
      <c r="B1474" s="2"/>
      <c r="C1474" s="8"/>
      <c r="D1474" s="29"/>
      <c r="E1474" s="30" t="s">
        <v>1</v>
      </c>
      <c r="F1474" s="31"/>
      <c r="G1474" s="31"/>
      <c r="H1474" s="31"/>
      <c r="I1474" s="31"/>
      <c r="J1474" s="31"/>
      <c r="K1474" s="31"/>
      <c r="L1474" s="32"/>
      <c r="M1474" s="33"/>
      <c r="N1474" s="34"/>
      <c r="O1474" s="34"/>
      <c r="P1474" s="35"/>
      <c r="Q1474" s="28"/>
      <c r="R1474" s="4"/>
    </row>
    <row r="1475" spans="1:18">
      <c r="A1475" s="1"/>
      <c r="B1475" s="2"/>
      <c r="C1475" s="8"/>
      <c r="D1475" s="29"/>
      <c r="E1475" s="36"/>
      <c r="F1475" s="37"/>
      <c r="G1475" s="37"/>
      <c r="H1475" s="37"/>
      <c r="I1475" s="37"/>
      <c r="J1475" s="37"/>
      <c r="K1475" s="37"/>
      <c r="L1475" s="38"/>
      <c r="M1475" s="39"/>
      <c r="N1475" s="40"/>
      <c r="O1475" s="41"/>
      <c r="P1475" s="42"/>
      <c r="Q1475" s="28"/>
      <c r="R1475" s="4"/>
    </row>
    <row r="1476" spans="1:18">
      <c r="A1476" s="1"/>
      <c r="B1476" s="2"/>
      <c r="C1476" s="8"/>
      <c r="D1476" s="29"/>
      <c r="E1476" s="36"/>
      <c r="F1476" s="37"/>
      <c r="G1476" s="37"/>
      <c r="H1476" s="37"/>
      <c r="I1476" s="37"/>
      <c r="J1476" s="37"/>
      <c r="K1476" s="37"/>
      <c r="L1476" s="38"/>
      <c r="M1476" s="43" t="s">
        <v>2</v>
      </c>
      <c r="N1476" s="44"/>
      <c r="O1476" s="45">
        <f>+[239]INICIO!$C$6</f>
        <v>1</v>
      </c>
      <c r="P1476" s="46"/>
      <c r="Q1476" s="28"/>
      <c r="R1476" s="4"/>
    </row>
    <row r="1477" spans="1:18">
      <c r="A1477" s="1"/>
      <c r="B1477" s="2"/>
      <c r="C1477" s="8"/>
      <c r="D1477" s="29"/>
      <c r="E1477" s="36"/>
      <c r="F1477" s="37"/>
      <c r="G1477" s="37"/>
      <c r="H1477" s="37"/>
      <c r="I1477" s="37"/>
      <c r="J1477" s="37"/>
      <c r="K1477" s="37"/>
      <c r="L1477" s="38"/>
      <c r="M1477" s="47"/>
      <c r="N1477" s="48"/>
      <c r="O1477" s="49"/>
      <c r="P1477" s="50"/>
      <c r="Q1477" s="51"/>
      <c r="R1477" s="4"/>
    </row>
    <row r="1478" spans="1:18">
      <c r="A1478" s="1"/>
      <c r="B1478" s="2"/>
      <c r="C1478" s="8"/>
      <c r="D1478" s="29"/>
      <c r="E1478" s="52"/>
      <c r="F1478" s="53"/>
      <c r="G1478" s="53"/>
      <c r="H1478" s="53"/>
      <c r="I1478" s="53"/>
      <c r="J1478" s="53"/>
      <c r="K1478" s="53"/>
      <c r="L1478" s="54"/>
      <c r="M1478" s="39"/>
      <c r="N1478" s="55"/>
      <c r="O1478" s="55"/>
      <c r="P1478" s="56"/>
      <c r="Q1478" s="28"/>
      <c r="R1478" s="4"/>
    </row>
    <row r="1479" spans="1:18">
      <c r="A1479" s="1"/>
      <c r="B1479" s="2"/>
      <c r="C1479" s="8"/>
      <c r="D1479" s="29"/>
      <c r="E1479" s="52"/>
      <c r="F1479" s="53"/>
      <c r="G1479" s="53"/>
      <c r="H1479" s="53"/>
      <c r="I1479" s="53"/>
      <c r="J1479" s="53"/>
      <c r="K1479" s="53"/>
      <c r="L1479" s="54"/>
      <c r="M1479" s="43" t="s">
        <v>3</v>
      </c>
      <c r="N1479" s="43" t="str">
        <f>+VLOOKUP(D1490,'PRESUPUESTO OFICIAL '!C:Q,9,FALSE)</f>
        <v>54</v>
      </c>
      <c r="O1479" s="43" t="s">
        <v>4</v>
      </c>
      <c r="P1479" s="508" t="str">
        <f>+'PRESUPUESTO OFICIAL '!$M$122</f>
        <v>62</v>
      </c>
      <c r="Q1479" s="28"/>
      <c r="R1479" s="4"/>
    </row>
    <row r="1480" spans="1:18">
      <c r="A1480" s="1"/>
      <c r="B1480" s="2"/>
      <c r="C1480" s="8"/>
      <c r="D1480" s="29"/>
      <c r="E1480" s="30" t="s">
        <v>5</v>
      </c>
      <c r="F1480" s="31"/>
      <c r="G1480" s="31"/>
      <c r="H1480" s="31"/>
      <c r="I1480" s="31"/>
      <c r="J1480" s="31"/>
      <c r="K1480" s="31"/>
      <c r="L1480" s="32"/>
      <c r="M1480" s="43"/>
      <c r="N1480" s="57"/>
      <c r="O1480" s="57"/>
      <c r="P1480" s="58"/>
      <c r="Q1480" s="28"/>
      <c r="R1480" s="4"/>
    </row>
    <row r="1481" spans="1:18" ht="15.75" thickBot="1">
      <c r="A1481" s="1"/>
      <c r="B1481" s="2"/>
      <c r="C1481" s="8"/>
      <c r="D1481" s="59"/>
      <c r="E1481" s="60"/>
      <c r="F1481" s="60"/>
      <c r="G1481" s="60"/>
      <c r="H1481" s="60"/>
      <c r="I1481" s="60"/>
      <c r="J1481" s="60"/>
      <c r="K1481" s="60"/>
      <c r="L1481" s="60"/>
      <c r="M1481" s="60"/>
      <c r="N1481" s="61"/>
      <c r="O1481" s="61"/>
      <c r="P1481" s="62"/>
      <c r="Q1481" s="63"/>
      <c r="R1481" s="4"/>
    </row>
    <row r="1482" spans="1:18">
      <c r="A1482" s="1"/>
      <c r="B1482" s="2"/>
      <c r="C1482" s="8"/>
      <c r="D1482" s="64"/>
      <c r="E1482" s="65"/>
      <c r="F1482" s="65"/>
      <c r="G1482" s="65"/>
      <c r="H1482" s="65"/>
      <c r="I1482" s="65"/>
      <c r="J1482" s="65"/>
      <c r="K1482" s="65"/>
      <c r="L1482" s="65"/>
      <c r="M1482" s="66" t="s">
        <v>6</v>
      </c>
      <c r="N1482" s="66" t="s">
        <v>7</v>
      </c>
      <c r="O1482" s="66" t="s">
        <v>8</v>
      </c>
      <c r="P1482" s="67" t="s">
        <v>9</v>
      </c>
      <c r="Q1482" s="51"/>
      <c r="R1482" s="4"/>
    </row>
    <row r="1483" spans="1:18">
      <c r="A1483" s="1"/>
      <c r="B1483" s="2"/>
      <c r="C1483" s="8"/>
      <c r="D1483" s="68"/>
      <c r="E1483" s="69"/>
      <c r="F1483" s="69"/>
      <c r="G1483" s="69"/>
      <c r="H1483" s="69"/>
      <c r="I1483" s="69"/>
      <c r="J1483" s="69"/>
      <c r="K1483" s="69"/>
      <c r="L1483" s="69"/>
      <c r="M1483" s="70"/>
      <c r="N1483" s="71">
        <f>+Hoja2!B$5</f>
        <v>5</v>
      </c>
      <c r="O1483" s="71">
        <f>+Hoja2!C$5</f>
        <v>8</v>
      </c>
      <c r="P1483" s="72">
        <f>+Hoja2!D$5</f>
        <v>2026</v>
      </c>
      <c r="Q1483" s="73"/>
      <c r="R1483" s="4"/>
    </row>
    <row r="1484" spans="1:18">
      <c r="A1484" s="1"/>
      <c r="B1484" s="2"/>
      <c r="C1484" s="8"/>
      <c r="D1484" s="74"/>
      <c r="E1484" s="37"/>
      <c r="F1484" s="37"/>
      <c r="G1484" s="37"/>
      <c r="H1484" s="69"/>
      <c r="I1484" s="69"/>
      <c r="J1484" s="69"/>
      <c r="K1484" s="20"/>
      <c r="L1484" s="69"/>
      <c r="M1484" s="75"/>
      <c r="N1484" s="20"/>
      <c r="O1484" s="20"/>
      <c r="P1484" s="76"/>
      <c r="Q1484" s="73"/>
      <c r="R1484" s="4"/>
    </row>
    <row r="1485" spans="1:18" ht="15.75" thickBot="1">
      <c r="A1485" s="1"/>
      <c r="B1485" s="2"/>
      <c r="C1485" s="8"/>
      <c r="D1485" s="77"/>
      <c r="E1485" s="78"/>
      <c r="F1485" s="78"/>
      <c r="G1485" s="78"/>
      <c r="H1485" s="78"/>
      <c r="I1485" s="78"/>
      <c r="J1485" s="78"/>
      <c r="K1485" s="78"/>
      <c r="L1485" s="78"/>
      <c r="M1485" s="78"/>
      <c r="N1485" s="78"/>
      <c r="O1485" s="78"/>
      <c r="P1485" s="79"/>
      <c r="Q1485" s="13"/>
      <c r="R1485" s="4"/>
    </row>
    <row r="1486" spans="1:18" ht="15.75" thickBot="1">
      <c r="A1486" s="1"/>
      <c r="B1486" s="2"/>
      <c r="C1486" s="8"/>
      <c r="D1486" s="80"/>
      <c r="E1486" s="81"/>
      <c r="F1486" s="81"/>
      <c r="G1486" s="81"/>
      <c r="H1486" s="81"/>
      <c r="I1486" s="81"/>
      <c r="J1486" s="20"/>
      <c r="K1486" s="20"/>
      <c r="L1486" s="81"/>
      <c r="M1486" s="81"/>
      <c r="N1486" s="81"/>
      <c r="O1486" s="81"/>
      <c r="P1486" s="82"/>
      <c r="Q1486" s="13"/>
      <c r="R1486" s="4"/>
    </row>
    <row r="1487" spans="1:18">
      <c r="A1487" s="1"/>
      <c r="B1487" s="2"/>
      <c r="C1487" s="8"/>
      <c r="D1487" s="83" t="s">
        <v>10</v>
      </c>
      <c r="E1487" s="84"/>
      <c r="F1487" s="84"/>
      <c r="G1487" s="84"/>
      <c r="H1487" s="84"/>
      <c r="I1487" s="84"/>
      <c r="J1487" s="84"/>
      <c r="K1487" s="84"/>
      <c r="L1487" s="84"/>
      <c r="M1487" s="84"/>
      <c r="N1487" s="84"/>
      <c r="O1487" s="84"/>
      <c r="P1487" s="85"/>
      <c r="Q1487" s="86"/>
      <c r="R1487" s="4"/>
    </row>
    <row r="1488" spans="1:18" ht="15.75" thickBot="1">
      <c r="A1488" s="1"/>
      <c r="B1488" s="2"/>
      <c r="C1488" s="8"/>
      <c r="D1488" s="87"/>
      <c r="E1488" s="20"/>
      <c r="F1488" s="20"/>
      <c r="G1488" s="20"/>
      <c r="H1488" s="20"/>
      <c r="I1488" s="20"/>
      <c r="J1488" s="20"/>
      <c r="K1488" s="20"/>
      <c r="L1488" s="20"/>
      <c r="M1488" s="20"/>
      <c r="N1488" s="20"/>
      <c r="O1488" s="20"/>
      <c r="P1488" s="88"/>
      <c r="Q1488" s="13"/>
      <c r="R1488" s="4"/>
    </row>
    <row r="1489" spans="1:18">
      <c r="A1489" s="1" t="s">
        <v>11</v>
      </c>
      <c r="B1489" s="2" t="s">
        <v>12</v>
      </c>
      <c r="C1489" s="8"/>
      <c r="D1489" s="89" t="s">
        <v>13</v>
      </c>
      <c r="E1489" s="90" t="s">
        <v>14</v>
      </c>
      <c r="F1489" s="90"/>
      <c r="G1489" s="90"/>
      <c r="H1489" s="90"/>
      <c r="I1489" s="90"/>
      <c r="J1489" s="90"/>
      <c r="K1489" s="90"/>
      <c r="L1489" s="90"/>
      <c r="M1489" s="90"/>
      <c r="N1489" s="91" t="s">
        <v>15</v>
      </c>
      <c r="O1489" s="91"/>
      <c r="P1489" s="92" t="s">
        <v>16</v>
      </c>
      <c r="Q1489" s="93"/>
      <c r="R1489" s="4"/>
    </row>
    <row r="1490" spans="1:18" ht="38.25" customHeight="1" thickBot="1">
      <c r="A1490" s="1"/>
      <c r="B1490" s="2"/>
      <c r="C1490" s="8"/>
      <c r="D1490" s="349">
        <f>+'PRESUPUESTO OFICIAL '!C84</f>
        <v>7.05</v>
      </c>
      <c r="E1490" s="94" t="str">
        <f>+VLOOKUP(D1490,'PRESUPUESTO OFICIAL '!C:H,2,FALSE)</f>
        <v>SUMINISTRO E INSTALACIÓN DE CABALLETE EN TEJA MASTER 1000</v>
      </c>
      <c r="F1490" s="94"/>
      <c r="G1490" s="94"/>
      <c r="H1490" s="94"/>
      <c r="I1490" s="94"/>
      <c r="J1490" s="94"/>
      <c r="K1490" s="94"/>
      <c r="L1490" s="94"/>
      <c r="M1490" s="94"/>
      <c r="N1490" s="94" t="str">
        <f>+VLOOKUP(D1490,'PRESUPUESTO OFICIAL '!C:H,3,FALSE)</f>
        <v>M</v>
      </c>
      <c r="O1490" s="95"/>
      <c r="P1490" s="96">
        <f>+VLOOKUP(D1490,'PRESUPUESTO OFICIAL '!C:H,4,FALSE)</f>
        <v>105.29</v>
      </c>
      <c r="Q1490" s="97"/>
      <c r="R1490" s="98">
        <f>+P1542</f>
        <v>74019</v>
      </c>
    </row>
    <row r="1491" spans="1:18" ht="15.75" thickBot="1">
      <c r="A1491" s="1"/>
      <c r="B1491" s="2"/>
      <c r="C1491" s="8"/>
      <c r="D1491" s="74" t="s">
        <v>17</v>
      </c>
      <c r="E1491" s="37"/>
      <c r="F1491" s="37"/>
      <c r="G1491" s="37"/>
      <c r="H1491" s="37"/>
      <c r="I1491" s="37"/>
      <c r="J1491" s="37"/>
      <c r="K1491" s="37"/>
      <c r="L1491" s="37"/>
      <c r="M1491" s="37"/>
      <c r="N1491" s="37"/>
      <c r="O1491" s="37"/>
      <c r="P1491" s="99"/>
      <c r="Q1491" s="100"/>
      <c r="R1491" s="4"/>
    </row>
    <row r="1492" spans="1:18">
      <c r="A1492" s="1"/>
      <c r="B1492" s="2"/>
      <c r="C1492" s="8"/>
      <c r="D1492" s="101" t="s">
        <v>14</v>
      </c>
      <c r="E1492" s="102"/>
      <c r="F1492" s="102"/>
      <c r="G1492" s="102"/>
      <c r="H1492" s="103"/>
      <c r="I1492" s="104" t="s">
        <v>18</v>
      </c>
      <c r="J1492" s="102"/>
      <c r="K1492" s="104" t="s">
        <v>19</v>
      </c>
      <c r="L1492" s="105"/>
      <c r="M1492" s="106" t="s">
        <v>20</v>
      </c>
      <c r="N1492" s="104" t="s">
        <v>21</v>
      </c>
      <c r="O1492" s="105"/>
      <c r="P1492" s="107" t="s">
        <v>22</v>
      </c>
      <c r="Q1492" s="108"/>
      <c r="R1492" s="4"/>
    </row>
    <row r="1493" spans="1:18">
      <c r="A1493" s="1" t="e">
        <f>[239]INDICE!#REF!</f>
        <v>#REF!</v>
      </c>
      <c r="B1493" s="2" t="s">
        <v>23</v>
      </c>
      <c r="C1493" s="8"/>
      <c r="D1493" s="109" t="str">
        <f>IFERROR(INDEX([239]EQUIPOS!B:B,MATCH(B1493,[239]EQUIPOS!A:A,0)),"")</f>
        <v>HERRAMIENTA MENOR (% M.O)</v>
      </c>
      <c r="E1493" s="110"/>
      <c r="F1493" s="110"/>
      <c r="G1493" s="110"/>
      <c r="H1493" s="111"/>
      <c r="I1493" s="112"/>
      <c r="J1493" s="111"/>
      <c r="K1493" s="113" t="str">
        <f>IFERROR(INDEX([239]EQUIPOS!C:C,MATCH(B1493,[239]EQUIPOS!A:A,0)),"")</f>
        <v>%</v>
      </c>
      <c r="L1493" s="114"/>
      <c r="M1493" s="115">
        <f>IFERROR(IF(D1493="HERRAMIENTA MENOR (% M.O)",P1532,INDEX([239]EQUIPOS!D:D,MATCH(B1493,[239]EQUIPOS!A:A,0))),"")</f>
        <v>23311.279999999999</v>
      </c>
      <c r="N1493" s="116">
        <v>10</v>
      </c>
      <c r="O1493" s="117"/>
      <c r="P1493" s="118">
        <f t="shared" ref="P1493:P1498" si="51">IFERROR(ROUND(IF(D1493="HERRAMIENTA MENOR (% M.O)",N1493%*M1493,M1493/N1493),2)," ")</f>
        <v>2331.13</v>
      </c>
      <c r="Q1493" s="119"/>
      <c r="R1493" s="4"/>
    </row>
    <row r="1494" spans="1:18">
      <c r="A1494" s="1">
        <f>+$A$2593</f>
        <v>0</v>
      </c>
      <c r="B1494" s="2" t="s">
        <v>258</v>
      </c>
      <c r="C1494" s="8"/>
      <c r="D1494" s="109" t="str">
        <f>IFERROR(INDEX([239]EQUIPOS!B:B,MATCH(B1494,[239]EQUIPOS!A:A,0)),"")</f>
        <v>SECCIÓN DE ANDAMIO (02)</v>
      </c>
      <c r="E1494" s="110"/>
      <c r="F1494" s="110"/>
      <c r="G1494" s="110"/>
      <c r="H1494" s="111"/>
      <c r="I1494" s="112"/>
      <c r="J1494" s="111"/>
      <c r="K1494" s="113" t="str">
        <f>IFERROR(INDEX([239]EQUIPOS!C:C,MATCH(B1494,[239]EQUIPOS!A:A,0)),"")</f>
        <v>DIA</v>
      </c>
      <c r="L1494" s="114"/>
      <c r="M1494" s="115">
        <f>IFERROR(IF(D1494="HERRAMIENTA MENOR (% M.O)",P1533,INDEX([239]EQUIPOS!D:D,MATCH(B1494,[239]EQUIPOS!A:A,0))),"")</f>
        <v>6000</v>
      </c>
      <c r="N1494" s="116">
        <f>+N1527</f>
        <v>14</v>
      </c>
      <c r="O1494" s="117"/>
      <c r="P1494" s="118">
        <f t="shared" si="51"/>
        <v>428.57</v>
      </c>
      <c r="Q1494" s="119"/>
      <c r="R1494" s="4"/>
    </row>
    <row r="1495" spans="1:18">
      <c r="A1495" s="1">
        <f t="shared" ref="A1495:A1533" si="52">+A1494</f>
        <v>0</v>
      </c>
      <c r="B1495" s="2" t="s">
        <v>342</v>
      </c>
      <c r="C1495" s="8"/>
      <c r="D1495" s="109" t="str">
        <f>IFERROR(INDEX([239]EQUIPOS!B:B,MATCH(B1495,[239]EQUIPOS!A:A,0)),"")</f>
        <v>TALADRO</v>
      </c>
      <c r="E1495" s="110"/>
      <c r="F1495" s="110"/>
      <c r="G1495" s="110"/>
      <c r="H1495" s="111"/>
      <c r="I1495" s="120"/>
      <c r="J1495" s="121"/>
      <c r="K1495" s="113" t="str">
        <f>IFERROR(INDEX([239]EQUIPOS!C:C,MATCH(B1495,[239]EQUIPOS!A:A,0)),"")</f>
        <v>DIA</v>
      </c>
      <c r="L1495" s="114"/>
      <c r="M1495" s="115">
        <f>IFERROR(IF(D1495="HERRAMIENTA MENOR (% M.O)",P1534,INDEX([239]EQUIPOS!D:D,MATCH(B1495,[239]EQUIPOS!A:A,0))),"")</f>
        <v>36968</v>
      </c>
      <c r="N1495" s="116">
        <v>240</v>
      </c>
      <c r="O1495" s="117"/>
      <c r="P1495" s="118">
        <f t="shared" si="51"/>
        <v>154.03</v>
      </c>
      <c r="Q1495" s="119"/>
      <c r="R1495" s="4"/>
    </row>
    <row r="1496" spans="1:18">
      <c r="A1496" s="1">
        <f t="shared" si="52"/>
        <v>0</v>
      </c>
      <c r="B1496" s="2"/>
      <c r="C1496" s="8"/>
      <c r="D1496" s="109" t="str">
        <f>IFERROR(INDEX([239]EQUIPOS!B:B,MATCH(B1496,[239]EQUIPOS!A:A,0)),"")</f>
        <v/>
      </c>
      <c r="E1496" s="110"/>
      <c r="F1496" s="110"/>
      <c r="G1496" s="110"/>
      <c r="H1496" s="111"/>
      <c r="I1496" s="120"/>
      <c r="J1496" s="121"/>
      <c r="K1496" s="113" t="str">
        <f>IFERROR(INDEX([239]EQUIPOS!C:C,MATCH(B1496,[239]EQUIPOS!A:A,0)),"")</f>
        <v/>
      </c>
      <c r="L1496" s="114"/>
      <c r="M1496" s="115" t="str">
        <f>IFERROR(IF(D1496="HERRAMIENTA MENOR (% M.O)",P1535,INDEX([239]EQUIPOS!D:D,MATCH(B1496,[239]EQUIPOS!A:A,0))),"")</f>
        <v/>
      </c>
      <c r="N1496" s="116"/>
      <c r="O1496" s="117"/>
      <c r="P1496" s="118" t="str">
        <f t="shared" si="51"/>
        <v xml:space="preserve"> </v>
      </c>
      <c r="Q1496" s="119"/>
      <c r="R1496" s="4"/>
    </row>
    <row r="1497" spans="1:18">
      <c r="A1497" s="1">
        <f t="shared" si="52"/>
        <v>0</v>
      </c>
      <c r="B1497" s="2"/>
      <c r="C1497" s="8"/>
      <c r="D1497" s="109" t="str">
        <f>IFERROR(INDEX([239]EQUIPOS!B:B,MATCH(B1497,[239]EQUIPOS!A:A,0)),"")</f>
        <v/>
      </c>
      <c r="E1497" s="110"/>
      <c r="F1497" s="110"/>
      <c r="G1497" s="110"/>
      <c r="H1497" s="111"/>
      <c r="I1497" s="112"/>
      <c r="J1497" s="111"/>
      <c r="K1497" s="113" t="str">
        <f>IFERROR(INDEX([239]EQUIPOS!C:C,MATCH(B1497,[239]EQUIPOS!A:A,0)),"")</f>
        <v/>
      </c>
      <c r="L1497" s="114"/>
      <c r="M1497" s="115" t="str">
        <f>IFERROR(IF(D1497="HERRAMIENTA MENOR (% M.O)",P1536,INDEX([239]EQUIPOS!D:D,MATCH(B1497,[239]EQUIPOS!A:A,0))),"")</f>
        <v/>
      </c>
      <c r="N1497" s="116"/>
      <c r="O1497" s="117"/>
      <c r="P1497" s="118" t="str">
        <f t="shared" si="51"/>
        <v xml:space="preserve"> </v>
      </c>
      <c r="Q1497" s="119"/>
      <c r="R1497" s="4"/>
    </row>
    <row r="1498" spans="1:18" ht="15.75" thickBot="1">
      <c r="A1498" s="1">
        <f t="shared" si="52"/>
        <v>0</v>
      </c>
      <c r="B1498" s="2"/>
      <c r="C1498" s="8"/>
      <c r="D1498" s="109" t="str">
        <f>IFERROR(INDEX([239]EQUIPOS!B:B,MATCH(B1498,[239]EQUIPOS!A:A,0)),"")</f>
        <v/>
      </c>
      <c r="E1498" s="78"/>
      <c r="F1498" s="78"/>
      <c r="G1498" s="78"/>
      <c r="H1498" s="122"/>
      <c r="I1498" s="123"/>
      <c r="J1498" s="122"/>
      <c r="K1498" s="113" t="str">
        <f>IFERROR(INDEX([239]EQUIPOS!C:C,MATCH(B1498,[239]EQUIPOS!A:A,0)),"")</f>
        <v/>
      </c>
      <c r="L1498" s="124"/>
      <c r="M1498" s="115" t="str">
        <f>IFERROR(IF(D1498="HERRAMIENTA MENOR (% M.O)",P1537,INDEX([239]EQUIPOS!D:D,MATCH(B1498,[239]EQUIPOS!A:A,0))),"")</f>
        <v/>
      </c>
      <c r="N1498" s="125"/>
      <c r="O1498" s="126"/>
      <c r="P1498" s="127" t="str">
        <f t="shared" si="51"/>
        <v xml:space="preserve"> </v>
      </c>
      <c r="Q1498" s="119"/>
      <c r="R1498" s="4"/>
    </row>
    <row r="1499" spans="1:18" ht="15.75" thickBot="1">
      <c r="A1499" s="1">
        <f t="shared" si="52"/>
        <v>0</v>
      </c>
      <c r="B1499" s="2"/>
      <c r="C1499" s="8"/>
      <c r="D1499" s="128" t="s">
        <v>24</v>
      </c>
      <c r="E1499" s="129"/>
      <c r="F1499" s="129"/>
      <c r="G1499" s="129"/>
      <c r="H1499" s="129"/>
      <c r="I1499" s="129"/>
      <c r="J1499" s="129"/>
      <c r="K1499" s="129"/>
      <c r="L1499" s="129"/>
      <c r="M1499" s="129"/>
      <c r="N1499" s="129"/>
      <c r="O1499" s="130"/>
      <c r="P1499" s="131">
        <f>SUM(P1493:P1498)</f>
        <v>2913.7300000000005</v>
      </c>
      <c r="Q1499" s="132"/>
      <c r="R1499" s="4"/>
    </row>
    <row r="1500" spans="1:18" ht="15.75" thickBot="1">
      <c r="A1500" s="1">
        <f t="shared" si="52"/>
        <v>0</v>
      </c>
      <c r="B1500" s="2"/>
      <c r="C1500" s="8"/>
      <c r="D1500" s="74" t="s">
        <v>25</v>
      </c>
      <c r="E1500" s="37"/>
      <c r="F1500" s="37"/>
      <c r="G1500" s="37"/>
      <c r="H1500" s="37"/>
      <c r="I1500" s="37"/>
      <c r="J1500" s="37"/>
      <c r="K1500" s="37"/>
      <c r="L1500" s="37"/>
      <c r="M1500" s="37"/>
      <c r="N1500" s="37"/>
      <c r="O1500" s="37"/>
      <c r="P1500" s="99"/>
      <c r="Q1500" s="100"/>
      <c r="R1500" s="4"/>
    </row>
    <row r="1501" spans="1:18">
      <c r="A1501" s="1">
        <f t="shared" si="52"/>
        <v>0</v>
      </c>
      <c r="B1501" s="2"/>
      <c r="C1501" s="8"/>
      <c r="D1501" s="101" t="s">
        <v>14</v>
      </c>
      <c r="E1501" s="133"/>
      <c r="F1501" s="133"/>
      <c r="G1501" s="133"/>
      <c r="H1501" s="133"/>
      <c r="I1501" s="133"/>
      <c r="J1501" s="133"/>
      <c r="K1501" s="105"/>
      <c r="L1501" s="134" t="s">
        <v>15</v>
      </c>
      <c r="M1501" s="106" t="s">
        <v>16</v>
      </c>
      <c r="N1501" s="104" t="s">
        <v>26</v>
      </c>
      <c r="O1501" s="105"/>
      <c r="P1501" s="107" t="s">
        <v>22</v>
      </c>
      <c r="Q1501" s="108"/>
      <c r="R1501" s="4"/>
    </row>
    <row r="1502" spans="1:18">
      <c r="A1502" s="1">
        <f t="shared" si="52"/>
        <v>0</v>
      </c>
      <c r="B1502" s="2" t="s">
        <v>346</v>
      </c>
      <c r="C1502" s="8"/>
      <c r="D1502" s="109" t="str">
        <f>IFERROR(INDEX([239]MATERIALES!C:C,MATCH(B1502,[239]MATERIALES!B:B,0)),"")</f>
        <v xml:space="preserve">CABALLETE MÁSTER 1000 2,00 M X 0,60 M </v>
      </c>
      <c r="E1502" s="135"/>
      <c r="F1502" s="135"/>
      <c r="G1502" s="135"/>
      <c r="H1502" s="135"/>
      <c r="I1502" s="135"/>
      <c r="J1502" s="135"/>
      <c r="K1502" s="136"/>
      <c r="L1502" s="137" t="str">
        <f>IFERROR(INDEX([239]MATERIALES!D:D,MATCH(B1502,[239]MATERIALES!B:B,0)),"")</f>
        <v>UND</v>
      </c>
      <c r="M1502" s="138">
        <v>0.6</v>
      </c>
      <c r="N1502" s="139">
        <f>IFERROR(INDEX([239]MATERIALES!P:P,MATCH(B1502,[239]MATERIALES!B:B,0)),"")</f>
        <v>42800</v>
      </c>
      <c r="O1502" s="140"/>
      <c r="P1502" s="118">
        <f>IFERROR(ROUND(N1502*M1502,2),"")</f>
        <v>25680</v>
      </c>
      <c r="Q1502" s="119"/>
      <c r="R1502" s="4"/>
    </row>
    <row r="1503" spans="1:18">
      <c r="A1503" s="1">
        <f t="shared" si="52"/>
        <v>0</v>
      </c>
      <c r="B1503" s="2" t="s">
        <v>344</v>
      </c>
      <c r="C1503" s="8"/>
      <c r="D1503" s="109" t="str">
        <f>IFERROR(INDEX([239]MATERIALES!C:C,MATCH(B1503,[239]MATERIALES!B:B,0)),"")</f>
        <v>TORNILLO AUTOPERFORANTE CON ARANDELA DE NEOPRENO DE 12 X 1-1/2"</v>
      </c>
      <c r="E1503" s="135"/>
      <c r="F1503" s="135"/>
      <c r="G1503" s="135"/>
      <c r="H1503" s="135"/>
      <c r="I1503" s="135"/>
      <c r="J1503" s="135"/>
      <c r="K1503" s="136"/>
      <c r="L1503" s="137" t="str">
        <f>IFERROR(INDEX([239]MATERIALES!D:D,MATCH(B1503,[239]MATERIALES!B:B,0)),"")</f>
        <v>UND</v>
      </c>
      <c r="M1503" s="138">
        <v>4</v>
      </c>
      <c r="N1503" s="139">
        <f>IFERROR(INDEX([239]MATERIALES!P:P,MATCH(B1503,[239]MATERIALES!B:B,0)),"")</f>
        <v>535.08000000000004</v>
      </c>
      <c r="O1503" s="140"/>
      <c r="P1503" s="118">
        <f>IFERROR(ROUND(N1503*M1503,2),"")</f>
        <v>2140.3200000000002</v>
      </c>
      <c r="Q1503" s="119"/>
      <c r="R1503" s="4"/>
    </row>
    <row r="1504" spans="1:18">
      <c r="A1504" s="1">
        <f t="shared" si="52"/>
        <v>0</v>
      </c>
      <c r="B1504" s="2" t="s">
        <v>345</v>
      </c>
      <c r="C1504" s="8"/>
      <c r="D1504" s="109" t="str">
        <f>IFERROR(INDEX([239]MATERIALES!C:C,MATCH(B1504,[239]MATERIALES!B:B,0)),"")</f>
        <v>SILICONA LIQUIDA 300 ML</v>
      </c>
      <c r="E1504" s="110"/>
      <c r="F1504" s="110"/>
      <c r="G1504" s="110"/>
      <c r="H1504" s="110"/>
      <c r="I1504" s="110"/>
      <c r="J1504" s="110"/>
      <c r="K1504" s="111"/>
      <c r="L1504" s="137" t="str">
        <f>IFERROR(INDEX([239]MATERIALES!D:D,MATCH(B1504,[239]MATERIALES!B:B,0)),"")</f>
        <v>UND</v>
      </c>
      <c r="M1504" s="138">
        <v>0.02</v>
      </c>
      <c r="N1504" s="139">
        <f>IFERROR(INDEX([239]MATERIALES!P:P,MATCH(B1504,[239]MATERIALES!B:B,0)),"")</f>
        <v>10350</v>
      </c>
      <c r="O1504" s="140"/>
      <c r="P1504" s="118">
        <f>IFERROR(ROUND(N1504*M1504,2),"")</f>
        <v>207</v>
      </c>
      <c r="Q1504" s="119"/>
      <c r="R1504" s="4"/>
    </row>
    <row r="1505" spans="1:18">
      <c r="A1505" s="1">
        <f t="shared" si="52"/>
        <v>0</v>
      </c>
      <c r="B1505" s="2"/>
      <c r="C1505" s="8"/>
      <c r="D1505" s="109" t="str">
        <f>IFERROR(INDEX([239]MATERIALES!C:C,MATCH(B1505,[239]MATERIALES!B:B,0)),"")</f>
        <v/>
      </c>
      <c r="E1505" s="110"/>
      <c r="F1505" s="110"/>
      <c r="G1505" s="110"/>
      <c r="H1505" s="110"/>
      <c r="I1505" s="110"/>
      <c r="J1505" s="110"/>
      <c r="K1505" s="111"/>
      <c r="L1505" s="137" t="str">
        <f>IFERROR(INDEX([239]MATERIALES!D:D,MATCH(B1505,[239]MATERIALES!B:B,0)),"")</f>
        <v/>
      </c>
      <c r="M1505" s="138"/>
      <c r="N1505" s="139" t="str">
        <f>IFERROR(INDEX([239]MATERIALES!P:P,MATCH(B1505,[239]MATERIALES!B:B,0)),"")</f>
        <v/>
      </c>
      <c r="O1505" s="140"/>
      <c r="P1505" s="118" t="str">
        <f>IFERROR(ROUND(N1505*M1505,2),"")</f>
        <v/>
      </c>
      <c r="Q1505" s="119"/>
      <c r="R1505" s="4"/>
    </row>
    <row r="1506" spans="1:18">
      <c r="A1506" s="1">
        <f t="shared" si="52"/>
        <v>0</v>
      </c>
      <c r="B1506" s="2"/>
      <c r="C1506" s="8"/>
      <c r="D1506" s="109" t="str">
        <f>IFERROR(INDEX([239]MATERIALES!C:C,MATCH(B1506,[239]MATERIALES!B:B,0)),"")</f>
        <v/>
      </c>
      <c r="E1506" s="110"/>
      <c r="F1506" s="110"/>
      <c r="G1506" s="110"/>
      <c r="H1506" s="110"/>
      <c r="I1506" s="110"/>
      <c r="J1506" s="110"/>
      <c r="K1506" s="111"/>
      <c r="L1506" s="137" t="str">
        <f>IFERROR(INDEX([239]MATERIALES!D:D,MATCH(B1506,[239]MATERIALES!B:B,0)),"")</f>
        <v/>
      </c>
      <c r="M1506" s="138"/>
      <c r="N1506" s="139" t="str">
        <f>IFERROR(INDEX([239]MATERIALES!P:P,MATCH(B1506,[239]MATERIALES!B:B,0)),"")</f>
        <v/>
      </c>
      <c r="O1506" s="140"/>
      <c r="P1506" s="118" t="str">
        <f t="shared" ref="P1506:P1515" si="53">IFERROR(ROUND(N1506*M1506,2),"")</f>
        <v/>
      </c>
      <c r="Q1506" s="119"/>
      <c r="R1506" s="4"/>
    </row>
    <row r="1507" spans="1:18">
      <c r="A1507" s="1">
        <f t="shared" si="52"/>
        <v>0</v>
      </c>
      <c r="B1507" s="2"/>
      <c r="C1507" s="8"/>
      <c r="D1507" s="109" t="str">
        <f>IFERROR(INDEX([239]MATERIALES!C:C,MATCH(B1507,[239]MATERIALES!B:B,0)),"")</f>
        <v/>
      </c>
      <c r="E1507" s="110"/>
      <c r="F1507" s="110"/>
      <c r="G1507" s="110"/>
      <c r="H1507" s="110"/>
      <c r="I1507" s="110"/>
      <c r="J1507" s="110"/>
      <c r="K1507" s="111"/>
      <c r="L1507" s="137" t="str">
        <f>IFERROR(INDEX([239]MATERIALES!D:D,MATCH(B1507,[239]MATERIALES!B:B,0)),"")</f>
        <v/>
      </c>
      <c r="M1507" s="138"/>
      <c r="N1507" s="139" t="str">
        <f>IFERROR(INDEX([239]MATERIALES!P:P,MATCH(B1507,[239]MATERIALES!B:B,0)),"")</f>
        <v/>
      </c>
      <c r="O1507" s="140"/>
      <c r="P1507" s="118" t="str">
        <f t="shared" si="53"/>
        <v/>
      </c>
      <c r="Q1507" s="119"/>
      <c r="R1507" s="4"/>
    </row>
    <row r="1508" spans="1:18">
      <c r="A1508" s="1">
        <f t="shared" si="52"/>
        <v>0</v>
      </c>
      <c r="B1508" s="2"/>
      <c r="C1508" s="8"/>
      <c r="D1508" s="109" t="str">
        <f>IFERROR(INDEX([239]MATERIALES!C:C,MATCH(B1508,[239]MATERIALES!B:B,0)),"")</f>
        <v/>
      </c>
      <c r="E1508" s="110"/>
      <c r="F1508" s="110"/>
      <c r="G1508" s="110"/>
      <c r="H1508" s="110"/>
      <c r="I1508" s="110"/>
      <c r="J1508" s="110"/>
      <c r="K1508" s="111"/>
      <c r="L1508" s="137" t="str">
        <f>IFERROR(INDEX([239]MATERIALES!D:D,MATCH(B1508,[239]MATERIALES!B:B,0)),"")</f>
        <v/>
      </c>
      <c r="M1508" s="138"/>
      <c r="N1508" s="139" t="str">
        <f>IFERROR(INDEX([239]MATERIALES!P:P,MATCH(B1508,[239]MATERIALES!B:B,0)),"")</f>
        <v/>
      </c>
      <c r="O1508" s="140"/>
      <c r="P1508" s="118" t="str">
        <f t="shared" si="53"/>
        <v/>
      </c>
      <c r="Q1508" s="119"/>
      <c r="R1508" s="4"/>
    </row>
    <row r="1509" spans="1:18">
      <c r="A1509" s="1">
        <f t="shared" si="52"/>
        <v>0</v>
      </c>
      <c r="B1509" s="2"/>
      <c r="C1509" s="8"/>
      <c r="D1509" s="109" t="str">
        <f>IFERROR(INDEX([239]MATERIALES!C:C,MATCH(B1509,[239]MATERIALES!B:B,0)),"")</f>
        <v/>
      </c>
      <c r="E1509" s="110"/>
      <c r="F1509" s="110"/>
      <c r="G1509" s="110"/>
      <c r="H1509" s="110"/>
      <c r="I1509" s="110"/>
      <c r="J1509" s="110"/>
      <c r="K1509" s="111"/>
      <c r="L1509" s="137" t="str">
        <f>IFERROR(INDEX([239]MATERIALES!D:D,MATCH(B1509,[239]MATERIALES!B:B,0)),"")</f>
        <v/>
      </c>
      <c r="M1509" s="138"/>
      <c r="N1509" s="139" t="str">
        <f>IFERROR(INDEX([239]MATERIALES!P:P,MATCH(B1509,[239]MATERIALES!B:B,0)),"")</f>
        <v/>
      </c>
      <c r="O1509" s="140"/>
      <c r="P1509" s="118" t="str">
        <f t="shared" si="53"/>
        <v/>
      </c>
      <c r="Q1509" s="119"/>
      <c r="R1509" s="4"/>
    </row>
    <row r="1510" spans="1:18">
      <c r="A1510" s="1">
        <f t="shared" si="52"/>
        <v>0</v>
      </c>
      <c r="B1510" s="2"/>
      <c r="C1510" s="8"/>
      <c r="D1510" s="109" t="str">
        <f>IFERROR(INDEX([239]MATERIALES!C:C,MATCH(B1510,[239]MATERIALES!B:B,0)),"")</f>
        <v/>
      </c>
      <c r="E1510" s="110"/>
      <c r="F1510" s="110"/>
      <c r="G1510" s="110"/>
      <c r="H1510" s="110"/>
      <c r="I1510" s="110"/>
      <c r="J1510" s="110"/>
      <c r="K1510" s="111"/>
      <c r="L1510" s="137" t="str">
        <f>IFERROR(INDEX([239]MATERIALES!D:D,MATCH(B1510,[239]MATERIALES!B:B,0)),"")</f>
        <v/>
      </c>
      <c r="M1510" s="138"/>
      <c r="N1510" s="139" t="str">
        <f>IFERROR(INDEX([239]MATERIALES!P:P,MATCH(B1510,[239]MATERIALES!B:B,0)),"")</f>
        <v/>
      </c>
      <c r="O1510" s="140"/>
      <c r="P1510" s="118" t="str">
        <f t="shared" si="53"/>
        <v/>
      </c>
      <c r="Q1510" s="119"/>
      <c r="R1510" s="4"/>
    </row>
    <row r="1511" spans="1:18">
      <c r="A1511" s="1">
        <f t="shared" si="52"/>
        <v>0</v>
      </c>
      <c r="B1511" s="2"/>
      <c r="C1511" s="8"/>
      <c r="D1511" s="109" t="str">
        <f>IFERROR(INDEX([239]MATERIALES!C:C,MATCH(B1511,[239]MATERIALES!B:B,0)),"")</f>
        <v/>
      </c>
      <c r="E1511" s="110"/>
      <c r="F1511" s="110"/>
      <c r="G1511" s="110"/>
      <c r="H1511" s="110"/>
      <c r="I1511" s="110"/>
      <c r="J1511" s="110"/>
      <c r="K1511" s="111"/>
      <c r="L1511" s="137" t="str">
        <f>IFERROR(INDEX([239]MATERIALES!D:D,MATCH(B1511,[239]MATERIALES!B:B,0)),"")</f>
        <v/>
      </c>
      <c r="M1511" s="138"/>
      <c r="N1511" s="139" t="str">
        <f>IFERROR(INDEX([239]MATERIALES!P:P,MATCH(B1511,[239]MATERIALES!B:B,0)),"")</f>
        <v/>
      </c>
      <c r="O1511" s="140"/>
      <c r="P1511" s="118" t="str">
        <f t="shared" si="53"/>
        <v/>
      </c>
      <c r="Q1511" s="119"/>
      <c r="R1511" s="4"/>
    </row>
    <row r="1512" spans="1:18">
      <c r="A1512" s="1">
        <f t="shared" si="52"/>
        <v>0</v>
      </c>
      <c r="B1512" s="2"/>
      <c r="C1512" s="8"/>
      <c r="D1512" s="109" t="str">
        <f>IFERROR(INDEX([239]MATERIALES!C:C,MATCH(B1512,[239]MATERIALES!B:B,0)),"")</f>
        <v/>
      </c>
      <c r="E1512" s="110"/>
      <c r="F1512" s="110"/>
      <c r="G1512" s="110"/>
      <c r="H1512" s="110"/>
      <c r="I1512" s="110"/>
      <c r="J1512" s="110"/>
      <c r="K1512" s="111"/>
      <c r="L1512" s="137" t="str">
        <f>IFERROR(INDEX([239]MATERIALES!D:D,MATCH(B1512,[239]MATERIALES!B:B,0)),"")</f>
        <v/>
      </c>
      <c r="M1512" s="138"/>
      <c r="N1512" s="139" t="str">
        <f>IFERROR(INDEX([239]MATERIALES!P:P,MATCH(B1512,[239]MATERIALES!B:B,0)),"")</f>
        <v/>
      </c>
      <c r="O1512" s="140"/>
      <c r="P1512" s="118" t="str">
        <f t="shared" si="53"/>
        <v/>
      </c>
      <c r="Q1512" s="119"/>
      <c r="R1512" s="4"/>
    </row>
    <row r="1513" spans="1:18">
      <c r="A1513" s="1">
        <f t="shared" si="52"/>
        <v>0</v>
      </c>
      <c r="B1513" s="2"/>
      <c r="C1513" s="8"/>
      <c r="D1513" s="109" t="str">
        <f>IFERROR(INDEX([239]MATERIALES!C:C,MATCH(B1513,[239]MATERIALES!B:B,0)),"")</f>
        <v/>
      </c>
      <c r="E1513" s="110"/>
      <c r="F1513" s="110"/>
      <c r="G1513" s="110"/>
      <c r="H1513" s="110"/>
      <c r="I1513" s="110"/>
      <c r="J1513" s="110"/>
      <c r="K1513" s="111"/>
      <c r="L1513" s="137" t="str">
        <f>IFERROR(INDEX([239]MATERIALES!D:D,MATCH(B1513,[239]MATERIALES!B:B,0)),"")</f>
        <v/>
      </c>
      <c r="M1513" s="138"/>
      <c r="N1513" s="139" t="str">
        <f>IFERROR(INDEX([239]MATERIALES!P:P,MATCH(B1513,[239]MATERIALES!B:B,0)),"")</f>
        <v/>
      </c>
      <c r="O1513" s="140"/>
      <c r="P1513" s="118" t="str">
        <f t="shared" si="53"/>
        <v/>
      </c>
      <c r="Q1513" s="119"/>
      <c r="R1513" s="4"/>
    </row>
    <row r="1514" spans="1:18">
      <c r="A1514" s="1">
        <f t="shared" si="52"/>
        <v>0</v>
      </c>
      <c r="B1514" s="2"/>
      <c r="C1514" s="8"/>
      <c r="D1514" s="109" t="str">
        <f>IFERROR(INDEX([239]MATERIALES!C:C,MATCH(B1514,[239]MATERIALES!B:B,0)),"")</f>
        <v/>
      </c>
      <c r="E1514" s="110"/>
      <c r="F1514" s="110"/>
      <c r="G1514" s="110"/>
      <c r="H1514" s="110"/>
      <c r="I1514" s="110"/>
      <c r="J1514" s="110"/>
      <c r="K1514" s="111"/>
      <c r="L1514" s="137" t="str">
        <f>IFERROR(INDEX([239]MATERIALES!D:D,MATCH(B1514,[239]MATERIALES!B:B,0)),"")</f>
        <v/>
      </c>
      <c r="M1514" s="138"/>
      <c r="N1514" s="139" t="str">
        <f>IFERROR(INDEX([239]MATERIALES!P:P,MATCH(B1514,[239]MATERIALES!B:B,0)),"")</f>
        <v/>
      </c>
      <c r="O1514" s="140"/>
      <c r="P1514" s="118" t="str">
        <f t="shared" si="53"/>
        <v/>
      </c>
      <c r="Q1514" s="119"/>
      <c r="R1514" s="4"/>
    </row>
    <row r="1515" spans="1:18">
      <c r="A1515" s="1">
        <f t="shared" si="52"/>
        <v>0</v>
      </c>
      <c r="B1515" s="2"/>
      <c r="C1515" s="8"/>
      <c r="D1515" s="109" t="str">
        <f>IFERROR(INDEX([239]MATERIALES!C:C,MATCH(B1515,[239]MATERIALES!B:B,0)),"")</f>
        <v/>
      </c>
      <c r="E1515" s="110"/>
      <c r="F1515" s="110"/>
      <c r="G1515" s="110"/>
      <c r="H1515" s="110"/>
      <c r="I1515" s="110"/>
      <c r="J1515" s="110"/>
      <c r="K1515" s="111"/>
      <c r="L1515" s="137" t="str">
        <f>IFERROR(INDEX([239]MATERIALES!D:D,MATCH(B1515,[239]MATERIALES!B:B,0)),"")</f>
        <v/>
      </c>
      <c r="M1515" s="138"/>
      <c r="N1515" s="139" t="str">
        <f>IFERROR(INDEX([239]MATERIALES!P:P,MATCH(B1515,[239]MATERIALES!B:B,0)),"")</f>
        <v/>
      </c>
      <c r="O1515" s="140"/>
      <c r="P1515" s="118" t="str">
        <f t="shared" si="53"/>
        <v/>
      </c>
      <c r="Q1515" s="119"/>
      <c r="R1515" s="4"/>
    </row>
    <row r="1516" spans="1:18" ht="15.75" thickBot="1">
      <c r="A1516" s="1">
        <f t="shared" si="52"/>
        <v>0</v>
      </c>
      <c r="B1516" s="2"/>
      <c r="C1516" s="8"/>
      <c r="D1516" s="109" t="s">
        <v>28</v>
      </c>
      <c r="E1516" s="110"/>
      <c r="F1516" s="110"/>
      <c r="G1516" s="110"/>
      <c r="H1516" s="110"/>
      <c r="I1516" s="110"/>
      <c r="J1516" s="110"/>
      <c r="K1516" s="111"/>
      <c r="L1516" s="137" t="s">
        <v>29</v>
      </c>
      <c r="M1516" s="138">
        <v>0.05</v>
      </c>
      <c r="N1516" s="139">
        <f>SUM(P1502:P1515)</f>
        <v>28027.32</v>
      </c>
      <c r="O1516" s="140"/>
      <c r="P1516" s="118">
        <f>ROUND(N1516*M1516,2)</f>
        <v>1401.37</v>
      </c>
      <c r="Q1516" s="119"/>
      <c r="R1516" s="4"/>
    </row>
    <row r="1517" spans="1:18" ht="15.75" thickBot="1">
      <c r="A1517" s="1">
        <f t="shared" si="52"/>
        <v>0</v>
      </c>
      <c r="B1517" s="2"/>
      <c r="C1517" s="8"/>
      <c r="D1517" s="128" t="s">
        <v>24</v>
      </c>
      <c r="E1517" s="129"/>
      <c r="F1517" s="129"/>
      <c r="G1517" s="129"/>
      <c r="H1517" s="129"/>
      <c r="I1517" s="129"/>
      <c r="J1517" s="129"/>
      <c r="K1517" s="129"/>
      <c r="L1517" s="129"/>
      <c r="M1517" s="129"/>
      <c r="N1517" s="129"/>
      <c r="O1517" s="130"/>
      <c r="P1517" s="131">
        <f>SUM(P1502:P1516)</f>
        <v>29428.69</v>
      </c>
      <c r="Q1517" s="119"/>
      <c r="R1517" s="4"/>
    </row>
    <row r="1518" spans="1:18" ht="15.75" thickBot="1">
      <c r="A1518" s="1">
        <f t="shared" si="52"/>
        <v>0</v>
      </c>
      <c r="B1518" s="2"/>
      <c r="C1518" s="8"/>
      <c r="D1518" s="74" t="s">
        <v>30</v>
      </c>
      <c r="E1518" s="37"/>
      <c r="F1518" s="37"/>
      <c r="G1518" s="37"/>
      <c r="H1518" s="37"/>
      <c r="I1518" s="37"/>
      <c r="J1518" s="37"/>
      <c r="K1518" s="37"/>
      <c r="L1518" s="37"/>
      <c r="M1518" s="37"/>
      <c r="N1518" s="37"/>
      <c r="O1518" s="37"/>
      <c r="P1518" s="99"/>
      <c r="Q1518" s="100"/>
      <c r="R1518" s="4"/>
    </row>
    <row r="1519" spans="1:18">
      <c r="A1519" s="1">
        <f t="shared" si="52"/>
        <v>0</v>
      </c>
      <c r="B1519" s="2"/>
      <c r="C1519" s="8"/>
      <c r="D1519" s="101" t="s">
        <v>31</v>
      </c>
      <c r="E1519" s="133"/>
      <c r="F1519" s="133"/>
      <c r="G1519" s="133"/>
      <c r="H1519" s="133"/>
      <c r="I1519" s="133"/>
      <c r="J1519" s="133"/>
      <c r="K1519" s="106" t="s">
        <v>32</v>
      </c>
      <c r="L1519" s="141" t="s">
        <v>33</v>
      </c>
      <c r="M1519" s="106" t="s">
        <v>34</v>
      </c>
      <c r="N1519" s="104" t="s">
        <v>20</v>
      </c>
      <c r="O1519" s="105"/>
      <c r="P1519" s="107" t="s">
        <v>22</v>
      </c>
      <c r="Q1519" s="108"/>
      <c r="R1519" s="4"/>
    </row>
    <row r="1520" spans="1:18">
      <c r="A1520" s="1">
        <f t="shared" si="52"/>
        <v>0</v>
      </c>
      <c r="B1520" s="2"/>
      <c r="C1520" s="8"/>
      <c r="D1520" s="142" t="str">
        <f>IFERROR(INDEX([239]TRANSPORTES!B:B,MATCH(B1520,[239]TRANSPORTES!A:A,0)),"")</f>
        <v/>
      </c>
      <c r="E1520" s="143"/>
      <c r="F1520" s="143"/>
      <c r="G1520" s="143"/>
      <c r="H1520" s="143"/>
      <c r="I1520" s="143"/>
      <c r="J1520" s="143"/>
      <c r="K1520" s="220"/>
      <c r="L1520" s="145"/>
      <c r="M1520" s="146" t="str">
        <f>IFERROR(INDEX([239]TRANSPORTES!C:C,MATCH(B1520,[239]TRANSPORTES!A:A,0)),"")</f>
        <v/>
      </c>
      <c r="N1520" s="139" t="str">
        <f>IFERROR(INDEX([239]TRANSPORTES!D:D,MATCH(B1520,[239]TRANSPORTES!A:A,0)),"")</f>
        <v/>
      </c>
      <c r="O1520" s="147"/>
      <c r="P1520" s="148" t="str">
        <f>IFERROR(ROUND(K1520*N1520*L1520,2),"")</f>
        <v/>
      </c>
      <c r="Q1520" s="119"/>
      <c r="R1520" s="4"/>
    </row>
    <row r="1521" spans="1:18">
      <c r="A1521" s="1">
        <f t="shared" si="52"/>
        <v>0</v>
      </c>
      <c r="B1521" s="2"/>
      <c r="C1521" s="8"/>
      <c r="D1521" s="142" t="str">
        <f>IFERROR(INDEX([239]TRANSPORTES!B:B,MATCH(B1521,[239]TRANSPORTES!A:A,0)),"")</f>
        <v/>
      </c>
      <c r="E1521" s="143"/>
      <c r="F1521" s="143"/>
      <c r="G1521" s="143"/>
      <c r="H1521" s="143"/>
      <c r="I1521" s="143"/>
      <c r="J1521" s="143"/>
      <c r="K1521" s="144"/>
      <c r="L1521" s="145"/>
      <c r="M1521" s="146" t="str">
        <f>IFERROR(INDEX([239]TRANSPORTES!C:C,MATCH(B1521,[239]TRANSPORTES!A:A,0)),"")</f>
        <v/>
      </c>
      <c r="N1521" s="139" t="str">
        <f>IFERROR(INDEX([239]TRANSPORTES!D:D,MATCH(B1521,[239]TRANSPORTES!A:A,0)),"")</f>
        <v/>
      </c>
      <c r="O1521" s="147"/>
      <c r="P1521" s="148" t="str">
        <f>IFERROR(ROUND(K1521*N1521*L1521,2),"")</f>
        <v/>
      </c>
      <c r="Q1521" s="119"/>
      <c r="R1521" s="4"/>
    </row>
    <row r="1522" spans="1:18">
      <c r="A1522" s="1">
        <f t="shared" si="52"/>
        <v>0</v>
      </c>
      <c r="B1522" s="2"/>
      <c r="C1522" s="8"/>
      <c r="D1522" s="142" t="str">
        <f>IFERROR(INDEX([239]TRANSPORTES!B:B,MATCH(B1522,[239]TRANSPORTES!A:A,0)),"")</f>
        <v/>
      </c>
      <c r="E1522" s="143"/>
      <c r="F1522" s="143"/>
      <c r="G1522" s="143"/>
      <c r="H1522" s="143"/>
      <c r="I1522" s="143"/>
      <c r="J1522" s="143"/>
      <c r="K1522" s="144"/>
      <c r="L1522" s="145"/>
      <c r="M1522" s="146" t="str">
        <f>IFERROR(INDEX([239]TRANSPORTES!C:C,MATCH(B1522,[239]TRANSPORTES!A:A,0)),"")</f>
        <v/>
      </c>
      <c r="N1522" s="139" t="str">
        <f>IFERROR(INDEX([239]TRANSPORTES!D:D,MATCH(B1522,[239]TRANSPORTES!A:A,0)),"")</f>
        <v/>
      </c>
      <c r="O1522" s="147"/>
      <c r="P1522" s="148" t="str">
        <f>IFERROR(ROUND(K1522*N1522*L1522,2),"")</f>
        <v/>
      </c>
      <c r="Q1522" s="119"/>
      <c r="R1522" s="4"/>
    </row>
    <row r="1523" spans="1:18" ht="15.75" thickBot="1">
      <c r="A1523" s="1">
        <f t="shared" si="52"/>
        <v>0</v>
      </c>
      <c r="B1523" s="2"/>
      <c r="C1523" s="8"/>
      <c r="D1523" s="142" t="str">
        <f>IFERROR(INDEX([239]TRANSPORTES!B:B,MATCH(B1523,[239]TRANSPORTES!A:A,0)),"")</f>
        <v/>
      </c>
      <c r="E1523" s="143"/>
      <c r="F1523" s="143"/>
      <c r="G1523" s="143"/>
      <c r="H1523" s="143"/>
      <c r="I1523" s="143"/>
      <c r="J1523" s="143"/>
      <c r="K1523" s="149"/>
      <c r="L1523" s="150"/>
      <c r="M1523" s="146" t="str">
        <f>IFERROR(INDEX([239]TRANSPORTES!C:C,MATCH(B1523,[239]TRANSPORTES!A:A,0)),"")</f>
        <v/>
      </c>
      <c r="N1523" s="139" t="str">
        <f>IFERROR(INDEX([239]TRANSPORTES!D:D,MATCH(B1523,[239]TRANSPORTES!A:A,0)),"")</f>
        <v/>
      </c>
      <c r="O1523" s="147"/>
      <c r="P1523" s="148" t="str">
        <f>IFERROR(ROUND(K1523*N1523*L1523,2),"")</f>
        <v/>
      </c>
      <c r="Q1523" s="119"/>
      <c r="R1523" s="4"/>
    </row>
    <row r="1524" spans="1:18" ht="15.75" thickBot="1">
      <c r="A1524" s="1">
        <f t="shared" si="52"/>
        <v>0</v>
      </c>
      <c r="B1524" s="2"/>
      <c r="C1524" s="8"/>
      <c r="D1524" s="128" t="s">
        <v>24</v>
      </c>
      <c r="E1524" s="129"/>
      <c r="F1524" s="129"/>
      <c r="G1524" s="129"/>
      <c r="H1524" s="129"/>
      <c r="I1524" s="129"/>
      <c r="J1524" s="129"/>
      <c r="K1524" s="129"/>
      <c r="L1524" s="129"/>
      <c r="M1524" s="129"/>
      <c r="N1524" s="129"/>
      <c r="O1524" s="130"/>
      <c r="P1524" s="151">
        <f>SUM(P1520:P1523)</f>
        <v>0</v>
      </c>
      <c r="Q1524" s="132"/>
      <c r="R1524" s="4"/>
    </row>
    <row r="1525" spans="1:18" ht="15.75" thickBot="1">
      <c r="A1525" s="1">
        <f t="shared" si="52"/>
        <v>0</v>
      </c>
      <c r="B1525" s="2"/>
      <c r="C1525" s="8"/>
      <c r="D1525" s="74" t="s">
        <v>36</v>
      </c>
      <c r="E1525" s="37"/>
      <c r="F1525" s="37"/>
      <c r="G1525" s="37"/>
      <c r="H1525" s="37"/>
      <c r="I1525" s="37"/>
      <c r="J1525" s="37"/>
      <c r="K1525" s="37"/>
      <c r="L1525" s="37"/>
      <c r="M1525" s="37"/>
      <c r="N1525" s="37"/>
      <c r="O1525" s="37"/>
      <c r="P1525" s="99"/>
      <c r="Q1525" s="100"/>
      <c r="R1525" s="4"/>
    </row>
    <row r="1526" spans="1:18" ht="30">
      <c r="A1526" s="1">
        <f t="shared" si="52"/>
        <v>0</v>
      </c>
      <c r="B1526" s="2"/>
      <c r="C1526" s="8"/>
      <c r="D1526" s="101" t="s">
        <v>37</v>
      </c>
      <c r="E1526" s="133"/>
      <c r="F1526" s="133"/>
      <c r="G1526" s="133"/>
      <c r="H1526" s="133"/>
      <c r="I1526" s="133"/>
      <c r="J1526" s="133"/>
      <c r="K1526" s="106" t="s">
        <v>38</v>
      </c>
      <c r="L1526" s="152" t="s">
        <v>39</v>
      </c>
      <c r="M1526" s="153" t="s">
        <v>40</v>
      </c>
      <c r="N1526" s="104" t="s">
        <v>21</v>
      </c>
      <c r="O1526" s="105"/>
      <c r="P1526" s="154" t="s">
        <v>22</v>
      </c>
      <c r="Q1526" s="155"/>
      <c r="R1526" s="4"/>
    </row>
    <row r="1527" spans="1:18">
      <c r="A1527" s="1">
        <f t="shared" si="52"/>
        <v>0</v>
      </c>
      <c r="B1527" s="2" t="s">
        <v>41</v>
      </c>
      <c r="C1527" s="8"/>
      <c r="D1527" s="109" t="str">
        <f>IFERROR(INDEX('[239]MANO DE OBRA'!B:B,MATCH(B1527,'[239]MANO DE OBRA'!A:A,0)),"")</f>
        <v>OFICIAL</v>
      </c>
      <c r="E1527" s="110"/>
      <c r="F1527" s="110"/>
      <c r="G1527" s="110"/>
      <c r="H1527" s="110"/>
      <c r="I1527" s="110"/>
      <c r="J1527" s="111"/>
      <c r="K1527" s="156">
        <f>IFERROR(INDEX('[239]MANO DE OBRA'!D:D,MATCH(B1527,'[239]MANO DE OBRA'!A:A,0)),"")</f>
        <v>95930</v>
      </c>
      <c r="L1527" s="157">
        <f>+IF(D1527&lt;&gt;"",'[239]FACTOR PRESTACIONAL'!$E$21," ")</f>
        <v>1.95</v>
      </c>
      <c r="M1527" s="158">
        <f>IFERROR(K1527*L1527," ")</f>
        <v>187063.5</v>
      </c>
      <c r="N1527" s="159">
        <v>14</v>
      </c>
      <c r="O1527" s="160"/>
      <c r="P1527" s="161">
        <f>IFERROR(ROUND(M1527/N1527,2)," ")</f>
        <v>13361.68</v>
      </c>
      <c r="Q1527" s="162"/>
      <c r="R1527" s="4"/>
    </row>
    <row r="1528" spans="1:18">
      <c r="A1528" s="1">
        <f t="shared" si="52"/>
        <v>0</v>
      </c>
      <c r="B1528" s="2" t="s">
        <v>81</v>
      </c>
      <c r="C1528" s="8"/>
      <c r="D1528" s="109" t="str">
        <f>IFERROR(INDEX('[239]MANO DE OBRA'!B:B,MATCH(B1528,'[239]MANO DE OBRA'!A:A,0)),"")</f>
        <v>AYUDANTE (1)</v>
      </c>
      <c r="E1528" s="110"/>
      <c r="F1528" s="110"/>
      <c r="G1528" s="110"/>
      <c r="H1528" s="110"/>
      <c r="I1528" s="110"/>
      <c r="J1528" s="111"/>
      <c r="K1528" s="156">
        <f>IFERROR(INDEX('[239]MANO DE OBRA'!D:D,MATCH(B1528,'[239]MANO DE OBRA'!A:A,0)),"")</f>
        <v>71433</v>
      </c>
      <c r="L1528" s="157">
        <f>+IF(D1528&lt;&gt;"",'[239]FACTOR PRESTACIONAL'!$E$21," ")</f>
        <v>1.95</v>
      </c>
      <c r="M1528" s="158">
        <f>IFERROR(K1528*L1528," ")</f>
        <v>139294.35</v>
      </c>
      <c r="N1528" s="159">
        <v>14</v>
      </c>
      <c r="O1528" s="160"/>
      <c r="P1528" s="161">
        <f>IFERROR(ROUND(M1528/N1528,2)," ")</f>
        <v>9949.6</v>
      </c>
      <c r="Q1528" s="162"/>
      <c r="R1528" s="4"/>
    </row>
    <row r="1529" spans="1:18">
      <c r="A1529" s="1">
        <f t="shared" si="52"/>
        <v>0</v>
      </c>
      <c r="B1529" s="2"/>
      <c r="C1529" s="8"/>
      <c r="D1529" s="109" t="str">
        <f>IFERROR(INDEX('[239]MANO DE OBRA'!B:B,MATCH(B1529,'[239]MANO DE OBRA'!A:A,0)),"")</f>
        <v/>
      </c>
      <c r="E1529" s="110"/>
      <c r="F1529" s="110"/>
      <c r="G1529" s="110"/>
      <c r="H1529" s="110"/>
      <c r="I1529" s="110"/>
      <c r="J1529" s="111"/>
      <c r="K1529" s="156" t="str">
        <f>IFERROR(INDEX('[239]MANO DE OBRA'!D:D,MATCH(B1529,'[239]MANO DE OBRA'!A:A,0)),"")</f>
        <v/>
      </c>
      <c r="L1529" s="157" t="str">
        <f>+IF(D1529&lt;&gt;"",'[239]FACTOR PRESTACIONAL'!$E$21," ")</f>
        <v xml:space="preserve"> </v>
      </c>
      <c r="M1529" s="158" t="str">
        <f>IFERROR(K1529*L1529," ")</f>
        <v xml:space="preserve"> </v>
      </c>
      <c r="N1529" s="159"/>
      <c r="O1529" s="160"/>
      <c r="P1529" s="161" t="str">
        <f>IFERROR(ROUND(M1529/N1529,2)," ")</f>
        <v xml:space="preserve"> </v>
      </c>
      <c r="Q1529" s="162"/>
      <c r="R1529" s="4"/>
    </row>
    <row r="1530" spans="1:18">
      <c r="A1530" s="1">
        <f t="shared" si="52"/>
        <v>0</v>
      </c>
      <c r="B1530" s="2"/>
      <c r="C1530" s="8"/>
      <c r="D1530" s="109" t="str">
        <f>IFERROR(INDEX('[239]MANO DE OBRA'!B:B,MATCH(B1530,'[239]MANO DE OBRA'!A:A,0)),"")</f>
        <v/>
      </c>
      <c r="E1530" s="110"/>
      <c r="F1530" s="110"/>
      <c r="G1530" s="110"/>
      <c r="H1530" s="110"/>
      <c r="I1530" s="110"/>
      <c r="J1530" s="111"/>
      <c r="K1530" s="156" t="str">
        <f>IFERROR(INDEX('[239]MANO DE OBRA'!D:D,MATCH(B1530,'[239]MANO DE OBRA'!A:A,0)),"")</f>
        <v/>
      </c>
      <c r="L1530" s="157" t="str">
        <f>+IF(D1530&lt;&gt;"",'[239]FACTOR PRESTACIONAL'!$E$21," ")</f>
        <v xml:space="preserve"> </v>
      </c>
      <c r="M1530" s="158" t="str">
        <f>IFERROR(K1530*L1530," ")</f>
        <v xml:space="preserve"> </v>
      </c>
      <c r="N1530" s="159"/>
      <c r="O1530" s="160"/>
      <c r="P1530" s="161" t="str">
        <f>IFERROR(ROUND(M1530/N1530,2)," ")</f>
        <v xml:space="preserve"> </v>
      </c>
      <c r="Q1530" s="162"/>
      <c r="R1530" s="4"/>
    </row>
    <row r="1531" spans="1:18" ht="15.75" thickBot="1">
      <c r="A1531" s="1">
        <f t="shared" si="52"/>
        <v>0</v>
      </c>
      <c r="B1531" s="2"/>
      <c r="C1531" s="8"/>
      <c r="D1531" s="109" t="str">
        <f>IFERROR(INDEX('[239]MANO DE OBRA'!B:B,MATCH(B1531,'[239]MANO DE OBRA'!A:A,0)),"")</f>
        <v/>
      </c>
      <c r="E1531" s="110"/>
      <c r="F1531" s="110"/>
      <c r="G1531" s="110"/>
      <c r="H1531" s="110"/>
      <c r="I1531" s="110"/>
      <c r="J1531" s="111"/>
      <c r="K1531" s="156" t="str">
        <f>IFERROR(INDEX('[239]MANO DE OBRA'!D:D,MATCH(B1531,'[239]MANO DE OBRA'!A:A,0)),"")</f>
        <v/>
      </c>
      <c r="L1531" s="157" t="str">
        <f>+IF(D1531&lt;&gt;"",'[239]FACTOR PRESTACIONAL'!$E$21," ")</f>
        <v xml:space="preserve"> </v>
      </c>
      <c r="M1531" s="158" t="str">
        <f>IFERROR(K1531*L1531," ")</f>
        <v xml:space="preserve"> </v>
      </c>
      <c r="N1531" s="159"/>
      <c r="O1531" s="160"/>
      <c r="P1531" s="161" t="str">
        <f>IFERROR(ROUND(M1531/N1531,2)," ")</f>
        <v xml:space="preserve"> </v>
      </c>
      <c r="Q1531" s="119"/>
      <c r="R1531" s="4"/>
    </row>
    <row r="1532" spans="1:18" ht="15.75" thickBot="1">
      <c r="A1532" s="1">
        <f t="shared" si="52"/>
        <v>0</v>
      </c>
      <c r="B1532" s="2"/>
      <c r="C1532" s="8"/>
      <c r="D1532" s="128" t="s">
        <v>24</v>
      </c>
      <c r="E1532" s="129"/>
      <c r="F1532" s="129"/>
      <c r="G1532" s="129"/>
      <c r="H1532" s="129"/>
      <c r="I1532" s="129"/>
      <c r="J1532" s="129"/>
      <c r="K1532" s="129"/>
      <c r="L1532" s="129"/>
      <c r="M1532" s="129"/>
      <c r="N1532" s="129"/>
      <c r="O1532" s="130"/>
      <c r="P1532" s="131">
        <f>SUM(P1527:P1531)</f>
        <v>23311.279999999999</v>
      </c>
      <c r="Q1532" s="119"/>
      <c r="R1532" s="4"/>
    </row>
    <row r="1533" spans="1:18" ht="15.75" thickBot="1">
      <c r="A1533" s="1">
        <f t="shared" si="52"/>
        <v>0</v>
      </c>
      <c r="B1533" s="2"/>
      <c r="C1533" s="8"/>
      <c r="D1533" s="87"/>
      <c r="E1533" s="20"/>
      <c r="F1533" s="20"/>
      <c r="G1533" s="20"/>
      <c r="H1533" s="20"/>
      <c r="I1533" s="20"/>
      <c r="J1533" s="20"/>
      <c r="K1533" s="20"/>
      <c r="L1533" s="20"/>
      <c r="M1533" s="20"/>
      <c r="N1533" s="20"/>
      <c r="O1533" s="20"/>
      <c r="P1533" s="88"/>
      <c r="Q1533" s="13"/>
      <c r="R1533" s="4"/>
    </row>
    <row r="1534" spans="1:18" ht="15.75" thickBot="1">
      <c r="A1534" s="1"/>
      <c r="B1534" s="2"/>
      <c r="C1534" s="8"/>
      <c r="D1534" s="163" t="s">
        <v>43</v>
      </c>
      <c r="E1534" s="164"/>
      <c r="F1534" s="164"/>
      <c r="G1534" s="164"/>
      <c r="H1534" s="164"/>
      <c r="I1534" s="164"/>
      <c r="J1534" s="164"/>
      <c r="K1534" s="164"/>
      <c r="L1534" s="164"/>
      <c r="M1534" s="164"/>
      <c r="N1534" s="164"/>
      <c r="O1534" s="165"/>
      <c r="P1534" s="166">
        <f>+P1532+P1524+P1517+P1499</f>
        <v>55653.700000000004</v>
      </c>
      <c r="Q1534" s="167"/>
      <c r="R1534" s="168"/>
    </row>
    <row r="1535" spans="1:18" ht="15.75" thickBot="1">
      <c r="A1535" s="1"/>
      <c r="B1535" s="2"/>
      <c r="C1535" s="8"/>
      <c r="D1535" s="169"/>
      <c r="E1535" s="170"/>
      <c r="F1535" s="170"/>
      <c r="G1535" s="170"/>
      <c r="H1535" s="170"/>
      <c r="I1535" s="170"/>
      <c r="J1535" s="170"/>
      <c r="K1535" s="170"/>
      <c r="L1535" s="170"/>
      <c r="M1535" s="170"/>
      <c r="N1535" s="170"/>
      <c r="O1535" s="170"/>
      <c r="P1535" s="171"/>
      <c r="Q1535" s="100"/>
      <c r="R1535" s="4"/>
    </row>
    <row r="1536" spans="1:18">
      <c r="A1536" s="1"/>
      <c r="B1536" s="2"/>
      <c r="C1536" s="8"/>
      <c r="D1536" s="172" t="s">
        <v>73</v>
      </c>
      <c r="E1536" s="173"/>
      <c r="F1536" s="173"/>
      <c r="G1536" s="173"/>
      <c r="H1536" s="173"/>
      <c r="I1536" s="173"/>
      <c r="J1536" s="173"/>
      <c r="K1536" s="141"/>
      <c r="L1536" s="174"/>
      <c r="M1536" s="153" t="s">
        <v>44</v>
      </c>
      <c r="N1536" s="175" t="s">
        <v>45</v>
      </c>
      <c r="O1536" s="176"/>
      <c r="P1536" s="154"/>
      <c r="Q1536" s="155"/>
      <c r="R1536" s="4"/>
    </row>
    <row r="1537" spans="1:18">
      <c r="A1537" s="1"/>
      <c r="B1537" s="2"/>
      <c r="C1537" s="8"/>
      <c r="D1537" s="109" t="s">
        <v>65</v>
      </c>
      <c r="E1537" s="110"/>
      <c r="F1537" s="110"/>
      <c r="G1537" s="110"/>
      <c r="H1537" s="110"/>
      <c r="I1537" s="110"/>
      <c r="J1537" s="110"/>
      <c r="K1537" s="177"/>
      <c r="L1537" s="178"/>
      <c r="M1537" s="179">
        <f>+[239]INICIO!$F$10</f>
        <v>0.24</v>
      </c>
      <c r="N1537" s="180">
        <f>ROUND(M1537*P1534,2)</f>
        <v>13356.89</v>
      </c>
      <c r="O1537" s="181"/>
      <c r="P1537" s="182"/>
      <c r="Q1537" s="119"/>
      <c r="R1537" s="4"/>
    </row>
    <row r="1538" spans="1:18">
      <c r="A1538" s="1"/>
      <c r="B1538" s="2"/>
      <c r="C1538" s="8"/>
      <c r="D1538" s="183" t="s">
        <v>67</v>
      </c>
      <c r="E1538" s="61"/>
      <c r="F1538" s="61"/>
      <c r="G1538" s="61"/>
      <c r="H1538" s="61"/>
      <c r="I1538" s="61"/>
      <c r="J1538" s="61"/>
      <c r="K1538" s="177"/>
      <c r="L1538" s="178"/>
      <c r="M1538" s="179">
        <f>+[239]INICIO!$F$11</f>
        <v>0.02</v>
      </c>
      <c r="N1538" s="180">
        <f>ROUND(M1538*P1534,2)</f>
        <v>1113.07</v>
      </c>
      <c r="O1538" s="181"/>
      <c r="P1538" s="182"/>
      <c r="Q1538" s="119"/>
      <c r="R1538" s="4"/>
    </row>
    <row r="1539" spans="1:18" ht="15.75" thickBot="1">
      <c r="A1539" s="1"/>
      <c r="B1539" s="2"/>
      <c r="C1539" s="8"/>
      <c r="D1539" s="77" t="s">
        <v>69</v>
      </c>
      <c r="E1539" s="78"/>
      <c r="F1539" s="78"/>
      <c r="G1539" s="78"/>
      <c r="H1539" s="78"/>
      <c r="I1539" s="78"/>
      <c r="J1539" s="78"/>
      <c r="K1539" s="184"/>
      <c r="L1539" s="185"/>
      <c r="M1539" s="179">
        <f>+[239]INICIO!$F$12</f>
        <v>7.0000000000000007E-2</v>
      </c>
      <c r="N1539" s="180">
        <f>ROUND(M1539*P1534,2)</f>
        <v>3895.76</v>
      </c>
      <c r="O1539" s="181"/>
      <c r="P1539" s="182"/>
      <c r="Q1539" s="119"/>
      <c r="R1539" s="4"/>
    </row>
    <row r="1540" spans="1:18" ht="15.75" thickBot="1">
      <c r="A1540" s="1"/>
      <c r="B1540" s="2"/>
      <c r="C1540" s="8"/>
      <c r="D1540" s="128"/>
      <c r="E1540" s="129"/>
      <c r="F1540" s="129"/>
      <c r="G1540" s="129"/>
      <c r="H1540" s="129"/>
      <c r="I1540" s="129"/>
      <c r="J1540" s="129"/>
      <c r="K1540" s="129"/>
      <c r="L1540" s="129"/>
      <c r="M1540" s="129"/>
      <c r="N1540" s="129"/>
      <c r="O1540" s="130"/>
      <c r="P1540" s="131">
        <f>SUM(N1537:N1539)</f>
        <v>18365.72</v>
      </c>
      <c r="Q1540" s="186"/>
      <c r="R1540" s="4"/>
    </row>
    <row r="1541" spans="1:18" ht="15.75" thickBot="1">
      <c r="A1541" s="1"/>
      <c r="B1541" s="2"/>
      <c r="C1541" s="8"/>
      <c r="D1541" s="87"/>
      <c r="E1541" s="20"/>
      <c r="F1541" s="20"/>
      <c r="G1541" s="20"/>
      <c r="H1541" s="20"/>
      <c r="I1541" s="20"/>
      <c r="J1541" s="20"/>
      <c r="K1541" s="20"/>
      <c r="L1541" s="20"/>
      <c r="M1541" s="20"/>
      <c r="N1541" s="20"/>
      <c r="O1541" s="20"/>
      <c r="P1541" s="88"/>
      <c r="Q1541" s="13"/>
      <c r="R1541" s="4"/>
    </row>
    <row r="1542" spans="1:18" ht="15.75" thickBot="1">
      <c r="A1542" s="1"/>
      <c r="B1542" s="2"/>
      <c r="C1542" s="8"/>
      <c r="D1542" s="187" t="s">
        <v>46</v>
      </c>
      <c r="E1542" s="188"/>
      <c r="F1542" s="188"/>
      <c r="G1542" s="188"/>
      <c r="H1542" s="188"/>
      <c r="I1542" s="188"/>
      <c r="J1542" s="188"/>
      <c r="K1542" s="188"/>
      <c r="L1542" s="188"/>
      <c r="M1542" s="188"/>
      <c r="N1542" s="188"/>
      <c r="O1542" s="189"/>
      <c r="P1542" s="166">
        <f>ROUND(P1540+P1534,0)</f>
        <v>74019</v>
      </c>
      <c r="Q1542" s="186"/>
      <c r="R1542" s="4"/>
    </row>
    <row r="1543" spans="1:18">
      <c r="A1543" s="1"/>
      <c r="B1543" s="2"/>
      <c r="C1543" s="8"/>
      <c r="D1543" s="80"/>
      <c r="E1543" s="81"/>
      <c r="F1543" s="81"/>
      <c r="G1543" s="81"/>
      <c r="H1543" s="81"/>
      <c r="I1543" s="81"/>
      <c r="J1543" s="81"/>
      <c r="K1543" s="81"/>
      <c r="L1543" s="81"/>
      <c r="M1543" s="81"/>
      <c r="N1543" s="81"/>
      <c r="O1543" s="81"/>
      <c r="P1543" s="82"/>
      <c r="Q1543" s="13"/>
      <c r="R1543" s="4"/>
    </row>
    <row r="1544" spans="1:18">
      <c r="A1544" s="1"/>
      <c r="B1544" s="2"/>
      <c r="C1544" s="8"/>
      <c r="D1544" s="87"/>
      <c r="E1544" s="20"/>
      <c r="F1544" s="20"/>
      <c r="G1544" s="20"/>
      <c r="H1544" s="20"/>
      <c r="I1544" s="20"/>
      <c r="J1544" s="20"/>
      <c r="K1544" s="20"/>
      <c r="L1544" s="20"/>
      <c r="M1544" s="20"/>
      <c r="N1544" s="20"/>
      <c r="O1544" s="20"/>
      <c r="P1544" s="88"/>
      <c r="Q1544" s="13"/>
      <c r="R1544" s="4"/>
    </row>
    <row r="1545" spans="1:18">
      <c r="A1545" s="1"/>
      <c r="B1545" s="2"/>
      <c r="C1545" s="8"/>
      <c r="D1545" s="87"/>
      <c r="E1545" s="20"/>
      <c r="F1545" s="20"/>
      <c r="G1545" s="20"/>
      <c r="H1545" s="20"/>
      <c r="I1545" s="20"/>
      <c r="J1545" s="20"/>
      <c r="K1545" s="20"/>
      <c r="L1545" s="20"/>
      <c r="M1545" s="20"/>
      <c r="N1545" s="20"/>
      <c r="O1545" s="20"/>
      <c r="P1545" s="88"/>
      <c r="Q1545" s="13"/>
      <c r="R1545" s="4"/>
    </row>
    <row r="1546" spans="1:18">
      <c r="A1546" s="1"/>
      <c r="B1546" s="2"/>
      <c r="C1546" s="8"/>
      <c r="D1546" s="87"/>
      <c r="E1546" s="20"/>
      <c r="F1546" s="20"/>
      <c r="G1546" s="20"/>
      <c r="H1546" s="20"/>
      <c r="I1546" s="20"/>
      <c r="J1546" s="20"/>
      <c r="K1546" s="20"/>
      <c r="L1546" s="20"/>
      <c r="M1546" s="20"/>
      <c r="N1546" s="20"/>
      <c r="O1546" s="20"/>
      <c r="P1546" s="88"/>
      <c r="Q1546" s="13"/>
      <c r="R1546" s="4"/>
    </row>
    <row r="1547" spans="1:18">
      <c r="A1547" s="1"/>
      <c r="B1547" s="2"/>
      <c r="C1547" s="8"/>
      <c r="D1547" s="219" t="str">
        <f>+[239]INICIO!$B$13</f>
        <v>Proyectó:</v>
      </c>
      <c r="E1547" s="49"/>
      <c r="F1547" s="49"/>
      <c r="G1547" s="49"/>
      <c r="H1547" s="49"/>
      <c r="I1547" s="49"/>
      <c r="J1547" s="49"/>
      <c r="K1547" s="20"/>
      <c r="L1547" s="69" t="str">
        <f>+[239]INICIO!$B$16</f>
        <v>Aprobó:</v>
      </c>
      <c r="M1547" s="49"/>
      <c r="N1547" s="49"/>
      <c r="O1547" s="49"/>
      <c r="P1547" s="88"/>
      <c r="Q1547" s="13"/>
      <c r="R1547" s="4"/>
    </row>
    <row r="1548" spans="1:18">
      <c r="A1548" s="1"/>
      <c r="B1548" s="2"/>
      <c r="C1548" s="8"/>
      <c r="D1548" s="87"/>
      <c r="E1548" s="20" t="str">
        <f>+Hoja2!C$13</f>
        <v>HELMER EDUARDO BECERRA SANTANDER</v>
      </c>
      <c r="F1548" s="20"/>
      <c r="G1548" s="20"/>
      <c r="H1548" s="20"/>
      <c r="I1548" s="20"/>
      <c r="J1548" s="20"/>
      <c r="K1548" s="20"/>
      <c r="L1548" s="20"/>
      <c r="M1548" s="20" t="str">
        <f>+Hoja2!$C$16</f>
        <v>JESÚS IVÁN QUIÑONES RUEDA</v>
      </c>
      <c r="N1548" s="20"/>
      <c r="O1548" s="20"/>
      <c r="P1548" s="88"/>
      <c r="Q1548" s="190"/>
      <c r="R1548" s="4"/>
    </row>
    <row r="1549" spans="1:18">
      <c r="A1549" s="1"/>
      <c r="B1549" s="2"/>
      <c r="C1549" s="8"/>
      <c r="D1549" s="87"/>
      <c r="E1549" s="20" t="str">
        <f>+Hoja2!C$14</f>
        <v>APOYO SEC. DE PLANEACIÓN Y OBRAS PÚBLICAS</v>
      </c>
      <c r="F1549" s="20"/>
      <c r="G1549" s="20"/>
      <c r="H1549" s="20"/>
      <c r="I1549" s="20"/>
      <c r="J1549" s="20"/>
      <c r="K1549" s="20"/>
      <c r="L1549" s="20"/>
      <c r="M1549" s="20" t="str">
        <f>+Hoja2!$C$17</f>
        <v>SECRETARIO DE PLANEACIÓN Y OBRAS PUBLICAS</v>
      </c>
      <c r="N1549" s="20"/>
      <c r="O1549" s="20"/>
      <c r="P1549" s="88"/>
      <c r="Q1549" s="190"/>
      <c r="R1549" s="4"/>
    </row>
    <row r="1550" spans="1:18">
      <c r="A1550" s="1"/>
      <c r="B1550" s="2"/>
      <c r="C1550" s="8"/>
      <c r="D1550" s="68"/>
      <c r="E1550" s="20" t="str">
        <f>+Hoja2!C$15</f>
        <v>123769-0701671 NTS</v>
      </c>
      <c r="F1550" s="191"/>
      <c r="G1550" s="191"/>
      <c r="H1550" s="191"/>
      <c r="I1550" s="20"/>
      <c r="J1550" s="191"/>
      <c r="K1550" s="191"/>
      <c r="L1550" s="191"/>
      <c r="M1550" s="192" t="str">
        <f>+Hoja2!C$18</f>
        <v>A21382020-1090480860</v>
      </c>
      <c r="N1550" s="191"/>
      <c r="O1550" s="191"/>
      <c r="P1550" s="193"/>
      <c r="Q1550" s="194"/>
      <c r="R1550" s="4"/>
    </row>
    <row r="1551" spans="1:18" ht="16.5" thickBot="1">
      <c r="A1551" s="1"/>
      <c r="B1551" s="2"/>
      <c r="C1551" s="8"/>
      <c r="D1551" s="195"/>
      <c r="E1551" s="150"/>
      <c r="F1551" s="150"/>
      <c r="G1551" s="150"/>
      <c r="H1551" s="150"/>
      <c r="I1551" s="150"/>
      <c r="J1551" s="150"/>
      <c r="K1551" s="150"/>
      <c r="L1551" s="150"/>
      <c r="M1551" s="150"/>
      <c r="N1551" s="150"/>
      <c r="O1551" s="150"/>
      <c r="P1551" s="196"/>
      <c r="Q1551" s="197"/>
      <c r="R1551" s="4"/>
    </row>
    <row r="1552" spans="1:18" ht="15.75" thickBot="1">
      <c r="A1552" s="1"/>
      <c r="B1552" s="2"/>
      <c r="C1552" s="198"/>
      <c r="D1552" s="199"/>
      <c r="E1552" s="199"/>
      <c r="F1552" s="199"/>
      <c r="G1552" s="199"/>
      <c r="H1552" s="199"/>
      <c r="I1552" s="199"/>
      <c r="J1552" s="199"/>
      <c r="K1552" s="199"/>
      <c r="L1552" s="199"/>
      <c r="M1552" s="199"/>
      <c r="N1552" s="199"/>
      <c r="O1552" s="199"/>
      <c r="P1552" s="199"/>
      <c r="Q1552" s="200"/>
      <c r="R1552" s="4"/>
    </row>
    <row r="1553" ht="15.75" thickTop="1"/>
  </sheetData>
  <pageMargins left="0.7" right="0.7" top="0.75" bottom="0.75" header="0.3" footer="0.3"/>
  <pageSetup scale="49" orientation="portrait" r:id="rId1"/>
  <rowBreaks count="17" manualBreakCount="17">
    <brk id="86" min="2" max="16" man="1"/>
    <brk id="172" min="2" max="16" man="1"/>
    <brk id="257" min="2" max="16" man="1"/>
    <brk id="344" min="2" max="16" man="1"/>
    <brk id="430" min="2" max="16" man="1"/>
    <brk id="517" min="2" max="16" man="1"/>
    <brk id="603" min="2" max="16" man="1"/>
    <brk id="688" min="2" max="16" man="1"/>
    <brk id="774" min="2" max="16" man="1"/>
    <brk id="862" min="2" max="16" man="1"/>
    <brk id="949" min="2" max="16" man="1"/>
    <brk id="1035" min="2" max="16" man="1"/>
    <brk id="1121" min="2" max="16" man="1"/>
    <brk id="1207" min="2" max="16" man="1"/>
    <brk id="1292" min="2" max="16" man="1"/>
    <brk id="1379" min="2" max="16" man="1"/>
    <brk id="1466" min="2" max="16" man="1"/>
  </rowBreaks>
  <colBreaks count="1" manualBreakCount="1">
    <brk id="17" max="85" man="1"/>
  </col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3AE65F-A810-41CC-ABBF-D06E053CC2AC}">
  <dimension ref="A1:R1815"/>
  <sheetViews>
    <sheetView view="pageBreakPreview" topLeftCell="B1780" zoomScale="70" zoomScaleNormal="100" zoomScaleSheetLayoutView="70" workbookViewId="0">
      <selection activeCell="V1809" sqref="V1809"/>
    </sheetView>
  </sheetViews>
  <sheetFormatPr baseColWidth="10" defaultRowHeight="15"/>
  <cols>
    <col min="1" max="1" width="15.42578125" customWidth="1"/>
    <col min="2" max="2" width="11.28515625" bestFit="1" customWidth="1"/>
    <col min="3" max="3" width="4.28515625" customWidth="1"/>
    <col min="4" max="4" width="13.7109375" bestFit="1" customWidth="1"/>
    <col min="7" max="7" width="6.42578125" hidden="1" customWidth="1"/>
    <col min="8" max="10" width="11.42578125" customWidth="1"/>
    <col min="11" max="11" width="15.5703125" customWidth="1"/>
    <col min="12" max="12" width="11.5703125" customWidth="1"/>
    <col min="13" max="13" width="15.140625" customWidth="1"/>
    <col min="14" max="15" width="11.5703125" bestFit="1" customWidth="1"/>
    <col min="16" max="16" width="21.28515625" customWidth="1"/>
    <col min="17" max="17" width="4.28515625" customWidth="1"/>
    <col min="18" max="18" width="18" customWidth="1"/>
  </cols>
  <sheetData>
    <row r="1" spans="1:18" ht="15.75" thickBot="1">
      <c r="A1" s="1"/>
      <c r="B1" s="2"/>
      <c r="C1" s="3"/>
      <c r="D1" s="4"/>
      <c r="E1" s="4"/>
      <c r="F1" s="4"/>
      <c r="G1" s="4"/>
      <c r="H1" s="4"/>
      <c r="I1" s="4"/>
      <c r="J1" s="4"/>
      <c r="K1" s="4"/>
      <c r="L1" s="4"/>
      <c r="M1" s="4"/>
      <c r="N1" s="4"/>
      <c r="O1" s="4"/>
      <c r="P1" s="4"/>
      <c r="Q1" s="4"/>
      <c r="R1" s="4"/>
    </row>
    <row r="2" spans="1:18" ht="15.75" thickTop="1">
      <c r="A2" s="1"/>
      <c r="B2" s="2"/>
      <c r="C2" s="5"/>
      <c r="D2" s="6"/>
      <c r="E2" s="6"/>
      <c r="F2" s="6"/>
      <c r="G2" s="6"/>
      <c r="H2" s="6"/>
      <c r="I2" s="6"/>
      <c r="J2" s="6"/>
      <c r="K2" s="6"/>
      <c r="L2" s="6"/>
      <c r="M2" s="6"/>
      <c r="N2" s="6"/>
      <c r="O2" s="6"/>
      <c r="P2" s="6"/>
      <c r="Q2" s="7"/>
      <c r="R2" s="4"/>
    </row>
    <row r="3" spans="1:18" ht="24">
      <c r="A3" s="1"/>
      <c r="B3" s="2"/>
      <c r="C3" s="8"/>
      <c r="D3" s="9" t="str">
        <f>+[239]INICIO!$C$8</f>
        <v>Análisis de Precios Unitarios- Secretaria de Planeación y Obras Publicas de Cubará, Boyacá.</v>
      </c>
      <c r="E3" s="10"/>
      <c r="F3" s="10"/>
      <c r="G3" s="10"/>
      <c r="H3" s="11"/>
      <c r="I3" s="12"/>
      <c r="J3" s="12"/>
      <c r="K3" s="12"/>
      <c r="L3" s="12"/>
      <c r="M3" s="12"/>
      <c r="N3" s="12"/>
      <c r="O3" s="12"/>
      <c r="P3" s="12"/>
      <c r="Q3" s="13"/>
      <c r="R3" s="4"/>
    </row>
    <row r="4" spans="1:18">
      <c r="A4" s="1"/>
      <c r="B4" s="2"/>
      <c r="C4" s="8"/>
      <c r="D4" s="14" t="s">
        <v>0</v>
      </c>
      <c r="E4" s="15" t="str">
        <f>+[239]INICIO!$C$7</f>
        <v>CCE-EICP-FM-14</v>
      </c>
      <c r="F4" s="16"/>
      <c r="G4" s="17" t="str">
        <f>+[239]INICIO!$B$6</f>
        <v>VERSIÓN</v>
      </c>
      <c r="H4" s="14">
        <f>+[239]INICIO!$C$6</f>
        <v>1</v>
      </c>
      <c r="I4" s="12"/>
      <c r="J4" s="12"/>
      <c r="K4" s="12"/>
      <c r="L4" s="12"/>
      <c r="M4" s="12"/>
      <c r="N4" s="12"/>
      <c r="O4" s="12"/>
      <c r="P4" s="12"/>
      <c r="Q4" s="13"/>
      <c r="R4" s="4"/>
    </row>
    <row r="5" spans="1:18">
      <c r="A5" s="1"/>
      <c r="B5" s="2"/>
      <c r="C5" s="8"/>
      <c r="D5" s="18"/>
      <c r="E5" s="19"/>
      <c r="F5" s="18"/>
      <c r="G5" s="19"/>
      <c r="H5" s="12"/>
      <c r="I5" s="12"/>
      <c r="J5" s="12"/>
      <c r="K5" s="12"/>
      <c r="L5" s="12"/>
      <c r="M5" s="12"/>
      <c r="N5" s="12"/>
      <c r="O5" s="12"/>
      <c r="P5" s="12"/>
      <c r="Q5" s="13"/>
      <c r="R5" s="4"/>
    </row>
    <row r="6" spans="1:18" ht="15.75" thickBot="1">
      <c r="A6" s="1"/>
      <c r="B6" s="2"/>
      <c r="C6" s="8"/>
      <c r="D6" s="20"/>
      <c r="E6" s="20"/>
      <c r="F6" s="20"/>
      <c r="G6" s="20"/>
      <c r="H6" s="20"/>
      <c r="I6" s="20"/>
      <c r="J6" s="20"/>
      <c r="K6" s="20"/>
      <c r="L6" s="20"/>
      <c r="M6" s="20"/>
      <c r="N6" s="20"/>
      <c r="O6" s="20"/>
      <c r="P6" s="20"/>
      <c r="Q6" s="13"/>
      <c r="R6" s="4"/>
    </row>
    <row r="7" spans="1:18">
      <c r="A7" s="1"/>
      <c r="B7" s="2"/>
      <c r="C7" s="8"/>
      <c r="D7" s="21"/>
      <c r="E7" s="22"/>
      <c r="F7" s="23"/>
      <c r="G7" s="23"/>
      <c r="H7" s="23"/>
      <c r="I7" s="23"/>
      <c r="J7" s="23"/>
      <c r="K7" s="23"/>
      <c r="L7" s="24"/>
      <c r="M7" s="25"/>
      <c r="N7" s="26"/>
      <c r="O7" s="26"/>
      <c r="P7" s="27"/>
      <c r="Q7" s="28"/>
      <c r="R7" s="4"/>
    </row>
    <row r="8" spans="1:18">
      <c r="A8" s="1"/>
      <c r="B8" s="2"/>
      <c r="C8" s="8"/>
      <c r="D8" s="29"/>
      <c r="E8" s="30" t="s">
        <v>1</v>
      </c>
      <c r="F8" s="31"/>
      <c r="G8" s="31"/>
      <c r="H8" s="31"/>
      <c r="I8" s="31"/>
      <c r="J8" s="31"/>
      <c r="K8" s="31"/>
      <c r="L8" s="32"/>
      <c r="M8" s="33"/>
      <c r="N8" s="34"/>
      <c r="O8" s="34"/>
      <c r="P8" s="35"/>
      <c r="Q8" s="28"/>
      <c r="R8" s="4"/>
    </row>
    <row r="9" spans="1:18">
      <c r="A9" s="1"/>
      <c r="B9" s="2"/>
      <c r="C9" s="8"/>
      <c r="D9" s="29"/>
      <c r="E9" s="36"/>
      <c r="F9" s="37"/>
      <c r="G9" s="37"/>
      <c r="H9" s="37"/>
      <c r="I9" s="37"/>
      <c r="J9" s="37"/>
      <c r="K9" s="37"/>
      <c r="L9" s="38"/>
      <c r="M9" s="39"/>
      <c r="N9" s="40"/>
      <c r="O9" s="41"/>
      <c r="P9" s="42"/>
      <c r="Q9" s="28"/>
      <c r="R9" s="4"/>
    </row>
    <row r="10" spans="1:18">
      <c r="A10" s="1"/>
      <c r="B10" s="2"/>
      <c r="C10" s="8"/>
      <c r="D10" s="29"/>
      <c r="E10" s="36"/>
      <c r="F10" s="37"/>
      <c r="G10" s="37"/>
      <c r="H10" s="37"/>
      <c r="I10" s="37"/>
      <c r="J10" s="37"/>
      <c r="K10" s="37"/>
      <c r="L10" s="38"/>
      <c r="M10" s="43" t="s">
        <v>2</v>
      </c>
      <c r="N10" s="44"/>
      <c r="O10" s="45">
        <f>+[239]INICIO!$C$6</f>
        <v>1</v>
      </c>
      <c r="P10" s="46"/>
      <c r="Q10" s="28"/>
      <c r="R10" s="4"/>
    </row>
    <row r="11" spans="1:18">
      <c r="A11" s="1"/>
      <c r="B11" s="2"/>
      <c r="C11" s="8"/>
      <c r="D11" s="29"/>
      <c r="E11" s="36"/>
      <c r="F11" s="37"/>
      <c r="G11" s="37"/>
      <c r="H11" s="37"/>
      <c r="I11" s="37"/>
      <c r="J11" s="37"/>
      <c r="K11" s="37"/>
      <c r="L11" s="38"/>
      <c r="M11" s="47"/>
      <c r="N11" s="48"/>
      <c r="O11" s="49"/>
      <c r="P11" s="50"/>
      <c r="Q11" s="51"/>
      <c r="R11" s="4"/>
    </row>
    <row r="12" spans="1:18">
      <c r="A12" s="1"/>
      <c r="B12" s="2"/>
      <c r="C12" s="8"/>
      <c r="D12" s="29"/>
      <c r="E12" s="52"/>
      <c r="F12" s="53"/>
      <c r="G12" s="53"/>
      <c r="H12" s="53"/>
      <c r="I12" s="53"/>
      <c r="J12" s="53"/>
      <c r="K12" s="53"/>
      <c r="L12" s="54"/>
      <c r="M12" s="39"/>
      <c r="N12" s="55"/>
      <c r="O12" s="55"/>
      <c r="P12" s="56"/>
      <c r="Q12" s="28"/>
      <c r="R12" s="4"/>
    </row>
    <row r="13" spans="1:18">
      <c r="A13" s="1"/>
      <c r="B13" s="2"/>
      <c r="C13" s="8"/>
      <c r="D13" s="29"/>
      <c r="E13" s="52"/>
      <c r="F13" s="53"/>
      <c r="G13" s="53"/>
      <c r="H13" s="53"/>
      <c r="I13" s="53"/>
      <c r="J13" s="53"/>
      <c r="K13" s="53"/>
      <c r="L13" s="54"/>
      <c r="M13" s="43" t="s">
        <v>3</v>
      </c>
      <c r="N13" s="43" t="str">
        <f>+VLOOKUP(D24,'PRESUPUESTO OFICIAL '!C:Q,9,FALSE)</f>
        <v>16</v>
      </c>
      <c r="O13" s="43" t="s">
        <v>4</v>
      </c>
      <c r="P13" s="508" t="str">
        <f>+'PRESUPUESTO OFICIAL '!$M$122</f>
        <v>62</v>
      </c>
      <c r="Q13" s="28"/>
      <c r="R13" s="4"/>
    </row>
    <row r="14" spans="1:18">
      <c r="A14" s="1"/>
      <c r="B14" s="2"/>
      <c r="C14" s="8"/>
      <c r="D14" s="29"/>
      <c r="E14" s="30" t="s">
        <v>5</v>
      </c>
      <c r="F14" s="31"/>
      <c r="G14" s="31"/>
      <c r="H14" s="31"/>
      <c r="I14" s="31"/>
      <c r="J14" s="31"/>
      <c r="K14" s="31"/>
      <c r="L14" s="32"/>
      <c r="M14" s="43"/>
      <c r="N14" s="57"/>
      <c r="O14" s="57"/>
      <c r="P14" s="58"/>
      <c r="Q14" s="28"/>
      <c r="R14" s="4"/>
    </row>
    <row r="15" spans="1:18" ht="15.75" thickBot="1">
      <c r="A15" s="1"/>
      <c r="B15" s="2"/>
      <c r="C15" s="8"/>
      <c r="D15" s="59"/>
      <c r="E15" s="60"/>
      <c r="F15" s="60"/>
      <c r="G15" s="60"/>
      <c r="H15" s="60"/>
      <c r="I15" s="60"/>
      <c r="J15" s="60"/>
      <c r="K15" s="60"/>
      <c r="L15" s="60"/>
      <c r="M15" s="60"/>
      <c r="N15" s="61"/>
      <c r="O15" s="61"/>
      <c r="P15" s="62"/>
      <c r="Q15" s="63"/>
      <c r="R15" s="4"/>
    </row>
    <row r="16" spans="1:18">
      <c r="A16" s="1"/>
      <c r="B16" s="2"/>
      <c r="C16" s="8"/>
      <c r="D16" s="64"/>
      <c r="E16" s="65"/>
      <c r="F16" s="65"/>
      <c r="G16" s="65"/>
      <c r="H16" s="65"/>
      <c r="I16" s="65"/>
      <c r="J16" s="65"/>
      <c r="K16" s="65"/>
      <c r="L16" s="65"/>
      <c r="M16" s="66" t="s">
        <v>6</v>
      </c>
      <c r="N16" s="66" t="s">
        <v>7</v>
      </c>
      <c r="O16" s="66" t="s">
        <v>8</v>
      </c>
      <c r="P16" s="67" t="s">
        <v>9</v>
      </c>
      <c r="Q16" s="51"/>
      <c r="R16" s="4"/>
    </row>
    <row r="17" spans="1:18">
      <c r="A17" s="1"/>
      <c r="B17" s="2"/>
      <c r="C17" s="8"/>
      <c r="D17" s="68"/>
      <c r="E17" s="69"/>
      <c r="F17" s="69"/>
      <c r="G17" s="69"/>
      <c r="H17" s="69"/>
      <c r="I17" s="69"/>
      <c r="J17" s="69"/>
      <c r="K17" s="69"/>
      <c r="L17" s="69"/>
      <c r="M17" s="70"/>
      <c r="N17" s="71">
        <f>+Hoja2!B$5</f>
        <v>5</v>
      </c>
      <c r="O17" s="71">
        <f>+Hoja2!C$5</f>
        <v>8</v>
      </c>
      <c r="P17" s="72">
        <f>+Hoja2!D$5</f>
        <v>2026</v>
      </c>
      <c r="Q17" s="73"/>
      <c r="R17" s="4"/>
    </row>
    <row r="18" spans="1:18">
      <c r="A18" s="1"/>
      <c r="B18" s="2"/>
      <c r="C18" s="8"/>
      <c r="D18" s="74"/>
      <c r="E18" s="37"/>
      <c r="F18" s="37"/>
      <c r="G18" s="37"/>
      <c r="H18" s="69"/>
      <c r="I18" s="69"/>
      <c r="J18" s="69"/>
      <c r="K18" s="20"/>
      <c r="L18" s="69"/>
      <c r="M18" s="75"/>
      <c r="N18" s="20"/>
      <c r="O18" s="20"/>
      <c r="P18" s="76"/>
      <c r="Q18" s="73"/>
      <c r="R18" s="4"/>
    </row>
    <row r="19" spans="1:18" ht="15.75" thickBot="1">
      <c r="A19" s="1"/>
      <c r="B19" s="2"/>
      <c r="C19" s="8"/>
      <c r="D19" s="77"/>
      <c r="E19" s="78"/>
      <c r="F19" s="78"/>
      <c r="G19" s="78"/>
      <c r="H19" s="78"/>
      <c r="I19" s="78"/>
      <c r="J19" s="78"/>
      <c r="K19" s="78"/>
      <c r="L19" s="78"/>
      <c r="M19" s="78"/>
      <c r="N19" s="78"/>
      <c r="O19" s="78"/>
      <c r="P19" s="79"/>
      <c r="Q19" s="13"/>
      <c r="R19" s="4"/>
    </row>
    <row r="20" spans="1:18" ht="15.75" thickBot="1">
      <c r="A20" s="1"/>
      <c r="B20" s="2"/>
      <c r="C20" s="8"/>
      <c r="D20" s="80"/>
      <c r="E20" s="81"/>
      <c r="F20" s="81"/>
      <c r="G20" s="81"/>
      <c r="H20" s="81"/>
      <c r="I20" s="81"/>
      <c r="J20" s="20"/>
      <c r="K20" s="20"/>
      <c r="L20" s="81"/>
      <c r="M20" s="81"/>
      <c r="N20" s="81"/>
      <c r="O20" s="81"/>
      <c r="P20" s="82"/>
      <c r="Q20" s="13"/>
      <c r="R20" s="4"/>
    </row>
    <row r="21" spans="1:18">
      <c r="A21" s="1"/>
      <c r="B21" s="2"/>
      <c r="C21" s="8"/>
      <c r="D21" s="83" t="s">
        <v>10</v>
      </c>
      <c r="E21" s="84"/>
      <c r="F21" s="84"/>
      <c r="G21" s="84"/>
      <c r="H21" s="84"/>
      <c r="I21" s="84"/>
      <c r="J21" s="84"/>
      <c r="K21" s="84"/>
      <c r="L21" s="84"/>
      <c r="M21" s="84"/>
      <c r="N21" s="84"/>
      <c r="O21" s="84"/>
      <c r="P21" s="85"/>
      <c r="Q21" s="86"/>
      <c r="R21" s="4"/>
    </row>
    <row r="22" spans="1:18" ht="15.75" thickBot="1">
      <c r="A22" s="1"/>
      <c r="B22" s="2"/>
      <c r="C22" s="8"/>
      <c r="D22" s="87"/>
      <c r="E22" s="20"/>
      <c r="F22" s="20"/>
      <c r="G22" s="20"/>
      <c r="H22" s="20"/>
      <c r="I22" s="20"/>
      <c r="J22" s="20"/>
      <c r="K22" s="20"/>
      <c r="L22" s="20"/>
      <c r="M22" s="20"/>
      <c r="N22" s="20"/>
      <c r="O22" s="20"/>
      <c r="P22" s="88"/>
      <c r="Q22" s="13"/>
      <c r="R22" s="4"/>
    </row>
    <row r="23" spans="1:18">
      <c r="A23" s="1" t="s">
        <v>11</v>
      </c>
      <c r="B23" s="2" t="s">
        <v>12</v>
      </c>
      <c r="C23" s="8"/>
      <c r="D23" s="89" t="s">
        <v>13</v>
      </c>
      <c r="E23" s="90" t="s">
        <v>14</v>
      </c>
      <c r="F23" s="90"/>
      <c r="G23" s="90"/>
      <c r="H23" s="90"/>
      <c r="I23" s="90"/>
      <c r="J23" s="90"/>
      <c r="K23" s="90"/>
      <c r="L23" s="90"/>
      <c r="M23" s="90"/>
      <c r="N23" s="91" t="s">
        <v>15</v>
      </c>
      <c r="O23" s="91"/>
      <c r="P23" s="92" t="s">
        <v>16</v>
      </c>
      <c r="Q23" s="93"/>
      <c r="R23" s="4"/>
    </row>
    <row r="24" spans="1:18" ht="15.75" thickBot="1">
      <c r="A24" s="1"/>
      <c r="B24" s="2"/>
      <c r="C24" s="8"/>
      <c r="D24" s="349">
        <f>+'PRESUPUESTO OFICIAL '!C30</f>
        <v>2.0099999999999998</v>
      </c>
      <c r="E24" s="94" t="str">
        <f>+VLOOKUP(D24,'PRESUPUESTO OFICIAL '!C:H,2,FALSE)</f>
        <v>SOLADO CONCRETO f'c = 2000 psi (14 MPa), ESPESOR 0.05 M</v>
      </c>
      <c r="F24" s="94"/>
      <c r="G24" s="94"/>
      <c r="H24" s="94"/>
      <c r="I24" s="94"/>
      <c r="J24" s="94"/>
      <c r="K24" s="94"/>
      <c r="L24" s="94"/>
      <c r="M24" s="94"/>
      <c r="N24" s="94" t="str">
        <f>+VLOOKUP(D24,'PRESUPUESTO OFICIAL '!C:H,3,FALSE)</f>
        <v>M2</v>
      </c>
      <c r="O24" s="95"/>
      <c r="P24" s="96">
        <f>+VLOOKUP(D24,'PRESUPUESTO OFICIAL '!C:H,4,FALSE)</f>
        <v>17.399999999999999</v>
      </c>
      <c r="Q24" s="97"/>
      <c r="R24" s="98">
        <f>+P76</f>
        <v>65698</v>
      </c>
    </row>
    <row r="25" spans="1:18" ht="15.75" thickBot="1">
      <c r="A25" s="1"/>
      <c r="B25" s="2"/>
      <c r="C25" s="8"/>
      <c r="D25" s="74" t="s">
        <v>17</v>
      </c>
      <c r="E25" s="37"/>
      <c r="F25" s="37"/>
      <c r="G25" s="37"/>
      <c r="H25" s="37"/>
      <c r="I25" s="37"/>
      <c r="J25" s="37"/>
      <c r="K25" s="37"/>
      <c r="L25" s="37"/>
      <c r="M25" s="37"/>
      <c r="N25" s="37"/>
      <c r="O25" s="37"/>
      <c r="P25" s="99"/>
      <c r="Q25" s="100"/>
      <c r="R25" s="4"/>
    </row>
    <row r="26" spans="1:18">
      <c r="A26" s="1"/>
      <c r="B26" s="2"/>
      <c r="C26" s="8"/>
      <c r="D26" s="101" t="s">
        <v>14</v>
      </c>
      <c r="E26" s="102"/>
      <c r="F26" s="102"/>
      <c r="G26" s="102"/>
      <c r="H26" s="103"/>
      <c r="I26" s="104" t="s">
        <v>18</v>
      </c>
      <c r="J26" s="102"/>
      <c r="K26" s="104" t="s">
        <v>19</v>
      </c>
      <c r="L26" s="105"/>
      <c r="M26" s="106" t="s">
        <v>20</v>
      </c>
      <c r="N26" s="104" t="s">
        <v>21</v>
      </c>
      <c r="O26" s="105"/>
      <c r="P26" s="107" t="s">
        <v>22</v>
      </c>
      <c r="Q26" s="108"/>
      <c r="R26" s="4"/>
    </row>
    <row r="27" spans="1:18">
      <c r="A27" s="1" t="e">
        <f>[239]INDICE!#REF!</f>
        <v>#REF!</v>
      </c>
      <c r="B27" s="2" t="s">
        <v>23</v>
      </c>
      <c r="C27" s="8"/>
      <c r="D27" s="109" t="str">
        <f>IFERROR(INDEX([239]EQUIPOS!B:B,MATCH(B27,[239]EQUIPOS!A:A,0)),"")</f>
        <v>HERRAMIENTA MENOR (% M.O)</v>
      </c>
      <c r="E27" s="110"/>
      <c r="F27" s="110"/>
      <c r="G27" s="110"/>
      <c r="H27" s="111"/>
      <c r="I27" s="112"/>
      <c r="J27" s="111"/>
      <c r="K27" s="113" t="str">
        <f>IFERROR(INDEX([239]EQUIPOS!C:C,MATCH(B27,[239]EQUIPOS!A:A,0)),"")</f>
        <v>%</v>
      </c>
      <c r="L27" s="114"/>
      <c r="M27" s="115">
        <f>IFERROR(IF(D27="HERRAMIENTA MENOR (% M.O)",P66,INDEX([239]EQUIPOS!D:D,MATCH(B27,[239]EQUIPOS!A:A,0))),"")</f>
        <v>14276.380000000001</v>
      </c>
      <c r="N27" s="116">
        <v>10</v>
      </c>
      <c r="O27" s="117"/>
      <c r="P27" s="118">
        <f t="shared" ref="P27:P32" si="0">IFERROR(ROUND(IF(D27="HERRAMIENTA MENOR (% M.O)",N27%*M27,M27/N27),2)," ")</f>
        <v>1427.64</v>
      </c>
      <c r="Q27" s="119"/>
      <c r="R27" s="4"/>
    </row>
    <row r="28" spans="1:18">
      <c r="A28" s="1">
        <f>+$A$2858</f>
        <v>0</v>
      </c>
      <c r="B28" s="2"/>
      <c r="C28" s="8"/>
      <c r="D28" s="109" t="str">
        <f>IFERROR(INDEX([239]EQUIPOS!B:B,MATCH(B28,[239]EQUIPOS!A:A,0)),"")</f>
        <v/>
      </c>
      <c r="E28" s="110"/>
      <c r="F28" s="110"/>
      <c r="G28" s="110"/>
      <c r="H28" s="111"/>
      <c r="I28" s="112"/>
      <c r="J28" s="111"/>
      <c r="K28" s="113" t="str">
        <f>IFERROR(INDEX([239]EQUIPOS!C:C,MATCH(B28,[239]EQUIPOS!A:A,0)),"")</f>
        <v/>
      </c>
      <c r="L28" s="114"/>
      <c r="M28" s="115" t="str">
        <f>IFERROR(IF(D28="HERRAMIENTA MENOR (% M.O)",P67,INDEX([239]EQUIPOS!D:D,MATCH(B28,[239]EQUIPOS!A:A,0))),"")</f>
        <v/>
      </c>
      <c r="N28" s="116"/>
      <c r="O28" s="117"/>
      <c r="P28" s="118" t="str">
        <f t="shared" si="0"/>
        <v xml:space="preserve"> </v>
      </c>
      <c r="Q28" s="119"/>
      <c r="R28" s="4"/>
    </row>
    <row r="29" spans="1:18">
      <c r="A29" s="1">
        <f t="shared" ref="A29:A67" si="1">+A28</f>
        <v>0</v>
      </c>
      <c r="B29" s="2"/>
      <c r="C29" s="8"/>
      <c r="D29" s="109" t="str">
        <f>IFERROR(INDEX([239]EQUIPOS!B:B,MATCH(B29,[239]EQUIPOS!A:A,0)),"")</f>
        <v/>
      </c>
      <c r="E29" s="110"/>
      <c r="F29" s="110"/>
      <c r="G29" s="110"/>
      <c r="H29" s="111"/>
      <c r="I29" s="120"/>
      <c r="J29" s="121"/>
      <c r="K29" s="113" t="str">
        <f>IFERROR(INDEX([239]EQUIPOS!C:C,MATCH(B29,[239]EQUIPOS!A:A,0)),"")</f>
        <v/>
      </c>
      <c r="L29" s="114"/>
      <c r="M29" s="115" t="str">
        <f>IFERROR(IF(D29="HERRAMIENTA MENOR (% M.O)",P68,INDEX([239]EQUIPOS!D:D,MATCH(B29,[239]EQUIPOS!A:A,0))),"")</f>
        <v/>
      </c>
      <c r="N29" s="116"/>
      <c r="O29" s="117"/>
      <c r="P29" s="118" t="str">
        <f t="shared" si="0"/>
        <v xml:space="preserve"> </v>
      </c>
      <c r="Q29" s="119"/>
      <c r="R29" s="4"/>
    </row>
    <row r="30" spans="1:18">
      <c r="A30" s="1">
        <f t="shared" si="1"/>
        <v>0</v>
      </c>
      <c r="B30" s="2"/>
      <c r="C30" s="8"/>
      <c r="D30" s="109" t="str">
        <f>IFERROR(INDEX([239]EQUIPOS!B:B,MATCH(B30,[239]EQUIPOS!A:A,0)),"")</f>
        <v/>
      </c>
      <c r="E30" s="110"/>
      <c r="F30" s="110"/>
      <c r="G30" s="110"/>
      <c r="H30" s="111"/>
      <c r="I30" s="120"/>
      <c r="J30" s="121"/>
      <c r="K30" s="113" t="str">
        <f>IFERROR(INDEX([239]EQUIPOS!C:C,MATCH(B30,[239]EQUIPOS!A:A,0)),"")</f>
        <v/>
      </c>
      <c r="L30" s="114"/>
      <c r="M30" s="115" t="str">
        <f>IFERROR(IF(D30="HERRAMIENTA MENOR (% M.O)",P69,INDEX([239]EQUIPOS!D:D,MATCH(B30,[239]EQUIPOS!A:A,0))),"")</f>
        <v/>
      </c>
      <c r="N30" s="116"/>
      <c r="O30" s="117"/>
      <c r="P30" s="118" t="str">
        <f t="shared" si="0"/>
        <v xml:space="preserve"> </v>
      </c>
      <c r="Q30" s="119"/>
      <c r="R30" s="4"/>
    </row>
    <row r="31" spans="1:18">
      <c r="A31" s="1">
        <f t="shared" si="1"/>
        <v>0</v>
      </c>
      <c r="B31" s="2"/>
      <c r="C31" s="8"/>
      <c r="D31" s="109" t="str">
        <f>IFERROR(INDEX([239]EQUIPOS!B:B,MATCH(B31,[239]EQUIPOS!A:A,0)),"")</f>
        <v/>
      </c>
      <c r="E31" s="110"/>
      <c r="F31" s="110"/>
      <c r="G31" s="110"/>
      <c r="H31" s="111"/>
      <c r="I31" s="112"/>
      <c r="J31" s="111"/>
      <c r="K31" s="113" t="str">
        <f>IFERROR(INDEX([239]EQUIPOS!C:C,MATCH(B31,[239]EQUIPOS!A:A,0)),"")</f>
        <v/>
      </c>
      <c r="L31" s="114"/>
      <c r="M31" s="115" t="str">
        <f>IFERROR(IF(D31="HERRAMIENTA MENOR (% M.O)",P70,INDEX([239]EQUIPOS!D:D,MATCH(B31,[239]EQUIPOS!A:A,0))),"")</f>
        <v/>
      </c>
      <c r="N31" s="116"/>
      <c r="O31" s="117"/>
      <c r="P31" s="118" t="str">
        <f t="shared" si="0"/>
        <v xml:space="preserve"> </v>
      </c>
      <c r="Q31" s="119"/>
      <c r="R31" s="4"/>
    </row>
    <row r="32" spans="1:18" ht="15.75" thickBot="1">
      <c r="A32" s="1">
        <f t="shared" si="1"/>
        <v>0</v>
      </c>
      <c r="B32" s="2"/>
      <c r="C32" s="8"/>
      <c r="D32" s="109" t="str">
        <f>IFERROR(INDEX([239]EQUIPOS!B:B,MATCH(B32,[239]EQUIPOS!A:A,0)),"")</f>
        <v/>
      </c>
      <c r="E32" s="78"/>
      <c r="F32" s="78"/>
      <c r="G32" s="78"/>
      <c r="H32" s="122"/>
      <c r="I32" s="123"/>
      <c r="J32" s="122"/>
      <c r="K32" s="113" t="str">
        <f>IFERROR(INDEX([239]EQUIPOS!C:C,MATCH(B32,[239]EQUIPOS!A:A,0)),"")</f>
        <v/>
      </c>
      <c r="L32" s="124"/>
      <c r="M32" s="115" t="str">
        <f>IFERROR(IF(D32="HERRAMIENTA MENOR (% M.O)",P71,INDEX([239]EQUIPOS!D:D,MATCH(B32,[239]EQUIPOS!A:A,0))),"")</f>
        <v/>
      </c>
      <c r="N32" s="125"/>
      <c r="O32" s="126"/>
      <c r="P32" s="127" t="str">
        <f t="shared" si="0"/>
        <v xml:space="preserve"> </v>
      </c>
      <c r="Q32" s="119"/>
      <c r="R32" s="4"/>
    </row>
    <row r="33" spans="1:18" ht="15.75" thickBot="1">
      <c r="A33" s="1">
        <f t="shared" si="1"/>
        <v>0</v>
      </c>
      <c r="B33" s="2"/>
      <c r="C33" s="8"/>
      <c r="D33" s="128" t="s">
        <v>24</v>
      </c>
      <c r="E33" s="129"/>
      <c r="F33" s="129"/>
      <c r="G33" s="129"/>
      <c r="H33" s="129"/>
      <c r="I33" s="129"/>
      <c r="J33" s="129"/>
      <c r="K33" s="129"/>
      <c r="L33" s="129"/>
      <c r="M33" s="129"/>
      <c r="N33" s="129"/>
      <c r="O33" s="130"/>
      <c r="P33" s="131">
        <f>SUM(P27:P32)</f>
        <v>1427.64</v>
      </c>
      <c r="Q33" s="132"/>
      <c r="R33" s="4"/>
    </row>
    <row r="34" spans="1:18" ht="15.75" thickBot="1">
      <c r="A34" s="1">
        <f t="shared" si="1"/>
        <v>0</v>
      </c>
      <c r="B34" s="2"/>
      <c r="C34" s="8"/>
      <c r="D34" s="74" t="s">
        <v>25</v>
      </c>
      <c r="E34" s="37"/>
      <c r="F34" s="37"/>
      <c r="G34" s="37"/>
      <c r="H34" s="37"/>
      <c r="I34" s="37"/>
      <c r="J34" s="37"/>
      <c r="K34" s="37"/>
      <c r="L34" s="37"/>
      <c r="M34" s="37"/>
      <c r="N34" s="37"/>
      <c r="O34" s="37"/>
      <c r="P34" s="99"/>
      <c r="Q34" s="100"/>
      <c r="R34" s="4"/>
    </row>
    <row r="35" spans="1:18">
      <c r="A35" s="1">
        <f t="shared" si="1"/>
        <v>0</v>
      </c>
      <c r="B35" s="2"/>
      <c r="C35" s="8"/>
      <c r="D35" s="101" t="s">
        <v>14</v>
      </c>
      <c r="E35" s="133"/>
      <c r="F35" s="133"/>
      <c r="G35" s="133"/>
      <c r="H35" s="133"/>
      <c r="I35" s="133"/>
      <c r="J35" s="133"/>
      <c r="K35" s="105"/>
      <c r="L35" s="134" t="s">
        <v>15</v>
      </c>
      <c r="M35" s="106" t="s">
        <v>16</v>
      </c>
      <c r="N35" s="104" t="s">
        <v>26</v>
      </c>
      <c r="O35" s="105"/>
      <c r="P35" s="107" t="s">
        <v>22</v>
      </c>
      <c r="Q35" s="108"/>
      <c r="R35" s="4"/>
    </row>
    <row r="36" spans="1:18">
      <c r="A36" s="1">
        <f t="shared" si="1"/>
        <v>0</v>
      </c>
      <c r="B36" s="2" t="s">
        <v>270</v>
      </c>
      <c r="C36" s="8"/>
      <c r="D36" s="109" t="str">
        <f>IFERROR(INDEX([239]MATERIALES!C:C,MATCH(B36,[239]MATERIALES!B:B,0)),"")</f>
        <v>CONCRETO DE 2000 PSI (1:3:4)</v>
      </c>
      <c r="E36" s="135"/>
      <c r="F36" s="135"/>
      <c r="G36" s="135"/>
      <c r="H36" s="135"/>
      <c r="I36" s="135"/>
      <c r="J36" s="135"/>
      <c r="K36" s="136"/>
      <c r="L36" s="137" t="str">
        <f>IFERROR(INDEX([239]MATERIALES!D:D,MATCH(B36,[239]MATERIALES!B:B,0)),"")</f>
        <v>M3</v>
      </c>
      <c r="M36" s="138">
        <f>1*1*0.05</f>
        <v>0.05</v>
      </c>
      <c r="N36" s="139">
        <f>IFERROR(INDEX([239]MATERIALES!P:P,MATCH(B36,[239]MATERIALES!B:B,0)),"")</f>
        <v>641777.72</v>
      </c>
      <c r="O36" s="140"/>
      <c r="P36" s="118">
        <f>IFERROR(ROUND(N36*M36,2),"")</f>
        <v>32088.89</v>
      </c>
      <c r="Q36" s="119"/>
      <c r="R36" s="4"/>
    </row>
    <row r="37" spans="1:18">
      <c r="A37" s="1">
        <f t="shared" si="1"/>
        <v>0</v>
      </c>
      <c r="B37" s="2"/>
      <c r="C37" s="8"/>
      <c r="D37" s="109" t="str">
        <f>IFERROR(INDEX([239]MATERIALES!C:C,MATCH(B37,[239]MATERIALES!B:B,0)),"")</f>
        <v/>
      </c>
      <c r="E37" s="135"/>
      <c r="F37" s="135"/>
      <c r="G37" s="135"/>
      <c r="H37" s="135"/>
      <c r="I37" s="135"/>
      <c r="J37" s="135"/>
      <c r="K37" s="136"/>
      <c r="L37" s="137" t="str">
        <f>IFERROR(INDEX([239]MATERIALES!D:D,MATCH(B37,[239]MATERIALES!B:B,0)),"")</f>
        <v/>
      </c>
      <c r="M37" s="138"/>
      <c r="N37" s="139" t="str">
        <f>IFERROR(INDEX([239]MATERIALES!P:P,MATCH(B37,[239]MATERIALES!B:B,0)),"")</f>
        <v/>
      </c>
      <c r="O37" s="140"/>
      <c r="P37" s="118" t="str">
        <f>IFERROR(ROUND(N37*M37,2),"")</f>
        <v/>
      </c>
      <c r="Q37" s="119"/>
      <c r="R37" s="4"/>
    </row>
    <row r="38" spans="1:18">
      <c r="A38" s="1">
        <f t="shared" si="1"/>
        <v>0</v>
      </c>
      <c r="B38" s="2"/>
      <c r="C38" s="8"/>
      <c r="D38" s="109" t="str">
        <f>IFERROR(INDEX([239]MATERIALES!C:C,MATCH(B38,[239]MATERIALES!B:B,0)),"")</f>
        <v/>
      </c>
      <c r="E38" s="110"/>
      <c r="F38" s="110"/>
      <c r="G38" s="110"/>
      <c r="H38" s="110"/>
      <c r="I38" s="110"/>
      <c r="J38" s="110"/>
      <c r="K38" s="111"/>
      <c r="L38" s="137" t="str">
        <f>IFERROR(INDEX([239]MATERIALES!D:D,MATCH(B38,[239]MATERIALES!B:B,0)),"")</f>
        <v/>
      </c>
      <c r="M38" s="138"/>
      <c r="N38" s="139" t="str">
        <f>IFERROR(INDEX([239]MATERIALES!P:P,MATCH(B38,[239]MATERIALES!B:B,0)),"")</f>
        <v/>
      </c>
      <c r="O38" s="140"/>
      <c r="P38" s="118" t="str">
        <f>IFERROR(ROUND(N38*M38,2),"")</f>
        <v/>
      </c>
      <c r="Q38" s="119"/>
      <c r="R38" s="4"/>
    </row>
    <row r="39" spans="1:18">
      <c r="A39" s="1">
        <f t="shared" si="1"/>
        <v>0</v>
      </c>
      <c r="B39" s="2"/>
      <c r="C39" s="8"/>
      <c r="D39" s="109" t="str">
        <f>IFERROR(INDEX([239]MATERIALES!C:C,MATCH(B39,[239]MATERIALES!B:B,0)),"")</f>
        <v/>
      </c>
      <c r="E39" s="110"/>
      <c r="F39" s="110"/>
      <c r="G39" s="110"/>
      <c r="H39" s="110"/>
      <c r="I39" s="110"/>
      <c r="J39" s="110"/>
      <c r="K39" s="111"/>
      <c r="L39" s="137" t="str">
        <f>IFERROR(INDEX([239]MATERIALES!D:D,MATCH(B39,[239]MATERIALES!B:B,0)),"")</f>
        <v/>
      </c>
      <c r="M39" s="138"/>
      <c r="N39" s="139" t="str">
        <f>IFERROR(INDEX([239]MATERIALES!P:P,MATCH(B39,[239]MATERIALES!B:B,0)),"")</f>
        <v/>
      </c>
      <c r="O39" s="140"/>
      <c r="P39" s="118" t="str">
        <f>IFERROR(ROUND(N39*M39,2),"")</f>
        <v/>
      </c>
      <c r="Q39" s="119"/>
      <c r="R39" s="4"/>
    </row>
    <row r="40" spans="1:18">
      <c r="A40" s="1">
        <f t="shared" si="1"/>
        <v>0</v>
      </c>
      <c r="B40" s="2"/>
      <c r="C40" s="8"/>
      <c r="D40" s="109" t="str">
        <f>IFERROR(INDEX([239]MATERIALES!C:C,MATCH(B40,[239]MATERIALES!B:B,0)),"")</f>
        <v/>
      </c>
      <c r="E40" s="110"/>
      <c r="F40" s="110"/>
      <c r="G40" s="110"/>
      <c r="H40" s="110"/>
      <c r="I40" s="110"/>
      <c r="J40" s="110"/>
      <c r="K40" s="111"/>
      <c r="L40" s="137" t="str">
        <f>IFERROR(INDEX([239]MATERIALES!D:D,MATCH(B40,[239]MATERIALES!B:B,0)),"")</f>
        <v/>
      </c>
      <c r="M40" s="138"/>
      <c r="N40" s="139" t="str">
        <f>IFERROR(INDEX([239]MATERIALES!P:P,MATCH(B40,[239]MATERIALES!B:B,0)),"")</f>
        <v/>
      </c>
      <c r="O40" s="140"/>
      <c r="P40" s="118" t="str">
        <f t="shared" ref="P40:P49" si="2">IFERROR(ROUND(N40*M40,2),"")</f>
        <v/>
      </c>
      <c r="Q40" s="119"/>
      <c r="R40" s="4"/>
    </row>
    <row r="41" spans="1:18">
      <c r="A41" s="1">
        <f t="shared" si="1"/>
        <v>0</v>
      </c>
      <c r="B41" s="2"/>
      <c r="C41" s="8"/>
      <c r="D41" s="109" t="str">
        <f>IFERROR(INDEX([239]MATERIALES!C:C,MATCH(B41,[239]MATERIALES!B:B,0)),"")</f>
        <v/>
      </c>
      <c r="E41" s="110"/>
      <c r="F41" s="110"/>
      <c r="G41" s="110"/>
      <c r="H41" s="110"/>
      <c r="I41" s="110"/>
      <c r="J41" s="110"/>
      <c r="K41" s="111"/>
      <c r="L41" s="137" t="str">
        <f>IFERROR(INDEX([239]MATERIALES!D:D,MATCH(B41,[239]MATERIALES!B:B,0)),"")</f>
        <v/>
      </c>
      <c r="M41" s="138"/>
      <c r="N41" s="139" t="str">
        <f>IFERROR(INDEX([239]MATERIALES!P:P,MATCH(B41,[239]MATERIALES!B:B,0)),"")</f>
        <v/>
      </c>
      <c r="O41" s="140"/>
      <c r="P41" s="118" t="str">
        <f t="shared" si="2"/>
        <v/>
      </c>
      <c r="Q41" s="119"/>
      <c r="R41" s="4"/>
    </row>
    <row r="42" spans="1:18">
      <c r="A42" s="1">
        <f t="shared" si="1"/>
        <v>0</v>
      </c>
      <c r="B42" s="2"/>
      <c r="C42" s="8"/>
      <c r="D42" s="109" t="str">
        <f>IFERROR(INDEX([239]MATERIALES!C:C,MATCH(B42,[239]MATERIALES!B:B,0)),"")</f>
        <v/>
      </c>
      <c r="E42" s="110"/>
      <c r="F42" s="110"/>
      <c r="G42" s="110"/>
      <c r="H42" s="110"/>
      <c r="I42" s="110"/>
      <c r="J42" s="110"/>
      <c r="K42" s="111"/>
      <c r="L42" s="137" t="str">
        <f>IFERROR(INDEX([239]MATERIALES!D:D,MATCH(B42,[239]MATERIALES!B:B,0)),"")</f>
        <v/>
      </c>
      <c r="M42" s="138"/>
      <c r="N42" s="139" t="str">
        <f>IFERROR(INDEX([239]MATERIALES!P:P,MATCH(B42,[239]MATERIALES!B:B,0)),"")</f>
        <v/>
      </c>
      <c r="O42" s="140"/>
      <c r="P42" s="118" t="str">
        <f t="shared" si="2"/>
        <v/>
      </c>
      <c r="Q42" s="119"/>
      <c r="R42" s="4"/>
    </row>
    <row r="43" spans="1:18">
      <c r="A43" s="1">
        <f t="shared" si="1"/>
        <v>0</v>
      </c>
      <c r="B43" s="2"/>
      <c r="C43" s="8"/>
      <c r="D43" s="109" t="str">
        <f>IFERROR(INDEX([239]MATERIALES!C:C,MATCH(B43,[239]MATERIALES!B:B,0)),"")</f>
        <v/>
      </c>
      <c r="E43" s="110"/>
      <c r="F43" s="110"/>
      <c r="G43" s="110"/>
      <c r="H43" s="110"/>
      <c r="I43" s="110"/>
      <c r="J43" s="110"/>
      <c r="K43" s="111"/>
      <c r="L43" s="137" t="str">
        <f>IFERROR(INDEX([239]MATERIALES!D:D,MATCH(B43,[239]MATERIALES!B:B,0)),"")</f>
        <v/>
      </c>
      <c r="M43" s="138"/>
      <c r="N43" s="139" t="str">
        <f>IFERROR(INDEX([239]MATERIALES!P:P,MATCH(B43,[239]MATERIALES!B:B,0)),"")</f>
        <v/>
      </c>
      <c r="O43" s="140"/>
      <c r="P43" s="118" t="str">
        <f t="shared" si="2"/>
        <v/>
      </c>
      <c r="Q43" s="119"/>
      <c r="R43" s="4"/>
    </row>
    <row r="44" spans="1:18">
      <c r="A44" s="1">
        <f t="shared" si="1"/>
        <v>0</v>
      </c>
      <c r="B44" s="2"/>
      <c r="C44" s="8"/>
      <c r="D44" s="109" t="str">
        <f>IFERROR(INDEX([239]MATERIALES!C:C,MATCH(B44,[239]MATERIALES!B:B,0)),"")</f>
        <v/>
      </c>
      <c r="E44" s="110"/>
      <c r="F44" s="110"/>
      <c r="G44" s="110"/>
      <c r="H44" s="110"/>
      <c r="I44" s="110"/>
      <c r="J44" s="110"/>
      <c r="K44" s="111"/>
      <c r="L44" s="137" t="str">
        <f>IFERROR(INDEX([239]MATERIALES!D:D,MATCH(B44,[239]MATERIALES!B:B,0)),"")</f>
        <v/>
      </c>
      <c r="M44" s="138"/>
      <c r="N44" s="139" t="str">
        <f>IFERROR(INDEX([239]MATERIALES!P:P,MATCH(B44,[239]MATERIALES!B:B,0)),"")</f>
        <v/>
      </c>
      <c r="O44" s="140"/>
      <c r="P44" s="118" t="str">
        <f t="shared" si="2"/>
        <v/>
      </c>
      <c r="Q44" s="119"/>
      <c r="R44" s="4"/>
    </row>
    <row r="45" spans="1:18">
      <c r="A45" s="1">
        <f t="shared" si="1"/>
        <v>0</v>
      </c>
      <c r="B45" s="2"/>
      <c r="C45" s="8"/>
      <c r="D45" s="109" t="str">
        <f>IFERROR(INDEX([239]MATERIALES!C:C,MATCH(B45,[239]MATERIALES!B:B,0)),"")</f>
        <v/>
      </c>
      <c r="E45" s="110"/>
      <c r="F45" s="110"/>
      <c r="G45" s="110"/>
      <c r="H45" s="110"/>
      <c r="I45" s="110"/>
      <c r="J45" s="110"/>
      <c r="K45" s="111"/>
      <c r="L45" s="137" t="str">
        <f>IFERROR(INDEX([239]MATERIALES!D:D,MATCH(B45,[239]MATERIALES!B:B,0)),"")</f>
        <v/>
      </c>
      <c r="M45" s="138"/>
      <c r="N45" s="139" t="str">
        <f>IFERROR(INDEX([239]MATERIALES!P:P,MATCH(B45,[239]MATERIALES!B:B,0)),"")</f>
        <v/>
      </c>
      <c r="O45" s="140"/>
      <c r="P45" s="118" t="str">
        <f t="shared" si="2"/>
        <v/>
      </c>
      <c r="Q45" s="119"/>
      <c r="R45" s="4"/>
    </row>
    <row r="46" spans="1:18">
      <c r="A46" s="1">
        <f t="shared" si="1"/>
        <v>0</v>
      </c>
      <c r="B46" s="2"/>
      <c r="C46" s="8"/>
      <c r="D46" s="109" t="str">
        <f>IFERROR(INDEX([239]MATERIALES!C:C,MATCH(B46,[239]MATERIALES!B:B,0)),"")</f>
        <v/>
      </c>
      <c r="E46" s="110"/>
      <c r="F46" s="110"/>
      <c r="G46" s="110"/>
      <c r="H46" s="110"/>
      <c r="I46" s="110"/>
      <c r="J46" s="110"/>
      <c r="K46" s="111"/>
      <c r="L46" s="137" t="str">
        <f>IFERROR(INDEX([239]MATERIALES!D:D,MATCH(B46,[239]MATERIALES!B:B,0)),"")</f>
        <v/>
      </c>
      <c r="M46" s="138"/>
      <c r="N46" s="139" t="str">
        <f>IFERROR(INDEX([239]MATERIALES!P:P,MATCH(B46,[239]MATERIALES!B:B,0)),"")</f>
        <v/>
      </c>
      <c r="O46" s="140"/>
      <c r="P46" s="118" t="str">
        <f t="shared" si="2"/>
        <v/>
      </c>
      <c r="Q46" s="119"/>
      <c r="R46" s="4"/>
    </row>
    <row r="47" spans="1:18">
      <c r="A47" s="1">
        <f t="shared" si="1"/>
        <v>0</v>
      </c>
      <c r="B47" s="2"/>
      <c r="C47" s="8"/>
      <c r="D47" s="109" t="str">
        <f>IFERROR(INDEX([239]MATERIALES!C:C,MATCH(B47,[239]MATERIALES!B:B,0)),"")</f>
        <v/>
      </c>
      <c r="E47" s="110"/>
      <c r="F47" s="110"/>
      <c r="G47" s="110"/>
      <c r="H47" s="110"/>
      <c r="I47" s="110"/>
      <c r="J47" s="110"/>
      <c r="K47" s="111"/>
      <c r="L47" s="137" t="str">
        <f>IFERROR(INDEX([239]MATERIALES!D:D,MATCH(B47,[239]MATERIALES!B:B,0)),"")</f>
        <v/>
      </c>
      <c r="M47" s="138"/>
      <c r="N47" s="139" t="str">
        <f>IFERROR(INDEX([239]MATERIALES!P:P,MATCH(B47,[239]MATERIALES!B:B,0)),"")</f>
        <v/>
      </c>
      <c r="O47" s="140"/>
      <c r="P47" s="118" t="str">
        <f t="shared" si="2"/>
        <v/>
      </c>
      <c r="Q47" s="119"/>
      <c r="R47" s="4"/>
    </row>
    <row r="48" spans="1:18">
      <c r="A48" s="1">
        <f t="shared" si="1"/>
        <v>0</v>
      </c>
      <c r="B48" s="2"/>
      <c r="C48" s="8"/>
      <c r="D48" s="109" t="str">
        <f>IFERROR(INDEX([239]MATERIALES!C:C,MATCH(B48,[239]MATERIALES!B:B,0)),"")</f>
        <v/>
      </c>
      <c r="E48" s="110"/>
      <c r="F48" s="110"/>
      <c r="G48" s="110"/>
      <c r="H48" s="110"/>
      <c r="I48" s="110"/>
      <c r="J48" s="110"/>
      <c r="K48" s="111"/>
      <c r="L48" s="137" t="str">
        <f>IFERROR(INDEX([239]MATERIALES!D:D,MATCH(B48,[239]MATERIALES!B:B,0)),"")</f>
        <v/>
      </c>
      <c r="M48" s="138"/>
      <c r="N48" s="139" t="str">
        <f>IFERROR(INDEX([239]MATERIALES!P:P,MATCH(B48,[239]MATERIALES!B:B,0)),"")</f>
        <v/>
      </c>
      <c r="O48" s="140"/>
      <c r="P48" s="118" t="str">
        <f t="shared" si="2"/>
        <v/>
      </c>
      <c r="Q48" s="119"/>
      <c r="R48" s="4"/>
    </row>
    <row r="49" spans="1:18">
      <c r="A49" s="1">
        <f t="shared" si="1"/>
        <v>0</v>
      </c>
      <c r="B49" s="2"/>
      <c r="C49" s="8"/>
      <c r="D49" s="109" t="str">
        <f>IFERROR(INDEX([239]MATERIALES!C:C,MATCH(B49,[239]MATERIALES!B:B,0)),"")</f>
        <v/>
      </c>
      <c r="E49" s="110"/>
      <c r="F49" s="110"/>
      <c r="G49" s="110"/>
      <c r="H49" s="110"/>
      <c r="I49" s="110"/>
      <c r="J49" s="110"/>
      <c r="K49" s="111"/>
      <c r="L49" s="137" t="str">
        <f>IFERROR(INDEX([239]MATERIALES!D:D,MATCH(B49,[239]MATERIALES!B:B,0)),"")</f>
        <v/>
      </c>
      <c r="M49" s="138"/>
      <c r="N49" s="139" t="str">
        <f>IFERROR(INDEX([239]MATERIALES!P:P,MATCH(B49,[239]MATERIALES!B:B,0)),"")</f>
        <v/>
      </c>
      <c r="O49" s="140"/>
      <c r="P49" s="118" t="str">
        <f t="shared" si="2"/>
        <v/>
      </c>
      <c r="Q49" s="119"/>
      <c r="R49" s="4"/>
    </row>
    <row r="50" spans="1:18" ht="15.75" thickBot="1">
      <c r="A50" s="1">
        <f t="shared" si="1"/>
        <v>0</v>
      </c>
      <c r="B50" s="2"/>
      <c r="C50" s="8"/>
      <c r="D50" s="109" t="s">
        <v>28</v>
      </c>
      <c r="E50" s="110"/>
      <c r="F50" s="110"/>
      <c r="G50" s="110"/>
      <c r="H50" s="110"/>
      <c r="I50" s="110"/>
      <c r="J50" s="110"/>
      <c r="K50" s="111"/>
      <c r="L50" s="137" t="s">
        <v>29</v>
      </c>
      <c r="M50" s="138">
        <v>0.05</v>
      </c>
      <c r="N50" s="139">
        <f>SUM(P36:P49)</f>
        <v>32088.89</v>
      </c>
      <c r="O50" s="140"/>
      <c r="P50" s="118">
        <f>ROUND(N50*M50,2)</f>
        <v>1604.44</v>
      </c>
      <c r="Q50" s="119"/>
      <c r="R50" s="4"/>
    </row>
    <row r="51" spans="1:18" ht="15.75" thickBot="1">
      <c r="A51" s="1">
        <f t="shared" si="1"/>
        <v>0</v>
      </c>
      <c r="B51" s="2"/>
      <c r="C51" s="8"/>
      <c r="D51" s="128" t="s">
        <v>24</v>
      </c>
      <c r="E51" s="129"/>
      <c r="F51" s="129"/>
      <c r="G51" s="129"/>
      <c r="H51" s="129"/>
      <c r="I51" s="129"/>
      <c r="J51" s="129"/>
      <c r="K51" s="129"/>
      <c r="L51" s="129"/>
      <c r="M51" s="129"/>
      <c r="N51" s="129"/>
      <c r="O51" s="130"/>
      <c r="P51" s="131">
        <f>SUM(P36:P50)</f>
        <v>33693.33</v>
      </c>
      <c r="Q51" s="119"/>
      <c r="R51" s="4"/>
    </row>
    <row r="52" spans="1:18" ht="15.75" thickBot="1">
      <c r="A52" s="1">
        <f t="shared" si="1"/>
        <v>0</v>
      </c>
      <c r="B52" s="2"/>
      <c r="C52" s="8"/>
      <c r="D52" s="74" t="s">
        <v>30</v>
      </c>
      <c r="E52" s="37"/>
      <c r="F52" s="37"/>
      <c r="G52" s="37"/>
      <c r="H52" s="37"/>
      <c r="I52" s="37"/>
      <c r="J52" s="37"/>
      <c r="K52" s="37"/>
      <c r="L52" s="37"/>
      <c r="M52" s="37"/>
      <c r="N52" s="37"/>
      <c r="O52" s="37"/>
      <c r="P52" s="99"/>
      <c r="Q52" s="100"/>
      <c r="R52" s="4"/>
    </row>
    <row r="53" spans="1:18">
      <c r="A53" s="1">
        <f t="shared" si="1"/>
        <v>0</v>
      </c>
      <c r="B53" s="2"/>
      <c r="C53" s="8"/>
      <c r="D53" s="101" t="s">
        <v>31</v>
      </c>
      <c r="E53" s="133"/>
      <c r="F53" s="133"/>
      <c r="G53" s="133"/>
      <c r="H53" s="133"/>
      <c r="I53" s="133"/>
      <c r="J53" s="133"/>
      <c r="K53" s="106" t="s">
        <v>32</v>
      </c>
      <c r="L53" s="141" t="s">
        <v>33</v>
      </c>
      <c r="M53" s="106" t="s">
        <v>34</v>
      </c>
      <c r="N53" s="104" t="s">
        <v>20</v>
      </c>
      <c r="O53" s="105"/>
      <c r="P53" s="107" t="s">
        <v>22</v>
      </c>
      <c r="Q53" s="108"/>
      <c r="R53" s="4"/>
    </row>
    <row r="54" spans="1:18">
      <c r="A54" s="1">
        <f t="shared" si="1"/>
        <v>0</v>
      </c>
      <c r="B54" s="2"/>
      <c r="C54" s="8"/>
      <c r="D54" s="142" t="str">
        <f>IFERROR(INDEX([239]TRANSPORTES!B:B,MATCH(B54,[239]TRANSPORTES!A:A,0)),"")</f>
        <v/>
      </c>
      <c r="E54" s="143"/>
      <c r="F54" s="143"/>
      <c r="G54" s="143"/>
      <c r="H54" s="143"/>
      <c r="I54" s="143"/>
      <c r="J54" s="143"/>
      <c r="K54" s="220"/>
      <c r="L54" s="145"/>
      <c r="M54" s="146" t="str">
        <f>IFERROR(INDEX([239]TRANSPORTES!C:C,MATCH(B54,[239]TRANSPORTES!A:A,0)),"")</f>
        <v/>
      </c>
      <c r="N54" s="139" t="str">
        <f>IFERROR(INDEX([239]TRANSPORTES!D:D,MATCH(B54,[239]TRANSPORTES!A:A,0)),"")</f>
        <v/>
      </c>
      <c r="O54" s="147"/>
      <c r="P54" s="148" t="str">
        <f>IFERROR(ROUND(K54*N54*L54,2),"")</f>
        <v/>
      </c>
      <c r="Q54" s="119"/>
      <c r="R54" s="4"/>
    </row>
    <row r="55" spans="1:18">
      <c r="A55" s="1">
        <f t="shared" si="1"/>
        <v>0</v>
      </c>
      <c r="B55" s="2"/>
      <c r="C55" s="8"/>
      <c r="D55" s="142" t="str">
        <f>IFERROR(INDEX([239]TRANSPORTES!B:B,MATCH(B55,[239]TRANSPORTES!A:A,0)),"")</f>
        <v/>
      </c>
      <c r="E55" s="143"/>
      <c r="F55" s="143"/>
      <c r="G55" s="143"/>
      <c r="H55" s="143"/>
      <c r="I55" s="143"/>
      <c r="J55" s="143"/>
      <c r="K55" s="144"/>
      <c r="L55" s="145"/>
      <c r="M55" s="146" t="str">
        <f>IFERROR(INDEX([239]TRANSPORTES!C:C,MATCH(B55,[239]TRANSPORTES!A:A,0)),"")</f>
        <v/>
      </c>
      <c r="N55" s="139" t="str">
        <f>IFERROR(INDEX([239]TRANSPORTES!D:D,MATCH(B55,[239]TRANSPORTES!A:A,0)),"")</f>
        <v/>
      </c>
      <c r="O55" s="147"/>
      <c r="P55" s="148" t="str">
        <f>IFERROR(ROUND(K55*N55*L55,2),"")</f>
        <v/>
      </c>
      <c r="Q55" s="119"/>
      <c r="R55" s="4"/>
    </row>
    <row r="56" spans="1:18">
      <c r="A56" s="1">
        <f t="shared" si="1"/>
        <v>0</v>
      </c>
      <c r="B56" s="2"/>
      <c r="C56" s="8"/>
      <c r="D56" s="142" t="str">
        <f>IFERROR(INDEX([239]TRANSPORTES!B:B,MATCH(B56,[239]TRANSPORTES!A:A,0)),"")</f>
        <v/>
      </c>
      <c r="E56" s="143"/>
      <c r="F56" s="143"/>
      <c r="G56" s="143"/>
      <c r="H56" s="143"/>
      <c r="I56" s="143"/>
      <c r="J56" s="143"/>
      <c r="K56" s="144"/>
      <c r="L56" s="145"/>
      <c r="M56" s="146" t="str">
        <f>IFERROR(INDEX([239]TRANSPORTES!C:C,MATCH(B56,[239]TRANSPORTES!A:A,0)),"")</f>
        <v/>
      </c>
      <c r="N56" s="139" t="str">
        <f>IFERROR(INDEX([239]TRANSPORTES!D:D,MATCH(B56,[239]TRANSPORTES!A:A,0)),"")</f>
        <v/>
      </c>
      <c r="O56" s="147"/>
      <c r="P56" s="148" t="str">
        <f>IFERROR(ROUND(K56*N56*L56,2),"")</f>
        <v/>
      </c>
      <c r="Q56" s="119"/>
      <c r="R56" s="4"/>
    </row>
    <row r="57" spans="1:18" ht="15.75" thickBot="1">
      <c r="A57" s="1">
        <f t="shared" si="1"/>
        <v>0</v>
      </c>
      <c r="B57" s="2"/>
      <c r="C57" s="8"/>
      <c r="D57" s="142" t="str">
        <f>IFERROR(INDEX([239]TRANSPORTES!B:B,MATCH(B57,[239]TRANSPORTES!A:A,0)),"")</f>
        <v/>
      </c>
      <c r="E57" s="143"/>
      <c r="F57" s="143"/>
      <c r="G57" s="143"/>
      <c r="H57" s="143"/>
      <c r="I57" s="143"/>
      <c r="J57" s="143"/>
      <c r="K57" s="149"/>
      <c r="L57" s="150"/>
      <c r="M57" s="146" t="str">
        <f>IFERROR(INDEX([239]TRANSPORTES!C:C,MATCH(B57,[239]TRANSPORTES!A:A,0)),"")</f>
        <v/>
      </c>
      <c r="N57" s="139" t="str">
        <f>IFERROR(INDEX([239]TRANSPORTES!D:D,MATCH(B57,[239]TRANSPORTES!A:A,0)),"")</f>
        <v/>
      </c>
      <c r="O57" s="147"/>
      <c r="P57" s="148" t="str">
        <f>IFERROR(ROUND(K57*N57*L57,2),"")</f>
        <v/>
      </c>
      <c r="Q57" s="119"/>
      <c r="R57" s="4"/>
    </row>
    <row r="58" spans="1:18" ht="15.75" thickBot="1">
      <c r="A58" s="1">
        <f t="shared" si="1"/>
        <v>0</v>
      </c>
      <c r="B58" s="2"/>
      <c r="C58" s="8"/>
      <c r="D58" s="128" t="s">
        <v>24</v>
      </c>
      <c r="E58" s="129"/>
      <c r="F58" s="129"/>
      <c r="G58" s="129"/>
      <c r="H58" s="129"/>
      <c r="I58" s="129"/>
      <c r="J58" s="129"/>
      <c r="K58" s="129"/>
      <c r="L58" s="129"/>
      <c r="M58" s="129"/>
      <c r="N58" s="129"/>
      <c r="O58" s="130"/>
      <c r="P58" s="151">
        <f>SUM(P54:P57)</f>
        <v>0</v>
      </c>
      <c r="Q58" s="132"/>
      <c r="R58" s="4"/>
    </row>
    <row r="59" spans="1:18" ht="15.75" thickBot="1">
      <c r="A59" s="1">
        <f t="shared" si="1"/>
        <v>0</v>
      </c>
      <c r="B59" s="2"/>
      <c r="C59" s="8"/>
      <c r="D59" s="74" t="s">
        <v>36</v>
      </c>
      <c r="E59" s="37"/>
      <c r="F59" s="37"/>
      <c r="G59" s="37"/>
      <c r="H59" s="37"/>
      <c r="I59" s="37"/>
      <c r="J59" s="37"/>
      <c r="K59" s="37"/>
      <c r="L59" s="37"/>
      <c r="M59" s="37"/>
      <c r="N59" s="37"/>
      <c r="O59" s="37"/>
      <c r="P59" s="99"/>
      <c r="Q59" s="100"/>
      <c r="R59" s="4"/>
    </row>
    <row r="60" spans="1:18" ht="30">
      <c r="A60" s="1">
        <f t="shared" si="1"/>
        <v>0</v>
      </c>
      <c r="B60" s="2"/>
      <c r="C60" s="8"/>
      <c r="D60" s="101" t="s">
        <v>37</v>
      </c>
      <c r="E60" s="133"/>
      <c r="F60" s="133"/>
      <c r="G60" s="133"/>
      <c r="H60" s="133"/>
      <c r="I60" s="133"/>
      <c r="J60" s="133"/>
      <c r="K60" s="106" t="s">
        <v>38</v>
      </c>
      <c r="L60" s="152" t="s">
        <v>39</v>
      </c>
      <c r="M60" s="153" t="s">
        <v>40</v>
      </c>
      <c r="N60" s="104" t="s">
        <v>21</v>
      </c>
      <c r="O60" s="105"/>
      <c r="P60" s="154" t="s">
        <v>22</v>
      </c>
      <c r="Q60" s="155"/>
      <c r="R60" s="4"/>
    </row>
    <row r="61" spans="1:18">
      <c r="A61" s="1">
        <f t="shared" si="1"/>
        <v>0</v>
      </c>
      <c r="B61" s="2" t="s">
        <v>41</v>
      </c>
      <c r="C61" s="8"/>
      <c r="D61" s="109" t="str">
        <f>IFERROR(INDEX('[239]MANO DE OBRA'!B:B,MATCH(B61,'[239]MANO DE OBRA'!A:A,0)),"")</f>
        <v>OFICIAL</v>
      </c>
      <c r="E61" s="110"/>
      <c r="F61" s="110"/>
      <c r="G61" s="110"/>
      <c r="H61" s="110"/>
      <c r="I61" s="110"/>
      <c r="J61" s="111"/>
      <c r="K61" s="156">
        <f>IFERROR(INDEX('[239]MANO DE OBRA'!D:D,MATCH(B61,'[239]MANO DE OBRA'!A:A,0)),"")</f>
        <v>95930</v>
      </c>
      <c r="L61" s="157">
        <f>+IF(D61&lt;&gt;"",'[239]FACTOR PRESTACIONAL'!$E$21," ")</f>
        <v>1.95</v>
      </c>
      <c r="M61" s="158">
        <f>IFERROR(K61*L61," ")</f>
        <v>187063.5</v>
      </c>
      <c r="N61" s="159">
        <v>22.86</v>
      </c>
      <c r="O61" s="160"/>
      <c r="P61" s="161">
        <f>IFERROR(ROUND(M61/N61,2)," ")</f>
        <v>8183.01</v>
      </c>
      <c r="Q61" s="162"/>
      <c r="R61" s="4"/>
    </row>
    <row r="62" spans="1:18">
      <c r="A62" s="1">
        <f t="shared" si="1"/>
        <v>0</v>
      </c>
      <c r="B62" s="2" t="s">
        <v>81</v>
      </c>
      <c r="C62" s="8"/>
      <c r="D62" s="109" t="str">
        <f>IFERROR(INDEX('[239]MANO DE OBRA'!B:B,MATCH(B62,'[239]MANO DE OBRA'!A:A,0)),"")</f>
        <v>AYUDANTE (1)</v>
      </c>
      <c r="E62" s="110"/>
      <c r="F62" s="110"/>
      <c r="G62" s="110"/>
      <c r="H62" s="110"/>
      <c r="I62" s="110"/>
      <c r="J62" s="111"/>
      <c r="K62" s="156">
        <f>IFERROR(INDEX('[239]MANO DE OBRA'!D:D,MATCH(B62,'[239]MANO DE OBRA'!A:A,0)),"")</f>
        <v>71433</v>
      </c>
      <c r="L62" s="157">
        <f>+IF(D62&lt;&gt;"",'[239]FACTOR PRESTACIONAL'!$E$21," ")</f>
        <v>1.95</v>
      </c>
      <c r="M62" s="158">
        <f>IFERROR(K62*L62," ")</f>
        <v>139294.35</v>
      </c>
      <c r="N62" s="159">
        <f>+N61</f>
        <v>22.86</v>
      </c>
      <c r="O62" s="160"/>
      <c r="P62" s="161">
        <f>IFERROR(ROUND(M62/N62,2)," ")</f>
        <v>6093.37</v>
      </c>
      <c r="Q62" s="162"/>
      <c r="R62" s="4"/>
    </row>
    <row r="63" spans="1:18">
      <c r="A63" s="1">
        <f t="shared" si="1"/>
        <v>0</v>
      </c>
      <c r="B63" s="2"/>
      <c r="C63" s="8"/>
      <c r="D63" s="109" t="str">
        <f>IFERROR(INDEX('[239]MANO DE OBRA'!B:B,MATCH(B63,'[239]MANO DE OBRA'!A:A,0)),"")</f>
        <v/>
      </c>
      <c r="E63" s="110"/>
      <c r="F63" s="110"/>
      <c r="G63" s="110"/>
      <c r="H63" s="110"/>
      <c r="I63" s="110"/>
      <c r="J63" s="111"/>
      <c r="K63" s="156" t="str">
        <f>IFERROR(INDEX('[239]MANO DE OBRA'!D:D,MATCH(B63,'[239]MANO DE OBRA'!A:A,0)),"")</f>
        <v/>
      </c>
      <c r="L63" s="157" t="str">
        <f>+IF(D63&lt;&gt;"",'[239]FACTOR PRESTACIONAL'!$E$21," ")</f>
        <v xml:space="preserve"> </v>
      </c>
      <c r="M63" s="158" t="str">
        <f>IFERROR(K63*L63," ")</f>
        <v xml:space="preserve"> </v>
      </c>
      <c r="N63" s="159"/>
      <c r="O63" s="160"/>
      <c r="P63" s="161" t="str">
        <f>IFERROR(ROUND(M63/N63,2)," ")</f>
        <v xml:space="preserve"> </v>
      </c>
      <c r="Q63" s="162"/>
      <c r="R63" s="4"/>
    </row>
    <row r="64" spans="1:18">
      <c r="A64" s="1">
        <f t="shared" si="1"/>
        <v>0</v>
      </c>
      <c r="B64" s="2"/>
      <c r="C64" s="8"/>
      <c r="D64" s="109" t="str">
        <f>IFERROR(INDEX('[239]MANO DE OBRA'!B:B,MATCH(B64,'[239]MANO DE OBRA'!A:A,0)),"")</f>
        <v/>
      </c>
      <c r="E64" s="110"/>
      <c r="F64" s="110"/>
      <c r="G64" s="110"/>
      <c r="H64" s="110"/>
      <c r="I64" s="110"/>
      <c r="J64" s="111"/>
      <c r="K64" s="156" t="str">
        <f>IFERROR(INDEX('[239]MANO DE OBRA'!D:D,MATCH(B64,'[239]MANO DE OBRA'!A:A,0)),"")</f>
        <v/>
      </c>
      <c r="L64" s="157" t="str">
        <f>+IF(D64&lt;&gt;"",'[239]FACTOR PRESTACIONAL'!$E$21," ")</f>
        <v xml:space="preserve"> </v>
      </c>
      <c r="M64" s="158" t="str">
        <f>IFERROR(K64*L64," ")</f>
        <v xml:space="preserve"> </v>
      </c>
      <c r="N64" s="159"/>
      <c r="O64" s="160"/>
      <c r="P64" s="161" t="str">
        <f>IFERROR(ROUND(M64/N64,2)," ")</f>
        <v xml:space="preserve"> </v>
      </c>
      <c r="Q64" s="162"/>
      <c r="R64" s="4"/>
    </row>
    <row r="65" spans="1:18" ht="15.75" thickBot="1">
      <c r="A65" s="1">
        <f t="shared" si="1"/>
        <v>0</v>
      </c>
      <c r="B65" s="2"/>
      <c r="C65" s="8"/>
      <c r="D65" s="109" t="str">
        <f>IFERROR(INDEX('[239]MANO DE OBRA'!B:B,MATCH(B65,'[239]MANO DE OBRA'!A:A,0)),"")</f>
        <v/>
      </c>
      <c r="E65" s="110"/>
      <c r="F65" s="110"/>
      <c r="G65" s="110"/>
      <c r="H65" s="110"/>
      <c r="I65" s="110"/>
      <c r="J65" s="111"/>
      <c r="K65" s="156" t="str">
        <f>IFERROR(INDEX('[239]MANO DE OBRA'!D:D,MATCH(B65,'[239]MANO DE OBRA'!A:A,0)),"")</f>
        <v/>
      </c>
      <c r="L65" s="157" t="str">
        <f>+IF(D65&lt;&gt;"",'[239]FACTOR PRESTACIONAL'!$E$21," ")</f>
        <v xml:space="preserve"> </v>
      </c>
      <c r="M65" s="158" t="str">
        <f>IFERROR(K65*L65," ")</f>
        <v xml:space="preserve"> </v>
      </c>
      <c r="N65" s="159"/>
      <c r="O65" s="160"/>
      <c r="P65" s="161" t="str">
        <f>IFERROR(ROUND(M65/N65,2)," ")</f>
        <v xml:space="preserve"> </v>
      </c>
      <c r="Q65" s="119"/>
      <c r="R65" s="4"/>
    </row>
    <row r="66" spans="1:18" ht="15.75" thickBot="1">
      <c r="A66" s="1">
        <f t="shared" si="1"/>
        <v>0</v>
      </c>
      <c r="B66" s="2"/>
      <c r="C66" s="8"/>
      <c r="D66" s="128" t="s">
        <v>24</v>
      </c>
      <c r="E66" s="129"/>
      <c r="F66" s="129"/>
      <c r="G66" s="129"/>
      <c r="H66" s="129"/>
      <c r="I66" s="129"/>
      <c r="J66" s="129"/>
      <c r="K66" s="129"/>
      <c r="L66" s="129"/>
      <c r="M66" s="129"/>
      <c r="N66" s="129"/>
      <c r="O66" s="130"/>
      <c r="P66" s="131">
        <f>SUM(P61:P65)</f>
        <v>14276.380000000001</v>
      </c>
      <c r="Q66" s="119"/>
      <c r="R66" s="4"/>
    </row>
    <row r="67" spans="1:18" ht="15.75" thickBot="1">
      <c r="A67" s="1">
        <f t="shared" si="1"/>
        <v>0</v>
      </c>
      <c r="B67" s="2"/>
      <c r="C67" s="8"/>
      <c r="D67" s="87"/>
      <c r="E67" s="20"/>
      <c r="F67" s="20"/>
      <c r="G67" s="20"/>
      <c r="H67" s="20"/>
      <c r="I67" s="20"/>
      <c r="J67" s="20"/>
      <c r="K67" s="20"/>
      <c r="L67" s="20"/>
      <c r="M67" s="20"/>
      <c r="N67" s="20"/>
      <c r="O67" s="20"/>
      <c r="P67" s="88"/>
      <c r="Q67" s="13"/>
      <c r="R67" s="4"/>
    </row>
    <row r="68" spans="1:18" ht="15.75" thickBot="1">
      <c r="A68" s="1"/>
      <c r="B68" s="2"/>
      <c r="C68" s="8"/>
      <c r="D68" s="163" t="s">
        <v>43</v>
      </c>
      <c r="E68" s="164"/>
      <c r="F68" s="164"/>
      <c r="G68" s="164"/>
      <c r="H68" s="164"/>
      <c r="I68" s="164"/>
      <c r="J68" s="164"/>
      <c r="K68" s="164"/>
      <c r="L68" s="164"/>
      <c r="M68" s="164"/>
      <c r="N68" s="164"/>
      <c r="O68" s="165"/>
      <c r="P68" s="166">
        <f>+P66+P58+P51+P33</f>
        <v>49397.350000000006</v>
      </c>
      <c r="Q68" s="167"/>
      <c r="R68" s="168"/>
    </row>
    <row r="69" spans="1:18" ht="15.75" thickBot="1">
      <c r="A69" s="1"/>
      <c r="B69" s="2"/>
      <c r="C69" s="8"/>
      <c r="D69" s="169"/>
      <c r="E69" s="170"/>
      <c r="F69" s="170"/>
      <c r="G69" s="170"/>
      <c r="H69" s="170"/>
      <c r="I69" s="170"/>
      <c r="J69" s="170"/>
      <c r="K69" s="170"/>
      <c r="L69" s="170"/>
      <c r="M69" s="170"/>
      <c r="N69" s="170"/>
      <c r="O69" s="170"/>
      <c r="P69" s="171"/>
      <c r="Q69" s="100"/>
      <c r="R69" s="4"/>
    </row>
    <row r="70" spans="1:18">
      <c r="A70" s="1"/>
      <c r="B70" s="2"/>
      <c r="C70" s="8"/>
      <c r="D70" s="172" t="s">
        <v>73</v>
      </c>
      <c r="E70" s="173"/>
      <c r="F70" s="173"/>
      <c r="G70" s="173"/>
      <c r="H70" s="173"/>
      <c r="I70" s="173"/>
      <c r="J70" s="173"/>
      <c r="K70" s="141"/>
      <c r="L70" s="174"/>
      <c r="M70" s="153" t="s">
        <v>44</v>
      </c>
      <c r="N70" s="175" t="s">
        <v>45</v>
      </c>
      <c r="O70" s="176"/>
      <c r="P70" s="154"/>
      <c r="Q70" s="155"/>
      <c r="R70" s="4"/>
    </row>
    <row r="71" spans="1:18">
      <c r="A71" s="1"/>
      <c r="B71" s="2"/>
      <c r="C71" s="8"/>
      <c r="D71" s="109" t="s">
        <v>65</v>
      </c>
      <c r="E71" s="110"/>
      <c r="F71" s="110"/>
      <c r="G71" s="110"/>
      <c r="H71" s="110"/>
      <c r="I71" s="110"/>
      <c r="J71" s="110"/>
      <c r="K71" s="177"/>
      <c r="L71" s="178"/>
      <c r="M71" s="179">
        <f>+[239]INICIO!$F$10</f>
        <v>0.24</v>
      </c>
      <c r="N71" s="180">
        <f>ROUND(M71*P68,2)</f>
        <v>11855.36</v>
      </c>
      <c r="O71" s="181"/>
      <c r="P71" s="182"/>
      <c r="Q71" s="119"/>
      <c r="R71" s="4"/>
    </row>
    <row r="72" spans="1:18">
      <c r="A72" s="1"/>
      <c r="B72" s="2"/>
      <c r="C72" s="8"/>
      <c r="D72" s="183" t="s">
        <v>67</v>
      </c>
      <c r="E72" s="61"/>
      <c r="F72" s="61"/>
      <c r="G72" s="61"/>
      <c r="H72" s="61"/>
      <c r="I72" s="61"/>
      <c r="J72" s="61"/>
      <c r="K72" s="177"/>
      <c r="L72" s="178"/>
      <c r="M72" s="179">
        <f>+[239]INICIO!$F$11</f>
        <v>0.02</v>
      </c>
      <c r="N72" s="180">
        <f>ROUND(M72*P68,2)</f>
        <v>987.95</v>
      </c>
      <c r="O72" s="181"/>
      <c r="P72" s="182"/>
      <c r="Q72" s="119"/>
      <c r="R72" s="4"/>
    </row>
    <row r="73" spans="1:18" ht="15.75" thickBot="1">
      <c r="A73" s="1"/>
      <c r="B73" s="2"/>
      <c r="C73" s="8"/>
      <c r="D73" s="77" t="s">
        <v>69</v>
      </c>
      <c r="E73" s="78"/>
      <c r="F73" s="78"/>
      <c r="G73" s="78"/>
      <c r="H73" s="78"/>
      <c r="I73" s="78"/>
      <c r="J73" s="78"/>
      <c r="K73" s="184"/>
      <c r="L73" s="185"/>
      <c r="M73" s="179">
        <f>+[239]INICIO!$F$12</f>
        <v>7.0000000000000007E-2</v>
      </c>
      <c r="N73" s="180">
        <f>ROUND(M73*P68,2)</f>
        <v>3457.81</v>
      </c>
      <c r="O73" s="181"/>
      <c r="P73" s="182"/>
      <c r="Q73" s="119"/>
      <c r="R73" s="4"/>
    </row>
    <row r="74" spans="1:18" ht="15.75" thickBot="1">
      <c r="A74" s="1"/>
      <c r="B74" s="2"/>
      <c r="C74" s="8"/>
      <c r="D74" s="128"/>
      <c r="E74" s="129"/>
      <c r="F74" s="129"/>
      <c r="G74" s="129"/>
      <c r="H74" s="129"/>
      <c r="I74" s="129"/>
      <c r="J74" s="129"/>
      <c r="K74" s="129"/>
      <c r="L74" s="129"/>
      <c r="M74" s="129"/>
      <c r="N74" s="129"/>
      <c r="O74" s="130"/>
      <c r="P74" s="131">
        <f>SUM(N71:N73)</f>
        <v>16301.12</v>
      </c>
      <c r="Q74" s="186"/>
      <c r="R74" s="4"/>
    </row>
    <row r="75" spans="1:18" ht="15.75" thickBot="1">
      <c r="A75" s="1"/>
      <c r="B75" s="2"/>
      <c r="C75" s="8"/>
      <c r="D75" s="87"/>
      <c r="E75" s="20"/>
      <c r="F75" s="20"/>
      <c r="G75" s="20"/>
      <c r="H75" s="20"/>
      <c r="I75" s="20"/>
      <c r="J75" s="20"/>
      <c r="K75" s="20"/>
      <c r="L75" s="20"/>
      <c r="M75" s="20"/>
      <c r="N75" s="20"/>
      <c r="O75" s="20"/>
      <c r="P75" s="88"/>
      <c r="Q75" s="13"/>
      <c r="R75" s="4"/>
    </row>
    <row r="76" spans="1:18" ht="15.75" thickBot="1">
      <c r="A76" s="1"/>
      <c r="B76" s="2"/>
      <c r="C76" s="8"/>
      <c r="D76" s="187" t="s">
        <v>46</v>
      </c>
      <c r="E76" s="188"/>
      <c r="F76" s="188"/>
      <c r="G76" s="188"/>
      <c r="H76" s="188"/>
      <c r="I76" s="188"/>
      <c r="J76" s="188"/>
      <c r="K76" s="188"/>
      <c r="L76" s="188"/>
      <c r="M76" s="188"/>
      <c r="N76" s="188"/>
      <c r="O76" s="189"/>
      <c r="P76" s="166">
        <f>ROUND(P74+P68,0)</f>
        <v>65698</v>
      </c>
      <c r="Q76" s="186"/>
      <c r="R76" s="4"/>
    </row>
    <row r="77" spans="1:18">
      <c r="A77" s="1"/>
      <c r="B77" s="2"/>
      <c r="C77" s="8"/>
      <c r="D77" s="80"/>
      <c r="E77" s="81"/>
      <c r="F77" s="81"/>
      <c r="G77" s="81"/>
      <c r="H77" s="81"/>
      <c r="I77" s="81"/>
      <c r="J77" s="81"/>
      <c r="K77" s="81"/>
      <c r="L77" s="81"/>
      <c r="M77" s="81"/>
      <c r="N77" s="81"/>
      <c r="O77" s="81"/>
      <c r="P77" s="82"/>
      <c r="Q77" s="13"/>
      <c r="R77" s="4"/>
    </row>
    <row r="78" spans="1:18">
      <c r="A78" s="1"/>
      <c r="B78" s="2"/>
      <c r="C78" s="8"/>
      <c r="D78" s="87"/>
      <c r="E78" s="20"/>
      <c r="F78" s="20"/>
      <c r="G78" s="20"/>
      <c r="H78" s="20"/>
      <c r="I78" s="20"/>
      <c r="J78" s="20"/>
      <c r="K78" s="20"/>
      <c r="L78" s="20"/>
      <c r="M78" s="20"/>
      <c r="N78" s="20"/>
      <c r="O78" s="20"/>
      <c r="P78" s="88"/>
      <c r="Q78" s="13"/>
      <c r="R78" s="4"/>
    </row>
    <row r="79" spans="1:18">
      <c r="A79" s="1"/>
      <c r="B79" s="2"/>
      <c r="C79" s="8"/>
      <c r="D79" s="87"/>
      <c r="E79" s="20"/>
      <c r="F79" s="20"/>
      <c r="G79" s="20"/>
      <c r="H79" s="20"/>
      <c r="I79" s="20"/>
      <c r="J79" s="20"/>
      <c r="K79" s="20"/>
      <c r="L79" s="20"/>
      <c r="M79" s="20"/>
      <c r="N79" s="20"/>
      <c r="O79" s="20"/>
      <c r="P79" s="88"/>
      <c r="Q79" s="13"/>
      <c r="R79" s="4"/>
    </row>
    <row r="80" spans="1:18">
      <c r="A80" s="1"/>
      <c r="B80" s="2"/>
      <c r="C80" s="8"/>
      <c r="D80" s="87"/>
      <c r="E80" s="20"/>
      <c r="F80" s="20"/>
      <c r="G80" s="20"/>
      <c r="H80" s="20"/>
      <c r="I80" s="20"/>
      <c r="J80" s="20"/>
      <c r="K80" s="20"/>
      <c r="L80" s="20"/>
      <c r="M80" s="20"/>
      <c r="N80" s="20"/>
      <c r="O80" s="20"/>
      <c r="P80" s="88"/>
      <c r="Q80" s="13"/>
      <c r="R80" s="4"/>
    </row>
    <row r="81" spans="1:18">
      <c r="A81" s="1"/>
      <c r="B81" s="2"/>
      <c r="C81" s="8"/>
      <c r="D81" s="219" t="str">
        <f>+[239]INICIO!$B$13</f>
        <v>Proyectó:</v>
      </c>
      <c r="E81" s="49"/>
      <c r="F81" s="49"/>
      <c r="G81" s="49"/>
      <c r="H81" s="49"/>
      <c r="I81" s="49"/>
      <c r="J81" s="49"/>
      <c r="K81" s="20"/>
      <c r="L81" s="69" t="str">
        <f>+[239]INICIO!$B$16</f>
        <v>Aprobó:</v>
      </c>
      <c r="M81" s="49"/>
      <c r="N81" s="49"/>
      <c r="O81" s="49"/>
      <c r="P81" s="88"/>
      <c r="Q81" s="13"/>
      <c r="R81" s="4"/>
    </row>
    <row r="82" spans="1:18">
      <c r="A82" s="1"/>
      <c r="B82" s="2"/>
      <c r="C82" s="8"/>
      <c r="D82" s="87"/>
      <c r="E82" s="20" t="str">
        <f>+Hoja2!C$13</f>
        <v>HELMER EDUARDO BECERRA SANTANDER</v>
      </c>
      <c r="F82" s="20"/>
      <c r="G82" s="20"/>
      <c r="H82" s="20"/>
      <c r="I82" s="20"/>
      <c r="J82" s="20"/>
      <c r="K82" s="20"/>
      <c r="L82" s="20"/>
      <c r="M82" s="20" t="str">
        <f>+Hoja2!$C$16</f>
        <v>JESÚS IVÁN QUIÑONES RUEDA</v>
      </c>
      <c r="N82" s="20"/>
      <c r="O82" s="20"/>
      <c r="P82" s="88"/>
      <c r="Q82" s="190"/>
      <c r="R82" s="4"/>
    </row>
    <row r="83" spans="1:18">
      <c r="A83" s="1"/>
      <c r="B83" s="2"/>
      <c r="C83" s="8"/>
      <c r="D83" s="87"/>
      <c r="E83" s="20" t="str">
        <f>+Hoja2!C$14</f>
        <v>APOYO SEC. DE PLANEACIÓN Y OBRAS PÚBLICAS</v>
      </c>
      <c r="F83" s="20"/>
      <c r="G83" s="20"/>
      <c r="H83" s="20"/>
      <c r="I83" s="20"/>
      <c r="J83" s="20"/>
      <c r="K83" s="20"/>
      <c r="L83" s="20"/>
      <c r="M83" s="20" t="str">
        <f>+Hoja2!$C$17</f>
        <v>SECRETARIO DE PLANEACIÓN Y OBRAS PUBLICAS</v>
      </c>
      <c r="N83" s="20"/>
      <c r="O83" s="20"/>
      <c r="P83" s="88"/>
      <c r="Q83" s="190"/>
      <c r="R83" s="4"/>
    </row>
    <row r="84" spans="1:18">
      <c r="A84" s="1"/>
      <c r="B84" s="2"/>
      <c r="C84" s="8"/>
      <c r="D84" s="68"/>
      <c r="E84" s="20" t="str">
        <f>+Hoja2!C$15</f>
        <v>123769-0701671 NTS</v>
      </c>
      <c r="F84" s="191"/>
      <c r="G84" s="191"/>
      <c r="H84" s="191"/>
      <c r="I84" s="20"/>
      <c r="J84" s="191"/>
      <c r="K84" s="191"/>
      <c r="L84" s="191"/>
      <c r="M84" s="192" t="str">
        <f>+Hoja2!C$18</f>
        <v>A21382020-1090480860</v>
      </c>
      <c r="N84" s="191"/>
      <c r="O84" s="191"/>
      <c r="P84" s="193"/>
      <c r="Q84" s="194"/>
      <c r="R84" s="4"/>
    </row>
    <row r="85" spans="1:18" ht="16.5" thickBot="1">
      <c r="A85" s="1"/>
      <c r="B85" s="2"/>
      <c r="C85" s="8"/>
      <c r="D85" s="195"/>
      <c r="E85" s="150"/>
      <c r="F85" s="150"/>
      <c r="G85" s="150"/>
      <c r="H85" s="150"/>
      <c r="I85" s="150"/>
      <c r="J85" s="150"/>
      <c r="K85" s="150"/>
      <c r="L85" s="150"/>
      <c r="M85" s="150"/>
      <c r="N85" s="150"/>
      <c r="O85" s="150"/>
      <c r="P85" s="196"/>
      <c r="Q85" s="197"/>
      <c r="R85" s="4"/>
    </row>
    <row r="86" spans="1:18" ht="15.75" thickBot="1">
      <c r="A86" s="1"/>
      <c r="B86" s="2"/>
      <c r="C86" s="198"/>
      <c r="D86" s="199"/>
      <c r="E86" s="199"/>
      <c r="F86" s="199"/>
      <c r="G86" s="199"/>
      <c r="H86" s="199"/>
      <c r="I86" s="199"/>
      <c r="J86" s="199"/>
      <c r="K86" s="199"/>
      <c r="L86" s="199"/>
      <c r="M86" s="199"/>
      <c r="N86" s="199"/>
      <c r="O86" s="199"/>
      <c r="P86" s="199"/>
      <c r="Q86" s="200"/>
      <c r="R86" s="4"/>
    </row>
    <row r="87" spans="1:18" ht="16.5" thickTop="1" thickBot="1">
      <c r="A87" s="1"/>
      <c r="B87" s="2"/>
      <c r="C87" s="3"/>
      <c r="D87" s="4"/>
      <c r="E87" s="4"/>
      <c r="F87" s="4"/>
      <c r="G87" s="4"/>
      <c r="H87" s="4"/>
      <c r="I87" s="4"/>
      <c r="J87" s="4"/>
      <c r="K87" s="4"/>
      <c r="L87" s="4"/>
      <c r="M87" s="4"/>
      <c r="N87" s="4"/>
      <c r="O87" s="4"/>
      <c r="P87" s="4"/>
      <c r="Q87" s="4"/>
      <c r="R87" s="4"/>
    </row>
    <row r="88" spans="1:18" ht="15.75" thickTop="1">
      <c r="A88" s="1"/>
      <c r="B88" s="2"/>
      <c r="C88" s="5"/>
      <c r="D88" s="6"/>
      <c r="E88" s="6"/>
      <c r="F88" s="6"/>
      <c r="G88" s="6"/>
      <c r="H88" s="6"/>
      <c r="I88" s="6"/>
      <c r="J88" s="6"/>
      <c r="K88" s="6"/>
      <c r="L88" s="6"/>
      <c r="M88" s="6"/>
      <c r="N88" s="6"/>
      <c r="O88" s="6"/>
      <c r="P88" s="6"/>
      <c r="Q88" s="7"/>
      <c r="R88" s="4"/>
    </row>
    <row r="89" spans="1:18" ht="24">
      <c r="A89" s="1"/>
      <c r="B89" s="2"/>
      <c r="C89" s="8"/>
      <c r="D89" s="9" t="str">
        <f>+[239]INICIO!$C$8</f>
        <v>Análisis de Precios Unitarios- Secretaria de Planeación y Obras Publicas de Cubará, Boyacá.</v>
      </c>
      <c r="E89" s="10"/>
      <c r="F89" s="10"/>
      <c r="G89" s="10"/>
      <c r="H89" s="11"/>
      <c r="I89" s="12"/>
      <c r="J89" s="12"/>
      <c r="K89" s="12"/>
      <c r="L89" s="12"/>
      <c r="M89" s="12"/>
      <c r="N89" s="12"/>
      <c r="O89" s="12"/>
      <c r="P89" s="12"/>
      <c r="Q89" s="13"/>
      <c r="R89" s="4"/>
    </row>
    <row r="90" spans="1:18">
      <c r="A90" s="1"/>
      <c r="B90" s="2"/>
      <c r="C90" s="8"/>
      <c r="D90" s="14" t="s">
        <v>0</v>
      </c>
      <c r="E90" s="15" t="str">
        <f>+[239]INICIO!$C$7</f>
        <v>CCE-EICP-FM-14</v>
      </c>
      <c r="F90" s="16"/>
      <c r="G90" s="17" t="str">
        <f>+[239]INICIO!$B$6</f>
        <v>VERSIÓN</v>
      </c>
      <c r="H90" s="14">
        <f>+[239]INICIO!$C$6</f>
        <v>1</v>
      </c>
      <c r="I90" s="12"/>
      <c r="J90" s="12"/>
      <c r="K90" s="12"/>
      <c r="L90" s="12"/>
      <c r="M90" s="12"/>
      <c r="N90" s="12"/>
      <c r="O90" s="12"/>
      <c r="P90" s="12"/>
      <c r="Q90" s="13"/>
      <c r="R90" s="4"/>
    </row>
    <row r="91" spans="1:18">
      <c r="A91" s="1"/>
      <c r="B91" s="2"/>
      <c r="C91" s="8"/>
      <c r="D91" s="18"/>
      <c r="E91" s="19"/>
      <c r="F91" s="18"/>
      <c r="G91" s="19"/>
      <c r="H91" s="12"/>
      <c r="I91" s="12"/>
      <c r="J91" s="12"/>
      <c r="K91" s="12"/>
      <c r="L91" s="12"/>
      <c r="M91" s="12"/>
      <c r="N91" s="12"/>
      <c r="O91" s="12"/>
      <c r="P91" s="12"/>
      <c r="Q91" s="13"/>
      <c r="R91" s="4"/>
    </row>
    <row r="92" spans="1:18" ht="15.75" thickBot="1">
      <c r="A92" s="1"/>
      <c r="B92" s="2"/>
      <c r="C92" s="8"/>
      <c r="D92" s="20"/>
      <c r="E92" s="20"/>
      <c r="F92" s="20"/>
      <c r="G92" s="20"/>
      <c r="H92" s="20"/>
      <c r="I92" s="20"/>
      <c r="J92" s="20"/>
      <c r="K92" s="20"/>
      <c r="L92" s="20"/>
      <c r="M92" s="20"/>
      <c r="N92" s="20"/>
      <c r="O92" s="20"/>
      <c r="P92" s="20"/>
      <c r="Q92" s="13"/>
      <c r="R92" s="4"/>
    </row>
    <row r="93" spans="1:18">
      <c r="A93" s="1"/>
      <c r="B93" s="2"/>
      <c r="C93" s="8"/>
      <c r="D93" s="21"/>
      <c r="E93" s="22"/>
      <c r="F93" s="23"/>
      <c r="G93" s="23"/>
      <c r="H93" s="23"/>
      <c r="I93" s="23"/>
      <c r="J93" s="23"/>
      <c r="K93" s="23"/>
      <c r="L93" s="24"/>
      <c r="M93" s="25"/>
      <c r="N93" s="26"/>
      <c r="O93" s="26"/>
      <c r="P93" s="27"/>
      <c r="Q93" s="28"/>
      <c r="R93" s="4"/>
    </row>
    <row r="94" spans="1:18">
      <c r="A94" s="1"/>
      <c r="B94" s="2"/>
      <c r="C94" s="8"/>
      <c r="D94" s="29"/>
      <c r="E94" s="30" t="s">
        <v>1</v>
      </c>
      <c r="F94" s="31"/>
      <c r="G94" s="31"/>
      <c r="H94" s="31"/>
      <c r="I94" s="31"/>
      <c r="J94" s="31"/>
      <c r="K94" s="31"/>
      <c r="L94" s="32"/>
      <c r="M94" s="33"/>
      <c r="N94" s="34"/>
      <c r="O94" s="34"/>
      <c r="P94" s="35"/>
      <c r="Q94" s="28"/>
      <c r="R94" s="4"/>
    </row>
    <row r="95" spans="1:18">
      <c r="A95" s="1"/>
      <c r="B95" s="2"/>
      <c r="C95" s="8"/>
      <c r="D95" s="29"/>
      <c r="E95" s="36"/>
      <c r="F95" s="37"/>
      <c r="G95" s="37"/>
      <c r="H95" s="37"/>
      <c r="I95" s="37"/>
      <c r="J95" s="37"/>
      <c r="K95" s="37"/>
      <c r="L95" s="38"/>
      <c r="M95" s="39"/>
      <c r="N95" s="40"/>
      <c r="O95" s="41"/>
      <c r="P95" s="42"/>
      <c r="Q95" s="28"/>
      <c r="R95" s="4"/>
    </row>
    <row r="96" spans="1:18">
      <c r="A96" s="1"/>
      <c r="B96" s="2"/>
      <c r="C96" s="8"/>
      <c r="D96" s="29"/>
      <c r="E96" s="36"/>
      <c r="F96" s="37"/>
      <c r="G96" s="37"/>
      <c r="H96" s="37"/>
      <c r="I96" s="37"/>
      <c r="J96" s="37"/>
      <c r="K96" s="37"/>
      <c r="L96" s="38"/>
      <c r="M96" s="43" t="s">
        <v>2</v>
      </c>
      <c r="N96" s="44"/>
      <c r="O96" s="45">
        <f>+[239]INICIO!$C$6</f>
        <v>1</v>
      </c>
      <c r="P96" s="46"/>
      <c r="Q96" s="28"/>
      <c r="R96" s="4"/>
    </row>
    <row r="97" spans="1:18">
      <c r="A97" s="1"/>
      <c r="B97" s="2"/>
      <c r="C97" s="8"/>
      <c r="D97" s="29"/>
      <c r="E97" s="36"/>
      <c r="F97" s="37"/>
      <c r="G97" s="37"/>
      <c r="H97" s="37"/>
      <c r="I97" s="37"/>
      <c r="J97" s="37"/>
      <c r="K97" s="37"/>
      <c r="L97" s="38"/>
      <c r="M97" s="47"/>
      <c r="N97" s="48"/>
      <c r="O97" s="49"/>
      <c r="P97" s="50"/>
      <c r="Q97" s="51"/>
      <c r="R97" s="4"/>
    </row>
    <row r="98" spans="1:18">
      <c r="A98" s="1"/>
      <c r="B98" s="2"/>
      <c r="C98" s="8"/>
      <c r="D98" s="29"/>
      <c r="E98" s="52"/>
      <c r="F98" s="53"/>
      <c r="G98" s="53"/>
      <c r="H98" s="53"/>
      <c r="I98" s="53"/>
      <c r="J98" s="53"/>
      <c r="K98" s="53"/>
      <c r="L98" s="54"/>
      <c r="M98" s="39"/>
      <c r="N98" s="55"/>
      <c r="O98" s="55"/>
      <c r="P98" s="56"/>
      <c r="Q98" s="28"/>
      <c r="R98" s="4"/>
    </row>
    <row r="99" spans="1:18">
      <c r="A99" s="1"/>
      <c r="B99" s="2"/>
      <c r="C99" s="8"/>
      <c r="D99" s="29"/>
      <c r="E99" s="52"/>
      <c r="F99" s="53"/>
      <c r="G99" s="53"/>
      <c r="H99" s="53"/>
      <c r="I99" s="53"/>
      <c r="J99" s="53"/>
      <c r="K99" s="53"/>
      <c r="L99" s="54"/>
      <c r="M99" s="43" t="s">
        <v>3</v>
      </c>
      <c r="N99" s="43" t="str">
        <f>+VLOOKUP(D110,'PRESUPUESTO OFICIAL '!C:Q,9,FALSE)</f>
        <v>17</v>
      </c>
      <c r="O99" s="43" t="s">
        <v>4</v>
      </c>
      <c r="P99" s="508" t="str">
        <f>+'PRESUPUESTO OFICIAL '!$M$122</f>
        <v>62</v>
      </c>
      <c r="Q99" s="28"/>
      <c r="R99" s="4"/>
    </row>
    <row r="100" spans="1:18">
      <c r="A100" s="1"/>
      <c r="B100" s="2"/>
      <c r="C100" s="8"/>
      <c r="D100" s="29"/>
      <c r="E100" s="30" t="s">
        <v>5</v>
      </c>
      <c r="F100" s="31"/>
      <c r="G100" s="31"/>
      <c r="H100" s="31"/>
      <c r="I100" s="31"/>
      <c r="J100" s="31"/>
      <c r="K100" s="31"/>
      <c r="L100" s="32"/>
      <c r="M100" s="43"/>
      <c r="N100" s="57"/>
      <c r="O100" s="57"/>
      <c r="P100" s="58"/>
      <c r="Q100" s="28"/>
      <c r="R100" s="4"/>
    </row>
    <row r="101" spans="1:18" ht="15.75" thickBot="1">
      <c r="A101" s="1"/>
      <c r="B101" s="2"/>
      <c r="C101" s="8"/>
      <c r="D101" s="59"/>
      <c r="E101" s="60"/>
      <c r="F101" s="60"/>
      <c r="G101" s="60"/>
      <c r="H101" s="60"/>
      <c r="I101" s="60"/>
      <c r="J101" s="60"/>
      <c r="K101" s="60"/>
      <c r="L101" s="60"/>
      <c r="M101" s="60"/>
      <c r="N101" s="61"/>
      <c r="O101" s="61"/>
      <c r="P101" s="62"/>
      <c r="Q101" s="63"/>
      <c r="R101" s="4"/>
    </row>
    <row r="102" spans="1:18">
      <c r="A102" s="1"/>
      <c r="B102" s="2"/>
      <c r="C102" s="8"/>
      <c r="D102" s="64"/>
      <c r="E102" s="65"/>
      <c r="F102" s="65"/>
      <c r="G102" s="65"/>
      <c r="H102" s="65"/>
      <c r="I102" s="65"/>
      <c r="J102" s="65"/>
      <c r="K102" s="65"/>
      <c r="L102" s="65"/>
      <c r="M102" s="66" t="s">
        <v>6</v>
      </c>
      <c r="N102" s="66" t="s">
        <v>7</v>
      </c>
      <c r="O102" s="66" t="s">
        <v>8</v>
      </c>
      <c r="P102" s="67" t="s">
        <v>9</v>
      </c>
      <c r="Q102" s="51"/>
      <c r="R102" s="4"/>
    </row>
    <row r="103" spans="1:18">
      <c r="A103" s="1"/>
      <c r="B103" s="2"/>
      <c r="C103" s="8"/>
      <c r="D103" s="68"/>
      <c r="E103" s="69"/>
      <c r="F103" s="69"/>
      <c r="G103" s="69"/>
      <c r="H103" s="69"/>
      <c r="I103" s="69"/>
      <c r="J103" s="69"/>
      <c r="K103" s="69"/>
      <c r="L103" s="69"/>
      <c r="M103" s="70"/>
      <c r="N103" s="71">
        <f>+Hoja2!B$5</f>
        <v>5</v>
      </c>
      <c r="O103" s="71">
        <f>+Hoja2!C$5</f>
        <v>8</v>
      </c>
      <c r="P103" s="72">
        <f>+Hoja2!D$5</f>
        <v>2026</v>
      </c>
      <c r="Q103" s="73"/>
      <c r="R103" s="4"/>
    </row>
    <row r="104" spans="1:18">
      <c r="A104" s="1"/>
      <c r="B104" s="2"/>
      <c r="C104" s="8"/>
      <c r="D104" s="74"/>
      <c r="E104" s="37"/>
      <c r="F104" s="37"/>
      <c r="G104" s="37"/>
      <c r="H104" s="69"/>
      <c r="I104" s="69"/>
      <c r="J104" s="69"/>
      <c r="K104" s="20"/>
      <c r="L104" s="69"/>
      <c r="M104" s="75"/>
      <c r="N104" s="20"/>
      <c r="O104" s="20"/>
      <c r="P104" s="76"/>
      <c r="Q104" s="73"/>
      <c r="R104" s="4"/>
    </row>
    <row r="105" spans="1:18" ht="15.75" thickBot="1">
      <c r="A105" s="1"/>
      <c r="B105" s="2"/>
      <c r="C105" s="8"/>
      <c r="D105" s="77"/>
      <c r="E105" s="78"/>
      <c r="F105" s="78"/>
      <c r="G105" s="78"/>
      <c r="H105" s="78"/>
      <c r="I105" s="78"/>
      <c r="J105" s="78"/>
      <c r="K105" s="78"/>
      <c r="L105" s="78"/>
      <c r="M105" s="78"/>
      <c r="N105" s="78"/>
      <c r="O105" s="78"/>
      <c r="P105" s="79"/>
      <c r="Q105" s="13"/>
      <c r="R105" s="4"/>
    </row>
    <row r="106" spans="1:18" ht="15.75" thickBot="1">
      <c r="A106" s="1"/>
      <c r="B106" s="2"/>
      <c r="C106" s="8"/>
      <c r="D106" s="80"/>
      <c r="E106" s="81"/>
      <c r="F106" s="81"/>
      <c r="G106" s="81"/>
      <c r="H106" s="81"/>
      <c r="I106" s="81"/>
      <c r="J106" s="20"/>
      <c r="K106" s="20"/>
      <c r="L106" s="81"/>
      <c r="M106" s="81"/>
      <c r="N106" s="81"/>
      <c r="O106" s="81"/>
      <c r="P106" s="82"/>
      <c r="Q106" s="13"/>
      <c r="R106" s="4"/>
    </row>
    <row r="107" spans="1:18">
      <c r="A107" s="1"/>
      <c r="B107" s="2"/>
      <c r="C107" s="8"/>
      <c r="D107" s="83" t="s">
        <v>10</v>
      </c>
      <c r="E107" s="84"/>
      <c r="F107" s="84"/>
      <c r="G107" s="84"/>
      <c r="H107" s="84"/>
      <c r="I107" s="84"/>
      <c r="J107" s="84"/>
      <c r="K107" s="84"/>
      <c r="L107" s="84"/>
      <c r="M107" s="84"/>
      <c r="N107" s="84"/>
      <c r="O107" s="84"/>
      <c r="P107" s="85"/>
      <c r="Q107" s="86"/>
      <c r="R107" s="4"/>
    </row>
    <row r="108" spans="1:18" ht="15.75" thickBot="1">
      <c r="A108" s="1"/>
      <c r="B108" s="2"/>
      <c r="C108" s="8"/>
      <c r="D108" s="87"/>
      <c r="E108" s="20"/>
      <c r="F108" s="20"/>
      <c r="G108" s="20"/>
      <c r="H108" s="20"/>
      <c r="I108" s="20"/>
      <c r="J108" s="20"/>
      <c r="K108" s="20"/>
      <c r="L108" s="20"/>
      <c r="M108" s="20"/>
      <c r="N108" s="20"/>
      <c r="O108" s="20"/>
      <c r="P108" s="88"/>
      <c r="Q108" s="13"/>
      <c r="R108" s="4"/>
    </row>
    <row r="109" spans="1:18">
      <c r="A109" s="1" t="s">
        <v>11</v>
      </c>
      <c r="B109" s="2" t="s">
        <v>12</v>
      </c>
      <c r="C109" s="8"/>
      <c r="D109" s="89" t="s">
        <v>13</v>
      </c>
      <c r="E109" s="90" t="s">
        <v>14</v>
      </c>
      <c r="F109" s="90"/>
      <c r="G109" s="90"/>
      <c r="H109" s="90"/>
      <c r="I109" s="90"/>
      <c r="J109" s="90"/>
      <c r="K109" s="90"/>
      <c r="L109" s="90"/>
      <c r="M109" s="90"/>
      <c r="N109" s="91" t="s">
        <v>15</v>
      </c>
      <c r="O109" s="91"/>
      <c r="P109" s="92" t="s">
        <v>16</v>
      </c>
      <c r="Q109" s="93"/>
      <c r="R109" s="4"/>
    </row>
    <row r="110" spans="1:18" ht="15.75" thickBot="1">
      <c r="A110" s="1"/>
      <c r="B110" s="2"/>
      <c r="C110" s="8"/>
      <c r="D110" s="349">
        <f>+'PRESUPUESTO OFICIAL '!C31</f>
        <v>2.02</v>
      </c>
      <c r="E110" s="94" t="str">
        <f>+VLOOKUP(D110,'PRESUPUESTO OFICIAL '!C:H,2,FALSE)</f>
        <v>ZAPATA CUADRADA EN CONCRETO f'c = 3000 PSI (21MPa).</v>
      </c>
      <c r="F110" s="94"/>
      <c r="G110" s="94"/>
      <c r="H110" s="94"/>
      <c r="I110" s="94"/>
      <c r="J110" s="94"/>
      <c r="K110" s="94"/>
      <c r="L110" s="94"/>
      <c r="M110" s="94"/>
      <c r="N110" s="94" t="str">
        <f>+VLOOKUP(D110,'PRESUPUESTO OFICIAL '!C:H,3,FALSE)</f>
        <v>M3</v>
      </c>
      <c r="O110" s="95"/>
      <c r="P110" s="96">
        <f>+VLOOKUP(D110,'PRESUPUESTO OFICIAL '!C:H,4,FALSE)</f>
        <v>1.0900000000000001</v>
      </c>
      <c r="Q110" s="97"/>
      <c r="R110" s="98">
        <f>+P162</f>
        <v>1763453</v>
      </c>
    </row>
    <row r="111" spans="1:18" ht="15.75" thickBot="1">
      <c r="A111" s="1"/>
      <c r="B111" s="2"/>
      <c r="C111" s="8"/>
      <c r="D111" s="74" t="s">
        <v>17</v>
      </c>
      <c r="E111" s="37"/>
      <c r="F111" s="37"/>
      <c r="G111" s="37"/>
      <c r="H111" s="37"/>
      <c r="I111" s="37"/>
      <c r="J111" s="37"/>
      <c r="K111" s="37"/>
      <c r="L111" s="37"/>
      <c r="M111" s="37"/>
      <c r="N111" s="37"/>
      <c r="O111" s="37"/>
      <c r="P111" s="99"/>
      <c r="Q111" s="100"/>
      <c r="R111" s="4"/>
    </row>
    <row r="112" spans="1:18">
      <c r="A112" s="1"/>
      <c r="B112" s="2"/>
      <c r="C112" s="8"/>
      <c r="D112" s="101" t="s">
        <v>14</v>
      </c>
      <c r="E112" s="102"/>
      <c r="F112" s="102"/>
      <c r="G112" s="102"/>
      <c r="H112" s="103"/>
      <c r="I112" s="104" t="s">
        <v>18</v>
      </c>
      <c r="J112" s="102"/>
      <c r="K112" s="104" t="s">
        <v>19</v>
      </c>
      <c r="L112" s="105"/>
      <c r="M112" s="106" t="s">
        <v>20</v>
      </c>
      <c r="N112" s="104" t="s">
        <v>21</v>
      </c>
      <c r="O112" s="105"/>
      <c r="P112" s="107" t="s">
        <v>22</v>
      </c>
      <c r="Q112" s="108"/>
      <c r="R112" s="4"/>
    </row>
    <row r="113" spans="1:18">
      <c r="A113" s="1" t="e">
        <f>[239]INDICE!#REF!</f>
        <v>#REF!</v>
      </c>
      <c r="B113" s="2" t="s">
        <v>23</v>
      </c>
      <c r="C113" s="8"/>
      <c r="D113" s="109" t="str">
        <f>IFERROR(INDEX([239]EQUIPOS!B:B,MATCH(B113,[239]EQUIPOS!A:A,0)),"")</f>
        <v>HERRAMIENTA MENOR (% M.O)</v>
      </c>
      <c r="E113" s="110"/>
      <c r="F113" s="110"/>
      <c r="G113" s="110"/>
      <c r="H113" s="111"/>
      <c r="I113" s="112"/>
      <c r="J113" s="111"/>
      <c r="K113" s="113" t="str">
        <f>IFERROR(INDEX([239]EQUIPOS!C:C,MATCH(B113,[239]EQUIPOS!A:A,0)),"")</f>
        <v>%</v>
      </c>
      <c r="L113" s="114"/>
      <c r="M113" s="115">
        <f>IFERROR(IF(D113="HERRAMIENTA MENOR (% M.O)",P152,INDEX([239]EQUIPOS!D:D,MATCH(B113,[239]EQUIPOS!A:A,0))),"")</f>
        <v>388043.5</v>
      </c>
      <c r="N113" s="116">
        <v>10</v>
      </c>
      <c r="O113" s="117"/>
      <c r="P113" s="118">
        <f t="shared" ref="P113:P118" si="3">IFERROR(ROUND(IF(D113="HERRAMIENTA MENOR (% M.O)",N113%*M113,M113/N113),2)," ")</f>
        <v>38804.35</v>
      </c>
      <c r="Q113" s="119"/>
      <c r="R113" s="4"/>
    </row>
    <row r="114" spans="1:18">
      <c r="A114" s="1">
        <f>+$A$2858</f>
        <v>0</v>
      </c>
      <c r="B114" s="2" t="s">
        <v>271</v>
      </c>
      <c r="C114" s="8"/>
      <c r="D114" s="109" t="str">
        <f>IFERROR(INDEX([239]EQUIPOS!B:B,MATCH(B114,[239]EQUIPOS!A:A,0)),"")</f>
        <v>VIBRADOR PORTÁTIL PARA CONCRETO</v>
      </c>
      <c r="E114" s="110"/>
      <c r="F114" s="110"/>
      <c r="G114" s="110"/>
      <c r="H114" s="111"/>
      <c r="I114" s="112"/>
      <c r="J114" s="111"/>
      <c r="K114" s="113" t="str">
        <f>IFERROR(INDEX([239]EQUIPOS!C:C,MATCH(B114,[239]EQUIPOS!A:A,0)),"")</f>
        <v>DIA</v>
      </c>
      <c r="L114" s="114"/>
      <c r="M114" s="115">
        <f>IFERROR(IF(D114="HERRAMIENTA MENOR (% M.O)",P153,INDEX([239]EQUIPOS!D:D,MATCH(B114,[239]EQUIPOS!A:A,0))),"")</f>
        <v>89075</v>
      </c>
      <c r="N114" s="116">
        <v>33.33</v>
      </c>
      <c r="O114" s="117"/>
      <c r="P114" s="118">
        <f t="shared" si="3"/>
        <v>2672.52</v>
      </c>
      <c r="Q114" s="119"/>
      <c r="R114" s="4"/>
    </row>
    <row r="115" spans="1:18">
      <c r="A115" s="1">
        <f t="shared" ref="A115:A153" si="4">+A114</f>
        <v>0</v>
      </c>
      <c r="B115" s="2"/>
      <c r="C115" s="8"/>
      <c r="D115" s="109" t="str">
        <f>IFERROR(INDEX([239]EQUIPOS!B:B,MATCH(B115,[239]EQUIPOS!A:A,0)),"")</f>
        <v/>
      </c>
      <c r="E115" s="110"/>
      <c r="F115" s="110"/>
      <c r="G115" s="110"/>
      <c r="H115" s="111"/>
      <c r="I115" s="120"/>
      <c r="J115" s="121"/>
      <c r="K115" s="113" t="str">
        <f>IFERROR(INDEX([239]EQUIPOS!C:C,MATCH(B115,[239]EQUIPOS!A:A,0)),"")</f>
        <v/>
      </c>
      <c r="L115" s="114"/>
      <c r="M115" s="115" t="str">
        <f>IFERROR(IF(D115="HERRAMIENTA MENOR (% M.O)",P154,INDEX([239]EQUIPOS!D:D,MATCH(B115,[239]EQUIPOS!A:A,0))),"")</f>
        <v/>
      </c>
      <c r="N115" s="116"/>
      <c r="O115" s="117"/>
      <c r="P115" s="118" t="str">
        <f t="shared" si="3"/>
        <v xml:space="preserve"> </v>
      </c>
      <c r="Q115" s="119"/>
      <c r="R115" s="4"/>
    </row>
    <row r="116" spans="1:18">
      <c r="A116" s="1">
        <f t="shared" si="4"/>
        <v>0</v>
      </c>
      <c r="B116" s="2"/>
      <c r="C116" s="8"/>
      <c r="D116" s="109" t="str">
        <f>IFERROR(INDEX([239]EQUIPOS!B:B,MATCH(B116,[239]EQUIPOS!A:A,0)),"")</f>
        <v/>
      </c>
      <c r="E116" s="110"/>
      <c r="F116" s="110"/>
      <c r="G116" s="110"/>
      <c r="H116" s="111"/>
      <c r="I116" s="120"/>
      <c r="J116" s="121"/>
      <c r="K116" s="113" t="str">
        <f>IFERROR(INDEX([239]EQUIPOS!C:C,MATCH(B116,[239]EQUIPOS!A:A,0)),"")</f>
        <v/>
      </c>
      <c r="L116" s="114"/>
      <c r="M116" s="115" t="str">
        <f>IFERROR(IF(D116="HERRAMIENTA MENOR (% M.O)",P155,INDEX([239]EQUIPOS!D:D,MATCH(B116,[239]EQUIPOS!A:A,0))),"")</f>
        <v/>
      </c>
      <c r="N116" s="116"/>
      <c r="O116" s="117"/>
      <c r="P116" s="118" t="str">
        <f t="shared" si="3"/>
        <v xml:space="preserve"> </v>
      </c>
      <c r="Q116" s="119"/>
      <c r="R116" s="4"/>
    </row>
    <row r="117" spans="1:18">
      <c r="A117" s="1">
        <f t="shared" si="4"/>
        <v>0</v>
      </c>
      <c r="B117" s="2"/>
      <c r="C117" s="8"/>
      <c r="D117" s="109" t="str">
        <f>IFERROR(INDEX([239]EQUIPOS!B:B,MATCH(B117,[239]EQUIPOS!A:A,0)),"")</f>
        <v/>
      </c>
      <c r="E117" s="110"/>
      <c r="F117" s="110"/>
      <c r="G117" s="110"/>
      <c r="H117" s="111"/>
      <c r="I117" s="112"/>
      <c r="J117" s="111"/>
      <c r="K117" s="113" t="str">
        <f>IFERROR(INDEX([239]EQUIPOS!C:C,MATCH(B117,[239]EQUIPOS!A:A,0)),"")</f>
        <v/>
      </c>
      <c r="L117" s="114"/>
      <c r="M117" s="115" t="str">
        <f>IFERROR(IF(D117="HERRAMIENTA MENOR (% M.O)",P156,INDEX([239]EQUIPOS!D:D,MATCH(B117,[239]EQUIPOS!A:A,0))),"")</f>
        <v/>
      </c>
      <c r="N117" s="116"/>
      <c r="O117" s="117"/>
      <c r="P117" s="118" t="str">
        <f t="shared" si="3"/>
        <v xml:space="preserve"> </v>
      </c>
      <c r="Q117" s="119"/>
      <c r="R117" s="4"/>
    </row>
    <row r="118" spans="1:18" ht="15.75" thickBot="1">
      <c r="A118" s="1">
        <f t="shared" si="4"/>
        <v>0</v>
      </c>
      <c r="B118" s="2"/>
      <c r="C118" s="8"/>
      <c r="D118" s="109" t="str">
        <f>IFERROR(INDEX([239]EQUIPOS!B:B,MATCH(B118,[239]EQUIPOS!A:A,0)),"")</f>
        <v/>
      </c>
      <c r="E118" s="78"/>
      <c r="F118" s="78"/>
      <c r="G118" s="78"/>
      <c r="H118" s="122"/>
      <c r="I118" s="123"/>
      <c r="J118" s="122"/>
      <c r="K118" s="113" t="str">
        <f>IFERROR(INDEX([239]EQUIPOS!C:C,MATCH(B118,[239]EQUIPOS!A:A,0)),"")</f>
        <v/>
      </c>
      <c r="L118" s="124"/>
      <c r="M118" s="115" t="str">
        <f>IFERROR(IF(D118="HERRAMIENTA MENOR (% M.O)",P157,INDEX([239]EQUIPOS!D:D,MATCH(B118,[239]EQUIPOS!A:A,0))),"")</f>
        <v/>
      </c>
      <c r="N118" s="125"/>
      <c r="O118" s="126"/>
      <c r="P118" s="127" t="str">
        <f t="shared" si="3"/>
        <v xml:space="preserve"> </v>
      </c>
      <c r="Q118" s="119"/>
      <c r="R118" s="4"/>
    </row>
    <row r="119" spans="1:18" ht="15.75" thickBot="1">
      <c r="A119" s="1">
        <f t="shared" si="4"/>
        <v>0</v>
      </c>
      <c r="B119" s="2"/>
      <c r="C119" s="8"/>
      <c r="D119" s="128" t="s">
        <v>24</v>
      </c>
      <c r="E119" s="129"/>
      <c r="F119" s="129"/>
      <c r="G119" s="129"/>
      <c r="H119" s="129"/>
      <c r="I119" s="129"/>
      <c r="J119" s="129"/>
      <c r="K119" s="129"/>
      <c r="L119" s="129"/>
      <c r="M119" s="129"/>
      <c r="N119" s="129"/>
      <c r="O119" s="130"/>
      <c r="P119" s="131">
        <f>SUM(P113:P118)</f>
        <v>41476.869999999995</v>
      </c>
      <c r="Q119" s="132"/>
      <c r="R119" s="4"/>
    </row>
    <row r="120" spans="1:18" ht="15.75" thickBot="1">
      <c r="A120" s="1">
        <f t="shared" si="4"/>
        <v>0</v>
      </c>
      <c r="B120" s="2"/>
      <c r="C120" s="8"/>
      <c r="D120" s="74" t="s">
        <v>25</v>
      </c>
      <c r="E120" s="37"/>
      <c r="F120" s="37"/>
      <c r="G120" s="37"/>
      <c r="H120" s="37"/>
      <c r="I120" s="37"/>
      <c r="J120" s="37"/>
      <c r="K120" s="37"/>
      <c r="L120" s="37"/>
      <c r="M120" s="37"/>
      <c r="N120" s="37"/>
      <c r="O120" s="37"/>
      <c r="P120" s="99"/>
      <c r="Q120" s="100"/>
      <c r="R120" s="4"/>
    </row>
    <row r="121" spans="1:18">
      <c r="A121" s="1">
        <f t="shared" si="4"/>
        <v>0</v>
      </c>
      <c r="B121" s="2"/>
      <c r="C121" s="8"/>
      <c r="D121" s="101" t="s">
        <v>14</v>
      </c>
      <c r="E121" s="133"/>
      <c r="F121" s="133"/>
      <c r="G121" s="133"/>
      <c r="H121" s="133"/>
      <c r="I121" s="133"/>
      <c r="J121" s="133"/>
      <c r="K121" s="105"/>
      <c r="L121" s="134" t="s">
        <v>15</v>
      </c>
      <c r="M121" s="106" t="s">
        <v>16</v>
      </c>
      <c r="N121" s="104" t="s">
        <v>26</v>
      </c>
      <c r="O121" s="105"/>
      <c r="P121" s="107" t="s">
        <v>22</v>
      </c>
      <c r="Q121" s="108"/>
      <c r="R121" s="4"/>
    </row>
    <row r="122" spans="1:18">
      <c r="A122" s="1">
        <f t="shared" si="4"/>
        <v>0</v>
      </c>
      <c r="B122" s="2" t="s">
        <v>272</v>
      </c>
      <c r="C122" s="8"/>
      <c r="D122" s="109" t="str">
        <f>IFERROR(INDEX([239]MATERIALES!C:C,MATCH(B122,[239]MATERIALES!B:B,0)),"")</f>
        <v>CONCRETO DE 3000 PSI (1:2:3)</v>
      </c>
      <c r="E122" s="135"/>
      <c r="F122" s="135"/>
      <c r="G122" s="135"/>
      <c r="H122" s="135"/>
      <c r="I122" s="135"/>
      <c r="J122" s="135"/>
      <c r="K122" s="136"/>
      <c r="L122" s="137" t="str">
        <f>IFERROR(INDEX([239]MATERIALES!D:D,MATCH(B122,[239]MATERIALES!B:B,0)),"")</f>
        <v>M3</v>
      </c>
      <c r="M122" s="138">
        <v>1</v>
      </c>
      <c r="N122" s="139">
        <f>IFERROR(INDEX([239]MATERIALES!P:P,MATCH(B122,[239]MATERIALES!B:B,0)),"")</f>
        <v>765149.14</v>
      </c>
      <c r="O122" s="140"/>
      <c r="P122" s="118">
        <f>IFERROR(ROUND(N122*M122,2),"")</f>
        <v>765149.14</v>
      </c>
      <c r="Q122" s="119"/>
      <c r="R122" s="4"/>
    </row>
    <row r="123" spans="1:18">
      <c r="A123" s="1">
        <f t="shared" si="4"/>
        <v>0</v>
      </c>
      <c r="B123" s="2" t="s">
        <v>273</v>
      </c>
      <c r="C123" s="8"/>
      <c r="D123" s="109" t="str">
        <f>IFERROR(INDEX([239]MATERIALES!C:C,MATCH(B123,[239]MATERIALES!B:B,0)),"")</f>
        <v>TABLA BURRA ORDINARIA 10" x 1" x 3m</v>
      </c>
      <c r="E123" s="135"/>
      <c r="F123" s="135"/>
      <c r="G123" s="135"/>
      <c r="H123" s="135"/>
      <c r="I123" s="135"/>
      <c r="J123" s="135"/>
      <c r="K123" s="136"/>
      <c r="L123" s="137" t="str">
        <f>IFERROR(INDEX([239]MATERIALES!D:D,MATCH(B123,[239]MATERIALES!B:B,0)),"")</f>
        <v>UND</v>
      </c>
      <c r="M123" s="138">
        <v>2</v>
      </c>
      <c r="N123" s="139">
        <f>IFERROR(INDEX([239]MATERIALES!P:P,MATCH(B123,[239]MATERIALES!B:B,0)),"")</f>
        <v>22000</v>
      </c>
      <c r="O123" s="140"/>
      <c r="P123" s="118">
        <f>IFERROR(ROUND(N123*M123,2),"")</f>
        <v>44000</v>
      </c>
      <c r="Q123" s="119"/>
      <c r="R123" s="4"/>
    </row>
    <row r="124" spans="1:18">
      <c r="A124" s="1">
        <f t="shared" si="4"/>
        <v>0</v>
      </c>
      <c r="B124" s="2" t="s">
        <v>274</v>
      </c>
      <c r="C124" s="8"/>
      <c r="D124" s="109" t="str">
        <f>IFERROR(INDEX([239]MATERIALES!C:C,MATCH(B124,[239]MATERIALES!B:B,0)),"")</f>
        <v>LISTÓN DE MADERA 2" x 2" x 3 m</v>
      </c>
      <c r="E124" s="110"/>
      <c r="F124" s="110"/>
      <c r="G124" s="110"/>
      <c r="H124" s="110"/>
      <c r="I124" s="110"/>
      <c r="J124" s="110"/>
      <c r="K124" s="111"/>
      <c r="L124" s="137" t="str">
        <f>IFERROR(INDEX([239]MATERIALES!D:D,MATCH(B124,[239]MATERIALES!B:B,0)),"")</f>
        <v>UND</v>
      </c>
      <c r="M124" s="138">
        <v>4</v>
      </c>
      <c r="N124" s="139">
        <f>IFERROR(INDEX([239]MATERIALES!P:P,MATCH(B124,[239]MATERIALES!B:B,0)),"")</f>
        <v>9900</v>
      </c>
      <c r="O124" s="140"/>
      <c r="P124" s="118">
        <f>IFERROR(ROUND(N124*M124,2),"")</f>
        <v>39600</v>
      </c>
      <c r="Q124" s="119"/>
      <c r="R124" s="4"/>
    </row>
    <row r="125" spans="1:18">
      <c r="A125" s="1">
        <f t="shared" si="4"/>
        <v>0</v>
      </c>
      <c r="B125" s="2" t="s">
        <v>275</v>
      </c>
      <c r="C125" s="8"/>
      <c r="D125" s="109" t="str">
        <f>IFERROR(INDEX([239]MATERIALES!C:C,MATCH(B125,[239]MATERIALES!B:B,0)),"")</f>
        <v>PUNTILLA 2-1/2"</v>
      </c>
      <c r="E125" s="110"/>
      <c r="F125" s="110"/>
      <c r="G125" s="110"/>
      <c r="H125" s="110"/>
      <c r="I125" s="110"/>
      <c r="J125" s="110"/>
      <c r="K125" s="111"/>
      <c r="L125" s="137" t="str">
        <f>IFERROR(INDEX([239]MATERIALES!D:D,MATCH(B125,[239]MATERIALES!B:B,0)),"")</f>
        <v>LB</v>
      </c>
      <c r="M125" s="138">
        <v>0.75</v>
      </c>
      <c r="N125" s="139">
        <f>IFERROR(INDEX([239]MATERIALES!P:P,MATCH(B125,[239]MATERIALES!B:B,0)),"")</f>
        <v>6600</v>
      </c>
      <c r="O125" s="140"/>
      <c r="P125" s="118">
        <f>IFERROR(ROUND(N125*M125,2),"")</f>
        <v>4950</v>
      </c>
      <c r="Q125" s="119"/>
      <c r="R125" s="4"/>
    </row>
    <row r="126" spans="1:18">
      <c r="A126" s="1">
        <f t="shared" si="4"/>
        <v>0</v>
      </c>
      <c r="B126" s="2"/>
      <c r="C126" s="8"/>
      <c r="D126" s="109" t="str">
        <f>IFERROR(INDEX([239]MATERIALES!C:C,MATCH(B126,[239]MATERIALES!B:B,0)),"")</f>
        <v/>
      </c>
      <c r="E126" s="110"/>
      <c r="F126" s="110"/>
      <c r="G126" s="110"/>
      <c r="H126" s="110"/>
      <c r="I126" s="110"/>
      <c r="J126" s="110"/>
      <c r="K126" s="111"/>
      <c r="L126" s="137" t="str">
        <f>IFERROR(INDEX([239]MATERIALES!D:D,MATCH(B126,[239]MATERIALES!B:B,0)),"")</f>
        <v/>
      </c>
      <c r="M126" s="138"/>
      <c r="N126" s="139" t="str">
        <f>IFERROR(INDEX([239]MATERIALES!P:P,MATCH(B126,[239]MATERIALES!B:B,0)),"")</f>
        <v/>
      </c>
      <c r="O126" s="140"/>
      <c r="P126" s="118" t="str">
        <f t="shared" ref="P126:P135" si="5">IFERROR(ROUND(N126*M126,2),"")</f>
        <v/>
      </c>
      <c r="Q126" s="119"/>
      <c r="R126" s="4"/>
    </row>
    <row r="127" spans="1:18">
      <c r="A127" s="1">
        <f t="shared" si="4"/>
        <v>0</v>
      </c>
      <c r="B127" s="2"/>
      <c r="C127" s="8"/>
      <c r="D127" s="109" t="str">
        <f>IFERROR(INDEX([239]MATERIALES!C:C,MATCH(B127,[239]MATERIALES!B:B,0)),"")</f>
        <v/>
      </c>
      <c r="E127" s="110"/>
      <c r="F127" s="110"/>
      <c r="G127" s="110"/>
      <c r="H127" s="110"/>
      <c r="I127" s="110"/>
      <c r="J127" s="110"/>
      <c r="K127" s="111"/>
      <c r="L127" s="137" t="str">
        <f>IFERROR(INDEX([239]MATERIALES!D:D,MATCH(B127,[239]MATERIALES!B:B,0)),"")</f>
        <v/>
      </c>
      <c r="M127" s="138"/>
      <c r="N127" s="139" t="str">
        <f>IFERROR(INDEX([239]MATERIALES!P:P,MATCH(B127,[239]MATERIALES!B:B,0)),"")</f>
        <v/>
      </c>
      <c r="O127" s="140"/>
      <c r="P127" s="118" t="str">
        <f t="shared" si="5"/>
        <v/>
      </c>
      <c r="Q127" s="119"/>
      <c r="R127" s="4"/>
    </row>
    <row r="128" spans="1:18">
      <c r="A128" s="1">
        <f t="shared" si="4"/>
        <v>0</v>
      </c>
      <c r="B128" s="2"/>
      <c r="C128" s="8"/>
      <c r="D128" s="109" t="str">
        <f>IFERROR(INDEX([239]MATERIALES!C:C,MATCH(B128,[239]MATERIALES!B:B,0)),"")</f>
        <v/>
      </c>
      <c r="E128" s="110"/>
      <c r="F128" s="110"/>
      <c r="G128" s="110"/>
      <c r="H128" s="110"/>
      <c r="I128" s="110"/>
      <c r="J128" s="110"/>
      <c r="K128" s="111"/>
      <c r="L128" s="137" t="str">
        <f>IFERROR(INDEX([239]MATERIALES!D:D,MATCH(B128,[239]MATERIALES!B:B,0)),"")</f>
        <v/>
      </c>
      <c r="M128" s="138"/>
      <c r="N128" s="139" t="str">
        <f>IFERROR(INDEX([239]MATERIALES!P:P,MATCH(B128,[239]MATERIALES!B:B,0)),"")</f>
        <v/>
      </c>
      <c r="O128" s="140"/>
      <c r="P128" s="118" t="str">
        <f t="shared" si="5"/>
        <v/>
      </c>
      <c r="Q128" s="119"/>
      <c r="R128" s="4"/>
    </row>
    <row r="129" spans="1:18">
      <c r="A129" s="1">
        <f t="shared" si="4"/>
        <v>0</v>
      </c>
      <c r="B129" s="2"/>
      <c r="C129" s="8"/>
      <c r="D129" s="109" t="str">
        <f>IFERROR(INDEX([239]MATERIALES!C:C,MATCH(B129,[239]MATERIALES!B:B,0)),"")</f>
        <v/>
      </c>
      <c r="E129" s="110"/>
      <c r="F129" s="110"/>
      <c r="G129" s="110"/>
      <c r="H129" s="110"/>
      <c r="I129" s="110"/>
      <c r="J129" s="110"/>
      <c r="K129" s="111"/>
      <c r="L129" s="137" t="str">
        <f>IFERROR(INDEX([239]MATERIALES!D:D,MATCH(B129,[239]MATERIALES!B:B,0)),"")</f>
        <v/>
      </c>
      <c r="M129" s="138"/>
      <c r="N129" s="139" t="str">
        <f>IFERROR(INDEX([239]MATERIALES!P:P,MATCH(B129,[239]MATERIALES!B:B,0)),"")</f>
        <v/>
      </c>
      <c r="O129" s="140"/>
      <c r="P129" s="118" t="str">
        <f t="shared" si="5"/>
        <v/>
      </c>
      <c r="Q129" s="119"/>
      <c r="R129" s="4"/>
    </row>
    <row r="130" spans="1:18">
      <c r="A130" s="1">
        <f t="shared" si="4"/>
        <v>0</v>
      </c>
      <c r="B130" s="2"/>
      <c r="C130" s="8"/>
      <c r="D130" s="109" t="str">
        <f>IFERROR(INDEX([239]MATERIALES!C:C,MATCH(B130,[239]MATERIALES!B:B,0)),"")</f>
        <v/>
      </c>
      <c r="E130" s="110"/>
      <c r="F130" s="110"/>
      <c r="G130" s="110"/>
      <c r="H130" s="110"/>
      <c r="I130" s="110"/>
      <c r="J130" s="110"/>
      <c r="K130" s="111"/>
      <c r="L130" s="137" t="str">
        <f>IFERROR(INDEX([239]MATERIALES!D:D,MATCH(B130,[239]MATERIALES!B:B,0)),"")</f>
        <v/>
      </c>
      <c r="M130" s="138"/>
      <c r="N130" s="139" t="str">
        <f>IFERROR(INDEX([239]MATERIALES!P:P,MATCH(B130,[239]MATERIALES!B:B,0)),"")</f>
        <v/>
      </c>
      <c r="O130" s="140"/>
      <c r="P130" s="118" t="str">
        <f t="shared" si="5"/>
        <v/>
      </c>
      <c r="Q130" s="119"/>
      <c r="R130" s="4"/>
    </row>
    <row r="131" spans="1:18">
      <c r="A131" s="1">
        <f t="shared" si="4"/>
        <v>0</v>
      </c>
      <c r="B131" s="2"/>
      <c r="C131" s="8"/>
      <c r="D131" s="109" t="str">
        <f>IFERROR(INDEX([239]MATERIALES!C:C,MATCH(B131,[239]MATERIALES!B:B,0)),"")</f>
        <v/>
      </c>
      <c r="E131" s="110"/>
      <c r="F131" s="110"/>
      <c r="G131" s="110"/>
      <c r="H131" s="110"/>
      <c r="I131" s="110"/>
      <c r="J131" s="110"/>
      <c r="K131" s="111"/>
      <c r="L131" s="137" t="str">
        <f>IFERROR(INDEX([239]MATERIALES!D:D,MATCH(B131,[239]MATERIALES!B:B,0)),"")</f>
        <v/>
      </c>
      <c r="M131" s="138"/>
      <c r="N131" s="139" t="str">
        <f>IFERROR(INDEX([239]MATERIALES!P:P,MATCH(B131,[239]MATERIALES!B:B,0)),"")</f>
        <v/>
      </c>
      <c r="O131" s="140"/>
      <c r="P131" s="118" t="str">
        <f t="shared" si="5"/>
        <v/>
      </c>
      <c r="Q131" s="119"/>
      <c r="R131" s="4"/>
    </row>
    <row r="132" spans="1:18">
      <c r="A132" s="1">
        <f t="shared" si="4"/>
        <v>0</v>
      </c>
      <c r="B132" s="2"/>
      <c r="C132" s="8"/>
      <c r="D132" s="109" t="str">
        <f>IFERROR(INDEX([239]MATERIALES!C:C,MATCH(B132,[239]MATERIALES!B:B,0)),"")</f>
        <v/>
      </c>
      <c r="E132" s="110"/>
      <c r="F132" s="110"/>
      <c r="G132" s="110"/>
      <c r="H132" s="110"/>
      <c r="I132" s="110"/>
      <c r="J132" s="110"/>
      <c r="K132" s="111"/>
      <c r="L132" s="137" t="str">
        <f>IFERROR(INDEX([239]MATERIALES!D:D,MATCH(B132,[239]MATERIALES!B:B,0)),"")</f>
        <v/>
      </c>
      <c r="M132" s="138"/>
      <c r="N132" s="139" t="str">
        <f>IFERROR(INDEX([239]MATERIALES!P:P,MATCH(B132,[239]MATERIALES!B:B,0)),"")</f>
        <v/>
      </c>
      <c r="O132" s="140"/>
      <c r="P132" s="118" t="str">
        <f t="shared" si="5"/>
        <v/>
      </c>
      <c r="Q132" s="119"/>
      <c r="R132" s="4"/>
    </row>
    <row r="133" spans="1:18">
      <c r="A133" s="1">
        <f t="shared" si="4"/>
        <v>0</v>
      </c>
      <c r="B133" s="2"/>
      <c r="C133" s="8"/>
      <c r="D133" s="109" t="str">
        <f>IFERROR(INDEX([239]MATERIALES!C:C,MATCH(B133,[239]MATERIALES!B:B,0)),"")</f>
        <v/>
      </c>
      <c r="E133" s="110"/>
      <c r="F133" s="110"/>
      <c r="G133" s="110"/>
      <c r="H133" s="110"/>
      <c r="I133" s="110"/>
      <c r="J133" s="110"/>
      <c r="K133" s="111"/>
      <c r="L133" s="137" t="str">
        <f>IFERROR(INDEX([239]MATERIALES!D:D,MATCH(B133,[239]MATERIALES!B:B,0)),"")</f>
        <v/>
      </c>
      <c r="M133" s="138"/>
      <c r="N133" s="139" t="str">
        <f>IFERROR(INDEX([239]MATERIALES!P:P,MATCH(B133,[239]MATERIALES!B:B,0)),"")</f>
        <v/>
      </c>
      <c r="O133" s="140"/>
      <c r="P133" s="118" t="str">
        <f t="shared" si="5"/>
        <v/>
      </c>
      <c r="Q133" s="119"/>
      <c r="R133" s="4"/>
    </row>
    <row r="134" spans="1:18">
      <c r="A134" s="1">
        <f t="shared" si="4"/>
        <v>0</v>
      </c>
      <c r="B134" s="2"/>
      <c r="C134" s="8"/>
      <c r="D134" s="109" t="str">
        <f>IFERROR(INDEX([239]MATERIALES!C:C,MATCH(B134,[239]MATERIALES!B:B,0)),"")</f>
        <v/>
      </c>
      <c r="E134" s="110"/>
      <c r="F134" s="110"/>
      <c r="G134" s="110"/>
      <c r="H134" s="110"/>
      <c r="I134" s="110"/>
      <c r="J134" s="110"/>
      <c r="K134" s="111"/>
      <c r="L134" s="137" t="str">
        <f>IFERROR(INDEX([239]MATERIALES!D:D,MATCH(B134,[239]MATERIALES!B:B,0)),"")</f>
        <v/>
      </c>
      <c r="M134" s="138"/>
      <c r="N134" s="139" t="str">
        <f>IFERROR(INDEX([239]MATERIALES!P:P,MATCH(B134,[239]MATERIALES!B:B,0)),"")</f>
        <v/>
      </c>
      <c r="O134" s="140"/>
      <c r="P134" s="118" t="str">
        <f t="shared" si="5"/>
        <v/>
      </c>
      <c r="Q134" s="119"/>
      <c r="R134" s="4"/>
    </row>
    <row r="135" spans="1:18">
      <c r="A135" s="1">
        <f t="shared" si="4"/>
        <v>0</v>
      </c>
      <c r="B135" s="2"/>
      <c r="C135" s="8"/>
      <c r="D135" s="109" t="str">
        <f>IFERROR(INDEX([239]MATERIALES!C:C,MATCH(B135,[239]MATERIALES!B:B,0)),"")</f>
        <v/>
      </c>
      <c r="E135" s="110"/>
      <c r="F135" s="110"/>
      <c r="G135" s="110"/>
      <c r="H135" s="110"/>
      <c r="I135" s="110"/>
      <c r="J135" s="110"/>
      <c r="K135" s="111"/>
      <c r="L135" s="137" t="str">
        <f>IFERROR(INDEX([239]MATERIALES!D:D,MATCH(B135,[239]MATERIALES!B:B,0)),"")</f>
        <v/>
      </c>
      <c r="M135" s="138"/>
      <c r="N135" s="139" t="str">
        <f>IFERROR(INDEX([239]MATERIALES!P:P,MATCH(B135,[239]MATERIALES!B:B,0)),"")</f>
        <v/>
      </c>
      <c r="O135" s="140"/>
      <c r="P135" s="118" t="str">
        <f t="shared" si="5"/>
        <v/>
      </c>
      <c r="Q135" s="119"/>
      <c r="R135" s="4"/>
    </row>
    <row r="136" spans="1:18" ht="15.75" thickBot="1">
      <c r="A136" s="1">
        <f t="shared" si="4"/>
        <v>0</v>
      </c>
      <c r="B136" s="2"/>
      <c r="C136" s="8"/>
      <c r="D136" s="109" t="s">
        <v>28</v>
      </c>
      <c r="E136" s="110"/>
      <c r="F136" s="110"/>
      <c r="G136" s="110"/>
      <c r="H136" s="110"/>
      <c r="I136" s="110"/>
      <c r="J136" s="110"/>
      <c r="K136" s="111"/>
      <c r="L136" s="137" t="s">
        <v>29</v>
      </c>
      <c r="M136" s="138">
        <v>0.05</v>
      </c>
      <c r="N136" s="139">
        <f>SUM(P122:P135)</f>
        <v>853699.14</v>
      </c>
      <c r="O136" s="140"/>
      <c r="P136" s="118">
        <f>ROUND(N136*M136,2)</f>
        <v>42684.959999999999</v>
      </c>
      <c r="Q136" s="119"/>
      <c r="R136" s="4"/>
    </row>
    <row r="137" spans="1:18" ht="15.75" thickBot="1">
      <c r="A137" s="1">
        <f t="shared" si="4"/>
        <v>0</v>
      </c>
      <c r="B137" s="2"/>
      <c r="C137" s="8"/>
      <c r="D137" s="128" t="s">
        <v>24</v>
      </c>
      <c r="E137" s="129"/>
      <c r="F137" s="129"/>
      <c r="G137" s="129"/>
      <c r="H137" s="129"/>
      <c r="I137" s="129"/>
      <c r="J137" s="129"/>
      <c r="K137" s="129"/>
      <c r="L137" s="129"/>
      <c r="M137" s="129"/>
      <c r="N137" s="129"/>
      <c r="O137" s="130"/>
      <c r="P137" s="131">
        <f>SUM(P122:P136)</f>
        <v>896384.1</v>
      </c>
      <c r="Q137" s="119"/>
      <c r="R137" s="4"/>
    </row>
    <row r="138" spans="1:18" ht="15.75" thickBot="1">
      <c r="A138" s="1">
        <f t="shared" si="4"/>
        <v>0</v>
      </c>
      <c r="B138" s="2"/>
      <c r="C138" s="8"/>
      <c r="D138" s="74" t="s">
        <v>30</v>
      </c>
      <c r="E138" s="37"/>
      <c r="F138" s="37"/>
      <c r="G138" s="37"/>
      <c r="H138" s="37"/>
      <c r="I138" s="37"/>
      <c r="J138" s="37"/>
      <c r="K138" s="37"/>
      <c r="L138" s="37"/>
      <c r="M138" s="37"/>
      <c r="N138" s="37"/>
      <c r="O138" s="37"/>
      <c r="P138" s="99"/>
      <c r="Q138" s="100"/>
      <c r="R138" s="4"/>
    </row>
    <row r="139" spans="1:18">
      <c r="A139" s="1">
        <f t="shared" si="4"/>
        <v>0</v>
      </c>
      <c r="B139" s="2"/>
      <c r="C139" s="8"/>
      <c r="D139" s="101" t="s">
        <v>31</v>
      </c>
      <c r="E139" s="133"/>
      <c r="F139" s="133"/>
      <c r="G139" s="133"/>
      <c r="H139" s="133"/>
      <c r="I139" s="133"/>
      <c r="J139" s="133"/>
      <c r="K139" s="106" t="s">
        <v>32</v>
      </c>
      <c r="L139" s="141" t="s">
        <v>33</v>
      </c>
      <c r="M139" s="106" t="s">
        <v>34</v>
      </c>
      <c r="N139" s="104" t="s">
        <v>20</v>
      </c>
      <c r="O139" s="105"/>
      <c r="P139" s="107" t="s">
        <v>22</v>
      </c>
      <c r="Q139" s="108"/>
      <c r="R139" s="4"/>
    </row>
    <row r="140" spans="1:18">
      <c r="A140" s="1">
        <f t="shared" si="4"/>
        <v>0</v>
      </c>
      <c r="B140" s="2"/>
      <c r="C140" s="8"/>
      <c r="D140" s="142" t="str">
        <f>IFERROR(INDEX([239]TRANSPORTES!B:B,MATCH(B140,[239]TRANSPORTES!A:A,0)),"")</f>
        <v/>
      </c>
      <c r="E140" s="143"/>
      <c r="F140" s="143"/>
      <c r="G140" s="143"/>
      <c r="H140" s="143"/>
      <c r="I140" s="143"/>
      <c r="J140" s="143"/>
      <c r="K140" s="220"/>
      <c r="L140" s="145"/>
      <c r="M140" s="146" t="str">
        <f>IFERROR(INDEX([239]TRANSPORTES!C:C,MATCH(B140,[239]TRANSPORTES!A:A,0)),"")</f>
        <v/>
      </c>
      <c r="N140" s="139" t="str">
        <f>IFERROR(INDEX([239]TRANSPORTES!D:D,MATCH(B140,[239]TRANSPORTES!A:A,0)),"")</f>
        <v/>
      </c>
      <c r="O140" s="147"/>
      <c r="P140" s="148" t="str">
        <f>IFERROR(ROUND(K140*N140*L140,2),"")</f>
        <v/>
      </c>
      <c r="Q140" s="119"/>
      <c r="R140" s="4"/>
    </row>
    <row r="141" spans="1:18">
      <c r="A141" s="1">
        <f t="shared" si="4"/>
        <v>0</v>
      </c>
      <c r="B141" s="2"/>
      <c r="C141" s="8"/>
      <c r="D141" s="142" t="str">
        <f>IFERROR(INDEX([239]TRANSPORTES!B:B,MATCH(B141,[239]TRANSPORTES!A:A,0)),"")</f>
        <v/>
      </c>
      <c r="E141" s="143"/>
      <c r="F141" s="143"/>
      <c r="G141" s="143"/>
      <c r="H141" s="143"/>
      <c r="I141" s="143"/>
      <c r="J141" s="143"/>
      <c r="K141" s="144"/>
      <c r="L141" s="145"/>
      <c r="M141" s="146" t="str">
        <f>IFERROR(INDEX([239]TRANSPORTES!C:C,MATCH(B141,[239]TRANSPORTES!A:A,0)),"")</f>
        <v/>
      </c>
      <c r="N141" s="139" t="str">
        <f>IFERROR(INDEX([239]TRANSPORTES!D:D,MATCH(B141,[239]TRANSPORTES!A:A,0)),"")</f>
        <v/>
      </c>
      <c r="O141" s="147"/>
      <c r="P141" s="148" t="str">
        <f>IFERROR(ROUND(K141*N141*L141,2),"")</f>
        <v/>
      </c>
      <c r="Q141" s="119"/>
      <c r="R141" s="4"/>
    </row>
    <row r="142" spans="1:18">
      <c r="A142" s="1">
        <f t="shared" si="4"/>
        <v>0</v>
      </c>
      <c r="B142" s="2"/>
      <c r="C142" s="8"/>
      <c r="D142" s="142" t="str">
        <f>IFERROR(INDEX([239]TRANSPORTES!B:B,MATCH(B142,[239]TRANSPORTES!A:A,0)),"")</f>
        <v/>
      </c>
      <c r="E142" s="143"/>
      <c r="F142" s="143"/>
      <c r="G142" s="143"/>
      <c r="H142" s="143"/>
      <c r="I142" s="143"/>
      <c r="J142" s="143"/>
      <c r="K142" s="144"/>
      <c r="L142" s="145"/>
      <c r="M142" s="146" t="str">
        <f>IFERROR(INDEX([239]TRANSPORTES!C:C,MATCH(B142,[239]TRANSPORTES!A:A,0)),"")</f>
        <v/>
      </c>
      <c r="N142" s="139" t="str">
        <f>IFERROR(INDEX([239]TRANSPORTES!D:D,MATCH(B142,[239]TRANSPORTES!A:A,0)),"")</f>
        <v/>
      </c>
      <c r="O142" s="147"/>
      <c r="P142" s="148" t="str">
        <f>IFERROR(ROUND(K142*N142*L142,2),"")</f>
        <v/>
      </c>
      <c r="Q142" s="119"/>
      <c r="R142" s="4"/>
    </row>
    <row r="143" spans="1:18" ht="15.75" thickBot="1">
      <c r="A143" s="1">
        <f t="shared" si="4"/>
        <v>0</v>
      </c>
      <c r="B143" s="2"/>
      <c r="C143" s="8"/>
      <c r="D143" s="142" t="str">
        <f>IFERROR(INDEX([239]TRANSPORTES!B:B,MATCH(B143,[239]TRANSPORTES!A:A,0)),"")</f>
        <v/>
      </c>
      <c r="E143" s="143"/>
      <c r="F143" s="143"/>
      <c r="G143" s="143"/>
      <c r="H143" s="143"/>
      <c r="I143" s="143"/>
      <c r="J143" s="143"/>
      <c r="K143" s="149"/>
      <c r="L143" s="150"/>
      <c r="M143" s="146" t="str">
        <f>IFERROR(INDEX([239]TRANSPORTES!C:C,MATCH(B143,[239]TRANSPORTES!A:A,0)),"")</f>
        <v/>
      </c>
      <c r="N143" s="139" t="str">
        <f>IFERROR(INDEX([239]TRANSPORTES!D:D,MATCH(B143,[239]TRANSPORTES!A:A,0)),"")</f>
        <v/>
      </c>
      <c r="O143" s="147"/>
      <c r="P143" s="148" t="str">
        <f>IFERROR(ROUND(K143*N143*L143,2),"")</f>
        <v/>
      </c>
      <c r="Q143" s="119"/>
      <c r="R143" s="4"/>
    </row>
    <row r="144" spans="1:18" ht="15.75" thickBot="1">
      <c r="A144" s="1">
        <f t="shared" si="4"/>
        <v>0</v>
      </c>
      <c r="B144" s="2"/>
      <c r="C144" s="8"/>
      <c r="D144" s="128" t="s">
        <v>24</v>
      </c>
      <c r="E144" s="129"/>
      <c r="F144" s="129"/>
      <c r="G144" s="129"/>
      <c r="H144" s="129"/>
      <c r="I144" s="129"/>
      <c r="J144" s="129"/>
      <c r="K144" s="129"/>
      <c r="L144" s="129"/>
      <c r="M144" s="129"/>
      <c r="N144" s="129"/>
      <c r="O144" s="130"/>
      <c r="P144" s="151">
        <f>SUM(P140:P143)</f>
        <v>0</v>
      </c>
      <c r="Q144" s="132"/>
      <c r="R144" s="4"/>
    </row>
    <row r="145" spans="1:18" ht="15.75" thickBot="1">
      <c r="A145" s="1">
        <f t="shared" si="4"/>
        <v>0</v>
      </c>
      <c r="B145" s="2"/>
      <c r="C145" s="8"/>
      <c r="D145" s="74" t="s">
        <v>36</v>
      </c>
      <c r="E145" s="37"/>
      <c r="F145" s="37"/>
      <c r="G145" s="37"/>
      <c r="H145" s="37"/>
      <c r="I145" s="37"/>
      <c r="J145" s="37"/>
      <c r="K145" s="37"/>
      <c r="L145" s="37"/>
      <c r="M145" s="37"/>
      <c r="N145" s="37"/>
      <c r="O145" s="37"/>
      <c r="P145" s="99"/>
      <c r="Q145" s="100"/>
      <c r="R145" s="4"/>
    </row>
    <row r="146" spans="1:18" ht="30">
      <c r="A146" s="1">
        <f t="shared" si="4"/>
        <v>0</v>
      </c>
      <c r="B146" s="2"/>
      <c r="C146" s="8"/>
      <c r="D146" s="101" t="s">
        <v>37</v>
      </c>
      <c r="E146" s="133"/>
      <c r="F146" s="133"/>
      <c r="G146" s="133"/>
      <c r="H146" s="133"/>
      <c r="I146" s="133"/>
      <c r="J146" s="133"/>
      <c r="K146" s="106" t="s">
        <v>38</v>
      </c>
      <c r="L146" s="152" t="s">
        <v>39</v>
      </c>
      <c r="M146" s="153" t="s">
        <v>40</v>
      </c>
      <c r="N146" s="104" t="s">
        <v>21</v>
      </c>
      <c r="O146" s="105"/>
      <c r="P146" s="154" t="s">
        <v>22</v>
      </c>
      <c r="Q146" s="155"/>
      <c r="R146" s="4"/>
    </row>
    <row r="147" spans="1:18">
      <c r="A147" s="1">
        <f t="shared" si="4"/>
        <v>0</v>
      </c>
      <c r="B147" s="2" t="s">
        <v>41</v>
      </c>
      <c r="C147" s="8"/>
      <c r="D147" s="109" t="str">
        <f>IFERROR(INDEX('[239]MANO DE OBRA'!B:B,MATCH(B147,'[239]MANO DE OBRA'!A:A,0)),"")</f>
        <v>OFICIAL</v>
      </c>
      <c r="E147" s="110"/>
      <c r="F147" s="110"/>
      <c r="G147" s="110"/>
      <c r="H147" s="110"/>
      <c r="I147" s="110"/>
      <c r="J147" s="111"/>
      <c r="K147" s="156">
        <f>IFERROR(INDEX('[239]MANO DE OBRA'!D:D,MATCH(B147,'[239]MANO DE OBRA'!A:A,0)),"")</f>
        <v>95930</v>
      </c>
      <c r="L147" s="157">
        <f>+IF(D147&lt;&gt;"",'[239]FACTOR PRESTACIONAL'!$E$21," ")</f>
        <v>1.95</v>
      </c>
      <c r="M147" s="158">
        <f>IFERROR(K147*L147," ")</f>
        <v>187063.5</v>
      </c>
      <c r="N147" s="159">
        <v>1.2</v>
      </c>
      <c r="O147" s="160"/>
      <c r="P147" s="161">
        <f>IFERROR(ROUND(M147/N147,2)," ")</f>
        <v>155886.25</v>
      </c>
      <c r="Q147" s="162"/>
      <c r="R147" s="4"/>
    </row>
    <row r="148" spans="1:18">
      <c r="A148" s="1">
        <f t="shared" si="4"/>
        <v>0</v>
      </c>
      <c r="B148" s="2" t="s">
        <v>42</v>
      </c>
      <c r="C148" s="8"/>
      <c r="D148" s="109" t="str">
        <f>IFERROR(INDEX('[239]MANO DE OBRA'!B:B,MATCH(B148,'[239]MANO DE OBRA'!A:A,0)),"")</f>
        <v>AYUDANTE (2)</v>
      </c>
      <c r="E148" s="110"/>
      <c r="F148" s="110"/>
      <c r="G148" s="110"/>
      <c r="H148" s="110"/>
      <c r="I148" s="110"/>
      <c r="J148" s="111"/>
      <c r="K148" s="156">
        <f>IFERROR(INDEX('[239]MANO DE OBRA'!D:D,MATCH(B148,'[239]MANO DE OBRA'!A:A,0)),"")</f>
        <v>142866</v>
      </c>
      <c r="L148" s="157">
        <f>+IF(D148&lt;&gt;"",'[239]FACTOR PRESTACIONAL'!$E$21," ")</f>
        <v>1.95</v>
      </c>
      <c r="M148" s="158">
        <f>IFERROR(K148*L148," ")</f>
        <v>278588.7</v>
      </c>
      <c r="N148" s="159">
        <v>1.2</v>
      </c>
      <c r="O148" s="160"/>
      <c r="P148" s="161">
        <f>IFERROR(ROUND(M148/N148,2)," ")</f>
        <v>232157.25</v>
      </c>
      <c r="Q148" s="162"/>
      <c r="R148" s="4"/>
    </row>
    <row r="149" spans="1:18">
      <c r="A149" s="1">
        <f t="shared" si="4"/>
        <v>0</v>
      </c>
      <c r="B149" s="2"/>
      <c r="C149" s="8"/>
      <c r="D149" s="109" t="str">
        <f>IFERROR(INDEX('[239]MANO DE OBRA'!B:B,MATCH(B149,'[239]MANO DE OBRA'!A:A,0)),"")</f>
        <v/>
      </c>
      <c r="E149" s="110"/>
      <c r="F149" s="110"/>
      <c r="G149" s="110"/>
      <c r="H149" s="110"/>
      <c r="I149" s="110"/>
      <c r="J149" s="111"/>
      <c r="K149" s="156" t="str">
        <f>IFERROR(INDEX('[239]MANO DE OBRA'!D:D,MATCH(B149,'[239]MANO DE OBRA'!A:A,0)),"")</f>
        <v/>
      </c>
      <c r="L149" s="157" t="str">
        <f>+IF(D149&lt;&gt;"",'[239]FACTOR PRESTACIONAL'!$E$21," ")</f>
        <v xml:space="preserve"> </v>
      </c>
      <c r="M149" s="158" t="str">
        <f>IFERROR(K149*L149," ")</f>
        <v xml:space="preserve"> </v>
      </c>
      <c r="N149" s="159"/>
      <c r="O149" s="160"/>
      <c r="P149" s="161" t="str">
        <f>IFERROR(ROUND(M149/N149,2)," ")</f>
        <v xml:space="preserve"> </v>
      </c>
      <c r="Q149" s="162"/>
      <c r="R149" s="4"/>
    </row>
    <row r="150" spans="1:18">
      <c r="A150" s="1">
        <f t="shared" si="4"/>
        <v>0</v>
      </c>
      <c r="B150" s="2"/>
      <c r="C150" s="8"/>
      <c r="D150" s="109" t="str">
        <f>IFERROR(INDEX('[239]MANO DE OBRA'!B:B,MATCH(B150,'[239]MANO DE OBRA'!A:A,0)),"")</f>
        <v/>
      </c>
      <c r="E150" s="110"/>
      <c r="F150" s="110"/>
      <c r="G150" s="110"/>
      <c r="H150" s="110"/>
      <c r="I150" s="110"/>
      <c r="J150" s="111"/>
      <c r="K150" s="156" t="str">
        <f>IFERROR(INDEX('[239]MANO DE OBRA'!D:D,MATCH(B150,'[239]MANO DE OBRA'!A:A,0)),"")</f>
        <v/>
      </c>
      <c r="L150" s="157" t="str">
        <f>+IF(D150&lt;&gt;"",'[239]FACTOR PRESTACIONAL'!$E$21," ")</f>
        <v xml:space="preserve"> </v>
      </c>
      <c r="M150" s="158" t="str">
        <f>IFERROR(K150*L150," ")</f>
        <v xml:space="preserve"> </v>
      </c>
      <c r="N150" s="159"/>
      <c r="O150" s="160"/>
      <c r="P150" s="161" t="str">
        <f>IFERROR(ROUND(M150/N150,2)," ")</f>
        <v xml:space="preserve"> </v>
      </c>
      <c r="Q150" s="162"/>
      <c r="R150" s="4"/>
    </row>
    <row r="151" spans="1:18" ht="15.75" thickBot="1">
      <c r="A151" s="1">
        <f t="shared" si="4"/>
        <v>0</v>
      </c>
      <c r="B151" s="2"/>
      <c r="C151" s="8"/>
      <c r="D151" s="109" t="str">
        <f>IFERROR(INDEX('[239]MANO DE OBRA'!B:B,MATCH(B151,'[239]MANO DE OBRA'!A:A,0)),"")</f>
        <v/>
      </c>
      <c r="E151" s="110"/>
      <c r="F151" s="110"/>
      <c r="G151" s="110"/>
      <c r="H151" s="110"/>
      <c r="I151" s="110"/>
      <c r="J151" s="111"/>
      <c r="K151" s="156" t="str">
        <f>IFERROR(INDEX('[239]MANO DE OBRA'!D:D,MATCH(B151,'[239]MANO DE OBRA'!A:A,0)),"")</f>
        <v/>
      </c>
      <c r="L151" s="157" t="str">
        <f>+IF(D151&lt;&gt;"",'[239]FACTOR PRESTACIONAL'!$E$21," ")</f>
        <v xml:space="preserve"> </v>
      </c>
      <c r="M151" s="158" t="str">
        <f>IFERROR(K151*L151," ")</f>
        <v xml:space="preserve"> </v>
      </c>
      <c r="N151" s="159"/>
      <c r="O151" s="160"/>
      <c r="P151" s="161" t="str">
        <f>IFERROR(ROUND(M151/N151,2)," ")</f>
        <v xml:space="preserve"> </v>
      </c>
      <c r="Q151" s="119"/>
      <c r="R151" s="4"/>
    </row>
    <row r="152" spans="1:18" ht="15.75" thickBot="1">
      <c r="A152" s="1">
        <f t="shared" si="4"/>
        <v>0</v>
      </c>
      <c r="B152" s="2"/>
      <c r="C152" s="8"/>
      <c r="D152" s="128" t="s">
        <v>24</v>
      </c>
      <c r="E152" s="129"/>
      <c r="F152" s="129"/>
      <c r="G152" s="129"/>
      <c r="H152" s="129"/>
      <c r="I152" s="129"/>
      <c r="J152" s="129"/>
      <c r="K152" s="129"/>
      <c r="L152" s="129"/>
      <c r="M152" s="129"/>
      <c r="N152" s="129"/>
      <c r="O152" s="130"/>
      <c r="P152" s="131">
        <f>SUM(P147:P151)</f>
        <v>388043.5</v>
      </c>
      <c r="Q152" s="119"/>
      <c r="R152" s="4"/>
    </row>
    <row r="153" spans="1:18" ht="15.75" thickBot="1">
      <c r="A153" s="1">
        <f t="shared" si="4"/>
        <v>0</v>
      </c>
      <c r="B153" s="2"/>
      <c r="C153" s="8"/>
      <c r="D153" s="87"/>
      <c r="E153" s="20"/>
      <c r="F153" s="20"/>
      <c r="G153" s="20"/>
      <c r="H153" s="20"/>
      <c r="I153" s="20"/>
      <c r="J153" s="20"/>
      <c r="K153" s="20"/>
      <c r="L153" s="20"/>
      <c r="M153" s="20"/>
      <c r="N153" s="20"/>
      <c r="O153" s="20"/>
      <c r="P153" s="88"/>
      <c r="Q153" s="13"/>
      <c r="R153" s="4"/>
    </row>
    <row r="154" spans="1:18" ht="15.75" thickBot="1">
      <c r="A154" s="1"/>
      <c r="B154" s="2"/>
      <c r="C154" s="8"/>
      <c r="D154" s="163" t="s">
        <v>43</v>
      </c>
      <c r="E154" s="164"/>
      <c r="F154" s="164"/>
      <c r="G154" s="164"/>
      <c r="H154" s="164"/>
      <c r="I154" s="164"/>
      <c r="J154" s="164"/>
      <c r="K154" s="164"/>
      <c r="L154" s="164"/>
      <c r="M154" s="164"/>
      <c r="N154" s="164"/>
      <c r="O154" s="165"/>
      <c r="P154" s="166">
        <f>+P152+P144+P137+P119</f>
        <v>1325904.4700000002</v>
      </c>
      <c r="Q154" s="167"/>
      <c r="R154" s="168"/>
    </row>
    <row r="155" spans="1:18" ht="15.75" thickBot="1">
      <c r="A155" s="1"/>
      <c r="B155" s="2"/>
      <c r="C155" s="8"/>
      <c r="D155" s="169"/>
      <c r="E155" s="170"/>
      <c r="F155" s="170"/>
      <c r="G155" s="170"/>
      <c r="H155" s="170"/>
      <c r="I155" s="170"/>
      <c r="J155" s="170"/>
      <c r="K155" s="170"/>
      <c r="L155" s="170"/>
      <c r="M155" s="170"/>
      <c r="N155" s="170"/>
      <c r="O155" s="170"/>
      <c r="P155" s="171"/>
      <c r="Q155" s="100"/>
      <c r="R155" s="4"/>
    </row>
    <row r="156" spans="1:18">
      <c r="A156" s="1"/>
      <c r="B156" s="2"/>
      <c r="C156" s="8"/>
      <c r="D156" s="172" t="s">
        <v>73</v>
      </c>
      <c r="E156" s="173"/>
      <c r="F156" s="173"/>
      <c r="G156" s="173"/>
      <c r="H156" s="173"/>
      <c r="I156" s="173"/>
      <c r="J156" s="173"/>
      <c r="K156" s="141"/>
      <c r="L156" s="174"/>
      <c r="M156" s="153" t="s">
        <v>44</v>
      </c>
      <c r="N156" s="175" t="s">
        <v>45</v>
      </c>
      <c r="O156" s="176"/>
      <c r="P156" s="154"/>
      <c r="Q156" s="155"/>
      <c r="R156" s="4"/>
    </row>
    <row r="157" spans="1:18">
      <c r="A157" s="1"/>
      <c r="B157" s="2"/>
      <c r="C157" s="8"/>
      <c r="D157" s="109" t="s">
        <v>65</v>
      </c>
      <c r="E157" s="110"/>
      <c r="F157" s="110"/>
      <c r="G157" s="110"/>
      <c r="H157" s="110"/>
      <c r="I157" s="110"/>
      <c r="J157" s="110"/>
      <c r="K157" s="177"/>
      <c r="L157" s="178"/>
      <c r="M157" s="179">
        <f>+[239]INICIO!$F$10</f>
        <v>0.24</v>
      </c>
      <c r="N157" s="180">
        <f>ROUND(M157*P154,2)</f>
        <v>318217.07</v>
      </c>
      <c r="O157" s="181"/>
      <c r="P157" s="182"/>
      <c r="Q157" s="119"/>
      <c r="R157" s="4"/>
    </row>
    <row r="158" spans="1:18">
      <c r="A158" s="1"/>
      <c r="B158" s="2"/>
      <c r="C158" s="8"/>
      <c r="D158" s="183" t="s">
        <v>67</v>
      </c>
      <c r="E158" s="61"/>
      <c r="F158" s="61"/>
      <c r="G158" s="61"/>
      <c r="H158" s="61"/>
      <c r="I158" s="61"/>
      <c r="J158" s="61"/>
      <c r="K158" s="177"/>
      <c r="L158" s="178"/>
      <c r="M158" s="179">
        <f>+[239]INICIO!$F$11</f>
        <v>0.02</v>
      </c>
      <c r="N158" s="180">
        <f>ROUND(M158*P154,2)</f>
        <v>26518.09</v>
      </c>
      <c r="O158" s="181"/>
      <c r="P158" s="182"/>
      <c r="Q158" s="119"/>
      <c r="R158" s="4"/>
    </row>
    <row r="159" spans="1:18" ht="15.75" thickBot="1">
      <c r="A159" s="1"/>
      <c r="B159" s="2"/>
      <c r="C159" s="8"/>
      <c r="D159" s="77" t="s">
        <v>69</v>
      </c>
      <c r="E159" s="78"/>
      <c r="F159" s="78"/>
      <c r="G159" s="78"/>
      <c r="H159" s="78"/>
      <c r="I159" s="78"/>
      <c r="J159" s="78"/>
      <c r="K159" s="184"/>
      <c r="L159" s="185"/>
      <c r="M159" s="179">
        <f>+[239]INICIO!$F$12</f>
        <v>7.0000000000000007E-2</v>
      </c>
      <c r="N159" s="180">
        <f>ROUND(M159*P154,2)</f>
        <v>92813.31</v>
      </c>
      <c r="O159" s="181"/>
      <c r="P159" s="182"/>
      <c r="Q159" s="119"/>
      <c r="R159" s="4"/>
    </row>
    <row r="160" spans="1:18" ht="15.75" thickBot="1">
      <c r="A160" s="1"/>
      <c r="B160" s="2"/>
      <c r="C160" s="8"/>
      <c r="D160" s="128"/>
      <c r="E160" s="129"/>
      <c r="F160" s="129"/>
      <c r="G160" s="129"/>
      <c r="H160" s="129"/>
      <c r="I160" s="129"/>
      <c r="J160" s="129"/>
      <c r="K160" s="129"/>
      <c r="L160" s="129"/>
      <c r="M160" s="129"/>
      <c r="N160" s="129"/>
      <c r="O160" s="130"/>
      <c r="P160" s="131">
        <f>SUM(N157:N159)</f>
        <v>437548.47000000003</v>
      </c>
      <c r="Q160" s="186"/>
      <c r="R160" s="4"/>
    </row>
    <row r="161" spans="1:18" ht="15.75" thickBot="1">
      <c r="A161" s="1"/>
      <c r="B161" s="2"/>
      <c r="C161" s="8"/>
      <c r="D161" s="87"/>
      <c r="E161" s="20"/>
      <c r="F161" s="20"/>
      <c r="G161" s="20"/>
      <c r="H161" s="20"/>
      <c r="I161" s="20"/>
      <c r="J161" s="20"/>
      <c r="K161" s="20"/>
      <c r="L161" s="20"/>
      <c r="M161" s="20"/>
      <c r="N161" s="20"/>
      <c r="O161" s="20"/>
      <c r="P161" s="88"/>
      <c r="Q161" s="13"/>
      <c r="R161" s="4"/>
    </row>
    <row r="162" spans="1:18" ht="15.75" thickBot="1">
      <c r="A162" s="1"/>
      <c r="B162" s="2"/>
      <c r="C162" s="8"/>
      <c r="D162" s="187" t="s">
        <v>46</v>
      </c>
      <c r="E162" s="188"/>
      <c r="F162" s="188"/>
      <c r="G162" s="188"/>
      <c r="H162" s="188"/>
      <c r="I162" s="188"/>
      <c r="J162" s="188"/>
      <c r="K162" s="188"/>
      <c r="L162" s="188"/>
      <c r="M162" s="188"/>
      <c r="N162" s="188"/>
      <c r="O162" s="189"/>
      <c r="P162" s="166">
        <f>ROUND(P160+P154,0)</f>
        <v>1763453</v>
      </c>
      <c r="Q162" s="186"/>
      <c r="R162" s="4"/>
    </row>
    <row r="163" spans="1:18">
      <c r="A163" s="1"/>
      <c r="B163" s="2"/>
      <c r="C163" s="8"/>
      <c r="D163" s="80"/>
      <c r="E163" s="81"/>
      <c r="F163" s="81"/>
      <c r="G163" s="81"/>
      <c r="H163" s="81"/>
      <c r="I163" s="81"/>
      <c r="J163" s="81"/>
      <c r="K163" s="81"/>
      <c r="L163" s="81"/>
      <c r="M163" s="81"/>
      <c r="N163" s="81"/>
      <c r="O163" s="81"/>
      <c r="P163" s="82"/>
      <c r="Q163" s="13"/>
      <c r="R163" s="4"/>
    </row>
    <row r="164" spans="1:18">
      <c r="A164" s="1"/>
      <c r="B164" s="2"/>
      <c r="C164" s="8"/>
      <c r="D164" s="87"/>
      <c r="E164" s="20"/>
      <c r="F164" s="20"/>
      <c r="G164" s="20"/>
      <c r="H164" s="20"/>
      <c r="I164" s="20"/>
      <c r="J164" s="20"/>
      <c r="K164" s="20"/>
      <c r="L164" s="20"/>
      <c r="M164" s="20"/>
      <c r="N164" s="20"/>
      <c r="O164" s="20"/>
      <c r="P164" s="88"/>
      <c r="Q164" s="13"/>
      <c r="R164" s="4"/>
    </row>
    <row r="165" spans="1:18">
      <c r="A165" s="1"/>
      <c r="B165" s="2"/>
      <c r="C165" s="8"/>
      <c r="D165" s="87"/>
      <c r="E165" s="20"/>
      <c r="F165" s="20"/>
      <c r="G165" s="20"/>
      <c r="H165" s="20"/>
      <c r="I165" s="20"/>
      <c r="J165" s="20"/>
      <c r="K165" s="20"/>
      <c r="L165" s="20"/>
      <c r="M165" s="20"/>
      <c r="N165" s="20"/>
      <c r="O165" s="20"/>
      <c r="P165" s="88"/>
      <c r="Q165" s="13"/>
      <c r="R165" s="4"/>
    </row>
    <row r="166" spans="1:18">
      <c r="A166" s="1"/>
      <c r="B166" s="2"/>
      <c r="C166" s="8"/>
      <c r="D166" s="87"/>
      <c r="E166" s="20"/>
      <c r="F166" s="20"/>
      <c r="G166" s="20"/>
      <c r="H166" s="20"/>
      <c r="I166" s="20"/>
      <c r="J166" s="20"/>
      <c r="K166" s="20"/>
      <c r="L166" s="20"/>
      <c r="M166" s="20"/>
      <c r="N166" s="20"/>
      <c r="O166" s="20"/>
      <c r="P166" s="88"/>
      <c r="Q166" s="13"/>
      <c r="R166" s="4"/>
    </row>
    <row r="167" spans="1:18">
      <c r="A167" s="1"/>
      <c r="B167" s="2"/>
      <c r="C167" s="8"/>
      <c r="D167" s="219" t="str">
        <f>+[239]INICIO!$B$13</f>
        <v>Proyectó:</v>
      </c>
      <c r="E167" s="49"/>
      <c r="F167" s="49"/>
      <c r="G167" s="49"/>
      <c r="H167" s="49"/>
      <c r="I167" s="49"/>
      <c r="J167" s="49"/>
      <c r="K167" s="20"/>
      <c r="L167" s="69" t="str">
        <f>+[239]INICIO!$B$16</f>
        <v>Aprobó:</v>
      </c>
      <c r="M167" s="49"/>
      <c r="N167" s="49"/>
      <c r="O167" s="49"/>
      <c r="P167" s="88"/>
      <c r="Q167" s="13"/>
      <c r="R167" s="4"/>
    </row>
    <row r="168" spans="1:18">
      <c r="A168" s="1"/>
      <c r="B168" s="2"/>
      <c r="C168" s="8"/>
      <c r="D168" s="87"/>
      <c r="E168" s="20" t="str">
        <f>+Hoja2!C$13</f>
        <v>HELMER EDUARDO BECERRA SANTANDER</v>
      </c>
      <c r="F168" s="20"/>
      <c r="G168" s="20"/>
      <c r="H168" s="20"/>
      <c r="I168" s="20"/>
      <c r="J168" s="20"/>
      <c r="K168" s="20"/>
      <c r="L168" s="20"/>
      <c r="M168" s="20" t="str">
        <f>+Hoja2!$C$16</f>
        <v>JESÚS IVÁN QUIÑONES RUEDA</v>
      </c>
      <c r="N168" s="20"/>
      <c r="O168" s="20"/>
      <c r="P168" s="88"/>
      <c r="Q168" s="190"/>
      <c r="R168" s="4"/>
    </row>
    <row r="169" spans="1:18">
      <c r="A169" s="1"/>
      <c r="B169" s="2"/>
      <c r="C169" s="8"/>
      <c r="D169" s="87"/>
      <c r="E169" s="20" t="str">
        <f>+Hoja2!C$14</f>
        <v>APOYO SEC. DE PLANEACIÓN Y OBRAS PÚBLICAS</v>
      </c>
      <c r="F169" s="20"/>
      <c r="G169" s="20"/>
      <c r="H169" s="20"/>
      <c r="I169" s="20"/>
      <c r="J169" s="20"/>
      <c r="K169" s="20"/>
      <c r="L169" s="20"/>
      <c r="M169" s="20" t="str">
        <f>+Hoja2!$C$17</f>
        <v>SECRETARIO DE PLANEACIÓN Y OBRAS PUBLICAS</v>
      </c>
      <c r="N169" s="20"/>
      <c r="O169" s="20"/>
      <c r="P169" s="88"/>
      <c r="Q169" s="190"/>
      <c r="R169" s="4"/>
    </row>
    <row r="170" spans="1:18">
      <c r="A170" s="1"/>
      <c r="B170" s="2"/>
      <c r="C170" s="8"/>
      <c r="D170" s="68"/>
      <c r="E170" s="20" t="str">
        <f>+Hoja2!C$15</f>
        <v>123769-0701671 NTS</v>
      </c>
      <c r="F170" s="191"/>
      <c r="G170" s="191"/>
      <c r="H170" s="191"/>
      <c r="I170" s="20"/>
      <c r="J170" s="191"/>
      <c r="K170" s="191"/>
      <c r="L170" s="191"/>
      <c r="M170" s="192" t="str">
        <f>+Hoja2!C$18</f>
        <v>A21382020-1090480860</v>
      </c>
      <c r="N170" s="191"/>
      <c r="O170" s="191"/>
      <c r="P170" s="193"/>
      <c r="Q170" s="194"/>
      <c r="R170" s="4"/>
    </row>
    <row r="171" spans="1:18" ht="16.5" thickBot="1">
      <c r="A171" s="1"/>
      <c r="B171" s="2"/>
      <c r="C171" s="8"/>
      <c r="D171" s="195"/>
      <c r="E171" s="150"/>
      <c r="F171" s="150"/>
      <c r="G171" s="150"/>
      <c r="H171" s="150"/>
      <c r="I171" s="150"/>
      <c r="J171" s="150"/>
      <c r="K171" s="150"/>
      <c r="L171" s="150"/>
      <c r="M171" s="150"/>
      <c r="N171" s="150"/>
      <c r="O171" s="150"/>
      <c r="P171" s="196"/>
      <c r="Q171" s="197"/>
      <c r="R171" s="4"/>
    </row>
    <row r="172" spans="1:18" ht="15.75" thickBot="1">
      <c r="A172" s="1"/>
      <c r="B172" s="2"/>
      <c r="C172" s="198"/>
      <c r="D172" s="199"/>
      <c r="E172" s="199"/>
      <c r="F172" s="199"/>
      <c r="G172" s="199"/>
      <c r="H172" s="199"/>
      <c r="I172" s="199"/>
      <c r="J172" s="199"/>
      <c r="K172" s="199"/>
      <c r="L172" s="199"/>
      <c r="M172" s="199"/>
      <c r="N172" s="199"/>
      <c r="O172" s="199"/>
      <c r="P172" s="199"/>
      <c r="Q172" s="200"/>
      <c r="R172" s="4"/>
    </row>
    <row r="173" spans="1:18" ht="15.75" thickTop="1">
      <c r="A173" s="1"/>
      <c r="B173" s="2"/>
      <c r="C173" s="5"/>
      <c r="D173" s="6"/>
      <c r="E173" s="6"/>
      <c r="F173" s="6"/>
      <c r="G173" s="6"/>
      <c r="H173" s="6"/>
      <c r="I173" s="6"/>
      <c r="J173" s="6"/>
      <c r="K173" s="6"/>
      <c r="L173" s="6"/>
      <c r="M173" s="6"/>
      <c r="N173" s="6"/>
      <c r="O173" s="6"/>
      <c r="P173" s="6"/>
      <c r="Q173" s="7"/>
      <c r="R173" s="4"/>
    </row>
    <row r="174" spans="1:18" ht="24">
      <c r="A174" s="1"/>
      <c r="B174" s="2"/>
      <c r="C174" s="8"/>
      <c r="D174" s="9" t="str">
        <f>+[239]INICIO!$C$8</f>
        <v>Análisis de Precios Unitarios- Secretaria de Planeación y Obras Publicas de Cubará, Boyacá.</v>
      </c>
      <c r="E174" s="10"/>
      <c r="F174" s="10"/>
      <c r="G174" s="10"/>
      <c r="H174" s="11"/>
      <c r="I174" s="12"/>
      <c r="J174" s="12"/>
      <c r="K174" s="12"/>
      <c r="L174" s="12"/>
      <c r="M174" s="12"/>
      <c r="N174" s="12"/>
      <c r="O174" s="12"/>
      <c r="P174" s="12"/>
      <c r="Q174" s="13"/>
      <c r="R174" s="4"/>
    </row>
    <row r="175" spans="1:18">
      <c r="A175" s="1"/>
      <c r="B175" s="2"/>
      <c r="C175" s="8"/>
      <c r="D175" s="14" t="s">
        <v>0</v>
      </c>
      <c r="E175" s="15" t="str">
        <f>+[239]INICIO!$C$7</f>
        <v>CCE-EICP-FM-14</v>
      </c>
      <c r="F175" s="16"/>
      <c r="G175" s="17" t="str">
        <f>+[239]INICIO!$B$6</f>
        <v>VERSIÓN</v>
      </c>
      <c r="H175" s="14">
        <f>+[239]INICIO!$C$6</f>
        <v>1</v>
      </c>
      <c r="I175" s="12"/>
      <c r="J175" s="12"/>
      <c r="K175" s="12"/>
      <c r="L175" s="12"/>
      <c r="M175" s="12"/>
      <c r="N175" s="12"/>
      <c r="O175" s="12"/>
      <c r="P175" s="12"/>
      <c r="Q175" s="13"/>
      <c r="R175" s="4"/>
    </row>
    <row r="176" spans="1:18">
      <c r="A176" s="1"/>
      <c r="B176" s="2"/>
      <c r="C176" s="8"/>
      <c r="D176" s="18"/>
      <c r="E176" s="19"/>
      <c r="F176" s="18"/>
      <c r="G176" s="19"/>
      <c r="H176" s="12"/>
      <c r="I176" s="12"/>
      <c r="J176" s="12"/>
      <c r="K176" s="12"/>
      <c r="L176" s="12"/>
      <c r="M176" s="12"/>
      <c r="N176" s="12"/>
      <c r="O176" s="12"/>
      <c r="P176" s="12"/>
      <c r="Q176" s="13"/>
      <c r="R176" s="4"/>
    </row>
    <row r="177" spans="1:18" ht="15.75" thickBot="1">
      <c r="A177" s="1"/>
      <c r="B177" s="2"/>
      <c r="C177" s="8"/>
      <c r="D177" s="20"/>
      <c r="E177" s="20"/>
      <c r="F177" s="20"/>
      <c r="G177" s="20"/>
      <c r="H177" s="20"/>
      <c r="I177" s="20"/>
      <c r="J177" s="20"/>
      <c r="K177" s="20"/>
      <c r="L177" s="20"/>
      <c r="M177" s="20"/>
      <c r="N177" s="20"/>
      <c r="O177" s="20"/>
      <c r="P177" s="20"/>
      <c r="Q177" s="13"/>
      <c r="R177" s="4"/>
    </row>
    <row r="178" spans="1:18">
      <c r="A178" s="1"/>
      <c r="B178" s="2"/>
      <c r="C178" s="8"/>
      <c r="D178" s="21"/>
      <c r="E178" s="22"/>
      <c r="F178" s="23"/>
      <c r="G178" s="23"/>
      <c r="H178" s="23"/>
      <c r="I178" s="23"/>
      <c r="J178" s="23"/>
      <c r="K178" s="23"/>
      <c r="L178" s="24"/>
      <c r="M178" s="25"/>
      <c r="N178" s="26"/>
      <c r="O178" s="26"/>
      <c r="P178" s="27"/>
      <c r="Q178" s="28"/>
      <c r="R178" s="4"/>
    </row>
    <row r="179" spans="1:18">
      <c r="A179" s="1"/>
      <c r="B179" s="2"/>
      <c r="C179" s="8"/>
      <c r="D179" s="29"/>
      <c r="E179" s="30" t="s">
        <v>1</v>
      </c>
      <c r="F179" s="31"/>
      <c r="G179" s="31"/>
      <c r="H179" s="31"/>
      <c r="I179" s="31"/>
      <c r="J179" s="31"/>
      <c r="K179" s="31"/>
      <c r="L179" s="32"/>
      <c r="M179" s="33"/>
      <c r="N179" s="34"/>
      <c r="O179" s="34"/>
      <c r="P179" s="35"/>
      <c r="Q179" s="28"/>
      <c r="R179" s="4"/>
    </row>
    <row r="180" spans="1:18">
      <c r="A180" s="1"/>
      <c r="B180" s="2"/>
      <c r="C180" s="8"/>
      <c r="D180" s="29"/>
      <c r="E180" s="36"/>
      <c r="F180" s="37"/>
      <c r="G180" s="37"/>
      <c r="H180" s="37"/>
      <c r="I180" s="37"/>
      <c r="J180" s="37"/>
      <c r="K180" s="37"/>
      <c r="L180" s="38"/>
      <c r="M180" s="39"/>
      <c r="N180" s="40"/>
      <c r="O180" s="41"/>
      <c r="P180" s="42"/>
      <c r="Q180" s="28"/>
      <c r="R180" s="4"/>
    </row>
    <row r="181" spans="1:18">
      <c r="A181" s="1"/>
      <c r="B181" s="2"/>
      <c r="C181" s="8"/>
      <c r="D181" s="29"/>
      <c r="E181" s="36"/>
      <c r="F181" s="37"/>
      <c r="G181" s="37"/>
      <c r="H181" s="37"/>
      <c r="I181" s="37"/>
      <c r="J181" s="37"/>
      <c r="K181" s="37"/>
      <c r="L181" s="38"/>
      <c r="M181" s="43" t="s">
        <v>2</v>
      </c>
      <c r="N181" s="44"/>
      <c r="O181" s="45">
        <f>+[239]INICIO!$C$6</f>
        <v>1</v>
      </c>
      <c r="P181" s="46"/>
      <c r="Q181" s="28"/>
      <c r="R181" s="4"/>
    </row>
    <row r="182" spans="1:18">
      <c r="A182" s="1"/>
      <c r="B182" s="2"/>
      <c r="C182" s="8"/>
      <c r="D182" s="29"/>
      <c r="E182" s="36"/>
      <c r="F182" s="37"/>
      <c r="G182" s="37"/>
      <c r="H182" s="37"/>
      <c r="I182" s="37"/>
      <c r="J182" s="37"/>
      <c r="K182" s="37"/>
      <c r="L182" s="38"/>
      <c r="M182" s="47"/>
      <c r="N182" s="48"/>
      <c r="O182" s="49"/>
      <c r="P182" s="50"/>
      <c r="Q182" s="51"/>
      <c r="R182" s="4"/>
    </row>
    <row r="183" spans="1:18">
      <c r="A183" s="1"/>
      <c r="B183" s="2"/>
      <c r="C183" s="8"/>
      <c r="D183" s="29"/>
      <c r="E183" s="52"/>
      <c r="F183" s="53"/>
      <c r="G183" s="53"/>
      <c r="H183" s="53"/>
      <c r="I183" s="53"/>
      <c r="J183" s="53"/>
      <c r="K183" s="53"/>
      <c r="L183" s="54"/>
      <c r="M183" s="39"/>
      <c r="N183" s="55"/>
      <c r="O183" s="55"/>
      <c r="P183" s="56"/>
      <c r="Q183" s="28"/>
      <c r="R183" s="4"/>
    </row>
    <row r="184" spans="1:18">
      <c r="A184" s="1"/>
      <c r="B184" s="2"/>
      <c r="C184" s="8"/>
      <c r="D184" s="29"/>
      <c r="E184" s="52"/>
      <c r="F184" s="53"/>
      <c r="G184" s="53"/>
      <c r="H184" s="53"/>
      <c r="I184" s="53"/>
      <c r="J184" s="53"/>
      <c r="K184" s="53"/>
      <c r="L184" s="54"/>
      <c r="M184" s="43" t="s">
        <v>3</v>
      </c>
      <c r="N184" s="43" t="str">
        <f>+VLOOKUP(D195,'PRESUPUESTO OFICIAL '!C:Q,9,FALSE)</f>
        <v>18</v>
      </c>
      <c r="O184" s="43" t="s">
        <v>4</v>
      </c>
      <c r="P184" s="508" t="str">
        <f>+'PRESUPUESTO OFICIAL '!$M$122</f>
        <v>62</v>
      </c>
      <c r="Q184" s="28"/>
      <c r="R184" s="4"/>
    </row>
    <row r="185" spans="1:18">
      <c r="A185" s="1"/>
      <c r="B185" s="2"/>
      <c r="C185" s="8"/>
      <c r="D185" s="29"/>
      <c r="E185" s="30" t="s">
        <v>5</v>
      </c>
      <c r="F185" s="31"/>
      <c r="G185" s="31"/>
      <c r="H185" s="31"/>
      <c r="I185" s="31"/>
      <c r="J185" s="31"/>
      <c r="K185" s="31"/>
      <c r="L185" s="32"/>
      <c r="M185" s="43"/>
      <c r="N185" s="57"/>
      <c r="O185" s="57"/>
      <c r="P185" s="58"/>
      <c r="Q185" s="28"/>
      <c r="R185" s="4"/>
    </row>
    <row r="186" spans="1:18" ht="15.75" thickBot="1">
      <c r="A186" s="1"/>
      <c r="B186" s="2"/>
      <c r="C186" s="8"/>
      <c r="D186" s="59"/>
      <c r="E186" s="60"/>
      <c r="F186" s="60"/>
      <c r="G186" s="60"/>
      <c r="H186" s="60"/>
      <c r="I186" s="60"/>
      <c r="J186" s="60"/>
      <c r="K186" s="60"/>
      <c r="L186" s="60"/>
      <c r="M186" s="60"/>
      <c r="N186" s="61"/>
      <c r="O186" s="61"/>
      <c r="P186" s="62"/>
      <c r="Q186" s="63"/>
      <c r="R186" s="4"/>
    </row>
    <row r="187" spans="1:18">
      <c r="A187" s="1"/>
      <c r="B187" s="2"/>
      <c r="C187" s="8"/>
      <c r="D187" s="64"/>
      <c r="E187" s="65"/>
      <c r="F187" s="65"/>
      <c r="G187" s="65"/>
      <c r="H187" s="65"/>
      <c r="I187" s="65"/>
      <c r="J187" s="65"/>
      <c r="K187" s="65"/>
      <c r="L187" s="65"/>
      <c r="M187" s="66" t="s">
        <v>6</v>
      </c>
      <c r="N187" s="66" t="s">
        <v>7</v>
      </c>
      <c r="O187" s="66" t="s">
        <v>8</v>
      </c>
      <c r="P187" s="67" t="s">
        <v>9</v>
      </c>
      <c r="Q187" s="51"/>
      <c r="R187" s="4"/>
    </row>
    <row r="188" spans="1:18">
      <c r="A188" s="1"/>
      <c r="B188" s="2"/>
      <c r="C188" s="8"/>
      <c r="D188" s="68"/>
      <c r="E188" s="69"/>
      <c r="F188" s="69"/>
      <c r="G188" s="69"/>
      <c r="H188" s="69"/>
      <c r="I188" s="69"/>
      <c r="J188" s="69"/>
      <c r="K188" s="69"/>
      <c r="L188" s="69"/>
      <c r="M188" s="70"/>
      <c r="N188" s="71">
        <f>+Hoja2!B$5</f>
        <v>5</v>
      </c>
      <c r="O188" s="71">
        <f>+Hoja2!C$5</f>
        <v>8</v>
      </c>
      <c r="P188" s="72">
        <f>+Hoja2!D$5</f>
        <v>2026</v>
      </c>
      <c r="Q188" s="73"/>
      <c r="R188" s="4"/>
    </row>
    <row r="189" spans="1:18">
      <c r="A189" s="1"/>
      <c r="B189" s="2"/>
      <c r="C189" s="8"/>
      <c r="D189" s="74"/>
      <c r="E189" s="37"/>
      <c r="F189" s="37"/>
      <c r="G189" s="37"/>
      <c r="H189" s="69"/>
      <c r="I189" s="69"/>
      <c r="J189" s="69"/>
      <c r="K189" s="20"/>
      <c r="L189" s="69"/>
      <c r="M189" s="75"/>
      <c r="N189" s="20"/>
      <c r="O189" s="20"/>
      <c r="P189" s="76"/>
      <c r="Q189" s="73"/>
      <c r="R189" s="4"/>
    </row>
    <row r="190" spans="1:18" ht="15.75" thickBot="1">
      <c r="A190" s="1"/>
      <c r="B190" s="2"/>
      <c r="C190" s="8"/>
      <c r="D190" s="77"/>
      <c r="E190" s="78"/>
      <c r="F190" s="78"/>
      <c r="G190" s="78"/>
      <c r="H190" s="78"/>
      <c r="I190" s="78"/>
      <c r="J190" s="78"/>
      <c r="K190" s="78"/>
      <c r="L190" s="78"/>
      <c r="M190" s="78"/>
      <c r="N190" s="78"/>
      <c r="O190" s="78"/>
      <c r="P190" s="79"/>
      <c r="Q190" s="13"/>
      <c r="R190" s="4"/>
    </row>
    <row r="191" spans="1:18" ht="15.75" thickBot="1">
      <c r="A191" s="1"/>
      <c r="B191" s="2"/>
      <c r="C191" s="8"/>
      <c r="D191" s="80"/>
      <c r="E191" s="81"/>
      <c r="F191" s="81"/>
      <c r="G191" s="81"/>
      <c r="H191" s="81"/>
      <c r="I191" s="81"/>
      <c r="J191" s="20"/>
      <c r="K191" s="20"/>
      <c r="L191" s="81"/>
      <c r="M191" s="81"/>
      <c r="N191" s="81"/>
      <c r="O191" s="81"/>
      <c r="P191" s="82"/>
      <c r="Q191" s="13"/>
      <c r="R191" s="4"/>
    </row>
    <row r="192" spans="1:18">
      <c r="A192" s="1"/>
      <c r="B192" s="2"/>
      <c r="C192" s="8"/>
      <c r="D192" s="83" t="s">
        <v>10</v>
      </c>
      <c r="E192" s="84"/>
      <c r="F192" s="84"/>
      <c r="G192" s="84"/>
      <c r="H192" s="84"/>
      <c r="I192" s="84"/>
      <c r="J192" s="84"/>
      <c r="K192" s="84"/>
      <c r="L192" s="84"/>
      <c r="M192" s="84"/>
      <c r="N192" s="84"/>
      <c r="O192" s="84"/>
      <c r="P192" s="85"/>
      <c r="Q192" s="86"/>
      <c r="R192" s="4"/>
    </row>
    <row r="193" spans="1:18" ht="15.75" thickBot="1">
      <c r="A193" s="1"/>
      <c r="B193" s="2"/>
      <c r="C193" s="8"/>
      <c r="D193" s="87"/>
      <c r="E193" s="20"/>
      <c r="F193" s="20"/>
      <c r="G193" s="20"/>
      <c r="H193" s="20"/>
      <c r="I193" s="20"/>
      <c r="J193" s="20"/>
      <c r="K193" s="20"/>
      <c r="L193" s="20"/>
      <c r="M193" s="20"/>
      <c r="N193" s="20"/>
      <c r="O193" s="20"/>
      <c r="P193" s="88"/>
      <c r="Q193" s="13"/>
      <c r="R193" s="4"/>
    </row>
    <row r="194" spans="1:18">
      <c r="A194" s="1" t="s">
        <v>11</v>
      </c>
      <c r="B194" s="2" t="s">
        <v>12</v>
      </c>
      <c r="C194" s="8"/>
      <c r="D194" s="89" t="s">
        <v>13</v>
      </c>
      <c r="E194" s="90" t="s">
        <v>14</v>
      </c>
      <c r="F194" s="90"/>
      <c r="G194" s="90"/>
      <c r="H194" s="90"/>
      <c r="I194" s="90"/>
      <c r="J194" s="90"/>
      <c r="K194" s="90"/>
      <c r="L194" s="90"/>
      <c r="M194" s="90"/>
      <c r="N194" s="91" t="s">
        <v>15</v>
      </c>
      <c r="O194" s="91"/>
      <c r="P194" s="92" t="s">
        <v>16</v>
      </c>
      <c r="Q194" s="93"/>
      <c r="R194" s="4"/>
    </row>
    <row r="195" spans="1:18" ht="15.75" thickBot="1">
      <c r="A195" s="1"/>
      <c r="B195" s="2"/>
      <c r="C195" s="8"/>
      <c r="D195" s="349">
        <f>+'PRESUPUESTO OFICIAL '!C32</f>
        <v>2.0299999999999998</v>
      </c>
      <c r="E195" s="94" t="str">
        <f>+VLOOKUP(D195,'PRESUPUESTO OFICIAL '!C:H,2,FALSE)</f>
        <v>PEDESTAL EN CONCRETO f'c = 3000 PSI (21MPa).</v>
      </c>
      <c r="F195" s="94"/>
      <c r="G195" s="94"/>
      <c r="H195" s="94"/>
      <c r="I195" s="94"/>
      <c r="J195" s="94"/>
      <c r="K195" s="94"/>
      <c r="L195" s="94"/>
      <c r="M195" s="94"/>
      <c r="N195" s="94" t="str">
        <f>+VLOOKUP(D195,'PRESUPUESTO OFICIAL '!C:H,3,FALSE)</f>
        <v>M3</v>
      </c>
      <c r="O195" s="95"/>
      <c r="P195" s="96">
        <f>+VLOOKUP(D195,'PRESUPUESTO OFICIAL '!C:H,4,FALSE)</f>
        <v>0.48</v>
      </c>
      <c r="Q195" s="97"/>
      <c r="R195" s="98">
        <f>+P247</f>
        <v>1930936</v>
      </c>
    </row>
    <row r="196" spans="1:18" ht="15.75" thickBot="1">
      <c r="A196" s="1"/>
      <c r="B196" s="2"/>
      <c r="C196" s="8"/>
      <c r="D196" s="74" t="s">
        <v>17</v>
      </c>
      <c r="E196" s="37"/>
      <c r="F196" s="37"/>
      <c r="G196" s="37"/>
      <c r="H196" s="37"/>
      <c r="I196" s="37"/>
      <c r="J196" s="37"/>
      <c r="K196" s="37"/>
      <c r="L196" s="37"/>
      <c r="M196" s="37"/>
      <c r="N196" s="37"/>
      <c r="O196" s="37"/>
      <c r="P196" s="99"/>
      <c r="Q196" s="100"/>
      <c r="R196" s="4"/>
    </row>
    <row r="197" spans="1:18">
      <c r="A197" s="1"/>
      <c r="B197" s="2"/>
      <c r="C197" s="8"/>
      <c r="D197" s="101" t="s">
        <v>14</v>
      </c>
      <c r="E197" s="102"/>
      <c r="F197" s="102"/>
      <c r="G197" s="102"/>
      <c r="H197" s="103"/>
      <c r="I197" s="104" t="s">
        <v>18</v>
      </c>
      <c r="J197" s="102"/>
      <c r="K197" s="104" t="s">
        <v>19</v>
      </c>
      <c r="L197" s="105"/>
      <c r="M197" s="106" t="s">
        <v>20</v>
      </c>
      <c r="N197" s="104" t="s">
        <v>21</v>
      </c>
      <c r="O197" s="105"/>
      <c r="P197" s="107" t="s">
        <v>22</v>
      </c>
      <c r="Q197" s="108"/>
      <c r="R197" s="4"/>
    </row>
    <row r="198" spans="1:18">
      <c r="A198" s="1" t="e">
        <f>[239]INDICE!#REF!</f>
        <v>#REF!</v>
      </c>
      <c r="B198" s="2" t="s">
        <v>23</v>
      </c>
      <c r="C198" s="8"/>
      <c r="D198" s="109" t="str">
        <f>IFERROR(INDEX([239]EQUIPOS!B:B,MATCH(B198,[239]EQUIPOS!A:A,0)),"")</f>
        <v>HERRAMIENTA MENOR (% M.O)</v>
      </c>
      <c r="E198" s="110"/>
      <c r="F198" s="110"/>
      <c r="G198" s="110"/>
      <c r="H198" s="111"/>
      <c r="I198" s="112"/>
      <c r="J198" s="111"/>
      <c r="K198" s="113" t="str">
        <f>IFERROR(INDEX([239]EQUIPOS!C:C,MATCH(B198,[239]EQUIPOS!A:A,0)),"")</f>
        <v>%</v>
      </c>
      <c r="L198" s="114"/>
      <c r="M198" s="115">
        <f>IFERROR(IF(D198="HERRAMIENTA MENOR (% M.O)",P237,INDEX([239]EQUIPOS!D:D,MATCH(B198,[239]EQUIPOS!A:A,0))),"")</f>
        <v>423320.18000000005</v>
      </c>
      <c r="N198" s="116">
        <v>10</v>
      </c>
      <c r="O198" s="117"/>
      <c r="P198" s="118">
        <f t="shared" ref="P198:P203" si="6">IFERROR(ROUND(IF(D198="HERRAMIENTA MENOR (% M.O)",N198%*M198,M198/N198),2)," ")</f>
        <v>42332.02</v>
      </c>
      <c r="Q198" s="119"/>
      <c r="R198" s="4"/>
    </row>
    <row r="199" spans="1:18">
      <c r="A199" s="1">
        <f>+$A$2858</f>
        <v>0</v>
      </c>
      <c r="B199" s="2" t="s">
        <v>271</v>
      </c>
      <c r="C199" s="8"/>
      <c r="D199" s="109" t="str">
        <f>IFERROR(INDEX([239]EQUIPOS!B:B,MATCH(B199,[239]EQUIPOS!A:A,0)),"")</f>
        <v>VIBRADOR PORTÁTIL PARA CONCRETO</v>
      </c>
      <c r="E199" s="110"/>
      <c r="F199" s="110"/>
      <c r="G199" s="110"/>
      <c r="H199" s="111"/>
      <c r="I199" s="112"/>
      <c r="J199" s="111"/>
      <c r="K199" s="113" t="str">
        <f>IFERROR(INDEX([239]EQUIPOS!C:C,MATCH(B199,[239]EQUIPOS!A:A,0)),"")</f>
        <v>DIA</v>
      </c>
      <c r="L199" s="114"/>
      <c r="M199" s="115">
        <f>IFERROR(IF(D199="HERRAMIENTA MENOR (% M.O)",P238,INDEX([239]EQUIPOS!D:D,MATCH(B199,[239]EQUIPOS!A:A,0))),"")</f>
        <v>89075</v>
      </c>
      <c r="N199" s="116">
        <v>10</v>
      </c>
      <c r="O199" s="117"/>
      <c r="P199" s="118">
        <f t="shared" si="6"/>
        <v>8907.5</v>
      </c>
      <c r="Q199" s="119"/>
      <c r="R199" s="4"/>
    </row>
    <row r="200" spans="1:18">
      <c r="A200" s="1">
        <f t="shared" ref="A200:A238" si="7">+A199</f>
        <v>0</v>
      </c>
      <c r="B200" s="2"/>
      <c r="C200" s="8"/>
      <c r="D200" s="109" t="str">
        <f>IFERROR(INDEX([239]EQUIPOS!B:B,MATCH(B200,[239]EQUIPOS!A:A,0)),"")</f>
        <v/>
      </c>
      <c r="E200" s="110"/>
      <c r="F200" s="110"/>
      <c r="G200" s="110"/>
      <c r="H200" s="111"/>
      <c r="I200" s="120"/>
      <c r="J200" s="121"/>
      <c r="K200" s="113" t="str">
        <f>IFERROR(INDEX([239]EQUIPOS!C:C,MATCH(B200,[239]EQUIPOS!A:A,0)),"")</f>
        <v/>
      </c>
      <c r="L200" s="114"/>
      <c r="M200" s="115" t="str">
        <f>IFERROR(IF(D200="HERRAMIENTA MENOR (% M.O)",P239,INDEX([239]EQUIPOS!D:D,MATCH(B200,[239]EQUIPOS!A:A,0))),"")</f>
        <v/>
      </c>
      <c r="N200" s="116"/>
      <c r="O200" s="117"/>
      <c r="P200" s="118" t="str">
        <f t="shared" si="6"/>
        <v xml:space="preserve"> </v>
      </c>
      <c r="Q200" s="119"/>
      <c r="R200" s="4"/>
    </row>
    <row r="201" spans="1:18">
      <c r="A201" s="1">
        <f t="shared" si="7"/>
        <v>0</v>
      </c>
      <c r="B201" s="2"/>
      <c r="C201" s="8"/>
      <c r="D201" s="109" t="str">
        <f>IFERROR(INDEX([239]EQUIPOS!B:B,MATCH(B201,[239]EQUIPOS!A:A,0)),"")</f>
        <v/>
      </c>
      <c r="E201" s="110"/>
      <c r="F201" s="110"/>
      <c r="G201" s="110"/>
      <c r="H201" s="111"/>
      <c r="I201" s="120"/>
      <c r="J201" s="121"/>
      <c r="K201" s="113" t="str">
        <f>IFERROR(INDEX([239]EQUIPOS!C:C,MATCH(B201,[239]EQUIPOS!A:A,0)),"")</f>
        <v/>
      </c>
      <c r="L201" s="114"/>
      <c r="M201" s="115" t="str">
        <f>IFERROR(IF(D201="HERRAMIENTA MENOR (% M.O)",P240,INDEX([239]EQUIPOS!D:D,MATCH(B201,[239]EQUIPOS!A:A,0))),"")</f>
        <v/>
      </c>
      <c r="N201" s="116"/>
      <c r="O201" s="117"/>
      <c r="P201" s="118" t="str">
        <f t="shared" si="6"/>
        <v xml:space="preserve"> </v>
      </c>
      <c r="Q201" s="119"/>
      <c r="R201" s="4"/>
    </row>
    <row r="202" spans="1:18">
      <c r="A202" s="1">
        <f t="shared" si="7"/>
        <v>0</v>
      </c>
      <c r="B202" s="2"/>
      <c r="C202" s="8"/>
      <c r="D202" s="109" t="str">
        <f>IFERROR(INDEX([239]EQUIPOS!B:B,MATCH(B202,[239]EQUIPOS!A:A,0)),"")</f>
        <v/>
      </c>
      <c r="E202" s="110"/>
      <c r="F202" s="110"/>
      <c r="G202" s="110"/>
      <c r="H202" s="111"/>
      <c r="I202" s="112"/>
      <c r="J202" s="111"/>
      <c r="K202" s="113" t="str">
        <f>IFERROR(INDEX([239]EQUIPOS!C:C,MATCH(B202,[239]EQUIPOS!A:A,0)),"")</f>
        <v/>
      </c>
      <c r="L202" s="114"/>
      <c r="M202" s="115" t="str">
        <f>IFERROR(IF(D202="HERRAMIENTA MENOR (% M.O)",P241,INDEX([239]EQUIPOS!D:D,MATCH(B202,[239]EQUIPOS!A:A,0))),"")</f>
        <v/>
      </c>
      <c r="N202" s="116"/>
      <c r="O202" s="117"/>
      <c r="P202" s="118" t="str">
        <f t="shared" si="6"/>
        <v xml:space="preserve"> </v>
      </c>
      <c r="Q202" s="119"/>
      <c r="R202" s="4"/>
    </row>
    <row r="203" spans="1:18" ht="15.75" thickBot="1">
      <c r="A203" s="1">
        <f t="shared" si="7"/>
        <v>0</v>
      </c>
      <c r="B203" s="2"/>
      <c r="C203" s="8"/>
      <c r="D203" s="109" t="str">
        <f>IFERROR(INDEX([239]EQUIPOS!B:B,MATCH(B203,[239]EQUIPOS!A:A,0)),"")</f>
        <v/>
      </c>
      <c r="E203" s="78"/>
      <c r="F203" s="78"/>
      <c r="G203" s="78"/>
      <c r="H203" s="122"/>
      <c r="I203" s="123"/>
      <c r="J203" s="122"/>
      <c r="K203" s="113" t="str">
        <f>IFERROR(INDEX([239]EQUIPOS!C:C,MATCH(B203,[239]EQUIPOS!A:A,0)),"")</f>
        <v/>
      </c>
      <c r="L203" s="124"/>
      <c r="M203" s="115" t="str">
        <f>IFERROR(IF(D203="HERRAMIENTA MENOR (% M.O)",P242,INDEX([239]EQUIPOS!D:D,MATCH(B203,[239]EQUIPOS!A:A,0))),"")</f>
        <v/>
      </c>
      <c r="N203" s="125"/>
      <c r="O203" s="126"/>
      <c r="P203" s="127" t="str">
        <f t="shared" si="6"/>
        <v xml:space="preserve"> </v>
      </c>
      <c r="Q203" s="119"/>
      <c r="R203" s="4"/>
    </row>
    <row r="204" spans="1:18" ht="15.75" thickBot="1">
      <c r="A204" s="1">
        <f t="shared" si="7"/>
        <v>0</v>
      </c>
      <c r="B204" s="2"/>
      <c r="C204" s="8"/>
      <c r="D204" s="128" t="s">
        <v>24</v>
      </c>
      <c r="E204" s="129"/>
      <c r="F204" s="129"/>
      <c r="G204" s="129"/>
      <c r="H204" s="129"/>
      <c r="I204" s="129"/>
      <c r="J204" s="129"/>
      <c r="K204" s="129"/>
      <c r="L204" s="129"/>
      <c r="M204" s="129"/>
      <c r="N204" s="129"/>
      <c r="O204" s="130"/>
      <c r="P204" s="131">
        <f>SUM(P198:P203)</f>
        <v>51239.519999999997</v>
      </c>
      <c r="Q204" s="132"/>
      <c r="R204" s="4"/>
    </row>
    <row r="205" spans="1:18" ht="15.75" thickBot="1">
      <c r="A205" s="1">
        <f t="shared" si="7"/>
        <v>0</v>
      </c>
      <c r="B205" s="2"/>
      <c r="C205" s="8"/>
      <c r="D205" s="74" t="s">
        <v>25</v>
      </c>
      <c r="E205" s="37"/>
      <c r="F205" s="37"/>
      <c r="G205" s="37"/>
      <c r="H205" s="37"/>
      <c r="I205" s="37"/>
      <c r="J205" s="37"/>
      <c r="K205" s="37"/>
      <c r="L205" s="37"/>
      <c r="M205" s="37"/>
      <c r="N205" s="37"/>
      <c r="O205" s="37"/>
      <c r="P205" s="99"/>
      <c r="Q205" s="100"/>
      <c r="R205" s="4"/>
    </row>
    <row r="206" spans="1:18">
      <c r="A206" s="1">
        <f t="shared" si="7"/>
        <v>0</v>
      </c>
      <c r="B206" s="2"/>
      <c r="C206" s="8"/>
      <c r="D206" s="101" t="s">
        <v>14</v>
      </c>
      <c r="E206" s="133"/>
      <c r="F206" s="133"/>
      <c r="G206" s="133"/>
      <c r="H206" s="133"/>
      <c r="I206" s="133"/>
      <c r="J206" s="133"/>
      <c r="K206" s="105"/>
      <c r="L206" s="134" t="s">
        <v>15</v>
      </c>
      <c r="M206" s="106" t="s">
        <v>16</v>
      </c>
      <c r="N206" s="104" t="s">
        <v>26</v>
      </c>
      <c r="O206" s="105"/>
      <c r="P206" s="107" t="s">
        <v>22</v>
      </c>
      <c r="Q206" s="108"/>
      <c r="R206" s="4"/>
    </row>
    <row r="207" spans="1:18">
      <c r="A207" s="1">
        <f t="shared" si="7"/>
        <v>0</v>
      </c>
      <c r="B207" s="2" t="s">
        <v>272</v>
      </c>
      <c r="C207" s="8"/>
      <c r="D207" s="109" t="str">
        <f>IFERROR(INDEX([239]MATERIALES!C:C,MATCH(B207,[239]MATERIALES!B:B,0)),"")</f>
        <v>CONCRETO DE 3000 PSI (1:2:3)</v>
      </c>
      <c r="E207" s="135"/>
      <c r="F207" s="135"/>
      <c r="G207" s="135"/>
      <c r="H207" s="135"/>
      <c r="I207" s="135"/>
      <c r="J207" s="135"/>
      <c r="K207" s="136"/>
      <c r="L207" s="137" t="str">
        <f>IFERROR(INDEX([239]MATERIALES!D:D,MATCH(B207,[239]MATERIALES!B:B,0)),"")</f>
        <v>M3</v>
      </c>
      <c r="M207" s="138">
        <v>1</v>
      </c>
      <c r="N207" s="139">
        <f>IFERROR(INDEX([239]MATERIALES!P:P,MATCH(B207,[239]MATERIALES!B:B,0)),"")</f>
        <v>765149.14</v>
      </c>
      <c r="O207" s="140"/>
      <c r="P207" s="118">
        <f>IFERROR(ROUND(N207*M207,2),"")</f>
        <v>765149.14</v>
      </c>
      <c r="Q207" s="119"/>
      <c r="R207" s="4"/>
    </row>
    <row r="208" spans="1:18">
      <c r="A208" s="2">
        <f t="shared" si="7"/>
        <v>0</v>
      </c>
      <c r="B208" s="2" t="s">
        <v>273</v>
      </c>
      <c r="C208" s="8"/>
      <c r="D208" s="109" t="str">
        <f>IFERROR(INDEX([239]MATERIALES!C:C,MATCH(B208,[239]MATERIALES!B:B,0)),"")</f>
        <v>TABLA BURRA ORDINARIA 10" x 1" x 3m</v>
      </c>
      <c r="E208" s="135"/>
      <c r="F208" s="135"/>
      <c r="G208" s="135"/>
      <c r="H208" s="135"/>
      <c r="I208" s="135"/>
      <c r="J208" s="135"/>
      <c r="K208" s="136"/>
      <c r="L208" s="137" t="str">
        <f>IFERROR(INDEX([239]MATERIALES!D:D,MATCH(B208,[239]MATERIALES!B:B,0)),"")</f>
        <v>UND</v>
      </c>
      <c r="M208" s="353">
        <v>4.7222222222222214</v>
      </c>
      <c r="N208" s="354">
        <f>IFERROR(INDEX([239]MATERIALES!P:P,MATCH(B208,[239]MATERIALES!B:B,0)),"")</f>
        <v>22000</v>
      </c>
      <c r="O208" s="355"/>
      <c r="P208" s="356">
        <f>IFERROR(ROUND(N208*M208,2),"")</f>
        <v>103888.89</v>
      </c>
      <c r="Q208" s="119"/>
      <c r="R208" s="4"/>
    </row>
    <row r="209" spans="1:18">
      <c r="A209" s="2">
        <f t="shared" si="7"/>
        <v>0</v>
      </c>
      <c r="B209" s="2" t="s">
        <v>274</v>
      </c>
      <c r="C209" s="8"/>
      <c r="D209" s="109" t="str">
        <f>IFERROR(INDEX([239]MATERIALES!C:C,MATCH(B209,[239]MATERIALES!B:B,0)),"")</f>
        <v>LISTÓN DE MADERA 2" x 2" x 3 m</v>
      </c>
      <c r="E209" s="110"/>
      <c r="F209" s="110"/>
      <c r="G209" s="110"/>
      <c r="H209" s="110"/>
      <c r="I209" s="110"/>
      <c r="J209" s="110"/>
      <c r="K209" s="111"/>
      <c r="L209" s="137" t="str">
        <f>IFERROR(INDEX([239]MATERIALES!D:D,MATCH(B209,[239]MATERIALES!B:B,0)),"")</f>
        <v>UND</v>
      </c>
      <c r="M209" s="353">
        <v>4.8214285714285712</v>
      </c>
      <c r="N209" s="354">
        <f>IFERROR(INDEX([239]MATERIALES!P:P,MATCH(B209,[239]MATERIALES!B:B,0)),"")</f>
        <v>9900</v>
      </c>
      <c r="O209" s="355"/>
      <c r="P209" s="356">
        <f>IFERROR(ROUND(N209*M209,2),"")</f>
        <v>47732.14</v>
      </c>
      <c r="Q209" s="119"/>
      <c r="R209" s="4"/>
    </row>
    <row r="210" spans="1:18">
      <c r="A210" s="2">
        <f t="shared" si="7"/>
        <v>0</v>
      </c>
      <c r="B210" s="2" t="s">
        <v>275</v>
      </c>
      <c r="C210" s="8"/>
      <c r="D210" s="109" t="str">
        <f>IFERROR(INDEX([239]MATERIALES!C:C,MATCH(B210,[239]MATERIALES!B:B,0)),"")</f>
        <v>PUNTILLA 2-1/2"</v>
      </c>
      <c r="E210" s="110"/>
      <c r="F210" s="110"/>
      <c r="G210" s="110"/>
      <c r="H210" s="110"/>
      <c r="I210" s="110"/>
      <c r="J210" s="110"/>
      <c r="K210" s="111"/>
      <c r="L210" s="137" t="str">
        <f>IFERROR(INDEX([239]MATERIALES!D:D,MATCH(B210,[239]MATERIALES!B:B,0)),"")</f>
        <v>LB</v>
      </c>
      <c r="M210" s="353">
        <v>2.1158854166666665</v>
      </c>
      <c r="N210" s="354">
        <f>IFERROR(INDEX([239]MATERIALES!P:P,MATCH(B210,[239]MATERIALES!B:B,0)),"")</f>
        <v>6600</v>
      </c>
      <c r="O210" s="355"/>
      <c r="P210" s="356">
        <f>IFERROR(ROUND(N210*M210,2),"")</f>
        <v>13964.84</v>
      </c>
      <c r="Q210" s="119"/>
      <c r="R210" s="4"/>
    </row>
    <row r="211" spans="1:18">
      <c r="A211" s="2">
        <f t="shared" si="7"/>
        <v>0</v>
      </c>
      <c r="B211" s="2"/>
      <c r="C211" s="8"/>
      <c r="D211" s="109" t="str">
        <f>IFERROR(INDEX([239]MATERIALES!C:C,MATCH(B211,[239]MATERIALES!B:B,0)),"")</f>
        <v/>
      </c>
      <c r="E211" s="110"/>
      <c r="F211" s="110"/>
      <c r="G211" s="110"/>
      <c r="H211" s="110"/>
      <c r="I211" s="110"/>
      <c r="J211" s="110"/>
      <c r="K211" s="111"/>
      <c r="L211" s="137" t="str">
        <f>IFERROR(INDEX([239]MATERIALES!D:D,MATCH(B211,[239]MATERIALES!B:B,0)),"")</f>
        <v/>
      </c>
      <c r="M211" s="353"/>
      <c r="N211" s="354" t="str">
        <f>IFERROR(INDEX([239]MATERIALES!P:P,MATCH(B211,[239]MATERIALES!B:B,0)),"")</f>
        <v/>
      </c>
      <c r="O211" s="355"/>
      <c r="P211" s="356" t="str">
        <f t="shared" ref="P211:P220" si="8">IFERROR(ROUND(N211*M211,2),"")</f>
        <v/>
      </c>
      <c r="Q211" s="119"/>
      <c r="R211" s="4"/>
    </row>
    <row r="212" spans="1:18">
      <c r="A212" s="1">
        <f t="shared" si="7"/>
        <v>0</v>
      </c>
      <c r="B212" s="2"/>
      <c r="C212" s="8"/>
      <c r="D212" s="109" t="str">
        <f>IFERROR(INDEX([239]MATERIALES!C:C,MATCH(B212,[239]MATERIALES!B:B,0)),"")</f>
        <v/>
      </c>
      <c r="E212" s="110"/>
      <c r="F212" s="110"/>
      <c r="G212" s="110"/>
      <c r="H212" s="110"/>
      <c r="I212" s="110"/>
      <c r="J212" s="110"/>
      <c r="K212" s="111"/>
      <c r="L212" s="137" t="str">
        <f>IFERROR(INDEX([239]MATERIALES!D:D,MATCH(B212,[239]MATERIALES!B:B,0)),"")</f>
        <v/>
      </c>
      <c r="M212" s="138"/>
      <c r="N212" s="139" t="str">
        <f>IFERROR(INDEX([239]MATERIALES!P:P,MATCH(B212,[239]MATERIALES!B:B,0)),"")</f>
        <v/>
      </c>
      <c r="O212" s="140"/>
      <c r="P212" s="118" t="str">
        <f t="shared" si="8"/>
        <v/>
      </c>
      <c r="Q212" s="119"/>
      <c r="R212" s="4"/>
    </row>
    <row r="213" spans="1:18">
      <c r="A213" s="1">
        <f t="shared" si="7"/>
        <v>0</v>
      </c>
      <c r="B213" s="2"/>
      <c r="C213" s="8"/>
      <c r="D213" s="109" t="str">
        <f>IFERROR(INDEX([239]MATERIALES!C:C,MATCH(B213,[239]MATERIALES!B:B,0)),"")</f>
        <v/>
      </c>
      <c r="E213" s="110"/>
      <c r="F213" s="110"/>
      <c r="G213" s="110"/>
      <c r="H213" s="110"/>
      <c r="I213" s="110"/>
      <c r="J213" s="110"/>
      <c r="K213" s="111"/>
      <c r="L213" s="137" t="str">
        <f>IFERROR(INDEX([239]MATERIALES!D:D,MATCH(B213,[239]MATERIALES!B:B,0)),"")</f>
        <v/>
      </c>
      <c r="M213" s="138"/>
      <c r="N213" s="139" t="str">
        <f>IFERROR(INDEX([239]MATERIALES!P:P,MATCH(B213,[239]MATERIALES!B:B,0)),"")</f>
        <v/>
      </c>
      <c r="O213" s="140"/>
      <c r="P213" s="118" t="str">
        <f t="shared" si="8"/>
        <v/>
      </c>
      <c r="Q213" s="119"/>
      <c r="R213" s="4"/>
    </row>
    <row r="214" spans="1:18">
      <c r="A214" s="1">
        <f t="shared" si="7"/>
        <v>0</v>
      </c>
      <c r="B214" s="2"/>
      <c r="C214" s="8"/>
      <c r="D214" s="109" t="str">
        <f>IFERROR(INDEX([239]MATERIALES!C:C,MATCH(B214,[239]MATERIALES!B:B,0)),"")</f>
        <v/>
      </c>
      <c r="E214" s="110"/>
      <c r="F214" s="110"/>
      <c r="G214" s="110"/>
      <c r="H214" s="110"/>
      <c r="I214" s="110"/>
      <c r="J214" s="110"/>
      <c r="K214" s="111"/>
      <c r="L214" s="137" t="str">
        <f>IFERROR(INDEX([239]MATERIALES!D:D,MATCH(B214,[239]MATERIALES!B:B,0)),"")</f>
        <v/>
      </c>
      <c r="M214" s="138"/>
      <c r="N214" s="139" t="str">
        <f>IFERROR(INDEX([239]MATERIALES!P:P,MATCH(B214,[239]MATERIALES!B:B,0)),"")</f>
        <v/>
      </c>
      <c r="O214" s="140"/>
      <c r="P214" s="118" t="str">
        <f t="shared" si="8"/>
        <v/>
      </c>
      <c r="Q214" s="119"/>
      <c r="R214" s="4"/>
    </row>
    <row r="215" spans="1:18">
      <c r="A215" s="1">
        <f t="shared" si="7"/>
        <v>0</v>
      </c>
      <c r="B215" s="2"/>
      <c r="C215" s="8"/>
      <c r="D215" s="109" t="str">
        <f>IFERROR(INDEX([239]MATERIALES!C:C,MATCH(B215,[239]MATERIALES!B:B,0)),"")</f>
        <v/>
      </c>
      <c r="E215" s="110"/>
      <c r="F215" s="110"/>
      <c r="G215" s="110"/>
      <c r="H215" s="110"/>
      <c r="I215" s="110"/>
      <c r="J215" s="110"/>
      <c r="K215" s="111"/>
      <c r="L215" s="137" t="str">
        <f>IFERROR(INDEX([239]MATERIALES!D:D,MATCH(B215,[239]MATERIALES!B:B,0)),"")</f>
        <v/>
      </c>
      <c r="M215" s="138"/>
      <c r="N215" s="139" t="str">
        <f>IFERROR(INDEX([239]MATERIALES!P:P,MATCH(B215,[239]MATERIALES!B:B,0)),"")</f>
        <v/>
      </c>
      <c r="O215" s="140"/>
      <c r="P215" s="118" t="str">
        <f t="shared" si="8"/>
        <v/>
      </c>
      <c r="Q215" s="119"/>
      <c r="R215" s="4"/>
    </row>
    <row r="216" spans="1:18">
      <c r="A216" s="1">
        <f t="shared" si="7"/>
        <v>0</v>
      </c>
      <c r="B216" s="2"/>
      <c r="C216" s="8"/>
      <c r="D216" s="109" t="str">
        <f>IFERROR(INDEX([239]MATERIALES!C:C,MATCH(B216,[239]MATERIALES!B:B,0)),"")</f>
        <v/>
      </c>
      <c r="E216" s="110"/>
      <c r="F216" s="110"/>
      <c r="G216" s="110"/>
      <c r="H216" s="110"/>
      <c r="I216" s="110"/>
      <c r="J216" s="110"/>
      <c r="K216" s="111"/>
      <c r="L216" s="137" t="str">
        <f>IFERROR(INDEX([239]MATERIALES!D:D,MATCH(B216,[239]MATERIALES!B:B,0)),"")</f>
        <v/>
      </c>
      <c r="M216" s="138"/>
      <c r="N216" s="139" t="str">
        <f>IFERROR(INDEX([239]MATERIALES!P:P,MATCH(B216,[239]MATERIALES!B:B,0)),"")</f>
        <v/>
      </c>
      <c r="O216" s="140"/>
      <c r="P216" s="118" t="str">
        <f t="shared" si="8"/>
        <v/>
      </c>
      <c r="Q216" s="119"/>
      <c r="R216" s="4"/>
    </row>
    <row r="217" spans="1:18">
      <c r="A217" s="1">
        <f t="shared" si="7"/>
        <v>0</v>
      </c>
      <c r="B217" s="2"/>
      <c r="C217" s="8"/>
      <c r="D217" s="109" t="str">
        <f>IFERROR(INDEX([239]MATERIALES!C:C,MATCH(B217,[239]MATERIALES!B:B,0)),"")</f>
        <v/>
      </c>
      <c r="E217" s="110"/>
      <c r="F217" s="110"/>
      <c r="G217" s="110"/>
      <c r="H217" s="110"/>
      <c r="I217" s="110"/>
      <c r="J217" s="110"/>
      <c r="K217" s="111"/>
      <c r="L217" s="137" t="str">
        <f>IFERROR(INDEX([239]MATERIALES!D:D,MATCH(B217,[239]MATERIALES!B:B,0)),"")</f>
        <v/>
      </c>
      <c r="M217" s="138"/>
      <c r="N217" s="139" t="str">
        <f>IFERROR(INDEX([239]MATERIALES!P:P,MATCH(B217,[239]MATERIALES!B:B,0)),"")</f>
        <v/>
      </c>
      <c r="O217" s="140"/>
      <c r="P217" s="118" t="str">
        <f t="shared" si="8"/>
        <v/>
      </c>
      <c r="Q217" s="119"/>
      <c r="R217" s="4"/>
    </row>
    <row r="218" spans="1:18">
      <c r="A218" s="1">
        <f t="shared" si="7"/>
        <v>0</v>
      </c>
      <c r="B218" s="2"/>
      <c r="C218" s="8"/>
      <c r="D218" s="109" t="str">
        <f>IFERROR(INDEX([239]MATERIALES!C:C,MATCH(B218,[239]MATERIALES!B:B,0)),"")</f>
        <v/>
      </c>
      <c r="E218" s="110"/>
      <c r="F218" s="110"/>
      <c r="G218" s="110"/>
      <c r="H218" s="110"/>
      <c r="I218" s="110"/>
      <c r="J218" s="110"/>
      <c r="K218" s="111"/>
      <c r="L218" s="137" t="str">
        <f>IFERROR(INDEX([239]MATERIALES!D:D,MATCH(B218,[239]MATERIALES!B:B,0)),"")</f>
        <v/>
      </c>
      <c r="M218" s="138"/>
      <c r="N218" s="139" t="str">
        <f>IFERROR(INDEX([239]MATERIALES!P:P,MATCH(B218,[239]MATERIALES!B:B,0)),"")</f>
        <v/>
      </c>
      <c r="O218" s="140"/>
      <c r="P218" s="118" t="str">
        <f t="shared" si="8"/>
        <v/>
      </c>
      <c r="Q218" s="119"/>
      <c r="R218" s="4"/>
    </row>
    <row r="219" spans="1:18">
      <c r="A219" s="1">
        <f t="shared" si="7"/>
        <v>0</v>
      </c>
      <c r="B219" s="2"/>
      <c r="C219" s="8"/>
      <c r="D219" s="109" t="str">
        <f>IFERROR(INDEX([239]MATERIALES!C:C,MATCH(B219,[239]MATERIALES!B:B,0)),"")</f>
        <v/>
      </c>
      <c r="E219" s="110"/>
      <c r="F219" s="110"/>
      <c r="G219" s="110"/>
      <c r="H219" s="110"/>
      <c r="I219" s="110"/>
      <c r="J219" s="110"/>
      <c r="K219" s="111"/>
      <c r="L219" s="137" t="str">
        <f>IFERROR(INDEX([239]MATERIALES!D:D,MATCH(B219,[239]MATERIALES!B:B,0)),"")</f>
        <v/>
      </c>
      <c r="M219" s="138"/>
      <c r="N219" s="139" t="str">
        <f>IFERROR(INDEX([239]MATERIALES!P:P,MATCH(B219,[239]MATERIALES!B:B,0)),"")</f>
        <v/>
      </c>
      <c r="O219" s="140"/>
      <c r="P219" s="118" t="str">
        <f t="shared" si="8"/>
        <v/>
      </c>
      <c r="Q219" s="119"/>
      <c r="R219" s="4"/>
    </row>
    <row r="220" spans="1:18">
      <c r="A220" s="1">
        <f t="shared" si="7"/>
        <v>0</v>
      </c>
      <c r="B220" s="2"/>
      <c r="C220" s="8"/>
      <c r="D220" s="109" t="str">
        <f>IFERROR(INDEX([239]MATERIALES!C:C,MATCH(B220,[239]MATERIALES!B:B,0)),"")</f>
        <v/>
      </c>
      <c r="E220" s="110"/>
      <c r="F220" s="110"/>
      <c r="G220" s="110"/>
      <c r="H220" s="110"/>
      <c r="I220" s="110"/>
      <c r="J220" s="110"/>
      <c r="K220" s="111"/>
      <c r="L220" s="137" t="str">
        <f>IFERROR(INDEX([239]MATERIALES!D:D,MATCH(B220,[239]MATERIALES!B:B,0)),"")</f>
        <v/>
      </c>
      <c r="M220" s="138"/>
      <c r="N220" s="139" t="str">
        <f>IFERROR(INDEX([239]MATERIALES!P:P,MATCH(B220,[239]MATERIALES!B:B,0)),"")</f>
        <v/>
      </c>
      <c r="O220" s="140"/>
      <c r="P220" s="118" t="str">
        <f t="shared" si="8"/>
        <v/>
      </c>
      <c r="Q220" s="119"/>
      <c r="R220" s="4"/>
    </row>
    <row r="221" spans="1:18" ht="15.75" thickBot="1">
      <c r="A221" s="1">
        <f t="shared" si="7"/>
        <v>0</v>
      </c>
      <c r="B221" s="2"/>
      <c r="C221" s="8"/>
      <c r="D221" s="109" t="s">
        <v>28</v>
      </c>
      <c r="E221" s="110"/>
      <c r="F221" s="110"/>
      <c r="G221" s="110"/>
      <c r="H221" s="110"/>
      <c r="I221" s="110"/>
      <c r="J221" s="110"/>
      <c r="K221" s="111"/>
      <c r="L221" s="137" t="s">
        <v>29</v>
      </c>
      <c r="M221" s="138">
        <v>0.05</v>
      </c>
      <c r="N221" s="139">
        <f>SUM(P207:P220)</f>
        <v>930735.01</v>
      </c>
      <c r="O221" s="140"/>
      <c r="P221" s="118">
        <f>ROUND(N221*M221,2)</f>
        <v>46536.75</v>
      </c>
      <c r="Q221" s="119"/>
      <c r="R221" s="4"/>
    </row>
    <row r="222" spans="1:18" ht="15.75" thickBot="1">
      <c r="A222" s="1">
        <f t="shared" si="7"/>
        <v>0</v>
      </c>
      <c r="B222" s="2"/>
      <c r="C222" s="8"/>
      <c r="D222" s="128" t="s">
        <v>24</v>
      </c>
      <c r="E222" s="129"/>
      <c r="F222" s="129"/>
      <c r="G222" s="129"/>
      <c r="H222" s="129"/>
      <c r="I222" s="129"/>
      <c r="J222" s="129"/>
      <c r="K222" s="129"/>
      <c r="L222" s="129"/>
      <c r="M222" s="129"/>
      <c r="N222" s="129"/>
      <c r="O222" s="130"/>
      <c r="P222" s="131">
        <f>SUM(P207:P221)</f>
        <v>977271.76</v>
      </c>
      <c r="Q222" s="119"/>
      <c r="R222" s="4"/>
    </row>
    <row r="223" spans="1:18" ht="15.75" thickBot="1">
      <c r="A223" s="1">
        <f t="shared" si="7"/>
        <v>0</v>
      </c>
      <c r="B223" s="2"/>
      <c r="C223" s="8"/>
      <c r="D223" s="74" t="s">
        <v>30</v>
      </c>
      <c r="E223" s="37"/>
      <c r="F223" s="37"/>
      <c r="G223" s="37"/>
      <c r="H223" s="37"/>
      <c r="I223" s="37"/>
      <c r="J223" s="37"/>
      <c r="K223" s="37"/>
      <c r="L223" s="37"/>
      <c r="M223" s="37"/>
      <c r="N223" s="37"/>
      <c r="O223" s="37"/>
      <c r="P223" s="99"/>
      <c r="Q223" s="100"/>
      <c r="R223" s="4"/>
    </row>
    <row r="224" spans="1:18">
      <c r="A224" s="1">
        <f t="shared" si="7"/>
        <v>0</v>
      </c>
      <c r="B224" s="2"/>
      <c r="C224" s="8"/>
      <c r="D224" s="101" t="s">
        <v>31</v>
      </c>
      <c r="E224" s="133"/>
      <c r="F224" s="133"/>
      <c r="G224" s="133"/>
      <c r="H224" s="133"/>
      <c r="I224" s="133"/>
      <c r="J224" s="133"/>
      <c r="K224" s="106" t="s">
        <v>32</v>
      </c>
      <c r="L224" s="141" t="s">
        <v>33</v>
      </c>
      <c r="M224" s="106" t="s">
        <v>34</v>
      </c>
      <c r="N224" s="104" t="s">
        <v>20</v>
      </c>
      <c r="O224" s="105"/>
      <c r="P224" s="107" t="s">
        <v>22</v>
      </c>
      <c r="Q224" s="108"/>
      <c r="R224" s="4"/>
    </row>
    <row r="225" spans="1:18">
      <c r="A225" s="1">
        <f t="shared" si="7"/>
        <v>0</v>
      </c>
      <c r="B225" s="2"/>
      <c r="C225" s="8"/>
      <c r="D225" s="142" t="str">
        <f>IFERROR(INDEX([239]TRANSPORTES!B:B,MATCH(B225,[239]TRANSPORTES!A:A,0)),"")</f>
        <v/>
      </c>
      <c r="E225" s="143"/>
      <c r="F225" s="143"/>
      <c r="G225" s="143"/>
      <c r="H225" s="143"/>
      <c r="I225" s="143"/>
      <c r="J225" s="143"/>
      <c r="K225" s="220"/>
      <c r="L225" s="145"/>
      <c r="M225" s="146" t="str">
        <f>IFERROR(INDEX([239]TRANSPORTES!C:C,MATCH(B225,[239]TRANSPORTES!A:A,0)),"")</f>
        <v/>
      </c>
      <c r="N225" s="139" t="str">
        <f>IFERROR(INDEX([239]TRANSPORTES!D:D,MATCH(B225,[239]TRANSPORTES!A:A,0)),"")</f>
        <v/>
      </c>
      <c r="O225" s="147"/>
      <c r="P225" s="148" t="str">
        <f>IFERROR(ROUND(K225*N225*L225,2),"")</f>
        <v/>
      </c>
      <c r="Q225" s="119"/>
      <c r="R225" s="4"/>
    </row>
    <row r="226" spans="1:18">
      <c r="A226" s="1">
        <f t="shared" si="7"/>
        <v>0</v>
      </c>
      <c r="B226" s="2"/>
      <c r="C226" s="8"/>
      <c r="D226" s="142" t="str">
        <f>IFERROR(INDEX([239]TRANSPORTES!B:B,MATCH(B226,[239]TRANSPORTES!A:A,0)),"")</f>
        <v/>
      </c>
      <c r="E226" s="143"/>
      <c r="F226" s="143"/>
      <c r="G226" s="143"/>
      <c r="H226" s="143"/>
      <c r="I226" s="143"/>
      <c r="J226" s="143"/>
      <c r="K226" s="144"/>
      <c r="L226" s="145"/>
      <c r="M226" s="146" t="str">
        <f>IFERROR(INDEX([239]TRANSPORTES!C:C,MATCH(B226,[239]TRANSPORTES!A:A,0)),"")</f>
        <v/>
      </c>
      <c r="N226" s="139" t="str">
        <f>IFERROR(INDEX([239]TRANSPORTES!D:D,MATCH(B226,[239]TRANSPORTES!A:A,0)),"")</f>
        <v/>
      </c>
      <c r="O226" s="147"/>
      <c r="P226" s="148" t="str">
        <f>IFERROR(ROUND(K226*N226*L226,2),"")</f>
        <v/>
      </c>
      <c r="Q226" s="119"/>
      <c r="R226" s="4"/>
    </row>
    <row r="227" spans="1:18">
      <c r="A227" s="1">
        <f t="shared" si="7"/>
        <v>0</v>
      </c>
      <c r="B227" s="2"/>
      <c r="C227" s="8"/>
      <c r="D227" s="142" t="str">
        <f>IFERROR(INDEX([239]TRANSPORTES!B:B,MATCH(B227,[239]TRANSPORTES!A:A,0)),"")</f>
        <v/>
      </c>
      <c r="E227" s="143"/>
      <c r="F227" s="143"/>
      <c r="G227" s="143"/>
      <c r="H227" s="143"/>
      <c r="I227" s="143"/>
      <c r="J227" s="143"/>
      <c r="K227" s="144"/>
      <c r="L227" s="145"/>
      <c r="M227" s="146" t="str">
        <f>IFERROR(INDEX([239]TRANSPORTES!C:C,MATCH(B227,[239]TRANSPORTES!A:A,0)),"")</f>
        <v/>
      </c>
      <c r="N227" s="139" t="str">
        <f>IFERROR(INDEX([239]TRANSPORTES!D:D,MATCH(B227,[239]TRANSPORTES!A:A,0)),"")</f>
        <v/>
      </c>
      <c r="O227" s="147"/>
      <c r="P227" s="148" t="str">
        <f>IFERROR(ROUND(K227*N227*L227,2),"")</f>
        <v/>
      </c>
      <c r="Q227" s="119"/>
      <c r="R227" s="4"/>
    </row>
    <row r="228" spans="1:18" ht="15.75" thickBot="1">
      <c r="A228" s="1">
        <f t="shared" si="7"/>
        <v>0</v>
      </c>
      <c r="B228" s="2"/>
      <c r="C228" s="8"/>
      <c r="D228" s="142" t="str">
        <f>IFERROR(INDEX([239]TRANSPORTES!B:B,MATCH(B228,[239]TRANSPORTES!A:A,0)),"")</f>
        <v/>
      </c>
      <c r="E228" s="143"/>
      <c r="F228" s="143"/>
      <c r="G228" s="143"/>
      <c r="H228" s="143"/>
      <c r="I228" s="143"/>
      <c r="J228" s="143"/>
      <c r="K228" s="149"/>
      <c r="L228" s="150"/>
      <c r="M228" s="146" t="str">
        <f>IFERROR(INDEX([239]TRANSPORTES!C:C,MATCH(B228,[239]TRANSPORTES!A:A,0)),"")</f>
        <v/>
      </c>
      <c r="N228" s="139" t="str">
        <f>IFERROR(INDEX([239]TRANSPORTES!D:D,MATCH(B228,[239]TRANSPORTES!A:A,0)),"")</f>
        <v/>
      </c>
      <c r="O228" s="147"/>
      <c r="P228" s="148" t="str">
        <f>IFERROR(ROUND(K228*N228*L228,2),"")</f>
        <v/>
      </c>
      <c r="Q228" s="119"/>
      <c r="R228" s="4"/>
    </row>
    <row r="229" spans="1:18" ht="15.75" thickBot="1">
      <c r="A229" s="1">
        <f t="shared" si="7"/>
        <v>0</v>
      </c>
      <c r="B229" s="2"/>
      <c r="C229" s="8"/>
      <c r="D229" s="128" t="s">
        <v>24</v>
      </c>
      <c r="E229" s="129"/>
      <c r="F229" s="129"/>
      <c r="G229" s="129"/>
      <c r="H229" s="129"/>
      <c r="I229" s="129"/>
      <c r="J229" s="129"/>
      <c r="K229" s="129"/>
      <c r="L229" s="129"/>
      <c r="M229" s="129"/>
      <c r="N229" s="129"/>
      <c r="O229" s="130"/>
      <c r="P229" s="151">
        <f>SUM(P225:P228)</f>
        <v>0</v>
      </c>
      <c r="Q229" s="132"/>
      <c r="R229" s="4"/>
    </row>
    <row r="230" spans="1:18" ht="15.75" thickBot="1">
      <c r="A230" s="1">
        <f t="shared" si="7"/>
        <v>0</v>
      </c>
      <c r="B230" s="2"/>
      <c r="C230" s="8"/>
      <c r="D230" s="74" t="s">
        <v>36</v>
      </c>
      <c r="E230" s="37"/>
      <c r="F230" s="37"/>
      <c r="G230" s="37"/>
      <c r="H230" s="37"/>
      <c r="I230" s="37"/>
      <c r="J230" s="37"/>
      <c r="K230" s="37"/>
      <c r="L230" s="37"/>
      <c r="M230" s="37"/>
      <c r="N230" s="37"/>
      <c r="O230" s="37"/>
      <c r="P230" s="99"/>
      <c r="Q230" s="100"/>
      <c r="R230" s="4"/>
    </row>
    <row r="231" spans="1:18" ht="30">
      <c r="A231" s="1">
        <f t="shared" si="7"/>
        <v>0</v>
      </c>
      <c r="B231" s="2"/>
      <c r="C231" s="8"/>
      <c r="D231" s="101" t="s">
        <v>37</v>
      </c>
      <c r="E231" s="133"/>
      <c r="F231" s="133"/>
      <c r="G231" s="133"/>
      <c r="H231" s="133"/>
      <c r="I231" s="133"/>
      <c r="J231" s="133"/>
      <c r="K231" s="106" t="s">
        <v>38</v>
      </c>
      <c r="L231" s="152" t="s">
        <v>39</v>
      </c>
      <c r="M231" s="153" t="s">
        <v>40</v>
      </c>
      <c r="N231" s="104" t="s">
        <v>21</v>
      </c>
      <c r="O231" s="105"/>
      <c r="P231" s="154" t="s">
        <v>22</v>
      </c>
      <c r="Q231" s="155"/>
      <c r="R231" s="4"/>
    </row>
    <row r="232" spans="1:18">
      <c r="A232" s="2">
        <f t="shared" si="7"/>
        <v>0</v>
      </c>
      <c r="B232" s="2" t="s">
        <v>41</v>
      </c>
      <c r="C232" s="8"/>
      <c r="D232" s="109" t="str">
        <f>IFERROR(INDEX('[239]MANO DE OBRA'!B:B,MATCH(B232,'[239]MANO DE OBRA'!A:A,0)),"")</f>
        <v>OFICIAL</v>
      </c>
      <c r="E232" s="110"/>
      <c r="F232" s="110"/>
      <c r="G232" s="110"/>
      <c r="H232" s="110"/>
      <c r="I232" s="110"/>
      <c r="J232" s="111"/>
      <c r="K232" s="357">
        <f>IFERROR(INDEX('[239]MANO DE OBRA'!D:D,MATCH(B232,'[239]MANO DE OBRA'!A:A,0)),"")</f>
        <v>95930</v>
      </c>
      <c r="L232" s="358">
        <f>+IF(D232&lt;&gt;"",'[239]FACTOR PRESTACIONAL'!$E$21," ")</f>
        <v>1.95</v>
      </c>
      <c r="M232" s="359">
        <f>IFERROR(K232*L232," ")</f>
        <v>187063.5</v>
      </c>
      <c r="N232" s="159">
        <v>1.1000000000000001</v>
      </c>
      <c r="O232" s="160"/>
      <c r="P232" s="360">
        <f>IFERROR(ROUND(M232/N232,2)," ")</f>
        <v>170057.73</v>
      </c>
      <c r="Q232" s="162"/>
      <c r="R232" s="4"/>
    </row>
    <row r="233" spans="1:18">
      <c r="A233" s="2">
        <f t="shared" si="7"/>
        <v>0</v>
      </c>
      <c r="B233" s="2" t="s">
        <v>42</v>
      </c>
      <c r="C233" s="8"/>
      <c r="D233" s="109" t="str">
        <f>IFERROR(INDEX('[239]MANO DE OBRA'!B:B,MATCH(B233,'[239]MANO DE OBRA'!A:A,0)),"")</f>
        <v>AYUDANTE (2)</v>
      </c>
      <c r="E233" s="110"/>
      <c r="F233" s="110"/>
      <c r="G233" s="110"/>
      <c r="H233" s="110"/>
      <c r="I233" s="110"/>
      <c r="J233" s="111"/>
      <c r="K233" s="357">
        <f>IFERROR(INDEX('[239]MANO DE OBRA'!D:D,MATCH(B233,'[239]MANO DE OBRA'!A:A,0)),"")</f>
        <v>142866</v>
      </c>
      <c r="L233" s="358">
        <f>+IF(D233&lt;&gt;"",'[239]FACTOR PRESTACIONAL'!$E$21," ")</f>
        <v>1.95</v>
      </c>
      <c r="M233" s="359">
        <f>IFERROR(K233*L233," ")</f>
        <v>278588.7</v>
      </c>
      <c r="N233" s="159">
        <v>1.1000000000000001</v>
      </c>
      <c r="O233" s="160"/>
      <c r="P233" s="360">
        <f>IFERROR(ROUND(M233/N233,2)," ")</f>
        <v>253262.45</v>
      </c>
      <c r="Q233" s="162"/>
      <c r="R233" s="4"/>
    </row>
    <row r="234" spans="1:18">
      <c r="A234" s="1">
        <f t="shared" si="7"/>
        <v>0</v>
      </c>
      <c r="B234" s="2"/>
      <c r="C234" s="8"/>
      <c r="D234" s="109" t="str">
        <f>IFERROR(INDEX('[239]MANO DE OBRA'!B:B,MATCH(B234,'[239]MANO DE OBRA'!A:A,0)),"")</f>
        <v/>
      </c>
      <c r="E234" s="110"/>
      <c r="F234" s="110"/>
      <c r="G234" s="110"/>
      <c r="H234" s="110"/>
      <c r="I234" s="110"/>
      <c r="J234" s="111"/>
      <c r="K234" s="156" t="str">
        <f>IFERROR(INDEX('[239]MANO DE OBRA'!D:D,MATCH(B234,'[239]MANO DE OBRA'!A:A,0)),"")</f>
        <v/>
      </c>
      <c r="L234" s="157" t="str">
        <f>+IF(D234&lt;&gt;"",'[239]FACTOR PRESTACIONAL'!$E$21," ")</f>
        <v xml:space="preserve"> </v>
      </c>
      <c r="M234" s="158" t="str">
        <f>IFERROR(K234*L234," ")</f>
        <v xml:space="preserve"> </v>
      </c>
      <c r="N234" s="159"/>
      <c r="O234" s="160"/>
      <c r="P234" s="161" t="str">
        <f>IFERROR(ROUND(M234/N234,2)," ")</f>
        <v xml:space="preserve"> </v>
      </c>
      <c r="Q234" s="162"/>
      <c r="R234" s="4"/>
    </row>
    <row r="235" spans="1:18">
      <c r="A235" s="1">
        <f t="shared" si="7"/>
        <v>0</v>
      </c>
      <c r="B235" s="2"/>
      <c r="C235" s="8"/>
      <c r="D235" s="109" t="str">
        <f>IFERROR(INDEX('[239]MANO DE OBRA'!B:B,MATCH(B235,'[239]MANO DE OBRA'!A:A,0)),"")</f>
        <v/>
      </c>
      <c r="E235" s="110"/>
      <c r="F235" s="110"/>
      <c r="G235" s="110"/>
      <c r="H235" s="110"/>
      <c r="I235" s="110"/>
      <c r="J235" s="111"/>
      <c r="K235" s="156" t="str">
        <f>IFERROR(INDEX('[239]MANO DE OBRA'!D:D,MATCH(B235,'[239]MANO DE OBRA'!A:A,0)),"")</f>
        <v/>
      </c>
      <c r="L235" s="157" t="str">
        <f>+IF(D235&lt;&gt;"",'[239]FACTOR PRESTACIONAL'!$E$21," ")</f>
        <v xml:space="preserve"> </v>
      </c>
      <c r="M235" s="158" t="str">
        <f>IFERROR(K235*L235," ")</f>
        <v xml:space="preserve"> </v>
      </c>
      <c r="N235" s="159"/>
      <c r="O235" s="160"/>
      <c r="P235" s="161" t="str">
        <f>IFERROR(ROUND(M235/N235,2)," ")</f>
        <v xml:space="preserve"> </v>
      </c>
      <c r="Q235" s="162"/>
      <c r="R235" s="4"/>
    </row>
    <row r="236" spans="1:18" ht="15.75" thickBot="1">
      <c r="A236" s="1">
        <f t="shared" si="7"/>
        <v>0</v>
      </c>
      <c r="B236" s="2"/>
      <c r="C236" s="8"/>
      <c r="D236" s="109" t="str">
        <f>IFERROR(INDEX('[239]MANO DE OBRA'!B:B,MATCH(B236,'[239]MANO DE OBRA'!A:A,0)),"")</f>
        <v/>
      </c>
      <c r="E236" s="110"/>
      <c r="F236" s="110"/>
      <c r="G236" s="110"/>
      <c r="H236" s="110"/>
      <c r="I236" s="110"/>
      <c r="J236" s="111"/>
      <c r="K236" s="156" t="str">
        <f>IFERROR(INDEX('[239]MANO DE OBRA'!D:D,MATCH(B236,'[239]MANO DE OBRA'!A:A,0)),"")</f>
        <v/>
      </c>
      <c r="L236" s="157" t="str">
        <f>+IF(D236&lt;&gt;"",'[239]FACTOR PRESTACIONAL'!$E$21," ")</f>
        <v xml:space="preserve"> </v>
      </c>
      <c r="M236" s="158" t="str">
        <f>IFERROR(K236*L236," ")</f>
        <v xml:space="preserve"> </v>
      </c>
      <c r="N236" s="159"/>
      <c r="O236" s="160"/>
      <c r="P236" s="161" t="str">
        <f>IFERROR(ROUND(M236/N236,2)," ")</f>
        <v xml:space="preserve"> </v>
      </c>
      <c r="Q236" s="119"/>
      <c r="R236" s="4"/>
    </row>
    <row r="237" spans="1:18" ht="15.75" thickBot="1">
      <c r="A237" s="1">
        <f t="shared" si="7"/>
        <v>0</v>
      </c>
      <c r="B237" s="2"/>
      <c r="C237" s="8"/>
      <c r="D237" s="128" t="s">
        <v>24</v>
      </c>
      <c r="E237" s="129"/>
      <c r="F237" s="129"/>
      <c r="G237" s="129"/>
      <c r="H237" s="129"/>
      <c r="I237" s="129"/>
      <c r="J237" s="129"/>
      <c r="K237" s="129"/>
      <c r="L237" s="129"/>
      <c r="M237" s="129"/>
      <c r="N237" s="129"/>
      <c r="O237" s="130"/>
      <c r="P237" s="131">
        <f>SUM(P232:P236)</f>
        <v>423320.18000000005</v>
      </c>
      <c r="Q237" s="119"/>
      <c r="R237" s="4"/>
    </row>
    <row r="238" spans="1:18" ht="15.75" thickBot="1">
      <c r="A238" s="1">
        <f t="shared" si="7"/>
        <v>0</v>
      </c>
      <c r="B238" s="2"/>
      <c r="C238" s="8"/>
      <c r="D238" s="87"/>
      <c r="E238" s="20"/>
      <c r="F238" s="20"/>
      <c r="G238" s="20"/>
      <c r="H238" s="20"/>
      <c r="I238" s="20"/>
      <c r="J238" s="20"/>
      <c r="K238" s="20"/>
      <c r="L238" s="20"/>
      <c r="M238" s="20"/>
      <c r="N238" s="20"/>
      <c r="O238" s="20"/>
      <c r="P238" s="88"/>
      <c r="Q238" s="13"/>
      <c r="R238" s="4"/>
    </row>
    <row r="239" spans="1:18" ht="15.75" thickBot="1">
      <c r="A239" s="1"/>
      <c r="B239" s="2"/>
      <c r="C239" s="8"/>
      <c r="D239" s="163" t="s">
        <v>43</v>
      </c>
      <c r="E239" s="164"/>
      <c r="F239" s="164"/>
      <c r="G239" s="164"/>
      <c r="H239" s="164"/>
      <c r="I239" s="164"/>
      <c r="J239" s="164"/>
      <c r="K239" s="164"/>
      <c r="L239" s="164"/>
      <c r="M239" s="164"/>
      <c r="N239" s="164"/>
      <c r="O239" s="165"/>
      <c r="P239" s="166">
        <f>+P237+P229+P222+P204</f>
        <v>1451831.46</v>
      </c>
      <c r="Q239" s="167"/>
      <c r="R239" s="168"/>
    </row>
    <row r="240" spans="1:18" ht="15.75" thickBot="1">
      <c r="A240" s="1"/>
      <c r="B240" s="2"/>
      <c r="C240" s="8"/>
      <c r="D240" s="169"/>
      <c r="E240" s="170"/>
      <c r="F240" s="170"/>
      <c r="G240" s="170"/>
      <c r="H240" s="170"/>
      <c r="I240" s="170"/>
      <c r="J240" s="170"/>
      <c r="K240" s="170"/>
      <c r="L240" s="170"/>
      <c r="M240" s="170"/>
      <c r="N240" s="170"/>
      <c r="O240" s="170"/>
      <c r="P240" s="171"/>
      <c r="Q240" s="100"/>
      <c r="R240" s="4"/>
    </row>
    <row r="241" spans="1:18">
      <c r="A241" s="1"/>
      <c r="B241" s="2"/>
      <c r="C241" s="8"/>
      <c r="D241" s="172" t="s">
        <v>73</v>
      </c>
      <c r="E241" s="173"/>
      <c r="F241" s="173"/>
      <c r="G241" s="173"/>
      <c r="H241" s="173"/>
      <c r="I241" s="173"/>
      <c r="J241" s="173"/>
      <c r="K241" s="141"/>
      <c r="L241" s="174"/>
      <c r="M241" s="153" t="s">
        <v>44</v>
      </c>
      <c r="N241" s="175" t="s">
        <v>45</v>
      </c>
      <c r="O241" s="176"/>
      <c r="P241" s="154"/>
      <c r="Q241" s="155"/>
      <c r="R241" s="4"/>
    </row>
    <row r="242" spans="1:18">
      <c r="A242" s="1"/>
      <c r="B242" s="2"/>
      <c r="C242" s="8"/>
      <c r="D242" s="109" t="s">
        <v>65</v>
      </c>
      <c r="E242" s="110"/>
      <c r="F242" s="110"/>
      <c r="G242" s="110"/>
      <c r="H242" s="110"/>
      <c r="I242" s="110"/>
      <c r="J242" s="110"/>
      <c r="K242" s="177"/>
      <c r="L242" s="178"/>
      <c r="M242" s="179">
        <f>+[239]INICIO!$F$10</f>
        <v>0.24</v>
      </c>
      <c r="N242" s="180">
        <f>ROUND(M242*P239,2)</f>
        <v>348439.55</v>
      </c>
      <c r="O242" s="181"/>
      <c r="P242" s="182"/>
      <c r="Q242" s="119"/>
      <c r="R242" s="4"/>
    </row>
    <row r="243" spans="1:18">
      <c r="A243" s="1"/>
      <c r="B243" s="2"/>
      <c r="C243" s="8"/>
      <c r="D243" s="183" t="s">
        <v>67</v>
      </c>
      <c r="E243" s="61"/>
      <c r="F243" s="61"/>
      <c r="G243" s="61"/>
      <c r="H243" s="61"/>
      <c r="I243" s="61"/>
      <c r="J243" s="61"/>
      <c r="K243" s="177"/>
      <c r="L243" s="178"/>
      <c r="M243" s="179">
        <f>+[239]INICIO!$F$11</f>
        <v>0.02</v>
      </c>
      <c r="N243" s="180">
        <f>ROUND(M243*P239,2)</f>
        <v>29036.63</v>
      </c>
      <c r="O243" s="181"/>
      <c r="P243" s="182"/>
      <c r="Q243" s="119"/>
      <c r="R243" s="4"/>
    </row>
    <row r="244" spans="1:18" ht="15.75" thickBot="1">
      <c r="A244" s="1"/>
      <c r="B244" s="2"/>
      <c r="C244" s="8"/>
      <c r="D244" s="77" t="s">
        <v>69</v>
      </c>
      <c r="E244" s="78"/>
      <c r="F244" s="78"/>
      <c r="G244" s="78"/>
      <c r="H244" s="78"/>
      <c r="I244" s="78"/>
      <c r="J244" s="78"/>
      <c r="K244" s="184"/>
      <c r="L244" s="185"/>
      <c r="M244" s="179">
        <f>+[239]INICIO!$F$12</f>
        <v>7.0000000000000007E-2</v>
      </c>
      <c r="N244" s="180">
        <f>ROUND(M244*P239,2)</f>
        <v>101628.2</v>
      </c>
      <c r="O244" s="181"/>
      <c r="P244" s="182"/>
      <c r="Q244" s="119"/>
      <c r="R244" s="4"/>
    </row>
    <row r="245" spans="1:18" ht="15.75" thickBot="1">
      <c r="A245" s="1"/>
      <c r="B245" s="2"/>
      <c r="C245" s="8"/>
      <c r="D245" s="128"/>
      <c r="E245" s="129"/>
      <c r="F245" s="129"/>
      <c r="G245" s="129"/>
      <c r="H245" s="129"/>
      <c r="I245" s="129"/>
      <c r="J245" s="129"/>
      <c r="K245" s="129"/>
      <c r="L245" s="129"/>
      <c r="M245" s="129"/>
      <c r="N245" s="129"/>
      <c r="O245" s="130"/>
      <c r="P245" s="131">
        <f>SUM(N242:N244)</f>
        <v>479104.38</v>
      </c>
      <c r="Q245" s="186"/>
      <c r="R245" s="4"/>
    </row>
    <row r="246" spans="1:18" ht="15.75" thickBot="1">
      <c r="A246" s="1"/>
      <c r="B246" s="2"/>
      <c r="C246" s="8"/>
      <c r="D246" s="87"/>
      <c r="E246" s="20"/>
      <c r="F246" s="20"/>
      <c r="G246" s="20"/>
      <c r="H246" s="20"/>
      <c r="I246" s="20"/>
      <c r="J246" s="20"/>
      <c r="K246" s="20"/>
      <c r="L246" s="20"/>
      <c r="M246" s="20"/>
      <c r="N246" s="20"/>
      <c r="O246" s="20"/>
      <c r="P246" s="88"/>
      <c r="Q246" s="13"/>
      <c r="R246" s="4"/>
    </row>
    <row r="247" spans="1:18" ht="15.75" thickBot="1">
      <c r="A247" s="1"/>
      <c r="B247" s="2"/>
      <c r="C247" s="8"/>
      <c r="D247" s="187" t="s">
        <v>46</v>
      </c>
      <c r="E247" s="188"/>
      <c r="F247" s="188"/>
      <c r="G247" s="188"/>
      <c r="H247" s="188"/>
      <c r="I247" s="188"/>
      <c r="J247" s="188"/>
      <c r="K247" s="188"/>
      <c r="L247" s="188"/>
      <c r="M247" s="188"/>
      <c r="N247" s="188"/>
      <c r="O247" s="189"/>
      <c r="P247" s="166">
        <f>ROUND(P245+P239,0)</f>
        <v>1930936</v>
      </c>
      <c r="Q247" s="186"/>
      <c r="R247" s="4"/>
    </row>
    <row r="248" spans="1:18">
      <c r="A248" s="1"/>
      <c r="B248" s="2"/>
      <c r="C248" s="8"/>
      <c r="D248" s="80"/>
      <c r="E248" s="81"/>
      <c r="F248" s="81"/>
      <c r="G248" s="81"/>
      <c r="H248" s="81"/>
      <c r="I248" s="81"/>
      <c r="J248" s="81"/>
      <c r="K248" s="81"/>
      <c r="L248" s="81"/>
      <c r="M248" s="81"/>
      <c r="N248" s="81"/>
      <c r="O248" s="81"/>
      <c r="P248" s="82"/>
      <c r="Q248" s="13"/>
      <c r="R248" s="4"/>
    </row>
    <row r="249" spans="1:18">
      <c r="A249" s="1"/>
      <c r="B249" s="2"/>
      <c r="C249" s="8"/>
      <c r="D249" s="87"/>
      <c r="E249" s="20"/>
      <c r="F249" s="20"/>
      <c r="G249" s="20"/>
      <c r="H249" s="20"/>
      <c r="I249" s="20"/>
      <c r="J249" s="20"/>
      <c r="K249" s="20"/>
      <c r="L249" s="20"/>
      <c r="M249" s="20"/>
      <c r="N249" s="20"/>
      <c r="O249" s="20"/>
      <c r="P249" s="88"/>
      <c r="Q249" s="13"/>
      <c r="R249" s="4"/>
    </row>
    <row r="250" spans="1:18">
      <c r="A250" s="1"/>
      <c r="B250" s="2"/>
      <c r="C250" s="8"/>
      <c r="D250" s="87"/>
      <c r="E250" s="20"/>
      <c r="F250" s="20"/>
      <c r="G250" s="20"/>
      <c r="H250" s="20"/>
      <c r="I250" s="20"/>
      <c r="J250" s="20"/>
      <c r="K250" s="20"/>
      <c r="L250" s="20"/>
      <c r="M250" s="20"/>
      <c r="N250" s="20"/>
      <c r="O250" s="20"/>
      <c r="P250" s="88"/>
      <c r="Q250" s="13"/>
      <c r="R250" s="4"/>
    </row>
    <row r="251" spans="1:18">
      <c r="A251" s="1"/>
      <c r="B251" s="2"/>
      <c r="C251" s="8"/>
      <c r="D251" s="87"/>
      <c r="E251" s="20"/>
      <c r="F251" s="20"/>
      <c r="G251" s="20"/>
      <c r="H251" s="20"/>
      <c r="I251" s="20"/>
      <c r="J251" s="20"/>
      <c r="K251" s="20"/>
      <c r="L251" s="20"/>
      <c r="M251" s="20"/>
      <c r="N251" s="20"/>
      <c r="O251" s="20"/>
      <c r="P251" s="88"/>
      <c r="Q251" s="13"/>
      <c r="R251" s="4"/>
    </row>
    <row r="252" spans="1:18">
      <c r="A252" s="1"/>
      <c r="B252" s="2"/>
      <c r="C252" s="8"/>
      <c r="D252" s="219" t="str">
        <f>+[239]INICIO!$B$13</f>
        <v>Proyectó:</v>
      </c>
      <c r="E252" s="49"/>
      <c r="F252" s="49"/>
      <c r="G252" s="49"/>
      <c r="H252" s="49"/>
      <c r="I252" s="49"/>
      <c r="J252" s="49"/>
      <c r="K252" s="20"/>
      <c r="L252" s="69" t="str">
        <f>+[239]INICIO!$B$16</f>
        <v>Aprobó:</v>
      </c>
      <c r="M252" s="49"/>
      <c r="N252" s="49"/>
      <c r="O252" s="49"/>
      <c r="P252" s="88"/>
      <c r="Q252" s="13"/>
      <c r="R252" s="4"/>
    </row>
    <row r="253" spans="1:18">
      <c r="A253" s="1"/>
      <c r="B253" s="2"/>
      <c r="C253" s="8"/>
      <c r="D253" s="87"/>
      <c r="E253" s="20" t="str">
        <f>+Hoja2!C$13</f>
        <v>HELMER EDUARDO BECERRA SANTANDER</v>
      </c>
      <c r="F253" s="20"/>
      <c r="G253" s="20"/>
      <c r="H253" s="20"/>
      <c r="I253" s="20"/>
      <c r="J253" s="20"/>
      <c r="K253" s="20"/>
      <c r="L253" s="20"/>
      <c r="M253" s="20" t="str">
        <f>+Hoja2!$C$16</f>
        <v>JESÚS IVÁN QUIÑONES RUEDA</v>
      </c>
      <c r="N253" s="20"/>
      <c r="O253" s="20"/>
      <c r="P253" s="88"/>
      <c r="Q253" s="190"/>
      <c r="R253" s="4"/>
    </row>
    <row r="254" spans="1:18">
      <c r="A254" s="1"/>
      <c r="B254" s="2"/>
      <c r="C254" s="8"/>
      <c r="D254" s="87"/>
      <c r="E254" s="20" t="str">
        <f>+Hoja2!C$14</f>
        <v>APOYO SEC. DE PLANEACIÓN Y OBRAS PÚBLICAS</v>
      </c>
      <c r="F254" s="20"/>
      <c r="G254" s="20"/>
      <c r="H254" s="20"/>
      <c r="I254" s="20"/>
      <c r="J254" s="20"/>
      <c r="K254" s="20"/>
      <c r="L254" s="20"/>
      <c r="M254" s="20" t="str">
        <f>+Hoja2!$C$17</f>
        <v>SECRETARIO DE PLANEACIÓN Y OBRAS PUBLICAS</v>
      </c>
      <c r="N254" s="20"/>
      <c r="O254" s="20"/>
      <c r="P254" s="88"/>
      <c r="Q254" s="190"/>
      <c r="R254" s="4"/>
    </row>
    <row r="255" spans="1:18">
      <c r="A255" s="1"/>
      <c r="B255" s="2"/>
      <c r="C255" s="8"/>
      <c r="D255" s="68"/>
      <c r="E255" s="20" t="str">
        <f>+Hoja2!C$15</f>
        <v>123769-0701671 NTS</v>
      </c>
      <c r="F255" s="191"/>
      <c r="G255" s="191"/>
      <c r="H255" s="191"/>
      <c r="I255" s="20"/>
      <c r="J255" s="191"/>
      <c r="K255" s="191"/>
      <c r="L255" s="191"/>
      <c r="M255" s="192" t="str">
        <f>+Hoja2!C$18</f>
        <v>A21382020-1090480860</v>
      </c>
      <c r="N255" s="191"/>
      <c r="O255" s="191"/>
      <c r="P255" s="193"/>
      <c r="Q255" s="194"/>
      <c r="R255" s="4"/>
    </row>
    <row r="256" spans="1:18" ht="16.5" thickBot="1">
      <c r="A256" s="1"/>
      <c r="B256" s="2"/>
      <c r="C256" s="8"/>
      <c r="D256" s="195"/>
      <c r="E256" s="150"/>
      <c r="F256" s="150"/>
      <c r="G256" s="150"/>
      <c r="H256" s="150"/>
      <c r="I256" s="150"/>
      <c r="J256" s="150"/>
      <c r="K256" s="150"/>
      <c r="L256" s="150"/>
      <c r="M256" s="150"/>
      <c r="N256" s="150"/>
      <c r="O256" s="150"/>
      <c r="P256" s="196"/>
      <c r="Q256" s="197"/>
      <c r="R256" s="4"/>
    </row>
    <row r="257" spans="1:18" ht="15.75" thickBot="1">
      <c r="A257" s="1"/>
      <c r="B257" s="2"/>
      <c r="C257" s="198"/>
      <c r="D257" s="199"/>
      <c r="E257" s="199"/>
      <c r="F257" s="199"/>
      <c r="G257" s="199"/>
      <c r="H257" s="199"/>
      <c r="I257" s="199"/>
      <c r="J257" s="199"/>
      <c r="K257" s="199"/>
      <c r="L257" s="199"/>
      <c r="M257" s="199"/>
      <c r="N257" s="199"/>
      <c r="O257" s="199"/>
      <c r="P257" s="199"/>
      <c r="Q257" s="200"/>
      <c r="R257" s="4"/>
    </row>
    <row r="258" spans="1:18" ht="16.5" thickTop="1" thickBot="1"/>
    <row r="259" spans="1:18" ht="15.75" thickTop="1">
      <c r="A259" s="1"/>
      <c r="B259" s="2"/>
      <c r="C259" s="5"/>
      <c r="D259" s="6"/>
      <c r="E259" s="6"/>
      <c r="F259" s="6"/>
      <c r="G259" s="6"/>
      <c r="H259" s="6"/>
      <c r="I259" s="6"/>
      <c r="J259" s="6"/>
      <c r="K259" s="6"/>
      <c r="L259" s="6"/>
      <c r="M259" s="6"/>
      <c r="N259" s="6"/>
      <c r="O259" s="6"/>
      <c r="P259" s="6"/>
      <c r="Q259" s="7"/>
      <c r="R259" s="4"/>
    </row>
    <row r="260" spans="1:18" ht="24">
      <c r="A260" s="1"/>
      <c r="B260" s="2"/>
      <c r="C260" s="8"/>
      <c r="D260" s="9" t="str">
        <f>+[239]INICIO!$C$8</f>
        <v>Análisis de Precios Unitarios- Secretaria de Planeación y Obras Publicas de Cubará, Boyacá.</v>
      </c>
      <c r="E260" s="10"/>
      <c r="F260" s="10"/>
      <c r="G260" s="10"/>
      <c r="H260" s="11"/>
      <c r="I260" s="12"/>
      <c r="J260" s="12"/>
      <c r="K260" s="12"/>
      <c r="L260" s="12"/>
      <c r="M260" s="12"/>
      <c r="N260" s="12"/>
      <c r="O260" s="12"/>
      <c r="P260" s="12"/>
      <c r="Q260" s="13"/>
      <c r="R260" s="4"/>
    </row>
    <row r="261" spans="1:18">
      <c r="A261" s="1"/>
      <c r="B261" s="2"/>
      <c r="C261" s="8"/>
      <c r="D261" s="14" t="s">
        <v>0</v>
      </c>
      <c r="E261" s="15" t="str">
        <f>+[239]INICIO!$C$7</f>
        <v>CCE-EICP-FM-14</v>
      </c>
      <c r="F261" s="16"/>
      <c r="G261" s="17" t="str">
        <f>+[239]INICIO!$B$6</f>
        <v>VERSIÓN</v>
      </c>
      <c r="H261" s="14">
        <f>+[239]INICIO!$C$6</f>
        <v>1</v>
      </c>
      <c r="I261" s="12"/>
      <c r="J261" s="12"/>
      <c r="K261" s="12"/>
      <c r="L261" s="12"/>
      <c r="M261" s="12"/>
      <c r="N261" s="12"/>
      <c r="O261" s="12"/>
      <c r="P261" s="12"/>
      <c r="Q261" s="13"/>
      <c r="R261" s="4"/>
    </row>
    <row r="262" spans="1:18">
      <c r="A262" s="1"/>
      <c r="B262" s="2"/>
      <c r="C262" s="8"/>
      <c r="D262" s="18"/>
      <c r="E262" s="19"/>
      <c r="F262" s="18"/>
      <c r="G262" s="19"/>
      <c r="H262" s="12"/>
      <c r="I262" s="12"/>
      <c r="J262" s="12"/>
      <c r="K262" s="12"/>
      <c r="L262" s="12"/>
      <c r="M262" s="12"/>
      <c r="N262" s="12"/>
      <c r="O262" s="12"/>
      <c r="P262" s="12"/>
      <c r="Q262" s="13"/>
      <c r="R262" s="4"/>
    </row>
    <row r="263" spans="1:18" ht="15.75" thickBot="1">
      <c r="A263" s="1"/>
      <c r="B263" s="2"/>
      <c r="C263" s="8"/>
      <c r="D263" s="20"/>
      <c r="E263" s="20"/>
      <c r="F263" s="20"/>
      <c r="G263" s="20"/>
      <c r="H263" s="20"/>
      <c r="I263" s="20"/>
      <c r="J263" s="20"/>
      <c r="K263" s="20"/>
      <c r="L263" s="20"/>
      <c r="M263" s="20"/>
      <c r="N263" s="20"/>
      <c r="O263" s="20"/>
      <c r="P263" s="20"/>
      <c r="Q263" s="13"/>
      <c r="R263" s="4"/>
    </row>
    <row r="264" spans="1:18">
      <c r="A264" s="1"/>
      <c r="B264" s="2"/>
      <c r="C264" s="8"/>
      <c r="D264" s="21"/>
      <c r="E264" s="22"/>
      <c r="F264" s="23"/>
      <c r="G264" s="23"/>
      <c r="H264" s="23"/>
      <c r="I264" s="23"/>
      <c r="J264" s="23"/>
      <c r="K264" s="23"/>
      <c r="L264" s="24"/>
      <c r="M264" s="25"/>
      <c r="N264" s="26"/>
      <c r="O264" s="26"/>
      <c r="P264" s="27"/>
      <c r="Q264" s="28"/>
      <c r="R264" s="4"/>
    </row>
    <row r="265" spans="1:18">
      <c r="A265" s="1"/>
      <c r="B265" s="2"/>
      <c r="C265" s="8"/>
      <c r="D265" s="29"/>
      <c r="E265" s="30" t="s">
        <v>1</v>
      </c>
      <c r="F265" s="31"/>
      <c r="G265" s="31"/>
      <c r="H265" s="31"/>
      <c r="I265" s="31"/>
      <c r="J265" s="31"/>
      <c r="K265" s="31"/>
      <c r="L265" s="32"/>
      <c r="M265" s="33"/>
      <c r="N265" s="34"/>
      <c r="O265" s="34"/>
      <c r="P265" s="35"/>
      <c r="Q265" s="28"/>
      <c r="R265" s="4"/>
    </row>
    <row r="266" spans="1:18">
      <c r="A266" s="1"/>
      <c r="B266" s="2"/>
      <c r="C266" s="8"/>
      <c r="D266" s="29"/>
      <c r="E266" s="36"/>
      <c r="F266" s="37"/>
      <c r="G266" s="37"/>
      <c r="H266" s="37"/>
      <c r="I266" s="37"/>
      <c r="J266" s="37"/>
      <c r="K266" s="37"/>
      <c r="L266" s="38"/>
      <c r="M266" s="39"/>
      <c r="N266" s="40"/>
      <c r="O266" s="41"/>
      <c r="P266" s="42"/>
      <c r="Q266" s="28"/>
      <c r="R266" s="4"/>
    </row>
    <row r="267" spans="1:18">
      <c r="A267" s="1"/>
      <c r="B267" s="2"/>
      <c r="C267" s="8"/>
      <c r="D267" s="29"/>
      <c r="E267" s="36"/>
      <c r="F267" s="37"/>
      <c r="G267" s="37"/>
      <c r="H267" s="37"/>
      <c r="I267" s="37"/>
      <c r="J267" s="37"/>
      <c r="K267" s="37"/>
      <c r="L267" s="38"/>
      <c r="M267" s="43" t="s">
        <v>2</v>
      </c>
      <c r="N267" s="44"/>
      <c r="O267" s="45">
        <f>+[239]INICIO!$C$6</f>
        <v>1</v>
      </c>
      <c r="P267" s="46"/>
      <c r="Q267" s="28"/>
      <c r="R267" s="4"/>
    </row>
    <row r="268" spans="1:18">
      <c r="A268" s="1"/>
      <c r="B268" s="2"/>
      <c r="C268" s="8"/>
      <c r="D268" s="29"/>
      <c r="E268" s="36"/>
      <c r="F268" s="37"/>
      <c r="G268" s="37"/>
      <c r="H268" s="37"/>
      <c r="I268" s="37"/>
      <c r="J268" s="37"/>
      <c r="K268" s="37"/>
      <c r="L268" s="38"/>
      <c r="M268" s="47"/>
      <c r="N268" s="48"/>
      <c r="O268" s="49"/>
      <c r="P268" s="50"/>
      <c r="Q268" s="51"/>
      <c r="R268" s="4"/>
    </row>
    <row r="269" spans="1:18">
      <c r="A269" s="1"/>
      <c r="B269" s="2"/>
      <c r="C269" s="8"/>
      <c r="D269" s="29"/>
      <c r="E269" s="52"/>
      <c r="F269" s="53"/>
      <c r="G269" s="53"/>
      <c r="H269" s="53"/>
      <c r="I269" s="53"/>
      <c r="J269" s="53"/>
      <c r="K269" s="53"/>
      <c r="L269" s="54"/>
      <c r="M269" s="39"/>
      <c r="N269" s="55"/>
      <c r="O269" s="55"/>
      <c r="P269" s="56"/>
      <c r="Q269" s="28"/>
      <c r="R269" s="4"/>
    </row>
    <row r="270" spans="1:18">
      <c r="A270" s="1"/>
      <c r="B270" s="2"/>
      <c r="C270" s="8"/>
      <c r="D270" s="29"/>
      <c r="E270" s="52"/>
      <c r="F270" s="53"/>
      <c r="G270" s="53"/>
      <c r="H270" s="53"/>
      <c r="I270" s="53"/>
      <c r="J270" s="53"/>
      <c r="K270" s="53"/>
      <c r="L270" s="54"/>
      <c r="M270" s="43" t="s">
        <v>3</v>
      </c>
      <c r="N270" s="43" t="str">
        <f>+VLOOKUP(D281,'PRESUPUESTO OFICIAL '!C:Q,9,FALSE)</f>
        <v>19</v>
      </c>
      <c r="O270" s="43" t="s">
        <v>4</v>
      </c>
      <c r="P270" s="508" t="str">
        <f>+'PRESUPUESTO OFICIAL '!$M$122</f>
        <v>62</v>
      </c>
      <c r="Q270" s="28"/>
      <c r="R270" s="4"/>
    </row>
    <row r="271" spans="1:18">
      <c r="A271" s="1"/>
      <c r="B271" s="2"/>
      <c r="C271" s="8"/>
      <c r="D271" s="29"/>
      <c r="E271" s="30" t="s">
        <v>5</v>
      </c>
      <c r="F271" s="31"/>
      <c r="G271" s="31"/>
      <c r="H271" s="31"/>
      <c r="I271" s="31"/>
      <c r="J271" s="31"/>
      <c r="K271" s="31"/>
      <c r="L271" s="32"/>
      <c r="M271" s="43"/>
      <c r="N271" s="57"/>
      <c r="O271" s="57"/>
      <c r="P271" s="58"/>
      <c r="Q271" s="28"/>
      <c r="R271" s="4"/>
    </row>
    <row r="272" spans="1:18" ht="15.75" thickBot="1">
      <c r="A272" s="1"/>
      <c r="B272" s="2"/>
      <c r="C272" s="8"/>
      <c r="D272" s="59"/>
      <c r="E272" s="60"/>
      <c r="F272" s="60"/>
      <c r="G272" s="60"/>
      <c r="H272" s="60"/>
      <c r="I272" s="60"/>
      <c r="J272" s="60"/>
      <c r="K272" s="60"/>
      <c r="L272" s="60"/>
      <c r="M272" s="60"/>
      <c r="N272" s="61"/>
      <c r="O272" s="61"/>
      <c r="P272" s="62"/>
      <c r="Q272" s="63"/>
      <c r="R272" s="4"/>
    </row>
    <row r="273" spans="1:18">
      <c r="A273" s="1"/>
      <c r="B273" s="2"/>
      <c r="C273" s="8"/>
      <c r="D273" s="64"/>
      <c r="E273" s="65"/>
      <c r="F273" s="65"/>
      <c r="G273" s="65"/>
      <c r="H273" s="65"/>
      <c r="I273" s="65"/>
      <c r="J273" s="65"/>
      <c r="K273" s="65"/>
      <c r="L273" s="65"/>
      <c r="M273" s="66" t="s">
        <v>6</v>
      </c>
      <c r="N273" s="66" t="s">
        <v>7</v>
      </c>
      <c r="O273" s="66" t="s">
        <v>8</v>
      </c>
      <c r="P273" s="67" t="s">
        <v>9</v>
      </c>
      <c r="Q273" s="51"/>
      <c r="R273" s="4"/>
    </row>
    <row r="274" spans="1:18">
      <c r="A274" s="1"/>
      <c r="B274" s="2"/>
      <c r="C274" s="8"/>
      <c r="D274" s="68"/>
      <c r="E274" s="69"/>
      <c r="F274" s="69"/>
      <c r="G274" s="69"/>
      <c r="H274" s="69"/>
      <c r="I274" s="69"/>
      <c r="J274" s="69"/>
      <c r="K274" s="69"/>
      <c r="L274" s="69"/>
      <c r="M274" s="70"/>
      <c r="N274" s="71">
        <f>+Hoja2!B$5</f>
        <v>5</v>
      </c>
      <c r="O274" s="71">
        <f>+Hoja2!C$5</f>
        <v>8</v>
      </c>
      <c r="P274" s="72">
        <f>+Hoja2!D$5</f>
        <v>2026</v>
      </c>
      <c r="Q274" s="73"/>
      <c r="R274" s="4"/>
    </row>
    <row r="275" spans="1:18">
      <c r="A275" s="1"/>
      <c r="B275" s="2"/>
      <c r="C275" s="8"/>
      <c r="D275" s="74"/>
      <c r="E275" s="37"/>
      <c r="F275" s="37"/>
      <c r="G275" s="37"/>
      <c r="H275" s="69"/>
      <c r="I275" s="69"/>
      <c r="J275" s="69"/>
      <c r="K275" s="20"/>
      <c r="L275" s="69"/>
      <c r="M275" s="75"/>
      <c r="N275" s="20"/>
      <c r="O275" s="20"/>
      <c r="P275" s="76"/>
      <c r="Q275" s="73"/>
      <c r="R275" s="4"/>
    </row>
    <row r="276" spans="1:18" ht="15.75" thickBot="1">
      <c r="A276" s="1"/>
      <c r="B276" s="2"/>
      <c r="C276" s="8"/>
      <c r="D276" s="77"/>
      <c r="E276" s="78"/>
      <c r="F276" s="78"/>
      <c r="G276" s="78"/>
      <c r="H276" s="78"/>
      <c r="I276" s="78"/>
      <c r="J276" s="78"/>
      <c r="K276" s="78"/>
      <c r="L276" s="78"/>
      <c r="M276" s="78"/>
      <c r="N276" s="78"/>
      <c r="O276" s="78"/>
      <c r="P276" s="79"/>
      <c r="Q276" s="13"/>
      <c r="R276" s="4"/>
    </row>
    <row r="277" spans="1:18" ht="15.75" thickBot="1">
      <c r="A277" s="1"/>
      <c r="B277" s="2"/>
      <c r="C277" s="8"/>
      <c r="D277" s="80"/>
      <c r="E277" s="81"/>
      <c r="F277" s="81"/>
      <c r="G277" s="81"/>
      <c r="H277" s="81"/>
      <c r="I277" s="81"/>
      <c r="J277" s="20"/>
      <c r="K277" s="20"/>
      <c r="L277" s="81"/>
      <c r="M277" s="81"/>
      <c r="N277" s="81"/>
      <c r="O277" s="81"/>
      <c r="P277" s="82"/>
      <c r="Q277" s="13"/>
      <c r="R277" s="4"/>
    </row>
    <row r="278" spans="1:18">
      <c r="A278" s="1"/>
      <c r="B278" s="2"/>
      <c r="C278" s="8"/>
      <c r="D278" s="83" t="s">
        <v>10</v>
      </c>
      <c r="E278" s="84"/>
      <c r="F278" s="84"/>
      <c r="G278" s="84"/>
      <c r="H278" s="84"/>
      <c r="I278" s="84"/>
      <c r="J278" s="84"/>
      <c r="K278" s="84"/>
      <c r="L278" s="84"/>
      <c r="M278" s="84"/>
      <c r="N278" s="84"/>
      <c r="O278" s="84"/>
      <c r="P278" s="85"/>
      <c r="Q278" s="86"/>
      <c r="R278" s="4"/>
    </row>
    <row r="279" spans="1:18" ht="15.75" thickBot="1">
      <c r="A279" s="1"/>
      <c r="B279" s="2"/>
      <c r="C279" s="8"/>
      <c r="D279" s="87"/>
      <c r="E279" s="20"/>
      <c r="F279" s="20"/>
      <c r="G279" s="20"/>
      <c r="H279" s="20"/>
      <c r="I279" s="20"/>
      <c r="J279" s="20"/>
      <c r="K279" s="20"/>
      <c r="L279" s="20"/>
      <c r="M279" s="20"/>
      <c r="N279" s="20"/>
      <c r="O279" s="20"/>
      <c r="P279" s="88"/>
      <c r="Q279" s="13"/>
      <c r="R279" s="4"/>
    </row>
    <row r="280" spans="1:18">
      <c r="A280" s="1" t="s">
        <v>11</v>
      </c>
      <c r="B280" s="2" t="s">
        <v>12</v>
      </c>
      <c r="C280" s="8"/>
      <c r="D280" s="89" t="s">
        <v>13</v>
      </c>
      <c r="E280" s="90" t="s">
        <v>14</v>
      </c>
      <c r="F280" s="90"/>
      <c r="G280" s="90"/>
      <c r="H280" s="90"/>
      <c r="I280" s="90"/>
      <c r="J280" s="90"/>
      <c r="K280" s="90"/>
      <c r="L280" s="90"/>
      <c r="M280" s="90"/>
      <c r="N280" s="91" t="s">
        <v>15</v>
      </c>
      <c r="O280" s="91"/>
      <c r="P280" s="92" t="s">
        <v>16</v>
      </c>
      <c r="Q280" s="93"/>
      <c r="R280" s="4"/>
    </row>
    <row r="281" spans="1:18" ht="15.75" thickBot="1">
      <c r="A281" s="1"/>
      <c r="B281" s="2"/>
      <c r="C281" s="8"/>
      <c r="D281" s="349">
        <f>+'PRESUPUESTO OFICIAL '!C33</f>
        <v>2.04</v>
      </c>
      <c r="E281" s="94" t="str">
        <f>+VLOOKUP(D281,'PRESUPUESTO OFICIAL '!C:H,2,FALSE)</f>
        <v xml:space="preserve">VIGA DE CIMENTACIÓN EN CONCRETO f'c = 3000 PSI (21MPa), Sección 0,20x0,30 m </v>
      </c>
      <c r="F281" s="94"/>
      <c r="G281" s="94"/>
      <c r="H281" s="94"/>
      <c r="I281" s="94"/>
      <c r="J281" s="94"/>
      <c r="K281" s="94"/>
      <c r="L281" s="94"/>
      <c r="M281" s="94"/>
      <c r="N281" s="94" t="str">
        <f>+VLOOKUP(D281,'PRESUPUESTO OFICIAL '!C:H,3,FALSE)</f>
        <v>M3</v>
      </c>
      <c r="O281" s="95"/>
      <c r="P281" s="96">
        <f>+VLOOKUP(D281,'PRESUPUESTO OFICIAL '!C:H,4,FALSE)</f>
        <v>18.68</v>
      </c>
      <c r="Q281" s="97"/>
      <c r="R281" s="98">
        <f>+P333</f>
        <v>1810313</v>
      </c>
    </row>
    <row r="282" spans="1:18" ht="15.75" thickBot="1">
      <c r="A282" s="1"/>
      <c r="B282" s="2"/>
      <c r="C282" s="8"/>
      <c r="D282" s="74" t="s">
        <v>17</v>
      </c>
      <c r="E282" s="37"/>
      <c r="F282" s="37"/>
      <c r="G282" s="37"/>
      <c r="H282" s="37"/>
      <c r="I282" s="37"/>
      <c r="J282" s="37"/>
      <c r="K282" s="37"/>
      <c r="L282" s="37"/>
      <c r="M282" s="37"/>
      <c r="N282" s="37"/>
      <c r="O282" s="37"/>
      <c r="P282" s="99"/>
      <c r="Q282" s="100"/>
      <c r="R282" s="4"/>
    </row>
    <row r="283" spans="1:18">
      <c r="A283" s="1"/>
      <c r="B283" s="2"/>
      <c r="C283" s="8"/>
      <c r="D283" s="101" t="s">
        <v>14</v>
      </c>
      <c r="E283" s="102"/>
      <c r="F283" s="102"/>
      <c r="G283" s="102"/>
      <c r="H283" s="103"/>
      <c r="I283" s="104" t="s">
        <v>18</v>
      </c>
      <c r="J283" s="102"/>
      <c r="K283" s="104" t="s">
        <v>19</v>
      </c>
      <c r="L283" s="105"/>
      <c r="M283" s="106" t="s">
        <v>20</v>
      </c>
      <c r="N283" s="104" t="s">
        <v>21</v>
      </c>
      <c r="O283" s="105"/>
      <c r="P283" s="107" t="s">
        <v>22</v>
      </c>
      <c r="Q283" s="108"/>
      <c r="R283" s="4"/>
    </row>
    <row r="284" spans="1:18">
      <c r="A284" s="1" t="e">
        <f>[239]INDICE!#REF!</f>
        <v>#REF!</v>
      </c>
      <c r="B284" s="2" t="s">
        <v>23</v>
      </c>
      <c r="C284" s="8"/>
      <c r="D284" s="109" t="str">
        <f>IFERROR(INDEX([239]EQUIPOS!B:B,MATCH(B284,[239]EQUIPOS!A:A,0)),"")</f>
        <v>HERRAMIENTA MENOR (% M.O)</v>
      </c>
      <c r="E284" s="110"/>
      <c r="F284" s="110"/>
      <c r="G284" s="110"/>
      <c r="H284" s="111"/>
      <c r="I284" s="112"/>
      <c r="J284" s="111"/>
      <c r="K284" s="113" t="str">
        <f>IFERROR(INDEX([239]EQUIPOS!C:C,MATCH(B284,[239]EQUIPOS!A:A,0)),"")</f>
        <v>%</v>
      </c>
      <c r="L284" s="114"/>
      <c r="M284" s="115">
        <f>IFERROR(IF(D284="HERRAMIENTA MENOR (% M.O)",P323,INDEX([239]EQUIPOS!D:D,MATCH(B284,[239]EQUIPOS!A:A,0))),"")</f>
        <v>350114.44</v>
      </c>
      <c r="N284" s="116">
        <v>10</v>
      </c>
      <c r="O284" s="117"/>
      <c r="P284" s="118">
        <f t="shared" ref="P284:P289" si="9">IFERROR(ROUND(IF(D284="HERRAMIENTA MENOR (% M.O)",N284%*M284,M284/N284),2)," ")</f>
        <v>35011.440000000002</v>
      </c>
      <c r="Q284" s="119"/>
      <c r="R284" s="4"/>
    </row>
    <row r="285" spans="1:18">
      <c r="A285" s="1">
        <f>+$A$2858</f>
        <v>0</v>
      </c>
      <c r="B285" s="2" t="s">
        <v>271</v>
      </c>
      <c r="C285" s="8"/>
      <c r="D285" s="109" t="str">
        <f>IFERROR(INDEX([239]EQUIPOS!B:B,MATCH(B285,[239]EQUIPOS!A:A,0)),"")</f>
        <v>VIBRADOR PORTÁTIL PARA CONCRETO</v>
      </c>
      <c r="E285" s="110"/>
      <c r="F285" s="110"/>
      <c r="G285" s="110"/>
      <c r="H285" s="111"/>
      <c r="I285" s="112"/>
      <c r="J285" s="111"/>
      <c r="K285" s="113" t="str">
        <f>IFERROR(INDEX([239]EQUIPOS!C:C,MATCH(B285,[239]EQUIPOS!A:A,0)),"")</f>
        <v>DIA</v>
      </c>
      <c r="L285" s="114"/>
      <c r="M285" s="115">
        <f>IFERROR(IF(D285="HERRAMIENTA MENOR (% M.O)",P324,INDEX([239]EQUIPOS!D:D,MATCH(B285,[239]EQUIPOS!A:A,0))),"")</f>
        <v>89075</v>
      </c>
      <c r="N285" s="116">
        <v>33.33</v>
      </c>
      <c r="O285" s="117"/>
      <c r="P285" s="118">
        <f t="shared" si="9"/>
        <v>2672.52</v>
      </c>
      <c r="Q285" s="119"/>
      <c r="R285" s="4"/>
    </row>
    <row r="286" spans="1:18">
      <c r="A286" s="1">
        <f t="shared" ref="A286:A324" si="10">+A285</f>
        <v>0</v>
      </c>
      <c r="B286" s="2"/>
      <c r="C286" s="8"/>
      <c r="D286" s="109" t="str">
        <f>IFERROR(INDEX([239]EQUIPOS!B:B,MATCH(B286,[239]EQUIPOS!A:A,0)),"")</f>
        <v/>
      </c>
      <c r="E286" s="110"/>
      <c r="F286" s="110"/>
      <c r="G286" s="110"/>
      <c r="H286" s="111"/>
      <c r="I286" s="120"/>
      <c r="J286" s="121"/>
      <c r="K286" s="113" t="str">
        <f>IFERROR(INDEX([239]EQUIPOS!C:C,MATCH(B286,[239]EQUIPOS!A:A,0)),"")</f>
        <v/>
      </c>
      <c r="L286" s="114"/>
      <c r="M286" s="115" t="str">
        <f>IFERROR(IF(D286="HERRAMIENTA MENOR (% M.O)",P325,INDEX([239]EQUIPOS!D:D,MATCH(B286,[239]EQUIPOS!A:A,0))),"")</f>
        <v/>
      </c>
      <c r="N286" s="116"/>
      <c r="O286" s="117"/>
      <c r="P286" s="118" t="str">
        <f t="shared" si="9"/>
        <v xml:space="preserve"> </v>
      </c>
      <c r="Q286" s="119"/>
      <c r="R286" s="4"/>
    </row>
    <row r="287" spans="1:18">
      <c r="A287" s="1">
        <f t="shared" si="10"/>
        <v>0</v>
      </c>
      <c r="B287" s="2"/>
      <c r="C287" s="8"/>
      <c r="D287" s="109" t="str">
        <f>IFERROR(INDEX([239]EQUIPOS!B:B,MATCH(B287,[239]EQUIPOS!A:A,0)),"")</f>
        <v/>
      </c>
      <c r="E287" s="110"/>
      <c r="F287" s="110"/>
      <c r="G287" s="110"/>
      <c r="H287" s="111"/>
      <c r="I287" s="120"/>
      <c r="J287" s="121"/>
      <c r="K287" s="113" t="str">
        <f>IFERROR(INDEX([239]EQUIPOS!C:C,MATCH(B287,[239]EQUIPOS!A:A,0)),"")</f>
        <v/>
      </c>
      <c r="L287" s="114"/>
      <c r="M287" s="115" t="str">
        <f>IFERROR(IF(D287="HERRAMIENTA MENOR (% M.O)",P326,INDEX([239]EQUIPOS!D:D,MATCH(B287,[239]EQUIPOS!A:A,0))),"")</f>
        <v/>
      </c>
      <c r="N287" s="116"/>
      <c r="O287" s="117"/>
      <c r="P287" s="118" t="str">
        <f t="shared" si="9"/>
        <v xml:space="preserve"> </v>
      </c>
      <c r="Q287" s="119"/>
      <c r="R287" s="4"/>
    </row>
    <row r="288" spans="1:18">
      <c r="A288" s="1">
        <f t="shared" si="10"/>
        <v>0</v>
      </c>
      <c r="B288" s="2"/>
      <c r="C288" s="8"/>
      <c r="D288" s="109" t="str">
        <f>IFERROR(INDEX([239]EQUIPOS!B:B,MATCH(B288,[239]EQUIPOS!A:A,0)),"")</f>
        <v/>
      </c>
      <c r="E288" s="110"/>
      <c r="F288" s="110"/>
      <c r="G288" s="110"/>
      <c r="H288" s="111"/>
      <c r="I288" s="112"/>
      <c r="J288" s="111"/>
      <c r="K288" s="113" t="str">
        <f>IFERROR(INDEX([239]EQUIPOS!C:C,MATCH(B288,[239]EQUIPOS!A:A,0)),"")</f>
        <v/>
      </c>
      <c r="L288" s="114"/>
      <c r="M288" s="115" t="str">
        <f>IFERROR(IF(D288="HERRAMIENTA MENOR (% M.O)",P327,INDEX([239]EQUIPOS!D:D,MATCH(B288,[239]EQUIPOS!A:A,0))),"")</f>
        <v/>
      </c>
      <c r="N288" s="116"/>
      <c r="O288" s="117"/>
      <c r="P288" s="118" t="str">
        <f t="shared" si="9"/>
        <v xml:space="preserve"> </v>
      </c>
      <c r="Q288" s="119"/>
      <c r="R288" s="4"/>
    </row>
    <row r="289" spans="1:18" ht="15.75" thickBot="1">
      <c r="A289" s="1">
        <f t="shared" si="10"/>
        <v>0</v>
      </c>
      <c r="B289" s="2"/>
      <c r="C289" s="8"/>
      <c r="D289" s="109" t="str">
        <f>IFERROR(INDEX([239]EQUIPOS!B:B,MATCH(B289,[239]EQUIPOS!A:A,0)),"")</f>
        <v/>
      </c>
      <c r="E289" s="78"/>
      <c r="F289" s="78"/>
      <c r="G289" s="78"/>
      <c r="H289" s="122"/>
      <c r="I289" s="123"/>
      <c r="J289" s="122"/>
      <c r="K289" s="113" t="str">
        <f>IFERROR(INDEX([239]EQUIPOS!C:C,MATCH(B289,[239]EQUIPOS!A:A,0)),"")</f>
        <v/>
      </c>
      <c r="L289" s="124"/>
      <c r="M289" s="115" t="str">
        <f>IFERROR(IF(D289="HERRAMIENTA MENOR (% M.O)",P328,INDEX([239]EQUIPOS!D:D,MATCH(B289,[239]EQUIPOS!A:A,0))),"")</f>
        <v/>
      </c>
      <c r="N289" s="125"/>
      <c r="O289" s="126"/>
      <c r="P289" s="127" t="str">
        <f t="shared" si="9"/>
        <v xml:space="preserve"> </v>
      </c>
      <c r="Q289" s="119"/>
      <c r="R289" s="4"/>
    </row>
    <row r="290" spans="1:18" ht="15.75" thickBot="1">
      <c r="A290" s="1">
        <f t="shared" si="10"/>
        <v>0</v>
      </c>
      <c r="B290" s="2"/>
      <c r="C290" s="8"/>
      <c r="D290" s="128" t="s">
        <v>24</v>
      </c>
      <c r="E290" s="129"/>
      <c r="F290" s="129"/>
      <c r="G290" s="129"/>
      <c r="H290" s="129"/>
      <c r="I290" s="129"/>
      <c r="J290" s="129"/>
      <c r="K290" s="129"/>
      <c r="L290" s="129"/>
      <c r="M290" s="129"/>
      <c r="N290" s="129"/>
      <c r="O290" s="130"/>
      <c r="P290" s="131">
        <f>SUM(P284:P289)</f>
        <v>37683.96</v>
      </c>
      <c r="Q290" s="132"/>
      <c r="R290" s="4"/>
    </row>
    <row r="291" spans="1:18" ht="15.75" thickBot="1">
      <c r="A291" s="1">
        <f t="shared" si="10"/>
        <v>0</v>
      </c>
      <c r="B291" s="2"/>
      <c r="C291" s="8"/>
      <c r="D291" s="74" t="s">
        <v>25</v>
      </c>
      <c r="E291" s="37"/>
      <c r="F291" s="37"/>
      <c r="G291" s="37"/>
      <c r="H291" s="37"/>
      <c r="I291" s="37"/>
      <c r="J291" s="37"/>
      <c r="K291" s="37"/>
      <c r="L291" s="37"/>
      <c r="M291" s="37"/>
      <c r="N291" s="37"/>
      <c r="O291" s="37"/>
      <c r="P291" s="99"/>
      <c r="Q291" s="100"/>
      <c r="R291" s="4"/>
    </row>
    <row r="292" spans="1:18">
      <c r="A292" s="1">
        <f t="shared" si="10"/>
        <v>0</v>
      </c>
      <c r="B292" s="2"/>
      <c r="C292" s="8"/>
      <c r="D292" s="101" t="s">
        <v>14</v>
      </c>
      <c r="E292" s="133"/>
      <c r="F292" s="133"/>
      <c r="G292" s="133"/>
      <c r="H292" s="133"/>
      <c r="I292" s="133"/>
      <c r="J292" s="133"/>
      <c r="K292" s="105"/>
      <c r="L292" s="134" t="s">
        <v>15</v>
      </c>
      <c r="M292" s="106" t="s">
        <v>16</v>
      </c>
      <c r="N292" s="104" t="s">
        <v>26</v>
      </c>
      <c r="O292" s="105"/>
      <c r="P292" s="107" t="s">
        <v>22</v>
      </c>
      <c r="Q292" s="108"/>
      <c r="R292" s="4"/>
    </row>
    <row r="293" spans="1:18">
      <c r="A293" s="1">
        <f t="shared" si="10"/>
        <v>0</v>
      </c>
      <c r="B293" s="2" t="s">
        <v>272</v>
      </c>
      <c r="C293" s="8"/>
      <c r="D293" s="109" t="str">
        <f>IFERROR(INDEX([239]MATERIALES!C:C,MATCH(B293,[239]MATERIALES!B:B,0)),"")</f>
        <v>CONCRETO DE 3000 PSI (1:2:3)</v>
      </c>
      <c r="E293" s="135"/>
      <c r="F293" s="135"/>
      <c r="G293" s="135"/>
      <c r="H293" s="135"/>
      <c r="I293" s="135"/>
      <c r="J293" s="135"/>
      <c r="K293" s="136"/>
      <c r="L293" s="137" t="str">
        <f>IFERROR(INDEX([239]MATERIALES!D:D,MATCH(B293,[239]MATERIALES!B:B,0)),"")</f>
        <v>M3</v>
      </c>
      <c r="M293" s="138">
        <v>1</v>
      </c>
      <c r="N293" s="139">
        <f>IFERROR(INDEX([239]MATERIALES!P:P,MATCH(B293,[239]MATERIALES!B:B,0)),"")</f>
        <v>765149.14</v>
      </c>
      <c r="O293" s="140"/>
      <c r="P293" s="118">
        <f>IFERROR(ROUND(N293*M293,2),"")</f>
        <v>765149.14</v>
      </c>
      <c r="Q293" s="119"/>
      <c r="R293" s="4"/>
    </row>
    <row r="294" spans="1:18">
      <c r="A294" s="1">
        <f t="shared" si="10"/>
        <v>0</v>
      </c>
      <c r="B294" s="2" t="s">
        <v>273</v>
      </c>
      <c r="C294" s="8"/>
      <c r="D294" s="109" t="str">
        <f>IFERROR(INDEX([239]MATERIALES!C:C,MATCH(B294,[239]MATERIALES!B:B,0)),"")</f>
        <v>TABLA BURRA ORDINARIA 10" x 1" x 3m</v>
      </c>
      <c r="E294" s="135"/>
      <c r="F294" s="135"/>
      <c r="G294" s="135"/>
      <c r="H294" s="135"/>
      <c r="I294" s="135"/>
      <c r="J294" s="135"/>
      <c r="K294" s="136"/>
      <c r="L294" s="137" t="str">
        <f>IFERROR(INDEX([239]MATERIALES!D:D,MATCH(B294,[239]MATERIALES!B:B,0)),"")</f>
        <v>UND</v>
      </c>
      <c r="M294" s="138">
        <v>4.4000000000000004</v>
      </c>
      <c r="N294" s="139">
        <f>IFERROR(INDEX([239]MATERIALES!P:P,MATCH(B294,[239]MATERIALES!B:B,0)),"")</f>
        <v>22000</v>
      </c>
      <c r="O294" s="140"/>
      <c r="P294" s="118">
        <f>IFERROR(ROUND(N294*M294,2),"")</f>
        <v>96800</v>
      </c>
      <c r="Q294" s="119"/>
      <c r="R294" s="4"/>
    </row>
    <row r="295" spans="1:18">
      <c r="A295" s="1">
        <f t="shared" si="10"/>
        <v>0</v>
      </c>
      <c r="B295" s="2" t="s">
        <v>274</v>
      </c>
      <c r="C295" s="8"/>
      <c r="D295" s="109" t="str">
        <f>IFERROR(INDEX([239]MATERIALES!C:C,MATCH(B295,[239]MATERIALES!B:B,0)),"")</f>
        <v>LISTÓN DE MADERA 2" x 2" x 3 m</v>
      </c>
      <c r="E295" s="110"/>
      <c r="F295" s="110"/>
      <c r="G295" s="110"/>
      <c r="H295" s="110"/>
      <c r="I295" s="110"/>
      <c r="J295" s="110"/>
      <c r="K295" s="111"/>
      <c r="L295" s="137" t="str">
        <f>IFERROR(INDEX([239]MATERIALES!D:D,MATCH(B295,[239]MATERIALES!B:B,0)),"")</f>
        <v>UND</v>
      </c>
      <c r="M295" s="138">
        <v>5.8</v>
      </c>
      <c r="N295" s="139">
        <f>IFERROR(INDEX([239]MATERIALES!P:P,MATCH(B295,[239]MATERIALES!B:B,0)),"")</f>
        <v>9900</v>
      </c>
      <c r="O295" s="140"/>
      <c r="P295" s="118">
        <f>IFERROR(ROUND(N295*M295,2),"")</f>
        <v>57420</v>
      </c>
      <c r="Q295" s="119"/>
      <c r="R295" s="4"/>
    </row>
    <row r="296" spans="1:18">
      <c r="A296" s="1">
        <f t="shared" si="10"/>
        <v>0</v>
      </c>
      <c r="B296" s="2" t="s">
        <v>275</v>
      </c>
      <c r="C296" s="8"/>
      <c r="D296" s="109" t="str">
        <f>IFERROR(INDEX([239]MATERIALES!C:C,MATCH(B296,[239]MATERIALES!B:B,0)),"")</f>
        <v>PUNTILLA 2-1/2"</v>
      </c>
      <c r="E296" s="110"/>
      <c r="F296" s="110"/>
      <c r="G296" s="110"/>
      <c r="H296" s="110"/>
      <c r="I296" s="110"/>
      <c r="J296" s="110"/>
      <c r="K296" s="111"/>
      <c r="L296" s="137" t="str">
        <f>IFERROR(INDEX([239]MATERIALES!D:D,MATCH(B296,[239]MATERIALES!B:B,0)),"")</f>
        <v>LB</v>
      </c>
      <c r="M296" s="138">
        <v>1</v>
      </c>
      <c r="N296" s="139">
        <f>IFERROR(INDEX([239]MATERIALES!P:P,MATCH(B296,[239]MATERIALES!B:B,0)),"")</f>
        <v>6600</v>
      </c>
      <c r="O296" s="140"/>
      <c r="P296" s="118">
        <f>IFERROR(ROUND(N296*M296,2),"")</f>
        <v>6600</v>
      </c>
      <c r="Q296" s="119"/>
      <c r="R296" s="4"/>
    </row>
    <row r="297" spans="1:18">
      <c r="A297" s="1">
        <f t="shared" si="10"/>
        <v>0</v>
      </c>
      <c r="B297" s="2" t="s">
        <v>276</v>
      </c>
      <c r="C297" s="8"/>
      <c r="D297" s="109" t="str">
        <f>IFERROR(INDEX([239]MATERIALES!C:C,MATCH(B297,[239]MATERIALES!B:B,0)),"")</f>
        <v>ALAMBRE NEGRO # 18 (RECOCIDO)</v>
      </c>
      <c r="E297" s="110"/>
      <c r="F297" s="110"/>
      <c r="G297" s="110"/>
      <c r="H297" s="110"/>
      <c r="I297" s="110"/>
      <c r="J297" s="110"/>
      <c r="K297" s="111"/>
      <c r="L297" s="137" t="str">
        <f>IFERROR(INDEX([239]MATERIALES!D:D,MATCH(B297,[239]MATERIALES!B:B,0)),"")</f>
        <v>KG</v>
      </c>
      <c r="M297" s="138">
        <v>0.13</v>
      </c>
      <c r="N297" s="139">
        <f>IFERROR(INDEX([239]MATERIALES!P:P,MATCH(B297,[239]MATERIALES!B:B,0)),"")</f>
        <v>7850</v>
      </c>
      <c r="O297" s="140"/>
      <c r="P297" s="118">
        <f t="shared" ref="P297:P306" si="11">IFERROR(ROUND(N297*M297,2),"")</f>
        <v>1020.5</v>
      </c>
      <c r="Q297" s="119"/>
      <c r="R297" s="4"/>
    </row>
    <row r="298" spans="1:18">
      <c r="A298" s="1">
        <f t="shared" si="10"/>
        <v>0</v>
      </c>
      <c r="B298" s="2"/>
      <c r="C298" s="8"/>
      <c r="D298" s="109" t="str">
        <f>IFERROR(INDEX([239]MATERIALES!C:C,MATCH(B298,[239]MATERIALES!B:B,0)),"")</f>
        <v/>
      </c>
      <c r="E298" s="110"/>
      <c r="F298" s="110"/>
      <c r="G298" s="110"/>
      <c r="H298" s="110"/>
      <c r="I298" s="110"/>
      <c r="J298" s="110"/>
      <c r="K298" s="111"/>
      <c r="L298" s="137" t="str">
        <f>IFERROR(INDEX([239]MATERIALES!D:D,MATCH(B298,[239]MATERIALES!B:B,0)),"")</f>
        <v/>
      </c>
      <c r="M298" s="138"/>
      <c r="N298" s="139" t="str">
        <f>IFERROR(INDEX([239]MATERIALES!P:P,MATCH(B298,[239]MATERIALES!B:B,0)),"")</f>
        <v/>
      </c>
      <c r="O298" s="140"/>
      <c r="P298" s="118" t="str">
        <f t="shared" si="11"/>
        <v/>
      </c>
      <c r="Q298" s="119"/>
      <c r="R298" s="4"/>
    </row>
    <row r="299" spans="1:18">
      <c r="A299" s="1">
        <f t="shared" si="10"/>
        <v>0</v>
      </c>
      <c r="B299" s="2"/>
      <c r="C299" s="8"/>
      <c r="D299" s="109" t="str">
        <f>IFERROR(INDEX([239]MATERIALES!C:C,MATCH(B299,[239]MATERIALES!B:B,0)),"")</f>
        <v/>
      </c>
      <c r="E299" s="110"/>
      <c r="F299" s="110"/>
      <c r="G299" s="110"/>
      <c r="H299" s="110"/>
      <c r="I299" s="110"/>
      <c r="J299" s="110"/>
      <c r="K299" s="111"/>
      <c r="L299" s="137" t="str">
        <f>IFERROR(INDEX([239]MATERIALES!D:D,MATCH(B299,[239]MATERIALES!B:B,0)),"")</f>
        <v/>
      </c>
      <c r="M299" s="138"/>
      <c r="N299" s="139" t="str">
        <f>IFERROR(INDEX([239]MATERIALES!P:P,MATCH(B299,[239]MATERIALES!B:B,0)),"")</f>
        <v/>
      </c>
      <c r="O299" s="140"/>
      <c r="P299" s="118" t="str">
        <f t="shared" si="11"/>
        <v/>
      </c>
      <c r="Q299" s="119"/>
      <c r="R299" s="4"/>
    </row>
    <row r="300" spans="1:18">
      <c r="A300" s="1">
        <f t="shared" si="10"/>
        <v>0</v>
      </c>
      <c r="B300" s="2"/>
      <c r="C300" s="8"/>
      <c r="D300" s="109" t="str">
        <f>IFERROR(INDEX([239]MATERIALES!C:C,MATCH(B300,[239]MATERIALES!B:B,0)),"")</f>
        <v/>
      </c>
      <c r="E300" s="110"/>
      <c r="F300" s="110"/>
      <c r="G300" s="110"/>
      <c r="H300" s="110"/>
      <c r="I300" s="110"/>
      <c r="J300" s="110"/>
      <c r="K300" s="111"/>
      <c r="L300" s="137" t="str">
        <f>IFERROR(INDEX([239]MATERIALES!D:D,MATCH(B300,[239]MATERIALES!B:B,0)),"")</f>
        <v/>
      </c>
      <c r="M300" s="138"/>
      <c r="N300" s="139" t="str">
        <f>IFERROR(INDEX([239]MATERIALES!P:P,MATCH(B300,[239]MATERIALES!B:B,0)),"")</f>
        <v/>
      </c>
      <c r="O300" s="140"/>
      <c r="P300" s="118" t="str">
        <f t="shared" si="11"/>
        <v/>
      </c>
      <c r="Q300" s="119"/>
      <c r="R300" s="4"/>
    </row>
    <row r="301" spans="1:18">
      <c r="A301" s="1">
        <f t="shared" si="10"/>
        <v>0</v>
      </c>
      <c r="B301" s="2"/>
      <c r="C301" s="8"/>
      <c r="D301" s="109" t="str">
        <f>IFERROR(INDEX([239]MATERIALES!C:C,MATCH(B301,[239]MATERIALES!B:B,0)),"")</f>
        <v/>
      </c>
      <c r="E301" s="110"/>
      <c r="F301" s="110"/>
      <c r="G301" s="110"/>
      <c r="H301" s="110"/>
      <c r="I301" s="110"/>
      <c r="J301" s="110"/>
      <c r="K301" s="111"/>
      <c r="L301" s="137" t="str">
        <f>IFERROR(INDEX([239]MATERIALES!D:D,MATCH(B301,[239]MATERIALES!B:B,0)),"")</f>
        <v/>
      </c>
      <c r="M301" s="138"/>
      <c r="N301" s="139" t="str">
        <f>IFERROR(INDEX([239]MATERIALES!P:P,MATCH(B301,[239]MATERIALES!B:B,0)),"")</f>
        <v/>
      </c>
      <c r="O301" s="140"/>
      <c r="P301" s="118" t="str">
        <f t="shared" si="11"/>
        <v/>
      </c>
      <c r="Q301" s="119"/>
      <c r="R301" s="4"/>
    </row>
    <row r="302" spans="1:18">
      <c r="A302" s="1">
        <f t="shared" si="10"/>
        <v>0</v>
      </c>
      <c r="B302" s="2"/>
      <c r="C302" s="8"/>
      <c r="D302" s="109" t="str">
        <f>IFERROR(INDEX([239]MATERIALES!C:C,MATCH(B302,[239]MATERIALES!B:B,0)),"")</f>
        <v/>
      </c>
      <c r="E302" s="110"/>
      <c r="F302" s="110"/>
      <c r="G302" s="110"/>
      <c r="H302" s="110"/>
      <c r="I302" s="110"/>
      <c r="J302" s="110"/>
      <c r="K302" s="111"/>
      <c r="L302" s="137" t="str">
        <f>IFERROR(INDEX([239]MATERIALES!D:D,MATCH(B302,[239]MATERIALES!B:B,0)),"")</f>
        <v/>
      </c>
      <c r="M302" s="138"/>
      <c r="N302" s="139" t="str">
        <f>IFERROR(INDEX([239]MATERIALES!P:P,MATCH(B302,[239]MATERIALES!B:B,0)),"")</f>
        <v/>
      </c>
      <c r="O302" s="140"/>
      <c r="P302" s="118" t="str">
        <f t="shared" si="11"/>
        <v/>
      </c>
      <c r="Q302" s="119"/>
      <c r="R302" s="4"/>
    </row>
    <row r="303" spans="1:18">
      <c r="A303" s="1">
        <f t="shared" si="10"/>
        <v>0</v>
      </c>
      <c r="B303" s="2"/>
      <c r="C303" s="8"/>
      <c r="D303" s="109" t="str">
        <f>IFERROR(INDEX([239]MATERIALES!C:C,MATCH(B303,[239]MATERIALES!B:B,0)),"")</f>
        <v/>
      </c>
      <c r="E303" s="110"/>
      <c r="F303" s="110"/>
      <c r="G303" s="110"/>
      <c r="H303" s="110"/>
      <c r="I303" s="110"/>
      <c r="J303" s="110"/>
      <c r="K303" s="111"/>
      <c r="L303" s="137" t="str">
        <f>IFERROR(INDEX([239]MATERIALES!D:D,MATCH(B303,[239]MATERIALES!B:B,0)),"")</f>
        <v/>
      </c>
      <c r="M303" s="138"/>
      <c r="N303" s="139" t="str">
        <f>IFERROR(INDEX([239]MATERIALES!P:P,MATCH(B303,[239]MATERIALES!B:B,0)),"")</f>
        <v/>
      </c>
      <c r="O303" s="140"/>
      <c r="P303" s="118" t="str">
        <f t="shared" si="11"/>
        <v/>
      </c>
      <c r="Q303" s="119"/>
      <c r="R303" s="4"/>
    </row>
    <row r="304" spans="1:18">
      <c r="A304" s="1">
        <f t="shared" si="10"/>
        <v>0</v>
      </c>
      <c r="B304" s="2"/>
      <c r="C304" s="8"/>
      <c r="D304" s="109" t="str">
        <f>IFERROR(INDEX([239]MATERIALES!C:C,MATCH(B304,[239]MATERIALES!B:B,0)),"")</f>
        <v/>
      </c>
      <c r="E304" s="110"/>
      <c r="F304" s="110"/>
      <c r="G304" s="110"/>
      <c r="H304" s="110"/>
      <c r="I304" s="110"/>
      <c r="J304" s="110"/>
      <c r="K304" s="111"/>
      <c r="L304" s="137" t="str">
        <f>IFERROR(INDEX([239]MATERIALES!D:D,MATCH(B304,[239]MATERIALES!B:B,0)),"")</f>
        <v/>
      </c>
      <c r="M304" s="138"/>
      <c r="N304" s="139" t="str">
        <f>IFERROR(INDEX([239]MATERIALES!P:P,MATCH(B304,[239]MATERIALES!B:B,0)),"")</f>
        <v/>
      </c>
      <c r="O304" s="140"/>
      <c r="P304" s="118" t="str">
        <f t="shared" si="11"/>
        <v/>
      </c>
      <c r="Q304" s="119"/>
      <c r="R304" s="4"/>
    </row>
    <row r="305" spans="1:18">
      <c r="A305" s="1">
        <f t="shared" si="10"/>
        <v>0</v>
      </c>
      <c r="B305" s="2"/>
      <c r="C305" s="8"/>
      <c r="D305" s="109" t="str">
        <f>IFERROR(INDEX([239]MATERIALES!C:C,MATCH(B305,[239]MATERIALES!B:B,0)),"")</f>
        <v/>
      </c>
      <c r="E305" s="110"/>
      <c r="F305" s="110"/>
      <c r="G305" s="110"/>
      <c r="H305" s="110"/>
      <c r="I305" s="110"/>
      <c r="J305" s="110"/>
      <c r="K305" s="111"/>
      <c r="L305" s="137" t="str">
        <f>IFERROR(INDEX([239]MATERIALES!D:D,MATCH(B305,[239]MATERIALES!B:B,0)),"")</f>
        <v/>
      </c>
      <c r="M305" s="138"/>
      <c r="N305" s="139" t="str">
        <f>IFERROR(INDEX([239]MATERIALES!P:P,MATCH(B305,[239]MATERIALES!B:B,0)),"")</f>
        <v/>
      </c>
      <c r="O305" s="140"/>
      <c r="P305" s="118" t="str">
        <f t="shared" si="11"/>
        <v/>
      </c>
      <c r="Q305" s="119"/>
      <c r="R305" s="4"/>
    </row>
    <row r="306" spans="1:18">
      <c r="A306" s="1">
        <f t="shared" si="10"/>
        <v>0</v>
      </c>
      <c r="B306" s="2"/>
      <c r="C306" s="8"/>
      <c r="D306" s="109" t="str">
        <f>IFERROR(INDEX([239]MATERIALES!C:C,MATCH(B306,[239]MATERIALES!B:B,0)),"")</f>
        <v/>
      </c>
      <c r="E306" s="110"/>
      <c r="F306" s="110"/>
      <c r="G306" s="110"/>
      <c r="H306" s="110"/>
      <c r="I306" s="110"/>
      <c r="J306" s="110"/>
      <c r="K306" s="111"/>
      <c r="L306" s="137" t="str">
        <f>IFERROR(INDEX([239]MATERIALES!D:D,MATCH(B306,[239]MATERIALES!B:B,0)),"")</f>
        <v/>
      </c>
      <c r="M306" s="138"/>
      <c r="N306" s="139" t="str">
        <f>IFERROR(INDEX([239]MATERIALES!P:P,MATCH(B306,[239]MATERIALES!B:B,0)),"")</f>
        <v/>
      </c>
      <c r="O306" s="140"/>
      <c r="P306" s="118" t="str">
        <f t="shared" si="11"/>
        <v/>
      </c>
      <c r="Q306" s="119"/>
      <c r="R306" s="4"/>
    </row>
    <row r="307" spans="1:18" ht="15.75" thickBot="1">
      <c r="A307" s="1">
        <f t="shared" si="10"/>
        <v>0</v>
      </c>
      <c r="B307" s="2"/>
      <c r="C307" s="8"/>
      <c r="D307" s="109" t="s">
        <v>28</v>
      </c>
      <c r="E307" s="110"/>
      <c r="F307" s="110"/>
      <c r="G307" s="110"/>
      <c r="H307" s="110"/>
      <c r="I307" s="110"/>
      <c r="J307" s="110"/>
      <c r="K307" s="111"/>
      <c r="L307" s="137" t="s">
        <v>29</v>
      </c>
      <c r="M307" s="138">
        <v>0.05</v>
      </c>
      <c r="N307" s="139">
        <f>SUM(P293:P306)</f>
        <v>926989.64</v>
      </c>
      <c r="O307" s="140"/>
      <c r="P307" s="118">
        <f>ROUND(N307*M307,2)</f>
        <v>46349.48</v>
      </c>
      <c r="Q307" s="119"/>
      <c r="R307" s="4"/>
    </row>
    <row r="308" spans="1:18" ht="15.75" thickBot="1">
      <c r="A308" s="1">
        <f t="shared" si="10"/>
        <v>0</v>
      </c>
      <c r="B308" s="2"/>
      <c r="C308" s="8"/>
      <c r="D308" s="128" t="s">
        <v>24</v>
      </c>
      <c r="E308" s="129"/>
      <c r="F308" s="129"/>
      <c r="G308" s="129"/>
      <c r="H308" s="129"/>
      <c r="I308" s="129"/>
      <c r="J308" s="129"/>
      <c r="K308" s="129"/>
      <c r="L308" s="129"/>
      <c r="M308" s="129"/>
      <c r="N308" s="129"/>
      <c r="O308" s="130"/>
      <c r="P308" s="131">
        <f>SUM(P293:P307)</f>
        <v>973339.12</v>
      </c>
      <c r="Q308" s="119"/>
      <c r="R308" s="4"/>
    </row>
    <row r="309" spans="1:18" ht="15.75" thickBot="1">
      <c r="A309" s="1">
        <f t="shared" si="10"/>
        <v>0</v>
      </c>
      <c r="B309" s="2"/>
      <c r="C309" s="8"/>
      <c r="D309" s="74" t="s">
        <v>30</v>
      </c>
      <c r="E309" s="37"/>
      <c r="F309" s="37"/>
      <c r="G309" s="37"/>
      <c r="H309" s="37"/>
      <c r="I309" s="37"/>
      <c r="J309" s="37"/>
      <c r="K309" s="37"/>
      <c r="L309" s="37"/>
      <c r="M309" s="37"/>
      <c r="N309" s="37"/>
      <c r="O309" s="37"/>
      <c r="P309" s="99"/>
      <c r="Q309" s="100"/>
      <c r="R309" s="4"/>
    </row>
    <row r="310" spans="1:18">
      <c r="A310" s="1">
        <f t="shared" si="10"/>
        <v>0</v>
      </c>
      <c r="B310" s="2"/>
      <c r="C310" s="8"/>
      <c r="D310" s="101" t="s">
        <v>31</v>
      </c>
      <c r="E310" s="133"/>
      <c r="F310" s="133"/>
      <c r="G310" s="133"/>
      <c r="H310" s="133"/>
      <c r="I310" s="133"/>
      <c r="J310" s="133"/>
      <c r="K310" s="106" t="s">
        <v>32</v>
      </c>
      <c r="L310" s="141" t="s">
        <v>33</v>
      </c>
      <c r="M310" s="106" t="s">
        <v>34</v>
      </c>
      <c r="N310" s="104" t="s">
        <v>20</v>
      </c>
      <c r="O310" s="105"/>
      <c r="P310" s="107" t="s">
        <v>22</v>
      </c>
      <c r="Q310" s="108"/>
      <c r="R310" s="4"/>
    </row>
    <row r="311" spans="1:18">
      <c r="A311" s="1">
        <f t="shared" si="10"/>
        <v>0</v>
      </c>
      <c r="B311" s="2"/>
      <c r="C311" s="8"/>
      <c r="D311" s="142" t="str">
        <f>IFERROR(INDEX([239]TRANSPORTES!B:B,MATCH(B311,[239]TRANSPORTES!A:A,0)),"")</f>
        <v/>
      </c>
      <c r="E311" s="143"/>
      <c r="F311" s="143"/>
      <c r="G311" s="143"/>
      <c r="H311" s="143"/>
      <c r="I311" s="143"/>
      <c r="J311" s="143"/>
      <c r="K311" s="220"/>
      <c r="L311" s="145"/>
      <c r="M311" s="146" t="str">
        <f>IFERROR(INDEX([239]TRANSPORTES!C:C,MATCH(B311,[239]TRANSPORTES!A:A,0)),"")</f>
        <v/>
      </c>
      <c r="N311" s="139" t="str">
        <f>IFERROR(INDEX([239]TRANSPORTES!D:D,MATCH(B311,[239]TRANSPORTES!A:A,0)),"")</f>
        <v/>
      </c>
      <c r="O311" s="147"/>
      <c r="P311" s="148" t="str">
        <f>IFERROR(ROUND(K311*N311*L311,2),"")</f>
        <v/>
      </c>
      <c r="Q311" s="119"/>
      <c r="R311" s="4"/>
    </row>
    <row r="312" spans="1:18">
      <c r="A312" s="1">
        <f t="shared" si="10"/>
        <v>0</v>
      </c>
      <c r="B312" s="2"/>
      <c r="C312" s="8"/>
      <c r="D312" s="142" t="str">
        <f>IFERROR(INDEX([239]TRANSPORTES!B:B,MATCH(B312,[239]TRANSPORTES!A:A,0)),"")</f>
        <v/>
      </c>
      <c r="E312" s="143"/>
      <c r="F312" s="143"/>
      <c r="G312" s="143"/>
      <c r="H312" s="143"/>
      <c r="I312" s="143"/>
      <c r="J312" s="143"/>
      <c r="K312" s="144"/>
      <c r="L312" s="145"/>
      <c r="M312" s="146" t="str">
        <f>IFERROR(INDEX([239]TRANSPORTES!C:C,MATCH(B312,[239]TRANSPORTES!A:A,0)),"")</f>
        <v/>
      </c>
      <c r="N312" s="139" t="str">
        <f>IFERROR(INDEX([239]TRANSPORTES!D:D,MATCH(B312,[239]TRANSPORTES!A:A,0)),"")</f>
        <v/>
      </c>
      <c r="O312" s="147"/>
      <c r="P312" s="148" t="str">
        <f>IFERROR(ROUND(K312*N312*L312,2),"")</f>
        <v/>
      </c>
      <c r="Q312" s="119"/>
      <c r="R312" s="4"/>
    </row>
    <row r="313" spans="1:18">
      <c r="A313" s="1">
        <f t="shared" si="10"/>
        <v>0</v>
      </c>
      <c r="B313" s="2"/>
      <c r="C313" s="8"/>
      <c r="D313" s="142" t="str">
        <f>IFERROR(INDEX([239]TRANSPORTES!B:B,MATCH(B313,[239]TRANSPORTES!A:A,0)),"")</f>
        <v/>
      </c>
      <c r="E313" s="143"/>
      <c r="F313" s="143"/>
      <c r="G313" s="143"/>
      <c r="H313" s="143"/>
      <c r="I313" s="143"/>
      <c r="J313" s="143"/>
      <c r="K313" s="144"/>
      <c r="L313" s="145"/>
      <c r="M313" s="146" t="str">
        <f>IFERROR(INDEX([239]TRANSPORTES!C:C,MATCH(B313,[239]TRANSPORTES!A:A,0)),"")</f>
        <v/>
      </c>
      <c r="N313" s="139" t="str">
        <f>IFERROR(INDEX([239]TRANSPORTES!D:D,MATCH(B313,[239]TRANSPORTES!A:A,0)),"")</f>
        <v/>
      </c>
      <c r="O313" s="147"/>
      <c r="P313" s="148" t="str">
        <f>IFERROR(ROUND(K313*N313*L313,2),"")</f>
        <v/>
      </c>
      <c r="Q313" s="119"/>
      <c r="R313" s="4"/>
    </row>
    <row r="314" spans="1:18" ht="15.75" thickBot="1">
      <c r="A314" s="1">
        <f t="shared" si="10"/>
        <v>0</v>
      </c>
      <c r="B314" s="2"/>
      <c r="C314" s="8"/>
      <c r="D314" s="142" t="str">
        <f>IFERROR(INDEX([239]TRANSPORTES!B:B,MATCH(B314,[239]TRANSPORTES!A:A,0)),"")</f>
        <v/>
      </c>
      <c r="E314" s="143"/>
      <c r="F314" s="143"/>
      <c r="G314" s="143"/>
      <c r="H314" s="143"/>
      <c r="I314" s="143"/>
      <c r="J314" s="143"/>
      <c r="K314" s="149"/>
      <c r="L314" s="150"/>
      <c r="M314" s="146" t="str">
        <f>IFERROR(INDEX([239]TRANSPORTES!C:C,MATCH(B314,[239]TRANSPORTES!A:A,0)),"")</f>
        <v/>
      </c>
      <c r="N314" s="139" t="str">
        <f>IFERROR(INDEX([239]TRANSPORTES!D:D,MATCH(B314,[239]TRANSPORTES!A:A,0)),"")</f>
        <v/>
      </c>
      <c r="O314" s="147"/>
      <c r="P314" s="148" t="str">
        <f>IFERROR(ROUND(K314*N314*L314,2),"")</f>
        <v/>
      </c>
      <c r="Q314" s="119"/>
      <c r="R314" s="4"/>
    </row>
    <row r="315" spans="1:18" ht="15.75" thickBot="1">
      <c r="A315" s="1">
        <f t="shared" si="10"/>
        <v>0</v>
      </c>
      <c r="B315" s="2"/>
      <c r="C315" s="8"/>
      <c r="D315" s="128" t="s">
        <v>24</v>
      </c>
      <c r="E315" s="129"/>
      <c r="F315" s="129"/>
      <c r="G315" s="129"/>
      <c r="H315" s="129"/>
      <c r="I315" s="129"/>
      <c r="J315" s="129"/>
      <c r="K315" s="129"/>
      <c r="L315" s="129"/>
      <c r="M315" s="129"/>
      <c r="N315" s="129"/>
      <c r="O315" s="130"/>
      <c r="P315" s="151">
        <f>SUM(P311:P314)</f>
        <v>0</v>
      </c>
      <c r="Q315" s="132"/>
      <c r="R315" s="4"/>
    </row>
    <row r="316" spans="1:18" ht="15.75" thickBot="1">
      <c r="A316" s="1">
        <f t="shared" si="10"/>
        <v>0</v>
      </c>
      <c r="B316" s="2"/>
      <c r="C316" s="8"/>
      <c r="D316" s="74" t="s">
        <v>36</v>
      </c>
      <c r="E316" s="37"/>
      <c r="F316" s="37"/>
      <c r="G316" s="37"/>
      <c r="H316" s="37"/>
      <c r="I316" s="37"/>
      <c r="J316" s="37"/>
      <c r="K316" s="37"/>
      <c r="L316" s="37"/>
      <c r="M316" s="37"/>
      <c r="N316" s="37"/>
      <c r="O316" s="37"/>
      <c r="P316" s="99"/>
      <c r="Q316" s="100"/>
      <c r="R316" s="4"/>
    </row>
    <row r="317" spans="1:18" ht="30">
      <c r="A317" s="1">
        <f t="shared" si="10"/>
        <v>0</v>
      </c>
      <c r="B317" s="2"/>
      <c r="C317" s="8"/>
      <c r="D317" s="101" t="s">
        <v>37</v>
      </c>
      <c r="E317" s="133"/>
      <c r="F317" s="133"/>
      <c r="G317" s="133"/>
      <c r="H317" s="133"/>
      <c r="I317" s="133"/>
      <c r="J317" s="133"/>
      <c r="K317" s="106" t="s">
        <v>38</v>
      </c>
      <c r="L317" s="152" t="s">
        <v>39</v>
      </c>
      <c r="M317" s="153" t="s">
        <v>40</v>
      </c>
      <c r="N317" s="104" t="s">
        <v>21</v>
      </c>
      <c r="O317" s="105"/>
      <c r="P317" s="154" t="s">
        <v>22</v>
      </c>
      <c r="Q317" s="155"/>
      <c r="R317" s="4"/>
    </row>
    <row r="318" spans="1:18">
      <c r="A318" s="1">
        <f t="shared" si="10"/>
        <v>0</v>
      </c>
      <c r="B318" s="2" t="s">
        <v>41</v>
      </c>
      <c r="C318" s="8"/>
      <c r="D318" s="109" t="str">
        <f>IFERROR(INDEX('[239]MANO DE OBRA'!B:B,MATCH(B318,'[239]MANO DE OBRA'!A:A,0)),"")</f>
        <v>OFICIAL</v>
      </c>
      <c r="E318" s="110"/>
      <c r="F318" s="110"/>
      <c r="G318" s="110"/>
      <c r="H318" s="110"/>
      <c r="I318" s="110"/>
      <c r="J318" s="111"/>
      <c r="K318" s="156">
        <f>IFERROR(INDEX('[239]MANO DE OBRA'!D:D,MATCH(B318,'[239]MANO DE OBRA'!A:A,0)),"")</f>
        <v>95930</v>
      </c>
      <c r="L318" s="157">
        <f>+IF(D318&lt;&gt;"",'[239]FACTOR PRESTACIONAL'!$E$21," ")</f>
        <v>1.95</v>
      </c>
      <c r="M318" s="158">
        <f>IFERROR(K318*L318," ")</f>
        <v>187063.5</v>
      </c>
      <c r="N318" s="159">
        <v>1.33</v>
      </c>
      <c r="O318" s="160"/>
      <c r="P318" s="161">
        <f>IFERROR(ROUND(M318/N318,2)," ")</f>
        <v>140649.25</v>
      </c>
      <c r="Q318" s="162"/>
      <c r="R318" s="4"/>
    </row>
    <row r="319" spans="1:18">
      <c r="A319" s="1">
        <f t="shared" si="10"/>
        <v>0</v>
      </c>
      <c r="B319" s="2" t="s">
        <v>42</v>
      </c>
      <c r="C319" s="8"/>
      <c r="D319" s="109" t="str">
        <f>IFERROR(INDEX('[239]MANO DE OBRA'!B:B,MATCH(B319,'[239]MANO DE OBRA'!A:A,0)),"")</f>
        <v>AYUDANTE (2)</v>
      </c>
      <c r="E319" s="110"/>
      <c r="F319" s="110"/>
      <c r="G319" s="110"/>
      <c r="H319" s="110"/>
      <c r="I319" s="110"/>
      <c r="J319" s="111"/>
      <c r="K319" s="156">
        <f>IFERROR(INDEX('[239]MANO DE OBRA'!D:D,MATCH(B319,'[239]MANO DE OBRA'!A:A,0)),"")</f>
        <v>142866</v>
      </c>
      <c r="L319" s="157">
        <f>+IF(D319&lt;&gt;"",'[239]FACTOR PRESTACIONAL'!$E$21," ")</f>
        <v>1.95</v>
      </c>
      <c r="M319" s="158">
        <f>IFERROR(K319*L319," ")</f>
        <v>278588.7</v>
      </c>
      <c r="N319" s="159">
        <v>1.33</v>
      </c>
      <c r="O319" s="160"/>
      <c r="P319" s="161">
        <f>IFERROR(ROUND(M319/N319,2)," ")</f>
        <v>209465.19</v>
      </c>
      <c r="Q319" s="162"/>
      <c r="R319" s="4"/>
    </row>
    <row r="320" spans="1:18">
      <c r="A320" s="1">
        <f t="shared" si="10"/>
        <v>0</v>
      </c>
      <c r="B320" s="2"/>
      <c r="C320" s="8"/>
      <c r="D320" s="109" t="str">
        <f>IFERROR(INDEX('[239]MANO DE OBRA'!B:B,MATCH(B320,'[239]MANO DE OBRA'!A:A,0)),"")</f>
        <v/>
      </c>
      <c r="E320" s="110"/>
      <c r="F320" s="110"/>
      <c r="G320" s="110"/>
      <c r="H320" s="110"/>
      <c r="I320" s="110"/>
      <c r="J320" s="111"/>
      <c r="K320" s="156" t="str">
        <f>IFERROR(INDEX('[239]MANO DE OBRA'!D:D,MATCH(B320,'[239]MANO DE OBRA'!A:A,0)),"")</f>
        <v/>
      </c>
      <c r="L320" s="157" t="str">
        <f>+IF(D320&lt;&gt;"",'[239]FACTOR PRESTACIONAL'!$E$21," ")</f>
        <v xml:space="preserve"> </v>
      </c>
      <c r="M320" s="158" t="str">
        <f>IFERROR(K320*L320," ")</f>
        <v xml:space="preserve"> </v>
      </c>
      <c r="N320" s="159"/>
      <c r="O320" s="160"/>
      <c r="P320" s="161" t="str">
        <f>IFERROR(ROUND(M320/N320,2)," ")</f>
        <v xml:space="preserve"> </v>
      </c>
      <c r="Q320" s="162"/>
      <c r="R320" s="4"/>
    </row>
    <row r="321" spans="1:18">
      <c r="A321" s="1">
        <f t="shared" si="10"/>
        <v>0</v>
      </c>
      <c r="B321" s="2"/>
      <c r="C321" s="8"/>
      <c r="D321" s="109" t="str">
        <f>IFERROR(INDEX('[239]MANO DE OBRA'!B:B,MATCH(B321,'[239]MANO DE OBRA'!A:A,0)),"")</f>
        <v/>
      </c>
      <c r="E321" s="110"/>
      <c r="F321" s="110"/>
      <c r="G321" s="110"/>
      <c r="H321" s="110"/>
      <c r="I321" s="110"/>
      <c r="J321" s="111"/>
      <c r="K321" s="156" t="str">
        <f>IFERROR(INDEX('[239]MANO DE OBRA'!D:D,MATCH(B321,'[239]MANO DE OBRA'!A:A,0)),"")</f>
        <v/>
      </c>
      <c r="L321" s="157" t="str">
        <f>+IF(D321&lt;&gt;"",'[239]FACTOR PRESTACIONAL'!$E$21," ")</f>
        <v xml:space="preserve"> </v>
      </c>
      <c r="M321" s="158" t="str">
        <f>IFERROR(K321*L321," ")</f>
        <v xml:space="preserve"> </v>
      </c>
      <c r="N321" s="159"/>
      <c r="O321" s="160"/>
      <c r="P321" s="161" t="str">
        <f>IFERROR(ROUND(M321/N321,2)," ")</f>
        <v xml:space="preserve"> </v>
      </c>
      <c r="Q321" s="162"/>
      <c r="R321" s="4"/>
    </row>
    <row r="322" spans="1:18" ht="15.75" thickBot="1">
      <c r="A322" s="1">
        <f t="shared" si="10"/>
        <v>0</v>
      </c>
      <c r="B322" s="2"/>
      <c r="C322" s="8"/>
      <c r="D322" s="109" t="str">
        <f>IFERROR(INDEX('[239]MANO DE OBRA'!B:B,MATCH(B322,'[239]MANO DE OBRA'!A:A,0)),"")</f>
        <v/>
      </c>
      <c r="E322" s="110"/>
      <c r="F322" s="110"/>
      <c r="G322" s="110"/>
      <c r="H322" s="110"/>
      <c r="I322" s="110"/>
      <c r="J322" s="111"/>
      <c r="K322" s="156" t="str">
        <f>IFERROR(INDEX('[239]MANO DE OBRA'!D:D,MATCH(B322,'[239]MANO DE OBRA'!A:A,0)),"")</f>
        <v/>
      </c>
      <c r="L322" s="157" t="str">
        <f>+IF(D322&lt;&gt;"",'[239]FACTOR PRESTACIONAL'!$E$21," ")</f>
        <v xml:space="preserve"> </v>
      </c>
      <c r="M322" s="158" t="str">
        <f>IFERROR(K322*L322," ")</f>
        <v xml:space="preserve"> </v>
      </c>
      <c r="N322" s="159"/>
      <c r="O322" s="160"/>
      <c r="P322" s="161" t="str">
        <f>IFERROR(ROUND(M322/N322,2)," ")</f>
        <v xml:space="preserve"> </v>
      </c>
      <c r="Q322" s="119"/>
      <c r="R322" s="4"/>
    </row>
    <row r="323" spans="1:18" ht="15.75" thickBot="1">
      <c r="A323" s="1">
        <f t="shared" si="10"/>
        <v>0</v>
      </c>
      <c r="B323" s="2"/>
      <c r="C323" s="8"/>
      <c r="D323" s="128" t="s">
        <v>24</v>
      </c>
      <c r="E323" s="129"/>
      <c r="F323" s="129"/>
      <c r="G323" s="129"/>
      <c r="H323" s="129"/>
      <c r="I323" s="129"/>
      <c r="J323" s="129"/>
      <c r="K323" s="129"/>
      <c r="L323" s="129"/>
      <c r="M323" s="129"/>
      <c r="N323" s="129"/>
      <c r="O323" s="130"/>
      <c r="P323" s="131">
        <f>SUM(P318:P322)</f>
        <v>350114.44</v>
      </c>
      <c r="Q323" s="119"/>
      <c r="R323" s="4"/>
    </row>
    <row r="324" spans="1:18" ht="15.75" thickBot="1">
      <c r="A324" s="1">
        <f t="shared" si="10"/>
        <v>0</v>
      </c>
      <c r="B324" s="2"/>
      <c r="C324" s="8"/>
      <c r="D324" s="87"/>
      <c r="E324" s="20"/>
      <c r="F324" s="20"/>
      <c r="G324" s="20"/>
      <c r="H324" s="20"/>
      <c r="I324" s="20"/>
      <c r="J324" s="20"/>
      <c r="K324" s="20"/>
      <c r="L324" s="20"/>
      <c r="M324" s="20"/>
      <c r="N324" s="20"/>
      <c r="O324" s="20"/>
      <c r="P324" s="88"/>
      <c r="Q324" s="13"/>
      <c r="R324" s="4"/>
    </row>
    <row r="325" spans="1:18" ht="15.75" thickBot="1">
      <c r="A325" s="1"/>
      <c r="B325" s="2"/>
      <c r="C325" s="8"/>
      <c r="D325" s="163" t="s">
        <v>43</v>
      </c>
      <c r="E325" s="164"/>
      <c r="F325" s="164"/>
      <c r="G325" s="164"/>
      <c r="H325" s="164"/>
      <c r="I325" s="164"/>
      <c r="J325" s="164"/>
      <c r="K325" s="164"/>
      <c r="L325" s="164"/>
      <c r="M325" s="164"/>
      <c r="N325" s="164"/>
      <c r="O325" s="165"/>
      <c r="P325" s="166">
        <f>+P323+P315+P308+P290</f>
        <v>1361137.52</v>
      </c>
      <c r="Q325" s="167"/>
      <c r="R325" s="168"/>
    </row>
    <row r="326" spans="1:18" ht="15.75" thickBot="1">
      <c r="A326" s="1"/>
      <c r="B326" s="2"/>
      <c r="C326" s="8"/>
      <c r="D326" s="169"/>
      <c r="E326" s="170"/>
      <c r="F326" s="170"/>
      <c r="G326" s="170"/>
      <c r="H326" s="170"/>
      <c r="I326" s="170"/>
      <c r="J326" s="170"/>
      <c r="K326" s="170"/>
      <c r="L326" s="170"/>
      <c r="M326" s="170"/>
      <c r="N326" s="170"/>
      <c r="O326" s="170"/>
      <c r="P326" s="171"/>
      <c r="Q326" s="100"/>
      <c r="R326" s="4"/>
    </row>
    <row r="327" spans="1:18">
      <c r="A327" s="1"/>
      <c r="B327" s="2"/>
      <c r="C327" s="8"/>
      <c r="D327" s="172" t="s">
        <v>73</v>
      </c>
      <c r="E327" s="173"/>
      <c r="F327" s="173"/>
      <c r="G327" s="173"/>
      <c r="H327" s="173"/>
      <c r="I327" s="173"/>
      <c r="J327" s="173"/>
      <c r="K327" s="141"/>
      <c r="L327" s="174"/>
      <c r="M327" s="153" t="s">
        <v>44</v>
      </c>
      <c r="N327" s="175" t="s">
        <v>45</v>
      </c>
      <c r="O327" s="176"/>
      <c r="P327" s="154"/>
      <c r="Q327" s="155"/>
      <c r="R327" s="4"/>
    </row>
    <row r="328" spans="1:18">
      <c r="A328" s="1"/>
      <c r="B328" s="2"/>
      <c r="C328" s="8"/>
      <c r="D328" s="109" t="s">
        <v>65</v>
      </c>
      <c r="E328" s="110"/>
      <c r="F328" s="110"/>
      <c r="G328" s="110"/>
      <c r="H328" s="110"/>
      <c r="I328" s="110"/>
      <c r="J328" s="110"/>
      <c r="K328" s="177"/>
      <c r="L328" s="178"/>
      <c r="M328" s="179">
        <f>+[239]INICIO!$F$10</f>
        <v>0.24</v>
      </c>
      <c r="N328" s="180">
        <f>ROUND(M328*P325,2)</f>
        <v>326673</v>
      </c>
      <c r="O328" s="181"/>
      <c r="P328" s="182"/>
      <c r="Q328" s="119"/>
      <c r="R328" s="4"/>
    </row>
    <row r="329" spans="1:18">
      <c r="A329" s="1"/>
      <c r="B329" s="2"/>
      <c r="C329" s="8"/>
      <c r="D329" s="183" t="s">
        <v>67</v>
      </c>
      <c r="E329" s="61"/>
      <c r="F329" s="61"/>
      <c r="G329" s="61"/>
      <c r="H329" s="61"/>
      <c r="I329" s="61"/>
      <c r="J329" s="61"/>
      <c r="K329" s="177"/>
      <c r="L329" s="178"/>
      <c r="M329" s="179">
        <f>+[239]INICIO!$F$11</f>
        <v>0.02</v>
      </c>
      <c r="N329" s="180">
        <f>ROUND(M329*P325,2)</f>
        <v>27222.75</v>
      </c>
      <c r="O329" s="181"/>
      <c r="P329" s="182"/>
      <c r="Q329" s="119"/>
      <c r="R329" s="4"/>
    </row>
    <row r="330" spans="1:18" ht="15.75" thickBot="1">
      <c r="A330" s="1"/>
      <c r="B330" s="2"/>
      <c r="C330" s="8"/>
      <c r="D330" s="77" t="s">
        <v>69</v>
      </c>
      <c r="E330" s="78"/>
      <c r="F330" s="78"/>
      <c r="G330" s="78"/>
      <c r="H330" s="78"/>
      <c r="I330" s="78"/>
      <c r="J330" s="78"/>
      <c r="K330" s="184"/>
      <c r="L330" s="185"/>
      <c r="M330" s="179">
        <f>+[239]INICIO!$F$12</f>
        <v>7.0000000000000007E-2</v>
      </c>
      <c r="N330" s="180">
        <f>ROUND(M330*P325,2)</f>
        <v>95279.63</v>
      </c>
      <c r="O330" s="181"/>
      <c r="P330" s="182"/>
      <c r="Q330" s="119"/>
      <c r="R330" s="4"/>
    </row>
    <row r="331" spans="1:18" ht="15.75" thickBot="1">
      <c r="A331" s="1"/>
      <c r="B331" s="2"/>
      <c r="C331" s="8"/>
      <c r="D331" s="128"/>
      <c r="E331" s="129"/>
      <c r="F331" s="129"/>
      <c r="G331" s="129"/>
      <c r="H331" s="129"/>
      <c r="I331" s="129"/>
      <c r="J331" s="129"/>
      <c r="K331" s="129"/>
      <c r="L331" s="129"/>
      <c r="M331" s="129"/>
      <c r="N331" s="129"/>
      <c r="O331" s="130"/>
      <c r="P331" s="131">
        <f>SUM(N328:N330)</f>
        <v>449175.38</v>
      </c>
      <c r="Q331" s="186"/>
      <c r="R331" s="4"/>
    </row>
    <row r="332" spans="1:18" ht="15.75" thickBot="1">
      <c r="A332" s="1"/>
      <c r="B332" s="2"/>
      <c r="C332" s="8"/>
      <c r="D332" s="87"/>
      <c r="E332" s="20"/>
      <c r="F332" s="20"/>
      <c r="G332" s="20"/>
      <c r="H332" s="20"/>
      <c r="I332" s="20"/>
      <c r="J332" s="20"/>
      <c r="K332" s="20"/>
      <c r="L332" s="20"/>
      <c r="M332" s="20"/>
      <c r="N332" s="20"/>
      <c r="O332" s="20"/>
      <c r="P332" s="88"/>
      <c r="Q332" s="13"/>
      <c r="R332" s="4"/>
    </row>
    <row r="333" spans="1:18" ht="15.75" thickBot="1">
      <c r="A333" s="1"/>
      <c r="B333" s="2"/>
      <c r="C333" s="8"/>
      <c r="D333" s="187" t="s">
        <v>46</v>
      </c>
      <c r="E333" s="188"/>
      <c r="F333" s="188"/>
      <c r="G333" s="188"/>
      <c r="H333" s="188"/>
      <c r="I333" s="188"/>
      <c r="J333" s="188"/>
      <c r="K333" s="188"/>
      <c r="L333" s="188"/>
      <c r="M333" s="188"/>
      <c r="N333" s="188"/>
      <c r="O333" s="189"/>
      <c r="P333" s="166">
        <f>ROUND(P331+P325,0)</f>
        <v>1810313</v>
      </c>
      <c r="Q333" s="186"/>
      <c r="R333" s="4"/>
    </row>
    <row r="334" spans="1:18">
      <c r="A334" s="1"/>
      <c r="B334" s="2"/>
      <c r="C334" s="8"/>
      <c r="D334" s="80"/>
      <c r="E334" s="81"/>
      <c r="F334" s="81"/>
      <c r="G334" s="81"/>
      <c r="H334" s="81"/>
      <c r="I334" s="81"/>
      <c r="J334" s="81"/>
      <c r="K334" s="81"/>
      <c r="L334" s="81"/>
      <c r="M334" s="81"/>
      <c r="N334" s="81"/>
      <c r="O334" s="81"/>
      <c r="P334" s="82"/>
      <c r="Q334" s="13"/>
      <c r="R334" s="4"/>
    </row>
    <row r="335" spans="1:18">
      <c r="A335" s="1"/>
      <c r="B335" s="2"/>
      <c r="C335" s="8"/>
      <c r="D335" s="87"/>
      <c r="E335" s="20"/>
      <c r="F335" s="20"/>
      <c r="G335" s="20"/>
      <c r="H335" s="20"/>
      <c r="I335" s="20"/>
      <c r="J335" s="20"/>
      <c r="K335" s="20"/>
      <c r="L335" s="20"/>
      <c r="M335" s="20"/>
      <c r="N335" s="20"/>
      <c r="O335" s="20"/>
      <c r="P335" s="88"/>
      <c r="Q335" s="13"/>
      <c r="R335" s="4"/>
    </row>
    <row r="336" spans="1:18">
      <c r="A336" s="1"/>
      <c r="B336" s="2"/>
      <c r="C336" s="8"/>
      <c r="D336" s="87"/>
      <c r="E336" s="20"/>
      <c r="F336" s="20"/>
      <c r="G336" s="20"/>
      <c r="H336" s="20"/>
      <c r="I336" s="20"/>
      <c r="J336" s="20"/>
      <c r="K336" s="20"/>
      <c r="L336" s="20"/>
      <c r="M336" s="20"/>
      <c r="N336" s="20"/>
      <c r="O336" s="20"/>
      <c r="P336" s="88"/>
      <c r="Q336" s="13"/>
      <c r="R336" s="4"/>
    </row>
    <row r="337" spans="1:18">
      <c r="A337" s="1"/>
      <c r="B337" s="2"/>
      <c r="C337" s="8"/>
      <c r="D337" s="87"/>
      <c r="E337" s="20"/>
      <c r="F337" s="20"/>
      <c r="G337" s="20"/>
      <c r="H337" s="20"/>
      <c r="I337" s="20"/>
      <c r="J337" s="20"/>
      <c r="K337" s="20"/>
      <c r="L337" s="20"/>
      <c r="M337" s="20"/>
      <c r="N337" s="20"/>
      <c r="O337" s="20"/>
      <c r="P337" s="88"/>
      <c r="Q337" s="13"/>
      <c r="R337" s="4"/>
    </row>
    <row r="338" spans="1:18">
      <c r="A338" s="1"/>
      <c r="B338" s="2"/>
      <c r="C338" s="8"/>
      <c r="D338" s="219" t="str">
        <f>+[239]INICIO!$B$13</f>
        <v>Proyectó:</v>
      </c>
      <c r="E338" s="49"/>
      <c r="F338" s="49"/>
      <c r="G338" s="49"/>
      <c r="H338" s="49"/>
      <c r="I338" s="49"/>
      <c r="J338" s="49"/>
      <c r="K338" s="20"/>
      <c r="L338" s="69" t="str">
        <f>+[239]INICIO!$B$16</f>
        <v>Aprobó:</v>
      </c>
      <c r="M338" s="49"/>
      <c r="N338" s="49"/>
      <c r="O338" s="49"/>
      <c r="P338" s="88"/>
      <c r="Q338" s="13"/>
      <c r="R338" s="4"/>
    </row>
    <row r="339" spans="1:18">
      <c r="A339" s="1"/>
      <c r="B339" s="2"/>
      <c r="C339" s="8"/>
      <c r="D339" s="87"/>
      <c r="E339" s="20" t="str">
        <f>+Hoja2!C$13</f>
        <v>HELMER EDUARDO BECERRA SANTANDER</v>
      </c>
      <c r="F339" s="20"/>
      <c r="G339" s="20"/>
      <c r="H339" s="20"/>
      <c r="I339" s="20"/>
      <c r="J339" s="20"/>
      <c r="K339" s="20"/>
      <c r="L339" s="20"/>
      <c r="M339" s="20" t="str">
        <f>+Hoja2!$C$16</f>
        <v>JESÚS IVÁN QUIÑONES RUEDA</v>
      </c>
      <c r="N339" s="20"/>
      <c r="O339" s="20"/>
      <c r="P339" s="88"/>
      <c r="Q339" s="190"/>
      <c r="R339" s="4"/>
    </row>
    <row r="340" spans="1:18">
      <c r="A340" s="1"/>
      <c r="B340" s="2"/>
      <c r="C340" s="8"/>
      <c r="D340" s="87"/>
      <c r="E340" s="20" t="str">
        <f>+Hoja2!C$14</f>
        <v>APOYO SEC. DE PLANEACIÓN Y OBRAS PÚBLICAS</v>
      </c>
      <c r="F340" s="20"/>
      <c r="G340" s="20"/>
      <c r="H340" s="20"/>
      <c r="I340" s="20"/>
      <c r="J340" s="20"/>
      <c r="K340" s="20"/>
      <c r="L340" s="20"/>
      <c r="M340" s="20" t="str">
        <f>+Hoja2!$C$17</f>
        <v>SECRETARIO DE PLANEACIÓN Y OBRAS PUBLICAS</v>
      </c>
      <c r="N340" s="20"/>
      <c r="O340" s="20"/>
      <c r="P340" s="88"/>
      <c r="Q340" s="190"/>
      <c r="R340" s="4"/>
    </row>
    <row r="341" spans="1:18">
      <c r="A341" s="1"/>
      <c r="B341" s="2"/>
      <c r="C341" s="8"/>
      <c r="D341" s="68"/>
      <c r="E341" s="20" t="str">
        <f>+Hoja2!C$15</f>
        <v>123769-0701671 NTS</v>
      </c>
      <c r="F341" s="191"/>
      <c r="G341" s="191"/>
      <c r="H341" s="191"/>
      <c r="I341" s="20"/>
      <c r="J341" s="191"/>
      <c r="K341" s="191"/>
      <c r="L341" s="191"/>
      <c r="M341" s="192" t="str">
        <f>+Hoja2!C$18</f>
        <v>A21382020-1090480860</v>
      </c>
      <c r="N341" s="191"/>
      <c r="O341" s="191"/>
      <c r="P341" s="193"/>
      <c r="Q341" s="194"/>
      <c r="R341" s="4"/>
    </row>
    <row r="342" spans="1:18" ht="16.5" thickBot="1">
      <c r="A342" s="1"/>
      <c r="B342" s="2"/>
      <c r="C342" s="8"/>
      <c r="D342" s="195"/>
      <c r="E342" s="150"/>
      <c r="F342" s="150"/>
      <c r="G342" s="150"/>
      <c r="H342" s="150"/>
      <c r="I342" s="150"/>
      <c r="J342" s="150"/>
      <c r="K342" s="150"/>
      <c r="L342" s="150"/>
      <c r="M342" s="150"/>
      <c r="N342" s="150"/>
      <c r="O342" s="150"/>
      <c r="P342" s="196"/>
      <c r="Q342" s="197"/>
      <c r="R342" s="4"/>
    </row>
    <row r="343" spans="1:18" ht="15.75" thickBot="1">
      <c r="A343" s="1"/>
      <c r="B343" s="2"/>
      <c r="C343" s="198"/>
      <c r="D343" s="199"/>
      <c r="E343" s="199"/>
      <c r="F343" s="199"/>
      <c r="G343" s="199"/>
      <c r="H343" s="199"/>
      <c r="I343" s="199"/>
      <c r="J343" s="199"/>
      <c r="K343" s="199"/>
      <c r="L343" s="199"/>
      <c r="M343" s="199"/>
      <c r="N343" s="199"/>
      <c r="O343" s="199"/>
      <c r="P343" s="199"/>
      <c r="Q343" s="200"/>
      <c r="R343" s="4"/>
    </row>
    <row r="344" spans="1:18" ht="15.75" thickTop="1"/>
    <row r="345" spans="1:18" ht="15.75" thickBot="1"/>
    <row r="346" spans="1:18" ht="15.75" thickTop="1">
      <c r="A346" s="1"/>
      <c r="B346" s="2"/>
      <c r="C346" s="5"/>
      <c r="D346" s="6"/>
      <c r="E346" s="6"/>
      <c r="F346" s="6"/>
      <c r="G346" s="6"/>
      <c r="H346" s="6"/>
      <c r="I346" s="6"/>
      <c r="J346" s="6"/>
      <c r="K346" s="6"/>
      <c r="L346" s="6"/>
      <c r="M346" s="6"/>
      <c r="N346" s="6"/>
      <c r="O346" s="6"/>
      <c r="P346" s="6"/>
      <c r="Q346" s="7"/>
      <c r="R346" s="4"/>
    </row>
    <row r="347" spans="1:18" ht="24">
      <c r="A347" s="1"/>
      <c r="B347" s="2"/>
      <c r="C347" s="8"/>
      <c r="D347" s="9" t="str">
        <f>+[239]INICIO!$C$8</f>
        <v>Análisis de Precios Unitarios- Secretaria de Planeación y Obras Publicas de Cubará, Boyacá.</v>
      </c>
      <c r="E347" s="10"/>
      <c r="F347" s="10"/>
      <c r="G347" s="10"/>
      <c r="H347" s="11"/>
      <c r="I347" s="12"/>
      <c r="J347" s="12"/>
      <c r="K347" s="12"/>
      <c r="L347" s="12"/>
      <c r="M347" s="12"/>
      <c r="N347" s="12"/>
      <c r="O347" s="12"/>
      <c r="P347" s="12"/>
      <c r="Q347" s="13"/>
      <c r="R347" s="4"/>
    </row>
    <row r="348" spans="1:18">
      <c r="A348" s="1"/>
      <c r="B348" s="2"/>
      <c r="C348" s="8"/>
      <c r="D348" s="14" t="s">
        <v>0</v>
      </c>
      <c r="E348" s="15" t="str">
        <f>+[239]INICIO!$C$7</f>
        <v>CCE-EICP-FM-14</v>
      </c>
      <c r="F348" s="16"/>
      <c r="G348" s="17" t="str">
        <f>+[239]INICIO!$B$6</f>
        <v>VERSIÓN</v>
      </c>
      <c r="H348" s="14">
        <f>+[239]INICIO!$C$6</f>
        <v>1</v>
      </c>
      <c r="I348" s="12"/>
      <c r="J348" s="12"/>
      <c r="K348" s="12"/>
      <c r="L348" s="12"/>
      <c r="M348" s="12"/>
      <c r="N348" s="12"/>
      <c r="O348" s="12"/>
      <c r="P348" s="12"/>
      <c r="Q348" s="13"/>
      <c r="R348" s="4"/>
    </row>
    <row r="349" spans="1:18">
      <c r="A349" s="1"/>
      <c r="B349" s="2"/>
      <c r="C349" s="8"/>
      <c r="D349" s="18"/>
      <c r="E349" s="19"/>
      <c r="F349" s="18"/>
      <c r="G349" s="19"/>
      <c r="H349" s="12"/>
      <c r="I349" s="12"/>
      <c r="J349" s="12"/>
      <c r="K349" s="12"/>
      <c r="L349" s="12"/>
      <c r="M349" s="12"/>
      <c r="N349" s="12"/>
      <c r="O349" s="12"/>
      <c r="P349" s="12"/>
      <c r="Q349" s="13"/>
      <c r="R349" s="4"/>
    </row>
    <row r="350" spans="1:18" ht="15.75" thickBot="1">
      <c r="A350" s="1"/>
      <c r="B350" s="2"/>
      <c r="C350" s="8"/>
      <c r="D350" s="20"/>
      <c r="E350" s="20"/>
      <c r="F350" s="20"/>
      <c r="G350" s="20"/>
      <c r="H350" s="20"/>
      <c r="I350" s="20"/>
      <c r="J350" s="20"/>
      <c r="K350" s="20"/>
      <c r="L350" s="20"/>
      <c r="M350" s="20"/>
      <c r="N350" s="20"/>
      <c r="O350" s="20"/>
      <c r="P350" s="20"/>
      <c r="Q350" s="13"/>
      <c r="R350" s="4"/>
    </row>
    <row r="351" spans="1:18">
      <c r="A351" s="1"/>
      <c r="B351" s="2"/>
      <c r="C351" s="8"/>
      <c r="D351" s="21"/>
      <c r="E351" s="22"/>
      <c r="F351" s="23"/>
      <c r="G351" s="23"/>
      <c r="H351" s="23"/>
      <c r="I351" s="23"/>
      <c r="J351" s="23"/>
      <c r="K351" s="23"/>
      <c r="L351" s="24"/>
      <c r="M351" s="25"/>
      <c r="N351" s="26"/>
      <c r="O351" s="26"/>
      <c r="P351" s="27"/>
      <c r="Q351" s="28"/>
      <c r="R351" s="4"/>
    </row>
    <row r="352" spans="1:18">
      <c r="A352" s="1"/>
      <c r="B352" s="2"/>
      <c r="C352" s="8"/>
      <c r="D352" s="29"/>
      <c r="E352" s="30" t="s">
        <v>1</v>
      </c>
      <c r="F352" s="31"/>
      <c r="G352" s="31"/>
      <c r="H352" s="31"/>
      <c r="I352" s="31"/>
      <c r="J352" s="31"/>
      <c r="K352" s="31"/>
      <c r="L352" s="32"/>
      <c r="M352" s="33"/>
      <c r="N352" s="34"/>
      <c r="O352" s="34"/>
      <c r="P352" s="35"/>
      <c r="Q352" s="28"/>
      <c r="R352" s="4"/>
    </row>
    <row r="353" spans="1:18">
      <c r="A353" s="1"/>
      <c r="B353" s="2"/>
      <c r="C353" s="8"/>
      <c r="D353" s="29"/>
      <c r="E353" s="36"/>
      <c r="F353" s="37"/>
      <c r="G353" s="37"/>
      <c r="H353" s="37"/>
      <c r="I353" s="37"/>
      <c r="J353" s="37"/>
      <c r="K353" s="37"/>
      <c r="L353" s="38"/>
      <c r="M353" s="39"/>
      <c r="N353" s="40"/>
      <c r="O353" s="41"/>
      <c r="P353" s="42"/>
      <c r="Q353" s="28"/>
      <c r="R353" s="4"/>
    </row>
    <row r="354" spans="1:18">
      <c r="A354" s="1"/>
      <c r="B354" s="2"/>
      <c r="C354" s="8"/>
      <c r="D354" s="29"/>
      <c r="E354" s="36"/>
      <c r="F354" s="37"/>
      <c r="G354" s="37"/>
      <c r="H354" s="37"/>
      <c r="I354" s="37"/>
      <c r="J354" s="37"/>
      <c r="K354" s="37"/>
      <c r="L354" s="38"/>
      <c r="M354" s="43" t="s">
        <v>2</v>
      </c>
      <c r="N354" s="44"/>
      <c r="O354" s="45">
        <f>+[239]INICIO!$C$6</f>
        <v>1</v>
      </c>
      <c r="P354" s="46"/>
      <c r="Q354" s="28"/>
      <c r="R354" s="4"/>
    </row>
    <row r="355" spans="1:18">
      <c r="A355" s="1"/>
      <c r="B355" s="2"/>
      <c r="C355" s="8"/>
      <c r="D355" s="29"/>
      <c r="E355" s="36"/>
      <c r="F355" s="37"/>
      <c r="G355" s="37"/>
      <c r="H355" s="37"/>
      <c r="I355" s="37"/>
      <c r="J355" s="37"/>
      <c r="K355" s="37"/>
      <c r="L355" s="38"/>
      <c r="M355" s="47"/>
      <c r="N355" s="48"/>
      <c r="O355" s="49"/>
      <c r="P355" s="50"/>
      <c r="Q355" s="51"/>
      <c r="R355" s="4"/>
    </row>
    <row r="356" spans="1:18">
      <c r="A356" s="1"/>
      <c r="B356" s="2"/>
      <c r="C356" s="8"/>
      <c r="D356" s="29"/>
      <c r="E356" s="52"/>
      <c r="F356" s="53"/>
      <c r="G356" s="53"/>
      <c r="H356" s="53"/>
      <c r="I356" s="53"/>
      <c r="J356" s="53"/>
      <c r="K356" s="53"/>
      <c r="L356" s="54"/>
      <c r="M356" s="39"/>
      <c r="N356" s="55"/>
      <c r="O356" s="55"/>
      <c r="P356" s="56"/>
      <c r="Q356" s="28"/>
      <c r="R356" s="4"/>
    </row>
    <row r="357" spans="1:18">
      <c r="A357" s="1"/>
      <c r="B357" s="2"/>
      <c r="C357" s="8"/>
      <c r="D357" s="29"/>
      <c r="E357" s="52"/>
      <c r="F357" s="53"/>
      <c r="G357" s="53"/>
      <c r="H357" s="53"/>
      <c r="I357" s="53"/>
      <c r="J357" s="53"/>
      <c r="K357" s="53"/>
      <c r="L357" s="54"/>
      <c r="M357" s="43" t="s">
        <v>3</v>
      </c>
      <c r="N357" s="43" t="str">
        <f>+VLOOKUP(D368,'PRESUPUESTO OFICIAL '!C:Q,9,FALSE)</f>
        <v>20</v>
      </c>
      <c r="O357" s="43" t="s">
        <v>4</v>
      </c>
      <c r="P357" s="508" t="str">
        <f>+'PRESUPUESTO OFICIAL '!$M$122</f>
        <v>62</v>
      </c>
      <c r="Q357" s="28"/>
      <c r="R357" s="4"/>
    </row>
    <row r="358" spans="1:18">
      <c r="A358" s="1"/>
      <c r="B358" s="2"/>
      <c r="C358" s="8"/>
      <c r="D358" s="29"/>
      <c r="E358" s="30" t="s">
        <v>5</v>
      </c>
      <c r="F358" s="31"/>
      <c r="G358" s="31"/>
      <c r="H358" s="31"/>
      <c r="I358" s="31"/>
      <c r="J358" s="31"/>
      <c r="K358" s="31"/>
      <c r="L358" s="32"/>
      <c r="M358" s="43"/>
      <c r="N358" s="57"/>
      <c r="O358" s="57"/>
      <c r="P358" s="58"/>
      <c r="Q358" s="28"/>
      <c r="R358" s="4"/>
    </row>
    <row r="359" spans="1:18" ht="15.75" thickBot="1">
      <c r="A359" s="1"/>
      <c r="B359" s="2"/>
      <c r="C359" s="8"/>
      <c r="D359" s="59"/>
      <c r="E359" s="60"/>
      <c r="F359" s="60"/>
      <c r="G359" s="60"/>
      <c r="H359" s="60"/>
      <c r="I359" s="60"/>
      <c r="J359" s="60"/>
      <c r="K359" s="60"/>
      <c r="L359" s="60"/>
      <c r="M359" s="60"/>
      <c r="N359" s="61"/>
      <c r="O359" s="61"/>
      <c r="P359" s="62"/>
      <c r="Q359" s="63"/>
      <c r="R359" s="4"/>
    </row>
    <row r="360" spans="1:18">
      <c r="A360" s="1"/>
      <c r="B360" s="2"/>
      <c r="C360" s="8"/>
      <c r="D360" s="64"/>
      <c r="E360" s="65"/>
      <c r="F360" s="65"/>
      <c r="G360" s="65"/>
      <c r="H360" s="65"/>
      <c r="I360" s="65"/>
      <c r="J360" s="65"/>
      <c r="K360" s="65"/>
      <c r="L360" s="65"/>
      <c r="M360" s="66" t="s">
        <v>6</v>
      </c>
      <c r="N360" s="66" t="s">
        <v>7</v>
      </c>
      <c r="O360" s="66" t="s">
        <v>8</v>
      </c>
      <c r="P360" s="67" t="s">
        <v>9</v>
      </c>
      <c r="Q360" s="51"/>
      <c r="R360" s="4"/>
    </row>
    <row r="361" spans="1:18">
      <c r="A361" s="1"/>
      <c r="B361" s="2"/>
      <c r="C361" s="8"/>
      <c r="D361" s="68"/>
      <c r="E361" s="69"/>
      <c r="F361" s="69"/>
      <c r="G361" s="69"/>
      <c r="H361" s="69"/>
      <c r="I361" s="69"/>
      <c r="J361" s="69"/>
      <c r="K361" s="69"/>
      <c r="L361" s="69"/>
      <c r="M361" s="70"/>
      <c r="N361" s="71">
        <f>+Hoja2!B$5</f>
        <v>5</v>
      </c>
      <c r="O361" s="71">
        <f>+Hoja2!C$5</f>
        <v>8</v>
      </c>
      <c r="P361" s="72">
        <f>+Hoja2!D$5</f>
        <v>2026</v>
      </c>
      <c r="Q361" s="73"/>
      <c r="R361" s="4"/>
    </row>
    <row r="362" spans="1:18">
      <c r="A362" s="1"/>
      <c r="B362" s="2"/>
      <c r="C362" s="8"/>
      <c r="D362" s="74"/>
      <c r="E362" s="37"/>
      <c r="F362" s="37"/>
      <c r="G362" s="37"/>
      <c r="H362" s="69"/>
      <c r="I362" s="69"/>
      <c r="J362" s="69"/>
      <c r="K362" s="20"/>
      <c r="L362" s="69"/>
      <c r="M362" s="75"/>
      <c r="N362" s="20"/>
      <c r="O362" s="20"/>
      <c r="P362" s="76"/>
      <c r="Q362" s="73"/>
      <c r="R362" s="4"/>
    </row>
    <row r="363" spans="1:18" ht="15.75" thickBot="1">
      <c r="A363" s="1"/>
      <c r="B363" s="2"/>
      <c r="C363" s="8"/>
      <c r="D363" s="77"/>
      <c r="E363" s="78"/>
      <c r="F363" s="78"/>
      <c r="G363" s="78"/>
      <c r="H363" s="78"/>
      <c r="I363" s="78"/>
      <c r="J363" s="78"/>
      <c r="K363" s="78"/>
      <c r="L363" s="78"/>
      <c r="M363" s="78"/>
      <c r="N363" s="78"/>
      <c r="O363" s="78"/>
      <c r="P363" s="79"/>
      <c r="Q363" s="13"/>
      <c r="R363" s="4"/>
    </row>
    <row r="364" spans="1:18" ht="15.75" thickBot="1">
      <c r="A364" s="1"/>
      <c r="B364" s="2"/>
      <c r="C364" s="8"/>
      <c r="D364" s="80"/>
      <c r="E364" s="81"/>
      <c r="F364" s="81"/>
      <c r="G364" s="81"/>
      <c r="H364" s="81"/>
      <c r="I364" s="81"/>
      <c r="J364" s="20"/>
      <c r="K364" s="20"/>
      <c r="L364" s="81"/>
      <c r="M364" s="81"/>
      <c r="N364" s="81"/>
      <c r="O364" s="81"/>
      <c r="P364" s="82"/>
      <c r="Q364" s="13"/>
      <c r="R364" s="4"/>
    </row>
    <row r="365" spans="1:18">
      <c r="A365" s="1"/>
      <c r="B365" s="2"/>
      <c r="C365" s="8"/>
      <c r="D365" s="83" t="s">
        <v>10</v>
      </c>
      <c r="E365" s="84"/>
      <c r="F365" s="84"/>
      <c r="G365" s="84"/>
      <c r="H365" s="84"/>
      <c r="I365" s="84"/>
      <c r="J365" s="84"/>
      <c r="K365" s="84"/>
      <c r="L365" s="84"/>
      <c r="M365" s="84"/>
      <c r="N365" s="84"/>
      <c r="O365" s="84"/>
      <c r="P365" s="85"/>
      <c r="Q365" s="86"/>
      <c r="R365" s="4"/>
    </row>
    <row r="366" spans="1:18" ht="15.75" thickBot="1">
      <c r="A366" s="1"/>
      <c r="B366" s="2"/>
      <c r="C366" s="8"/>
      <c r="D366" s="87"/>
      <c r="E366" s="20"/>
      <c r="F366" s="20"/>
      <c r="G366" s="20"/>
      <c r="H366" s="20"/>
      <c r="I366" s="20"/>
      <c r="J366" s="20"/>
      <c r="K366" s="20"/>
      <c r="L366" s="20"/>
      <c r="M366" s="20"/>
      <c r="N366" s="20"/>
      <c r="O366" s="20"/>
      <c r="P366" s="88"/>
      <c r="Q366" s="13"/>
      <c r="R366" s="4"/>
    </row>
    <row r="367" spans="1:18">
      <c r="A367" s="1" t="s">
        <v>11</v>
      </c>
      <c r="B367" s="2" t="s">
        <v>12</v>
      </c>
      <c r="C367" s="8"/>
      <c r="D367" s="89" t="s">
        <v>13</v>
      </c>
      <c r="E367" s="90" t="s">
        <v>14</v>
      </c>
      <c r="F367" s="90"/>
      <c r="G367" s="90"/>
      <c r="H367" s="90"/>
      <c r="I367" s="90"/>
      <c r="J367" s="90"/>
      <c r="K367" s="90"/>
      <c r="L367" s="90"/>
      <c r="M367" s="90"/>
      <c r="N367" s="91" t="s">
        <v>15</v>
      </c>
      <c r="O367" s="91"/>
      <c r="P367" s="92" t="s">
        <v>16</v>
      </c>
      <c r="Q367" s="93"/>
      <c r="R367" s="4"/>
    </row>
    <row r="368" spans="1:18" ht="30.75" customHeight="1" thickBot="1">
      <c r="A368" s="1"/>
      <c r="B368" s="2"/>
      <c r="C368" s="8"/>
      <c r="D368" s="349">
        <f>+'PRESUPUESTO OFICIAL '!C34</f>
        <v>2.0499999999999998</v>
      </c>
      <c r="E368" s="94" t="str">
        <f>+VLOOKUP(D368,'PRESUPUESTO OFICIAL '!C:H,2,FALSE)</f>
        <v>SUMINISTRO E INSTALACIÓN DE CONCRETO CICLÓPEO 21 MPA (60C/40P) PARA BASES.</v>
      </c>
      <c r="F368" s="94"/>
      <c r="G368" s="94"/>
      <c r="H368" s="94"/>
      <c r="I368" s="94"/>
      <c r="J368" s="94"/>
      <c r="K368" s="94"/>
      <c r="L368" s="94"/>
      <c r="M368" s="94"/>
      <c r="N368" s="94" t="str">
        <f>+VLOOKUP(D368,'PRESUPUESTO OFICIAL '!C:H,3,FALSE)</f>
        <v>M3</v>
      </c>
      <c r="O368" s="95"/>
      <c r="P368" s="96">
        <f>+VLOOKUP(D368,'PRESUPUESTO OFICIAL '!C:H,4,FALSE)</f>
        <v>9.26</v>
      </c>
      <c r="Q368" s="97"/>
      <c r="R368" s="98">
        <f>+P420</f>
        <v>1132615</v>
      </c>
    </row>
    <row r="369" spans="1:18" ht="15.75" thickBot="1">
      <c r="A369" s="1"/>
      <c r="B369" s="2"/>
      <c r="C369" s="8"/>
      <c r="D369" s="74" t="s">
        <v>17</v>
      </c>
      <c r="E369" s="37"/>
      <c r="F369" s="37"/>
      <c r="G369" s="37"/>
      <c r="H369" s="37"/>
      <c r="I369" s="37"/>
      <c r="J369" s="37"/>
      <c r="K369" s="37"/>
      <c r="L369" s="37"/>
      <c r="M369" s="37"/>
      <c r="N369" s="37"/>
      <c r="O369" s="37"/>
      <c r="P369" s="99"/>
      <c r="Q369" s="100"/>
      <c r="R369" s="4"/>
    </row>
    <row r="370" spans="1:18">
      <c r="A370" s="1"/>
      <c r="B370" s="2"/>
      <c r="C370" s="8"/>
      <c r="D370" s="101" t="s">
        <v>14</v>
      </c>
      <c r="E370" s="102"/>
      <c r="F370" s="102"/>
      <c r="G370" s="102"/>
      <c r="H370" s="103"/>
      <c r="I370" s="104" t="s">
        <v>18</v>
      </c>
      <c r="J370" s="102"/>
      <c r="K370" s="104" t="s">
        <v>19</v>
      </c>
      <c r="L370" s="105"/>
      <c r="M370" s="106" t="s">
        <v>20</v>
      </c>
      <c r="N370" s="104" t="s">
        <v>21</v>
      </c>
      <c r="O370" s="105"/>
      <c r="P370" s="107" t="s">
        <v>22</v>
      </c>
      <c r="Q370" s="108"/>
      <c r="R370" s="4"/>
    </row>
    <row r="371" spans="1:18">
      <c r="A371" s="1" t="e">
        <f>[239]INDICE!#REF!</f>
        <v>#REF!</v>
      </c>
      <c r="B371" s="2" t="s">
        <v>23</v>
      </c>
      <c r="C371" s="8"/>
      <c r="D371" s="109" t="str">
        <f>IFERROR(INDEX([239]EQUIPOS!B:B,MATCH(B371,[239]EQUIPOS!A:A,0)),"")</f>
        <v>HERRAMIENTA MENOR (% M.O)</v>
      </c>
      <c r="E371" s="110"/>
      <c r="F371" s="110"/>
      <c r="G371" s="110"/>
      <c r="H371" s="111"/>
      <c r="I371" s="112"/>
      <c r="J371" s="111"/>
      <c r="K371" s="113" t="str">
        <f>IFERROR(INDEX([239]EQUIPOS!C:C,MATCH(B371,[239]EQUIPOS!A:A,0)),"")</f>
        <v>%</v>
      </c>
      <c r="L371" s="114"/>
      <c r="M371" s="115">
        <f>IFERROR(IF(D371="HERRAMIENTA MENOR (% M.O)",P410,INDEX([239]EQUIPOS!D:D,MATCH(B371,[239]EQUIPOS!A:A,0))),"")</f>
        <v>291032.63</v>
      </c>
      <c r="N371" s="116">
        <v>10</v>
      </c>
      <c r="O371" s="117"/>
      <c r="P371" s="118">
        <f t="shared" ref="P371:P376" si="12">IFERROR(ROUND(IF(D371="HERRAMIENTA MENOR (% M.O)",N371%*M371,M371/N371),2)," ")</f>
        <v>29103.26</v>
      </c>
      <c r="Q371" s="119"/>
      <c r="R371" s="4"/>
    </row>
    <row r="372" spans="1:18">
      <c r="A372" s="1">
        <f>+$A$2858</f>
        <v>0</v>
      </c>
      <c r="B372" s="2"/>
      <c r="C372" s="8"/>
      <c r="D372" s="109" t="str">
        <f>IFERROR(INDEX([239]EQUIPOS!B:B,MATCH(B372,[239]EQUIPOS!A:A,0)),"")</f>
        <v/>
      </c>
      <c r="E372" s="110"/>
      <c r="F372" s="110"/>
      <c r="G372" s="110"/>
      <c r="H372" s="111"/>
      <c r="I372" s="112"/>
      <c r="J372" s="111"/>
      <c r="K372" s="113" t="str">
        <f>IFERROR(INDEX([239]EQUIPOS!C:C,MATCH(B372,[239]EQUIPOS!A:A,0)),"")</f>
        <v/>
      </c>
      <c r="L372" s="114"/>
      <c r="M372" s="115" t="str">
        <f>IFERROR(IF(D372="HERRAMIENTA MENOR (% M.O)",P411,INDEX([239]EQUIPOS!D:D,MATCH(B372,[239]EQUIPOS!A:A,0))),"")</f>
        <v/>
      </c>
      <c r="N372" s="116"/>
      <c r="O372" s="117"/>
      <c r="P372" s="118" t="str">
        <f t="shared" si="12"/>
        <v xml:space="preserve"> </v>
      </c>
      <c r="Q372" s="119"/>
      <c r="R372" s="4"/>
    </row>
    <row r="373" spans="1:18">
      <c r="A373" s="1">
        <f t="shared" ref="A373:A411" si="13">+A372</f>
        <v>0</v>
      </c>
      <c r="B373" s="2"/>
      <c r="C373" s="8"/>
      <c r="D373" s="109" t="str">
        <f>IFERROR(INDEX([239]EQUIPOS!B:B,MATCH(B373,[239]EQUIPOS!A:A,0)),"")</f>
        <v/>
      </c>
      <c r="E373" s="110"/>
      <c r="F373" s="110"/>
      <c r="G373" s="110"/>
      <c r="H373" s="111"/>
      <c r="I373" s="120"/>
      <c r="J373" s="121"/>
      <c r="K373" s="113" t="str">
        <f>IFERROR(INDEX([239]EQUIPOS!C:C,MATCH(B373,[239]EQUIPOS!A:A,0)),"")</f>
        <v/>
      </c>
      <c r="L373" s="114"/>
      <c r="M373" s="115" t="str">
        <f>IFERROR(IF(D373="HERRAMIENTA MENOR (% M.O)",P412,INDEX([239]EQUIPOS!D:D,MATCH(B373,[239]EQUIPOS!A:A,0))),"")</f>
        <v/>
      </c>
      <c r="N373" s="116"/>
      <c r="O373" s="117"/>
      <c r="P373" s="118" t="str">
        <f t="shared" si="12"/>
        <v xml:space="preserve"> </v>
      </c>
      <c r="Q373" s="119"/>
      <c r="R373" s="4"/>
    </row>
    <row r="374" spans="1:18">
      <c r="A374" s="1">
        <f t="shared" si="13"/>
        <v>0</v>
      </c>
      <c r="B374" s="2"/>
      <c r="C374" s="8"/>
      <c r="D374" s="109" t="str">
        <f>IFERROR(INDEX([239]EQUIPOS!B:B,MATCH(B374,[239]EQUIPOS!A:A,0)),"")</f>
        <v/>
      </c>
      <c r="E374" s="110"/>
      <c r="F374" s="110"/>
      <c r="G374" s="110"/>
      <c r="H374" s="111"/>
      <c r="I374" s="120"/>
      <c r="J374" s="121"/>
      <c r="K374" s="113" t="str">
        <f>IFERROR(INDEX([239]EQUIPOS!C:C,MATCH(B374,[239]EQUIPOS!A:A,0)),"")</f>
        <v/>
      </c>
      <c r="L374" s="114"/>
      <c r="M374" s="115" t="str">
        <f>IFERROR(IF(D374="HERRAMIENTA MENOR (% M.O)",P413,INDEX([239]EQUIPOS!D:D,MATCH(B374,[239]EQUIPOS!A:A,0))),"")</f>
        <v/>
      </c>
      <c r="N374" s="116"/>
      <c r="O374" s="117"/>
      <c r="P374" s="118" t="str">
        <f t="shared" si="12"/>
        <v xml:space="preserve"> </v>
      </c>
      <c r="Q374" s="119"/>
      <c r="R374" s="4"/>
    </row>
    <row r="375" spans="1:18">
      <c r="A375" s="1">
        <f t="shared" si="13"/>
        <v>0</v>
      </c>
      <c r="B375" s="2"/>
      <c r="C375" s="8"/>
      <c r="D375" s="109" t="str">
        <f>IFERROR(INDEX([239]EQUIPOS!B:B,MATCH(B375,[239]EQUIPOS!A:A,0)),"")</f>
        <v/>
      </c>
      <c r="E375" s="110"/>
      <c r="F375" s="110"/>
      <c r="G375" s="110"/>
      <c r="H375" s="111"/>
      <c r="I375" s="112"/>
      <c r="J375" s="111"/>
      <c r="K375" s="113" t="str">
        <f>IFERROR(INDEX([239]EQUIPOS!C:C,MATCH(B375,[239]EQUIPOS!A:A,0)),"")</f>
        <v/>
      </c>
      <c r="L375" s="114"/>
      <c r="M375" s="115" t="str">
        <f>IFERROR(IF(D375="HERRAMIENTA MENOR (% M.O)",P414,INDEX([239]EQUIPOS!D:D,MATCH(B375,[239]EQUIPOS!A:A,0))),"")</f>
        <v/>
      </c>
      <c r="N375" s="116"/>
      <c r="O375" s="117"/>
      <c r="P375" s="118" t="str">
        <f t="shared" si="12"/>
        <v xml:space="preserve"> </v>
      </c>
      <c r="Q375" s="119"/>
      <c r="R375" s="4"/>
    </row>
    <row r="376" spans="1:18" ht="15.75" thickBot="1">
      <c r="A376" s="1">
        <f t="shared" si="13"/>
        <v>0</v>
      </c>
      <c r="B376" s="2"/>
      <c r="C376" s="8"/>
      <c r="D376" s="109" t="str">
        <f>IFERROR(INDEX([239]EQUIPOS!B:B,MATCH(B376,[239]EQUIPOS!A:A,0)),"")</f>
        <v/>
      </c>
      <c r="E376" s="78"/>
      <c r="F376" s="78"/>
      <c r="G376" s="78"/>
      <c r="H376" s="122"/>
      <c r="I376" s="123"/>
      <c r="J376" s="122"/>
      <c r="K376" s="113" t="str">
        <f>IFERROR(INDEX([239]EQUIPOS!C:C,MATCH(B376,[239]EQUIPOS!A:A,0)),"")</f>
        <v/>
      </c>
      <c r="L376" s="124"/>
      <c r="M376" s="115" t="str">
        <f>IFERROR(IF(D376="HERRAMIENTA MENOR (% M.O)",P415,INDEX([239]EQUIPOS!D:D,MATCH(B376,[239]EQUIPOS!A:A,0))),"")</f>
        <v/>
      </c>
      <c r="N376" s="125"/>
      <c r="O376" s="126"/>
      <c r="P376" s="127" t="str">
        <f t="shared" si="12"/>
        <v xml:space="preserve"> </v>
      </c>
      <c r="Q376" s="119"/>
      <c r="R376" s="4"/>
    </row>
    <row r="377" spans="1:18" ht="15.75" thickBot="1">
      <c r="A377" s="1">
        <f t="shared" si="13"/>
        <v>0</v>
      </c>
      <c r="B377" s="2"/>
      <c r="C377" s="8"/>
      <c r="D377" s="128" t="s">
        <v>24</v>
      </c>
      <c r="E377" s="129"/>
      <c r="F377" s="129"/>
      <c r="G377" s="129"/>
      <c r="H377" s="129"/>
      <c r="I377" s="129"/>
      <c r="J377" s="129"/>
      <c r="K377" s="129"/>
      <c r="L377" s="129"/>
      <c r="M377" s="129"/>
      <c r="N377" s="129"/>
      <c r="O377" s="130"/>
      <c r="P377" s="131">
        <f>SUM(P371:P376)</f>
        <v>29103.26</v>
      </c>
      <c r="Q377" s="132"/>
      <c r="R377" s="4"/>
    </row>
    <row r="378" spans="1:18" ht="15.75" thickBot="1">
      <c r="A378" s="1">
        <f t="shared" si="13"/>
        <v>0</v>
      </c>
      <c r="B378" s="2"/>
      <c r="C378" s="8"/>
      <c r="D378" s="74" t="s">
        <v>25</v>
      </c>
      <c r="E378" s="37"/>
      <c r="F378" s="37"/>
      <c r="G378" s="37"/>
      <c r="H378" s="37"/>
      <c r="I378" s="37"/>
      <c r="J378" s="37"/>
      <c r="K378" s="37"/>
      <c r="L378" s="37"/>
      <c r="M378" s="37"/>
      <c r="N378" s="37"/>
      <c r="O378" s="37"/>
      <c r="P378" s="99"/>
      <c r="Q378" s="100"/>
      <c r="R378" s="4"/>
    </row>
    <row r="379" spans="1:18">
      <c r="A379" s="1">
        <f t="shared" si="13"/>
        <v>0</v>
      </c>
      <c r="B379" s="2"/>
      <c r="C379" s="8"/>
      <c r="D379" s="101" t="s">
        <v>14</v>
      </c>
      <c r="E379" s="133"/>
      <c r="F379" s="133"/>
      <c r="G379" s="133"/>
      <c r="H379" s="133"/>
      <c r="I379" s="133"/>
      <c r="J379" s="133"/>
      <c r="K379" s="105"/>
      <c r="L379" s="134" t="s">
        <v>15</v>
      </c>
      <c r="M379" s="106" t="s">
        <v>16</v>
      </c>
      <c r="N379" s="104" t="s">
        <v>26</v>
      </c>
      <c r="O379" s="105"/>
      <c r="P379" s="107" t="s">
        <v>22</v>
      </c>
      <c r="Q379" s="108"/>
      <c r="R379" s="4"/>
    </row>
    <row r="380" spans="1:18">
      <c r="A380" s="1">
        <f t="shared" si="13"/>
        <v>0</v>
      </c>
      <c r="B380" s="2" t="s">
        <v>272</v>
      </c>
      <c r="C380" s="8"/>
      <c r="D380" s="109" t="str">
        <f>IFERROR(INDEX([239]MATERIALES!C:C,MATCH(B380,[239]MATERIALES!B:B,0)),"")</f>
        <v>CONCRETO DE 3000 PSI (1:2:3)</v>
      </c>
      <c r="E380" s="135"/>
      <c r="F380" s="135"/>
      <c r="G380" s="135"/>
      <c r="H380" s="135"/>
      <c r="I380" s="135"/>
      <c r="J380" s="135"/>
      <c r="K380" s="136"/>
      <c r="L380" s="137" t="str">
        <f>IFERROR(INDEX([239]MATERIALES!D:D,MATCH(B380,[239]MATERIALES!B:B,0)),"")</f>
        <v>M3</v>
      </c>
      <c r="M380" s="138">
        <v>0.6</v>
      </c>
      <c r="N380" s="139">
        <f>IFERROR(INDEX([239]MATERIALES!P:P,MATCH(B380,[239]MATERIALES!B:B,0)),"")</f>
        <v>765149.14</v>
      </c>
      <c r="O380" s="140"/>
      <c r="P380" s="118">
        <f>IFERROR(ROUND(N380*M380,2),"")</f>
        <v>459089.48</v>
      </c>
      <c r="Q380" s="119"/>
      <c r="R380" s="4"/>
    </row>
    <row r="381" spans="1:18">
      <c r="A381" s="1">
        <f t="shared" si="13"/>
        <v>0</v>
      </c>
      <c r="B381" s="2" t="s">
        <v>277</v>
      </c>
      <c r="C381" s="8"/>
      <c r="D381" s="109" t="str">
        <f>IFERROR(INDEX([239]MATERIALES!C:C,MATCH(B381,[239]MATERIALES!B:B,0)),"")</f>
        <v>PIEDRA MEDIA ZONGA</v>
      </c>
      <c r="E381" s="135"/>
      <c r="F381" s="135"/>
      <c r="G381" s="135"/>
      <c r="H381" s="135"/>
      <c r="I381" s="135"/>
      <c r="J381" s="135"/>
      <c r="K381" s="136"/>
      <c r="L381" s="137" t="str">
        <f>IFERROR(INDEX([239]MATERIALES!D:D,MATCH(B381,[239]MATERIALES!B:B,0)),"")</f>
        <v>M3</v>
      </c>
      <c r="M381" s="138">
        <v>0.03</v>
      </c>
      <c r="N381" s="139">
        <f>IFERROR(INDEX([239]MATERIALES!P:P,MATCH(B381,[239]MATERIALES!B:B,0)),"")</f>
        <v>87250.8</v>
      </c>
      <c r="O381" s="140"/>
      <c r="P381" s="118">
        <f>IFERROR(ROUND(N381*M381,2),"")</f>
        <v>2617.52</v>
      </c>
      <c r="Q381" s="119"/>
      <c r="R381" s="4"/>
    </row>
    <row r="382" spans="1:18">
      <c r="A382" s="1">
        <f t="shared" si="13"/>
        <v>0</v>
      </c>
      <c r="B382" s="2" t="s">
        <v>273</v>
      </c>
      <c r="C382" s="8"/>
      <c r="D382" s="109" t="str">
        <f>IFERROR(INDEX([239]MATERIALES!C:C,MATCH(B382,[239]MATERIALES!B:B,0)),"")</f>
        <v>TABLA BURRA ORDINARIA 10" x 1" x 3m</v>
      </c>
      <c r="E382" s="110"/>
      <c r="F382" s="110"/>
      <c r="G382" s="110"/>
      <c r="H382" s="110"/>
      <c r="I382" s="110"/>
      <c r="J382" s="110"/>
      <c r="K382" s="111"/>
      <c r="L382" s="137" t="str">
        <f>IFERROR(INDEX([239]MATERIALES!D:D,MATCH(B382,[239]MATERIALES!B:B,0)),"")</f>
        <v>UND</v>
      </c>
      <c r="M382" s="138">
        <v>1</v>
      </c>
      <c r="N382" s="139">
        <f>IFERROR(INDEX([239]MATERIALES!P:P,MATCH(B382,[239]MATERIALES!B:B,0)),"")</f>
        <v>22000</v>
      </c>
      <c r="O382" s="140"/>
      <c r="P382" s="118">
        <f>IFERROR(ROUND(N382*M382,2),"")</f>
        <v>22000</v>
      </c>
      <c r="Q382" s="119"/>
      <c r="R382" s="4"/>
    </row>
    <row r="383" spans="1:18">
      <c r="A383" s="1">
        <f t="shared" si="13"/>
        <v>0</v>
      </c>
      <c r="B383" s="2" t="s">
        <v>274</v>
      </c>
      <c r="C383" s="8"/>
      <c r="D383" s="109" t="str">
        <f>IFERROR(INDEX([239]MATERIALES!C:C,MATCH(B383,[239]MATERIALES!B:B,0)),"")</f>
        <v>LISTÓN DE MADERA 2" x 2" x 3 m</v>
      </c>
      <c r="E383" s="110"/>
      <c r="F383" s="110"/>
      <c r="G383" s="110"/>
      <c r="H383" s="110"/>
      <c r="I383" s="110"/>
      <c r="J383" s="110"/>
      <c r="K383" s="111"/>
      <c r="L383" s="137" t="str">
        <f>IFERROR(INDEX([239]MATERIALES!D:D,MATCH(B383,[239]MATERIALES!B:B,0)),"")</f>
        <v>UND</v>
      </c>
      <c r="M383" s="138">
        <v>2</v>
      </c>
      <c r="N383" s="139">
        <f>IFERROR(INDEX([239]MATERIALES!P:P,MATCH(B383,[239]MATERIALES!B:B,0)),"")</f>
        <v>9900</v>
      </c>
      <c r="O383" s="140"/>
      <c r="P383" s="118">
        <f>IFERROR(ROUND(N383*M383,2),"")</f>
        <v>19800</v>
      </c>
      <c r="Q383" s="119"/>
      <c r="R383" s="4"/>
    </row>
    <row r="384" spans="1:18">
      <c r="A384" s="1">
        <f t="shared" si="13"/>
        <v>0</v>
      </c>
      <c r="B384" s="2" t="s">
        <v>275</v>
      </c>
      <c r="C384" s="8"/>
      <c r="D384" s="109" t="str">
        <f>IFERROR(INDEX([239]MATERIALES!C:C,MATCH(B384,[239]MATERIALES!B:B,0)),"")</f>
        <v>PUNTILLA 2-1/2"</v>
      </c>
      <c r="E384" s="110"/>
      <c r="F384" s="110"/>
      <c r="G384" s="110"/>
      <c r="H384" s="110"/>
      <c r="I384" s="110"/>
      <c r="J384" s="110"/>
      <c r="K384" s="111"/>
      <c r="L384" s="137" t="str">
        <f>IFERROR(INDEX([239]MATERIALES!D:D,MATCH(B384,[239]MATERIALES!B:B,0)),"")</f>
        <v>LB</v>
      </c>
      <c r="M384" s="138">
        <v>0.4</v>
      </c>
      <c r="N384" s="139">
        <f>IFERROR(INDEX([239]MATERIALES!P:P,MATCH(B384,[239]MATERIALES!B:B,0)),"")</f>
        <v>6600</v>
      </c>
      <c r="O384" s="140"/>
      <c r="P384" s="118">
        <f t="shared" ref="P384:P393" si="14">IFERROR(ROUND(N384*M384,2),"")</f>
        <v>2640</v>
      </c>
      <c r="Q384" s="119"/>
      <c r="R384" s="4"/>
    </row>
    <row r="385" spans="1:18">
      <c r="A385" s="1">
        <f t="shared" si="13"/>
        <v>0</v>
      </c>
      <c r="B385" s="2"/>
      <c r="C385" s="8"/>
      <c r="D385" s="109" t="str">
        <f>IFERROR(INDEX([239]MATERIALES!C:C,MATCH(B385,[239]MATERIALES!B:B,0)),"")</f>
        <v/>
      </c>
      <c r="E385" s="110"/>
      <c r="F385" s="110"/>
      <c r="G385" s="110"/>
      <c r="H385" s="110"/>
      <c r="I385" s="110"/>
      <c r="J385" s="110"/>
      <c r="K385" s="111"/>
      <c r="L385" s="137" t="str">
        <f>IFERROR(INDEX([239]MATERIALES!D:D,MATCH(B385,[239]MATERIALES!B:B,0)),"")</f>
        <v/>
      </c>
      <c r="M385" s="138"/>
      <c r="N385" s="139" t="str">
        <f>IFERROR(INDEX([239]MATERIALES!P:P,MATCH(B385,[239]MATERIALES!B:B,0)),"")</f>
        <v/>
      </c>
      <c r="O385" s="140"/>
      <c r="P385" s="118" t="str">
        <f t="shared" si="14"/>
        <v/>
      </c>
      <c r="Q385" s="119"/>
      <c r="R385" s="4"/>
    </row>
    <row r="386" spans="1:18">
      <c r="A386" s="1">
        <f t="shared" si="13"/>
        <v>0</v>
      </c>
      <c r="B386" s="2"/>
      <c r="C386" s="8"/>
      <c r="D386" s="109" t="str">
        <f>IFERROR(INDEX([239]MATERIALES!C:C,MATCH(B386,[239]MATERIALES!B:B,0)),"")</f>
        <v/>
      </c>
      <c r="E386" s="110"/>
      <c r="F386" s="110"/>
      <c r="G386" s="110"/>
      <c r="H386" s="110"/>
      <c r="I386" s="110"/>
      <c r="J386" s="110"/>
      <c r="K386" s="111"/>
      <c r="L386" s="137" t="str">
        <f>IFERROR(INDEX([239]MATERIALES!D:D,MATCH(B386,[239]MATERIALES!B:B,0)),"")</f>
        <v/>
      </c>
      <c r="M386" s="138"/>
      <c r="N386" s="139" t="str">
        <f>IFERROR(INDEX([239]MATERIALES!P:P,MATCH(B386,[239]MATERIALES!B:B,0)),"")</f>
        <v/>
      </c>
      <c r="O386" s="140"/>
      <c r="P386" s="118" t="str">
        <f t="shared" si="14"/>
        <v/>
      </c>
      <c r="Q386" s="119"/>
      <c r="R386" s="4"/>
    </row>
    <row r="387" spans="1:18">
      <c r="A387" s="1">
        <f t="shared" si="13"/>
        <v>0</v>
      </c>
      <c r="B387" s="2"/>
      <c r="C387" s="8"/>
      <c r="D387" s="109" t="str">
        <f>IFERROR(INDEX([239]MATERIALES!C:C,MATCH(B387,[239]MATERIALES!B:B,0)),"")</f>
        <v/>
      </c>
      <c r="E387" s="110"/>
      <c r="F387" s="110"/>
      <c r="G387" s="110"/>
      <c r="H387" s="110"/>
      <c r="I387" s="110"/>
      <c r="J387" s="110"/>
      <c r="K387" s="111"/>
      <c r="L387" s="137" t="str">
        <f>IFERROR(INDEX([239]MATERIALES!D:D,MATCH(B387,[239]MATERIALES!B:B,0)),"")</f>
        <v/>
      </c>
      <c r="M387" s="138"/>
      <c r="N387" s="139" t="str">
        <f>IFERROR(INDEX([239]MATERIALES!P:P,MATCH(B387,[239]MATERIALES!B:B,0)),"")</f>
        <v/>
      </c>
      <c r="O387" s="140"/>
      <c r="P387" s="118" t="str">
        <f t="shared" si="14"/>
        <v/>
      </c>
      <c r="Q387" s="119"/>
      <c r="R387" s="4"/>
    </row>
    <row r="388" spans="1:18">
      <c r="A388" s="1">
        <f t="shared" si="13"/>
        <v>0</v>
      </c>
      <c r="B388" s="2"/>
      <c r="C388" s="8"/>
      <c r="D388" s="109" t="str">
        <f>IFERROR(INDEX([239]MATERIALES!C:C,MATCH(B388,[239]MATERIALES!B:B,0)),"")</f>
        <v/>
      </c>
      <c r="E388" s="110"/>
      <c r="F388" s="110"/>
      <c r="G388" s="110"/>
      <c r="H388" s="110"/>
      <c r="I388" s="110"/>
      <c r="J388" s="110"/>
      <c r="K388" s="111"/>
      <c r="L388" s="137" t="str">
        <f>IFERROR(INDEX([239]MATERIALES!D:D,MATCH(B388,[239]MATERIALES!B:B,0)),"")</f>
        <v/>
      </c>
      <c r="M388" s="138"/>
      <c r="N388" s="139" t="str">
        <f>IFERROR(INDEX([239]MATERIALES!P:P,MATCH(B388,[239]MATERIALES!B:B,0)),"")</f>
        <v/>
      </c>
      <c r="O388" s="140"/>
      <c r="P388" s="118" t="str">
        <f t="shared" si="14"/>
        <v/>
      </c>
      <c r="Q388" s="119"/>
      <c r="R388" s="4"/>
    </row>
    <row r="389" spans="1:18">
      <c r="A389" s="1">
        <f t="shared" si="13"/>
        <v>0</v>
      </c>
      <c r="B389" s="2"/>
      <c r="C389" s="8"/>
      <c r="D389" s="109" t="str">
        <f>IFERROR(INDEX([239]MATERIALES!C:C,MATCH(B389,[239]MATERIALES!B:B,0)),"")</f>
        <v/>
      </c>
      <c r="E389" s="110"/>
      <c r="F389" s="110"/>
      <c r="G389" s="110"/>
      <c r="H389" s="110"/>
      <c r="I389" s="110"/>
      <c r="J389" s="110"/>
      <c r="K389" s="111"/>
      <c r="L389" s="137" t="str">
        <f>IFERROR(INDEX([239]MATERIALES!D:D,MATCH(B389,[239]MATERIALES!B:B,0)),"")</f>
        <v/>
      </c>
      <c r="M389" s="138"/>
      <c r="N389" s="139" t="str">
        <f>IFERROR(INDEX([239]MATERIALES!P:P,MATCH(B389,[239]MATERIALES!B:B,0)),"")</f>
        <v/>
      </c>
      <c r="O389" s="140"/>
      <c r="P389" s="118" t="str">
        <f t="shared" si="14"/>
        <v/>
      </c>
      <c r="Q389" s="119"/>
      <c r="R389" s="4"/>
    </row>
    <row r="390" spans="1:18">
      <c r="A390" s="1">
        <f t="shared" si="13"/>
        <v>0</v>
      </c>
      <c r="B390" s="2"/>
      <c r="C390" s="8"/>
      <c r="D390" s="109" t="str">
        <f>IFERROR(INDEX([239]MATERIALES!C:C,MATCH(B390,[239]MATERIALES!B:B,0)),"")</f>
        <v/>
      </c>
      <c r="E390" s="110"/>
      <c r="F390" s="110"/>
      <c r="G390" s="110"/>
      <c r="H390" s="110"/>
      <c r="I390" s="110"/>
      <c r="J390" s="110"/>
      <c r="K390" s="111"/>
      <c r="L390" s="137" t="str">
        <f>IFERROR(INDEX([239]MATERIALES!D:D,MATCH(B390,[239]MATERIALES!B:B,0)),"")</f>
        <v/>
      </c>
      <c r="M390" s="138"/>
      <c r="N390" s="139" t="str">
        <f>IFERROR(INDEX([239]MATERIALES!P:P,MATCH(B390,[239]MATERIALES!B:B,0)),"")</f>
        <v/>
      </c>
      <c r="O390" s="140"/>
      <c r="P390" s="118" t="str">
        <f t="shared" si="14"/>
        <v/>
      </c>
      <c r="Q390" s="119"/>
      <c r="R390" s="4"/>
    </row>
    <row r="391" spans="1:18">
      <c r="A391" s="1">
        <f t="shared" si="13"/>
        <v>0</v>
      </c>
      <c r="B391" s="2"/>
      <c r="C391" s="8"/>
      <c r="D391" s="109" t="str">
        <f>IFERROR(INDEX([239]MATERIALES!C:C,MATCH(B391,[239]MATERIALES!B:B,0)),"")</f>
        <v/>
      </c>
      <c r="E391" s="110"/>
      <c r="F391" s="110"/>
      <c r="G391" s="110"/>
      <c r="H391" s="110"/>
      <c r="I391" s="110"/>
      <c r="J391" s="110"/>
      <c r="K391" s="111"/>
      <c r="L391" s="137" t="str">
        <f>IFERROR(INDEX([239]MATERIALES!D:D,MATCH(B391,[239]MATERIALES!B:B,0)),"")</f>
        <v/>
      </c>
      <c r="M391" s="138"/>
      <c r="N391" s="139" t="str">
        <f>IFERROR(INDEX([239]MATERIALES!P:P,MATCH(B391,[239]MATERIALES!B:B,0)),"")</f>
        <v/>
      </c>
      <c r="O391" s="140"/>
      <c r="P391" s="118" t="str">
        <f t="shared" si="14"/>
        <v/>
      </c>
      <c r="Q391" s="119"/>
      <c r="R391" s="4"/>
    </row>
    <row r="392" spans="1:18">
      <c r="A392" s="1">
        <f t="shared" si="13"/>
        <v>0</v>
      </c>
      <c r="B392" s="2"/>
      <c r="C392" s="8"/>
      <c r="D392" s="109" t="str">
        <f>IFERROR(INDEX([239]MATERIALES!C:C,MATCH(B392,[239]MATERIALES!B:B,0)),"")</f>
        <v/>
      </c>
      <c r="E392" s="110"/>
      <c r="F392" s="110"/>
      <c r="G392" s="110"/>
      <c r="H392" s="110"/>
      <c r="I392" s="110"/>
      <c r="J392" s="110"/>
      <c r="K392" s="111"/>
      <c r="L392" s="137" t="str">
        <f>IFERROR(INDEX([239]MATERIALES!D:D,MATCH(B392,[239]MATERIALES!B:B,0)),"")</f>
        <v/>
      </c>
      <c r="M392" s="138"/>
      <c r="N392" s="139" t="str">
        <f>IFERROR(INDEX([239]MATERIALES!P:P,MATCH(B392,[239]MATERIALES!B:B,0)),"")</f>
        <v/>
      </c>
      <c r="O392" s="140"/>
      <c r="P392" s="118" t="str">
        <f t="shared" si="14"/>
        <v/>
      </c>
      <c r="Q392" s="119"/>
      <c r="R392" s="4"/>
    </row>
    <row r="393" spans="1:18">
      <c r="A393" s="1">
        <f t="shared" si="13"/>
        <v>0</v>
      </c>
      <c r="B393" s="2"/>
      <c r="C393" s="8"/>
      <c r="D393" s="109" t="str">
        <f>IFERROR(INDEX([239]MATERIALES!C:C,MATCH(B393,[239]MATERIALES!B:B,0)),"")</f>
        <v/>
      </c>
      <c r="E393" s="110"/>
      <c r="F393" s="110"/>
      <c r="G393" s="110"/>
      <c r="H393" s="110"/>
      <c r="I393" s="110"/>
      <c r="J393" s="110"/>
      <c r="K393" s="111"/>
      <c r="L393" s="137" t="str">
        <f>IFERROR(INDEX([239]MATERIALES!D:D,MATCH(B393,[239]MATERIALES!B:B,0)),"")</f>
        <v/>
      </c>
      <c r="M393" s="138"/>
      <c r="N393" s="139" t="str">
        <f>IFERROR(INDEX([239]MATERIALES!P:P,MATCH(B393,[239]MATERIALES!B:B,0)),"")</f>
        <v/>
      </c>
      <c r="O393" s="140"/>
      <c r="P393" s="118" t="str">
        <f t="shared" si="14"/>
        <v/>
      </c>
      <c r="Q393" s="119"/>
      <c r="R393" s="4"/>
    </row>
    <row r="394" spans="1:18" ht="15.75" thickBot="1">
      <c r="A394" s="1">
        <f t="shared" si="13"/>
        <v>0</v>
      </c>
      <c r="B394" s="2"/>
      <c r="C394" s="8"/>
      <c r="D394" s="109" t="s">
        <v>28</v>
      </c>
      <c r="E394" s="110"/>
      <c r="F394" s="110"/>
      <c r="G394" s="110"/>
      <c r="H394" s="110"/>
      <c r="I394" s="110"/>
      <c r="J394" s="110"/>
      <c r="K394" s="111"/>
      <c r="L394" s="137" t="s">
        <v>29</v>
      </c>
      <c r="M394" s="138">
        <v>0.05</v>
      </c>
      <c r="N394" s="139">
        <f>SUM(P380:P393)</f>
        <v>506147</v>
      </c>
      <c r="O394" s="140"/>
      <c r="P394" s="118">
        <f>ROUND(N394*M394,2)</f>
        <v>25307.35</v>
      </c>
      <c r="Q394" s="119"/>
      <c r="R394" s="4"/>
    </row>
    <row r="395" spans="1:18" ht="15.75" thickBot="1">
      <c r="A395" s="1">
        <f t="shared" si="13"/>
        <v>0</v>
      </c>
      <c r="B395" s="2"/>
      <c r="C395" s="8"/>
      <c r="D395" s="128" t="s">
        <v>24</v>
      </c>
      <c r="E395" s="129"/>
      <c r="F395" s="129"/>
      <c r="G395" s="129"/>
      <c r="H395" s="129"/>
      <c r="I395" s="129"/>
      <c r="J395" s="129"/>
      <c r="K395" s="129"/>
      <c r="L395" s="129"/>
      <c r="M395" s="129"/>
      <c r="N395" s="129"/>
      <c r="O395" s="130"/>
      <c r="P395" s="131">
        <f>SUM(P380:P394)</f>
        <v>531454.35</v>
      </c>
      <c r="Q395" s="119"/>
      <c r="R395" s="4"/>
    </row>
    <row r="396" spans="1:18" ht="15.75" thickBot="1">
      <c r="A396" s="1">
        <f t="shared" si="13"/>
        <v>0</v>
      </c>
      <c r="B396" s="2"/>
      <c r="C396" s="8"/>
      <c r="D396" s="74" t="s">
        <v>30</v>
      </c>
      <c r="E396" s="37"/>
      <c r="F396" s="37"/>
      <c r="G396" s="37"/>
      <c r="H396" s="37"/>
      <c r="I396" s="37"/>
      <c r="J396" s="37"/>
      <c r="K396" s="37"/>
      <c r="L396" s="37"/>
      <c r="M396" s="37"/>
      <c r="N396" s="37"/>
      <c r="O396" s="37"/>
      <c r="P396" s="99"/>
      <c r="Q396" s="100"/>
      <c r="R396" s="4"/>
    </row>
    <row r="397" spans="1:18">
      <c r="A397" s="1">
        <f t="shared" si="13"/>
        <v>0</v>
      </c>
      <c r="B397" s="2"/>
      <c r="C397" s="8"/>
      <c r="D397" s="101" t="s">
        <v>31</v>
      </c>
      <c r="E397" s="133"/>
      <c r="F397" s="133"/>
      <c r="G397" s="133"/>
      <c r="H397" s="133"/>
      <c r="I397" s="133"/>
      <c r="J397" s="133"/>
      <c r="K397" s="106" t="s">
        <v>32</v>
      </c>
      <c r="L397" s="141" t="s">
        <v>33</v>
      </c>
      <c r="M397" s="106" t="s">
        <v>34</v>
      </c>
      <c r="N397" s="104" t="s">
        <v>20</v>
      </c>
      <c r="O397" s="105"/>
      <c r="P397" s="107" t="s">
        <v>22</v>
      </c>
      <c r="Q397" s="108"/>
      <c r="R397" s="4"/>
    </row>
    <row r="398" spans="1:18">
      <c r="A398" s="1">
        <f t="shared" si="13"/>
        <v>0</v>
      </c>
      <c r="B398" s="2"/>
      <c r="C398" s="8"/>
      <c r="D398" s="142" t="str">
        <f>IFERROR(INDEX([239]TRANSPORTES!B:B,MATCH(B398,[239]TRANSPORTES!A:A,0)),"")</f>
        <v/>
      </c>
      <c r="E398" s="143"/>
      <c r="F398" s="143"/>
      <c r="G398" s="143"/>
      <c r="H398" s="143"/>
      <c r="I398" s="143"/>
      <c r="J398" s="143"/>
      <c r="K398" s="220"/>
      <c r="L398" s="145"/>
      <c r="M398" s="146" t="str">
        <f>IFERROR(INDEX([239]TRANSPORTES!C:C,MATCH(B398,[239]TRANSPORTES!A:A,0)),"")</f>
        <v/>
      </c>
      <c r="N398" s="139" t="str">
        <f>IFERROR(INDEX([239]TRANSPORTES!D:D,MATCH(B398,[239]TRANSPORTES!A:A,0)),"")</f>
        <v/>
      </c>
      <c r="O398" s="147"/>
      <c r="P398" s="148" t="str">
        <f>IFERROR(ROUND(K398*N398*L398,2),"")</f>
        <v/>
      </c>
      <c r="Q398" s="119"/>
      <c r="R398" s="4"/>
    </row>
    <row r="399" spans="1:18">
      <c r="A399" s="1">
        <f t="shared" si="13"/>
        <v>0</v>
      </c>
      <c r="B399" s="2"/>
      <c r="C399" s="8"/>
      <c r="D399" s="142" t="str">
        <f>IFERROR(INDEX([239]TRANSPORTES!B:B,MATCH(B399,[239]TRANSPORTES!A:A,0)),"")</f>
        <v/>
      </c>
      <c r="E399" s="143"/>
      <c r="F399" s="143"/>
      <c r="G399" s="143"/>
      <c r="H399" s="143"/>
      <c r="I399" s="143"/>
      <c r="J399" s="143"/>
      <c r="K399" s="144"/>
      <c r="L399" s="145"/>
      <c r="M399" s="146" t="str">
        <f>IFERROR(INDEX([239]TRANSPORTES!C:C,MATCH(B399,[239]TRANSPORTES!A:A,0)),"")</f>
        <v/>
      </c>
      <c r="N399" s="139" t="str">
        <f>IFERROR(INDEX([239]TRANSPORTES!D:D,MATCH(B399,[239]TRANSPORTES!A:A,0)),"")</f>
        <v/>
      </c>
      <c r="O399" s="147"/>
      <c r="P399" s="148" t="str">
        <f>IFERROR(ROUND(K399*N399*L399,2),"")</f>
        <v/>
      </c>
      <c r="Q399" s="119"/>
      <c r="R399" s="4"/>
    </row>
    <row r="400" spans="1:18">
      <c r="A400" s="1">
        <f t="shared" si="13"/>
        <v>0</v>
      </c>
      <c r="B400" s="2"/>
      <c r="C400" s="8"/>
      <c r="D400" s="142" t="str">
        <f>IFERROR(INDEX([239]TRANSPORTES!B:B,MATCH(B400,[239]TRANSPORTES!A:A,0)),"")</f>
        <v/>
      </c>
      <c r="E400" s="143"/>
      <c r="F400" s="143"/>
      <c r="G400" s="143"/>
      <c r="H400" s="143"/>
      <c r="I400" s="143"/>
      <c r="J400" s="143"/>
      <c r="K400" s="144"/>
      <c r="L400" s="145"/>
      <c r="M400" s="146" t="str">
        <f>IFERROR(INDEX([239]TRANSPORTES!C:C,MATCH(B400,[239]TRANSPORTES!A:A,0)),"")</f>
        <v/>
      </c>
      <c r="N400" s="139" t="str">
        <f>IFERROR(INDEX([239]TRANSPORTES!D:D,MATCH(B400,[239]TRANSPORTES!A:A,0)),"")</f>
        <v/>
      </c>
      <c r="O400" s="147"/>
      <c r="P400" s="148" t="str">
        <f>IFERROR(ROUND(K400*N400*L400,2),"")</f>
        <v/>
      </c>
      <c r="Q400" s="119"/>
      <c r="R400" s="4"/>
    </row>
    <row r="401" spans="1:18" ht="15.75" thickBot="1">
      <c r="A401" s="1">
        <f t="shared" si="13"/>
        <v>0</v>
      </c>
      <c r="B401" s="2"/>
      <c r="C401" s="8"/>
      <c r="D401" s="142" t="str">
        <f>IFERROR(INDEX([239]TRANSPORTES!B:B,MATCH(B401,[239]TRANSPORTES!A:A,0)),"")</f>
        <v/>
      </c>
      <c r="E401" s="143"/>
      <c r="F401" s="143"/>
      <c r="G401" s="143"/>
      <c r="H401" s="143"/>
      <c r="I401" s="143"/>
      <c r="J401" s="143"/>
      <c r="K401" s="149"/>
      <c r="L401" s="150"/>
      <c r="M401" s="146" t="str">
        <f>IFERROR(INDEX([239]TRANSPORTES!C:C,MATCH(B401,[239]TRANSPORTES!A:A,0)),"")</f>
        <v/>
      </c>
      <c r="N401" s="139" t="str">
        <f>IFERROR(INDEX([239]TRANSPORTES!D:D,MATCH(B401,[239]TRANSPORTES!A:A,0)),"")</f>
        <v/>
      </c>
      <c r="O401" s="147"/>
      <c r="P401" s="148" t="str">
        <f>IFERROR(ROUND(K401*N401*L401,2),"")</f>
        <v/>
      </c>
      <c r="Q401" s="119"/>
      <c r="R401" s="4"/>
    </row>
    <row r="402" spans="1:18" ht="15.75" thickBot="1">
      <c r="A402" s="1">
        <f t="shared" si="13"/>
        <v>0</v>
      </c>
      <c r="B402" s="2"/>
      <c r="C402" s="8"/>
      <c r="D402" s="128" t="s">
        <v>24</v>
      </c>
      <c r="E402" s="129"/>
      <c r="F402" s="129"/>
      <c r="G402" s="129"/>
      <c r="H402" s="129"/>
      <c r="I402" s="129"/>
      <c r="J402" s="129"/>
      <c r="K402" s="129"/>
      <c r="L402" s="129"/>
      <c r="M402" s="129"/>
      <c r="N402" s="129"/>
      <c r="O402" s="130"/>
      <c r="P402" s="151">
        <f>SUM(P398:P401)</f>
        <v>0</v>
      </c>
      <c r="Q402" s="132"/>
      <c r="R402" s="4"/>
    </row>
    <row r="403" spans="1:18" ht="15.75" thickBot="1">
      <c r="A403" s="1">
        <f t="shared" si="13"/>
        <v>0</v>
      </c>
      <c r="B403" s="2"/>
      <c r="C403" s="8"/>
      <c r="D403" s="74" t="s">
        <v>36</v>
      </c>
      <c r="E403" s="37"/>
      <c r="F403" s="37"/>
      <c r="G403" s="37"/>
      <c r="H403" s="37"/>
      <c r="I403" s="37"/>
      <c r="J403" s="37"/>
      <c r="K403" s="37"/>
      <c r="L403" s="37"/>
      <c r="M403" s="37"/>
      <c r="N403" s="37"/>
      <c r="O403" s="37"/>
      <c r="P403" s="99"/>
      <c r="Q403" s="100"/>
      <c r="R403" s="4"/>
    </row>
    <row r="404" spans="1:18" ht="30">
      <c r="A404" s="1">
        <f t="shared" si="13"/>
        <v>0</v>
      </c>
      <c r="B404" s="2"/>
      <c r="C404" s="8"/>
      <c r="D404" s="101" t="s">
        <v>37</v>
      </c>
      <c r="E404" s="133"/>
      <c r="F404" s="133"/>
      <c r="G404" s="133"/>
      <c r="H404" s="133"/>
      <c r="I404" s="133"/>
      <c r="J404" s="133"/>
      <c r="K404" s="106" t="s">
        <v>38</v>
      </c>
      <c r="L404" s="152" t="s">
        <v>39</v>
      </c>
      <c r="M404" s="153" t="s">
        <v>40</v>
      </c>
      <c r="N404" s="104" t="s">
        <v>21</v>
      </c>
      <c r="O404" s="105"/>
      <c r="P404" s="154" t="s">
        <v>22</v>
      </c>
      <c r="Q404" s="155"/>
      <c r="R404" s="4"/>
    </row>
    <row r="405" spans="1:18">
      <c r="A405" s="1">
        <f t="shared" si="13"/>
        <v>0</v>
      </c>
      <c r="B405" s="2" t="s">
        <v>41</v>
      </c>
      <c r="C405" s="8"/>
      <c r="D405" s="109" t="str">
        <f>IFERROR(INDEX('[239]MANO DE OBRA'!B:B,MATCH(B405,'[239]MANO DE OBRA'!A:A,0)),"")</f>
        <v>OFICIAL</v>
      </c>
      <c r="E405" s="110"/>
      <c r="F405" s="110"/>
      <c r="G405" s="110"/>
      <c r="H405" s="110"/>
      <c r="I405" s="110"/>
      <c r="J405" s="111"/>
      <c r="K405" s="156">
        <f>IFERROR(INDEX('[239]MANO DE OBRA'!D:D,MATCH(B405,'[239]MANO DE OBRA'!A:A,0)),"")</f>
        <v>95930</v>
      </c>
      <c r="L405" s="157">
        <f>+IF(D405&lt;&gt;"",'[239]FACTOR PRESTACIONAL'!$E$21," ")</f>
        <v>1.95</v>
      </c>
      <c r="M405" s="158">
        <f>IFERROR(K405*L405," ")</f>
        <v>187063.5</v>
      </c>
      <c r="N405" s="159">
        <v>1.6</v>
      </c>
      <c r="O405" s="160"/>
      <c r="P405" s="161">
        <f>IFERROR(ROUND(M405/N405,2)," ")</f>
        <v>116914.69</v>
      </c>
      <c r="Q405" s="162"/>
      <c r="R405" s="4"/>
    </row>
    <row r="406" spans="1:18">
      <c r="A406" s="1">
        <f t="shared" si="13"/>
        <v>0</v>
      </c>
      <c r="B406" s="2" t="s">
        <v>42</v>
      </c>
      <c r="C406" s="8"/>
      <c r="D406" s="109" t="str">
        <f>IFERROR(INDEX('[239]MANO DE OBRA'!B:B,MATCH(B406,'[239]MANO DE OBRA'!A:A,0)),"")</f>
        <v>AYUDANTE (2)</v>
      </c>
      <c r="E406" s="110"/>
      <c r="F406" s="110"/>
      <c r="G406" s="110"/>
      <c r="H406" s="110"/>
      <c r="I406" s="110"/>
      <c r="J406" s="111"/>
      <c r="K406" s="156">
        <f>IFERROR(INDEX('[239]MANO DE OBRA'!D:D,MATCH(B406,'[239]MANO DE OBRA'!A:A,0)),"")</f>
        <v>142866</v>
      </c>
      <c r="L406" s="157">
        <f>+IF(D406&lt;&gt;"",'[239]FACTOR PRESTACIONAL'!$E$21," ")</f>
        <v>1.95</v>
      </c>
      <c r="M406" s="158">
        <f>IFERROR(K406*L406," ")</f>
        <v>278588.7</v>
      </c>
      <c r="N406" s="159">
        <v>1.6</v>
      </c>
      <c r="O406" s="160"/>
      <c r="P406" s="161">
        <f>IFERROR(ROUND(M406/N406,2)," ")</f>
        <v>174117.94</v>
      </c>
      <c r="Q406" s="162"/>
      <c r="R406" s="4"/>
    </row>
    <row r="407" spans="1:18">
      <c r="A407" s="1">
        <f t="shared" si="13"/>
        <v>0</v>
      </c>
      <c r="B407" s="2"/>
      <c r="C407" s="8"/>
      <c r="D407" s="109" t="str">
        <f>IFERROR(INDEX('[239]MANO DE OBRA'!B:B,MATCH(B407,'[239]MANO DE OBRA'!A:A,0)),"")</f>
        <v/>
      </c>
      <c r="E407" s="110"/>
      <c r="F407" s="110"/>
      <c r="G407" s="110"/>
      <c r="H407" s="110"/>
      <c r="I407" s="110"/>
      <c r="J407" s="111"/>
      <c r="K407" s="156" t="str">
        <f>IFERROR(INDEX('[239]MANO DE OBRA'!D:D,MATCH(B407,'[239]MANO DE OBRA'!A:A,0)),"")</f>
        <v/>
      </c>
      <c r="L407" s="157" t="str">
        <f>+IF(D407&lt;&gt;"",'[239]FACTOR PRESTACIONAL'!$E$21," ")</f>
        <v xml:space="preserve"> </v>
      </c>
      <c r="M407" s="158" t="str">
        <f>IFERROR(K407*L407," ")</f>
        <v xml:space="preserve"> </v>
      </c>
      <c r="N407" s="159"/>
      <c r="O407" s="160"/>
      <c r="P407" s="161" t="str">
        <f>IFERROR(ROUND(M407/N407,2)," ")</f>
        <v xml:space="preserve"> </v>
      </c>
      <c r="Q407" s="162"/>
      <c r="R407" s="4"/>
    </row>
    <row r="408" spans="1:18">
      <c r="A408" s="1">
        <f t="shared" si="13"/>
        <v>0</v>
      </c>
      <c r="B408" s="2"/>
      <c r="C408" s="8"/>
      <c r="D408" s="109" t="str">
        <f>IFERROR(INDEX('[239]MANO DE OBRA'!B:B,MATCH(B408,'[239]MANO DE OBRA'!A:A,0)),"")</f>
        <v/>
      </c>
      <c r="E408" s="110"/>
      <c r="F408" s="110"/>
      <c r="G408" s="110"/>
      <c r="H408" s="110"/>
      <c r="I408" s="110"/>
      <c r="J408" s="111"/>
      <c r="K408" s="156" t="str">
        <f>IFERROR(INDEX('[239]MANO DE OBRA'!D:D,MATCH(B408,'[239]MANO DE OBRA'!A:A,0)),"")</f>
        <v/>
      </c>
      <c r="L408" s="157" t="str">
        <f>+IF(D408&lt;&gt;"",'[239]FACTOR PRESTACIONAL'!$E$21," ")</f>
        <v xml:space="preserve"> </v>
      </c>
      <c r="M408" s="158" t="str">
        <f>IFERROR(K408*L408," ")</f>
        <v xml:space="preserve"> </v>
      </c>
      <c r="N408" s="159"/>
      <c r="O408" s="160"/>
      <c r="P408" s="161" t="str">
        <f>IFERROR(ROUND(M408/N408,2)," ")</f>
        <v xml:space="preserve"> </v>
      </c>
      <c r="Q408" s="162"/>
      <c r="R408" s="4"/>
    </row>
    <row r="409" spans="1:18" ht="15.75" thickBot="1">
      <c r="A409" s="1">
        <f t="shared" si="13"/>
        <v>0</v>
      </c>
      <c r="B409" s="2"/>
      <c r="C409" s="8"/>
      <c r="D409" s="109" t="str">
        <f>IFERROR(INDEX('[239]MANO DE OBRA'!B:B,MATCH(B409,'[239]MANO DE OBRA'!A:A,0)),"")</f>
        <v/>
      </c>
      <c r="E409" s="110"/>
      <c r="F409" s="110"/>
      <c r="G409" s="110"/>
      <c r="H409" s="110"/>
      <c r="I409" s="110"/>
      <c r="J409" s="111"/>
      <c r="K409" s="156" t="str">
        <f>IFERROR(INDEX('[239]MANO DE OBRA'!D:D,MATCH(B409,'[239]MANO DE OBRA'!A:A,0)),"")</f>
        <v/>
      </c>
      <c r="L409" s="157" t="str">
        <f>+IF(D409&lt;&gt;"",'[239]FACTOR PRESTACIONAL'!$E$21," ")</f>
        <v xml:space="preserve"> </v>
      </c>
      <c r="M409" s="158" t="str">
        <f>IFERROR(K409*L409," ")</f>
        <v xml:space="preserve"> </v>
      </c>
      <c r="N409" s="159"/>
      <c r="O409" s="160"/>
      <c r="P409" s="161" t="str">
        <f>IFERROR(ROUND(M409/N409,2)," ")</f>
        <v xml:space="preserve"> </v>
      </c>
      <c r="Q409" s="119"/>
      <c r="R409" s="4"/>
    </row>
    <row r="410" spans="1:18" ht="15.75" thickBot="1">
      <c r="A410" s="1">
        <f t="shared" si="13"/>
        <v>0</v>
      </c>
      <c r="B410" s="2"/>
      <c r="C410" s="8"/>
      <c r="D410" s="128" t="s">
        <v>24</v>
      </c>
      <c r="E410" s="129"/>
      <c r="F410" s="129"/>
      <c r="G410" s="129"/>
      <c r="H410" s="129"/>
      <c r="I410" s="129"/>
      <c r="J410" s="129"/>
      <c r="K410" s="129"/>
      <c r="L410" s="129"/>
      <c r="M410" s="129"/>
      <c r="N410" s="129"/>
      <c r="O410" s="130"/>
      <c r="P410" s="131">
        <f>SUM(P405:P409)</f>
        <v>291032.63</v>
      </c>
      <c r="Q410" s="119"/>
      <c r="R410" s="4"/>
    </row>
    <row r="411" spans="1:18" ht="15.75" thickBot="1">
      <c r="A411" s="1">
        <f t="shared" si="13"/>
        <v>0</v>
      </c>
      <c r="B411" s="2"/>
      <c r="C411" s="8"/>
      <c r="D411" s="87"/>
      <c r="E411" s="20"/>
      <c r="F411" s="20"/>
      <c r="G411" s="20"/>
      <c r="H411" s="20"/>
      <c r="I411" s="20"/>
      <c r="J411" s="20"/>
      <c r="K411" s="20"/>
      <c r="L411" s="20"/>
      <c r="M411" s="20"/>
      <c r="N411" s="20"/>
      <c r="O411" s="20"/>
      <c r="P411" s="88"/>
      <c r="Q411" s="13"/>
      <c r="R411" s="4"/>
    </row>
    <row r="412" spans="1:18" ht="15.75" thickBot="1">
      <c r="A412" s="1"/>
      <c r="B412" s="2"/>
      <c r="C412" s="8"/>
      <c r="D412" s="163" t="s">
        <v>43</v>
      </c>
      <c r="E412" s="164"/>
      <c r="F412" s="164"/>
      <c r="G412" s="164"/>
      <c r="H412" s="164"/>
      <c r="I412" s="164"/>
      <c r="J412" s="164"/>
      <c r="K412" s="164"/>
      <c r="L412" s="164"/>
      <c r="M412" s="164"/>
      <c r="N412" s="164"/>
      <c r="O412" s="165"/>
      <c r="P412" s="166">
        <f>+P410+P402+P395+P377</f>
        <v>851590.24</v>
      </c>
      <c r="Q412" s="167"/>
      <c r="R412" s="168"/>
    </row>
    <row r="413" spans="1:18" ht="15.75" thickBot="1">
      <c r="A413" s="1"/>
      <c r="B413" s="2"/>
      <c r="C413" s="8"/>
      <c r="D413" s="169"/>
      <c r="E413" s="170"/>
      <c r="F413" s="170"/>
      <c r="G413" s="170"/>
      <c r="H413" s="170"/>
      <c r="I413" s="170"/>
      <c r="J413" s="170"/>
      <c r="K413" s="170"/>
      <c r="L413" s="170"/>
      <c r="M413" s="170"/>
      <c r="N413" s="170"/>
      <c r="O413" s="170"/>
      <c r="P413" s="171"/>
      <c r="Q413" s="100"/>
      <c r="R413" s="4"/>
    </row>
    <row r="414" spans="1:18">
      <c r="A414" s="1"/>
      <c r="B414" s="2"/>
      <c r="C414" s="8"/>
      <c r="D414" s="172" t="s">
        <v>73</v>
      </c>
      <c r="E414" s="173"/>
      <c r="F414" s="173"/>
      <c r="G414" s="173"/>
      <c r="H414" s="173"/>
      <c r="I414" s="173"/>
      <c r="J414" s="173"/>
      <c r="K414" s="141"/>
      <c r="L414" s="174"/>
      <c r="M414" s="153" t="s">
        <v>44</v>
      </c>
      <c r="N414" s="175" t="s">
        <v>45</v>
      </c>
      <c r="O414" s="176"/>
      <c r="P414" s="154"/>
      <c r="Q414" s="155"/>
      <c r="R414" s="4"/>
    </row>
    <row r="415" spans="1:18">
      <c r="A415" s="1"/>
      <c r="B415" s="2"/>
      <c r="C415" s="8"/>
      <c r="D415" s="109" t="s">
        <v>65</v>
      </c>
      <c r="E415" s="110"/>
      <c r="F415" s="110"/>
      <c r="G415" s="110"/>
      <c r="H415" s="110"/>
      <c r="I415" s="110"/>
      <c r="J415" s="110"/>
      <c r="K415" s="177"/>
      <c r="L415" s="178"/>
      <c r="M415" s="179">
        <f>+[239]INICIO!$F$10</f>
        <v>0.24</v>
      </c>
      <c r="N415" s="180">
        <f>ROUND(M415*P412,2)</f>
        <v>204381.66</v>
      </c>
      <c r="O415" s="181"/>
      <c r="P415" s="182"/>
      <c r="Q415" s="119"/>
      <c r="R415" s="4"/>
    </row>
    <row r="416" spans="1:18">
      <c r="A416" s="1"/>
      <c r="B416" s="2"/>
      <c r="C416" s="8"/>
      <c r="D416" s="183" t="s">
        <v>67</v>
      </c>
      <c r="E416" s="61"/>
      <c r="F416" s="61"/>
      <c r="G416" s="61"/>
      <c r="H416" s="61"/>
      <c r="I416" s="61"/>
      <c r="J416" s="61"/>
      <c r="K416" s="177"/>
      <c r="L416" s="178"/>
      <c r="M416" s="179">
        <f>+[239]INICIO!$F$11</f>
        <v>0.02</v>
      </c>
      <c r="N416" s="180">
        <f>ROUND(M416*P412,2)</f>
        <v>17031.8</v>
      </c>
      <c r="O416" s="181"/>
      <c r="P416" s="182"/>
      <c r="Q416" s="119"/>
      <c r="R416" s="4"/>
    </row>
    <row r="417" spans="1:18" ht="15.75" thickBot="1">
      <c r="A417" s="1"/>
      <c r="B417" s="2"/>
      <c r="C417" s="8"/>
      <c r="D417" s="77" t="s">
        <v>69</v>
      </c>
      <c r="E417" s="78"/>
      <c r="F417" s="78"/>
      <c r="G417" s="78"/>
      <c r="H417" s="78"/>
      <c r="I417" s="78"/>
      <c r="J417" s="78"/>
      <c r="K417" s="184"/>
      <c r="L417" s="185"/>
      <c r="M417" s="179">
        <f>+[239]INICIO!$F$12</f>
        <v>7.0000000000000007E-2</v>
      </c>
      <c r="N417" s="180">
        <f>ROUND(M417*P412,2)</f>
        <v>59611.32</v>
      </c>
      <c r="O417" s="181"/>
      <c r="P417" s="182"/>
      <c r="Q417" s="119"/>
      <c r="R417" s="4"/>
    </row>
    <row r="418" spans="1:18" ht="15.75" thickBot="1">
      <c r="A418" s="1"/>
      <c r="B418" s="2"/>
      <c r="C418" s="8"/>
      <c r="D418" s="128"/>
      <c r="E418" s="129"/>
      <c r="F418" s="129"/>
      <c r="G418" s="129"/>
      <c r="H418" s="129"/>
      <c r="I418" s="129"/>
      <c r="J418" s="129"/>
      <c r="K418" s="129"/>
      <c r="L418" s="129"/>
      <c r="M418" s="129"/>
      <c r="N418" s="129"/>
      <c r="O418" s="130"/>
      <c r="P418" s="131">
        <f>SUM(N415:N417)</f>
        <v>281024.77999999997</v>
      </c>
      <c r="Q418" s="186"/>
      <c r="R418" s="4"/>
    </row>
    <row r="419" spans="1:18" ht="15.75" thickBot="1">
      <c r="A419" s="1"/>
      <c r="B419" s="2"/>
      <c r="C419" s="8"/>
      <c r="D419" s="87"/>
      <c r="E419" s="20"/>
      <c r="F419" s="20"/>
      <c r="G419" s="20"/>
      <c r="H419" s="20"/>
      <c r="I419" s="20"/>
      <c r="J419" s="20"/>
      <c r="K419" s="20"/>
      <c r="L419" s="20"/>
      <c r="M419" s="20"/>
      <c r="N419" s="20"/>
      <c r="O419" s="20"/>
      <c r="P419" s="88"/>
      <c r="Q419" s="13"/>
      <c r="R419" s="4"/>
    </row>
    <row r="420" spans="1:18" ht="15.75" thickBot="1">
      <c r="A420" s="1"/>
      <c r="B420" s="2"/>
      <c r="C420" s="8"/>
      <c r="D420" s="187" t="s">
        <v>46</v>
      </c>
      <c r="E420" s="188"/>
      <c r="F420" s="188"/>
      <c r="G420" s="188"/>
      <c r="H420" s="188"/>
      <c r="I420" s="188"/>
      <c r="J420" s="188"/>
      <c r="K420" s="188"/>
      <c r="L420" s="188"/>
      <c r="M420" s="188"/>
      <c r="N420" s="188"/>
      <c r="O420" s="189"/>
      <c r="P420" s="166">
        <f>ROUND(P418+P412,0)</f>
        <v>1132615</v>
      </c>
      <c r="Q420" s="186"/>
      <c r="R420" s="4"/>
    </row>
    <row r="421" spans="1:18">
      <c r="A421" s="1"/>
      <c r="B421" s="2"/>
      <c r="C421" s="8"/>
      <c r="D421" s="80"/>
      <c r="E421" s="81"/>
      <c r="F421" s="81"/>
      <c r="G421" s="81"/>
      <c r="H421" s="81"/>
      <c r="I421" s="81"/>
      <c r="J421" s="81"/>
      <c r="K421" s="81"/>
      <c r="L421" s="81"/>
      <c r="M421" s="81"/>
      <c r="N421" s="81"/>
      <c r="O421" s="81"/>
      <c r="P421" s="82"/>
      <c r="Q421" s="13"/>
      <c r="R421" s="4"/>
    </row>
    <row r="422" spans="1:18">
      <c r="A422" s="1"/>
      <c r="B422" s="2"/>
      <c r="C422" s="8"/>
      <c r="D422" s="87"/>
      <c r="E422" s="20"/>
      <c r="F422" s="20"/>
      <c r="G422" s="20"/>
      <c r="H422" s="20"/>
      <c r="I422" s="20"/>
      <c r="J422" s="20"/>
      <c r="K422" s="20"/>
      <c r="L422" s="20"/>
      <c r="M422" s="20"/>
      <c r="N422" s="20"/>
      <c r="O422" s="20"/>
      <c r="P422" s="88"/>
      <c r="Q422" s="13"/>
      <c r="R422" s="4"/>
    </row>
    <row r="423" spans="1:18">
      <c r="A423" s="1"/>
      <c r="B423" s="2"/>
      <c r="C423" s="8"/>
      <c r="D423" s="87"/>
      <c r="E423" s="20"/>
      <c r="F423" s="20"/>
      <c r="G423" s="20"/>
      <c r="H423" s="20"/>
      <c r="I423" s="20"/>
      <c r="J423" s="20"/>
      <c r="K423" s="20"/>
      <c r="L423" s="20"/>
      <c r="M423" s="20"/>
      <c r="N423" s="20"/>
      <c r="O423" s="20"/>
      <c r="P423" s="88"/>
      <c r="Q423" s="13"/>
      <c r="R423" s="4"/>
    </row>
    <row r="424" spans="1:18">
      <c r="A424" s="1"/>
      <c r="B424" s="2"/>
      <c r="C424" s="8"/>
      <c r="D424" s="87"/>
      <c r="E424" s="20"/>
      <c r="F424" s="20"/>
      <c r="G424" s="20"/>
      <c r="H424" s="20"/>
      <c r="I424" s="20"/>
      <c r="J424" s="20"/>
      <c r="K424" s="20"/>
      <c r="L424" s="20"/>
      <c r="M424" s="20"/>
      <c r="N424" s="20"/>
      <c r="O424" s="20"/>
      <c r="P424" s="88"/>
      <c r="Q424" s="13"/>
      <c r="R424" s="4"/>
    </row>
    <row r="425" spans="1:18">
      <c r="A425" s="1"/>
      <c r="B425" s="2"/>
      <c r="C425" s="8"/>
      <c r="D425" s="219" t="str">
        <f>+[239]INICIO!$B$13</f>
        <v>Proyectó:</v>
      </c>
      <c r="E425" s="49"/>
      <c r="F425" s="49"/>
      <c r="G425" s="49"/>
      <c r="H425" s="49"/>
      <c r="I425" s="49"/>
      <c r="J425" s="49"/>
      <c r="K425" s="20"/>
      <c r="L425" s="69" t="str">
        <f>+[239]INICIO!$B$16</f>
        <v>Aprobó:</v>
      </c>
      <c r="M425" s="49"/>
      <c r="N425" s="49"/>
      <c r="O425" s="49"/>
      <c r="P425" s="88"/>
      <c r="Q425" s="13"/>
      <c r="R425" s="4"/>
    </row>
    <row r="426" spans="1:18">
      <c r="A426" s="1"/>
      <c r="B426" s="2"/>
      <c r="C426" s="8"/>
      <c r="D426" s="87"/>
      <c r="E426" s="20" t="str">
        <f>+Hoja2!C$13</f>
        <v>HELMER EDUARDO BECERRA SANTANDER</v>
      </c>
      <c r="F426" s="20"/>
      <c r="G426" s="20"/>
      <c r="H426" s="20"/>
      <c r="I426" s="20"/>
      <c r="J426" s="20"/>
      <c r="K426" s="20"/>
      <c r="L426" s="20"/>
      <c r="M426" s="20" t="str">
        <f>+Hoja2!$C$16</f>
        <v>JESÚS IVÁN QUIÑONES RUEDA</v>
      </c>
      <c r="N426" s="20"/>
      <c r="O426" s="20"/>
      <c r="P426" s="88"/>
      <c r="Q426" s="190"/>
      <c r="R426" s="4"/>
    </row>
    <row r="427" spans="1:18">
      <c r="A427" s="1"/>
      <c r="B427" s="2"/>
      <c r="C427" s="8"/>
      <c r="D427" s="87"/>
      <c r="E427" s="20" t="str">
        <f>+Hoja2!C$14</f>
        <v>APOYO SEC. DE PLANEACIÓN Y OBRAS PÚBLICAS</v>
      </c>
      <c r="F427" s="20"/>
      <c r="G427" s="20"/>
      <c r="H427" s="20"/>
      <c r="I427" s="20"/>
      <c r="J427" s="20"/>
      <c r="K427" s="20"/>
      <c r="L427" s="20"/>
      <c r="M427" s="20" t="str">
        <f>+Hoja2!$C$17</f>
        <v>SECRETARIO DE PLANEACIÓN Y OBRAS PUBLICAS</v>
      </c>
      <c r="N427" s="20"/>
      <c r="O427" s="20"/>
      <c r="P427" s="88"/>
      <c r="Q427" s="190"/>
      <c r="R427" s="4"/>
    </row>
    <row r="428" spans="1:18">
      <c r="A428" s="1"/>
      <c r="B428" s="2"/>
      <c r="C428" s="8"/>
      <c r="D428" s="68"/>
      <c r="E428" s="20" t="str">
        <f>+Hoja2!C$15</f>
        <v>123769-0701671 NTS</v>
      </c>
      <c r="F428" s="191"/>
      <c r="G428" s="191"/>
      <c r="H428" s="191"/>
      <c r="I428" s="20"/>
      <c r="J428" s="191"/>
      <c r="K428" s="191"/>
      <c r="L428" s="191"/>
      <c r="M428" s="192" t="str">
        <f>+Hoja2!C$18</f>
        <v>A21382020-1090480860</v>
      </c>
      <c r="N428" s="191"/>
      <c r="O428" s="191"/>
      <c r="P428" s="193"/>
      <c r="Q428" s="194"/>
      <c r="R428" s="4"/>
    </row>
    <row r="429" spans="1:18" ht="16.5" thickBot="1">
      <c r="A429" s="1"/>
      <c r="B429" s="2"/>
      <c r="C429" s="8"/>
      <c r="D429" s="195"/>
      <c r="E429" s="150"/>
      <c r="F429" s="150"/>
      <c r="G429" s="150"/>
      <c r="H429" s="150"/>
      <c r="I429" s="150"/>
      <c r="J429" s="150"/>
      <c r="K429" s="150"/>
      <c r="L429" s="150"/>
      <c r="M429" s="150"/>
      <c r="N429" s="150"/>
      <c r="O429" s="150"/>
      <c r="P429" s="196"/>
      <c r="Q429" s="197"/>
      <c r="R429" s="4"/>
    </row>
    <row r="430" spans="1:18" ht="15.75" thickBot="1">
      <c r="A430" s="1"/>
      <c r="B430" s="2"/>
      <c r="C430" s="198"/>
      <c r="D430" s="199"/>
      <c r="E430" s="199"/>
      <c r="F430" s="199"/>
      <c r="G430" s="199"/>
      <c r="H430" s="199"/>
      <c r="I430" s="199"/>
      <c r="J430" s="199"/>
      <c r="K430" s="199"/>
      <c r="L430" s="199"/>
      <c r="M430" s="199"/>
      <c r="N430" s="199"/>
      <c r="O430" s="199"/>
      <c r="P430" s="199"/>
      <c r="Q430" s="200"/>
      <c r="R430" s="4"/>
    </row>
    <row r="431" spans="1:18" ht="15.75" thickTop="1">
      <c r="A431" s="1"/>
      <c r="B431" s="2"/>
      <c r="C431" s="361"/>
      <c r="D431" s="12"/>
      <c r="E431" s="12"/>
      <c r="F431" s="12"/>
      <c r="G431" s="12"/>
      <c r="H431" s="12"/>
      <c r="I431" s="12"/>
      <c r="J431" s="12"/>
      <c r="K431" s="12"/>
      <c r="L431" s="12"/>
      <c r="M431" s="12"/>
      <c r="N431" s="12"/>
      <c r="O431" s="12"/>
      <c r="P431" s="12"/>
      <c r="Q431" s="362"/>
      <c r="R431" s="4"/>
    </row>
    <row r="432" spans="1:18" ht="15.75" thickBot="1">
      <c r="A432" s="2"/>
      <c r="B432" s="2">
        <v>3</v>
      </c>
      <c r="C432" s="3"/>
      <c r="D432" s="4"/>
      <c r="E432" s="4"/>
      <c r="F432" s="4"/>
      <c r="G432" s="4"/>
      <c r="H432" s="4"/>
      <c r="I432" s="4"/>
      <c r="J432" s="4"/>
      <c r="K432" s="4"/>
      <c r="L432" s="4"/>
      <c r="M432" s="4"/>
      <c r="N432" s="4"/>
      <c r="O432" s="4"/>
      <c r="P432" s="4"/>
      <c r="Q432" s="4"/>
      <c r="R432" s="4"/>
    </row>
    <row r="433" spans="1:18" ht="15.75" thickTop="1">
      <c r="A433" s="1"/>
      <c r="B433" s="2"/>
      <c r="C433" s="5"/>
      <c r="D433" s="6"/>
      <c r="E433" s="6"/>
      <c r="F433" s="6"/>
      <c r="G433" s="6"/>
      <c r="H433" s="6"/>
      <c r="I433" s="6"/>
      <c r="J433" s="6"/>
      <c r="K433" s="6"/>
      <c r="L433" s="6"/>
      <c r="M433" s="6"/>
      <c r="N433" s="6"/>
      <c r="O433" s="6"/>
      <c r="P433" s="6"/>
      <c r="Q433" s="7"/>
      <c r="R433" s="4"/>
    </row>
    <row r="434" spans="1:18" ht="24">
      <c r="A434" s="1"/>
      <c r="B434" s="2"/>
      <c r="C434" s="8"/>
      <c r="D434" s="9" t="str">
        <f>+[239]INICIO!$C$8</f>
        <v>Análisis de Precios Unitarios- Secretaria de Planeación y Obras Publicas de Cubará, Boyacá.</v>
      </c>
      <c r="E434" s="10"/>
      <c r="F434" s="10"/>
      <c r="G434" s="10"/>
      <c r="H434" s="11"/>
      <c r="I434" s="12"/>
      <c r="J434" s="12"/>
      <c r="K434" s="12"/>
      <c r="L434" s="12"/>
      <c r="M434" s="12"/>
      <c r="N434" s="12"/>
      <c r="O434" s="12"/>
      <c r="P434" s="12"/>
      <c r="Q434" s="13"/>
      <c r="R434" s="4"/>
    </row>
    <row r="435" spans="1:18">
      <c r="A435" s="1"/>
      <c r="B435" s="2"/>
      <c r="C435" s="8"/>
      <c r="D435" s="14" t="s">
        <v>0</v>
      </c>
      <c r="E435" s="15" t="str">
        <f>+[239]INICIO!$C$7</f>
        <v>CCE-EICP-FM-14</v>
      </c>
      <c r="F435" s="16"/>
      <c r="G435" s="17" t="str">
        <f>+[239]INICIO!$B$6</f>
        <v>VERSIÓN</v>
      </c>
      <c r="H435" s="14">
        <f>+[239]INICIO!$C$6</f>
        <v>1</v>
      </c>
      <c r="I435" s="12"/>
      <c r="J435" s="12"/>
      <c r="K435" s="12"/>
      <c r="L435" s="12"/>
      <c r="M435" s="12"/>
      <c r="N435" s="12"/>
      <c r="O435" s="12"/>
      <c r="P435" s="12"/>
      <c r="Q435" s="13"/>
      <c r="R435" s="4"/>
    </row>
    <row r="436" spans="1:18">
      <c r="A436" s="1"/>
      <c r="B436" s="2"/>
      <c r="C436" s="8"/>
      <c r="D436" s="18"/>
      <c r="E436" s="19"/>
      <c r="F436" s="18"/>
      <c r="G436" s="19"/>
      <c r="H436" s="12"/>
      <c r="I436" s="12"/>
      <c r="J436" s="12"/>
      <c r="K436" s="12"/>
      <c r="L436" s="12"/>
      <c r="M436" s="12"/>
      <c r="N436" s="12"/>
      <c r="O436" s="12"/>
      <c r="P436" s="12"/>
      <c r="Q436" s="13"/>
      <c r="R436" s="4"/>
    </row>
    <row r="437" spans="1:18" ht="15.75" thickBot="1">
      <c r="A437" s="1"/>
      <c r="B437" s="2"/>
      <c r="C437" s="8"/>
      <c r="D437" s="20"/>
      <c r="E437" s="20"/>
      <c r="F437" s="20"/>
      <c r="G437" s="20"/>
      <c r="H437" s="20"/>
      <c r="I437" s="20"/>
      <c r="J437" s="20"/>
      <c r="K437" s="20"/>
      <c r="L437" s="20"/>
      <c r="M437" s="20"/>
      <c r="N437" s="20"/>
      <c r="O437" s="20"/>
      <c r="P437" s="20"/>
      <c r="Q437" s="13"/>
      <c r="R437" s="4"/>
    </row>
    <row r="438" spans="1:18">
      <c r="A438" s="1"/>
      <c r="B438" s="2"/>
      <c r="C438" s="8"/>
      <c r="D438" s="21"/>
      <c r="E438" s="22"/>
      <c r="F438" s="23"/>
      <c r="G438" s="23"/>
      <c r="H438" s="23"/>
      <c r="I438" s="23"/>
      <c r="J438" s="23"/>
      <c r="K438" s="23"/>
      <c r="L438" s="24"/>
      <c r="M438" s="25"/>
      <c r="N438" s="26"/>
      <c r="O438" s="26"/>
      <c r="P438" s="27"/>
      <c r="Q438" s="28"/>
      <c r="R438" s="4"/>
    </row>
    <row r="439" spans="1:18">
      <c r="A439" s="1"/>
      <c r="B439" s="2"/>
      <c r="C439" s="8"/>
      <c r="D439" s="29"/>
      <c r="E439" s="30" t="s">
        <v>1</v>
      </c>
      <c r="F439" s="31"/>
      <c r="G439" s="31"/>
      <c r="H439" s="31"/>
      <c r="I439" s="31"/>
      <c r="J439" s="31"/>
      <c r="K439" s="31"/>
      <c r="L439" s="32"/>
      <c r="M439" s="33"/>
      <c r="N439" s="34"/>
      <c r="O439" s="34"/>
      <c r="P439" s="35"/>
      <c r="Q439" s="28"/>
      <c r="R439" s="4"/>
    </row>
    <row r="440" spans="1:18">
      <c r="A440" s="1"/>
      <c r="B440" s="2"/>
      <c r="C440" s="8"/>
      <c r="D440" s="29"/>
      <c r="E440" s="36"/>
      <c r="F440" s="37"/>
      <c r="G440" s="37"/>
      <c r="H440" s="37"/>
      <c r="I440" s="37"/>
      <c r="J440" s="37"/>
      <c r="K440" s="37"/>
      <c r="L440" s="38"/>
      <c r="M440" s="39"/>
      <c r="N440" s="40"/>
      <c r="O440" s="41"/>
      <c r="P440" s="42"/>
      <c r="Q440" s="28"/>
      <c r="R440" s="4"/>
    </row>
    <row r="441" spans="1:18">
      <c r="A441" s="1"/>
      <c r="B441" s="2"/>
      <c r="C441" s="8"/>
      <c r="D441" s="29"/>
      <c r="E441" s="36"/>
      <c r="F441" s="37"/>
      <c r="G441" s="37"/>
      <c r="H441" s="37"/>
      <c r="I441" s="37"/>
      <c r="J441" s="37"/>
      <c r="K441" s="37"/>
      <c r="L441" s="38"/>
      <c r="M441" s="43" t="s">
        <v>2</v>
      </c>
      <c r="N441" s="44"/>
      <c r="O441" s="45">
        <f>+[239]INICIO!$C$6</f>
        <v>1</v>
      </c>
      <c r="P441" s="46"/>
      <c r="Q441" s="28"/>
      <c r="R441" s="4"/>
    </row>
    <row r="442" spans="1:18">
      <c r="A442" s="1"/>
      <c r="B442" s="2"/>
      <c r="C442" s="8"/>
      <c r="D442" s="29"/>
      <c r="E442" s="36"/>
      <c r="F442" s="37"/>
      <c r="G442" s="37"/>
      <c r="H442" s="37"/>
      <c r="I442" s="37"/>
      <c r="J442" s="37"/>
      <c r="K442" s="37"/>
      <c r="L442" s="38"/>
      <c r="M442" s="47"/>
      <c r="N442" s="48"/>
      <c r="O442" s="49"/>
      <c r="P442" s="50"/>
      <c r="Q442" s="51"/>
      <c r="R442" s="4"/>
    </row>
    <row r="443" spans="1:18">
      <c r="A443" s="1"/>
      <c r="B443" s="2"/>
      <c r="C443" s="8"/>
      <c r="D443" s="29"/>
      <c r="E443" s="52"/>
      <c r="F443" s="53"/>
      <c r="G443" s="53"/>
      <c r="H443" s="53"/>
      <c r="I443" s="53"/>
      <c r="J443" s="53"/>
      <c r="K443" s="53"/>
      <c r="L443" s="54"/>
      <c r="M443" s="39"/>
      <c r="N443" s="55"/>
      <c r="O443" s="55"/>
      <c r="P443" s="56"/>
      <c r="Q443" s="28"/>
      <c r="R443" s="4"/>
    </row>
    <row r="444" spans="1:18">
      <c r="A444" s="1"/>
      <c r="B444" s="2"/>
      <c r="C444" s="8"/>
      <c r="D444" s="29"/>
      <c r="E444" s="52"/>
      <c r="F444" s="53"/>
      <c r="G444" s="53"/>
      <c r="H444" s="53"/>
      <c r="I444" s="53"/>
      <c r="J444" s="53"/>
      <c r="K444" s="53"/>
      <c r="L444" s="54"/>
      <c r="M444" s="43" t="s">
        <v>3</v>
      </c>
      <c r="N444" s="43" t="str">
        <f>+VLOOKUP(D455,'PRESUPUESTO OFICIAL '!C:Q,9,FALSE)</f>
        <v>21</v>
      </c>
      <c r="O444" s="43" t="s">
        <v>4</v>
      </c>
      <c r="P444" s="508" t="str">
        <f>+'PRESUPUESTO OFICIAL '!$M$122</f>
        <v>62</v>
      </c>
      <c r="Q444" s="28"/>
      <c r="R444" s="4"/>
    </row>
    <row r="445" spans="1:18">
      <c r="A445" s="1"/>
      <c r="B445" s="2"/>
      <c r="C445" s="8"/>
      <c r="D445" s="29"/>
      <c r="E445" s="30" t="s">
        <v>5</v>
      </c>
      <c r="F445" s="31"/>
      <c r="G445" s="31"/>
      <c r="H445" s="31"/>
      <c r="I445" s="31"/>
      <c r="J445" s="31"/>
      <c r="K445" s="31"/>
      <c r="L445" s="32"/>
      <c r="M445" s="43"/>
      <c r="N445" s="57"/>
      <c r="O445" s="57"/>
      <c r="P445" s="58"/>
      <c r="Q445" s="28"/>
      <c r="R445" s="4"/>
    </row>
    <row r="446" spans="1:18" ht="15.75" thickBot="1">
      <c r="A446" s="1"/>
      <c r="B446" s="2"/>
      <c r="C446" s="8"/>
      <c r="D446" s="59"/>
      <c r="E446" s="60"/>
      <c r="F446" s="60"/>
      <c r="G446" s="60"/>
      <c r="H446" s="60"/>
      <c r="I446" s="60"/>
      <c r="J446" s="60"/>
      <c r="K446" s="60"/>
      <c r="L446" s="60"/>
      <c r="M446" s="60"/>
      <c r="N446" s="61"/>
      <c r="O446" s="61"/>
      <c r="P446" s="62"/>
      <c r="Q446" s="63"/>
      <c r="R446" s="4"/>
    </row>
    <row r="447" spans="1:18">
      <c r="A447" s="1"/>
      <c r="B447" s="2"/>
      <c r="C447" s="8"/>
      <c r="D447" s="64"/>
      <c r="E447" s="65"/>
      <c r="F447" s="65"/>
      <c r="G447" s="65"/>
      <c r="H447" s="65"/>
      <c r="I447" s="65"/>
      <c r="J447" s="65"/>
      <c r="K447" s="65"/>
      <c r="L447" s="65"/>
      <c r="M447" s="66" t="s">
        <v>6</v>
      </c>
      <c r="N447" s="66" t="s">
        <v>7</v>
      </c>
      <c r="O447" s="66" t="s">
        <v>8</v>
      </c>
      <c r="P447" s="67" t="s">
        <v>9</v>
      </c>
      <c r="Q447" s="51"/>
      <c r="R447" s="4"/>
    </row>
    <row r="448" spans="1:18">
      <c r="A448" s="1"/>
      <c r="B448" s="2"/>
      <c r="C448" s="8"/>
      <c r="D448" s="68"/>
      <c r="E448" s="69"/>
      <c r="F448" s="69"/>
      <c r="G448" s="69"/>
      <c r="H448" s="69"/>
      <c r="I448" s="69"/>
      <c r="J448" s="69"/>
      <c r="K448" s="69"/>
      <c r="L448" s="69"/>
      <c r="M448" s="70"/>
      <c r="N448" s="71">
        <f>+Hoja2!B$5</f>
        <v>5</v>
      </c>
      <c r="O448" s="71">
        <f>+Hoja2!C$5</f>
        <v>8</v>
      </c>
      <c r="P448" s="72">
        <f>+Hoja2!D$5</f>
        <v>2026</v>
      </c>
      <c r="Q448" s="73"/>
      <c r="R448" s="4"/>
    </row>
    <row r="449" spans="1:18">
      <c r="A449" s="1"/>
      <c r="B449" s="2"/>
      <c r="C449" s="8"/>
      <c r="D449" s="74"/>
      <c r="E449" s="37"/>
      <c r="F449" s="37"/>
      <c r="G449" s="37"/>
      <c r="H449" s="69"/>
      <c r="I449" s="69"/>
      <c r="J449" s="69"/>
      <c r="K449" s="20"/>
      <c r="L449" s="69"/>
      <c r="M449" s="75"/>
      <c r="N449" s="20"/>
      <c r="O449" s="20"/>
      <c r="P449" s="76"/>
      <c r="Q449" s="73"/>
      <c r="R449" s="4"/>
    </row>
    <row r="450" spans="1:18" ht="15.75" thickBot="1">
      <c r="A450" s="1"/>
      <c r="B450" s="2"/>
      <c r="C450" s="8"/>
      <c r="D450" s="77"/>
      <c r="E450" s="78"/>
      <c r="F450" s="78"/>
      <c r="G450" s="78"/>
      <c r="H450" s="78"/>
      <c r="I450" s="78"/>
      <c r="J450" s="78"/>
      <c r="K450" s="78"/>
      <c r="L450" s="78"/>
      <c r="M450" s="78"/>
      <c r="N450" s="78"/>
      <c r="O450" s="78"/>
      <c r="P450" s="79"/>
      <c r="Q450" s="13"/>
      <c r="R450" s="4"/>
    </row>
    <row r="451" spans="1:18" ht="15.75" thickBot="1">
      <c r="A451" s="1"/>
      <c r="B451" s="2"/>
      <c r="C451" s="8"/>
      <c r="D451" s="80"/>
      <c r="E451" s="81"/>
      <c r="F451" s="81"/>
      <c r="G451" s="81"/>
      <c r="H451" s="81"/>
      <c r="I451" s="81"/>
      <c r="J451" s="20"/>
      <c r="K451" s="20"/>
      <c r="L451" s="81"/>
      <c r="M451" s="81"/>
      <c r="N451" s="81"/>
      <c r="O451" s="81"/>
      <c r="P451" s="82"/>
      <c r="Q451" s="13"/>
      <c r="R451" s="4"/>
    </row>
    <row r="452" spans="1:18">
      <c r="A452" s="1"/>
      <c r="B452" s="2"/>
      <c r="C452" s="8"/>
      <c r="D452" s="83" t="s">
        <v>10</v>
      </c>
      <c r="E452" s="84"/>
      <c r="F452" s="84"/>
      <c r="G452" s="84"/>
      <c r="H452" s="84"/>
      <c r="I452" s="84"/>
      <c r="J452" s="84"/>
      <c r="K452" s="84"/>
      <c r="L452" s="84"/>
      <c r="M452" s="84"/>
      <c r="N452" s="84"/>
      <c r="O452" s="84"/>
      <c r="P452" s="85"/>
      <c r="Q452" s="86"/>
      <c r="R452" s="4"/>
    </row>
    <row r="453" spans="1:18" ht="15.75" thickBot="1">
      <c r="A453" s="1"/>
      <c r="B453" s="2"/>
      <c r="C453" s="8"/>
      <c r="D453" s="87"/>
      <c r="E453" s="20"/>
      <c r="F453" s="20"/>
      <c r="G453" s="20"/>
      <c r="H453" s="20"/>
      <c r="I453" s="20"/>
      <c r="J453" s="20"/>
      <c r="K453" s="20"/>
      <c r="L453" s="20"/>
      <c r="M453" s="20"/>
      <c r="N453" s="20"/>
      <c r="O453" s="20"/>
      <c r="P453" s="88"/>
      <c r="Q453" s="13"/>
      <c r="R453" s="4"/>
    </row>
    <row r="454" spans="1:18">
      <c r="A454" s="1" t="s">
        <v>11</v>
      </c>
      <c r="B454" s="2" t="s">
        <v>12</v>
      </c>
      <c r="C454" s="8"/>
      <c r="D454" s="89" t="s">
        <v>13</v>
      </c>
      <c r="E454" s="90" t="s">
        <v>14</v>
      </c>
      <c r="F454" s="90"/>
      <c r="G454" s="90"/>
      <c r="H454" s="90"/>
      <c r="I454" s="90"/>
      <c r="J454" s="90"/>
      <c r="K454" s="90"/>
      <c r="L454" s="90"/>
      <c r="M454" s="90"/>
      <c r="N454" s="91" t="s">
        <v>15</v>
      </c>
      <c r="O454" s="91"/>
      <c r="P454" s="92" t="s">
        <v>16</v>
      </c>
      <c r="Q454" s="93"/>
      <c r="R454" s="4"/>
    </row>
    <row r="455" spans="1:18" ht="15.75" thickBot="1">
      <c r="A455" s="1"/>
      <c r="B455" s="2"/>
      <c r="C455" s="8"/>
      <c r="D455" s="349">
        <f>+'PRESUPUESTO OFICIAL '!C39</f>
        <v>3.01</v>
      </c>
      <c r="E455" s="94" t="str">
        <f>+VLOOKUP(D455,'PRESUPUESTO OFICIAL '!C:H,2,FALSE)</f>
        <v>COLUMNA EN CONCRETO f'c = 3000 PSI (21MPa), Dimensiones 0,12x0,20 m</v>
      </c>
      <c r="F455" s="94"/>
      <c r="G455" s="94"/>
      <c r="H455" s="94"/>
      <c r="I455" s="94"/>
      <c r="J455" s="94"/>
      <c r="K455" s="94"/>
      <c r="L455" s="94"/>
      <c r="M455" s="94"/>
      <c r="N455" s="94" t="str">
        <f>+VLOOKUP(D455,'PRESUPUESTO OFICIAL '!C:H,3,FALSE)</f>
        <v>M3</v>
      </c>
      <c r="O455" s="95"/>
      <c r="P455" s="96">
        <f>+VLOOKUP(D455,'PRESUPUESTO OFICIAL '!C:H,4,FALSE)</f>
        <v>5.48</v>
      </c>
      <c r="Q455" s="97"/>
      <c r="R455" s="98">
        <f>+P507</f>
        <v>2184805</v>
      </c>
    </row>
    <row r="456" spans="1:18" ht="15.75" thickBot="1">
      <c r="A456" s="1"/>
      <c r="B456" s="2"/>
      <c r="C456" s="8"/>
      <c r="D456" s="74" t="s">
        <v>17</v>
      </c>
      <c r="E456" s="37"/>
      <c r="F456" s="37"/>
      <c r="G456" s="37"/>
      <c r="H456" s="37"/>
      <c r="I456" s="37"/>
      <c r="J456" s="37"/>
      <c r="K456" s="37"/>
      <c r="L456" s="37"/>
      <c r="M456" s="37"/>
      <c r="N456" s="37"/>
      <c r="O456" s="37"/>
      <c r="P456" s="99"/>
      <c r="Q456" s="100"/>
      <c r="R456" s="4"/>
    </row>
    <row r="457" spans="1:18">
      <c r="A457" s="1"/>
      <c r="B457" s="2"/>
      <c r="C457" s="8"/>
      <c r="D457" s="101" t="s">
        <v>14</v>
      </c>
      <c r="E457" s="102"/>
      <c r="F457" s="102"/>
      <c r="G457" s="102"/>
      <c r="H457" s="103"/>
      <c r="I457" s="104" t="s">
        <v>18</v>
      </c>
      <c r="J457" s="102"/>
      <c r="K457" s="104" t="s">
        <v>19</v>
      </c>
      <c r="L457" s="105"/>
      <c r="M457" s="106" t="s">
        <v>20</v>
      </c>
      <c r="N457" s="104" t="s">
        <v>21</v>
      </c>
      <c r="O457" s="105"/>
      <c r="P457" s="107" t="s">
        <v>22</v>
      </c>
      <c r="Q457" s="108"/>
      <c r="R457" s="4"/>
    </row>
    <row r="458" spans="1:18">
      <c r="A458" s="1" t="s">
        <v>261</v>
      </c>
      <c r="B458" s="2" t="s">
        <v>23</v>
      </c>
      <c r="C458" s="8"/>
      <c r="D458" s="109" t="str">
        <f>IFERROR(INDEX([239]EQUIPOS!B:B,MATCH(B458,[239]EQUIPOS!A:A,0)),"")</f>
        <v>HERRAMIENTA MENOR (% M.O)</v>
      </c>
      <c r="E458" s="110"/>
      <c r="F458" s="110"/>
      <c r="G458" s="110"/>
      <c r="H458" s="111"/>
      <c r="I458" s="112"/>
      <c r="J458" s="111"/>
      <c r="K458" s="113" t="str">
        <f>IFERROR(INDEX([239]EQUIPOS!C:C,MATCH(B458,[239]EQUIPOS!A:A,0)),"")</f>
        <v>%</v>
      </c>
      <c r="L458" s="114"/>
      <c r="M458" s="115">
        <f>IFERROR(IF(D458="HERRAMIENTA MENOR (% M.O)",P497,INDEX([239]EQUIPOS!D:D,MATCH(B458,[239]EQUIPOS!A:A,0))),"")</f>
        <v>465652.2</v>
      </c>
      <c r="N458" s="116">
        <v>10</v>
      </c>
      <c r="O458" s="117"/>
      <c r="P458" s="118">
        <f t="shared" ref="P458:P463" si="15">IFERROR(ROUND(IF(D458="HERRAMIENTA MENOR (% M.O)",N458%*M458,M458/N458),2)," ")</f>
        <v>46565.22</v>
      </c>
      <c r="Q458" s="119"/>
      <c r="R458" s="4"/>
    </row>
    <row r="459" spans="1:18">
      <c r="A459" s="1">
        <f>+$A$2858</f>
        <v>0</v>
      </c>
      <c r="B459" s="2" t="s">
        <v>271</v>
      </c>
      <c r="C459" s="8"/>
      <c r="D459" s="109" t="str">
        <f>IFERROR(INDEX([239]EQUIPOS!B:B,MATCH(B459,[239]EQUIPOS!A:A,0)),"")</f>
        <v>VIBRADOR PORTÁTIL PARA CONCRETO</v>
      </c>
      <c r="E459" s="110"/>
      <c r="F459" s="110"/>
      <c r="G459" s="110"/>
      <c r="H459" s="111"/>
      <c r="I459" s="112"/>
      <c r="J459" s="111"/>
      <c r="K459" s="113" t="str">
        <f>IFERROR(INDEX([239]EQUIPOS!C:C,MATCH(B459,[239]EQUIPOS!A:A,0)),"")</f>
        <v>DIA</v>
      </c>
      <c r="L459" s="114"/>
      <c r="M459" s="115">
        <f>IFERROR(IF(D459="HERRAMIENTA MENOR (% M.O)",P498,INDEX([239]EQUIPOS!D:D,MATCH(B459,[239]EQUIPOS!A:A,0))),"")</f>
        <v>89075</v>
      </c>
      <c r="N459" s="116">
        <v>10</v>
      </c>
      <c r="O459" s="117"/>
      <c r="P459" s="118">
        <f t="shared" si="15"/>
        <v>8907.5</v>
      </c>
      <c r="Q459" s="119"/>
      <c r="R459" s="4"/>
    </row>
    <row r="460" spans="1:18">
      <c r="A460" s="1">
        <f t="shared" ref="A460:A498" si="16">+A459</f>
        <v>0</v>
      </c>
      <c r="B460" s="2" t="s">
        <v>260</v>
      </c>
      <c r="C460" s="8"/>
      <c r="D460" s="109" t="str">
        <f>IFERROR(INDEX([239]EQUIPOS!B:B,MATCH(B460,[239]EQUIPOS!A:A,0)),"")</f>
        <v>SECCIÓN DE ANDAMIO (01)</v>
      </c>
      <c r="E460" s="110"/>
      <c r="F460" s="110"/>
      <c r="G460" s="110"/>
      <c r="H460" s="111"/>
      <c r="I460" s="120"/>
      <c r="J460" s="121"/>
      <c r="K460" s="113" t="str">
        <f>IFERROR(INDEX([239]EQUIPOS!C:C,MATCH(B460,[239]EQUIPOS!A:A,0)),"")</f>
        <v>DIA</v>
      </c>
      <c r="L460" s="114"/>
      <c r="M460" s="115">
        <f>IFERROR(IF(D460="HERRAMIENTA MENOR (% M.O)",P499,INDEX([239]EQUIPOS!D:D,MATCH(B460,[239]EQUIPOS!A:A,0))),"")</f>
        <v>3000</v>
      </c>
      <c r="N460" s="116">
        <v>1</v>
      </c>
      <c r="O460" s="117"/>
      <c r="P460" s="118">
        <f t="shared" si="15"/>
        <v>3000</v>
      </c>
      <c r="Q460" s="119"/>
      <c r="R460" s="4"/>
    </row>
    <row r="461" spans="1:18">
      <c r="A461" s="1"/>
      <c r="B461" s="2"/>
      <c r="C461" s="8"/>
      <c r="D461" s="109" t="str">
        <f>IFERROR(INDEX([239]EQUIPOS!B:B,MATCH(B461,[239]EQUIPOS!A:A,0)),"")</f>
        <v/>
      </c>
      <c r="E461" s="110"/>
      <c r="F461" s="110"/>
      <c r="G461" s="110"/>
      <c r="H461" s="111"/>
      <c r="I461" s="120"/>
      <c r="J461" s="121"/>
      <c r="K461" s="113" t="str">
        <f>IFERROR(INDEX([239]EQUIPOS!C:C,MATCH(B461,[239]EQUIPOS!A:A,0)),"")</f>
        <v/>
      </c>
      <c r="L461" s="114"/>
      <c r="M461" s="115" t="str">
        <f>IFERROR(IF(D461="HERRAMIENTA MENOR (% M.O)",P500,INDEX([239]EQUIPOS!D:D,MATCH(B461,[239]EQUIPOS!A:A,0))),"")</f>
        <v/>
      </c>
      <c r="N461" s="116"/>
      <c r="O461" s="117"/>
      <c r="P461" s="118" t="str">
        <f t="shared" si="15"/>
        <v xml:space="preserve"> </v>
      </c>
      <c r="Q461" s="119"/>
      <c r="R461" s="4"/>
    </row>
    <row r="462" spans="1:18">
      <c r="A462" s="1"/>
      <c r="B462" s="2"/>
      <c r="C462" s="8"/>
      <c r="D462" s="109" t="str">
        <f>IFERROR(INDEX([239]EQUIPOS!B:B,MATCH(B462,[239]EQUIPOS!A:A,0)),"")</f>
        <v/>
      </c>
      <c r="E462" s="110"/>
      <c r="F462" s="110"/>
      <c r="G462" s="110"/>
      <c r="H462" s="111"/>
      <c r="I462" s="112"/>
      <c r="J462" s="111"/>
      <c r="K462" s="113" t="str">
        <f>IFERROR(INDEX([239]EQUIPOS!C:C,MATCH(B462,[239]EQUIPOS!A:A,0)),"")</f>
        <v/>
      </c>
      <c r="L462" s="114"/>
      <c r="M462" s="115" t="str">
        <f>IFERROR(IF(D462="HERRAMIENTA MENOR (% M.O)",P501,INDEX([239]EQUIPOS!D:D,MATCH(B462,[239]EQUIPOS!A:A,0))),"")</f>
        <v/>
      </c>
      <c r="N462" s="116"/>
      <c r="O462" s="117"/>
      <c r="P462" s="118" t="str">
        <f t="shared" si="15"/>
        <v xml:space="preserve"> </v>
      </c>
      <c r="Q462" s="119"/>
      <c r="R462" s="4"/>
    </row>
    <row r="463" spans="1:18" ht="15.75" thickBot="1">
      <c r="A463" s="1"/>
      <c r="B463" s="2"/>
      <c r="C463" s="8"/>
      <c r="D463" s="109" t="str">
        <f>IFERROR(INDEX([239]EQUIPOS!B:B,MATCH(B463,[239]EQUIPOS!A:A,0)),"")</f>
        <v/>
      </c>
      <c r="E463" s="78"/>
      <c r="F463" s="78"/>
      <c r="G463" s="78"/>
      <c r="H463" s="122"/>
      <c r="I463" s="123"/>
      <c r="J463" s="122"/>
      <c r="K463" s="113" t="str">
        <f>IFERROR(INDEX([239]EQUIPOS!C:C,MATCH(B463,[239]EQUIPOS!A:A,0)),"")</f>
        <v/>
      </c>
      <c r="L463" s="124"/>
      <c r="M463" s="115" t="str">
        <f>IFERROR(IF(D463="HERRAMIENTA MENOR (% M.O)",P502,INDEX([239]EQUIPOS!D:D,MATCH(B463,[239]EQUIPOS!A:A,0))),"")</f>
        <v/>
      </c>
      <c r="N463" s="125"/>
      <c r="O463" s="126"/>
      <c r="P463" s="127" t="str">
        <f t="shared" si="15"/>
        <v xml:space="preserve"> </v>
      </c>
      <c r="Q463" s="119"/>
      <c r="R463" s="4"/>
    </row>
    <row r="464" spans="1:18" ht="15.75" thickBot="1">
      <c r="A464" s="1"/>
      <c r="B464" s="2"/>
      <c r="C464" s="8"/>
      <c r="D464" s="128" t="s">
        <v>24</v>
      </c>
      <c r="E464" s="129"/>
      <c r="F464" s="129"/>
      <c r="G464" s="129"/>
      <c r="H464" s="129"/>
      <c r="I464" s="129"/>
      <c r="J464" s="129"/>
      <c r="K464" s="129"/>
      <c r="L464" s="129"/>
      <c r="M464" s="129"/>
      <c r="N464" s="129"/>
      <c r="O464" s="130"/>
      <c r="P464" s="131">
        <f>SUM(P458:P463)</f>
        <v>58472.72</v>
      </c>
      <c r="Q464" s="132"/>
      <c r="R464" s="4"/>
    </row>
    <row r="465" spans="1:18" ht="15.75" thickBot="1">
      <c r="A465" s="1"/>
      <c r="B465" s="2"/>
      <c r="C465" s="8"/>
      <c r="D465" s="74" t="s">
        <v>25</v>
      </c>
      <c r="E465" s="37"/>
      <c r="F465" s="37"/>
      <c r="G465" s="37"/>
      <c r="H465" s="37"/>
      <c r="I465" s="37"/>
      <c r="J465" s="37"/>
      <c r="K465" s="37"/>
      <c r="L465" s="37"/>
      <c r="M465" s="37"/>
      <c r="N465" s="37"/>
      <c r="O465" s="37"/>
      <c r="P465" s="99"/>
      <c r="Q465" s="100"/>
      <c r="R465" s="4"/>
    </row>
    <row r="466" spans="1:18">
      <c r="A466" s="1"/>
      <c r="B466" s="2"/>
      <c r="C466" s="8"/>
      <c r="D466" s="101" t="s">
        <v>14</v>
      </c>
      <c r="E466" s="133"/>
      <c r="F466" s="133"/>
      <c r="G466" s="133"/>
      <c r="H466" s="133"/>
      <c r="I466" s="133"/>
      <c r="J466" s="133"/>
      <c r="K466" s="105"/>
      <c r="L466" s="134" t="s">
        <v>15</v>
      </c>
      <c r="M466" s="106" t="s">
        <v>16</v>
      </c>
      <c r="N466" s="104" t="s">
        <v>26</v>
      </c>
      <c r="O466" s="105"/>
      <c r="P466" s="107" t="s">
        <v>22</v>
      </c>
      <c r="Q466" s="108"/>
      <c r="R466" s="4"/>
    </row>
    <row r="467" spans="1:18">
      <c r="A467" s="1"/>
      <c r="B467" s="2" t="s">
        <v>272</v>
      </c>
      <c r="C467" s="8"/>
      <c r="D467" s="109" t="str">
        <f>IFERROR(INDEX([239]MATERIALES!C:C,MATCH(B467,[239]MATERIALES!B:B,0)),"")</f>
        <v>CONCRETO DE 3000 PSI (1:2:3)</v>
      </c>
      <c r="E467" s="135"/>
      <c r="F467" s="135"/>
      <c r="G467" s="135"/>
      <c r="H467" s="135"/>
      <c r="I467" s="135"/>
      <c r="J467" s="135"/>
      <c r="K467" s="136"/>
      <c r="L467" s="137" t="str">
        <f>IFERROR(INDEX([239]MATERIALES!D:D,MATCH(B467,[239]MATERIALES!B:B,0)),"")</f>
        <v>M3</v>
      </c>
      <c r="M467" s="138">
        <v>1</v>
      </c>
      <c r="N467" s="139">
        <f>IFERROR(INDEX([239]MATERIALES!P:P,MATCH(B467,[239]MATERIALES!B:B,0)),"")</f>
        <v>765149.14</v>
      </c>
      <c r="O467" s="140"/>
      <c r="P467" s="118">
        <f>IFERROR(ROUND(N467*M467,2),"")</f>
        <v>765149.14</v>
      </c>
      <c r="Q467" s="119"/>
      <c r="R467" s="4"/>
    </row>
    <row r="468" spans="1:18">
      <c r="A468" s="1">
        <f t="shared" si="16"/>
        <v>0</v>
      </c>
      <c r="B468" s="2" t="s">
        <v>273</v>
      </c>
      <c r="C468" s="8"/>
      <c r="D468" s="109" t="str">
        <f>IFERROR(INDEX([239]MATERIALES!C:C,MATCH(B468,[239]MATERIALES!B:B,0)),"")</f>
        <v>TABLA BURRA ORDINARIA 10" x 1" x 3m</v>
      </c>
      <c r="E468" s="135"/>
      <c r="F468" s="135"/>
      <c r="G468" s="135"/>
      <c r="H468" s="135"/>
      <c r="I468" s="135"/>
      <c r="J468" s="135"/>
      <c r="K468" s="136"/>
      <c r="L468" s="137" t="str">
        <f>IFERROR(INDEX([239]MATERIALES!D:D,MATCH(B468,[239]MATERIALES!B:B,0)),"")</f>
        <v>UND</v>
      </c>
      <c r="M468" s="138">
        <v>9.6</v>
      </c>
      <c r="N468" s="139">
        <f>IFERROR(INDEX([239]MATERIALES!P:P,MATCH(B468,[239]MATERIALES!B:B,0)),"")</f>
        <v>22000</v>
      </c>
      <c r="O468" s="140"/>
      <c r="P468" s="118">
        <f>IFERROR(ROUND(N468*M468,2),"")</f>
        <v>211200</v>
      </c>
      <c r="Q468" s="119"/>
      <c r="R468" s="4"/>
    </row>
    <row r="469" spans="1:18">
      <c r="A469" s="1">
        <f t="shared" si="16"/>
        <v>0</v>
      </c>
      <c r="B469" s="2" t="s">
        <v>274</v>
      </c>
      <c r="C469" s="8"/>
      <c r="D469" s="109" t="str">
        <f>IFERROR(INDEX([239]MATERIALES!C:C,MATCH(B469,[239]MATERIALES!B:B,0)),"")</f>
        <v>LISTÓN DE MADERA 2" x 2" x 3 m</v>
      </c>
      <c r="E469" s="110"/>
      <c r="F469" s="110"/>
      <c r="G469" s="110"/>
      <c r="H469" s="110"/>
      <c r="I469" s="110"/>
      <c r="J469" s="110"/>
      <c r="K469" s="111"/>
      <c r="L469" s="137" t="str">
        <f>IFERROR(INDEX([239]MATERIALES!D:D,MATCH(B469,[239]MATERIALES!B:B,0)),"")</f>
        <v>UND</v>
      </c>
      <c r="M469" s="138">
        <v>7.9</v>
      </c>
      <c r="N469" s="139">
        <f>IFERROR(INDEX([239]MATERIALES!P:P,MATCH(B469,[239]MATERIALES!B:B,0)),"")</f>
        <v>9900</v>
      </c>
      <c r="O469" s="140"/>
      <c r="P469" s="118">
        <f>IFERROR(ROUND(N469*M469,2),"")</f>
        <v>78210</v>
      </c>
      <c r="Q469" s="119"/>
      <c r="R469" s="4"/>
    </row>
    <row r="470" spans="1:18">
      <c r="A470" s="1">
        <f t="shared" si="16"/>
        <v>0</v>
      </c>
      <c r="B470" s="2" t="s">
        <v>275</v>
      </c>
      <c r="C470" s="8"/>
      <c r="D470" s="109" t="str">
        <f>IFERROR(INDEX([239]MATERIALES!C:C,MATCH(B470,[239]MATERIALES!B:B,0)),"")</f>
        <v>PUNTILLA 2-1/2"</v>
      </c>
      <c r="E470" s="110"/>
      <c r="F470" s="110"/>
      <c r="G470" s="110"/>
      <c r="H470" s="110"/>
      <c r="I470" s="110"/>
      <c r="J470" s="110"/>
      <c r="K470" s="111"/>
      <c r="L470" s="137" t="str">
        <f>IFERROR(INDEX([239]MATERIALES!D:D,MATCH(B470,[239]MATERIALES!B:B,0)),"")</f>
        <v>LB</v>
      </c>
      <c r="M470" s="138">
        <v>1</v>
      </c>
      <c r="N470" s="139">
        <f>IFERROR(INDEX([239]MATERIALES!P:P,MATCH(B470,[239]MATERIALES!B:B,0)),"")</f>
        <v>6600</v>
      </c>
      <c r="O470" s="140"/>
      <c r="P470" s="118">
        <f>IFERROR(ROUND(N470*M470,2),"")</f>
        <v>6600</v>
      </c>
      <c r="Q470" s="119"/>
      <c r="R470" s="4"/>
    </row>
    <row r="471" spans="1:18">
      <c r="A471" s="1">
        <f t="shared" si="16"/>
        <v>0</v>
      </c>
      <c r="B471" s="2" t="s">
        <v>276</v>
      </c>
      <c r="C471" s="8"/>
      <c r="D471" s="109" t="str">
        <f>IFERROR(INDEX([239]MATERIALES!C:C,MATCH(B471,[239]MATERIALES!B:B,0)),"")</f>
        <v>ALAMBRE NEGRO # 18 (RECOCIDO)</v>
      </c>
      <c r="E471" s="110"/>
      <c r="F471" s="110"/>
      <c r="G471" s="110"/>
      <c r="H471" s="110"/>
      <c r="I471" s="110"/>
      <c r="J471" s="110"/>
      <c r="K471" s="111"/>
      <c r="L471" s="137" t="str">
        <f>IFERROR(INDEX([239]MATERIALES!D:D,MATCH(B471,[239]MATERIALES!B:B,0)),"")</f>
        <v>KG</v>
      </c>
      <c r="M471" s="138">
        <v>0.53</v>
      </c>
      <c r="N471" s="139">
        <f>IFERROR(INDEX([239]MATERIALES!P:P,MATCH(B471,[239]MATERIALES!B:B,0)),"")</f>
        <v>7850</v>
      </c>
      <c r="O471" s="140"/>
      <c r="P471" s="118">
        <f t="shared" ref="P471:P480" si="17">IFERROR(ROUND(N471*M471,2),"")</f>
        <v>4160.5</v>
      </c>
      <c r="Q471" s="119"/>
      <c r="R471" s="4"/>
    </row>
    <row r="472" spans="1:18">
      <c r="A472" s="1">
        <f t="shared" si="16"/>
        <v>0</v>
      </c>
      <c r="B472" s="2"/>
      <c r="C472" s="8"/>
      <c r="D472" s="109" t="str">
        <f>IFERROR(INDEX([239]MATERIALES!C:C,MATCH(B472,[239]MATERIALES!B:B,0)),"")</f>
        <v/>
      </c>
      <c r="E472" s="110"/>
      <c r="F472" s="110"/>
      <c r="G472" s="110"/>
      <c r="H472" s="110"/>
      <c r="I472" s="110"/>
      <c r="J472" s="110"/>
      <c r="K472" s="111"/>
      <c r="L472" s="137" t="str">
        <f>IFERROR(INDEX([239]MATERIALES!D:D,MATCH(B472,[239]MATERIALES!B:B,0)),"")</f>
        <v/>
      </c>
      <c r="M472" s="138"/>
      <c r="N472" s="139" t="str">
        <f>IFERROR(INDEX([239]MATERIALES!P:P,MATCH(B472,[239]MATERIALES!B:B,0)),"")</f>
        <v/>
      </c>
      <c r="O472" s="140"/>
      <c r="P472" s="118" t="str">
        <f t="shared" si="17"/>
        <v/>
      </c>
      <c r="Q472" s="119"/>
      <c r="R472" s="4"/>
    </row>
    <row r="473" spans="1:18">
      <c r="A473" s="1">
        <f t="shared" si="16"/>
        <v>0</v>
      </c>
      <c r="B473" s="2"/>
      <c r="C473" s="8"/>
      <c r="D473" s="109" t="str">
        <f>IFERROR(INDEX([239]MATERIALES!C:C,MATCH(B473,[239]MATERIALES!B:B,0)),"")</f>
        <v/>
      </c>
      <c r="E473" s="110"/>
      <c r="F473" s="110"/>
      <c r="G473" s="110"/>
      <c r="H473" s="110"/>
      <c r="I473" s="110"/>
      <c r="J473" s="110"/>
      <c r="K473" s="111"/>
      <c r="L473" s="137" t="str">
        <f>IFERROR(INDEX([239]MATERIALES!D:D,MATCH(B473,[239]MATERIALES!B:B,0)),"")</f>
        <v/>
      </c>
      <c r="M473" s="138"/>
      <c r="N473" s="139" t="str">
        <f>IFERROR(INDEX([239]MATERIALES!P:P,MATCH(B473,[239]MATERIALES!B:B,0)),"")</f>
        <v/>
      </c>
      <c r="O473" s="140"/>
      <c r="P473" s="118" t="str">
        <f t="shared" si="17"/>
        <v/>
      </c>
      <c r="Q473" s="119"/>
      <c r="R473" s="4"/>
    </row>
    <row r="474" spans="1:18">
      <c r="A474" s="1">
        <f t="shared" si="16"/>
        <v>0</v>
      </c>
      <c r="B474" s="2"/>
      <c r="C474" s="8"/>
      <c r="D474" s="109" t="str">
        <f>IFERROR(INDEX([239]MATERIALES!C:C,MATCH(B474,[239]MATERIALES!B:B,0)),"")</f>
        <v/>
      </c>
      <c r="E474" s="110"/>
      <c r="F474" s="110"/>
      <c r="G474" s="110"/>
      <c r="H474" s="110"/>
      <c r="I474" s="110"/>
      <c r="J474" s="110"/>
      <c r="K474" s="111"/>
      <c r="L474" s="137" t="str">
        <f>IFERROR(INDEX([239]MATERIALES!D:D,MATCH(B474,[239]MATERIALES!B:B,0)),"")</f>
        <v/>
      </c>
      <c r="M474" s="138"/>
      <c r="N474" s="139" t="str">
        <f>IFERROR(INDEX([239]MATERIALES!P:P,MATCH(B474,[239]MATERIALES!B:B,0)),"")</f>
        <v/>
      </c>
      <c r="O474" s="140"/>
      <c r="P474" s="118" t="str">
        <f t="shared" si="17"/>
        <v/>
      </c>
      <c r="Q474" s="119"/>
      <c r="R474" s="4"/>
    </row>
    <row r="475" spans="1:18">
      <c r="A475" s="1">
        <f t="shared" si="16"/>
        <v>0</v>
      </c>
      <c r="B475" s="2"/>
      <c r="C475" s="8"/>
      <c r="D475" s="109" t="str">
        <f>IFERROR(INDEX([239]MATERIALES!C:C,MATCH(B475,[239]MATERIALES!B:B,0)),"")</f>
        <v/>
      </c>
      <c r="E475" s="110"/>
      <c r="F475" s="110"/>
      <c r="G475" s="110"/>
      <c r="H475" s="110"/>
      <c r="I475" s="110"/>
      <c r="J475" s="110"/>
      <c r="K475" s="111"/>
      <c r="L475" s="137" t="str">
        <f>IFERROR(INDEX([239]MATERIALES!D:D,MATCH(B475,[239]MATERIALES!B:B,0)),"")</f>
        <v/>
      </c>
      <c r="M475" s="138"/>
      <c r="N475" s="139" t="str">
        <f>IFERROR(INDEX([239]MATERIALES!P:P,MATCH(B475,[239]MATERIALES!B:B,0)),"")</f>
        <v/>
      </c>
      <c r="O475" s="140"/>
      <c r="P475" s="118" t="str">
        <f t="shared" si="17"/>
        <v/>
      </c>
      <c r="Q475" s="119"/>
      <c r="R475" s="4"/>
    </row>
    <row r="476" spans="1:18">
      <c r="A476" s="1">
        <f t="shared" si="16"/>
        <v>0</v>
      </c>
      <c r="B476" s="2"/>
      <c r="C476" s="8"/>
      <c r="D476" s="109" t="str">
        <f>IFERROR(INDEX([239]MATERIALES!C:C,MATCH(B476,[239]MATERIALES!B:B,0)),"")</f>
        <v/>
      </c>
      <c r="E476" s="110"/>
      <c r="F476" s="110"/>
      <c r="G476" s="110"/>
      <c r="H476" s="110"/>
      <c r="I476" s="110"/>
      <c r="J476" s="110"/>
      <c r="K476" s="111"/>
      <c r="L476" s="137" t="str">
        <f>IFERROR(INDEX([239]MATERIALES!D:D,MATCH(B476,[239]MATERIALES!B:B,0)),"")</f>
        <v/>
      </c>
      <c r="M476" s="138"/>
      <c r="N476" s="139" t="str">
        <f>IFERROR(INDEX([239]MATERIALES!P:P,MATCH(B476,[239]MATERIALES!B:B,0)),"")</f>
        <v/>
      </c>
      <c r="O476" s="140"/>
      <c r="P476" s="118" t="str">
        <f t="shared" si="17"/>
        <v/>
      </c>
      <c r="Q476" s="119"/>
      <c r="R476" s="4"/>
    </row>
    <row r="477" spans="1:18">
      <c r="A477" s="1">
        <f t="shared" si="16"/>
        <v>0</v>
      </c>
      <c r="B477" s="2"/>
      <c r="C477" s="8"/>
      <c r="D477" s="109" t="str">
        <f>IFERROR(INDEX([239]MATERIALES!C:C,MATCH(B477,[239]MATERIALES!B:B,0)),"")</f>
        <v/>
      </c>
      <c r="E477" s="110"/>
      <c r="F477" s="110"/>
      <c r="G477" s="110"/>
      <c r="H477" s="110"/>
      <c r="I477" s="110"/>
      <c r="J477" s="110"/>
      <c r="K477" s="111"/>
      <c r="L477" s="137" t="str">
        <f>IFERROR(INDEX([239]MATERIALES!D:D,MATCH(B477,[239]MATERIALES!B:B,0)),"")</f>
        <v/>
      </c>
      <c r="M477" s="138"/>
      <c r="N477" s="139" t="str">
        <f>IFERROR(INDEX([239]MATERIALES!P:P,MATCH(B477,[239]MATERIALES!B:B,0)),"")</f>
        <v/>
      </c>
      <c r="O477" s="140"/>
      <c r="P477" s="118" t="str">
        <f t="shared" si="17"/>
        <v/>
      </c>
      <c r="Q477" s="119"/>
      <c r="R477" s="4"/>
    </row>
    <row r="478" spans="1:18">
      <c r="A478" s="1">
        <f t="shared" si="16"/>
        <v>0</v>
      </c>
      <c r="B478" s="2"/>
      <c r="C478" s="8"/>
      <c r="D478" s="109" t="str">
        <f>IFERROR(INDEX([239]MATERIALES!C:C,MATCH(B478,[239]MATERIALES!B:B,0)),"")</f>
        <v/>
      </c>
      <c r="E478" s="110"/>
      <c r="F478" s="110"/>
      <c r="G478" s="110"/>
      <c r="H478" s="110"/>
      <c r="I478" s="110"/>
      <c r="J478" s="110"/>
      <c r="K478" s="111"/>
      <c r="L478" s="137" t="str">
        <f>IFERROR(INDEX([239]MATERIALES!D:D,MATCH(B478,[239]MATERIALES!B:B,0)),"")</f>
        <v/>
      </c>
      <c r="M478" s="138"/>
      <c r="N478" s="139" t="str">
        <f>IFERROR(INDEX([239]MATERIALES!P:P,MATCH(B478,[239]MATERIALES!B:B,0)),"")</f>
        <v/>
      </c>
      <c r="O478" s="140"/>
      <c r="P478" s="118" t="str">
        <f t="shared" si="17"/>
        <v/>
      </c>
      <c r="Q478" s="119"/>
      <c r="R478" s="4"/>
    </row>
    <row r="479" spans="1:18">
      <c r="A479" s="1">
        <f t="shared" si="16"/>
        <v>0</v>
      </c>
      <c r="B479" s="2"/>
      <c r="C479" s="8"/>
      <c r="D479" s="109" t="str">
        <f>IFERROR(INDEX([239]MATERIALES!C:C,MATCH(B479,[239]MATERIALES!B:B,0)),"")</f>
        <v/>
      </c>
      <c r="E479" s="110"/>
      <c r="F479" s="110"/>
      <c r="G479" s="110"/>
      <c r="H479" s="110"/>
      <c r="I479" s="110"/>
      <c r="J479" s="110"/>
      <c r="K479" s="111"/>
      <c r="L479" s="137" t="str">
        <f>IFERROR(INDEX([239]MATERIALES!D:D,MATCH(B479,[239]MATERIALES!B:B,0)),"")</f>
        <v/>
      </c>
      <c r="M479" s="138"/>
      <c r="N479" s="139" t="str">
        <f>IFERROR(INDEX([239]MATERIALES!P:P,MATCH(B479,[239]MATERIALES!B:B,0)),"")</f>
        <v/>
      </c>
      <c r="O479" s="140"/>
      <c r="P479" s="118" t="str">
        <f t="shared" si="17"/>
        <v/>
      </c>
      <c r="Q479" s="119"/>
      <c r="R479" s="4"/>
    </row>
    <row r="480" spans="1:18">
      <c r="A480" s="1">
        <f t="shared" si="16"/>
        <v>0</v>
      </c>
      <c r="B480" s="2"/>
      <c r="C480" s="8"/>
      <c r="D480" s="109" t="str">
        <f>IFERROR(INDEX([239]MATERIALES!C:C,MATCH(B480,[239]MATERIALES!B:B,0)),"")</f>
        <v/>
      </c>
      <c r="E480" s="110"/>
      <c r="F480" s="110"/>
      <c r="G480" s="110"/>
      <c r="H480" s="110"/>
      <c r="I480" s="110"/>
      <c r="J480" s="110"/>
      <c r="K480" s="111"/>
      <c r="L480" s="137" t="str">
        <f>IFERROR(INDEX([239]MATERIALES!D:D,MATCH(B480,[239]MATERIALES!B:B,0)),"")</f>
        <v/>
      </c>
      <c r="M480" s="138"/>
      <c r="N480" s="139" t="str">
        <f>IFERROR(INDEX([239]MATERIALES!P:P,MATCH(B480,[239]MATERIALES!B:B,0)),"")</f>
        <v/>
      </c>
      <c r="O480" s="140"/>
      <c r="P480" s="118" t="str">
        <f t="shared" si="17"/>
        <v/>
      </c>
      <c r="Q480" s="119"/>
      <c r="R480" s="4"/>
    </row>
    <row r="481" spans="1:18" ht="15.75" thickBot="1">
      <c r="A481" s="1">
        <f t="shared" si="16"/>
        <v>0</v>
      </c>
      <c r="B481" s="2"/>
      <c r="C481" s="8"/>
      <c r="D481" s="109" t="s">
        <v>28</v>
      </c>
      <c r="E481" s="110"/>
      <c r="F481" s="110"/>
      <c r="G481" s="110"/>
      <c r="H481" s="110"/>
      <c r="I481" s="110"/>
      <c r="J481" s="110"/>
      <c r="K481" s="111"/>
      <c r="L481" s="137" t="s">
        <v>29</v>
      </c>
      <c r="M481" s="138">
        <v>0.05</v>
      </c>
      <c r="N481" s="139">
        <f>SUM(P467:P480)</f>
        <v>1065319.6400000001</v>
      </c>
      <c r="O481" s="140"/>
      <c r="P481" s="118">
        <f>ROUND(N481*M481,2)</f>
        <v>53265.98</v>
      </c>
      <c r="Q481" s="119"/>
      <c r="R481" s="4"/>
    </row>
    <row r="482" spans="1:18" ht="15.75" thickBot="1">
      <c r="A482" s="1">
        <f t="shared" si="16"/>
        <v>0</v>
      </c>
      <c r="B482" s="2"/>
      <c r="C482" s="8"/>
      <c r="D482" s="128" t="s">
        <v>24</v>
      </c>
      <c r="E482" s="129"/>
      <c r="F482" s="129"/>
      <c r="G482" s="129"/>
      <c r="H482" s="129"/>
      <c r="I482" s="129"/>
      <c r="J482" s="129"/>
      <c r="K482" s="129"/>
      <c r="L482" s="129"/>
      <c r="M482" s="129"/>
      <c r="N482" s="129"/>
      <c r="O482" s="130"/>
      <c r="P482" s="131">
        <f>SUM(P467:P481)</f>
        <v>1118585.6200000001</v>
      </c>
      <c r="Q482" s="119"/>
      <c r="R482" s="4"/>
    </row>
    <row r="483" spans="1:18" ht="15.75" thickBot="1">
      <c r="A483" s="1">
        <f t="shared" si="16"/>
        <v>0</v>
      </c>
      <c r="B483" s="2"/>
      <c r="C483" s="8"/>
      <c r="D483" s="74" t="s">
        <v>30</v>
      </c>
      <c r="E483" s="37"/>
      <c r="F483" s="37"/>
      <c r="G483" s="37"/>
      <c r="H483" s="37"/>
      <c r="I483" s="37"/>
      <c r="J483" s="37"/>
      <c r="K483" s="37"/>
      <c r="L483" s="37"/>
      <c r="M483" s="37"/>
      <c r="N483" s="37"/>
      <c r="O483" s="37"/>
      <c r="P483" s="99"/>
      <c r="Q483" s="100"/>
      <c r="R483" s="4"/>
    </row>
    <row r="484" spans="1:18">
      <c r="A484" s="1">
        <f t="shared" si="16"/>
        <v>0</v>
      </c>
      <c r="B484" s="2"/>
      <c r="C484" s="8"/>
      <c r="D484" s="101" t="s">
        <v>31</v>
      </c>
      <c r="E484" s="133"/>
      <c r="F484" s="133"/>
      <c r="G484" s="133"/>
      <c r="H484" s="133"/>
      <c r="I484" s="133"/>
      <c r="J484" s="133"/>
      <c r="K484" s="106" t="s">
        <v>32</v>
      </c>
      <c r="L484" s="141" t="s">
        <v>33</v>
      </c>
      <c r="M484" s="106" t="s">
        <v>34</v>
      </c>
      <c r="N484" s="104" t="s">
        <v>20</v>
      </c>
      <c r="O484" s="105"/>
      <c r="P484" s="107" t="s">
        <v>22</v>
      </c>
      <c r="Q484" s="108"/>
      <c r="R484" s="4"/>
    </row>
    <row r="485" spans="1:18">
      <c r="A485" s="1">
        <f t="shared" si="16"/>
        <v>0</v>
      </c>
      <c r="B485" s="2"/>
      <c r="C485" s="8"/>
      <c r="D485" s="142" t="str">
        <f>IFERROR(INDEX([239]TRANSPORTES!B:B,MATCH(B485,[239]TRANSPORTES!A:A,0)),"")</f>
        <v/>
      </c>
      <c r="E485" s="143"/>
      <c r="F485" s="143"/>
      <c r="G485" s="143"/>
      <c r="H485" s="143"/>
      <c r="I485" s="143"/>
      <c r="J485" s="143"/>
      <c r="K485" s="220"/>
      <c r="L485" s="145"/>
      <c r="M485" s="146" t="str">
        <f>IFERROR(INDEX([239]TRANSPORTES!C:C,MATCH(B485,[239]TRANSPORTES!A:A,0)),"")</f>
        <v/>
      </c>
      <c r="N485" s="139" t="str">
        <f>IFERROR(INDEX([239]TRANSPORTES!D:D,MATCH(B485,[239]TRANSPORTES!A:A,0)),"")</f>
        <v/>
      </c>
      <c r="O485" s="147"/>
      <c r="P485" s="148" t="str">
        <f>IFERROR(ROUND(K485*N485*L485,2),"")</f>
        <v/>
      </c>
      <c r="Q485" s="119"/>
      <c r="R485" s="4"/>
    </row>
    <row r="486" spans="1:18">
      <c r="A486" s="1">
        <f t="shared" si="16"/>
        <v>0</v>
      </c>
      <c r="B486" s="2"/>
      <c r="C486" s="8"/>
      <c r="D486" s="142" t="str">
        <f>IFERROR(INDEX([239]TRANSPORTES!B:B,MATCH(B486,[239]TRANSPORTES!A:A,0)),"")</f>
        <v/>
      </c>
      <c r="E486" s="143"/>
      <c r="F486" s="143"/>
      <c r="G486" s="143"/>
      <c r="H486" s="143"/>
      <c r="I486" s="143"/>
      <c r="J486" s="143"/>
      <c r="K486" s="144"/>
      <c r="L486" s="145"/>
      <c r="M486" s="146" t="str">
        <f>IFERROR(INDEX([239]TRANSPORTES!C:C,MATCH(B486,[239]TRANSPORTES!A:A,0)),"")</f>
        <v/>
      </c>
      <c r="N486" s="139" t="str">
        <f>IFERROR(INDEX([239]TRANSPORTES!D:D,MATCH(B486,[239]TRANSPORTES!A:A,0)),"")</f>
        <v/>
      </c>
      <c r="O486" s="147"/>
      <c r="P486" s="148" t="str">
        <f>IFERROR(ROUND(K486*N486*L486,2),"")</f>
        <v/>
      </c>
      <c r="Q486" s="119"/>
      <c r="R486" s="4"/>
    </row>
    <row r="487" spans="1:18">
      <c r="A487" s="1">
        <f t="shared" si="16"/>
        <v>0</v>
      </c>
      <c r="B487" s="2"/>
      <c r="C487" s="8"/>
      <c r="D487" s="142" t="str">
        <f>IFERROR(INDEX([239]TRANSPORTES!B:B,MATCH(B487,[239]TRANSPORTES!A:A,0)),"")</f>
        <v/>
      </c>
      <c r="E487" s="143"/>
      <c r="F487" s="143"/>
      <c r="G487" s="143"/>
      <c r="H487" s="143"/>
      <c r="I487" s="143"/>
      <c r="J487" s="143"/>
      <c r="K487" s="144"/>
      <c r="L487" s="145"/>
      <c r="M487" s="146" t="str">
        <f>IFERROR(INDEX([239]TRANSPORTES!C:C,MATCH(B487,[239]TRANSPORTES!A:A,0)),"")</f>
        <v/>
      </c>
      <c r="N487" s="139" t="str">
        <f>IFERROR(INDEX([239]TRANSPORTES!D:D,MATCH(B487,[239]TRANSPORTES!A:A,0)),"")</f>
        <v/>
      </c>
      <c r="O487" s="147"/>
      <c r="P487" s="148" t="str">
        <f>IFERROR(ROUND(K487*N487*L487,2),"")</f>
        <v/>
      </c>
      <c r="Q487" s="119"/>
      <c r="R487" s="4"/>
    </row>
    <row r="488" spans="1:18" ht="15.75" thickBot="1">
      <c r="A488" s="1">
        <f t="shared" si="16"/>
        <v>0</v>
      </c>
      <c r="B488" s="2"/>
      <c r="C488" s="8"/>
      <c r="D488" s="142" t="str">
        <f>IFERROR(INDEX([239]TRANSPORTES!B:B,MATCH(B488,[239]TRANSPORTES!A:A,0)),"")</f>
        <v/>
      </c>
      <c r="E488" s="143"/>
      <c r="F488" s="143"/>
      <c r="G488" s="143"/>
      <c r="H488" s="143"/>
      <c r="I488" s="143"/>
      <c r="J488" s="143"/>
      <c r="K488" s="149"/>
      <c r="L488" s="150"/>
      <c r="M488" s="146" t="str">
        <f>IFERROR(INDEX([239]TRANSPORTES!C:C,MATCH(B488,[239]TRANSPORTES!A:A,0)),"")</f>
        <v/>
      </c>
      <c r="N488" s="139" t="str">
        <f>IFERROR(INDEX([239]TRANSPORTES!D:D,MATCH(B488,[239]TRANSPORTES!A:A,0)),"")</f>
        <v/>
      </c>
      <c r="O488" s="147"/>
      <c r="P488" s="148" t="str">
        <f>IFERROR(ROUND(K488*N488*L488,2),"")</f>
        <v/>
      </c>
      <c r="Q488" s="119"/>
      <c r="R488" s="4"/>
    </row>
    <row r="489" spans="1:18" ht="15.75" thickBot="1">
      <c r="A489" s="1">
        <f t="shared" si="16"/>
        <v>0</v>
      </c>
      <c r="B489" s="2"/>
      <c r="C489" s="8"/>
      <c r="D489" s="128" t="s">
        <v>24</v>
      </c>
      <c r="E489" s="129"/>
      <c r="F489" s="129"/>
      <c r="G489" s="129"/>
      <c r="H489" s="129"/>
      <c r="I489" s="129"/>
      <c r="J489" s="129"/>
      <c r="K489" s="129"/>
      <c r="L489" s="129"/>
      <c r="M489" s="129"/>
      <c r="N489" s="129"/>
      <c r="O489" s="130"/>
      <c r="P489" s="151">
        <f>SUM(P485:P488)</f>
        <v>0</v>
      </c>
      <c r="Q489" s="132"/>
      <c r="R489" s="4"/>
    </row>
    <row r="490" spans="1:18" ht="15.75" thickBot="1">
      <c r="A490" s="1">
        <f t="shared" si="16"/>
        <v>0</v>
      </c>
      <c r="B490" s="2"/>
      <c r="C490" s="8"/>
      <c r="D490" s="74" t="s">
        <v>36</v>
      </c>
      <c r="E490" s="37"/>
      <c r="F490" s="37"/>
      <c r="G490" s="37"/>
      <c r="H490" s="37"/>
      <c r="I490" s="37"/>
      <c r="J490" s="37"/>
      <c r="K490" s="37"/>
      <c r="L490" s="37"/>
      <c r="M490" s="37"/>
      <c r="N490" s="37"/>
      <c r="O490" s="37"/>
      <c r="P490" s="99"/>
      <c r="Q490" s="100"/>
      <c r="R490" s="4"/>
    </row>
    <row r="491" spans="1:18" ht="30">
      <c r="A491" s="1">
        <f t="shared" si="16"/>
        <v>0</v>
      </c>
      <c r="B491" s="2"/>
      <c r="C491" s="8"/>
      <c r="D491" s="101" t="s">
        <v>37</v>
      </c>
      <c r="E491" s="133"/>
      <c r="F491" s="133"/>
      <c r="G491" s="133"/>
      <c r="H491" s="133"/>
      <c r="I491" s="133"/>
      <c r="J491" s="133"/>
      <c r="K491" s="106" t="s">
        <v>38</v>
      </c>
      <c r="L491" s="152" t="s">
        <v>39</v>
      </c>
      <c r="M491" s="153" t="s">
        <v>40</v>
      </c>
      <c r="N491" s="104" t="s">
        <v>21</v>
      </c>
      <c r="O491" s="105"/>
      <c r="P491" s="154" t="s">
        <v>22</v>
      </c>
      <c r="Q491" s="155"/>
      <c r="R491" s="4"/>
    </row>
    <row r="492" spans="1:18">
      <c r="A492" s="1">
        <f t="shared" si="16"/>
        <v>0</v>
      </c>
      <c r="B492" s="2" t="s">
        <v>41</v>
      </c>
      <c r="C492" s="8"/>
      <c r="D492" s="109" t="str">
        <f>IFERROR(INDEX('[239]MANO DE OBRA'!B:B,MATCH(B492,'[239]MANO DE OBRA'!A:A,0)),"")</f>
        <v>OFICIAL</v>
      </c>
      <c r="E492" s="110"/>
      <c r="F492" s="110"/>
      <c r="G492" s="110"/>
      <c r="H492" s="110"/>
      <c r="I492" s="110"/>
      <c r="J492" s="111"/>
      <c r="K492" s="156">
        <f>IFERROR(INDEX('[239]MANO DE OBRA'!D:D,MATCH(B492,'[239]MANO DE OBRA'!A:A,0)),"")</f>
        <v>95930</v>
      </c>
      <c r="L492" s="157">
        <f>+IF(D492&lt;&gt;"",'[239]FACTOR PRESTACIONAL'!$E$21," ")</f>
        <v>1.95</v>
      </c>
      <c r="M492" s="158">
        <f>IFERROR(K492*L492," ")</f>
        <v>187063.5</v>
      </c>
      <c r="N492" s="159">
        <v>1</v>
      </c>
      <c r="O492" s="160"/>
      <c r="P492" s="161">
        <f>IFERROR(ROUND(M492/N492,2)," ")</f>
        <v>187063.5</v>
      </c>
      <c r="Q492" s="162"/>
      <c r="R492" s="4"/>
    </row>
    <row r="493" spans="1:18">
      <c r="A493" s="1">
        <f t="shared" si="16"/>
        <v>0</v>
      </c>
      <c r="B493" s="2" t="s">
        <v>42</v>
      </c>
      <c r="C493" s="8"/>
      <c r="D493" s="109" t="str">
        <f>IFERROR(INDEX('[239]MANO DE OBRA'!B:B,MATCH(B493,'[239]MANO DE OBRA'!A:A,0)),"")</f>
        <v>AYUDANTE (2)</v>
      </c>
      <c r="E493" s="110"/>
      <c r="F493" s="110"/>
      <c r="G493" s="110"/>
      <c r="H493" s="110"/>
      <c r="I493" s="110"/>
      <c r="J493" s="111"/>
      <c r="K493" s="156">
        <f>IFERROR(INDEX('[239]MANO DE OBRA'!D:D,MATCH(B493,'[239]MANO DE OBRA'!A:A,0)),"")</f>
        <v>142866</v>
      </c>
      <c r="L493" s="157">
        <f>+IF(D493&lt;&gt;"",'[239]FACTOR PRESTACIONAL'!$E$21," ")</f>
        <v>1.95</v>
      </c>
      <c r="M493" s="158">
        <f>IFERROR(K493*L493," ")</f>
        <v>278588.7</v>
      </c>
      <c r="N493" s="159">
        <v>1</v>
      </c>
      <c r="O493" s="160"/>
      <c r="P493" s="161">
        <f>IFERROR(ROUND(M493/N493,2)," ")</f>
        <v>278588.7</v>
      </c>
      <c r="Q493" s="162"/>
      <c r="R493" s="4"/>
    </row>
    <row r="494" spans="1:18">
      <c r="A494" s="1">
        <f t="shared" si="16"/>
        <v>0</v>
      </c>
      <c r="B494" s="2"/>
      <c r="C494" s="8"/>
      <c r="D494" s="109" t="str">
        <f>IFERROR(INDEX('[239]MANO DE OBRA'!B:B,MATCH(B494,'[239]MANO DE OBRA'!A:A,0)),"")</f>
        <v/>
      </c>
      <c r="E494" s="110"/>
      <c r="F494" s="110"/>
      <c r="G494" s="110"/>
      <c r="H494" s="110"/>
      <c r="I494" s="110"/>
      <c r="J494" s="111"/>
      <c r="K494" s="156" t="str">
        <f>IFERROR(INDEX('[239]MANO DE OBRA'!D:D,MATCH(B494,'[239]MANO DE OBRA'!A:A,0)),"")</f>
        <v/>
      </c>
      <c r="L494" s="157" t="str">
        <f>+IF(D494&lt;&gt;"",'[239]FACTOR PRESTACIONAL'!$E$21," ")</f>
        <v xml:space="preserve"> </v>
      </c>
      <c r="M494" s="158" t="str">
        <f>IFERROR(K494*L494," ")</f>
        <v xml:space="preserve"> </v>
      </c>
      <c r="N494" s="159"/>
      <c r="O494" s="160"/>
      <c r="P494" s="161" t="str">
        <f>IFERROR(ROUND(M494/N494,2)," ")</f>
        <v xml:space="preserve"> </v>
      </c>
      <c r="Q494" s="162"/>
      <c r="R494" s="4"/>
    </row>
    <row r="495" spans="1:18">
      <c r="A495" s="1">
        <f t="shared" si="16"/>
        <v>0</v>
      </c>
      <c r="B495" s="2"/>
      <c r="C495" s="8"/>
      <c r="D495" s="109" t="str">
        <f>IFERROR(INDEX('[239]MANO DE OBRA'!B:B,MATCH(B495,'[239]MANO DE OBRA'!A:A,0)),"")</f>
        <v/>
      </c>
      <c r="E495" s="110"/>
      <c r="F495" s="110"/>
      <c r="G495" s="110"/>
      <c r="H495" s="110"/>
      <c r="I495" s="110"/>
      <c r="J495" s="111"/>
      <c r="K495" s="156" t="str">
        <f>IFERROR(INDEX('[239]MANO DE OBRA'!D:D,MATCH(B495,'[239]MANO DE OBRA'!A:A,0)),"")</f>
        <v/>
      </c>
      <c r="L495" s="157" t="str">
        <f>+IF(D495&lt;&gt;"",'[239]FACTOR PRESTACIONAL'!$E$21," ")</f>
        <v xml:space="preserve"> </v>
      </c>
      <c r="M495" s="158" t="str">
        <f>IFERROR(K495*L495," ")</f>
        <v xml:space="preserve"> </v>
      </c>
      <c r="N495" s="159"/>
      <c r="O495" s="160"/>
      <c r="P495" s="161" t="str">
        <f>IFERROR(ROUND(M495/N495,2)," ")</f>
        <v xml:space="preserve"> </v>
      </c>
      <c r="Q495" s="162"/>
      <c r="R495" s="4"/>
    </row>
    <row r="496" spans="1:18" ht="15.75" thickBot="1">
      <c r="A496" s="1">
        <f t="shared" si="16"/>
        <v>0</v>
      </c>
      <c r="B496" s="2"/>
      <c r="C496" s="8"/>
      <c r="D496" s="109" t="str">
        <f>IFERROR(INDEX('[239]MANO DE OBRA'!B:B,MATCH(B496,'[239]MANO DE OBRA'!A:A,0)),"")</f>
        <v/>
      </c>
      <c r="E496" s="110"/>
      <c r="F496" s="110"/>
      <c r="G496" s="110"/>
      <c r="H496" s="110"/>
      <c r="I496" s="110"/>
      <c r="J496" s="111"/>
      <c r="K496" s="156" t="str">
        <f>IFERROR(INDEX('[239]MANO DE OBRA'!D:D,MATCH(B496,'[239]MANO DE OBRA'!A:A,0)),"")</f>
        <v/>
      </c>
      <c r="L496" s="157" t="str">
        <f>+IF(D496&lt;&gt;"",'[239]FACTOR PRESTACIONAL'!$E$21," ")</f>
        <v xml:space="preserve"> </v>
      </c>
      <c r="M496" s="158" t="str">
        <f>IFERROR(K496*L496," ")</f>
        <v xml:space="preserve"> </v>
      </c>
      <c r="N496" s="159"/>
      <c r="O496" s="160"/>
      <c r="P496" s="161" t="str">
        <f>IFERROR(ROUND(M496/N496,2)," ")</f>
        <v xml:space="preserve"> </v>
      </c>
      <c r="Q496" s="119"/>
      <c r="R496" s="4"/>
    </row>
    <row r="497" spans="1:18" ht="15.75" thickBot="1">
      <c r="A497" s="1">
        <f t="shared" si="16"/>
        <v>0</v>
      </c>
      <c r="B497" s="2"/>
      <c r="C497" s="8"/>
      <c r="D497" s="128" t="s">
        <v>24</v>
      </c>
      <c r="E497" s="129"/>
      <c r="F497" s="129"/>
      <c r="G497" s="129"/>
      <c r="H497" s="129"/>
      <c r="I497" s="129"/>
      <c r="J497" s="129"/>
      <c r="K497" s="129"/>
      <c r="L497" s="129"/>
      <c r="M497" s="129"/>
      <c r="N497" s="129"/>
      <c r="O497" s="130"/>
      <c r="P497" s="131">
        <f>SUM(P492:P496)</f>
        <v>465652.2</v>
      </c>
      <c r="Q497" s="119"/>
      <c r="R497" s="4"/>
    </row>
    <row r="498" spans="1:18" ht="15.75" thickBot="1">
      <c r="A498" s="1">
        <f t="shared" si="16"/>
        <v>0</v>
      </c>
      <c r="B498" s="2"/>
      <c r="C498" s="8"/>
      <c r="D498" s="87"/>
      <c r="E498" s="20"/>
      <c r="F498" s="20"/>
      <c r="G498" s="20"/>
      <c r="H498" s="20"/>
      <c r="I498" s="20"/>
      <c r="J498" s="20"/>
      <c r="K498" s="20"/>
      <c r="L498" s="20"/>
      <c r="M498" s="20"/>
      <c r="N498" s="20"/>
      <c r="O498" s="20"/>
      <c r="P498" s="88"/>
      <c r="Q498" s="13"/>
      <c r="R498" s="4"/>
    </row>
    <row r="499" spans="1:18" ht="15.75" thickBot="1">
      <c r="A499" s="1"/>
      <c r="B499" s="2"/>
      <c r="C499" s="8"/>
      <c r="D499" s="163" t="s">
        <v>43</v>
      </c>
      <c r="E499" s="164"/>
      <c r="F499" s="164"/>
      <c r="G499" s="164"/>
      <c r="H499" s="164"/>
      <c r="I499" s="164"/>
      <c r="J499" s="164"/>
      <c r="K499" s="164"/>
      <c r="L499" s="164"/>
      <c r="M499" s="164"/>
      <c r="N499" s="164"/>
      <c r="O499" s="165"/>
      <c r="P499" s="166">
        <f>+P497+P489+P482+P464</f>
        <v>1642710.54</v>
      </c>
      <c r="Q499" s="167"/>
      <c r="R499" s="168"/>
    </row>
    <row r="500" spans="1:18" ht="15.75" thickBot="1">
      <c r="A500" s="1"/>
      <c r="B500" s="2"/>
      <c r="C500" s="8"/>
      <c r="D500" s="169"/>
      <c r="E500" s="170"/>
      <c r="F500" s="170"/>
      <c r="G500" s="170"/>
      <c r="H500" s="170"/>
      <c r="I500" s="170"/>
      <c r="J500" s="170"/>
      <c r="K500" s="170"/>
      <c r="L500" s="170"/>
      <c r="M500" s="170"/>
      <c r="N500" s="170"/>
      <c r="O500" s="170"/>
      <c r="P500" s="171"/>
      <c r="Q500" s="100"/>
      <c r="R500" s="4"/>
    </row>
    <row r="501" spans="1:18">
      <c r="A501" s="1"/>
      <c r="B501" s="2"/>
      <c r="C501" s="8"/>
      <c r="D501" s="172" t="s">
        <v>73</v>
      </c>
      <c r="E501" s="173"/>
      <c r="F501" s="173"/>
      <c r="G501" s="173"/>
      <c r="H501" s="173"/>
      <c r="I501" s="173"/>
      <c r="J501" s="173"/>
      <c r="K501" s="141"/>
      <c r="L501" s="174"/>
      <c r="M501" s="153" t="s">
        <v>44</v>
      </c>
      <c r="N501" s="175" t="s">
        <v>45</v>
      </c>
      <c r="O501" s="176"/>
      <c r="P501" s="154"/>
      <c r="Q501" s="155"/>
      <c r="R501" s="4"/>
    </row>
    <row r="502" spans="1:18">
      <c r="A502" s="1"/>
      <c r="B502" s="2"/>
      <c r="C502" s="8"/>
      <c r="D502" s="109" t="s">
        <v>65</v>
      </c>
      <c r="E502" s="110"/>
      <c r="F502" s="110"/>
      <c r="G502" s="110"/>
      <c r="H502" s="110"/>
      <c r="I502" s="110"/>
      <c r="J502" s="110"/>
      <c r="K502" s="177"/>
      <c r="L502" s="178"/>
      <c r="M502" s="179">
        <f>+[239]INICIO!$F$10</f>
        <v>0.24</v>
      </c>
      <c r="N502" s="180">
        <f>ROUND(M502*P499,2)</f>
        <v>394250.53</v>
      </c>
      <c r="O502" s="181"/>
      <c r="P502" s="182"/>
      <c r="Q502" s="119"/>
      <c r="R502" s="4"/>
    </row>
    <row r="503" spans="1:18">
      <c r="A503" s="1"/>
      <c r="B503" s="2"/>
      <c r="C503" s="8"/>
      <c r="D503" s="183" t="s">
        <v>67</v>
      </c>
      <c r="E503" s="61"/>
      <c r="F503" s="61"/>
      <c r="G503" s="61"/>
      <c r="H503" s="61"/>
      <c r="I503" s="61"/>
      <c r="J503" s="61"/>
      <c r="K503" s="177"/>
      <c r="L503" s="178"/>
      <c r="M503" s="179">
        <f>+[239]INICIO!$F$11</f>
        <v>0.02</v>
      </c>
      <c r="N503" s="180">
        <f>ROUND(M503*P499,2)</f>
        <v>32854.21</v>
      </c>
      <c r="O503" s="181"/>
      <c r="P503" s="182"/>
      <c r="Q503" s="119"/>
      <c r="R503" s="4"/>
    </row>
    <row r="504" spans="1:18" ht="15.75" thickBot="1">
      <c r="A504" s="1"/>
      <c r="B504" s="2"/>
      <c r="C504" s="8"/>
      <c r="D504" s="77" t="s">
        <v>69</v>
      </c>
      <c r="E504" s="78"/>
      <c r="F504" s="78"/>
      <c r="G504" s="78"/>
      <c r="H504" s="78"/>
      <c r="I504" s="78"/>
      <c r="J504" s="78"/>
      <c r="K504" s="184"/>
      <c r="L504" s="185"/>
      <c r="M504" s="179">
        <f>+[239]INICIO!$F$12</f>
        <v>7.0000000000000007E-2</v>
      </c>
      <c r="N504" s="180">
        <f>ROUND(M504*P499,2)</f>
        <v>114989.74</v>
      </c>
      <c r="O504" s="181"/>
      <c r="P504" s="182"/>
      <c r="Q504" s="119"/>
      <c r="R504" s="4"/>
    </row>
    <row r="505" spans="1:18" ht="15.75" thickBot="1">
      <c r="A505" s="1"/>
      <c r="B505" s="2"/>
      <c r="C505" s="8"/>
      <c r="D505" s="128"/>
      <c r="E505" s="129"/>
      <c r="F505" s="129"/>
      <c r="G505" s="129"/>
      <c r="H505" s="129"/>
      <c r="I505" s="129"/>
      <c r="J505" s="129"/>
      <c r="K505" s="129"/>
      <c r="L505" s="129"/>
      <c r="M505" s="129"/>
      <c r="N505" s="129"/>
      <c r="O505" s="130"/>
      <c r="P505" s="131">
        <f>SUM(N502:N504)</f>
        <v>542094.4800000001</v>
      </c>
      <c r="Q505" s="186"/>
      <c r="R505" s="4"/>
    </row>
    <row r="506" spans="1:18" ht="15.75" thickBot="1">
      <c r="A506" s="1"/>
      <c r="B506" s="2"/>
      <c r="C506" s="8"/>
      <c r="D506" s="87"/>
      <c r="E506" s="20"/>
      <c r="F506" s="20"/>
      <c r="G506" s="20"/>
      <c r="H506" s="20"/>
      <c r="I506" s="20"/>
      <c r="J506" s="20"/>
      <c r="K506" s="20"/>
      <c r="L506" s="20"/>
      <c r="M506" s="20"/>
      <c r="N506" s="20"/>
      <c r="O506" s="20"/>
      <c r="P506" s="88"/>
      <c r="Q506" s="13"/>
      <c r="R506" s="4"/>
    </row>
    <row r="507" spans="1:18" ht="15.75" thickBot="1">
      <c r="A507" s="1"/>
      <c r="B507" s="2"/>
      <c r="C507" s="8"/>
      <c r="D507" s="187" t="s">
        <v>46</v>
      </c>
      <c r="E507" s="188"/>
      <c r="F507" s="188"/>
      <c r="G507" s="188"/>
      <c r="H507" s="188"/>
      <c r="I507" s="188"/>
      <c r="J507" s="188"/>
      <c r="K507" s="188"/>
      <c r="L507" s="188"/>
      <c r="M507" s="188"/>
      <c r="N507" s="188"/>
      <c r="O507" s="189"/>
      <c r="P507" s="166">
        <f>ROUND(P505+P499,0)</f>
        <v>2184805</v>
      </c>
      <c r="Q507" s="186"/>
      <c r="R507" s="4"/>
    </row>
    <row r="508" spans="1:18">
      <c r="A508" s="1"/>
      <c r="B508" s="2"/>
      <c r="C508" s="8"/>
      <c r="D508" s="80"/>
      <c r="E508" s="81"/>
      <c r="F508" s="81"/>
      <c r="G508" s="81"/>
      <c r="H508" s="81"/>
      <c r="I508" s="81"/>
      <c r="J508" s="81"/>
      <c r="K508" s="81"/>
      <c r="L508" s="81"/>
      <c r="M508" s="81"/>
      <c r="N508" s="81"/>
      <c r="O508" s="81"/>
      <c r="P508" s="82"/>
      <c r="Q508" s="13"/>
      <c r="R508" s="4"/>
    </row>
    <row r="509" spans="1:18">
      <c r="A509" s="1"/>
      <c r="B509" s="2"/>
      <c r="C509" s="8"/>
      <c r="D509" s="87"/>
      <c r="E509" s="20"/>
      <c r="F509" s="20"/>
      <c r="G509" s="20"/>
      <c r="H509" s="20"/>
      <c r="I509" s="20"/>
      <c r="J509" s="20"/>
      <c r="K509" s="20"/>
      <c r="L509" s="20"/>
      <c r="M509" s="20"/>
      <c r="N509" s="20"/>
      <c r="O509" s="20"/>
      <c r="P509" s="88"/>
      <c r="Q509" s="13"/>
      <c r="R509" s="4"/>
    </row>
    <row r="510" spans="1:18">
      <c r="A510" s="1"/>
      <c r="B510" s="2"/>
      <c r="C510" s="8"/>
      <c r="D510" s="87"/>
      <c r="E510" s="20"/>
      <c r="F510" s="20"/>
      <c r="G510" s="20"/>
      <c r="H510" s="20"/>
      <c r="I510" s="20"/>
      <c r="J510" s="20"/>
      <c r="K510" s="20"/>
      <c r="L510" s="20"/>
      <c r="M510" s="20"/>
      <c r="N510" s="20"/>
      <c r="O510" s="20"/>
      <c r="P510" s="88"/>
      <c r="Q510" s="13"/>
      <c r="R510" s="4"/>
    </row>
    <row r="511" spans="1:18">
      <c r="A511" s="1"/>
      <c r="B511" s="2"/>
      <c r="C511" s="8"/>
      <c r="D511" s="87"/>
      <c r="E511" s="20"/>
      <c r="F511" s="20"/>
      <c r="G511" s="20"/>
      <c r="H511" s="20"/>
      <c r="I511" s="20"/>
      <c r="J511" s="20"/>
      <c r="K511" s="20"/>
      <c r="L511" s="20"/>
      <c r="M511" s="20"/>
      <c r="N511" s="20"/>
      <c r="O511" s="20"/>
      <c r="P511" s="88"/>
      <c r="Q511" s="13"/>
      <c r="R511" s="4"/>
    </row>
    <row r="512" spans="1:18">
      <c r="A512" s="1"/>
      <c r="B512" s="2"/>
      <c r="C512" s="8"/>
      <c r="D512" s="219" t="str">
        <f>+[239]INICIO!$B$13</f>
        <v>Proyectó:</v>
      </c>
      <c r="E512" s="49"/>
      <c r="F512" s="49"/>
      <c r="G512" s="49"/>
      <c r="H512" s="49"/>
      <c r="I512" s="49"/>
      <c r="J512" s="49"/>
      <c r="K512" s="20"/>
      <c r="L512" s="69" t="str">
        <f>+[239]INICIO!$B$16</f>
        <v>Aprobó:</v>
      </c>
      <c r="M512" s="49"/>
      <c r="N512" s="49"/>
      <c r="O512" s="49"/>
      <c r="P512" s="88"/>
      <c r="Q512" s="13"/>
      <c r="R512" s="4"/>
    </row>
    <row r="513" spans="1:18">
      <c r="A513" s="1"/>
      <c r="B513" s="2"/>
      <c r="C513" s="8"/>
      <c r="D513" s="87"/>
      <c r="E513" s="20" t="str">
        <f>+Hoja2!C$13</f>
        <v>HELMER EDUARDO BECERRA SANTANDER</v>
      </c>
      <c r="F513" s="20"/>
      <c r="G513" s="20"/>
      <c r="H513" s="20"/>
      <c r="I513" s="20"/>
      <c r="J513" s="20"/>
      <c r="K513" s="20"/>
      <c r="L513" s="20"/>
      <c r="M513" s="20" t="str">
        <f>+Hoja2!$C$16</f>
        <v>JESÚS IVÁN QUIÑONES RUEDA</v>
      </c>
      <c r="N513" s="20"/>
      <c r="O513" s="20"/>
      <c r="P513" s="88"/>
      <c r="Q513" s="190"/>
      <c r="R513" s="4"/>
    </row>
    <row r="514" spans="1:18">
      <c r="A514" s="1"/>
      <c r="B514" s="2"/>
      <c r="C514" s="8"/>
      <c r="D514" s="87"/>
      <c r="E514" s="20" t="str">
        <f>+Hoja2!C$14</f>
        <v>APOYO SEC. DE PLANEACIÓN Y OBRAS PÚBLICAS</v>
      </c>
      <c r="F514" s="20"/>
      <c r="G514" s="20"/>
      <c r="H514" s="20"/>
      <c r="I514" s="20"/>
      <c r="J514" s="20"/>
      <c r="K514" s="20"/>
      <c r="L514" s="20"/>
      <c r="M514" s="20" t="str">
        <f>+Hoja2!$C$17</f>
        <v>SECRETARIO DE PLANEACIÓN Y OBRAS PUBLICAS</v>
      </c>
      <c r="N514" s="20"/>
      <c r="O514" s="20"/>
      <c r="P514" s="88"/>
      <c r="Q514" s="190"/>
      <c r="R514" s="4"/>
    </row>
    <row r="515" spans="1:18">
      <c r="A515" s="1"/>
      <c r="B515" s="2"/>
      <c r="C515" s="8"/>
      <c r="D515" s="68"/>
      <c r="E515" s="20" t="str">
        <f>+Hoja2!C$15</f>
        <v>123769-0701671 NTS</v>
      </c>
      <c r="F515" s="191"/>
      <c r="G515" s="191"/>
      <c r="H515" s="191"/>
      <c r="I515" s="20"/>
      <c r="J515" s="191"/>
      <c r="K515" s="191"/>
      <c r="L515" s="191"/>
      <c r="M515" s="192" t="str">
        <f>+Hoja2!C$18</f>
        <v>A21382020-1090480860</v>
      </c>
      <c r="N515" s="191"/>
      <c r="O515" s="191"/>
      <c r="P515" s="193"/>
      <c r="Q515" s="194"/>
      <c r="R515" s="4"/>
    </row>
    <row r="516" spans="1:18" ht="16.5" thickBot="1">
      <c r="A516" s="1"/>
      <c r="B516" s="2"/>
      <c r="C516" s="8"/>
      <c r="D516" s="195"/>
      <c r="E516" s="150"/>
      <c r="F516" s="150"/>
      <c r="G516" s="150"/>
      <c r="H516" s="150"/>
      <c r="I516" s="150"/>
      <c r="J516" s="150"/>
      <c r="K516" s="150"/>
      <c r="L516" s="150"/>
      <c r="M516" s="150"/>
      <c r="N516" s="150"/>
      <c r="O516" s="150"/>
      <c r="P516" s="196"/>
      <c r="Q516" s="197"/>
      <c r="R516" s="4"/>
    </row>
    <row r="517" spans="1:18" ht="15.75" thickBot="1">
      <c r="A517" s="1"/>
      <c r="B517" s="2"/>
      <c r="C517" s="198"/>
      <c r="D517" s="199"/>
      <c r="E517" s="199"/>
      <c r="F517" s="199"/>
      <c r="G517" s="199"/>
      <c r="H517" s="199"/>
      <c r="I517" s="199"/>
      <c r="J517" s="199"/>
      <c r="K517" s="199"/>
      <c r="L517" s="199"/>
      <c r="M517" s="199"/>
      <c r="N517" s="199"/>
      <c r="O517" s="199"/>
      <c r="P517" s="199"/>
      <c r="Q517" s="200"/>
      <c r="R517" s="4"/>
    </row>
    <row r="518" spans="1:18" ht="16.5" thickTop="1" thickBot="1">
      <c r="A518" s="1"/>
      <c r="B518" s="2"/>
      <c r="C518" s="3"/>
      <c r="D518" s="4"/>
      <c r="E518" s="4"/>
      <c r="F518" s="4"/>
      <c r="G518" s="4"/>
      <c r="H518" s="4"/>
      <c r="I518" s="4"/>
      <c r="J518" s="4"/>
      <c r="K518" s="4"/>
      <c r="L518" s="4"/>
      <c r="M518" s="4"/>
      <c r="N518" s="4"/>
      <c r="O518" s="4"/>
      <c r="P518" s="4"/>
      <c r="Q518" s="4"/>
      <c r="R518" s="4"/>
    </row>
    <row r="519" spans="1:18" ht="15.75" thickTop="1">
      <c r="A519" s="1"/>
      <c r="B519" s="2"/>
      <c r="C519" s="5"/>
      <c r="D519" s="6"/>
      <c r="E519" s="6"/>
      <c r="F519" s="6"/>
      <c r="G519" s="6"/>
      <c r="H519" s="6"/>
      <c r="I519" s="6"/>
      <c r="J519" s="6"/>
      <c r="K519" s="6"/>
      <c r="L519" s="6"/>
      <c r="M519" s="6"/>
      <c r="N519" s="6"/>
      <c r="O519" s="6"/>
      <c r="P519" s="6"/>
      <c r="Q519" s="7"/>
      <c r="R519" s="4"/>
    </row>
    <row r="520" spans="1:18" ht="24">
      <c r="A520" s="1"/>
      <c r="B520" s="2"/>
      <c r="C520" s="8"/>
      <c r="D520" s="9" t="str">
        <f>+[239]INICIO!$C$8</f>
        <v>Análisis de Precios Unitarios- Secretaria de Planeación y Obras Publicas de Cubará, Boyacá.</v>
      </c>
      <c r="E520" s="10"/>
      <c r="F520" s="10"/>
      <c r="G520" s="10"/>
      <c r="H520" s="11"/>
      <c r="I520" s="12"/>
      <c r="J520" s="12"/>
      <c r="K520" s="12"/>
      <c r="L520" s="12"/>
      <c r="M520" s="12"/>
      <c r="N520" s="12"/>
      <c r="O520" s="12"/>
      <c r="P520" s="12"/>
      <c r="Q520" s="13"/>
      <c r="R520" s="4"/>
    </row>
    <row r="521" spans="1:18">
      <c r="A521" s="1"/>
      <c r="B521" s="2"/>
      <c r="C521" s="8"/>
      <c r="D521" s="14" t="s">
        <v>0</v>
      </c>
      <c r="E521" s="15" t="str">
        <f>+[239]INICIO!$C$7</f>
        <v>CCE-EICP-FM-14</v>
      </c>
      <c r="F521" s="16"/>
      <c r="G521" s="17" t="str">
        <f>+[239]INICIO!$B$6</f>
        <v>VERSIÓN</v>
      </c>
      <c r="H521" s="14">
        <f>+[239]INICIO!$C$6</f>
        <v>1</v>
      </c>
      <c r="I521" s="12"/>
      <c r="J521" s="12"/>
      <c r="K521" s="12"/>
      <c r="L521" s="12"/>
      <c r="M521" s="12"/>
      <c r="N521" s="12"/>
      <c r="O521" s="12"/>
      <c r="P521" s="12"/>
      <c r="Q521" s="13"/>
      <c r="R521" s="4"/>
    </row>
    <row r="522" spans="1:18">
      <c r="A522" s="1"/>
      <c r="B522" s="2"/>
      <c r="C522" s="8"/>
      <c r="D522" s="18"/>
      <c r="E522" s="19"/>
      <c r="F522" s="18"/>
      <c r="G522" s="19"/>
      <c r="H522" s="12"/>
      <c r="I522" s="12"/>
      <c r="J522" s="12"/>
      <c r="K522" s="12"/>
      <c r="L522" s="12"/>
      <c r="M522" s="12"/>
      <c r="N522" s="12"/>
      <c r="O522" s="12"/>
      <c r="P522" s="12"/>
      <c r="Q522" s="13"/>
      <c r="R522" s="4"/>
    </row>
    <row r="523" spans="1:18" ht="15.75" thickBot="1">
      <c r="A523" s="1"/>
      <c r="B523" s="2"/>
      <c r="C523" s="8"/>
      <c r="D523" s="20"/>
      <c r="E523" s="20"/>
      <c r="F523" s="20"/>
      <c r="G523" s="20"/>
      <c r="H523" s="20"/>
      <c r="I523" s="20"/>
      <c r="J523" s="20"/>
      <c r="K523" s="20"/>
      <c r="L523" s="20"/>
      <c r="M523" s="20"/>
      <c r="N523" s="20"/>
      <c r="O523" s="20"/>
      <c r="P523" s="20"/>
      <c r="Q523" s="13"/>
      <c r="R523" s="4"/>
    </row>
    <row r="524" spans="1:18">
      <c r="A524" s="1"/>
      <c r="B524" s="2"/>
      <c r="C524" s="8"/>
      <c r="D524" s="21"/>
      <c r="E524" s="22"/>
      <c r="F524" s="23"/>
      <c r="G524" s="23"/>
      <c r="H524" s="23"/>
      <c r="I524" s="23"/>
      <c r="J524" s="23"/>
      <c r="K524" s="23"/>
      <c r="L524" s="24"/>
      <c r="M524" s="25"/>
      <c r="N524" s="26"/>
      <c r="O524" s="26"/>
      <c r="P524" s="27"/>
      <c r="Q524" s="28"/>
      <c r="R524" s="4"/>
    </row>
    <row r="525" spans="1:18">
      <c r="A525" s="1"/>
      <c r="B525" s="2"/>
      <c r="C525" s="8"/>
      <c r="D525" s="29"/>
      <c r="E525" s="30" t="s">
        <v>1</v>
      </c>
      <c r="F525" s="31"/>
      <c r="G525" s="31"/>
      <c r="H525" s="31"/>
      <c r="I525" s="31"/>
      <c r="J525" s="31"/>
      <c r="K525" s="31"/>
      <c r="L525" s="32"/>
      <c r="M525" s="33"/>
      <c r="N525" s="34"/>
      <c r="O525" s="34"/>
      <c r="P525" s="35"/>
      <c r="Q525" s="28"/>
      <c r="R525" s="4"/>
    </row>
    <row r="526" spans="1:18">
      <c r="A526" s="1"/>
      <c r="B526" s="2"/>
      <c r="C526" s="8"/>
      <c r="D526" s="29"/>
      <c r="E526" s="36"/>
      <c r="F526" s="37"/>
      <c r="G526" s="37"/>
      <c r="H526" s="37"/>
      <c r="I526" s="37"/>
      <c r="J526" s="37"/>
      <c r="K526" s="37"/>
      <c r="L526" s="38"/>
      <c r="M526" s="39"/>
      <c r="N526" s="40"/>
      <c r="O526" s="41"/>
      <c r="P526" s="42"/>
      <c r="Q526" s="28"/>
      <c r="R526" s="4"/>
    </row>
    <row r="527" spans="1:18">
      <c r="A527" s="1"/>
      <c r="B527" s="2"/>
      <c r="C527" s="8"/>
      <c r="D527" s="29"/>
      <c r="E527" s="36"/>
      <c r="F527" s="37"/>
      <c r="G527" s="37"/>
      <c r="H527" s="37"/>
      <c r="I527" s="37"/>
      <c r="J527" s="37"/>
      <c r="K527" s="37"/>
      <c r="L527" s="38"/>
      <c r="M527" s="43" t="s">
        <v>2</v>
      </c>
      <c r="N527" s="44"/>
      <c r="O527" s="45">
        <f>+[239]INICIO!$C$6</f>
        <v>1</v>
      </c>
      <c r="P527" s="46"/>
      <c r="Q527" s="28"/>
      <c r="R527" s="4"/>
    </row>
    <row r="528" spans="1:18">
      <c r="A528" s="1"/>
      <c r="B528" s="2"/>
      <c r="C528" s="8"/>
      <c r="D528" s="29"/>
      <c r="E528" s="36"/>
      <c r="F528" s="37"/>
      <c r="G528" s="37"/>
      <c r="H528" s="37"/>
      <c r="I528" s="37"/>
      <c r="J528" s="37"/>
      <c r="K528" s="37"/>
      <c r="L528" s="38"/>
      <c r="M528" s="47"/>
      <c r="N528" s="48"/>
      <c r="O528" s="49"/>
      <c r="P528" s="50"/>
      <c r="Q528" s="51"/>
      <c r="R528" s="4"/>
    </row>
    <row r="529" spans="1:18">
      <c r="A529" s="1"/>
      <c r="B529" s="2"/>
      <c r="C529" s="8"/>
      <c r="D529" s="29"/>
      <c r="E529" s="52"/>
      <c r="F529" s="53"/>
      <c r="G529" s="53"/>
      <c r="H529" s="53"/>
      <c r="I529" s="53"/>
      <c r="J529" s="53"/>
      <c r="K529" s="53"/>
      <c r="L529" s="54"/>
      <c r="M529" s="39"/>
      <c r="N529" s="55"/>
      <c r="O529" s="55"/>
      <c r="P529" s="56"/>
      <c r="Q529" s="28"/>
      <c r="R529" s="4"/>
    </row>
    <row r="530" spans="1:18">
      <c r="A530" s="1"/>
      <c r="B530" s="2"/>
      <c r="C530" s="8"/>
      <c r="D530" s="29"/>
      <c r="E530" s="52"/>
      <c r="F530" s="53"/>
      <c r="G530" s="53"/>
      <c r="H530" s="53"/>
      <c r="I530" s="53"/>
      <c r="J530" s="53"/>
      <c r="K530" s="53"/>
      <c r="L530" s="54"/>
      <c r="M530" s="43" t="s">
        <v>3</v>
      </c>
      <c r="N530" s="43" t="str">
        <f>+VLOOKUP(D541,'PRESUPUESTO OFICIAL '!C:Q,9,FALSE)</f>
        <v>22</v>
      </c>
      <c r="O530" s="43" t="s">
        <v>4</v>
      </c>
      <c r="P530" s="508" t="str">
        <f>+'PRESUPUESTO OFICIAL '!$M$122</f>
        <v>62</v>
      </c>
      <c r="Q530" s="28"/>
      <c r="R530" s="4"/>
    </row>
    <row r="531" spans="1:18">
      <c r="A531" s="1"/>
      <c r="B531" s="2"/>
      <c r="C531" s="8"/>
      <c r="D531" s="29"/>
      <c r="E531" s="30" t="s">
        <v>5</v>
      </c>
      <c r="F531" s="31"/>
      <c r="G531" s="31"/>
      <c r="H531" s="31"/>
      <c r="I531" s="31"/>
      <c r="J531" s="31"/>
      <c r="K531" s="31"/>
      <c r="L531" s="32"/>
      <c r="M531" s="43"/>
      <c r="N531" s="57"/>
      <c r="O531" s="57"/>
      <c r="P531" s="58"/>
      <c r="Q531" s="28"/>
      <c r="R531" s="4"/>
    </row>
    <row r="532" spans="1:18" ht="15.75" thickBot="1">
      <c r="A532" s="1"/>
      <c r="B532" s="2"/>
      <c r="C532" s="8"/>
      <c r="D532" s="59"/>
      <c r="E532" s="60"/>
      <c r="F532" s="60"/>
      <c r="G532" s="60"/>
      <c r="H532" s="60"/>
      <c r="I532" s="60"/>
      <c r="J532" s="60"/>
      <c r="K532" s="60"/>
      <c r="L532" s="60"/>
      <c r="M532" s="60"/>
      <c r="N532" s="61"/>
      <c r="O532" s="61"/>
      <c r="P532" s="62"/>
      <c r="Q532" s="63"/>
      <c r="R532" s="4"/>
    </row>
    <row r="533" spans="1:18">
      <c r="A533" s="1"/>
      <c r="B533" s="2"/>
      <c r="C533" s="8"/>
      <c r="D533" s="64"/>
      <c r="E533" s="65"/>
      <c r="F533" s="65"/>
      <c r="G533" s="65"/>
      <c r="H533" s="65"/>
      <c r="I533" s="65"/>
      <c r="J533" s="65"/>
      <c r="K533" s="65"/>
      <c r="L533" s="65"/>
      <c r="M533" s="66" t="s">
        <v>6</v>
      </c>
      <c r="N533" s="66" t="s">
        <v>7</v>
      </c>
      <c r="O533" s="66" t="s">
        <v>8</v>
      </c>
      <c r="P533" s="67" t="s">
        <v>9</v>
      </c>
      <c r="Q533" s="51"/>
      <c r="R533" s="4"/>
    </row>
    <row r="534" spans="1:18">
      <c r="A534" s="1"/>
      <c r="B534" s="2"/>
      <c r="C534" s="8"/>
      <c r="D534" s="68"/>
      <c r="E534" s="69"/>
      <c r="F534" s="69"/>
      <c r="G534" s="69"/>
      <c r="H534" s="69"/>
      <c r="I534" s="69"/>
      <c r="J534" s="69"/>
      <c r="K534" s="69"/>
      <c r="L534" s="69"/>
      <c r="M534" s="70"/>
      <c r="N534" s="71">
        <f>+Hoja2!B$5</f>
        <v>5</v>
      </c>
      <c r="O534" s="71">
        <f>+Hoja2!C$5</f>
        <v>8</v>
      </c>
      <c r="P534" s="72">
        <f>+Hoja2!D$5</f>
        <v>2026</v>
      </c>
      <c r="Q534" s="73"/>
      <c r="R534" s="4"/>
    </row>
    <row r="535" spans="1:18">
      <c r="A535" s="1"/>
      <c r="B535" s="2"/>
      <c r="C535" s="8"/>
      <c r="D535" s="74"/>
      <c r="E535" s="37"/>
      <c r="F535" s="37"/>
      <c r="G535" s="37"/>
      <c r="H535" s="69"/>
      <c r="I535" s="69"/>
      <c r="J535" s="69"/>
      <c r="K535" s="20"/>
      <c r="L535" s="69"/>
      <c r="M535" s="75"/>
      <c r="N535" s="20"/>
      <c r="O535" s="20"/>
      <c r="P535" s="76"/>
      <c r="Q535" s="73"/>
      <c r="R535" s="4"/>
    </row>
    <row r="536" spans="1:18" ht="15.75" thickBot="1">
      <c r="A536" s="1"/>
      <c r="B536" s="2"/>
      <c r="C536" s="8"/>
      <c r="D536" s="77"/>
      <c r="E536" s="78"/>
      <c r="F536" s="78"/>
      <c r="G536" s="78"/>
      <c r="H536" s="78"/>
      <c r="I536" s="78"/>
      <c r="J536" s="78"/>
      <c r="K536" s="78"/>
      <c r="L536" s="78"/>
      <c r="M536" s="78"/>
      <c r="N536" s="78"/>
      <c r="O536" s="78"/>
      <c r="P536" s="79"/>
      <c r="Q536" s="13"/>
      <c r="R536" s="4"/>
    </row>
    <row r="537" spans="1:18" ht="15.75" thickBot="1">
      <c r="A537" s="1"/>
      <c r="B537" s="2"/>
      <c r="C537" s="8"/>
      <c r="D537" s="80"/>
      <c r="E537" s="81"/>
      <c r="F537" s="81"/>
      <c r="G537" s="81"/>
      <c r="H537" s="81"/>
      <c r="I537" s="81"/>
      <c r="J537" s="20"/>
      <c r="K537" s="20"/>
      <c r="L537" s="81"/>
      <c r="M537" s="81"/>
      <c r="N537" s="81"/>
      <c r="O537" s="81"/>
      <c r="P537" s="82"/>
      <c r="Q537" s="13"/>
      <c r="R537" s="4"/>
    </row>
    <row r="538" spans="1:18">
      <c r="A538" s="1"/>
      <c r="B538" s="2"/>
      <c r="C538" s="8"/>
      <c r="D538" s="83" t="s">
        <v>10</v>
      </c>
      <c r="E538" s="84"/>
      <c r="F538" s="84"/>
      <c r="G538" s="84"/>
      <c r="H538" s="84"/>
      <c r="I538" s="84"/>
      <c r="J538" s="84"/>
      <c r="K538" s="84"/>
      <c r="L538" s="84"/>
      <c r="M538" s="84"/>
      <c r="N538" s="84"/>
      <c r="O538" s="84"/>
      <c r="P538" s="85"/>
      <c r="Q538" s="86"/>
      <c r="R538" s="4"/>
    </row>
    <row r="539" spans="1:18" ht="15.75" thickBot="1">
      <c r="A539" s="1"/>
      <c r="B539" s="2"/>
      <c r="C539" s="8"/>
      <c r="D539" s="87"/>
      <c r="E539" s="20"/>
      <c r="F539" s="20"/>
      <c r="G539" s="20"/>
      <c r="H539" s="20"/>
      <c r="I539" s="20"/>
      <c r="J539" s="20"/>
      <c r="K539" s="20"/>
      <c r="L539" s="20"/>
      <c r="M539" s="20"/>
      <c r="N539" s="20"/>
      <c r="O539" s="20"/>
      <c r="P539" s="88"/>
      <c r="Q539" s="13"/>
      <c r="R539" s="4"/>
    </row>
    <row r="540" spans="1:18">
      <c r="A540" s="1" t="s">
        <v>11</v>
      </c>
      <c r="B540" s="2" t="s">
        <v>12</v>
      </c>
      <c r="C540" s="8"/>
      <c r="D540" s="89" t="s">
        <v>13</v>
      </c>
      <c r="E540" s="90" t="s">
        <v>14</v>
      </c>
      <c r="F540" s="90"/>
      <c r="G540" s="90"/>
      <c r="H540" s="90"/>
      <c r="I540" s="90"/>
      <c r="J540" s="90"/>
      <c r="K540" s="90"/>
      <c r="L540" s="90"/>
      <c r="M540" s="90"/>
      <c r="N540" s="91" t="s">
        <v>15</v>
      </c>
      <c r="O540" s="91"/>
      <c r="P540" s="92" t="s">
        <v>16</v>
      </c>
      <c r="Q540" s="93"/>
      <c r="R540" s="4"/>
    </row>
    <row r="541" spans="1:18" ht="15.75" thickBot="1">
      <c r="A541" s="1"/>
      <c r="B541" s="2"/>
      <c r="C541" s="8"/>
      <c r="D541" s="349">
        <f>+'PRESUPUESTO OFICIAL '!C40</f>
        <v>3.02</v>
      </c>
      <c r="E541" s="94" t="str">
        <f>+VLOOKUP(D541,'PRESUPUESTO OFICIAL '!C:H,2,FALSE)</f>
        <v>COLUMNA EN CONCRETO f'c = 3000 PSI (21MPa), Dimensiones 0,15x0,20 m</v>
      </c>
      <c r="F541" s="94"/>
      <c r="G541" s="94"/>
      <c r="H541" s="94"/>
      <c r="I541" s="94"/>
      <c r="J541" s="94"/>
      <c r="K541" s="94"/>
      <c r="L541" s="94"/>
      <c r="M541" s="94"/>
      <c r="N541" s="94" t="str">
        <f>+VLOOKUP(D541,'PRESUPUESTO OFICIAL '!C:H,3,FALSE)</f>
        <v>M3</v>
      </c>
      <c r="O541" s="95"/>
      <c r="P541" s="96">
        <f>+VLOOKUP(D541,'PRESUPUESTO OFICIAL '!C:H,4,FALSE)</f>
        <v>2.56</v>
      </c>
      <c r="Q541" s="97"/>
      <c r="R541" s="98">
        <f>+P593</f>
        <v>2111861</v>
      </c>
    </row>
    <row r="542" spans="1:18" ht="15.75" thickBot="1">
      <c r="A542" s="1"/>
      <c r="B542" s="2"/>
      <c r="C542" s="8"/>
      <c r="D542" s="74" t="s">
        <v>17</v>
      </c>
      <c r="E542" s="37"/>
      <c r="F542" s="37"/>
      <c r="G542" s="37"/>
      <c r="H542" s="37"/>
      <c r="I542" s="37"/>
      <c r="J542" s="37"/>
      <c r="K542" s="37"/>
      <c r="L542" s="37"/>
      <c r="M542" s="37"/>
      <c r="N542" s="37"/>
      <c r="O542" s="37"/>
      <c r="P542" s="99"/>
      <c r="Q542" s="100"/>
      <c r="R542" s="4"/>
    </row>
    <row r="543" spans="1:18">
      <c r="A543" s="1"/>
      <c r="B543" s="2"/>
      <c r="C543" s="8"/>
      <c r="D543" s="101" t="s">
        <v>14</v>
      </c>
      <c r="E543" s="102"/>
      <c r="F543" s="102"/>
      <c r="G543" s="102"/>
      <c r="H543" s="103"/>
      <c r="I543" s="104" t="s">
        <v>18</v>
      </c>
      <c r="J543" s="102"/>
      <c r="K543" s="104" t="s">
        <v>19</v>
      </c>
      <c r="L543" s="105"/>
      <c r="M543" s="106" t="s">
        <v>20</v>
      </c>
      <c r="N543" s="104" t="s">
        <v>21</v>
      </c>
      <c r="O543" s="105"/>
      <c r="P543" s="107" t="s">
        <v>22</v>
      </c>
      <c r="Q543" s="108"/>
      <c r="R543" s="4"/>
    </row>
    <row r="544" spans="1:18">
      <c r="A544" s="1" t="e">
        <f>[239]INDICE!#REF!</f>
        <v>#REF!</v>
      </c>
      <c r="B544" s="2" t="s">
        <v>23</v>
      </c>
      <c r="C544" s="8"/>
      <c r="D544" s="109" t="str">
        <f>IFERROR(INDEX([239]EQUIPOS!B:B,MATCH(B544,[239]EQUIPOS!A:A,0)),"")</f>
        <v>HERRAMIENTA MENOR (% M.O)</v>
      </c>
      <c r="E544" s="110"/>
      <c r="F544" s="110"/>
      <c r="G544" s="110"/>
      <c r="H544" s="111"/>
      <c r="I544" s="112"/>
      <c r="J544" s="111"/>
      <c r="K544" s="113" t="str">
        <f>IFERROR(INDEX([239]EQUIPOS!C:C,MATCH(B544,[239]EQUIPOS!A:A,0)),"")</f>
        <v>%</v>
      </c>
      <c r="L544" s="114"/>
      <c r="M544" s="115">
        <f>IFERROR(IF(D544="HERRAMIENTA MENOR (% M.O)",P583,INDEX([239]EQUIPOS!D:D,MATCH(B544,[239]EQUIPOS!A:A,0))),"")</f>
        <v>465652.2</v>
      </c>
      <c r="N544" s="116">
        <v>10</v>
      </c>
      <c r="O544" s="117"/>
      <c r="P544" s="118">
        <f t="shared" ref="P544:P549" si="18">IFERROR(ROUND(IF(D544="HERRAMIENTA MENOR (% M.O)",N544%*M544,M544/N544),2)," ")</f>
        <v>46565.22</v>
      </c>
      <c r="Q544" s="119"/>
      <c r="R544" s="4"/>
    </row>
    <row r="545" spans="1:18">
      <c r="A545" s="1">
        <f>+$A$2858</f>
        <v>0</v>
      </c>
      <c r="B545" s="2" t="s">
        <v>271</v>
      </c>
      <c r="C545" s="8"/>
      <c r="D545" s="109" t="str">
        <f>IFERROR(INDEX([239]EQUIPOS!B:B,MATCH(B545,[239]EQUIPOS!A:A,0)),"")</f>
        <v>VIBRADOR PORTÁTIL PARA CONCRETO</v>
      </c>
      <c r="E545" s="110"/>
      <c r="F545" s="110"/>
      <c r="G545" s="110"/>
      <c r="H545" s="111"/>
      <c r="I545" s="112"/>
      <c r="J545" s="111"/>
      <c r="K545" s="113" t="str">
        <f>IFERROR(INDEX([239]EQUIPOS!C:C,MATCH(B545,[239]EQUIPOS!A:A,0)),"")</f>
        <v>DIA</v>
      </c>
      <c r="L545" s="114"/>
      <c r="M545" s="115">
        <f>IFERROR(IF(D545="HERRAMIENTA MENOR (% M.O)",P584,INDEX([239]EQUIPOS!D:D,MATCH(B545,[239]EQUIPOS!A:A,0))),"")</f>
        <v>89075</v>
      </c>
      <c r="N545" s="116">
        <v>10</v>
      </c>
      <c r="O545" s="117"/>
      <c r="P545" s="118">
        <f t="shared" si="18"/>
        <v>8907.5</v>
      </c>
      <c r="Q545" s="119"/>
      <c r="R545" s="4"/>
    </row>
    <row r="546" spans="1:18">
      <c r="A546" s="1">
        <f t="shared" ref="A546:A584" si="19">+A545</f>
        <v>0</v>
      </c>
      <c r="B546" s="2" t="s">
        <v>260</v>
      </c>
      <c r="C546" s="8"/>
      <c r="D546" s="109" t="str">
        <f>IFERROR(INDEX([239]EQUIPOS!B:B,MATCH(B546,[239]EQUIPOS!A:A,0)),"")</f>
        <v>SECCIÓN DE ANDAMIO (01)</v>
      </c>
      <c r="E546" s="110"/>
      <c r="F546" s="110"/>
      <c r="G546" s="110"/>
      <c r="H546" s="111"/>
      <c r="I546" s="120"/>
      <c r="J546" s="121"/>
      <c r="K546" s="113" t="str">
        <f>IFERROR(INDEX([239]EQUIPOS!C:C,MATCH(B546,[239]EQUIPOS!A:A,0)),"")</f>
        <v>DIA</v>
      </c>
      <c r="L546" s="114"/>
      <c r="M546" s="115">
        <f>IFERROR(IF(D546="HERRAMIENTA MENOR (% M.O)",P585,INDEX([239]EQUIPOS!D:D,MATCH(B546,[239]EQUIPOS!A:A,0))),"")</f>
        <v>3000</v>
      </c>
      <c r="N546" s="116">
        <v>1</v>
      </c>
      <c r="O546" s="117"/>
      <c r="P546" s="118">
        <f t="shared" si="18"/>
        <v>3000</v>
      </c>
      <c r="Q546" s="119"/>
      <c r="R546" s="4"/>
    </row>
    <row r="547" spans="1:18">
      <c r="A547" s="1">
        <f t="shared" si="19"/>
        <v>0</v>
      </c>
      <c r="B547" s="2"/>
      <c r="C547" s="8"/>
      <c r="D547" s="109" t="str">
        <f>IFERROR(INDEX([239]EQUIPOS!B:B,MATCH(B547,[239]EQUIPOS!A:A,0)),"")</f>
        <v/>
      </c>
      <c r="E547" s="110"/>
      <c r="F547" s="110"/>
      <c r="G547" s="110"/>
      <c r="H547" s="111"/>
      <c r="I547" s="120"/>
      <c r="J547" s="121"/>
      <c r="K547" s="113" t="str">
        <f>IFERROR(INDEX([239]EQUIPOS!C:C,MATCH(B547,[239]EQUIPOS!A:A,0)),"")</f>
        <v/>
      </c>
      <c r="L547" s="114"/>
      <c r="M547" s="115" t="str">
        <f>IFERROR(IF(D547="HERRAMIENTA MENOR (% M.O)",P586,INDEX([239]EQUIPOS!D:D,MATCH(B547,[239]EQUIPOS!A:A,0))),"")</f>
        <v/>
      </c>
      <c r="N547" s="116"/>
      <c r="O547" s="117"/>
      <c r="P547" s="118" t="str">
        <f t="shared" si="18"/>
        <v xml:space="preserve"> </v>
      </c>
      <c r="Q547" s="119"/>
      <c r="R547" s="4"/>
    </row>
    <row r="548" spans="1:18">
      <c r="A548" s="1">
        <f t="shared" si="19"/>
        <v>0</v>
      </c>
      <c r="B548" s="2"/>
      <c r="C548" s="8"/>
      <c r="D548" s="109" t="str">
        <f>IFERROR(INDEX([239]EQUIPOS!B:B,MATCH(B548,[239]EQUIPOS!A:A,0)),"")</f>
        <v/>
      </c>
      <c r="E548" s="110"/>
      <c r="F548" s="110"/>
      <c r="G548" s="110"/>
      <c r="H548" s="111"/>
      <c r="I548" s="112"/>
      <c r="J548" s="111"/>
      <c r="K548" s="113" t="str">
        <f>IFERROR(INDEX([239]EQUIPOS!C:C,MATCH(B548,[239]EQUIPOS!A:A,0)),"")</f>
        <v/>
      </c>
      <c r="L548" s="114"/>
      <c r="M548" s="115" t="str">
        <f>IFERROR(IF(D548="HERRAMIENTA MENOR (% M.O)",P587,INDEX([239]EQUIPOS!D:D,MATCH(B548,[239]EQUIPOS!A:A,0))),"")</f>
        <v/>
      </c>
      <c r="N548" s="116"/>
      <c r="O548" s="117"/>
      <c r="P548" s="118" t="str">
        <f t="shared" si="18"/>
        <v xml:space="preserve"> </v>
      </c>
      <c r="Q548" s="119"/>
      <c r="R548" s="4"/>
    </row>
    <row r="549" spans="1:18" ht="15.75" thickBot="1">
      <c r="A549" s="1">
        <f t="shared" si="19"/>
        <v>0</v>
      </c>
      <c r="B549" s="2"/>
      <c r="C549" s="8"/>
      <c r="D549" s="109" t="str">
        <f>IFERROR(INDEX([239]EQUIPOS!B:B,MATCH(B549,[239]EQUIPOS!A:A,0)),"")</f>
        <v/>
      </c>
      <c r="E549" s="78"/>
      <c r="F549" s="78"/>
      <c r="G549" s="78"/>
      <c r="H549" s="122"/>
      <c r="I549" s="123"/>
      <c r="J549" s="122"/>
      <c r="K549" s="113" t="str">
        <f>IFERROR(INDEX([239]EQUIPOS!C:C,MATCH(B549,[239]EQUIPOS!A:A,0)),"")</f>
        <v/>
      </c>
      <c r="L549" s="124"/>
      <c r="M549" s="115" t="str">
        <f>IFERROR(IF(D549="HERRAMIENTA MENOR (% M.O)",P588,INDEX([239]EQUIPOS!D:D,MATCH(B549,[239]EQUIPOS!A:A,0))),"")</f>
        <v/>
      </c>
      <c r="N549" s="125"/>
      <c r="O549" s="126"/>
      <c r="P549" s="127" t="str">
        <f t="shared" si="18"/>
        <v xml:space="preserve"> </v>
      </c>
      <c r="Q549" s="119"/>
      <c r="R549" s="4"/>
    </row>
    <row r="550" spans="1:18" ht="15.75" thickBot="1">
      <c r="A550" s="1">
        <f t="shared" si="19"/>
        <v>0</v>
      </c>
      <c r="B550" s="2"/>
      <c r="C550" s="8"/>
      <c r="D550" s="128" t="s">
        <v>24</v>
      </c>
      <c r="E550" s="129"/>
      <c r="F550" s="129"/>
      <c r="G550" s="129"/>
      <c r="H550" s="129"/>
      <c r="I550" s="129"/>
      <c r="J550" s="129"/>
      <c r="K550" s="129"/>
      <c r="L550" s="129"/>
      <c r="M550" s="129"/>
      <c r="N550" s="129"/>
      <c r="O550" s="130"/>
      <c r="P550" s="131">
        <f>SUM(P544:P549)</f>
        <v>58472.72</v>
      </c>
      <c r="Q550" s="132"/>
      <c r="R550" s="4"/>
    </row>
    <row r="551" spans="1:18" ht="15.75" thickBot="1">
      <c r="A551" s="1">
        <f t="shared" si="19"/>
        <v>0</v>
      </c>
      <c r="B551" s="2"/>
      <c r="C551" s="8"/>
      <c r="D551" s="74" t="s">
        <v>25</v>
      </c>
      <c r="E551" s="37"/>
      <c r="F551" s="37"/>
      <c r="G551" s="37"/>
      <c r="H551" s="37"/>
      <c r="I551" s="37"/>
      <c r="J551" s="37"/>
      <c r="K551" s="37"/>
      <c r="L551" s="37"/>
      <c r="M551" s="37"/>
      <c r="N551" s="37"/>
      <c r="O551" s="37"/>
      <c r="P551" s="99"/>
      <c r="Q551" s="100"/>
      <c r="R551" s="4"/>
    </row>
    <row r="552" spans="1:18">
      <c r="A552" s="1">
        <f t="shared" si="19"/>
        <v>0</v>
      </c>
      <c r="B552" s="2"/>
      <c r="C552" s="8"/>
      <c r="D552" s="101" t="s">
        <v>14</v>
      </c>
      <c r="E552" s="133"/>
      <c r="F552" s="133"/>
      <c r="G552" s="133"/>
      <c r="H552" s="133"/>
      <c r="I552" s="133"/>
      <c r="J552" s="133"/>
      <c r="K552" s="105"/>
      <c r="L552" s="134" t="s">
        <v>15</v>
      </c>
      <c r="M552" s="106" t="s">
        <v>16</v>
      </c>
      <c r="N552" s="104" t="s">
        <v>26</v>
      </c>
      <c r="O552" s="105"/>
      <c r="P552" s="107" t="s">
        <v>22</v>
      </c>
      <c r="Q552" s="108"/>
      <c r="R552" s="4"/>
    </row>
    <row r="553" spans="1:18">
      <c r="A553" s="1">
        <f t="shared" si="19"/>
        <v>0</v>
      </c>
      <c r="B553" s="2" t="s">
        <v>272</v>
      </c>
      <c r="C553" s="8"/>
      <c r="D553" s="109" t="str">
        <f>IFERROR(INDEX([239]MATERIALES!C:C,MATCH(B553,[239]MATERIALES!B:B,0)),"")</f>
        <v>CONCRETO DE 3000 PSI (1:2:3)</v>
      </c>
      <c r="E553" s="135"/>
      <c r="F553" s="135"/>
      <c r="G553" s="135"/>
      <c r="H553" s="135"/>
      <c r="I553" s="135"/>
      <c r="J553" s="135"/>
      <c r="K553" s="136"/>
      <c r="L553" s="137" t="str">
        <f>IFERROR(INDEX([239]MATERIALES!D:D,MATCH(B553,[239]MATERIALES!B:B,0)),"")</f>
        <v>M3</v>
      </c>
      <c r="M553" s="138">
        <v>1</v>
      </c>
      <c r="N553" s="139">
        <f>IFERROR(INDEX([239]MATERIALES!P:P,MATCH(B553,[239]MATERIALES!B:B,0)),"")</f>
        <v>765149.14</v>
      </c>
      <c r="O553" s="140"/>
      <c r="P553" s="118">
        <f>IFERROR(ROUND(N553*M553,2),"")</f>
        <v>765149.14</v>
      </c>
      <c r="Q553" s="119"/>
      <c r="R553" s="4"/>
    </row>
    <row r="554" spans="1:18">
      <c r="A554" s="1">
        <f t="shared" si="19"/>
        <v>0</v>
      </c>
      <c r="B554" s="2" t="s">
        <v>273</v>
      </c>
      <c r="C554" s="8"/>
      <c r="D554" s="109" t="str">
        <f>IFERROR(INDEX([239]MATERIALES!C:C,MATCH(B554,[239]MATERIALES!B:B,0)),"")</f>
        <v>TABLA BURRA ORDINARIA 10" x 1" x 3m</v>
      </c>
      <c r="E554" s="135"/>
      <c r="F554" s="135"/>
      <c r="G554" s="135"/>
      <c r="H554" s="135"/>
      <c r="I554" s="135"/>
      <c r="J554" s="135"/>
      <c r="K554" s="136"/>
      <c r="L554" s="137" t="str">
        <f>IFERROR(INDEX([239]MATERIALES!D:D,MATCH(B554,[239]MATERIALES!B:B,0)),"")</f>
        <v>UND</v>
      </c>
      <c r="M554" s="138">
        <v>8</v>
      </c>
      <c r="N554" s="139">
        <f>IFERROR(INDEX([239]MATERIALES!P:P,MATCH(B554,[239]MATERIALES!B:B,0)),"")</f>
        <v>22000</v>
      </c>
      <c r="O554" s="140"/>
      <c r="P554" s="118">
        <f>IFERROR(ROUND(N554*M554,2),"")</f>
        <v>176000</v>
      </c>
      <c r="Q554" s="119"/>
      <c r="R554" s="4"/>
    </row>
    <row r="555" spans="1:18">
      <c r="A555" s="1">
        <f t="shared" si="19"/>
        <v>0</v>
      </c>
      <c r="B555" s="2" t="s">
        <v>274</v>
      </c>
      <c r="C555" s="8"/>
      <c r="D555" s="109" t="str">
        <f>IFERROR(INDEX([239]MATERIALES!C:C,MATCH(B555,[239]MATERIALES!B:B,0)),"")</f>
        <v>LISTÓN DE MADERA 2" x 2" x 3 m</v>
      </c>
      <c r="E555" s="110"/>
      <c r="F555" s="110"/>
      <c r="G555" s="110"/>
      <c r="H555" s="110"/>
      <c r="I555" s="110"/>
      <c r="J555" s="110"/>
      <c r="K555" s="111"/>
      <c r="L555" s="137" t="str">
        <f>IFERROR(INDEX([239]MATERIALES!D:D,MATCH(B555,[239]MATERIALES!B:B,0)),"")</f>
        <v>UND</v>
      </c>
      <c r="M555" s="138">
        <v>6.4</v>
      </c>
      <c r="N555" s="139">
        <f>IFERROR(INDEX([239]MATERIALES!P:P,MATCH(B555,[239]MATERIALES!B:B,0)),"")</f>
        <v>9900</v>
      </c>
      <c r="O555" s="140"/>
      <c r="P555" s="118">
        <f>IFERROR(ROUND(N555*M555,2),"")</f>
        <v>63360</v>
      </c>
      <c r="Q555" s="119"/>
      <c r="R555" s="4"/>
    </row>
    <row r="556" spans="1:18">
      <c r="A556" s="1">
        <f t="shared" si="19"/>
        <v>0</v>
      </c>
      <c r="B556" s="2" t="s">
        <v>275</v>
      </c>
      <c r="C556" s="8"/>
      <c r="D556" s="109" t="str">
        <f>IFERROR(INDEX([239]MATERIALES!C:C,MATCH(B556,[239]MATERIALES!B:B,0)),"")</f>
        <v>PUNTILLA 2-1/2"</v>
      </c>
      <c r="E556" s="110"/>
      <c r="F556" s="110"/>
      <c r="G556" s="110"/>
      <c r="H556" s="110"/>
      <c r="I556" s="110"/>
      <c r="J556" s="110"/>
      <c r="K556" s="111"/>
      <c r="L556" s="137" t="str">
        <f>IFERROR(INDEX([239]MATERIALES!D:D,MATCH(B556,[239]MATERIALES!B:B,0)),"")</f>
        <v>LB</v>
      </c>
      <c r="M556" s="138">
        <v>0.8</v>
      </c>
      <c r="N556" s="139">
        <f>IFERROR(INDEX([239]MATERIALES!P:P,MATCH(B556,[239]MATERIALES!B:B,0)),"")</f>
        <v>6600</v>
      </c>
      <c r="O556" s="140"/>
      <c r="P556" s="118">
        <f>IFERROR(ROUND(N556*M556,2),"")</f>
        <v>5280</v>
      </c>
      <c r="Q556" s="119"/>
      <c r="R556" s="4"/>
    </row>
    <row r="557" spans="1:18">
      <c r="A557" s="1">
        <f t="shared" si="19"/>
        <v>0</v>
      </c>
      <c r="B557" s="2" t="s">
        <v>276</v>
      </c>
      <c r="C557" s="8"/>
      <c r="D557" s="109" t="str">
        <f>IFERROR(INDEX([239]MATERIALES!C:C,MATCH(B557,[239]MATERIALES!B:B,0)),"")</f>
        <v>ALAMBRE NEGRO # 18 (RECOCIDO)</v>
      </c>
      <c r="E557" s="110"/>
      <c r="F557" s="110"/>
      <c r="G557" s="110"/>
      <c r="H557" s="110"/>
      <c r="I557" s="110"/>
      <c r="J557" s="110"/>
      <c r="K557" s="111"/>
      <c r="L557" s="137" t="str">
        <f>IFERROR(INDEX([239]MATERIALES!D:D,MATCH(B557,[239]MATERIALES!B:B,0)),"")</f>
        <v>KG</v>
      </c>
      <c r="M557" s="138">
        <v>0.42</v>
      </c>
      <c r="N557" s="139">
        <f>IFERROR(INDEX([239]MATERIALES!P:P,MATCH(B557,[239]MATERIALES!B:B,0)),"")</f>
        <v>7850</v>
      </c>
      <c r="O557" s="140"/>
      <c r="P557" s="118">
        <f t="shared" ref="P557:P566" si="20">IFERROR(ROUND(N557*M557,2),"")</f>
        <v>3297</v>
      </c>
      <c r="Q557" s="119"/>
      <c r="R557" s="4"/>
    </row>
    <row r="558" spans="1:18">
      <c r="A558" s="1">
        <f t="shared" si="19"/>
        <v>0</v>
      </c>
      <c r="B558" s="2"/>
      <c r="C558" s="8"/>
      <c r="D558" s="109" t="str">
        <f>IFERROR(INDEX([239]MATERIALES!C:C,MATCH(B558,[239]MATERIALES!B:B,0)),"")</f>
        <v/>
      </c>
      <c r="E558" s="110"/>
      <c r="F558" s="110"/>
      <c r="G558" s="110"/>
      <c r="H558" s="110"/>
      <c r="I558" s="110"/>
      <c r="J558" s="110"/>
      <c r="K558" s="111"/>
      <c r="L558" s="137" t="str">
        <f>IFERROR(INDEX([239]MATERIALES!D:D,MATCH(B558,[239]MATERIALES!B:B,0)),"")</f>
        <v/>
      </c>
      <c r="M558" s="138"/>
      <c r="N558" s="139" t="str">
        <f>IFERROR(INDEX([239]MATERIALES!P:P,MATCH(B558,[239]MATERIALES!B:B,0)),"")</f>
        <v/>
      </c>
      <c r="O558" s="140"/>
      <c r="P558" s="118" t="str">
        <f t="shared" si="20"/>
        <v/>
      </c>
      <c r="Q558" s="119"/>
      <c r="R558" s="4"/>
    </row>
    <row r="559" spans="1:18">
      <c r="A559" s="1">
        <f t="shared" si="19"/>
        <v>0</v>
      </c>
      <c r="B559" s="2"/>
      <c r="C559" s="8"/>
      <c r="D559" s="109" t="str">
        <f>IFERROR(INDEX([239]MATERIALES!C:C,MATCH(B559,[239]MATERIALES!B:B,0)),"")</f>
        <v/>
      </c>
      <c r="E559" s="110"/>
      <c r="F559" s="110"/>
      <c r="G559" s="110"/>
      <c r="H559" s="110"/>
      <c r="I559" s="110"/>
      <c r="J559" s="110"/>
      <c r="K559" s="111"/>
      <c r="L559" s="137" t="str">
        <f>IFERROR(INDEX([239]MATERIALES!D:D,MATCH(B559,[239]MATERIALES!B:B,0)),"")</f>
        <v/>
      </c>
      <c r="M559" s="138"/>
      <c r="N559" s="139" t="str">
        <f>IFERROR(INDEX([239]MATERIALES!P:P,MATCH(B559,[239]MATERIALES!B:B,0)),"")</f>
        <v/>
      </c>
      <c r="O559" s="140"/>
      <c r="P559" s="118" t="str">
        <f t="shared" si="20"/>
        <v/>
      </c>
      <c r="Q559" s="119"/>
      <c r="R559" s="4"/>
    </row>
    <row r="560" spans="1:18">
      <c r="A560" s="1">
        <f t="shared" si="19"/>
        <v>0</v>
      </c>
      <c r="B560" s="2"/>
      <c r="C560" s="8"/>
      <c r="D560" s="109" t="str">
        <f>IFERROR(INDEX([239]MATERIALES!C:C,MATCH(B560,[239]MATERIALES!B:B,0)),"")</f>
        <v/>
      </c>
      <c r="E560" s="110"/>
      <c r="F560" s="110"/>
      <c r="G560" s="110"/>
      <c r="H560" s="110"/>
      <c r="I560" s="110"/>
      <c r="J560" s="110"/>
      <c r="K560" s="111"/>
      <c r="L560" s="137" t="str">
        <f>IFERROR(INDEX([239]MATERIALES!D:D,MATCH(B560,[239]MATERIALES!B:B,0)),"")</f>
        <v/>
      </c>
      <c r="M560" s="138"/>
      <c r="N560" s="139" t="str">
        <f>IFERROR(INDEX([239]MATERIALES!P:P,MATCH(B560,[239]MATERIALES!B:B,0)),"")</f>
        <v/>
      </c>
      <c r="O560" s="140"/>
      <c r="P560" s="118" t="str">
        <f t="shared" si="20"/>
        <v/>
      </c>
      <c r="Q560" s="119"/>
      <c r="R560" s="4"/>
    </row>
    <row r="561" spans="1:18">
      <c r="A561" s="1">
        <f t="shared" si="19"/>
        <v>0</v>
      </c>
      <c r="B561" s="2"/>
      <c r="C561" s="8"/>
      <c r="D561" s="109" t="str">
        <f>IFERROR(INDEX([239]MATERIALES!C:C,MATCH(B561,[239]MATERIALES!B:B,0)),"")</f>
        <v/>
      </c>
      <c r="E561" s="110"/>
      <c r="F561" s="110"/>
      <c r="G561" s="110"/>
      <c r="H561" s="110"/>
      <c r="I561" s="110"/>
      <c r="J561" s="110"/>
      <c r="K561" s="111"/>
      <c r="L561" s="137" t="str">
        <f>IFERROR(INDEX([239]MATERIALES!D:D,MATCH(B561,[239]MATERIALES!B:B,0)),"")</f>
        <v/>
      </c>
      <c r="M561" s="138"/>
      <c r="N561" s="139" t="str">
        <f>IFERROR(INDEX([239]MATERIALES!P:P,MATCH(B561,[239]MATERIALES!B:B,0)),"")</f>
        <v/>
      </c>
      <c r="O561" s="140"/>
      <c r="P561" s="118" t="str">
        <f t="shared" si="20"/>
        <v/>
      </c>
      <c r="Q561" s="119"/>
      <c r="R561" s="4"/>
    </row>
    <row r="562" spans="1:18">
      <c r="A562" s="1">
        <f t="shared" si="19"/>
        <v>0</v>
      </c>
      <c r="B562" s="2"/>
      <c r="C562" s="8"/>
      <c r="D562" s="109" t="str">
        <f>IFERROR(INDEX([239]MATERIALES!C:C,MATCH(B562,[239]MATERIALES!B:B,0)),"")</f>
        <v/>
      </c>
      <c r="E562" s="110"/>
      <c r="F562" s="110"/>
      <c r="G562" s="110"/>
      <c r="H562" s="110"/>
      <c r="I562" s="110"/>
      <c r="J562" s="110"/>
      <c r="K562" s="111"/>
      <c r="L562" s="137" t="str">
        <f>IFERROR(INDEX([239]MATERIALES!D:D,MATCH(B562,[239]MATERIALES!B:B,0)),"")</f>
        <v/>
      </c>
      <c r="M562" s="138"/>
      <c r="N562" s="139" t="str">
        <f>IFERROR(INDEX([239]MATERIALES!P:P,MATCH(B562,[239]MATERIALES!B:B,0)),"")</f>
        <v/>
      </c>
      <c r="O562" s="140"/>
      <c r="P562" s="118" t="str">
        <f t="shared" si="20"/>
        <v/>
      </c>
      <c r="Q562" s="119"/>
      <c r="R562" s="4"/>
    </row>
    <row r="563" spans="1:18">
      <c r="A563" s="1">
        <f t="shared" si="19"/>
        <v>0</v>
      </c>
      <c r="B563" s="2"/>
      <c r="C563" s="8"/>
      <c r="D563" s="109" t="str">
        <f>IFERROR(INDEX([239]MATERIALES!C:C,MATCH(B563,[239]MATERIALES!B:B,0)),"")</f>
        <v/>
      </c>
      <c r="E563" s="110"/>
      <c r="F563" s="110"/>
      <c r="G563" s="110"/>
      <c r="H563" s="110"/>
      <c r="I563" s="110"/>
      <c r="J563" s="110"/>
      <c r="K563" s="111"/>
      <c r="L563" s="137" t="str">
        <f>IFERROR(INDEX([239]MATERIALES!D:D,MATCH(B563,[239]MATERIALES!B:B,0)),"")</f>
        <v/>
      </c>
      <c r="M563" s="138"/>
      <c r="N563" s="139" t="str">
        <f>IFERROR(INDEX([239]MATERIALES!P:P,MATCH(B563,[239]MATERIALES!B:B,0)),"")</f>
        <v/>
      </c>
      <c r="O563" s="140"/>
      <c r="P563" s="118" t="str">
        <f t="shared" si="20"/>
        <v/>
      </c>
      <c r="Q563" s="119"/>
      <c r="R563" s="4"/>
    </row>
    <row r="564" spans="1:18">
      <c r="A564" s="1">
        <f t="shared" si="19"/>
        <v>0</v>
      </c>
      <c r="B564" s="2"/>
      <c r="C564" s="8"/>
      <c r="D564" s="109" t="str">
        <f>IFERROR(INDEX([239]MATERIALES!C:C,MATCH(B564,[239]MATERIALES!B:B,0)),"")</f>
        <v/>
      </c>
      <c r="E564" s="110"/>
      <c r="F564" s="110"/>
      <c r="G564" s="110"/>
      <c r="H564" s="110"/>
      <c r="I564" s="110"/>
      <c r="J564" s="110"/>
      <c r="K564" s="111"/>
      <c r="L564" s="137" t="str">
        <f>IFERROR(INDEX([239]MATERIALES!D:D,MATCH(B564,[239]MATERIALES!B:B,0)),"")</f>
        <v/>
      </c>
      <c r="M564" s="138"/>
      <c r="N564" s="139" t="str">
        <f>IFERROR(INDEX([239]MATERIALES!P:P,MATCH(B564,[239]MATERIALES!B:B,0)),"")</f>
        <v/>
      </c>
      <c r="O564" s="140"/>
      <c r="P564" s="118" t="str">
        <f t="shared" si="20"/>
        <v/>
      </c>
      <c r="Q564" s="119"/>
      <c r="R564" s="4"/>
    </row>
    <row r="565" spans="1:18">
      <c r="A565" s="1">
        <f t="shared" si="19"/>
        <v>0</v>
      </c>
      <c r="B565" s="2"/>
      <c r="C565" s="8"/>
      <c r="D565" s="109" t="str">
        <f>IFERROR(INDEX([239]MATERIALES!C:C,MATCH(B565,[239]MATERIALES!B:B,0)),"")</f>
        <v/>
      </c>
      <c r="E565" s="110"/>
      <c r="F565" s="110"/>
      <c r="G565" s="110"/>
      <c r="H565" s="110"/>
      <c r="I565" s="110"/>
      <c r="J565" s="110"/>
      <c r="K565" s="111"/>
      <c r="L565" s="137" t="str">
        <f>IFERROR(INDEX([239]MATERIALES!D:D,MATCH(B565,[239]MATERIALES!B:B,0)),"")</f>
        <v/>
      </c>
      <c r="M565" s="138"/>
      <c r="N565" s="139" t="str">
        <f>IFERROR(INDEX([239]MATERIALES!P:P,MATCH(B565,[239]MATERIALES!B:B,0)),"")</f>
        <v/>
      </c>
      <c r="O565" s="140"/>
      <c r="P565" s="118" t="str">
        <f t="shared" si="20"/>
        <v/>
      </c>
      <c r="Q565" s="119"/>
      <c r="R565" s="4"/>
    </row>
    <row r="566" spans="1:18">
      <c r="A566" s="1">
        <f t="shared" si="19"/>
        <v>0</v>
      </c>
      <c r="B566" s="2"/>
      <c r="C566" s="8"/>
      <c r="D566" s="109" t="str">
        <f>IFERROR(INDEX([239]MATERIALES!C:C,MATCH(B566,[239]MATERIALES!B:B,0)),"")</f>
        <v/>
      </c>
      <c r="E566" s="110"/>
      <c r="F566" s="110"/>
      <c r="G566" s="110"/>
      <c r="H566" s="110"/>
      <c r="I566" s="110"/>
      <c r="J566" s="110"/>
      <c r="K566" s="111"/>
      <c r="L566" s="137" t="str">
        <f>IFERROR(INDEX([239]MATERIALES!D:D,MATCH(B566,[239]MATERIALES!B:B,0)),"")</f>
        <v/>
      </c>
      <c r="M566" s="138"/>
      <c r="N566" s="139" t="str">
        <f>IFERROR(INDEX([239]MATERIALES!P:P,MATCH(B566,[239]MATERIALES!B:B,0)),"")</f>
        <v/>
      </c>
      <c r="O566" s="140"/>
      <c r="P566" s="118" t="str">
        <f t="shared" si="20"/>
        <v/>
      </c>
      <c r="Q566" s="119"/>
      <c r="R566" s="4"/>
    </row>
    <row r="567" spans="1:18" ht="15.75" thickBot="1">
      <c r="A567" s="1">
        <f t="shared" si="19"/>
        <v>0</v>
      </c>
      <c r="B567" s="2"/>
      <c r="C567" s="8"/>
      <c r="D567" s="109" t="s">
        <v>28</v>
      </c>
      <c r="E567" s="110"/>
      <c r="F567" s="110"/>
      <c r="G567" s="110"/>
      <c r="H567" s="110"/>
      <c r="I567" s="110"/>
      <c r="J567" s="110"/>
      <c r="K567" s="111"/>
      <c r="L567" s="137" t="s">
        <v>29</v>
      </c>
      <c r="M567" s="138">
        <v>0.05</v>
      </c>
      <c r="N567" s="139">
        <f>SUM(P553:P566)</f>
        <v>1013086.14</v>
      </c>
      <c r="O567" s="140"/>
      <c r="P567" s="118">
        <f>ROUND(N567*M567,2)</f>
        <v>50654.31</v>
      </c>
      <c r="Q567" s="119"/>
      <c r="R567" s="4"/>
    </row>
    <row r="568" spans="1:18" ht="15.75" thickBot="1">
      <c r="A568" s="1">
        <f t="shared" si="19"/>
        <v>0</v>
      </c>
      <c r="B568" s="2"/>
      <c r="C568" s="8"/>
      <c r="D568" s="128" t="s">
        <v>24</v>
      </c>
      <c r="E568" s="129"/>
      <c r="F568" s="129"/>
      <c r="G568" s="129"/>
      <c r="H568" s="129"/>
      <c r="I568" s="129"/>
      <c r="J568" s="129"/>
      <c r="K568" s="129"/>
      <c r="L568" s="129"/>
      <c r="M568" s="129"/>
      <c r="N568" s="129"/>
      <c r="O568" s="130"/>
      <c r="P568" s="131">
        <f>SUM(P553:P567)</f>
        <v>1063740.45</v>
      </c>
      <c r="Q568" s="119"/>
      <c r="R568" s="4"/>
    </row>
    <row r="569" spans="1:18" ht="15.75" thickBot="1">
      <c r="A569" s="1">
        <f t="shared" si="19"/>
        <v>0</v>
      </c>
      <c r="B569" s="2"/>
      <c r="C569" s="8"/>
      <c r="D569" s="74" t="s">
        <v>30</v>
      </c>
      <c r="E569" s="37"/>
      <c r="F569" s="37"/>
      <c r="G569" s="37"/>
      <c r="H569" s="37"/>
      <c r="I569" s="37"/>
      <c r="J569" s="37"/>
      <c r="K569" s="37"/>
      <c r="L569" s="37"/>
      <c r="M569" s="37"/>
      <c r="N569" s="37"/>
      <c r="O569" s="37"/>
      <c r="P569" s="99"/>
      <c r="Q569" s="100"/>
      <c r="R569" s="4"/>
    </row>
    <row r="570" spans="1:18">
      <c r="A570" s="1">
        <f t="shared" si="19"/>
        <v>0</v>
      </c>
      <c r="B570" s="2"/>
      <c r="C570" s="8"/>
      <c r="D570" s="101" t="s">
        <v>31</v>
      </c>
      <c r="E570" s="133"/>
      <c r="F570" s="133"/>
      <c r="G570" s="133"/>
      <c r="H570" s="133"/>
      <c r="I570" s="133"/>
      <c r="J570" s="133"/>
      <c r="K570" s="106" t="s">
        <v>32</v>
      </c>
      <c r="L570" s="141" t="s">
        <v>33</v>
      </c>
      <c r="M570" s="106" t="s">
        <v>34</v>
      </c>
      <c r="N570" s="104" t="s">
        <v>20</v>
      </c>
      <c r="O570" s="105"/>
      <c r="P570" s="107" t="s">
        <v>22</v>
      </c>
      <c r="Q570" s="108"/>
      <c r="R570" s="4"/>
    </row>
    <row r="571" spans="1:18">
      <c r="A571" s="1">
        <f t="shared" si="19"/>
        <v>0</v>
      </c>
      <c r="B571" s="2"/>
      <c r="C571" s="8"/>
      <c r="D571" s="142" t="str">
        <f>IFERROR(INDEX([239]TRANSPORTES!B:B,MATCH(B571,[239]TRANSPORTES!A:A,0)),"")</f>
        <v/>
      </c>
      <c r="E571" s="143"/>
      <c r="F571" s="143"/>
      <c r="G571" s="143"/>
      <c r="H571" s="143"/>
      <c r="I571" s="143"/>
      <c r="J571" s="143"/>
      <c r="K571" s="220"/>
      <c r="L571" s="145"/>
      <c r="M571" s="146" t="str">
        <f>IFERROR(INDEX([239]TRANSPORTES!C:C,MATCH(B571,[239]TRANSPORTES!A:A,0)),"")</f>
        <v/>
      </c>
      <c r="N571" s="139" t="str">
        <f>IFERROR(INDEX([239]TRANSPORTES!D:D,MATCH(B571,[239]TRANSPORTES!A:A,0)),"")</f>
        <v/>
      </c>
      <c r="O571" s="147"/>
      <c r="P571" s="148" t="str">
        <f>IFERROR(ROUND(K571*N571*L571,2),"")</f>
        <v/>
      </c>
      <c r="Q571" s="119"/>
      <c r="R571" s="4"/>
    </row>
    <row r="572" spans="1:18">
      <c r="A572" s="1">
        <f t="shared" si="19"/>
        <v>0</v>
      </c>
      <c r="B572" s="2"/>
      <c r="C572" s="8"/>
      <c r="D572" s="142" t="str">
        <f>IFERROR(INDEX([239]TRANSPORTES!B:B,MATCH(B572,[239]TRANSPORTES!A:A,0)),"")</f>
        <v/>
      </c>
      <c r="E572" s="143"/>
      <c r="F572" s="143"/>
      <c r="G572" s="143"/>
      <c r="H572" s="143"/>
      <c r="I572" s="143"/>
      <c r="J572" s="143"/>
      <c r="K572" s="144"/>
      <c r="L572" s="145"/>
      <c r="M572" s="146" t="str">
        <f>IFERROR(INDEX([239]TRANSPORTES!C:C,MATCH(B572,[239]TRANSPORTES!A:A,0)),"")</f>
        <v/>
      </c>
      <c r="N572" s="139" t="str">
        <f>IFERROR(INDEX([239]TRANSPORTES!D:D,MATCH(B572,[239]TRANSPORTES!A:A,0)),"")</f>
        <v/>
      </c>
      <c r="O572" s="147"/>
      <c r="P572" s="148" t="str">
        <f>IFERROR(ROUND(K572*N572*L572,2),"")</f>
        <v/>
      </c>
      <c r="Q572" s="119"/>
      <c r="R572" s="4"/>
    </row>
    <row r="573" spans="1:18">
      <c r="A573" s="1">
        <f t="shared" si="19"/>
        <v>0</v>
      </c>
      <c r="B573" s="2"/>
      <c r="C573" s="8"/>
      <c r="D573" s="142" t="str">
        <f>IFERROR(INDEX([239]TRANSPORTES!B:B,MATCH(B573,[239]TRANSPORTES!A:A,0)),"")</f>
        <v/>
      </c>
      <c r="E573" s="143"/>
      <c r="F573" s="143"/>
      <c r="G573" s="143"/>
      <c r="H573" s="143"/>
      <c r="I573" s="143"/>
      <c r="J573" s="143"/>
      <c r="K573" s="144"/>
      <c r="L573" s="145"/>
      <c r="M573" s="146" t="str">
        <f>IFERROR(INDEX([239]TRANSPORTES!C:C,MATCH(B573,[239]TRANSPORTES!A:A,0)),"")</f>
        <v/>
      </c>
      <c r="N573" s="139" t="str">
        <f>IFERROR(INDEX([239]TRANSPORTES!D:D,MATCH(B573,[239]TRANSPORTES!A:A,0)),"")</f>
        <v/>
      </c>
      <c r="O573" s="147"/>
      <c r="P573" s="148" t="str">
        <f>IFERROR(ROUND(K573*N573*L573,2),"")</f>
        <v/>
      </c>
      <c r="Q573" s="119"/>
      <c r="R573" s="4"/>
    </row>
    <row r="574" spans="1:18" ht="15.75" thickBot="1">
      <c r="A574" s="1">
        <f t="shared" si="19"/>
        <v>0</v>
      </c>
      <c r="B574" s="2"/>
      <c r="C574" s="8"/>
      <c r="D574" s="142" t="str">
        <f>IFERROR(INDEX([239]TRANSPORTES!B:B,MATCH(B574,[239]TRANSPORTES!A:A,0)),"")</f>
        <v/>
      </c>
      <c r="E574" s="143"/>
      <c r="F574" s="143"/>
      <c r="G574" s="143"/>
      <c r="H574" s="143"/>
      <c r="I574" s="143"/>
      <c r="J574" s="143"/>
      <c r="K574" s="149"/>
      <c r="L574" s="150"/>
      <c r="M574" s="146" t="str">
        <f>IFERROR(INDEX([239]TRANSPORTES!C:C,MATCH(B574,[239]TRANSPORTES!A:A,0)),"")</f>
        <v/>
      </c>
      <c r="N574" s="139" t="str">
        <f>IFERROR(INDEX([239]TRANSPORTES!D:D,MATCH(B574,[239]TRANSPORTES!A:A,0)),"")</f>
        <v/>
      </c>
      <c r="O574" s="147"/>
      <c r="P574" s="148" t="str">
        <f>IFERROR(ROUND(K574*N574*L574,2),"")</f>
        <v/>
      </c>
      <c r="Q574" s="119"/>
      <c r="R574" s="4"/>
    </row>
    <row r="575" spans="1:18" ht="15.75" thickBot="1">
      <c r="A575" s="1">
        <f t="shared" si="19"/>
        <v>0</v>
      </c>
      <c r="B575" s="2"/>
      <c r="C575" s="8"/>
      <c r="D575" s="128" t="s">
        <v>24</v>
      </c>
      <c r="E575" s="129"/>
      <c r="F575" s="129"/>
      <c r="G575" s="129"/>
      <c r="H575" s="129"/>
      <c r="I575" s="129"/>
      <c r="J575" s="129"/>
      <c r="K575" s="129"/>
      <c r="L575" s="129"/>
      <c r="M575" s="129"/>
      <c r="N575" s="129"/>
      <c r="O575" s="130"/>
      <c r="P575" s="151">
        <f>SUM(P571:P574)</f>
        <v>0</v>
      </c>
      <c r="Q575" s="132"/>
      <c r="R575" s="4"/>
    </row>
    <row r="576" spans="1:18" ht="15.75" thickBot="1">
      <c r="A576" s="1">
        <f t="shared" si="19"/>
        <v>0</v>
      </c>
      <c r="B576" s="2"/>
      <c r="C576" s="8"/>
      <c r="D576" s="74" t="s">
        <v>36</v>
      </c>
      <c r="E576" s="37"/>
      <c r="F576" s="37"/>
      <c r="G576" s="37"/>
      <c r="H576" s="37"/>
      <c r="I576" s="37"/>
      <c r="J576" s="37"/>
      <c r="K576" s="37"/>
      <c r="L576" s="37"/>
      <c r="M576" s="37"/>
      <c r="N576" s="37"/>
      <c r="O576" s="37"/>
      <c r="P576" s="99"/>
      <c r="Q576" s="100"/>
      <c r="R576" s="4"/>
    </row>
    <row r="577" spans="1:18" ht="30">
      <c r="A577" s="1">
        <f t="shared" si="19"/>
        <v>0</v>
      </c>
      <c r="B577" s="2"/>
      <c r="C577" s="8"/>
      <c r="D577" s="101" t="s">
        <v>37</v>
      </c>
      <c r="E577" s="133"/>
      <c r="F577" s="133"/>
      <c r="G577" s="133"/>
      <c r="H577" s="133"/>
      <c r="I577" s="133"/>
      <c r="J577" s="133"/>
      <c r="K577" s="106" t="s">
        <v>38</v>
      </c>
      <c r="L577" s="152" t="s">
        <v>39</v>
      </c>
      <c r="M577" s="153" t="s">
        <v>40</v>
      </c>
      <c r="N577" s="104" t="s">
        <v>21</v>
      </c>
      <c r="O577" s="105"/>
      <c r="P577" s="154" t="s">
        <v>22</v>
      </c>
      <c r="Q577" s="155"/>
      <c r="R577" s="4"/>
    </row>
    <row r="578" spans="1:18">
      <c r="A578" s="1">
        <f t="shared" si="19"/>
        <v>0</v>
      </c>
      <c r="B578" s="2" t="s">
        <v>41</v>
      </c>
      <c r="C578" s="8"/>
      <c r="D578" s="109" t="str">
        <f>IFERROR(INDEX('[239]MANO DE OBRA'!B:B,MATCH(B578,'[239]MANO DE OBRA'!A:A,0)),"")</f>
        <v>OFICIAL</v>
      </c>
      <c r="E578" s="110"/>
      <c r="F578" s="110"/>
      <c r="G578" s="110"/>
      <c r="H578" s="110"/>
      <c r="I578" s="110"/>
      <c r="J578" s="111"/>
      <c r="K578" s="156">
        <f>IFERROR(INDEX('[239]MANO DE OBRA'!D:D,MATCH(B578,'[239]MANO DE OBRA'!A:A,0)),"")</f>
        <v>95930</v>
      </c>
      <c r="L578" s="157">
        <f>+IF(D578&lt;&gt;"",'[239]FACTOR PRESTACIONAL'!$E$21," ")</f>
        <v>1.95</v>
      </c>
      <c r="M578" s="158">
        <f>IFERROR(K578*L578," ")</f>
        <v>187063.5</v>
      </c>
      <c r="N578" s="159">
        <v>1</v>
      </c>
      <c r="O578" s="160"/>
      <c r="P578" s="161">
        <f>IFERROR(ROUND(M578/N578,2)," ")</f>
        <v>187063.5</v>
      </c>
      <c r="Q578" s="162"/>
      <c r="R578" s="4"/>
    </row>
    <row r="579" spans="1:18">
      <c r="A579" s="1">
        <f t="shared" si="19"/>
        <v>0</v>
      </c>
      <c r="B579" s="2" t="s">
        <v>42</v>
      </c>
      <c r="C579" s="8"/>
      <c r="D579" s="109" t="str">
        <f>IFERROR(INDEX('[239]MANO DE OBRA'!B:B,MATCH(B579,'[239]MANO DE OBRA'!A:A,0)),"")</f>
        <v>AYUDANTE (2)</v>
      </c>
      <c r="E579" s="110"/>
      <c r="F579" s="110"/>
      <c r="G579" s="110"/>
      <c r="H579" s="110"/>
      <c r="I579" s="110"/>
      <c r="J579" s="111"/>
      <c r="K579" s="156">
        <f>IFERROR(INDEX('[239]MANO DE OBRA'!D:D,MATCH(B579,'[239]MANO DE OBRA'!A:A,0)),"")</f>
        <v>142866</v>
      </c>
      <c r="L579" s="157">
        <f>+IF(D579&lt;&gt;"",'[239]FACTOR PRESTACIONAL'!$E$21," ")</f>
        <v>1.95</v>
      </c>
      <c r="M579" s="158">
        <f>IFERROR(K579*L579," ")</f>
        <v>278588.7</v>
      </c>
      <c r="N579" s="159">
        <v>1</v>
      </c>
      <c r="O579" s="160"/>
      <c r="P579" s="161">
        <f>IFERROR(ROUND(M579/N579,2)," ")</f>
        <v>278588.7</v>
      </c>
      <c r="Q579" s="162"/>
      <c r="R579" s="4"/>
    </row>
    <row r="580" spans="1:18">
      <c r="A580" s="1">
        <f t="shared" si="19"/>
        <v>0</v>
      </c>
      <c r="B580" s="2"/>
      <c r="C580" s="8"/>
      <c r="D580" s="109" t="str">
        <f>IFERROR(INDEX('[239]MANO DE OBRA'!B:B,MATCH(B580,'[239]MANO DE OBRA'!A:A,0)),"")</f>
        <v/>
      </c>
      <c r="E580" s="110"/>
      <c r="F580" s="110"/>
      <c r="G580" s="110"/>
      <c r="H580" s="110"/>
      <c r="I580" s="110"/>
      <c r="J580" s="111"/>
      <c r="K580" s="156" t="str">
        <f>IFERROR(INDEX('[239]MANO DE OBRA'!D:D,MATCH(B580,'[239]MANO DE OBRA'!A:A,0)),"")</f>
        <v/>
      </c>
      <c r="L580" s="157" t="str">
        <f>+IF(D580&lt;&gt;"",'[239]FACTOR PRESTACIONAL'!$E$21," ")</f>
        <v xml:space="preserve"> </v>
      </c>
      <c r="M580" s="158" t="str">
        <f>IFERROR(K580*L580," ")</f>
        <v xml:space="preserve"> </v>
      </c>
      <c r="N580" s="159"/>
      <c r="O580" s="160"/>
      <c r="P580" s="161" t="str">
        <f>IFERROR(ROUND(M580/N580,2)," ")</f>
        <v xml:space="preserve"> </v>
      </c>
      <c r="Q580" s="162"/>
      <c r="R580" s="4"/>
    </row>
    <row r="581" spans="1:18">
      <c r="A581" s="1">
        <f t="shared" si="19"/>
        <v>0</v>
      </c>
      <c r="B581" s="2"/>
      <c r="C581" s="8"/>
      <c r="D581" s="109" t="str">
        <f>IFERROR(INDEX('[239]MANO DE OBRA'!B:B,MATCH(B581,'[239]MANO DE OBRA'!A:A,0)),"")</f>
        <v/>
      </c>
      <c r="E581" s="110"/>
      <c r="F581" s="110"/>
      <c r="G581" s="110"/>
      <c r="H581" s="110"/>
      <c r="I581" s="110"/>
      <c r="J581" s="111"/>
      <c r="K581" s="156" t="str">
        <f>IFERROR(INDEX('[239]MANO DE OBRA'!D:D,MATCH(B581,'[239]MANO DE OBRA'!A:A,0)),"")</f>
        <v/>
      </c>
      <c r="L581" s="157" t="str">
        <f>+IF(D581&lt;&gt;"",'[239]FACTOR PRESTACIONAL'!$E$21," ")</f>
        <v xml:space="preserve"> </v>
      </c>
      <c r="M581" s="158" t="str">
        <f>IFERROR(K581*L581," ")</f>
        <v xml:space="preserve"> </v>
      </c>
      <c r="N581" s="159"/>
      <c r="O581" s="160"/>
      <c r="P581" s="161" t="str">
        <f>IFERROR(ROUND(M581/N581,2)," ")</f>
        <v xml:space="preserve"> </v>
      </c>
      <c r="Q581" s="162"/>
      <c r="R581" s="4"/>
    </row>
    <row r="582" spans="1:18" ht="15.75" thickBot="1">
      <c r="A582" s="1">
        <f t="shared" si="19"/>
        <v>0</v>
      </c>
      <c r="B582" s="2"/>
      <c r="C582" s="8"/>
      <c r="D582" s="109" t="str">
        <f>IFERROR(INDEX('[239]MANO DE OBRA'!B:B,MATCH(B582,'[239]MANO DE OBRA'!A:A,0)),"")</f>
        <v/>
      </c>
      <c r="E582" s="110"/>
      <c r="F582" s="110"/>
      <c r="G582" s="110"/>
      <c r="H582" s="110"/>
      <c r="I582" s="110"/>
      <c r="J582" s="111"/>
      <c r="K582" s="156" t="str">
        <f>IFERROR(INDEX('[239]MANO DE OBRA'!D:D,MATCH(B582,'[239]MANO DE OBRA'!A:A,0)),"")</f>
        <v/>
      </c>
      <c r="L582" s="157" t="str">
        <f>+IF(D582&lt;&gt;"",'[239]FACTOR PRESTACIONAL'!$E$21," ")</f>
        <v xml:space="preserve"> </v>
      </c>
      <c r="M582" s="158" t="str">
        <f>IFERROR(K582*L582," ")</f>
        <v xml:space="preserve"> </v>
      </c>
      <c r="N582" s="159"/>
      <c r="O582" s="160"/>
      <c r="P582" s="161" t="str">
        <f>IFERROR(ROUND(M582/N582,2)," ")</f>
        <v xml:space="preserve"> </v>
      </c>
      <c r="Q582" s="119"/>
      <c r="R582" s="4"/>
    </row>
    <row r="583" spans="1:18" ht="15.75" thickBot="1">
      <c r="A583" s="1">
        <f t="shared" si="19"/>
        <v>0</v>
      </c>
      <c r="B583" s="2"/>
      <c r="C583" s="8"/>
      <c r="D583" s="128" t="s">
        <v>24</v>
      </c>
      <c r="E583" s="129"/>
      <c r="F583" s="129"/>
      <c r="G583" s="129"/>
      <c r="H583" s="129"/>
      <c r="I583" s="129"/>
      <c r="J583" s="129"/>
      <c r="K583" s="129"/>
      <c r="L583" s="129"/>
      <c r="M583" s="129"/>
      <c r="N583" s="129"/>
      <c r="O583" s="130"/>
      <c r="P583" s="131">
        <f>SUM(P578:P582)</f>
        <v>465652.2</v>
      </c>
      <c r="Q583" s="119"/>
      <c r="R583" s="4"/>
    </row>
    <row r="584" spans="1:18" ht="15.75" thickBot="1">
      <c r="A584" s="1">
        <f t="shared" si="19"/>
        <v>0</v>
      </c>
      <c r="B584" s="2"/>
      <c r="C584" s="8"/>
      <c r="D584" s="87"/>
      <c r="E584" s="20"/>
      <c r="F584" s="20"/>
      <c r="G584" s="20"/>
      <c r="H584" s="20"/>
      <c r="I584" s="20"/>
      <c r="J584" s="20"/>
      <c r="K584" s="20"/>
      <c r="L584" s="20"/>
      <c r="M584" s="20"/>
      <c r="N584" s="20"/>
      <c r="O584" s="20"/>
      <c r="P584" s="88"/>
      <c r="Q584" s="13"/>
      <c r="R584" s="4"/>
    </row>
    <row r="585" spans="1:18" ht="15.75" thickBot="1">
      <c r="A585" s="1"/>
      <c r="B585" s="2"/>
      <c r="C585" s="8"/>
      <c r="D585" s="163" t="s">
        <v>43</v>
      </c>
      <c r="E585" s="164"/>
      <c r="F585" s="164"/>
      <c r="G585" s="164"/>
      <c r="H585" s="164"/>
      <c r="I585" s="164"/>
      <c r="J585" s="164"/>
      <c r="K585" s="164"/>
      <c r="L585" s="164"/>
      <c r="M585" s="164"/>
      <c r="N585" s="164"/>
      <c r="O585" s="165"/>
      <c r="P585" s="166">
        <f>+P583+P575+P568+P550</f>
        <v>1587865.3699999999</v>
      </c>
      <c r="Q585" s="167"/>
      <c r="R585" s="168"/>
    </row>
    <row r="586" spans="1:18" ht="15.75" thickBot="1">
      <c r="A586" s="1"/>
      <c r="B586" s="2"/>
      <c r="C586" s="8"/>
      <c r="D586" s="169"/>
      <c r="E586" s="170"/>
      <c r="F586" s="170"/>
      <c r="G586" s="170"/>
      <c r="H586" s="170"/>
      <c r="I586" s="170"/>
      <c r="J586" s="170"/>
      <c r="K586" s="170"/>
      <c r="L586" s="170"/>
      <c r="M586" s="170"/>
      <c r="N586" s="170"/>
      <c r="O586" s="170"/>
      <c r="P586" s="171"/>
      <c r="Q586" s="100"/>
      <c r="R586" s="4"/>
    </row>
    <row r="587" spans="1:18">
      <c r="A587" s="1"/>
      <c r="B587" s="2"/>
      <c r="C587" s="8"/>
      <c r="D587" s="172" t="s">
        <v>73</v>
      </c>
      <c r="E587" s="173"/>
      <c r="F587" s="173"/>
      <c r="G587" s="173"/>
      <c r="H587" s="173"/>
      <c r="I587" s="173"/>
      <c r="J587" s="173"/>
      <c r="K587" s="141"/>
      <c r="L587" s="174"/>
      <c r="M587" s="153" t="s">
        <v>44</v>
      </c>
      <c r="N587" s="175" t="s">
        <v>45</v>
      </c>
      <c r="O587" s="176"/>
      <c r="P587" s="154"/>
      <c r="Q587" s="155"/>
      <c r="R587" s="4"/>
    </row>
    <row r="588" spans="1:18">
      <c r="A588" s="1"/>
      <c r="B588" s="2"/>
      <c r="C588" s="8"/>
      <c r="D588" s="109" t="s">
        <v>65</v>
      </c>
      <c r="E588" s="110"/>
      <c r="F588" s="110"/>
      <c r="G588" s="110"/>
      <c r="H588" s="110"/>
      <c r="I588" s="110"/>
      <c r="J588" s="110"/>
      <c r="K588" s="177"/>
      <c r="L588" s="178"/>
      <c r="M588" s="179">
        <f>+[239]INICIO!$F$10</f>
        <v>0.24</v>
      </c>
      <c r="N588" s="180">
        <f>ROUND(M588*P585,2)</f>
        <v>381087.69</v>
      </c>
      <c r="O588" s="181"/>
      <c r="P588" s="182"/>
      <c r="Q588" s="119"/>
      <c r="R588" s="4"/>
    </row>
    <row r="589" spans="1:18">
      <c r="A589" s="1"/>
      <c r="B589" s="2"/>
      <c r="C589" s="8"/>
      <c r="D589" s="183" t="s">
        <v>67</v>
      </c>
      <c r="E589" s="61"/>
      <c r="F589" s="61"/>
      <c r="G589" s="61"/>
      <c r="H589" s="61"/>
      <c r="I589" s="61"/>
      <c r="J589" s="61"/>
      <c r="K589" s="177"/>
      <c r="L589" s="178"/>
      <c r="M589" s="179">
        <f>+[239]INICIO!$F$11</f>
        <v>0.02</v>
      </c>
      <c r="N589" s="180">
        <f>ROUND(M589*P585,2)</f>
        <v>31757.31</v>
      </c>
      <c r="O589" s="181"/>
      <c r="P589" s="182"/>
      <c r="Q589" s="119"/>
      <c r="R589" s="4"/>
    </row>
    <row r="590" spans="1:18" ht="15.75" thickBot="1">
      <c r="A590" s="1"/>
      <c r="B590" s="2"/>
      <c r="C590" s="8"/>
      <c r="D590" s="77" t="s">
        <v>69</v>
      </c>
      <c r="E590" s="78"/>
      <c r="F590" s="78"/>
      <c r="G590" s="78"/>
      <c r="H590" s="78"/>
      <c r="I590" s="78"/>
      <c r="J590" s="78"/>
      <c r="K590" s="184"/>
      <c r="L590" s="185"/>
      <c r="M590" s="179">
        <f>+[239]INICIO!$F$12</f>
        <v>7.0000000000000007E-2</v>
      </c>
      <c r="N590" s="180">
        <f>ROUND(M590*P585,2)</f>
        <v>111150.58</v>
      </c>
      <c r="O590" s="181"/>
      <c r="P590" s="182"/>
      <c r="Q590" s="119"/>
      <c r="R590" s="4"/>
    </row>
    <row r="591" spans="1:18" ht="15.75" thickBot="1">
      <c r="A591" s="1"/>
      <c r="B591" s="2"/>
      <c r="C591" s="8"/>
      <c r="D591" s="128"/>
      <c r="E591" s="129"/>
      <c r="F591" s="129"/>
      <c r="G591" s="129"/>
      <c r="H591" s="129"/>
      <c r="I591" s="129"/>
      <c r="J591" s="129"/>
      <c r="K591" s="129"/>
      <c r="L591" s="129"/>
      <c r="M591" s="129"/>
      <c r="N591" s="129"/>
      <c r="O591" s="130"/>
      <c r="P591" s="131">
        <f>SUM(N588:N590)</f>
        <v>523995.58</v>
      </c>
      <c r="Q591" s="186"/>
      <c r="R591" s="4"/>
    </row>
    <row r="592" spans="1:18" ht="15.75" thickBot="1">
      <c r="A592" s="1"/>
      <c r="B592" s="2"/>
      <c r="C592" s="8"/>
      <c r="D592" s="87"/>
      <c r="E592" s="20"/>
      <c r="F592" s="20"/>
      <c r="G592" s="20"/>
      <c r="H592" s="20"/>
      <c r="I592" s="20"/>
      <c r="J592" s="20"/>
      <c r="K592" s="20"/>
      <c r="L592" s="20"/>
      <c r="M592" s="20"/>
      <c r="N592" s="20"/>
      <c r="O592" s="20"/>
      <c r="P592" s="88"/>
      <c r="Q592" s="13"/>
      <c r="R592" s="4"/>
    </row>
    <row r="593" spans="1:18" ht="15.75" thickBot="1">
      <c r="A593" s="1"/>
      <c r="B593" s="2"/>
      <c r="C593" s="8"/>
      <c r="D593" s="187" t="s">
        <v>46</v>
      </c>
      <c r="E593" s="188"/>
      <c r="F593" s="188"/>
      <c r="G593" s="188"/>
      <c r="H593" s="188"/>
      <c r="I593" s="188"/>
      <c r="J593" s="188"/>
      <c r="K593" s="188"/>
      <c r="L593" s="188"/>
      <c r="M593" s="188"/>
      <c r="N593" s="188"/>
      <c r="O593" s="189"/>
      <c r="P593" s="166">
        <f>ROUND(P591+P585,0)</f>
        <v>2111861</v>
      </c>
      <c r="Q593" s="186"/>
      <c r="R593" s="4"/>
    </row>
    <row r="594" spans="1:18">
      <c r="A594" s="1"/>
      <c r="B594" s="2"/>
      <c r="C594" s="8"/>
      <c r="D594" s="80"/>
      <c r="E594" s="81"/>
      <c r="F594" s="81"/>
      <c r="G594" s="81"/>
      <c r="H594" s="81"/>
      <c r="I594" s="81"/>
      <c r="J594" s="81"/>
      <c r="K594" s="81"/>
      <c r="L594" s="81"/>
      <c r="M594" s="81"/>
      <c r="N594" s="81"/>
      <c r="O594" s="81"/>
      <c r="P594" s="82"/>
      <c r="Q594" s="13"/>
      <c r="R594" s="4"/>
    </row>
    <row r="595" spans="1:18">
      <c r="A595" s="1"/>
      <c r="B595" s="2"/>
      <c r="C595" s="8"/>
      <c r="D595" s="87"/>
      <c r="E595" s="20"/>
      <c r="F595" s="20"/>
      <c r="G595" s="20"/>
      <c r="H595" s="20"/>
      <c r="I595" s="20"/>
      <c r="J595" s="20"/>
      <c r="K595" s="20"/>
      <c r="L595" s="20"/>
      <c r="M595" s="20"/>
      <c r="N595" s="20"/>
      <c r="O595" s="20"/>
      <c r="P595" s="88"/>
      <c r="Q595" s="13"/>
      <c r="R595" s="4"/>
    </row>
    <row r="596" spans="1:18">
      <c r="A596" s="1"/>
      <c r="B596" s="2"/>
      <c r="C596" s="8"/>
      <c r="D596" s="87"/>
      <c r="E596" s="20"/>
      <c r="F596" s="20"/>
      <c r="G596" s="20"/>
      <c r="H596" s="20"/>
      <c r="I596" s="20"/>
      <c r="J596" s="20"/>
      <c r="K596" s="20"/>
      <c r="L596" s="20"/>
      <c r="M596" s="20"/>
      <c r="N596" s="20"/>
      <c r="O596" s="20"/>
      <c r="P596" s="88"/>
      <c r="Q596" s="13"/>
      <c r="R596" s="4"/>
    </row>
    <row r="597" spans="1:18">
      <c r="A597" s="1"/>
      <c r="B597" s="2"/>
      <c r="C597" s="8"/>
      <c r="D597" s="87"/>
      <c r="E597" s="20"/>
      <c r="F597" s="20"/>
      <c r="G597" s="20"/>
      <c r="H597" s="20"/>
      <c r="I597" s="20"/>
      <c r="J597" s="20"/>
      <c r="K597" s="20"/>
      <c r="L597" s="20"/>
      <c r="M597" s="20"/>
      <c r="N597" s="20"/>
      <c r="O597" s="20"/>
      <c r="P597" s="88"/>
      <c r="Q597" s="13"/>
      <c r="R597" s="4"/>
    </row>
    <row r="598" spans="1:18">
      <c r="A598" s="1"/>
      <c r="B598" s="2"/>
      <c r="C598" s="8"/>
      <c r="D598" s="219" t="str">
        <f>+[239]INICIO!$B$13</f>
        <v>Proyectó:</v>
      </c>
      <c r="E598" s="49"/>
      <c r="F598" s="49"/>
      <c r="G598" s="49"/>
      <c r="H598" s="49"/>
      <c r="I598" s="49"/>
      <c r="J598" s="49"/>
      <c r="K598" s="20"/>
      <c r="L598" s="69" t="str">
        <f>+[239]INICIO!$B$16</f>
        <v>Aprobó:</v>
      </c>
      <c r="M598" s="49"/>
      <c r="N598" s="49"/>
      <c r="O598" s="49"/>
      <c r="P598" s="88"/>
      <c r="Q598" s="13"/>
      <c r="R598" s="4"/>
    </row>
    <row r="599" spans="1:18">
      <c r="A599" s="1"/>
      <c r="B599" s="2"/>
      <c r="C599" s="8"/>
      <c r="D599" s="87"/>
      <c r="E599" s="20" t="str">
        <f>+Hoja2!C$13</f>
        <v>HELMER EDUARDO BECERRA SANTANDER</v>
      </c>
      <c r="F599" s="20"/>
      <c r="G599" s="20"/>
      <c r="H599" s="20"/>
      <c r="I599" s="20"/>
      <c r="J599" s="20"/>
      <c r="K599" s="20"/>
      <c r="L599" s="20"/>
      <c r="M599" s="20" t="str">
        <f>+Hoja2!$C$16</f>
        <v>JESÚS IVÁN QUIÑONES RUEDA</v>
      </c>
      <c r="N599" s="20"/>
      <c r="O599" s="20"/>
      <c r="P599" s="88"/>
      <c r="Q599" s="190"/>
      <c r="R599" s="4"/>
    </row>
    <row r="600" spans="1:18">
      <c r="A600" s="1"/>
      <c r="B600" s="2"/>
      <c r="C600" s="8"/>
      <c r="D600" s="87"/>
      <c r="E600" s="20" t="str">
        <f>+Hoja2!C$14</f>
        <v>APOYO SEC. DE PLANEACIÓN Y OBRAS PÚBLICAS</v>
      </c>
      <c r="F600" s="20"/>
      <c r="G600" s="20"/>
      <c r="H600" s="20"/>
      <c r="I600" s="20"/>
      <c r="J600" s="20"/>
      <c r="K600" s="20"/>
      <c r="L600" s="20"/>
      <c r="M600" s="20" t="str">
        <f>+Hoja2!$C$17</f>
        <v>SECRETARIO DE PLANEACIÓN Y OBRAS PUBLICAS</v>
      </c>
      <c r="N600" s="20"/>
      <c r="O600" s="20"/>
      <c r="P600" s="88"/>
      <c r="Q600" s="190"/>
      <c r="R600" s="4"/>
    </row>
    <row r="601" spans="1:18">
      <c r="A601" s="1"/>
      <c r="B601" s="2"/>
      <c r="C601" s="8"/>
      <c r="D601" s="68"/>
      <c r="E601" s="20" t="str">
        <f>+Hoja2!C$15</f>
        <v>123769-0701671 NTS</v>
      </c>
      <c r="F601" s="191"/>
      <c r="G601" s="191"/>
      <c r="H601" s="191"/>
      <c r="I601" s="20"/>
      <c r="J601" s="191"/>
      <c r="K601" s="191"/>
      <c r="L601" s="191"/>
      <c r="M601" s="192" t="str">
        <f>+Hoja2!C$18</f>
        <v>A21382020-1090480860</v>
      </c>
      <c r="N601" s="191"/>
      <c r="O601" s="191"/>
      <c r="P601" s="193"/>
      <c r="Q601" s="194"/>
      <c r="R601" s="4"/>
    </row>
    <row r="602" spans="1:18" ht="16.5" thickBot="1">
      <c r="A602" s="1"/>
      <c r="B602" s="2"/>
      <c r="C602" s="8"/>
      <c r="D602" s="195"/>
      <c r="E602" s="150"/>
      <c r="F602" s="150"/>
      <c r="G602" s="150"/>
      <c r="H602" s="150"/>
      <c r="I602" s="150"/>
      <c r="J602" s="150"/>
      <c r="K602" s="150"/>
      <c r="L602" s="150"/>
      <c r="M602" s="150"/>
      <c r="N602" s="150"/>
      <c r="O602" s="150"/>
      <c r="P602" s="196"/>
      <c r="Q602" s="197"/>
      <c r="R602" s="4"/>
    </row>
    <row r="603" spans="1:18" ht="15.75" thickBot="1">
      <c r="A603" s="1"/>
      <c r="B603" s="2"/>
      <c r="C603" s="198"/>
      <c r="D603" s="199"/>
      <c r="E603" s="199"/>
      <c r="F603" s="199"/>
      <c r="G603" s="199"/>
      <c r="H603" s="199"/>
      <c r="I603" s="199"/>
      <c r="J603" s="199"/>
      <c r="K603" s="199"/>
      <c r="L603" s="199"/>
      <c r="M603" s="199"/>
      <c r="N603" s="199"/>
      <c r="O603" s="199"/>
      <c r="P603" s="199"/>
      <c r="Q603" s="200"/>
      <c r="R603" s="4"/>
    </row>
    <row r="604" spans="1:18" ht="15.75" thickTop="1">
      <c r="A604" s="1"/>
      <c r="B604" s="2"/>
      <c r="C604" s="5"/>
      <c r="D604" s="6"/>
      <c r="E604" s="6"/>
      <c r="F604" s="6"/>
      <c r="G604" s="6"/>
      <c r="H604" s="6"/>
      <c r="I604" s="6"/>
      <c r="J604" s="6"/>
      <c r="K604" s="6"/>
      <c r="L604" s="6"/>
      <c r="M604" s="6"/>
      <c r="N604" s="6"/>
      <c r="O604" s="6"/>
      <c r="P604" s="6"/>
      <c r="Q604" s="7"/>
      <c r="R604" s="4"/>
    </row>
    <row r="605" spans="1:18" ht="24">
      <c r="A605" s="1"/>
      <c r="B605" s="2"/>
      <c r="C605" s="8"/>
      <c r="D605" s="9" t="str">
        <f>+[239]INICIO!$C$8</f>
        <v>Análisis de Precios Unitarios- Secretaria de Planeación y Obras Publicas de Cubará, Boyacá.</v>
      </c>
      <c r="E605" s="10"/>
      <c r="F605" s="10"/>
      <c r="G605" s="10"/>
      <c r="H605" s="11"/>
      <c r="I605" s="12"/>
      <c r="J605" s="12"/>
      <c r="K605" s="12"/>
      <c r="L605" s="12"/>
      <c r="M605" s="12"/>
      <c r="N605" s="12"/>
      <c r="O605" s="12"/>
      <c r="P605" s="12"/>
      <c r="Q605" s="13"/>
      <c r="R605" s="4"/>
    </row>
    <row r="606" spans="1:18">
      <c r="A606" s="1"/>
      <c r="B606" s="2"/>
      <c r="C606" s="8"/>
      <c r="D606" s="14" t="s">
        <v>0</v>
      </c>
      <c r="E606" s="15" t="str">
        <f>+[239]INICIO!$C$7</f>
        <v>CCE-EICP-FM-14</v>
      </c>
      <c r="F606" s="16"/>
      <c r="G606" s="17" t="str">
        <f>+[239]INICIO!$B$6</f>
        <v>VERSIÓN</v>
      </c>
      <c r="H606" s="14">
        <f>+[239]INICIO!$C$6</f>
        <v>1</v>
      </c>
      <c r="I606" s="12"/>
      <c r="J606" s="12"/>
      <c r="K606" s="12"/>
      <c r="L606" s="12"/>
      <c r="M606" s="12"/>
      <c r="N606" s="12"/>
      <c r="O606" s="12"/>
      <c r="P606" s="12"/>
      <c r="Q606" s="13"/>
      <c r="R606" s="4"/>
    </row>
    <row r="607" spans="1:18">
      <c r="A607" s="1"/>
      <c r="B607" s="2"/>
      <c r="C607" s="8"/>
      <c r="D607" s="18"/>
      <c r="E607" s="19"/>
      <c r="F607" s="18"/>
      <c r="G607" s="19"/>
      <c r="H607" s="12"/>
      <c r="I607" s="12"/>
      <c r="J607" s="12"/>
      <c r="K607" s="12"/>
      <c r="L607" s="12"/>
      <c r="M607" s="12"/>
      <c r="N607" s="12"/>
      <c r="O607" s="12"/>
      <c r="P607" s="12"/>
      <c r="Q607" s="13"/>
      <c r="R607" s="4"/>
    </row>
    <row r="608" spans="1:18" ht="15.75" thickBot="1">
      <c r="A608" s="1"/>
      <c r="B608" s="2"/>
      <c r="C608" s="8"/>
      <c r="D608" s="20"/>
      <c r="E608" s="20"/>
      <c r="F608" s="20"/>
      <c r="G608" s="20"/>
      <c r="H608" s="20"/>
      <c r="I608" s="20"/>
      <c r="J608" s="20"/>
      <c r="K608" s="20"/>
      <c r="L608" s="20"/>
      <c r="M608" s="20"/>
      <c r="N608" s="20"/>
      <c r="O608" s="20"/>
      <c r="P608" s="20"/>
      <c r="Q608" s="13"/>
      <c r="R608" s="4"/>
    </row>
    <row r="609" spans="1:18">
      <c r="A609" s="1"/>
      <c r="B609" s="2"/>
      <c r="C609" s="8"/>
      <c r="D609" s="21"/>
      <c r="E609" s="22"/>
      <c r="F609" s="23"/>
      <c r="G609" s="23"/>
      <c r="H609" s="23"/>
      <c r="I609" s="23"/>
      <c r="J609" s="23"/>
      <c r="K609" s="23"/>
      <c r="L609" s="24"/>
      <c r="M609" s="25"/>
      <c r="N609" s="26"/>
      <c r="O609" s="26"/>
      <c r="P609" s="27"/>
      <c r="Q609" s="28"/>
      <c r="R609" s="4"/>
    </row>
    <row r="610" spans="1:18">
      <c r="A610" s="1"/>
      <c r="B610" s="2"/>
      <c r="C610" s="8"/>
      <c r="D610" s="29"/>
      <c r="E610" s="30" t="s">
        <v>1</v>
      </c>
      <c r="F610" s="31"/>
      <c r="G610" s="31"/>
      <c r="H610" s="31"/>
      <c r="I610" s="31"/>
      <c r="J610" s="31"/>
      <c r="K610" s="31"/>
      <c r="L610" s="32"/>
      <c r="M610" s="33"/>
      <c r="N610" s="34"/>
      <c r="O610" s="34"/>
      <c r="P610" s="35"/>
      <c r="Q610" s="28"/>
      <c r="R610" s="4"/>
    </row>
    <row r="611" spans="1:18">
      <c r="A611" s="1"/>
      <c r="B611" s="2"/>
      <c r="C611" s="8"/>
      <c r="D611" s="29"/>
      <c r="E611" s="36"/>
      <c r="F611" s="37"/>
      <c r="G611" s="37"/>
      <c r="H611" s="37"/>
      <c r="I611" s="37"/>
      <c r="J611" s="37"/>
      <c r="K611" s="37"/>
      <c r="L611" s="38"/>
      <c r="M611" s="39"/>
      <c r="N611" s="40"/>
      <c r="O611" s="41"/>
      <c r="P611" s="42"/>
      <c r="Q611" s="28"/>
      <c r="R611" s="4"/>
    </row>
    <row r="612" spans="1:18">
      <c r="A612" s="1"/>
      <c r="B612" s="2"/>
      <c r="C612" s="8"/>
      <c r="D612" s="29"/>
      <c r="E612" s="36"/>
      <c r="F612" s="37"/>
      <c r="G612" s="37"/>
      <c r="H612" s="37"/>
      <c r="I612" s="37"/>
      <c r="J612" s="37"/>
      <c r="K612" s="37"/>
      <c r="L612" s="38"/>
      <c r="M612" s="43" t="s">
        <v>2</v>
      </c>
      <c r="N612" s="44"/>
      <c r="O612" s="45">
        <f>+[239]INICIO!$C$6</f>
        <v>1</v>
      </c>
      <c r="P612" s="46"/>
      <c r="Q612" s="28"/>
      <c r="R612" s="4"/>
    </row>
    <row r="613" spans="1:18">
      <c r="A613" s="1"/>
      <c r="B613" s="2"/>
      <c r="C613" s="8"/>
      <c r="D613" s="29"/>
      <c r="E613" s="36"/>
      <c r="F613" s="37"/>
      <c r="G613" s="37"/>
      <c r="H613" s="37"/>
      <c r="I613" s="37"/>
      <c r="J613" s="37"/>
      <c r="K613" s="37"/>
      <c r="L613" s="38"/>
      <c r="M613" s="47"/>
      <c r="N613" s="48"/>
      <c r="O613" s="49"/>
      <c r="P613" s="50"/>
      <c r="Q613" s="51"/>
      <c r="R613" s="4"/>
    </row>
    <row r="614" spans="1:18">
      <c r="A614" s="1"/>
      <c r="B614" s="2"/>
      <c r="C614" s="8"/>
      <c r="D614" s="29"/>
      <c r="E614" s="52"/>
      <c r="F614" s="53"/>
      <c r="G614" s="53"/>
      <c r="H614" s="53"/>
      <c r="I614" s="53"/>
      <c r="J614" s="53"/>
      <c r="K614" s="53"/>
      <c r="L614" s="54"/>
      <c r="M614" s="39"/>
      <c r="N614" s="55"/>
      <c r="O614" s="55"/>
      <c r="P614" s="56"/>
      <c r="Q614" s="28"/>
      <c r="R614" s="4"/>
    </row>
    <row r="615" spans="1:18">
      <c r="A615" s="1"/>
      <c r="B615" s="2"/>
      <c r="C615" s="8"/>
      <c r="D615" s="29"/>
      <c r="E615" s="52"/>
      <c r="F615" s="53"/>
      <c r="G615" s="53"/>
      <c r="H615" s="53"/>
      <c r="I615" s="53"/>
      <c r="J615" s="53"/>
      <c r="K615" s="53"/>
      <c r="L615" s="54"/>
      <c r="M615" s="43" t="s">
        <v>3</v>
      </c>
      <c r="N615" s="43" t="str">
        <f>+VLOOKUP(D626,'PRESUPUESTO OFICIAL '!C:Q,9,FALSE)</f>
        <v>23</v>
      </c>
      <c r="O615" s="43" t="s">
        <v>4</v>
      </c>
      <c r="P615" s="508" t="str">
        <f>+'PRESUPUESTO OFICIAL '!$M$122</f>
        <v>62</v>
      </c>
      <c r="Q615" s="28"/>
      <c r="R615" s="4"/>
    </row>
    <row r="616" spans="1:18">
      <c r="A616" s="1"/>
      <c r="B616" s="2"/>
      <c r="C616" s="8"/>
      <c r="D616" s="29"/>
      <c r="E616" s="30" t="s">
        <v>5</v>
      </c>
      <c r="F616" s="31"/>
      <c r="G616" s="31"/>
      <c r="H616" s="31"/>
      <c r="I616" s="31"/>
      <c r="J616" s="31"/>
      <c r="K616" s="31"/>
      <c r="L616" s="32"/>
      <c r="M616" s="43"/>
      <c r="N616" s="57"/>
      <c r="O616" s="57"/>
      <c r="P616" s="58"/>
      <c r="Q616" s="28"/>
      <c r="R616" s="4"/>
    </row>
    <row r="617" spans="1:18" ht="15.75" thickBot="1">
      <c r="A617" s="1"/>
      <c r="B617" s="2"/>
      <c r="C617" s="8"/>
      <c r="D617" s="59"/>
      <c r="E617" s="60"/>
      <c r="F617" s="60"/>
      <c r="G617" s="60"/>
      <c r="H617" s="60"/>
      <c r="I617" s="60"/>
      <c r="J617" s="60"/>
      <c r="K617" s="60"/>
      <c r="L617" s="60"/>
      <c r="M617" s="60"/>
      <c r="N617" s="61"/>
      <c r="O617" s="61"/>
      <c r="P617" s="62"/>
      <c r="Q617" s="63"/>
      <c r="R617" s="4"/>
    </row>
    <row r="618" spans="1:18">
      <c r="A618" s="1"/>
      <c r="B618" s="2"/>
      <c r="C618" s="8"/>
      <c r="D618" s="64"/>
      <c r="E618" s="65"/>
      <c r="F618" s="65"/>
      <c r="G618" s="65"/>
      <c r="H618" s="65"/>
      <c r="I618" s="65"/>
      <c r="J618" s="65"/>
      <c r="K618" s="65"/>
      <c r="L618" s="65"/>
      <c r="M618" s="66" t="s">
        <v>6</v>
      </c>
      <c r="N618" s="66" t="s">
        <v>7</v>
      </c>
      <c r="O618" s="66" t="s">
        <v>8</v>
      </c>
      <c r="P618" s="67" t="s">
        <v>9</v>
      </c>
      <c r="Q618" s="51"/>
      <c r="R618" s="4"/>
    </row>
    <row r="619" spans="1:18">
      <c r="A619" s="1"/>
      <c r="B619" s="2"/>
      <c r="C619" s="8"/>
      <c r="D619" s="68"/>
      <c r="E619" s="69"/>
      <c r="F619" s="69"/>
      <c r="G619" s="69"/>
      <c r="H619" s="69"/>
      <c r="I619" s="69"/>
      <c r="J619" s="69"/>
      <c r="K619" s="69"/>
      <c r="L619" s="69"/>
      <c r="M619" s="70"/>
      <c r="N619" s="71">
        <f>+Hoja2!B$5</f>
        <v>5</v>
      </c>
      <c r="O619" s="71">
        <f>+Hoja2!C$5</f>
        <v>8</v>
      </c>
      <c r="P619" s="72">
        <f>+Hoja2!D$5</f>
        <v>2026</v>
      </c>
      <c r="Q619" s="73"/>
      <c r="R619" s="4"/>
    </row>
    <row r="620" spans="1:18">
      <c r="A620" s="1"/>
      <c r="B620" s="2"/>
      <c r="C620" s="8"/>
      <c r="D620" s="74"/>
      <c r="E620" s="37"/>
      <c r="F620" s="37"/>
      <c r="G620" s="37"/>
      <c r="H620" s="69"/>
      <c r="I620" s="69"/>
      <c r="J620" s="69"/>
      <c r="K620" s="20"/>
      <c r="L620" s="69"/>
      <c r="M620" s="75"/>
      <c r="N620" s="20"/>
      <c r="O620" s="20"/>
      <c r="P620" s="76"/>
      <c r="Q620" s="73"/>
      <c r="R620" s="4"/>
    </row>
    <row r="621" spans="1:18" ht="15.75" thickBot="1">
      <c r="A621" s="1"/>
      <c r="B621" s="2"/>
      <c r="C621" s="8"/>
      <c r="D621" s="77"/>
      <c r="E621" s="78"/>
      <c r="F621" s="78"/>
      <c r="G621" s="78"/>
      <c r="H621" s="78"/>
      <c r="I621" s="78"/>
      <c r="J621" s="78"/>
      <c r="K621" s="78"/>
      <c r="L621" s="78"/>
      <c r="M621" s="78"/>
      <c r="N621" s="78"/>
      <c r="O621" s="78"/>
      <c r="P621" s="79"/>
      <c r="Q621" s="13"/>
      <c r="R621" s="4"/>
    </row>
    <row r="622" spans="1:18" ht="15.75" thickBot="1">
      <c r="A622" s="1"/>
      <c r="B622" s="2"/>
      <c r="C622" s="8"/>
      <c r="D622" s="80"/>
      <c r="E622" s="81"/>
      <c r="F622" s="81"/>
      <c r="G622" s="81"/>
      <c r="H622" s="81"/>
      <c r="I622" s="81"/>
      <c r="J622" s="20"/>
      <c r="K622" s="20"/>
      <c r="L622" s="81"/>
      <c r="M622" s="81"/>
      <c r="N622" s="81"/>
      <c r="O622" s="81"/>
      <c r="P622" s="82"/>
      <c r="Q622" s="13"/>
      <c r="R622" s="4"/>
    </row>
    <row r="623" spans="1:18">
      <c r="A623" s="1"/>
      <c r="B623" s="2"/>
      <c r="C623" s="8"/>
      <c r="D623" s="83" t="s">
        <v>10</v>
      </c>
      <c r="E623" s="84"/>
      <c r="F623" s="84"/>
      <c r="G623" s="84"/>
      <c r="H623" s="84"/>
      <c r="I623" s="84"/>
      <c r="J623" s="84"/>
      <c r="K623" s="84"/>
      <c r="L623" s="84"/>
      <c r="M623" s="84"/>
      <c r="N623" s="84"/>
      <c r="O623" s="84"/>
      <c r="P623" s="85"/>
      <c r="Q623" s="86"/>
      <c r="R623" s="4"/>
    </row>
    <row r="624" spans="1:18" ht="15.75" thickBot="1">
      <c r="A624" s="1"/>
      <c r="B624" s="2"/>
      <c r="C624" s="8"/>
      <c r="D624" s="87"/>
      <c r="E624" s="20"/>
      <c r="F624" s="20"/>
      <c r="G624" s="20"/>
      <c r="H624" s="20"/>
      <c r="I624" s="20"/>
      <c r="J624" s="20"/>
      <c r="K624" s="20"/>
      <c r="L624" s="20"/>
      <c r="M624" s="20"/>
      <c r="N624" s="20"/>
      <c r="O624" s="20"/>
      <c r="P624" s="88"/>
      <c r="Q624" s="13"/>
      <c r="R624" s="4"/>
    </row>
    <row r="625" spans="1:18">
      <c r="A625" s="1" t="s">
        <v>11</v>
      </c>
      <c r="B625" s="2" t="s">
        <v>12</v>
      </c>
      <c r="C625" s="8"/>
      <c r="D625" s="89" t="s">
        <v>13</v>
      </c>
      <c r="E625" s="90" t="s">
        <v>14</v>
      </c>
      <c r="F625" s="90"/>
      <c r="G625" s="90"/>
      <c r="H625" s="90"/>
      <c r="I625" s="90"/>
      <c r="J625" s="90"/>
      <c r="K625" s="90"/>
      <c r="L625" s="90"/>
      <c r="M625" s="90"/>
      <c r="N625" s="91" t="s">
        <v>15</v>
      </c>
      <c r="O625" s="91"/>
      <c r="P625" s="92" t="s">
        <v>16</v>
      </c>
      <c r="Q625" s="93"/>
      <c r="R625" s="4"/>
    </row>
    <row r="626" spans="1:18" ht="15.75" thickBot="1">
      <c r="A626" s="1"/>
      <c r="B626" s="2"/>
      <c r="C626" s="8"/>
      <c r="D626" s="349">
        <f>+'PRESUPUESTO OFICIAL '!C41</f>
        <v>3.03</v>
      </c>
      <c r="E626" s="94" t="str">
        <f>+VLOOKUP(D626,'PRESUPUESTO OFICIAL '!C:H,2,FALSE)</f>
        <v>VIGA DE AMARRE SOBRE MURO EN CONCRETO f'c = 3000 PSI (21MPa).</v>
      </c>
      <c r="F626" s="94"/>
      <c r="G626" s="94"/>
      <c r="H626" s="94"/>
      <c r="I626" s="94"/>
      <c r="J626" s="94"/>
      <c r="K626" s="94"/>
      <c r="L626" s="94"/>
      <c r="M626" s="94"/>
      <c r="N626" s="94" t="str">
        <f>+VLOOKUP(D626,'PRESUPUESTO OFICIAL '!C:H,3,FALSE)</f>
        <v>M3</v>
      </c>
      <c r="O626" s="95"/>
      <c r="P626" s="96">
        <f>+VLOOKUP(D626,'PRESUPUESTO OFICIAL '!C:H,4,FALSE)</f>
        <v>6.81</v>
      </c>
      <c r="Q626" s="97"/>
      <c r="R626" s="98">
        <f>+P678</f>
        <v>2159835</v>
      </c>
    </row>
    <row r="627" spans="1:18" ht="15.75" thickBot="1">
      <c r="A627" s="1"/>
      <c r="B627" s="2"/>
      <c r="C627" s="8"/>
      <c r="D627" s="74"/>
      <c r="E627" s="37"/>
      <c r="F627" s="37"/>
      <c r="G627" s="37"/>
      <c r="H627" s="37"/>
      <c r="I627" s="37"/>
      <c r="J627" s="37"/>
      <c r="K627" s="37"/>
      <c r="L627" s="37"/>
      <c r="M627" s="37"/>
      <c r="N627" s="37"/>
      <c r="O627" s="37"/>
      <c r="P627" s="99"/>
      <c r="Q627" s="100"/>
      <c r="R627" s="4"/>
    </row>
    <row r="628" spans="1:18">
      <c r="A628" s="1"/>
      <c r="B628" s="2"/>
      <c r="C628" s="8"/>
      <c r="D628" s="101" t="s">
        <v>14</v>
      </c>
      <c r="E628" s="102"/>
      <c r="F628" s="102"/>
      <c r="G628" s="102"/>
      <c r="H628" s="103"/>
      <c r="I628" s="104" t="s">
        <v>18</v>
      </c>
      <c r="J628" s="102"/>
      <c r="K628" s="104" t="s">
        <v>19</v>
      </c>
      <c r="L628" s="105"/>
      <c r="M628" s="106" t="s">
        <v>20</v>
      </c>
      <c r="N628" s="104" t="s">
        <v>21</v>
      </c>
      <c r="O628" s="105"/>
      <c r="P628" s="107" t="s">
        <v>22</v>
      </c>
      <c r="Q628" s="108"/>
      <c r="R628" s="4"/>
    </row>
    <row r="629" spans="1:18">
      <c r="A629" s="1" t="e">
        <f>[239]INDICE!#REF!</f>
        <v>#REF!</v>
      </c>
      <c r="B629" s="2" t="s">
        <v>23</v>
      </c>
      <c r="C629" s="8"/>
      <c r="D629" s="109" t="str">
        <f>IFERROR(INDEX([239]EQUIPOS!B:B,MATCH(B629,[239]EQUIPOS!A:A,0)),"")</f>
        <v>HERRAMIENTA MENOR (% M.O)</v>
      </c>
      <c r="E629" s="110"/>
      <c r="F629" s="110"/>
      <c r="G629" s="110"/>
      <c r="H629" s="111"/>
      <c r="I629" s="112"/>
      <c r="J629" s="111"/>
      <c r="K629" s="113" t="str">
        <f>IFERROR(INDEX([239]EQUIPOS!C:C,MATCH(B629,[239]EQUIPOS!A:A,0)),"")</f>
        <v>%</v>
      </c>
      <c r="L629" s="114"/>
      <c r="M629" s="115">
        <f>IFERROR(IF(D629="HERRAMIENTA MENOR (% M.O)",P668,INDEX([239]EQUIPOS!D:D,MATCH(B629,[239]EQUIPOS!A:A,0))),"")</f>
        <v>582065.26</v>
      </c>
      <c r="N629" s="116">
        <v>10</v>
      </c>
      <c r="O629" s="117"/>
      <c r="P629" s="118">
        <f t="shared" ref="P629:P634" si="21">IFERROR(ROUND(IF(D629="HERRAMIENTA MENOR (% M.O)",N629%*M629,M629/N629),2)," ")</f>
        <v>58206.53</v>
      </c>
      <c r="Q629" s="119"/>
      <c r="R629" s="4"/>
    </row>
    <row r="630" spans="1:18">
      <c r="A630" s="1">
        <f>+$A$2858</f>
        <v>0</v>
      </c>
      <c r="B630" s="2" t="s">
        <v>271</v>
      </c>
      <c r="C630" s="8"/>
      <c r="D630" s="109" t="str">
        <f>IFERROR(INDEX([239]EQUIPOS!B:B,MATCH(B630,[239]EQUIPOS!A:A,0)),"")</f>
        <v>VIBRADOR PORTÁTIL PARA CONCRETO</v>
      </c>
      <c r="E630" s="110"/>
      <c r="F630" s="110"/>
      <c r="G630" s="110"/>
      <c r="H630" s="111"/>
      <c r="I630" s="112"/>
      <c r="J630" s="111"/>
      <c r="K630" s="113" t="str">
        <f>IFERROR(INDEX([239]EQUIPOS!C:C,MATCH(B630,[239]EQUIPOS!A:A,0)),"")</f>
        <v>DIA</v>
      </c>
      <c r="L630" s="114"/>
      <c r="M630" s="115">
        <f>IFERROR(IF(D630="HERRAMIENTA MENOR (% M.O)",P669,INDEX([239]EQUIPOS!D:D,MATCH(B630,[239]EQUIPOS!A:A,0))),"")</f>
        <v>89075</v>
      </c>
      <c r="N630" s="116">
        <v>25</v>
      </c>
      <c r="O630" s="117"/>
      <c r="P630" s="118">
        <f t="shared" si="21"/>
        <v>3563</v>
      </c>
      <c r="Q630" s="119"/>
      <c r="R630" s="4"/>
    </row>
    <row r="631" spans="1:18">
      <c r="A631" s="1">
        <f t="shared" ref="A631:A669" si="22">+A630</f>
        <v>0</v>
      </c>
      <c r="B631" s="2" t="s">
        <v>260</v>
      </c>
      <c r="C631" s="8"/>
      <c r="D631" s="109" t="str">
        <f>IFERROR(INDEX([239]EQUIPOS!B:B,MATCH(B631,[239]EQUIPOS!A:A,0)),"")</f>
        <v>SECCIÓN DE ANDAMIO (01)</v>
      </c>
      <c r="E631" s="110"/>
      <c r="F631" s="110"/>
      <c r="G631" s="110"/>
      <c r="H631" s="111"/>
      <c r="I631" s="120"/>
      <c r="J631" s="121"/>
      <c r="K631" s="113" t="str">
        <f>IFERROR(INDEX([239]EQUIPOS!C:C,MATCH(B631,[239]EQUIPOS!A:A,0)),"")</f>
        <v>DIA</v>
      </c>
      <c r="L631" s="114"/>
      <c r="M631" s="115">
        <f>IFERROR(IF(D631="HERRAMIENTA MENOR (% M.O)",P670,INDEX([239]EQUIPOS!D:D,MATCH(B631,[239]EQUIPOS!A:A,0))),"")</f>
        <v>3000</v>
      </c>
      <c r="N631" s="116">
        <v>20</v>
      </c>
      <c r="O631" s="117"/>
      <c r="P631" s="118">
        <f t="shared" si="21"/>
        <v>150</v>
      </c>
      <c r="Q631" s="119"/>
      <c r="R631" s="4"/>
    </row>
    <row r="632" spans="1:18">
      <c r="A632" s="1">
        <f t="shared" si="22"/>
        <v>0</v>
      </c>
      <c r="B632" s="2"/>
      <c r="C632" s="8"/>
      <c r="D632" s="109" t="str">
        <f>IFERROR(INDEX([239]EQUIPOS!B:B,MATCH(B632,[239]EQUIPOS!A:A,0)),"")</f>
        <v/>
      </c>
      <c r="E632" s="110"/>
      <c r="F632" s="110"/>
      <c r="G632" s="110"/>
      <c r="H632" s="111"/>
      <c r="I632" s="120"/>
      <c r="J632" s="121"/>
      <c r="K632" s="113" t="str">
        <f>IFERROR(INDEX([239]EQUIPOS!C:C,MATCH(B632,[239]EQUIPOS!A:A,0)),"")</f>
        <v/>
      </c>
      <c r="L632" s="114"/>
      <c r="M632" s="115" t="str">
        <f>IFERROR(IF(D632="HERRAMIENTA MENOR (% M.O)",P671,INDEX([239]EQUIPOS!D:D,MATCH(B632,[239]EQUIPOS!A:A,0))),"")</f>
        <v/>
      </c>
      <c r="N632" s="116"/>
      <c r="O632" s="117"/>
      <c r="P632" s="118" t="str">
        <f t="shared" si="21"/>
        <v xml:space="preserve"> </v>
      </c>
      <c r="Q632" s="119"/>
      <c r="R632" s="4"/>
    </row>
    <row r="633" spans="1:18">
      <c r="A633" s="1">
        <f t="shared" si="22"/>
        <v>0</v>
      </c>
      <c r="B633" s="2"/>
      <c r="C633" s="8"/>
      <c r="D633" s="109" t="str">
        <f>IFERROR(INDEX([239]EQUIPOS!B:B,MATCH(B633,[239]EQUIPOS!A:A,0)),"")</f>
        <v/>
      </c>
      <c r="E633" s="110"/>
      <c r="F633" s="110"/>
      <c r="G633" s="110"/>
      <c r="H633" s="111"/>
      <c r="I633" s="112"/>
      <c r="J633" s="111"/>
      <c r="K633" s="113" t="str">
        <f>IFERROR(INDEX([239]EQUIPOS!C:C,MATCH(B633,[239]EQUIPOS!A:A,0)),"")</f>
        <v/>
      </c>
      <c r="L633" s="114"/>
      <c r="M633" s="115" t="str">
        <f>IFERROR(IF(D633="HERRAMIENTA MENOR (% M.O)",P672,INDEX([239]EQUIPOS!D:D,MATCH(B633,[239]EQUIPOS!A:A,0))),"")</f>
        <v/>
      </c>
      <c r="N633" s="116"/>
      <c r="O633" s="117"/>
      <c r="P633" s="118" t="str">
        <f t="shared" si="21"/>
        <v xml:space="preserve"> </v>
      </c>
      <c r="Q633" s="119"/>
      <c r="R633" s="4"/>
    </row>
    <row r="634" spans="1:18" ht="15.75" thickBot="1">
      <c r="A634" s="1">
        <f t="shared" si="22"/>
        <v>0</v>
      </c>
      <c r="B634" s="2"/>
      <c r="C634" s="8"/>
      <c r="D634" s="109" t="str">
        <f>IFERROR(INDEX([239]EQUIPOS!B:B,MATCH(B634,[239]EQUIPOS!A:A,0)),"")</f>
        <v/>
      </c>
      <c r="E634" s="78"/>
      <c r="F634" s="78"/>
      <c r="G634" s="78"/>
      <c r="H634" s="122"/>
      <c r="I634" s="123"/>
      <c r="J634" s="122"/>
      <c r="K634" s="113" t="str">
        <f>IFERROR(INDEX([239]EQUIPOS!C:C,MATCH(B634,[239]EQUIPOS!A:A,0)),"")</f>
        <v/>
      </c>
      <c r="L634" s="124"/>
      <c r="M634" s="115" t="str">
        <f>IFERROR(IF(D634="HERRAMIENTA MENOR (% M.O)",P673,INDEX([239]EQUIPOS!D:D,MATCH(B634,[239]EQUIPOS!A:A,0))),"")</f>
        <v/>
      </c>
      <c r="N634" s="125"/>
      <c r="O634" s="126"/>
      <c r="P634" s="127" t="str">
        <f t="shared" si="21"/>
        <v xml:space="preserve"> </v>
      </c>
      <c r="Q634" s="119"/>
      <c r="R634" s="4"/>
    </row>
    <row r="635" spans="1:18" ht="15.75" thickBot="1">
      <c r="A635" s="1">
        <f t="shared" si="22"/>
        <v>0</v>
      </c>
      <c r="B635" s="2"/>
      <c r="C635" s="8"/>
      <c r="D635" s="128" t="s">
        <v>24</v>
      </c>
      <c r="E635" s="129"/>
      <c r="F635" s="129"/>
      <c r="G635" s="129"/>
      <c r="H635" s="129"/>
      <c r="I635" s="129"/>
      <c r="J635" s="129"/>
      <c r="K635" s="129"/>
      <c r="L635" s="129"/>
      <c r="M635" s="129"/>
      <c r="N635" s="129"/>
      <c r="O635" s="130"/>
      <c r="P635" s="131">
        <f>SUM(P629:P634)</f>
        <v>61919.53</v>
      </c>
      <c r="Q635" s="132"/>
      <c r="R635" s="4"/>
    </row>
    <row r="636" spans="1:18" ht="15.75" thickBot="1">
      <c r="A636" s="1">
        <f t="shared" si="22"/>
        <v>0</v>
      </c>
      <c r="B636" s="2"/>
      <c r="C636" s="8"/>
      <c r="D636" s="74" t="s">
        <v>25</v>
      </c>
      <c r="E636" s="37"/>
      <c r="F636" s="37"/>
      <c r="G636" s="37"/>
      <c r="H636" s="37"/>
      <c r="I636" s="37"/>
      <c r="J636" s="37"/>
      <c r="K636" s="37"/>
      <c r="L636" s="37"/>
      <c r="M636" s="37"/>
      <c r="N636" s="37"/>
      <c r="O636" s="37"/>
      <c r="P636" s="99"/>
      <c r="Q636" s="100"/>
      <c r="R636" s="4"/>
    </row>
    <row r="637" spans="1:18">
      <c r="A637" s="1">
        <f t="shared" si="22"/>
        <v>0</v>
      </c>
      <c r="B637" s="2"/>
      <c r="C637" s="8"/>
      <c r="D637" s="101" t="s">
        <v>14</v>
      </c>
      <c r="E637" s="133"/>
      <c r="F637" s="133"/>
      <c r="G637" s="133"/>
      <c r="H637" s="133"/>
      <c r="I637" s="133"/>
      <c r="J637" s="133"/>
      <c r="K637" s="105"/>
      <c r="L637" s="134" t="s">
        <v>15</v>
      </c>
      <c r="M637" s="106" t="s">
        <v>16</v>
      </c>
      <c r="N637" s="104" t="s">
        <v>26</v>
      </c>
      <c r="O637" s="105"/>
      <c r="P637" s="107" t="s">
        <v>22</v>
      </c>
      <c r="Q637" s="108"/>
      <c r="R637" s="4"/>
    </row>
    <row r="638" spans="1:18">
      <c r="A638" s="1">
        <f t="shared" si="22"/>
        <v>0</v>
      </c>
      <c r="B638" s="2" t="s">
        <v>272</v>
      </c>
      <c r="C638" s="8"/>
      <c r="D638" s="109" t="str">
        <f>IFERROR(INDEX([239]MATERIALES!C:C,MATCH(B638,[239]MATERIALES!B:B,0)),"")</f>
        <v>CONCRETO DE 3000 PSI (1:2:3)</v>
      </c>
      <c r="E638" s="135"/>
      <c r="F638" s="135"/>
      <c r="G638" s="135"/>
      <c r="H638" s="135"/>
      <c r="I638" s="135"/>
      <c r="J638" s="135"/>
      <c r="K638" s="136"/>
      <c r="L638" s="137" t="str">
        <f>IFERROR(INDEX([239]MATERIALES!D:D,MATCH(B638,[239]MATERIALES!B:B,0)),"")</f>
        <v>M3</v>
      </c>
      <c r="M638" s="138">
        <v>1</v>
      </c>
      <c r="N638" s="139">
        <f>IFERROR(INDEX([239]MATERIALES!P:P,MATCH(B638,[239]MATERIALES!B:B,0)),"")</f>
        <v>765149.14</v>
      </c>
      <c r="O638" s="140"/>
      <c r="P638" s="118">
        <f>IFERROR(ROUND(N638*M638,2),"")</f>
        <v>765149.14</v>
      </c>
      <c r="Q638" s="119"/>
      <c r="R638" s="4"/>
    </row>
    <row r="639" spans="1:18">
      <c r="A639" s="1">
        <f t="shared" si="22"/>
        <v>0</v>
      </c>
      <c r="B639" s="2" t="s">
        <v>273</v>
      </c>
      <c r="C639" s="8"/>
      <c r="D639" s="109" t="str">
        <f>IFERROR(INDEX([239]MATERIALES!C:C,MATCH(B639,[239]MATERIALES!B:B,0)),"")</f>
        <v>TABLA BURRA ORDINARIA 10" x 1" x 3m</v>
      </c>
      <c r="E639" s="135"/>
      <c r="F639" s="135"/>
      <c r="G639" s="135"/>
      <c r="H639" s="135"/>
      <c r="I639" s="135"/>
      <c r="J639" s="135"/>
      <c r="K639" s="136"/>
      <c r="L639" s="137" t="str">
        <f>IFERROR(INDEX([239]MATERIALES!D:D,MATCH(B639,[239]MATERIALES!B:B,0)),"")</f>
        <v>UND</v>
      </c>
      <c r="M639" s="138">
        <v>6</v>
      </c>
      <c r="N639" s="139">
        <f>IFERROR(INDEX([239]MATERIALES!P:P,MATCH(B639,[239]MATERIALES!B:B,0)),"")</f>
        <v>22000</v>
      </c>
      <c r="O639" s="140"/>
      <c r="P639" s="118">
        <f>IFERROR(ROUND(N639*M639,2),"")</f>
        <v>132000</v>
      </c>
      <c r="Q639" s="119"/>
      <c r="R639" s="4"/>
    </row>
    <row r="640" spans="1:18">
      <c r="A640" s="1">
        <f t="shared" si="22"/>
        <v>0</v>
      </c>
      <c r="B640" s="2" t="s">
        <v>274</v>
      </c>
      <c r="C640" s="8"/>
      <c r="D640" s="109" t="str">
        <f>IFERROR(INDEX([239]MATERIALES!C:C,MATCH(B640,[239]MATERIALES!B:B,0)),"")</f>
        <v>LISTÓN DE MADERA 2" x 2" x 3 m</v>
      </c>
      <c r="E640" s="110"/>
      <c r="F640" s="110"/>
      <c r="G640" s="110"/>
      <c r="H640" s="110"/>
      <c r="I640" s="110"/>
      <c r="J640" s="110"/>
      <c r="K640" s="111"/>
      <c r="L640" s="137" t="str">
        <f>IFERROR(INDEX([239]MATERIALES!D:D,MATCH(B640,[239]MATERIALES!B:B,0)),"")</f>
        <v>UND</v>
      </c>
      <c r="M640" s="138">
        <v>2.67</v>
      </c>
      <c r="N640" s="139">
        <f>IFERROR(INDEX([239]MATERIALES!P:P,MATCH(B640,[239]MATERIALES!B:B,0)),"")</f>
        <v>9900</v>
      </c>
      <c r="O640" s="140"/>
      <c r="P640" s="118">
        <f>IFERROR(ROUND(N640*M640,2),"")</f>
        <v>26433</v>
      </c>
      <c r="Q640" s="119"/>
      <c r="R640" s="4"/>
    </row>
    <row r="641" spans="1:18">
      <c r="A641" s="1">
        <f t="shared" si="22"/>
        <v>0</v>
      </c>
      <c r="B641" s="2" t="s">
        <v>275</v>
      </c>
      <c r="C641" s="8"/>
      <c r="D641" s="109" t="str">
        <f>IFERROR(INDEX([239]MATERIALES!C:C,MATCH(B641,[239]MATERIALES!B:B,0)),"")</f>
        <v>PUNTILLA 2-1/2"</v>
      </c>
      <c r="E641" s="110"/>
      <c r="F641" s="110"/>
      <c r="G641" s="110"/>
      <c r="H641" s="110"/>
      <c r="I641" s="110"/>
      <c r="J641" s="110"/>
      <c r="K641" s="111"/>
      <c r="L641" s="137" t="str">
        <f>IFERROR(INDEX([239]MATERIALES!D:D,MATCH(B641,[239]MATERIALES!B:B,0)),"")</f>
        <v>LB</v>
      </c>
      <c r="M641" s="138">
        <v>0.4</v>
      </c>
      <c r="N641" s="139">
        <f>IFERROR(INDEX([239]MATERIALES!P:P,MATCH(B641,[239]MATERIALES!B:B,0)),"")</f>
        <v>6600</v>
      </c>
      <c r="O641" s="140"/>
      <c r="P641" s="118">
        <f>IFERROR(ROUND(N641*M641,2),"")</f>
        <v>2640</v>
      </c>
      <c r="Q641" s="119"/>
      <c r="R641" s="4"/>
    </row>
    <row r="642" spans="1:18">
      <c r="A642" s="1">
        <f t="shared" si="22"/>
        <v>0</v>
      </c>
      <c r="B642" s="2" t="s">
        <v>276</v>
      </c>
      <c r="C642" s="8"/>
      <c r="D642" s="109" t="str">
        <f>IFERROR(INDEX([239]MATERIALES!C:C,MATCH(B642,[239]MATERIALES!B:B,0)),"")</f>
        <v>ALAMBRE NEGRO # 18 (RECOCIDO)</v>
      </c>
      <c r="E642" s="110"/>
      <c r="F642" s="110"/>
      <c r="G642" s="110"/>
      <c r="H642" s="110"/>
      <c r="I642" s="110"/>
      <c r="J642" s="110"/>
      <c r="K642" s="111"/>
      <c r="L642" s="137" t="str">
        <f>IFERROR(INDEX([239]MATERIALES!D:D,MATCH(B642,[239]MATERIALES!B:B,0)),"")</f>
        <v>KG</v>
      </c>
      <c r="M642" s="138">
        <v>0.9</v>
      </c>
      <c r="N642" s="139">
        <f>IFERROR(INDEX([239]MATERIALES!P:P,MATCH(B642,[239]MATERIALES!B:B,0)),"")</f>
        <v>7850</v>
      </c>
      <c r="O642" s="140"/>
      <c r="P642" s="118">
        <f t="shared" ref="P642:P651" si="23">IFERROR(ROUND(N642*M642,2),"")</f>
        <v>7065</v>
      </c>
      <c r="Q642" s="119"/>
      <c r="R642" s="4"/>
    </row>
    <row r="643" spans="1:18">
      <c r="A643" s="1">
        <f t="shared" si="22"/>
        <v>0</v>
      </c>
      <c r="B643" s="2"/>
      <c r="C643" s="8"/>
      <c r="D643" s="109" t="str">
        <f>IFERROR(INDEX([239]MATERIALES!C:C,MATCH(B643,[239]MATERIALES!B:B,0)),"")</f>
        <v/>
      </c>
      <c r="E643" s="110"/>
      <c r="F643" s="110"/>
      <c r="G643" s="110"/>
      <c r="H643" s="110"/>
      <c r="I643" s="110"/>
      <c r="J643" s="110"/>
      <c r="K643" s="111"/>
      <c r="L643" s="137" t="str">
        <f>IFERROR(INDEX([239]MATERIALES!D:D,MATCH(B643,[239]MATERIALES!B:B,0)),"")</f>
        <v/>
      </c>
      <c r="M643" s="138"/>
      <c r="N643" s="139" t="str">
        <f>IFERROR(INDEX([239]MATERIALES!P:P,MATCH(B643,[239]MATERIALES!B:B,0)),"")</f>
        <v/>
      </c>
      <c r="O643" s="140"/>
      <c r="P643" s="118" t="str">
        <f t="shared" si="23"/>
        <v/>
      </c>
      <c r="Q643" s="119"/>
      <c r="R643" s="4"/>
    </row>
    <row r="644" spans="1:18">
      <c r="A644" s="1">
        <f t="shared" si="22"/>
        <v>0</v>
      </c>
      <c r="B644" s="2"/>
      <c r="C644" s="8"/>
      <c r="D644" s="109" t="str">
        <f>IFERROR(INDEX([239]MATERIALES!C:C,MATCH(B644,[239]MATERIALES!B:B,0)),"")</f>
        <v/>
      </c>
      <c r="E644" s="110"/>
      <c r="F644" s="110"/>
      <c r="G644" s="110"/>
      <c r="H644" s="110"/>
      <c r="I644" s="110"/>
      <c r="J644" s="110"/>
      <c r="K644" s="111"/>
      <c r="L644" s="137" t="str">
        <f>IFERROR(INDEX([239]MATERIALES!D:D,MATCH(B644,[239]MATERIALES!B:B,0)),"")</f>
        <v/>
      </c>
      <c r="M644" s="138"/>
      <c r="N644" s="139" t="str">
        <f>IFERROR(INDEX([239]MATERIALES!P:P,MATCH(B644,[239]MATERIALES!B:B,0)),"")</f>
        <v/>
      </c>
      <c r="O644" s="140"/>
      <c r="P644" s="118" t="str">
        <f t="shared" si="23"/>
        <v/>
      </c>
      <c r="Q644" s="119"/>
      <c r="R644" s="4"/>
    </row>
    <row r="645" spans="1:18">
      <c r="A645" s="1">
        <f t="shared" si="22"/>
        <v>0</v>
      </c>
      <c r="B645" s="2"/>
      <c r="C645" s="8"/>
      <c r="D645" s="109" t="str">
        <f>IFERROR(INDEX([239]MATERIALES!C:C,MATCH(B645,[239]MATERIALES!B:B,0)),"")</f>
        <v/>
      </c>
      <c r="E645" s="110"/>
      <c r="F645" s="110"/>
      <c r="G645" s="110"/>
      <c r="H645" s="110"/>
      <c r="I645" s="110"/>
      <c r="J645" s="110"/>
      <c r="K645" s="111"/>
      <c r="L645" s="137" t="str">
        <f>IFERROR(INDEX([239]MATERIALES!D:D,MATCH(B645,[239]MATERIALES!B:B,0)),"")</f>
        <v/>
      </c>
      <c r="M645" s="138"/>
      <c r="N645" s="139" t="str">
        <f>IFERROR(INDEX([239]MATERIALES!P:P,MATCH(B645,[239]MATERIALES!B:B,0)),"")</f>
        <v/>
      </c>
      <c r="O645" s="140"/>
      <c r="P645" s="118" t="str">
        <f t="shared" si="23"/>
        <v/>
      </c>
      <c r="Q645" s="119"/>
      <c r="R645" s="4"/>
    </row>
    <row r="646" spans="1:18">
      <c r="A646" s="1">
        <f t="shared" si="22"/>
        <v>0</v>
      </c>
      <c r="B646" s="2"/>
      <c r="C646" s="8"/>
      <c r="D646" s="109" t="str">
        <f>IFERROR(INDEX([239]MATERIALES!C:C,MATCH(B646,[239]MATERIALES!B:B,0)),"")</f>
        <v/>
      </c>
      <c r="E646" s="110"/>
      <c r="F646" s="110"/>
      <c r="G646" s="110"/>
      <c r="H646" s="110"/>
      <c r="I646" s="110"/>
      <c r="J646" s="110"/>
      <c r="K646" s="111"/>
      <c r="L646" s="137" t="str">
        <f>IFERROR(INDEX([239]MATERIALES!D:D,MATCH(B646,[239]MATERIALES!B:B,0)),"")</f>
        <v/>
      </c>
      <c r="M646" s="138"/>
      <c r="N646" s="139" t="str">
        <f>IFERROR(INDEX([239]MATERIALES!P:P,MATCH(B646,[239]MATERIALES!B:B,0)),"")</f>
        <v/>
      </c>
      <c r="O646" s="140"/>
      <c r="P646" s="118" t="str">
        <f t="shared" si="23"/>
        <v/>
      </c>
      <c r="Q646" s="119"/>
      <c r="R646" s="4"/>
    </row>
    <row r="647" spans="1:18">
      <c r="A647" s="1">
        <f t="shared" si="22"/>
        <v>0</v>
      </c>
      <c r="B647" s="2"/>
      <c r="C647" s="8"/>
      <c r="D647" s="109" t="str">
        <f>IFERROR(INDEX([239]MATERIALES!C:C,MATCH(B647,[239]MATERIALES!B:B,0)),"")</f>
        <v/>
      </c>
      <c r="E647" s="110"/>
      <c r="F647" s="110"/>
      <c r="G647" s="110"/>
      <c r="H647" s="110"/>
      <c r="I647" s="110"/>
      <c r="J647" s="110"/>
      <c r="K647" s="111"/>
      <c r="L647" s="137" t="str">
        <f>IFERROR(INDEX([239]MATERIALES!D:D,MATCH(B647,[239]MATERIALES!B:B,0)),"")</f>
        <v/>
      </c>
      <c r="M647" s="138"/>
      <c r="N647" s="139" t="str">
        <f>IFERROR(INDEX([239]MATERIALES!P:P,MATCH(B647,[239]MATERIALES!B:B,0)),"")</f>
        <v/>
      </c>
      <c r="O647" s="140"/>
      <c r="P647" s="118" t="str">
        <f t="shared" si="23"/>
        <v/>
      </c>
      <c r="Q647" s="119"/>
      <c r="R647" s="4"/>
    </row>
    <row r="648" spans="1:18">
      <c r="A648" s="1">
        <f t="shared" si="22"/>
        <v>0</v>
      </c>
      <c r="B648" s="2"/>
      <c r="C648" s="8"/>
      <c r="D648" s="109" t="str">
        <f>IFERROR(INDEX([239]MATERIALES!C:C,MATCH(B648,[239]MATERIALES!B:B,0)),"")</f>
        <v/>
      </c>
      <c r="E648" s="110"/>
      <c r="F648" s="110"/>
      <c r="G648" s="110"/>
      <c r="H648" s="110"/>
      <c r="I648" s="110"/>
      <c r="J648" s="110"/>
      <c r="K648" s="111"/>
      <c r="L648" s="137" t="str">
        <f>IFERROR(INDEX([239]MATERIALES!D:D,MATCH(B648,[239]MATERIALES!B:B,0)),"")</f>
        <v/>
      </c>
      <c r="M648" s="138"/>
      <c r="N648" s="139" t="str">
        <f>IFERROR(INDEX([239]MATERIALES!P:P,MATCH(B648,[239]MATERIALES!B:B,0)),"")</f>
        <v/>
      </c>
      <c r="O648" s="140"/>
      <c r="P648" s="118" t="str">
        <f t="shared" si="23"/>
        <v/>
      </c>
      <c r="Q648" s="119"/>
      <c r="R648" s="4"/>
    </row>
    <row r="649" spans="1:18">
      <c r="A649" s="1">
        <f t="shared" si="22"/>
        <v>0</v>
      </c>
      <c r="B649" s="2"/>
      <c r="C649" s="8"/>
      <c r="D649" s="109" t="str">
        <f>IFERROR(INDEX([239]MATERIALES!C:C,MATCH(B649,[239]MATERIALES!B:B,0)),"")</f>
        <v/>
      </c>
      <c r="E649" s="110"/>
      <c r="F649" s="110"/>
      <c r="G649" s="110"/>
      <c r="H649" s="110"/>
      <c r="I649" s="110"/>
      <c r="J649" s="110"/>
      <c r="K649" s="111"/>
      <c r="L649" s="137" t="str">
        <f>IFERROR(INDEX([239]MATERIALES!D:D,MATCH(B649,[239]MATERIALES!B:B,0)),"")</f>
        <v/>
      </c>
      <c r="M649" s="138"/>
      <c r="N649" s="139" t="str">
        <f>IFERROR(INDEX([239]MATERIALES!P:P,MATCH(B649,[239]MATERIALES!B:B,0)),"")</f>
        <v/>
      </c>
      <c r="O649" s="140"/>
      <c r="P649" s="118" t="str">
        <f t="shared" si="23"/>
        <v/>
      </c>
      <c r="Q649" s="119"/>
      <c r="R649" s="4"/>
    </row>
    <row r="650" spans="1:18">
      <c r="A650" s="1">
        <f t="shared" si="22"/>
        <v>0</v>
      </c>
      <c r="B650" s="2"/>
      <c r="C650" s="8"/>
      <c r="D650" s="109" t="str">
        <f>IFERROR(INDEX([239]MATERIALES!C:C,MATCH(B650,[239]MATERIALES!B:B,0)),"")</f>
        <v/>
      </c>
      <c r="E650" s="110"/>
      <c r="F650" s="110"/>
      <c r="G650" s="110"/>
      <c r="H650" s="110"/>
      <c r="I650" s="110"/>
      <c r="J650" s="110"/>
      <c r="K650" s="111"/>
      <c r="L650" s="137" t="str">
        <f>IFERROR(INDEX([239]MATERIALES!D:D,MATCH(B650,[239]MATERIALES!B:B,0)),"")</f>
        <v/>
      </c>
      <c r="M650" s="138"/>
      <c r="N650" s="139" t="str">
        <f>IFERROR(INDEX([239]MATERIALES!P:P,MATCH(B650,[239]MATERIALES!B:B,0)),"")</f>
        <v/>
      </c>
      <c r="O650" s="140"/>
      <c r="P650" s="118" t="str">
        <f t="shared" si="23"/>
        <v/>
      </c>
      <c r="Q650" s="119"/>
      <c r="R650" s="4"/>
    </row>
    <row r="651" spans="1:18">
      <c r="A651" s="1">
        <f t="shared" si="22"/>
        <v>0</v>
      </c>
      <c r="B651" s="2"/>
      <c r="C651" s="8"/>
      <c r="D651" s="109" t="str">
        <f>IFERROR(INDEX([239]MATERIALES!C:C,MATCH(B651,[239]MATERIALES!B:B,0)),"")</f>
        <v/>
      </c>
      <c r="E651" s="110"/>
      <c r="F651" s="110"/>
      <c r="G651" s="110"/>
      <c r="H651" s="110"/>
      <c r="I651" s="110"/>
      <c r="J651" s="110"/>
      <c r="K651" s="111"/>
      <c r="L651" s="137" t="str">
        <f>IFERROR(INDEX([239]MATERIALES!D:D,MATCH(B651,[239]MATERIALES!B:B,0)),"")</f>
        <v/>
      </c>
      <c r="M651" s="138"/>
      <c r="N651" s="139" t="str">
        <f>IFERROR(INDEX([239]MATERIALES!P:P,MATCH(B651,[239]MATERIALES!B:B,0)),"")</f>
        <v/>
      </c>
      <c r="O651" s="140"/>
      <c r="P651" s="118" t="str">
        <f t="shared" si="23"/>
        <v/>
      </c>
      <c r="Q651" s="119"/>
      <c r="R651" s="4"/>
    </row>
    <row r="652" spans="1:18" ht="15.75" thickBot="1">
      <c r="A652" s="1">
        <f t="shared" si="22"/>
        <v>0</v>
      </c>
      <c r="B652" s="2"/>
      <c r="C652" s="8"/>
      <c r="D652" s="109" t="s">
        <v>28</v>
      </c>
      <c r="E652" s="110"/>
      <c r="F652" s="110"/>
      <c r="G652" s="110"/>
      <c r="H652" s="110"/>
      <c r="I652" s="110"/>
      <c r="J652" s="110"/>
      <c r="K652" s="111"/>
      <c r="L652" s="137" t="s">
        <v>29</v>
      </c>
      <c r="M652" s="138">
        <v>0.05</v>
      </c>
      <c r="N652" s="139">
        <f>SUM(P638:P651)</f>
        <v>933287.14</v>
      </c>
      <c r="O652" s="140"/>
      <c r="P652" s="118">
        <f>ROUND(N652*M652,2)</f>
        <v>46664.36</v>
      </c>
      <c r="Q652" s="119"/>
      <c r="R652" s="4"/>
    </row>
    <row r="653" spans="1:18" ht="15.75" thickBot="1">
      <c r="A653" s="1">
        <f t="shared" si="22"/>
        <v>0</v>
      </c>
      <c r="B653" s="2"/>
      <c r="C653" s="8"/>
      <c r="D653" s="128" t="s">
        <v>24</v>
      </c>
      <c r="E653" s="129"/>
      <c r="F653" s="129"/>
      <c r="G653" s="129"/>
      <c r="H653" s="129"/>
      <c r="I653" s="129"/>
      <c r="J653" s="129"/>
      <c r="K653" s="129"/>
      <c r="L653" s="129"/>
      <c r="M653" s="129"/>
      <c r="N653" s="129"/>
      <c r="O653" s="130"/>
      <c r="P653" s="131">
        <f>SUM(P638:P652)</f>
        <v>979951.5</v>
      </c>
      <c r="Q653" s="119"/>
      <c r="R653" s="4"/>
    </row>
    <row r="654" spans="1:18" ht="15.75" thickBot="1">
      <c r="A654" s="1">
        <f t="shared" si="22"/>
        <v>0</v>
      </c>
      <c r="B654" s="2"/>
      <c r="C654" s="8"/>
      <c r="D654" s="74" t="s">
        <v>30</v>
      </c>
      <c r="E654" s="37"/>
      <c r="F654" s="37"/>
      <c r="G654" s="37"/>
      <c r="H654" s="37"/>
      <c r="I654" s="37"/>
      <c r="J654" s="37"/>
      <c r="K654" s="37"/>
      <c r="L654" s="37"/>
      <c r="M654" s="37"/>
      <c r="N654" s="37"/>
      <c r="O654" s="37"/>
      <c r="P654" s="99"/>
      <c r="Q654" s="100"/>
      <c r="R654" s="4"/>
    </row>
    <row r="655" spans="1:18">
      <c r="A655" s="1">
        <f t="shared" si="22"/>
        <v>0</v>
      </c>
      <c r="B655" s="2"/>
      <c r="C655" s="8"/>
      <c r="D655" s="101" t="s">
        <v>31</v>
      </c>
      <c r="E655" s="133"/>
      <c r="F655" s="133"/>
      <c r="G655" s="133"/>
      <c r="H655" s="133"/>
      <c r="I655" s="133"/>
      <c r="J655" s="133"/>
      <c r="K655" s="106" t="s">
        <v>32</v>
      </c>
      <c r="L655" s="141" t="s">
        <v>33</v>
      </c>
      <c r="M655" s="106" t="s">
        <v>34</v>
      </c>
      <c r="N655" s="104" t="s">
        <v>20</v>
      </c>
      <c r="O655" s="105"/>
      <c r="P655" s="107" t="s">
        <v>22</v>
      </c>
      <c r="Q655" s="108"/>
      <c r="R655" s="4"/>
    </row>
    <row r="656" spans="1:18">
      <c r="A656" s="1">
        <f t="shared" si="22"/>
        <v>0</v>
      </c>
      <c r="B656" s="2"/>
      <c r="C656" s="8"/>
      <c r="D656" s="142" t="str">
        <f>IFERROR(INDEX([239]TRANSPORTES!B:B,MATCH(B656,[239]TRANSPORTES!A:A,0)),"")</f>
        <v/>
      </c>
      <c r="E656" s="143"/>
      <c r="F656" s="143"/>
      <c r="G656" s="143"/>
      <c r="H656" s="143"/>
      <c r="I656" s="143"/>
      <c r="J656" s="143"/>
      <c r="K656" s="220"/>
      <c r="L656" s="145"/>
      <c r="M656" s="146" t="str">
        <f>IFERROR(INDEX([239]TRANSPORTES!C:C,MATCH(B656,[239]TRANSPORTES!A:A,0)),"")</f>
        <v/>
      </c>
      <c r="N656" s="139" t="str">
        <f>IFERROR(INDEX([239]TRANSPORTES!D:D,MATCH(B656,[239]TRANSPORTES!A:A,0)),"")</f>
        <v/>
      </c>
      <c r="O656" s="147"/>
      <c r="P656" s="148" t="str">
        <f>IFERROR(ROUND(K656*N656*L656,2),"")</f>
        <v/>
      </c>
      <c r="Q656" s="119"/>
      <c r="R656" s="4"/>
    </row>
    <row r="657" spans="1:18">
      <c r="A657" s="1">
        <f t="shared" si="22"/>
        <v>0</v>
      </c>
      <c r="B657" s="2"/>
      <c r="C657" s="8"/>
      <c r="D657" s="142" t="str">
        <f>IFERROR(INDEX([239]TRANSPORTES!B:B,MATCH(B657,[239]TRANSPORTES!A:A,0)),"")</f>
        <v/>
      </c>
      <c r="E657" s="143"/>
      <c r="F657" s="143"/>
      <c r="G657" s="143"/>
      <c r="H657" s="143"/>
      <c r="I657" s="143"/>
      <c r="J657" s="143"/>
      <c r="K657" s="144"/>
      <c r="L657" s="145"/>
      <c r="M657" s="146" t="str">
        <f>IFERROR(INDEX([239]TRANSPORTES!C:C,MATCH(B657,[239]TRANSPORTES!A:A,0)),"")</f>
        <v/>
      </c>
      <c r="N657" s="139" t="str">
        <f>IFERROR(INDEX([239]TRANSPORTES!D:D,MATCH(B657,[239]TRANSPORTES!A:A,0)),"")</f>
        <v/>
      </c>
      <c r="O657" s="147"/>
      <c r="P657" s="148" t="str">
        <f>IFERROR(ROUND(K657*N657*L657,2),"")</f>
        <v/>
      </c>
      <c r="Q657" s="119"/>
      <c r="R657" s="4"/>
    </row>
    <row r="658" spans="1:18">
      <c r="A658" s="1">
        <f t="shared" si="22"/>
        <v>0</v>
      </c>
      <c r="B658" s="2"/>
      <c r="C658" s="8"/>
      <c r="D658" s="142" t="str">
        <f>IFERROR(INDEX([239]TRANSPORTES!B:B,MATCH(B658,[239]TRANSPORTES!A:A,0)),"")</f>
        <v/>
      </c>
      <c r="E658" s="143"/>
      <c r="F658" s="143"/>
      <c r="G658" s="143"/>
      <c r="H658" s="143"/>
      <c r="I658" s="143"/>
      <c r="J658" s="143"/>
      <c r="K658" s="144"/>
      <c r="L658" s="145"/>
      <c r="M658" s="146" t="str">
        <f>IFERROR(INDEX([239]TRANSPORTES!C:C,MATCH(B658,[239]TRANSPORTES!A:A,0)),"")</f>
        <v/>
      </c>
      <c r="N658" s="139" t="str">
        <f>IFERROR(INDEX([239]TRANSPORTES!D:D,MATCH(B658,[239]TRANSPORTES!A:A,0)),"")</f>
        <v/>
      </c>
      <c r="O658" s="147"/>
      <c r="P658" s="148" t="str">
        <f>IFERROR(ROUND(K658*N658*L658,2),"")</f>
        <v/>
      </c>
      <c r="Q658" s="119"/>
      <c r="R658" s="4"/>
    </row>
    <row r="659" spans="1:18" ht="15.75" thickBot="1">
      <c r="A659" s="1">
        <f t="shared" si="22"/>
        <v>0</v>
      </c>
      <c r="B659" s="2"/>
      <c r="C659" s="8"/>
      <c r="D659" s="142" t="str">
        <f>IFERROR(INDEX([239]TRANSPORTES!B:B,MATCH(B659,[239]TRANSPORTES!A:A,0)),"")</f>
        <v/>
      </c>
      <c r="E659" s="143"/>
      <c r="F659" s="143"/>
      <c r="G659" s="143"/>
      <c r="H659" s="143"/>
      <c r="I659" s="143"/>
      <c r="J659" s="143"/>
      <c r="K659" s="149"/>
      <c r="L659" s="150"/>
      <c r="M659" s="146" t="str">
        <f>IFERROR(INDEX([239]TRANSPORTES!C:C,MATCH(B659,[239]TRANSPORTES!A:A,0)),"")</f>
        <v/>
      </c>
      <c r="N659" s="139" t="str">
        <f>IFERROR(INDEX([239]TRANSPORTES!D:D,MATCH(B659,[239]TRANSPORTES!A:A,0)),"")</f>
        <v/>
      </c>
      <c r="O659" s="147"/>
      <c r="P659" s="148" t="str">
        <f>IFERROR(ROUND(K659*N659*L659,2),"")</f>
        <v/>
      </c>
      <c r="Q659" s="119"/>
      <c r="R659" s="4"/>
    </row>
    <row r="660" spans="1:18" ht="15.75" thickBot="1">
      <c r="A660" s="1">
        <f t="shared" si="22"/>
        <v>0</v>
      </c>
      <c r="B660" s="2"/>
      <c r="C660" s="8"/>
      <c r="D660" s="128" t="s">
        <v>24</v>
      </c>
      <c r="E660" s="129"/>
      <c r="F660" s="129"/>
      <c r="G660" s="129"/>
      <c r="H660" s="129"/>
      <c r="I660" s="129"/>
      <c r="J660" s="129"/>
      <c r="K660" s="129"/>
      <c r="L660" s="129"/>
      <c r="M660" s="129"/>
      <c r="N660" s="129"/>
      <c r="O660" s="130"/>
      <c r="P660" s="151">
        <f>SUM(P656:P659)</f>
        <v>0</v>
      </c>
      <c r="Q660" s="132"/>
      <c r="R660" s="4"/>
    </row>
    <row r="661" spans="1:18" ht="15.75" thickBot="1">
      <c r="A661" s="1">
        <f t="shared" si="22"/>
        <v>0</v>
      </c>
      <c r="B661" s="2"/>
      <c r="C661" s="8"/>
      <c r="D661" s="74" t="s">
        <v>36</v>
      </c>
      <c r="E661" s="37"/>
      <c r="F661" s="37"/>
      <c r="G661" s="37"/>
      <c r="H661" s="37"/>
      <c r="I661" s="37"/>
      <c r="J661" s="37"/>
      <c r="K661" s="37"/>
      <c r="L661" s="37"/>
      <c r="M661" s="37"/>
      <c r="N661" s="37"/>
      <c r="O661" s="37"/>
      <c r="P661" s="99"/>
      <c r="Q661" s="100"/>
      <c r="R661" s="4"/>
    </row>
    <row r="662" spans="1:18" ht="30">
      <c r="A662" s="1">
        <f t="shared" si="22"/>
        <v>0</v>
      </c>
      <c r="B662" s="2"/>
      <c r="C662" s="8"/>
      <c r="D662" s="101" t="s">
        <v>37</v>
      </c>
      <c r="E662" s="133"/>
      <c r="F662" s="133"/>
      <c r="G662" s="133"/>
      <c r="H662" s="133"/>
      <c r="I662" s="133"/>
      <c r="J662" s="133"/>
      <c r="K662" s="106" t="s">
        <v>38</v>
      </c>
      <c r="L662" s="152" t="s">
        <v>39</v>
      </c>
      <c r="M662" s="153" t="s">
        <v>40</v>
      </c>
      <c r="N662" s="104" t="s">
        <v>21</v>
      </c>
      <c r="O662" s="105"/>
      <c r="P662" s="154" t="s">
        <v>22</v>
      </c>
      <c r="Q662" s="155"/>
      <c r="R662" s="4"/>
    </row>
    <row r="663" spans="1:18">
      <c r="A663" s="1">
        <f t="shared" si="22"/>
        <v>0</v>
      </c>
      <c r="B663" s="2" t="s">
        <v>41</v>
      </c>
      <c r="C663" s="8"/>
      <c r="D663" s="109" t="str">
        <f>IFERROR(INDEX('[239]MANO DE OBRA'!B:B,MATCH(B663,'[239]MANO DE OBRA'!A:A,0)),"")</f>
        <v>OFICIAL</v>
      </c>
      <c r="E663" s="110"/>
      <c r="F663" s="110"/>
      <c r="G663" s="110"/>
      <c r="H663" s="110"/>
      <c r="I663" s="110"/>
      <c r="J663" s="111"/>
      <c r="K663" s="156">
        <f>IFERROR(INDEX('[239]MANO DE OBRA'!D:D,MATCH(B663,'[239]MANO DE OBRA'!A:A,0)),"")</f>
        <v>95930</v>
      </c>
      <c r="L663" s="157">
        <f>+IF(D663&lt;&gt;"",'[239]FACTOR PRESTACIONAL'!$E$21," ")</f>
        <v>1.95</v>
      </c>
      <c r="M663" s="158">
        <f>IFERROR(K663*L663," ")</f>
        <v>187063.5</v>
      </c>
      <c r="N663" s="159">
        <v>0.8</v>
      </c>
      <c r="O663" s="160"/>
      <c r="P663" s="161">
        <f>IFERROR(ROUND(M663/N663,2)," ")</f>
        <v>233829.38</v>
      </c>
      <c r="Q663" s="162"/>
      <c r="R663" s="4"/>
    </row>
    <row r="664" spans="1:18">
      <c r="A664" s="1">
        <f t="shared" si="22"/>
        <v>0</v>
      </c>
      <c r="B664" s="2" t="s">
        <v>42</v>
      </c>
      <c r="C664" s="8"/>
      <c r="D664" s="109" t="str">
        <f>IFERROR(INDEX('[239]MANO DE OBRA'!B:B,MATCH(B664,'[239]MANO DE OBRA'!A:A,0)),"")</f>
        <v>AYUDANTE (2)</v>
      </c>
      <c r="E664" s="110"/>
      <c r="F664" s="110"/>
      <c r="G664" s="110"/>
      <c r="H664" s="110"/>
      <c r="I664" s="110"/>
      <c r="J664" s="111"/>
      <c r="K664" s="156">
        <f>IFERROR(INDEX('[239]MANO DE OBRA'!D:D,MATCH(B664,'[239]MANO DE OBRA'!A:A,0)),"")</f>
        <v>142866</v>
      </c>
      <c r="L664" s="157">
        <f>+IF(D664&lt;&gt;"",'[239]FACTOR PRESTACIONAL'!$E$21," ")</f>
        <v>1.95</v>
      </c>
      <c r="M664" s="158">
        <f>IFERROR(K664*L664," ")</f>
        <v>278588.7</v>
      </c>
      <c r="N664" s="159">
        <v>0.8</v>
      </c>
      <c r="O664" s="160"/>
      <c r="P664" s="161">
        <f>IFERROR(ROUND(M664/N664,2)," ")</f>
        <v>348235.88</v>
      </c>
      <c r="Q664" s="162"/>
      <c r="R664" s="4"/>
    </row>
    <row r="665" spans="1:18">
      <c r="A665" s="1">
        <f t="shared" si="22"/>
        <v>0</v>
      </c>
      <c r="B665" s="2"/>
      <c r="C665" s="8"/>
      <c r="D665" s="109" t="str">
        <f>IFERROR(INDEX('[239]MANO DE OBRA'!B:B,MATCH(B665,'[239]MANO DE OBRA'!A:A,0)),"")</f>
        <v/>
      </c>
      <c r="E665" s="110"/>
      <c r="F665" s="110"/>
      <c r="G665" s="110"/>
      <c r="H665" s="110"/>
      <c r="I665" s="110"/>
      <c r="J665" s="111"/>
      <c r="K665" s="156" t="str">
        <f>IFERROR(INDEX('[239]MANO DE OBRA'!D:D,MATCH(B665,'[239]MANO DE OBRA'!A:A,0)),"")</f>
        <v/>
      </c>
      <c r="L665" s="157" t="str">
        <f>+IF(D665&lt;&gt;"",'[239]FACTOR PRESTACIONAL'!$E$21," ")</f>
        <v xml:space="preserve"> </v>
      </c>
      <c r="M665" s="158" t="str">
        <f>IFERROR(K665*L665," ")</f>
        <v xml:space="preserve"> </v>
      </c>
      <c r="N665" s="159"/>
      <c r="O665" s="160"/>
      <c r="P665" s="161" t="str">
        <f>IFERROR(ROUND(M665/N665,2)," ")</f>
        <v xml:space="preserve"> </v>
      </c>
      <c r="Q665" s="162"/>
      <c r="R665" s="4"/>
    </row>
    <row r="666" spans="1:18">
      <c r="A666" s="1">
        <f t="shared" si="22"/>
        <v>0</v>
      </c>
      <c r="B666" s="2"/>
      <c r="C666" s="8"/>
      <c r="D666" s="109" t="str">
        <f>IFERROR(INDEX('[239]MANO DE OBRA'!B:B,MATCH(B666,'[239]MANO DE OBRA'!A:A,0)),"")</f>
        <v/>
      </c>
      <c r="E666" s="110"/>
      <c r="F666" s="110"/>
      <c r="G666" s="110"/>
      <c r="H666" s="110"/>
      <c r="I666" s="110"/>
      <c r="J666" s="111"/>
      <c r="K666" s="156" t="str">
        <f>IFERROR(INDEX('[239]MANO DE OBRA'!D:D,MATCH(B666,'[239]MANO DE OBRA'!A:A,0)),"")</f>
        <v/>
      </c>
      <c r="L666" s="157" t="str">
        <f>+IF(D666&lt;&gt;"",'[239]FACTOR PRESTACIONAL'!$E$21," ")</f>
        <v xml:space="preserve"> </v>
      </c>
      <c r="M666" s="158" t="str">
        <f>IFERROR(K666*L666," ")</f>
        <v xml:space="preserve"> </v>
      </c>
      <c r="N666" s="159"/>
      <c r="O666" s="160"/>
      <c r="P666" s="161" t="str">
        <f>IFERROR(ROUND(M666/N666,2)," ")</f>
        <v xml:space="preserve"> </v>
      </c>
      <c r="Q666" s="162"/>
      <c r="R666" s="4"/>
    </row>
    <row r="667" spans="1:18" ht="15.75" thickBot="1">
      <c r="A667" s="1">
        <f t="shared" si="22"/>
        <v>0</v>
      </c>
      <c r="B667" s="2"/>
      <c r="C667" s="8"/>
      <c r="D667" s="109" t="str">
        <f>IFERROR(INDEX('[239]MANO DE OBRA'!B:B,MATCH(B667,'[239]MANO DE OBRA'!A:A,0)),"")</f>
        <v/>
      </c>
      <c r="E667" s="110"/>
      <c r="F667" s="110"/>
      <c r="G667" s="110"/>
      <c r="H667" s="110"/>
      <c r="I667" s="110"/>
      <c r="J667" s="111"/>
      <c r="K667" s="156" t="str">
        <f>IFERROR(INDEX('[239]MANO DE OBRA'!D:D,MATCH(B667,'[239]MANO DE OBRA'!A:A,0)),"")</f>
        <v/>
      </c>
      <c r="L667" s="157" t="str">
        <f>+IF(D667&lt;&gt;"",'[239]FACTOR PRESTACIONAL'!$E$21," ")</f>
        <v xml:space="preserve"> </v>
      </c>
      <c r="M667" s="158" t="str">
        <f>IFERROR(K667*L667," ")</f>
        <v xml:space="preserve"> </v>
      </c>
      <c r="N667" s="159"/>
      <c r="O667" s="160"/>
      <c r="P667" s="161" t="str">
        <f>IFERROR(ROUND(M667/N667,2)," ")</f>
        <v xml:space="preserve"> </v>
      </c>
      <c r="Q667" s="119"/>
      <c r="R667" s="4"/>
    </row>
    <row r="668" spans="1:18" ht="15.75" thickBot="1">
      <c r="A668" s="1">
        <f t="shared" si="22"/>
        <v>0</v>
      </c>
      <c r="B668" s="2"/>
      <c r="C668" s="8"/>
      <c r="D668" s="128" t="s">
        <v>24</v>
      </c>
      <c r="E668" s="129"/>
      <c r="F668" s="129"/>
      <c r="G668" s="129"/>
      <c r="H668" s="129"/>
      <c r="I668" s="129"/>
      <c r="J668" s="129"/>
      <c r="K668" s="129"/>
      <c r="L668" s="129"/>
      <c r="M668" s="129"/>
      <c r="N668" s="129"/>
      <c r="O668" s="130"/>
      <c r="P668" s="131">
        <f>SUM(P663:P667)</f>
        <v>582065.26</v>
      </c>
      <c r="Q668" s="119"/>
      <c r="R668" s="4"/>
    </row>
    <row r="669" spans="1:18" ht="15.75" thickBot="1">
      <c r="A669" s="1">
        <f t="shared" si="22"/>
        <v>0</v>
      </c>
      <c r="B669" s="2"/>
      <c r="C669" s="8"/>
      <c r="D669" s="87"/>
      <c r="E669" s="20"/>
      <c r="F669" s="20"/>
      <c r="G669" s="20"/>
      <c r="H669" s="20"/>
      <c r="I669" s="20"/>
      <c r="J669" s="20"/>
      <c r="K669" s="20"/>
      <c r="L669" s="20"/>
      <c r="M669" s="20"/>
      <c r="N669" s="20"/>
      <c r="O669" s="20"/>
      <c r="P669" s="88"/>
      <c r="Q669" s="13"/>
      <c r="R669" s="4"/>
    </row>
    <row r="670" spans="1:18" ht="15.75" thickBot="1">
      <c r="A670" s="1"/>
      <c r="B670" s="2"/>
      <c r="C670" s="8"/>
      <c r="D670" s="163" t="s">
        <v>43</v>
      </c>
      <c r="E670" s="164"/>
      <c r="F670" s="164"/>
      <c r="G670" s="164"/>
      <c r="H670" s="164"/>
      <c r="I670" s="164"/>
      <c r="J670" s="164"/>
      <c r="K670" s="164"/>
      <c r="L670" s="164"/>
      <c r="M670" s="164"/>
      <c r="N670" s="164"/>
      <c r="O670" s="165"/>
      <c r="P670" s="166">
        <f>+P668+P660+P653+P635</f>
        <v>1623936.29</v>
      </c>
      <c r="Q670" s="167"/>
      <c r="R670" s="168"/>
    </row>
    <row r="671" spans="1:18" ht="15.75" thickBot="1">
      <c r="A671" s="1"/>
      <c r="B671" s="2"/>
      <c r="C671" s="8"/>
      <c r="D671" s="169"/>
      <c r="E671" s="170"/>
      <c r="F671" s="170"/>
      <c r="G671" s="170"/>
      <c r="H671" s="170"/>
      <c r="I671" s="170"/>
      <c r="J671" s="170"/>
      <c r="K671" s="170"/>
      <c r="L671" s="170"/>
      <c r="M671" s="170"/>
      <c r="N671" s="170"/>
      <c r="O671" s="170"/>
      <c r="P671" s="171"/>
      <c r="Q671" s="100"/>
      <c r="R671" s="4"/>
    </row>
    <row r="672" spans="1:18">
      <c r="A672" s="1"/>
      <c r="B672" s="2"/>
      <c r="C672" s="8"/>
      <c r="D672" s="172" t="s">
        <v>73</v>
      </c>
      <c r="E672" s="173"/>
      <c r="F672" s="173"/>
      <c r="G672" s="173"/>
      <c r="H672" s="173"/>
      <c r="I672" s="173"/>
      <c r="J672" s="173"/>
      <c r="K672" s="141"/>
      <c r="L672" s="174"/>
      <c r="M672" s="153" t="s">
        <v>44</v>
      </c>
      <c r="N672" s="175" t="s">
        <v>45</v>
      </c>
      <c r="O672" s="176"/>
      <c r="P672" s="154"/>
      <c r="Q672" s="155"/>
      <c r="R672" s="4"/>
    </row>
    <row r="673" spans="1:18">
      <c r="A673" s="1"/>
      <c r="B673" s="2"/>
      <c r="C673" s="8"/>
      <c r="D673" s="109" t="s">
        <v>65</v>
      </c>
      <c r="E673" s="110"/>
      <c r="F673" s="110"/>
      <c r="G673" s="110"/>
      <c r="H673" s="110"/>
      <c r="I673" s="110"/>
      <c r="J673" s="110"/>
      <c r="K673" s="177"/>
      <c r="L673" s="178"/>
      <c r="M673" s="179">
        <f>+[239]INICIO!$F$10</f>
        <v>0.24</v>
      </c>
      <c r="N673" s="180">
        <f>ROUND(M673*P670,2)</f>
        <v>389744.71</v>
      </c>
      <c r="O673" s="181"/>
      <c r="P673" s="182"/>
      <c r="Q673" s="119"/>
      <c r="R673" s="4"/>
    </row>
    <row r="674" spans="1:18">
      <c r="A674" s="1"/>
      <c r="B674" s="2"/>
      <c r="C674" s="8"/>
      <c r="D674" s="183" t="s">
        <v>67</v>
      </c>
      <c r="E674" s="61"/>
      <c r="F674" s="61"/>
      <c r="G674" s="61"/>
      <c r="H674" s="61"/>
      <c r="I674" s="61"/>
      <c r="J674" s="61"/>
      <c r="K674" s="177"/>
      <c r="L674" s="178"/>
      <c r="M674" s="179">
        <f>+[239]INICIO!$F$11</f>
        <v>0.02</v>
      </c>
      <c r="N674" s="180">
        <f>ROUND(M674*P670,2)</f>
        <v>32478.73</v>
      </c>
      <c r="O674" s="181"/>
      <c r="P674" s="182"/>
      <c r="Q674" s="119"/>
      <c r="R674" s="4"/>
    </row>
    <row r="675" spans="1:18" ht="15.75" thickBot="1">
      <c r="A675" s="1"/>
      <c r="B675" s="2"/>
      <c r="C675" s="8"/>
      <c r="D675" s="77" t="s">
        <v>69</v>
      </c>
      <c r="E675" s="78"/>
      <c r="F675" s="78"/>
      <c r="G675" s="78"/>
      <c r="H675" s="78"/>
      <c r="I675" s="78"/>
      <c r="J675" s="78"/>
      <c r="K675" s="184"/>
      <c r="L675" s="185"/>
      <c r="M675" s="179">
        <f>+[239]INICIO!$F$12</f>
        <v>7.0000000000000007E-2</v>
      </c>
      <c r="N675" s="180">
        <f>ROUND(M675*P670,2)</f>
        <v>113675.54</v>
      </c>
      <c r="O675" s="181"/>
      <c r="P675" s="182"/>
      <c r="Q675" s="119"/>
      <c r="R675" s="4"/>
    </row>
    <row r="676" spans="1:18" ht="15.75" thickBot="1">
      <c r="A676" s="1"/>
      <c r="B676" s="2"/>
      <c r="C676" s="8"/>
      <c r="D676" s="128"/>
      <c r="E676" s="129"/>
      <c r="F676" s="129"/>
      <c r="G676" s="129"/>
      <c r="H676" s="129"/>
      <c r="I676" s="129"/>
      <c r="J676" s="129"/>
      <c r="K676" s="129"/>
      <c r="L676" s="129"/>
      <c r="M676" s="129"/>
      <c r="N676" s="129"/>
      <c r="O676" s="130"/>
      <c r="P676" s="131">
        <f>SUM(N673:N675)</f>
        <v>535898.98</v>
      </c>
      <c r="Q676" s="186"/>
      <c r="R676" s="4"/>
    </row>
    <row r="677" spans="1:18" ht="15.75" thickBot="1">
      <c r="A677" s="1"/>
      <c r="B677" s="2"/>
      <c r="C677" s="8"/>
      <c r="D677" s="87"/>
      <c r="E677" s="20"/>
      <c r="F677" s="20"/>
      <c r="G677" s="20"/>
      <c r="H677" s="20"/>
      <c r="I677" s="20"/>
      <c r="J677" s="20"/>
      <c r="K677" s="20"/>
      <c r="L677" s="20"/>
      <c r="M677" s="20"/>
      <c r="N677" s="20"/>
      <c r="O677" s="20"/>
      <c r="P677" s="88"/>
      <c r="Q677" s="13"/>
      <c r="R677" s="4"/>
    </row>
    <row r="678" spans="1:18" ht="15.75" thickBot="1">
      <c r="A678" s="1"/>
      <c r="B678" s="2"/>
      <c r="C678" s="8"/>
      <c r="D678" s="187" t="s">
        <v>46</v>
      </c>
      <c r="E678" s="188"/>
      <c r="F678" s="188"/>
      <c r="G678" s="188"/>
      <c r="H678" s="188"/>
      <c r="I678" s="188"/>
      <c r="J678" s="188"/>
      <c r="K678" s="188"/>
      <c r="L678" s="188"/>
      <c r="M678" s="188"/>
      <c r="N678" s="188"/>
      <c r="O678" s="189"/>
      <c r="P678" s="166">
        <f>ROUND(P676+P670,0)</f>
        <v>2159835</v>
      </c>
      <c r="Q678" s="186"/>
      <c r="R678" s="4"/>
    </row>
    <row r="679" spans="1:18">
      <c r="A679" s="1"/>
      <c r="B679" s="2"/>
      <c r="C679" s="8"/>
      <c r="D679" s="80"/>
      <c r="E679" s="81"/>
      <c r="F679" s="81"/>
      <c r="G679" s="81"/>
      <c r="H679" s="81"/>
      <c r="I679" s="81"/>
      <c r="J679" s="81"/>
      <c r="K679" s="81"/>
      <c r="L679" s="81"/>
      <c r="M679" s="81"/>
      <c r="N679" s="81"/>
      <c r="O679" s="81"/>
      <c r="P679" s="82"/>
      <c r="Q679" s="13"/>
      <c r="R679" s="4"/>
    </row>
    <row r="680" spans="1:18">
      <c r="A680" s="1"/>
      <c r="B680" s="2"/>
      <c r="C680" s="8"/>
      <c r="D680" s="87"/>
      <c r="E680" s="20"/>
      <c r="F680" s="20"/>
      <c r="G680" s="20"/>
      <c r="H680" s="20"/>
      <c r="I680" s="20"/>
      <c r="J680" s="20"/>
      <c r="K680" s="20"/>
      <c r="L680" s="20"/>
      <c r="M680" s="20"/>
      <c r="N680" s="20"/>
      <c r="O680" s="20"/>
      <c r="P680" s="88"/>
      <c r="Q680" s="13"/>
      <c r="R680" s="4"/>
    </row>
    <row r="681" spans="1:18">
      <c r="A681" s="1"/>
      <c r="B681" s="2"/>
      <c r="C681" s="8"/>
      <c r="D681" s="87"/>
      <c r="E681" s="20"/>
      <c r="F681" s="20"/>
      <c r="G681" s="20"/>
      <c r="H681" s="20"/>
      <c r="I681" s="20"/>
      <c r="J681" s="20"/>
      <c r="K681" s="20"/>
      <c r="L681" s="20"/>
      <c r="M681" s="20"/>
      <c r="N681" s="20"/>
      <c r="O681" s="20"/>
      <c r="P681" s="88"/>
      <c r="Q681" s="13"/>
      <c r="R681" s="4"/>
    </row>
    <row r="682" spans="1:18">
      <c r="A682" s="1"/>
      <c r="B682" s="2"/>
      <c r="C682" s="8"/>
      <c r="D682" s="87"/>
      <c r="E682" s="20"/>
      <c r="F682" s="20"/>
      <c r="G682" s="20"/>
      <c r="H682" s="20"/>
      <c r="I682" s="20"/>
      <c r="J682" s="20"/>
      <c r="K682" s="20"/>
      <c r="L682" s="20"/>
      <c r="M682" s="20"/>
      <c r="N682" s="20"/>
      <c r="O682" s="20"/>
      <c r="P682" s="88"/>
      <c r="Q682" s="13"/>
      <c r="R682" s="4"/>
    </row>
    <row r="683" spans="1:18">
      <c r="A683" s="1"/>
      <c r="B683" s="2"/>
      <c r="C683" s="8"/>
      <c r="D683" s="219" t="str">
        <f>+[239]INICIO!$B$13</f>
        <v>Proyectó:</v>
      </c>
      <c r="E683" s="49"/>
      <c r="F683" s="49"/>
      <c r="G683" s="49"/>
      <c r="H683" s="49"/>
      <c r="I683" s="49"/>
      <c r="J683" s="49"/>
      <c r="K683" s="20"/>
      <c r="L683" s="69" t="str">
        <f>+[239]INICIO!$B$16</f>
        <v>Aprobó:</v>
      </c>
      <c r="M683" s="49"/>
      <c r="N683" s="49"/>
      <c r="O683" s="49"/>
      <c r="P683" s="88"/>
      <c r="Q683" s="13"/>
      <c r="R683" s="4"/>
    </row>
    <row r="684" spans="1:18">
      <c r="A684" s="1"/>
      <c r="B684" s="2"/>
      <c r="C684" s="8"/>
      <c r="D684" s="87"/>
      <c r="E684" s="20" t="str">
        <f>+Hoja2!C$13</f>
        <v>HELMER EDUARDO BECERRA SANTANDER</v>
      </c>
      <c r="F684" s="20"/>
      <c r="G684" s="20"/>
      <c r="H684" s="20"/>
      <c r="I684" s="20"/>
      <c r="J684" s="20"/>
      <c r="K684" s="20"/>
      <c r="L684" s="20"/>
      <c r="M684" s="20" t="str">
        <f>+Hoja2!$C$16</f>
        <v>JESÚS IVÁN QUIÑONES RUEDA</v>
      </c>
      <c r="N684" s="20"/>
      <c r="O684" s="20"/>
      <c r="P684" s="88"/>
      <c r="Q684" s="190"/>
      <c r="R684" s="4"/>
    </row>
    <row r="685" spans="1:18">
      <c r="A685" s="1"/>
      <c r="B685" s="2"/>
      <c r="C685" s="8"/>
      <c r="D685" s="87"/>
      <c r="E685" s="20" t="str">
        <f>+Hoja2!C$14</f>
        <v>APOYO SEC. DE PLANEACIÓN Y OBRAS PÚBLICAS</v>
      </c>
      <c r="F685" s="20"/>
      <c r="G685" s="20"/>
      <c r="H685" s="20"/>
      <c r="I685" s="20"/>
      <c r="J685" s="20"/>
      <c r="K685" s="20"/>
      <c r="L685" s="20"/>
      <c r="M685" s="20" t="str">
        <f>+Hoja2!$C$17</f>
        <v>SECRETARIO DE PLANEACIÓN Y OBRAS PUBLICAS</v>
      </c>
      <c r="N685" s="20"/>
      <c r="O685" s="20"/>
      <c r="P685" s="88"/>
      <c r="Q685" s="190"/>
      <c r="R685" s="4"/>
    </row>
    <row r="686" spans="1:18">
      <c r="A686" s="1"/>
      <c r="B686" s="2"/>
      <c r="C686" s="8"/>
      <c r="D686" s="68"/>
      <c r="E686" s="20" t="str">
        <f>+Hoja2!C$15</f>
        <v>123769-0701671 NTS</v>
      </c>
      <c r="F686" s="191"/>
      <c r="G686" s="191"/>
      <c r="H686" s="191"/>
      <c r="I686" s="20"/>
      <c r="J686" s="191"/>
      <c r="K686" s="191"/>
      <c r="L686" s="191"/>
      <c r="M686" s="192" t="str">
        <f>+Hoja2!C$18</f>
        <v>A21382020-1090480860</v>
      </c>
      <c r="N686" s="191"/>
      <c r="O686" s="191"/>
      <c r="P686" s="193"/>
      <c r="Q686" s="194"/>
      <c r="R686" s="4"/>
    </row>
    <row r="687" spans="1:18" ht="16.5" thickBot="1">
      <c r="A687" s="1"/>
      <c r="B687" s="2"/>
      <c r="C687" s="8"/>
      <c r="D687" s="195"/>
      <c r="E687" s="150"/>
      <c r="F687" s="150"/>
      <c r="G687" s="150"/>
      <c r="H687" s="150"/>
      <c r="I687" s="150"/>
      <c r="J687" s="150"/>
      <c r="K687" s="150"/>
      <c r="L687" s="150"/>
      <c r="M687" s="150"/>
      <c r="N687" s="150"/>
      <c r="O687" s="150"/>
      <c r="P687" s="196"/>
      <c r="Q687" s="197"/>
      <c r="R687" s="4"/>
    </row>
    <row r="688" spans="1:18" ht="15.75" thickBot="1">
      <c r="A688" s="1"/>
      <c r="B688" s="2"/>
      <c r="C688" s="198"/>
      <c r="D688" s="199"/>
      <c r="E688" s="199"/>
      <c r="F688" s="199"/>
      <c r="G688" s="199"/>
      <c r="H688" s="199"/>
      <c r="I688" s="199"/>
      <c r="J688" s="199"/>
      <c r="K688" s="199"/>
      <c r="L688" s="199"/>
      <c r="M688" s="199"/>
      <c r="N688" s="199"/>
      <c r="O688" s="199"/>
      <c r="P688" s="199"/>
      <c r="Q688" s="200"/>
      <c r="R688" s="4"/>
    </row>
    <row r="689" spans="1:18" ht="16.5" thickTop="1" thickBot="1"/>
    <row r="690" spans="1:18" ht="15.75" thickTop="1">
      <c r="A690" s="1"/>
      <c r="B690" s="2"/>
      <c r="C690" s="5"/>
      <c r="D690" s="6"/>
      <c r="E690" s="6"/>
      <c r="F690" s="6"/>
      <c r="G690" s="6"/>
      <c r="H690" s="6"/>
      <c r="I690" s="6"/>
      <c r="J690" s="6"/>
      <c r="K690" s="6"/>
      <c r="L690" s="6"/>
      <c r="M690" s="6"/>
      <c r="N690" s="6"/>
      <c r="O690" s="6"/>
      <c r="P690" s="6"/>
      <c r="Q690" s="7"/>
      <c r="R690" s="4"/>
    </row>
    <row r="691" spans="1:18" ht="24">
      <c r="A691" s="1"/>
      <c r="B691" s="2"/>
      <c r="C691" s="8"/>
      <c r="D691" s="9" t="str">
        <f>+[239]INICIO!$C$8</f>
        <v>Análisis de Precios Unitarios- Secretaria de Planeación y Obras Publicas de Cubará, Boyacá.</v>
      </c>
      <c r="E691" s="10"/>
      <c r="F691" s="10"/>
      <c r="G691" s="10"/>
      <c r="H691" s="11"/>
      <c r="I691" s="12"/>
      <c r="J691" s="12"/>
      <c r="K691" s="12"/>
      <c r="L691" s="12"/>
      <c r="M691" s="12"/>
      <c r="N691" s="12"/>
      <c r="O691" s="12"/>
      <c r="P691" s="12"/>
      <c r="Q691" s="13"/>
      <c r="R691" s="4"/>
    </row>
    <row r="692" spans="1:18">
      <c r="A692" s="1"/>
      <c r="B692" s="2"/>
      <c r="C692" s="8"/>
      <c r="D692" s="14" t="s">
        <v>0</v>
      </c>
      <c r="E692" s="15" t="str">
        <f>+[239]INICIO!$C$7</f>
        <v>CCE-EICP-FM-14</v>
      </c>
      <c r="F692" s="16"/>
      <c r="G692" s="17" t="str">
        <f>+[239]INICIO!$B$6</f>
        <v>VERSIÓN</v>
      </c>
      <c r="H692" s="14">
        <f>+[239]INICIO!$C$6</f>
        <v>1</v>
      </c>
      <c r="I692" s="12"/>
      <c r="J692" s="12"/>
      <c r="K692" s="12"/>
      <c r="L692" s="12"/>
      <c r="M692" s="12"/>
      <c r="N692" s="12"/>
      <c r="O692" s="12"/>
      <c r="P692" s="12"/>
      <c r="Q692" s="13"/>
      <c r="R692" s="4"/>
    </row>
    <row r="693" spans="1:18">
      <c r="A693" s="1"/>
      <c r="B693" s="2"/>
      <c r="C693" s="8"/>
      <c r="D693" s="18"/>
      <c r="E693" s="19"/>
      <c r="F693" s="18"/>
      <c r="G693" s="19"/>
      <c r="H693" s="12"/>
      <c r="I693" s="12"/>
      <c r="J693" s="12"/>
      <c r="K693" s="12"/>
      <c r="L693" s="12"/>
      <c r="M693" s="12"/>
      <c r="N693" s="12"/>
      <c r="O693" s="12"/>
      <c r="P693" s="12"/>
      <c r="Q693" s="13"/>
      <c r="R693" s="4"/>
    </row>
    <row r="694" spans="1:18" ht="15.75" thickBot="1">
      <c r="A694" s="1"/>
      <c r="B694" s="2"/>
      <c r="C694" s="8"/>
      <c r="D694" s="20"/>
      <c r="E694" s="20"/>
      <c r="F694" s="20"/>
      <c r="G694" s="20"/>
      <c r="H694" s="20"/>
      <c r="I694" s="20"/>
      <c r="J694" s="20"/>
      <c r="K694" s="20"/>
      <c r="L694" s="20"/>
      <c r="M694" s="20"/>
      <c r="N694" s="20"/>
      <c r="O694" s="20"/>
      <c r="P694" s="20"/>
      <c r="Q694" s="13"/>
      <c r="R694" s="4"/>
    </row>
    <row r="695" spans="1:18">
      <c r="A695" s="1"/>
      <c r="B695" s="2"/>
      <c r="C695" s="8"/>
      <c r="D695" s="21"/>
      <c r="E695" s="22"/>
      <c r="F695" s="23"/>
      <c r="G695" s="23"/>
      <c r="H695" s="23"/>
      <c r="I695" s="23"/>
      <c r="J695" s="23"/>
      <c r="K695" s="23"/>
      <c r="L695" s="24"/>
      <c r="M695" s="25"/>
      <c r="N695" s="26"/>
      <c r="O695" s="26"/>
      <c r="P695" s="27"/>
      <c r="Q695" s="28"/>
      <c r="R695" s="4"/>
    </row>
    <row r="696" spans="1:18">
      <c r="A696" s="1"/>
      <c r="B696" s="2"/>
      <c r="C696" s="8"/>
      <c r="D696" s="29"/>
      <c r="E696" s="30" t="s">
        <v>1</v>
      </c>
      <c r="F696" s="31"/>
      <c r="G696" s="31"/>
      <c r="H696" s="31"/>
      <c r="I696" s="31"/>
      <c r="J696" s="31"/>
      <c r="K696" s="31"/>
      <c r="L696" s="32"/>
      <c r="M696" s="33"/>
      <c r="N696" s="34"/>
      <c r="O696" s="34"/>
      <c r="P696" s="35"/>
      <c r="Q696" s="28"/>
      <c r="R696" s="4"/>
    </row>
    <row r="697" spans="1:18">
      <c r="A697" s="1"/>
      <c r="B697" s="2"/>
      <c r="C697" s="8"/>
      <c r="D697" s="29"/>
      <c r="E697" s="36"/>
      <c r="F697" s="37"/>
      <c r="G697" s="37"/>
      <c r="H697" s="37"/>
      <c r="I697" s="37"/>
      <c r="J697" s="37"/>
      <c r="K697" s="37"/>
      <c r="L697" s="38"/>
      <c r="M697" s="39"/>
      <c r="N697" s="40"/>
      <c r="O697" s="41"/>
      <c r="P697" s="42"/>
      <c r="Q697" s="28"/>
      <c r="R697" s="4"/>
    </row>
    <row r="698" spans="1:18">
      <c r="A698" s="1"/>
      <c r="B698" s="2"/>
      <c r="C698" s="8"/>
      <c r="D698" s="29"/>
      <c r="E698" s="36"/>
      <c r="F698" s="37"/>
      <c r="G698" s="37"/>
      <c r="H698" s="37"/>
      <c r="I698" s="37"/>
      <c r="J698" s="37"/>
      <c r="K698" s="37"/>
      <c r="L698" s="38"/>
      <c r="M698" s="43" t="s">
        <v>2</v>
      </c>
      <c r="N698" s="44"/>
      <c r="O698" s="45">
        <f>+[239]INICIO!$C$6</f>
        <v>1</v>
      </c>
      <c r="P698" s="46"/>
      <c r="Q698" s="28"/>
      <c r="R698" s="4"/>
    </row>
    <row r="699" spans="1:18">
      <c r="A699" s="1"/>
      <c r="B699" s="2"/>
      <c r="C699" s="8"/>
      <c r="D699" s="29"/>
      <c r="E699" s="36"/>
      <c r="F699" s="37"/>
      <c r="G699" s="37"/>
      <c r="H699" s="37"/>
      <c r="I699" s="37"/>
      <c r="J699" s="37"/>
      <c r="K699" s="37"/>
      <c r="L699" s="38"/>
      <c r="M699" s="47"/>
      <c r="N699" s="48"/>
      <c r="O699" s="49"/>
      <c r="P699" s="50"/>
      <c r="Q699" s="51"/>
      <c r="R699" s="4"/>
    </row>
    <row r="700" spans="1:18">
      <c r="A700" s="1"/>
      <c r="B700" s="2"/>
      <c r="C700" s="8"/>
      <c r="D700" s="29"/>
      <c r="E700" s="52"/>
      <c r="F700" s="53"/>
      <c r="G700" s="53"/>
      <c r="H700" s="53"/>
      <c r="I700" s="53"/>
      <c r="J700" s="53"/>
      <c r="K700" s="53"/>
      <c r="L700" s="54"/>
      <c r="M700" s="39"/>
      <c r="N700" s="55"/>
      <c r="O700" s="55"/>
      <c r="P700" s="56"/>
      <c r="Q700" s="28"/>
      <c r="R700" s="4"/>
    </row>
    <row r="701" spans="1:18">
      <c r="A701" s="1"/>
      <c r="B701" s="2"/>
      <c r="C701" s="8"/>
      <c r="D701" s="29"/>
      <c r="E701" s="52"/>
      <c r="F701" s="53"/>
      <c r="G701" s="53"/>
      <c r="H701" s="53"/>
      <c r="I701" s="53"/>
      <c r="J701" s="53"/>
      <c r="K701" s="53"/>
      <c r="L701" s="54"/>
      <c r="M701" s="43" t="s">
        <v>3</v>
      </c>
      <c r="N701" s="43" t="str">
        <f>+VLOOKUP(D712,'PRESUPUESTO OFICIAL '!C:Q,9,FALSE)</f>
        <v>24</v>
      </c>
      <c r="O701" s="43" t="s">
        <v>4</v>
      </c>
      <c r="P701" s="508" t="str">
        <f>+'PRESUPUESTO OFICIAL '!$M$122</f>
        <v>62</v>
      </c>
      <c r="Q701" s="28"/>
      <c r="R701" s="4"/>
    </row>
    <row r="702" spans="1:18">
      <c r="A702" s="1"/>
      <c r="B702" s="2"/>
      <c r="C702" s="8"/>
      <c r="D702" s="29"/>
      <c r="E702" s="30" t="s">
        <v>5</v>
      </c>
      <c r="F702" s="31"/>
      <c r="G702" s="31"/>
      <c r="H702" s="31"/>
      <c r="I702" s="31"/>
      <c r="J702" s="31"/>
      <c r="K702" s="31"/>
      <c r="L702" s="32"/>
      <c r="M702" s="43"/>
      <c r="N702" s="57"/>
      <c r="O702" s="57"/>
      <c r="P702" s="58"/>
      <c r="Q702" s="28"/>
      <c r="R702" s="4"/>
    </row>
    <row r="703" spans="1:18" ht="15.75" thickBot="1">
      <c r="A703" s="1"/>
      <c r="B703" s="2"/>
      <c r="C703" s="8"/>
      <c r="D703" s="59"/>
      <c r="E703" s="60"/>
      <c r="F703" s="60"/>
      <c r="G703" s="60"/>
      <c r="H703" s="60"/>
      <c r="I703" s="60"/>
      <c r="J703" s="60"/>
      <c r="K703" s="60"/>
      <c r="L703" s="60"/>
      <c r="M703" s="60"/>
      <c r="N703" s="61"/>
      <c r="O703" s="61"/>
      <c r="P703" s="62"/>
      <c r="Q703" s="63"/>
      <c r="R703" s="4"/>
    </row>
    <row r="704" spans="1:18">
      <c r="A704" s="1"/>
      <c r="B704" s="2"/>
      <c r="C704" s="8"/>
      <c r="D704" s="64"/>
      <c r="E704" s="65"/>
      <c r="F704" s="65"/>
      <c r="G704" s="65"/>
      <c r="H704" s="65"/>
      <c r="I704" s="65"/>
      <c r="J704" s="65"/>
      <c r="K704" s="65"/>
      <c r="L704" s="65"/>
      <c r="M704" s="66" t="s">
        <v>6</v>
      </c>
      <c r="N704" s="66" t="s">
        <v>7</v>
      </c>
      <c r="O704" s="66" t="s">
        <v>8</v>
      </c>
      <c r="P704" s="67" t="s">
        <v>9</v>
      </c>
      <c r="Q704" s="51"/>
      <c r="R704" s="4"/>
    </row>
    <row r="705" spans="1:18">
      <c r="A705" s="1"/>
      <c r="B705" s="2"/>
      <c r="C705" s="8"/>
      <c r="D705" s="68"/>
      <c r="E705" s="69"/>
      <c r="F705" s="69"/>
      <c r="G705" s="69"/>
      <c r="H705" s="69"/>
      <c r="I705" s="69"/>
      <c r="J705" s="69"/>
      <c r="K705" s="69"/>
      <c r="L705" s="69"/>
      <c r="M705" s="70"/>
      <c r="N705" s="71">
        <f>+Hoja2!B$5</f>
        <v>5</v>
      </c>
      <c r="O705" s="71">
        <f>+Hoja2!C$5</f>
        <v>8</v>
      </c>
      <c r="P705" s="72">
        <f>+Hoja2!D$5</f>
        <v>2026</v>
      </c>
      <c r="Q705" s="73"/>
      <c r="R705" s="4"/>
    </row>
    <row r="706" spans="1:18">
      <c r="A706" s="1"/>
      <c r="B706" s="2"/>
      <c r="C706" s="8"/>
      <c r="D706" s="74"/>
      <c r="E706" s="37"/>
      <c r="F706" s="37"/>
      <c r="G706" s="37"/>
      <c r="H706" s="69"/>
      <c r="I706" s="69"/>
      <c r="J706" s="69"/>
      <c r="K706" s="20"/>
      <c r="L706" s="69"/>
      <c r="M706" s="75"/>
      <c r="N706" s="20"/>
      <c r="O706" s="20"/>
      <c r="P706" s="76"/>
      <c r="Q706" s="73"/>
      <c r="R706" s="4"/>
    </row>
    <row r="707" spans="1:18" ht="15.75" thickBot="1">
      <c r="A707" s="1"/>
      <c r="B707" s="2"/>
      <c r="C707" s="8"/>
      <c r="D707" s="77"/>
      <c r="E707" s="78"/>
      <c r="F707" s="78"/>
      <c r="G707" s="78"/>
      <c r="H707" s="78"/>
      <c r="I707" s="78"/>
      <c r="J707" s="78"/>
      <c r="K707" s="78"/>
      <c r="L707" s="78"/>
      <c r="M707" s="78"/>
      <c r="N707" s="78"/>
      <c r="O707" s="78"/>
      <c r="P707" s="79"/>
      <c r="Q707" s="13"/>
      <c r="R707" s="4"/>
    </row>
    <row r="708" spans="1:18" ht="15.75" thickBot="1">
      <c r="A708" s="1"/>
      <c r="B708" s="2"/>
      <c r="C708" s="8"/>
      <c r="D708" s="80"/>
      <c r="E708" s="81"/>
      <c r="F708" s="81"/>
      <c r="G708" s="81"/>
      <c r="H708" s="81"/>
      <c r="I708" s="81"/>
      <c r="J708" s="20"/>
      <c r="K708" s="20"/>
      <c r="L708" s="81"/>
      <c r="M708" s="81"/>
      <c r="N708" s="81"/>
      <c r="O708" s="81"/>
      <c r="P708" s="82"/>
      <c r="Q708" s="13"/>
      <c r="R708" s="4"/>
    </row>
    <row r="709" spans="1:18">
      <c r="A709" s="1"/>
      <c r="B709" s="2"/>
      <c r="C709" s="8"/>
      <c r="D709" s="83" t="s">
        <v>10</v>
      </c>
      <c r="E709" s="84"/>
      <c r="F709" s="84"/>
      <c r="G709" s="84"/>
      <c r="H709" s="84"/>
      <c r="I709" s="84"/>
      <c r="J709" s="84"/>
      <c r="K709" s="84"/>
      <c r="L709" s="84"/>
      <c r="M709" s="84"/>
      <c r="N709" s="84"/>
      <c r="O709" s="84"/>
      <c r="P709" s="85"/>
      <c r="Q709" s="86"/>
      <c r="R709" s="4"/>
    </row>
    <row r="710" spans="1:18" ht="15.75" thickBot="1">
      <c r="A710" s="1"/>
      <c r="B710" s="2"/>
      <c r="C710" s="8"/>
      <c r="D710" s="87"/>
      <c r="E710" s="20"/>
      <c r="F710" s="20"/>
      <c r="G710" s="20"/>
      <c r="H710" s="20"/>
      <c r="I710" s="20"/>
      <c r="J710" s="20"/>
      <c r="K710" s="20"/>
      <c r="L710" s="20"/>
      <c r="M710" s="20"/>
      <c r="N710" s="20"/>
      <c r="O710" s="20"/>
      <c r="P710" s="88"/>
      <c r="Q710" s="13"/>
      <c r="R710" s="4"/>
    </row>
    <row r="711" spans="1:18">
      <c r="A711" s="1" t="s">
        <v>11</v>
      </c>
      <c r="B711" s="2" t="s">
        <v>12</v>
      </c>
      <c r="C711" s="8"/>
      <c r="D711" s="89" t="s">
        <v>13</v>
      </c>
      <c r="E711" s="90" t="s">
        <v>14</v>
      </c>
      <c r="F711" s="90"/>
      <c r="G711" s="90"/>
      <c r="H711" s="90"/>
      <c r="I711" s="90"/>
      <c r="J711" s="90"/>
      <c r="K711" s="90"/>
      <c r="L711" s="90"/>
      <c r="M711" s="90"/>
      <c r="N711" s="91" t="s">
        <v>15</v>
      </c>
      <c r="O711" s="91"/>
      <c r="P711" s="92" t="s">
        <v>16</v>
      </c>
      <c r="Q711" s="93"/>
      <c r="R711" s="4"/>
    </row>
    <row r="712" spans="1:18" ht="15.75" thickBot="1">
      <c r="A712" s="1"/>
      <c r="B712" s="2"/>
      <c r="C712" s="8"/>
      <c r="D712" s="349">
        <f>+'PRESUPUESTO OFICIAL '!C42</f>
        <v>3.04</v>
      </c>
      <c r="E712" s="94" t="str">
        <f>+VLOOKUP(D712,'PRESUPUESTO OFICIAL '!C:H,2,FALSE)</f>
        <v>COLUMNA EN TUBO ESTRUCTURAL HR50, Dimensiones 0,10 X 0,10 M</v>
      </c>
      <c r="F712" s="94"/>
      <c r="G712" s="94"/>
      <c r="H712" s="94"/>
      <c r="I712" s="94"/>
      <c r="J712" s="94"/>
      <c r="K712" s="94"/>
      <c r="L712" s="94"/>
      <c r="M712" s="94"/>
      <c r="N712" s="94" t="str">
        <f>+VLOOKUP(D712,'PRESUPUESTO OFICIAL '!C:H,3,FALSE)</f>
        <v>M</v>
      </c>
      <c r="O712" s="95"/>
      <c r="P712" s="96">
        <f>+VLOOKUP(D712,'PRESUPUESTO OFICIAL '!C:H,4,FALSE)</f>
        <v>37.65</v>
      </c>
      <c r="Q712" s="97"/>
      <c r="R712" s="98">
        <f>+P764</f>
        <v>183325</v>
      </c>
    </row>
    <row r="713" spans="1:18" ht="15.75" thickBot="1">
      <c r="A713" s="1"/>
      <c r="B713" s="2"/>
      <c r="C713" s="8"/>
      <c r="D713" s="74" t="s">
        <v>17</v>
      </c>
      <c r="E713" s="37"/>
      <c r="F713" s="37"/>
      <c r="G713" s="37"/>
      <c r="H713" s="37"/>
      <c r="I713" s="37"/>
      <c r="J713" s="37"/>
      <c r="K713" s="37"/>
      <c r="L713" s="37"/>
      <c r="M713" s="37"/>
      <c r="N713" s="37"/>
      <c r="O713" s="37"/>
      <c r="P713" s="99"/>
      <c r="Q713" s="100"/>
      <c r="R713" s="4"/>
    </row>
    <row r="714" spans="1:18">
      <c r="A714" s="1"/>
      <c r="B714" s="2"/>
      <c r="C714" s="8"/>
      <c r="D714" s="101" t="s">
        <v>14</v>
      </c>
      <c r="E714" s="102"/>
      <c r="F714" s="102"/>
      <c r="G714" s="102"/>
      <c r="H714" s="103"/>
      <c r="I714" s="104" t="s">
        <v>18</v>
      </c>
      <c r="J714" s="102"/>
      <c r="K714" s="104" t="s">
        <v>19</v>
      </c>
      <c r="L714" s="105"/>
      <c r="M714" s="106" t="s">
        <v>20</v>
      </c>
      <c r="N714" s="104" t="s">
        <v>21</v>
      </c>
      <c r="O714" s="105"/>
      <c r="P714" s="107" t="s">
        <v>22</v>
      </c>
      <c r="Q714" s="108"/>
      <c r="R714" s="4"/>
    </row>
    <row r="715" spans="1:18">
      <c r="A715" s="1" t="e">
        <f>[239]INDICE!#REF!</f>
        <v>#REF!</v>
      </c>
      <c r="B715" s="2" t="s">
        <v>23</v>
      </c>
      <c r="C715" s="8"/>
      <c r="D715" s="109" t="str">
        <f>IFERROR(INDEX([239]EQUIPOS!B:B,MATCH(B715,[239]EQUIPOS!A:A,0)),"")</f>
        <v>HERRAMIENTA MENOR (% M.O)</v>
      </c>
      <c r="E715" s="110"/>
      <c r="F715" s="110"/>
      <c r="G715" s="110"/>
      <c r="H715" s="111"/>
      <c r="I715" s="112"/>
      <c r="J715" s="111"/>
      <c r="K715" s="113" t="str">
        <f>IFERROR(INDEX([239]EQUIPOS!C:C,MATCH(B715,[239]EQUIPOS!A:A,0)),"")</f>
        <v>%</v>
      </c>
      <c r="L715" s="114"/>
      <c r="M715" s="115">
        <f>IFERROR(IF(D715="HERRAMIENTA MENOR (% M.O)",P754,INDEX([239]EQUIPOS!D:D,MATCH(B715,[239]EQUIPOS!A:A,0))),"")</f>
        <v>67834.459999999992</v>
      </c>
      <c r="N715" s="116">
        <v>10</v>
      </c>
      <c r="O715" s="117"/>
      <c r="P715" s="118">
        <f t="shared" ref="P715:P720" si="24">IFERROR(ROUND(IF(D715="HERRAMIENTA MENOR (% M.O)",N715%*M715,M715/N715),2)," ")</f>
        <v>6783.45</v>
      </c>
      <c r="Q715" s="119"/>
      <c r="R715" s="4"/>
    </row>
    <row r="716" spans="1:18">
      <c r="A716" s="1">
        <f>+$A$2858</f>
        <v>0</v>
      </c>
      <c r="B716" s="2" t="s">
        <v>264</v>
      </c>
      <c r="C716" s="8"/>
      <c r="D716" s="109" t="str">
        <f>IFERROR(INDEX([239]EQUIPOS!B:B,MATCH(B716,[239]EQUIPOS!A:A,0)),"")</f>
        <v>PULIDORA</v>
      </c>
      <c r="E716" s="110"/>
      <c r="F716" s="110"/>
      <c r="G716" s="110"/>
      <c r="H716" s="111"/>
      <c r="I716" s="112"/>
      <c r="J716" s="111"/>
      <c r="K716" s="113" t="str">
        <f>IFERROR(INDEX([239]EQUIPOS!C:C,MATCH(B716,[239]EQUIPOS!A:A,0)),"")</f>
        <v>DIA</v>
      </c>
      <c r="L716" s="114"/>
      <c r="M716" s="115">
        <f>IFERROR(IF(D716="HERRAMIENTA MENOR (% M.O)",P755,INDEX([239]EQUIPOS!D:D,MATCH(B716,[239]EQUIPOS!A:A,0))),"")</f>
        <v>45000</v>
      </c>
      <c r="N716" s="116">
        <v>10</v>
      </c>
      <c r="O716" s="117"/>
      <c r="P716" s="118">
        <f t="shared" si="24"/>
        <v>4500</v>
      </c>
      <c r="Q716" s="119"/>
      <c r="R716" s="4"/>
    </row>
    <row r="717" spans="1:18">
      <c r="A717" s="1">
        <f t="shared" ref="A717:A755" si="25">+A716</f>
        <v>0</v>
      </c>
      <c r="B717" s="2" t="s">
        <v>278</v>
      </c>
      <c r="C717" s="8"/>
      <c r="D717" s="109" t="str">
        <f>IFERROR(INDEX([239]EQUIPOS!B:B,MATCH(B717,[239]EQUIPOS!A:A,0)),"")</f>
        <v>EQUIPO DE SOLDADURA</v>
      </c>
      <c r="E717" s="110"/>
      <c r="F717" s="110"/>
      <c r="G717" s="110"/>
      <c r="H717" s="111"/>
      <c r="I717" s="120"/>
      <c r="J717" s="121"/>
      <c r="K717" s="113" t="str">
        <f>IFERROR(INDEX([239]EQUIPOS!C:C,MATCH(B717,[239]EQUIPOS!A:A,0)),"")</f>
        <v>DIA</v>
      </c>
      <c r="L717" s="114"/>
      <c r="M717" s="115">
        <f>IFERROR(IF(D717="HERRAMIENTA MENOR (% M.O)",P756,INDEX([239]EQUIPOS!D:D,MATCH(B717,[239]EQUIPOS!A:A,0))),"")</f>
        <v>80000</v>
      </c>
      <c r="N717" s="116">
        <v>10</v>
      </c>
      <c r="O717" s="117"/>
      <c r="P717" s="118">
        <f t="shared" si="24"/>
        <v>8000</v>
      </c>
      <c r="Q717" s="119"/>
      <c r="R717" s="4"/>
    </row>
    <row r="718" spans="1:18">
      <c r="A718" s="1">
        <f t="shared" si="25"/>
        <v>0</v>
      </c>
      <c r="B718" s="2"/>
      <c r="C718" s="8"/>
      <c r="D718" s="109" t="str">
        <f>IFERROR(INDEX([239]EQUIPOS!B:B,MATCH(B718,[239]EQUIPOS!A:A,0)),"")</f>
        <v/>
      </c>
      <c r="E718" s="110"/>
      <c r="F718" s="110"/>
      <c r="G718" s="110"/>
      <c r="H718" s="111"/>
      <c r="I718" s="120"/>
      <c r="J718" s="121"/>
      <c r="K718" s="113" t="str">
        <f>IFERROR(INDEX([239]EQUIPOS!C:C,MATCH(B718,[239]EQUIPOS!A:A,0)),"")</f>
        <v/>
      </c>
      <c r="L718" s="114"/>
      <c r="M718" s="115" t="str">
        <f>IFERROR(IF(D718="HERRAMIENTA MENOR (% M.O)",P757,INDEX([239]EQUIPOS!D:D,MATCH(B718,[239]EQUIPOS!A:A,0))),"")</f>
        <v/>
      </c>
      <c r="N718" s="116"/>
      <c r="O718" s="117"/>
      <c r="P718" s="118" t="str">
        <f t="shared" si="24"/>
        <v xml:space="preserve"> </v>
      </c>
      <c r="Q718" s="119"/>
      <c r="R718" s="4"/>
    </row>
    <row r="719" spans="1:18">
      <c r="A719" s="1">
        <f t="shared" si="25"/>
        <v>0</v>
      </c>
      <c r="B719" s="2"/>
      <c r="C719" s="8"/>
      <c r="D719" s="109" t="str">
        <f>IFERROR(INDEX([239]EQUIPOS!B:B,MATCH(B719,[239]EQUIPOS!A:A,0)),"")</f>
        <v/>
      </c>
      <c r="E719" s="110"/>
      <c r="F719" s="110"/>
      <c r="G719" s="110"/>
      <c r="H719" s="111"/>
      <c r="I719" s="112"/>
      <c r="J719" s="111"/>
      <c r="K719" s="113" t="str">
        <f>IFERROR(INDEX([239]EQUIPOS!C:C,MATCH(B719,[239]EQUIPOS!A:A,0)),"")</f>
        <v/>
      </c>
      <c r="L719" s="114"/>
      <c r="M719" s="115" t="str">
        <f>IFERROR(IF(D719="HERRAMIENTA MENOR (% M.O)",P758,INDEX([239]EQUIPOS!D:D,MATCH(B719,[239]EQUIPOS!A:A,0))),"")</f>
        <v/>
      </c>
      <c r="N719" s="116"/>
      <c r="O719" s="117"/>
      <c r="P719" s="118" t="str">
        <f t="shared" si="24"/>
        <v xml:space="preserve"> </v>
      </c>
      <c r="Q719" s="119"/>
      <c r="R719" s="4"/>
    </row>
    <row r="720" spans="1:18" ht="15.75" thickBot="1">
      <c r="A720" s="1">
        <f t="shared" si="25"/>
        <v>0</v>
      </c>
      <c r="B720" s="2"/>
      <c r="C720" s="8"/>
      <c r="D720" s="109" t="str">
        <f>IFERROR(INDEX([239]EQUIPOS!B:B,MATCH(B720,[239]EQUIPOS!A:A,0)),"")</f>
        <v/>
      </c>
      <c r="E720" s="78"/>
      <c r="F720" s="78"/>
      <c r="G720" s="78"/>
      <c r="H720" s="122"/>
      <c r="I720" s="123"/>
      <c r="J720" s="122"/>
      <c r="K720" s="113" t="str">
        <f>IFERROR(INDEX([239]EQUIPOS!C:C,MATCH(B720,[239]EQUIPOS!A:A,0)),"")</f>
        <v/>
      </c>
      <c r="L720" s="124"/>
      <c r="M720" s="115" t="str">
        <f>IFERROR(IF(D720="HERRAMIENTA MENOR (% M.O)",P759,INDEX([239]EQUIPOS!D:D,MATCH(B720,[239]EQUIPOS!A:A,0))),"")</f>
        <v/>
      </c>
      <c r="N720" s="125"/>
      <c r="O720" s="126"/>
      <c r="P720" s="127" t="str">
        <f t="shared" si="24"/>
        <v xml:space="preserve"> </v>
      </c>
      <c r="Q720" s="119"/>
      <c r="R720" s="4"/>
    </row>
    <row r="721" spans="1:18" ht="15.75" thickBot="1">
      <c r="A721" s="1">
        <f t="shared" si="25"/>
        <v>0</v>
      </c>
      <c r="B721" s="2"/>
      <c r="C721" s="8"/>
      <c r="D721" s="128" t="s">
        <v>24</v>
      </c>
      <c r="E721" s="129"/>
      <c r="F721" s="129"/>
      <c r="G721" s="129"/>
      <c r="H721" s="129"/>
      <c r="I721" s="129"/>
      <c r="J721" s="129"/>
      <c r="K721" s="129"/>
      <c r="L721" s="129"/>
      <c r="M721" s="129"/>
      <c r="N721" s="129"/>
      <c r="O721" s="130"/>
      <c r="P721" s="131">
        <f>SUM(P715:P720)</f>
        <v>19283.45</v>
      </c>
      <c r="Q721" s="132"/>
      <c r="R721" s="4"/>
    </row>
    <row r="722" spans="1:18" ht="15.75" thickBot="1">
      <c r="A722" s="1">
        <f t="shared" si="25"/>
        <v>0</v>
      </c>
      <c r="B722" s="2"/>
      <c r="C722" s="8"/>
      <c r="D722" s="74" t="s">
        <v>25</v>
      </c>
      <c r="E722" s="37"/>
      <c r="F722" s="37"/>
      <c r="G722" s="37"/>
      <c r="H722" s="37"/>
      <c r="I722" s="37"/>
      <c r="J722" s="37"/>
      <c r="K722" s="37"/>
      <c r="L722" s="37"/>
      <c r="M722" s="37"/>
      <c r="N722" s="37"/>
      <c r="O722" s="37"/>
      <c r="P722" s="99"/>
      <c r="Q722" s="100"/>
      <c r="R722" s="4"/>
    </row>
    <row r="723" spans="1:18">
      <c r="A723" s="1">
        <f t="shared" si="25"/>
        <v>0</v>
      </c>
      <c r="B723" s="2"/>
      <c r="C723" s="8"/>
      <c r="D723" s="101" t="s">
        <v>14</v>
      </c>
      <c r="E723" s="133"/>
      <c r="F723" s="133"/>
      <c r="G723" s="133"/>
      <c r="H723" s="133"/>
      <c r="I723" s="133"/>
      <c r="J723" s="133"/>
      <c r="K723" s="105"/>
      <c r="L723" s="134" t="s">
        <v>15</v>
      </c>
      <c r="M723" s="106" t="s">
        <v>16</v>
      </c>
      <c r="N723" s="104" t="s">
        <v>26</v>
      </c>
      <c r="O723" s="105"/>
      <c r="P723" s="107" t="s">
        <v>22</v>
      </c>
      <c r="Q723" s="108"/>
      <c r="R723" s="4"/>
    </row>
    <row r="724" spans="1:18">
      <c r="A724" s="1">
        <f t="shared" si="25"/>
        <v>0</v>
      </c>
      <c r="B724" s="2" t="s">
        <v>279</v>
      </c>
      <c r="C724" s="8"/>
      <c r="D724" s="109" t="s">
        <v>477</v>
      </c>
      <c r="E724" s="135"/>
      <c r="F724" s="135"/>
      <c r="G724" s="135"/>
      <c r="H724" s="135"/>
      <c r="I724" s="135"/>
      <c r="J724" s="135"/>
      <c r="K724" s="136"/>
      <c r="L724" s="137" t="str">
        <f>IFERROR(INDEX([239]MATERIALES!D:D,MATCH(B724,[239]MATERIALES!B:B,0)),"")</f>
        <v>M</v>
      </c>
      <c r="M724" s="138">
        <v>1</v>
      </c>
      <c r="N724" s="139">
        <f>IFERROR(INDEX([239]MATERIALES!P:P,MATCH(B724,[239]MATERIALES!B:B,0)),"")</f>
        <v>35689.17</v>
      </c>
      <c r="O724" s="140"/>
      <c r="P724" s="118">
        <f>IFERROR(ROUND(N724*M724,2),"")</f>
        <v>35689.17</v>
      </c>
      <c r="Q724" s="119"/>
      <c r="R724" s="4"/>
    </row>
    <row r="725" spans="1:18">
      <c r="A725" s="1">
        <f t="shared" si="25"/>
        <v>0</v>
      </c>
      <c r="B725" s="2" t="s">
        <v>280</v>
      </c>
      <c r="C725" s="8"/>
      <c r="D725" s="109" t="str">
        <f>IFERROR(INDEX([239]MATERIALES!C:C,MATCH(B725,[239]MATERIALES!B:B,0)),"")</f>
        <v>SOLDADURA ELÉCTRICA 6013</v>
      </c>
      <c r="E725" s="135"/>
      <c r="F725" s="135"/>
      <c r="G725" s="135"/>
      <c r="H725" s="135"/>
      <c r="I725" s="135"/>
      <c r="J725" s="135"/>
      <c r="K725" s="136"/>
      <c r="L725" s="137" t="str">
        <f>IFERROR(INDEX([239]MATERIALES!D:D,MATCH(B725,[239]MATERIALES!B:B,0)),"")</f>
        <v>KG</v>
      </c>
      <c r="M725" s="138">
        <v>0.15</v>
      </c>
      <c r="N725" s="139">
        <f>IFERROR(INDEX([239]MATERIALES!P:P,MATCH(B725,[239]MATERIALES!B:B,0)),"")</f>
        <v>23035.3</v>
      </c>
      <c r="O725" s="140"/>
      <c r="P725" s="118">
        <f>IFERROR(ROUND(N725*M725,2),"")</f>
        <v>3455.3</v>
      </c>
      <c r="Q725" s="119"/>
      <c r="R725" s="4"/>
    </row>
    <row r="726" spans="1:18">
      <c r="A726" s="1">
        <f t="shared" si="25"/>
        <v>0</v>
      </c>
      <c r="B726" s="2" t="s">
        <v>281</v>
      </c>
      <c r="C726" s="8"/>
      <c r="D726" s="109" t="str">
        <f>IFERROR(INDEX([239]MATERIALES!C:C,MATCH(B726,[239]MATERIALES!B:B,0)),"")</f>
        <v>DISCO CORTE DE METAL 7"</v>
      </c>
      <c r="E726" s="110"/>
      <c r="F726" s="110"/>
      <c r="G726" s="110"/>
      <c r="H726" s="110"/>
      <c r="I726" s="110"/>
      <c r="J726" s="110"/>
      <c r="K726" s="111"/>
      <c r="L726" s="137" t="str">
        <f>IFERROR(INDEX([239]MATERIALES!D:D,MATCH(B726,[239]MATERIALES!B:B,0)),"")</f>
        <v>UND</v>
      </c>
      <c r="M726" s="138">
        <v>7.0000000000000007E-2</v>
      </c>
      <c r="N726" s="139">
        <f>IFERROR(INDEX([239]MATERIALES!P:P,MATCH(B726,[239]MATERIALES!B:B,0)),"")</f>
        <v>9750</v>
      </c>
      <c r="O726" s="140"/>
      <c r="P726" s="118">
        <f>IFERROR(ROUND(N726*M726,2),"")</f>
        <v>682.5</v>
      </c>
      <c r="Q726" s="119"/>
      <c r="R726" s="4"/>
    </row>
    <row r="727" spans="1:18">
      <c r="A727" s="1">
        <f t="shared" si="25"/>
        <v>0</v>
      </c>
      <c r="B727" s="2" t="s">
        <v>282</v>
      </c>
      <c r="C727" s="8"/>
      <c r="D727" s="109" t="str">
        <f>IFERROR(INDEX([239]MATERIALES!C:C,MATCH(B727,[239]MATERIALES!B:B,0)),"")</f>
        <v>DISOLVENTE THINNER</v>
      </c>
      <c r="E727" s="110"/>
      <c r="F727" s="110"/>
      <c r="G727" s="110"/>
      <c r="H727" s="110"/>
      <c r="I727" s="110"/>
      <c r="J727" s="110"/>
      <c r="K727" s="111"/>
      <c r="L727" s="137" t="str">
        <f>IFERROR(INDEX([239]MATERIALES!D:D,MATCH(B727,[239]MATERIALES!B:B,0)),"")</f>
        <v>GAL</v>
      </c>
      <c r="M727" s="138">
        <v>0.12</v>
      </c>
      <c r="N727" s="139">
        <f>IFERROR(INDEX([239]MATERIALES!P:P,MATCH(B727,[239]MATERIALES!B:B,0)),"")</f>
        <v>31200</v>
      </c>
      <c r="O727" s="140"/>
      <c r="P727" s="118">
        <f>IFERROR(ROUND(N727*M727,2),"")</f>
        <v>3744</v>
      </c>
      <c r="Q727" s="119"/>
      <c r="R727" s="4"/>
    </row>
    <row r="728" spans="1:18">
      <c r="A728" s="1">
        <f t="shared" si="25"/>
        <v>0</v>
      </c>
      <c r="B728" s="2" t="s">
        <v>283</v>
      </c>
      <c r="C728" s="8"/>
      <c r="D728" s="109" t="str">
        <f>IFERROR(INDEX([239]MATERIALES!C:C,MATCH(B728,[239]MATERIALES!B:B,0)),"")</f>
        <v>PINTURA ANTICORROSIVO</v>
      </c>
      <c r="E728" s="110"/>
      <c r="F728" s="110"/>
      <c r="G728" s="110"/>
      <c r="H728" s="110"/>
      <c r="I728" s="110"/>
      <c r="J728" s="110"/>
      <c r="K728" s="111"/>
      <c r="L728" s="137" t="str">
        <f>IFERROR(INDEX([239]MATERIALES!D:D,MATCH(B728,[239]MATERIALES!B:B,0)),"")</f>
        <v>GAL</v>
      </c>
      <c r="M728" s="138">
        <v>0.03</v>
      </c>
      <c r="N728" s="139">
        <f>IFERROR(INDEX([239]MATERIALES!P:P,MATCH(B728,[239]MATERIALES!B:B,0)),"")</f>
        <v>61200</v>
      </c>
      <c r="O728" s="140"/>
      <c r="P728" s="118">
        <f t="shared" ref="P728:P737" si="26">IFERROR(ROUND(N728*M728,2),"")</f>
        <v>1836</v>
      </c>
      <c r="Q728" s="119"/>
      <c r="R728" s="4"/>
    </row>
    <row r="729" spans="1:18">
      <c r="A729" s="1">
        <f t="shared" si="25"/>
        <v>0</v>
      </c>
      <c r="B729" s="2" t="s">
        <v>284</v>
      </c>
      <c r="C729" s="8"/>
      <c r="D729" s="109" t="str">
        <f>IFERROR(INDEX([239]MATERIALES!C:C,MATCH(B729,[239]MATERIALES!B:B,0)),"")</f>
        <v>PINTURA ESMALTE SINTÉTICO TIPO I</v>
      </c>
      <c r="E729" s="110"/>
      <c r="F729" s="110"/>
      <c r="G729" s="110"/>
      <c r="H729" s="110"/>
      <c r="I729" s="110"/>
      <c r="J729" s="110"/>
      <c r="K729" s="111"/>
      <c r="L729" s="137" t="str">
        <f>IFERROR(INDEX([239]MATERIALES!D:D,MATCH(B729,[239]MATERIALES!B:B,0)),"")</f>
        <v>GAL</v>
      </c>
      <c r="M729" s="138">
        <v>0.03</v>
      </c>
      <c r="N729" s="139">
        <f>IFERROR(INDEX([239]MATERIALES!P:P,MATCH(B729,[239]MATERIALES!B:B,0)),"")</f>
        <v>96598.66</v>
      </c>
      <c r="O729" s="140"/>
      <c r="P729" s="118">
        <f t="shared" si="26"/>
        <v>2897.96</v>
      </c>
      <c r="Q729" s="119"/>
      <c r="R729" s="4"/>
    </row>
    <row r="730" spans="1:18">
      <c r="A730" s="1">
        <f t="shared" si="25"/>
        <v>0</v>
      </c>
      <c r="B730" s="2"/>
      <c r="C730" s="8"/>
      <c r="D730" s="109" t="str">
        <f>IFERROR(INDEX([239]MATERIALES!C:C,MATCH(B730,[239]MATERIALES!B:B,0)),"")</f>
        <v/>
      </c>
      <c r="E730" s="110"/>
      <c r="F730" s="110"/>
      <c r="G730" s="110"/>
      <c r="H730" s="110"/>
      <c r="I730" s="110"/>
      <c r="J730" s="110"/>
      <c r="K730" s="111"/>
      <c r="L730" s="137" t="str">
        <f>IFERROR(INDEX([239]MATERIALES!D:D,MATCH(B730,[239]MATERIALES!B:B,0)),"")</f>
        <v/>
      </c>
      <c r="M730" s="138"/>
      <c r="N730" s="139" t="str">
        <f>IFERROR(INDEX([239]MATERIALES!P:P,MATCH(B730,[239]MATERIALES!B:B,0)),"")</f>
        <v/>
      </c>
      <c r="O730" s="140"/>
      <c r="P730" s="118" t="str">
        <f t="shared" si="26"/>
        <v/>
      </c>
      <c r="Q730" s="119"/>
      <c r="R730" s="4"/>
    </row>
    <row r="731" spans="1:18">
      <c r="A731" s="1">
        <f t="shared" si="25"/>
        <v>0</v>
      </c>
      <c r="B731" s="2"/>
      <c r="C731" s="8"/>
      <c r="D731" s="109" t="str">
        <f>IFERROR(INDEX([239]MATERIALES!C:C,MATCH(B731,[239]MATERIALES!B:B,0)),"")</f>
        <v/>
      </c>
      <c r="E731" s="110"/>
      <c r="F731" s="110"/>
      <c r="G731" s="110"/>
      <c r="H731" s="110"/>
      <c r="I731" s="110"/>
      <c r="J731" s="110"/>
      <c r="K731" s="111"/>
      <c r="L731" s="137" t="str">
        <f>IFERROR(INDEX([239]MATERIALES!D:D,MATCH(B731,[239]MATERIALES!B:B,0)),"")</f>
        <v/>
      </c>
      <c r="M731" s="138"/>
      <c r="N731" s="139" t="str">
        <f>IFERROR(INDEX([239]MATERIALES!P:P,MATCH(B731,[239]MATERIALES!B:B,0)),"")</f>
        <v/>
      </c>
      <c r="O731" s="140"/>
      <c r="P731" s="118" t="str">
        <f t="shared" si="26"/>
        <v/>
      </c>
      <c r="Q731" s="119"/>
      <c r="R731" s="4"/>
    </row>
    <row r="732" spans="1:18">
      <c r="A732" s="1">
        <f t="shared" si="25"/>
        <v>0</v>
      </c>
      <c r="B732" s="2"/>
      <c r="C732" s="8"/>
      <c r="D732" s="109" t="str">
        <f>IFERROR(INDEX([239]MATERIALES!C:C,MATCH(B732,[239]MATERIALES!B:B,0)),"")</f>
        <v/>
      </c>
      <c r="E732" s="110"/>
      <c r="F732" s="110"/>
      <c r="G732" s="110"/>
      <c r="H732" s="110"/>
      <c r="I732" s="110"/>
      <c r="J732" s="110"/>
      <c r="K732" s="111"/>
      <c r="L732" s="137" t="str">
        <f>IFERROR(INDEX([239]MATERIALES!D:D,MATCH(B732,[239]MATERIALES!B:B,0)),"")</f>
        <v/>
      </c>
      <c r="M732" s="138"/>
      <c r="N732" s="139" t="str">
        <f>IFERROR(INDEX([239]MATERIALES!P:P,MATCH(B732,[239]MATERIALES!B:B,0)),"")</f>
        <v/>
      </c>
      <c r="O732" s="140"/>
      <c r="P732" s="118" t="str">
        <f t="shared" si="26"/>
        <v/>
      </c>
      <c r="Q732" s="119"/>
      <c r="R732" s="4"/>
    </row>
    <row r="733" spans="1:18">
      <c r="A733" s="1">
        <f t="shared" si="25"/>
        <v>0</v>
      </c>
      <c r="B733" s="2"/>
      <c r="C733" s="8"/>
      <c r="D733" s="109" t="str">
        <f>IFERROR(INDEX([239]MATERIALES!C:C,MATCH(B733,[239]MATERIALES!B:B,0)),"")</f>
        <v/>
      </c>
      <c r="E733" s="110"/>
      <c r="F733" s="110"/>
      <c r="G733" s="110"/>
      <c r="H733" s="110"/>
      <c r="I733" s="110"/>
      <c r="J733" s="110"/>
      <c r="K733" s="111"/>
      <c r="L733" s="137" t="str">
        <f>IFERROR(INDEX([239]MATERIALES!D:D,MATCH(B733,[239]MATERIALES!B:B,0)),"")</f>
        <v/>
      </c>
      <c r="M733" s="138"/>
      <c r="N733" s="139" t="str">
        <f>IFERROR(INDEX([239]MATERIALES!P:P,MATCH(B733,[239]MATERIALES!B:B,0)),"")</f>
        <v/>
      </c>
      <c r="O733" s="140"/>
      <c r="P733" s="118" t="str">
        <f t="shared" si="26"/>
        <v/>
      </c>
      <c r="Q733" s="119"/>
      <c r="R733" s="4"/>
    </row>
    <row r="734" spans="1:18">
      <c r="A734" s="1">
        <f t="shared" si="25"/>
        <v>0</v>
      </c>
      <c r="B734" s="2"/>
      <c r="C734" s="8"/>
      <c r="D734" s="109" t="str">
        <f>IFERROR(INDEX([239]MATERIALES!C:C,MATCH(B734,[239]MATERIALES!B:B,0)),"")</f>
        <v/>
      </c>
      <c r="E734" s="110"/>
      <c r="F734" s="110"/>
      <c r="G734" s="110"/>
      <c r="H734" s="110"/>
      <c r="I734" s="110"/>
      <c r="J734" s="110"/>
      <c r="K734" s="111"/>
      <c r="L734" s="137" t="str">
        <f>IFERROR(INDEX([239]MATERIALES!D:D,MATCH(B734,[239]MATERIALES!B:B,0)),"")</f>
        <v/>
      </c>
      <c r="M734" s="138"/>
      <c r="N734" s="139" t="str">
        <f>IFERROR(INDEX([239]MATERIALES!P:P,MATCH(B734,[239]MATERIALES!B:B,0)),"")</f>
        <v/>
      </c>
      <c r="O734" s="140"/>
      <c r="P734" s="118" t="str">
        <f t="shared" si="26"/>
        <v/>
      </c>
      <c r="Q734" s="119"/>
      <c r="R734" s="4"/>
    </row>
    <row r="735" spans="1:18">
      <c r="A735" s="1">
        <f t="shared" si="25"/>
        <v>0</v>
      </c>
      <c r="B735" s="2"/>
      <c r="C735" s="8"/>
      <c r="D735" s="109" t="str">
        <f>IFERROR(INDEX([239]MATERIALES!C:C,MATCH(B735,[239]MATERIALES!B:B,0)),"")</f>
        <v/>
      </c>
      <c r="E735" s="110"/>
      <c r="F735" s="110"/>
      <c r="G735" s="110"/>
      <c r="H735" s="110"/>
      <c r="I735" s="110"/>
      <c r="J735" s="110"/>
      <c r="K735" s="111"/>
      <c r="L735" s="137" t="str">
        <f>IFERROR(INDEX([239]MATERIALES!D:D,MATCH(B735,[239]MATERIALES!B:B,0)),"")</f>
        <v/>
      </c>
      <c r="M735" s="138"/>
      <c r="N735" s="139" t="str">
        <f>IFERROR(INDEX([239]MATERIALES!P:P,MATCH(B735,[239]MATERIALES!B:B,0)),"")</f>
        <v/>
      </c>
      <c r="O735" s="140"/>
      <c r="P735" s="118" t="str">
        <f t="shared" si="26"/>
        <v/>
      </c>
      <c r="Q735" s="119"/>
      <c r="R735" s="4"/>
    </row>
    <row r="736" spans="1:18">
      <c r="A736" s="1">
        <f t="shared" si="25"/>
        <v>0</v>
      </c>
      <c r="B736" s="2"/>
      <c r="C736" s="8"/>
      <c r="D736" s="109" t="str">
        <f>IFERROR(INDEX([239]MATERIALES!C:C,MATCH(B736,[239]MATERIALES!B:B,0)),"")</f>
        <v/>
      </c>
      <c r="E736" s="110"/>
      <c r="F736" s="110"/>
      <c r="G736" s="110"/>
      <c r="H736" s="110"/>
      <c r="I736" s="110"/>
      <c r="J736" s="110"/>
      <c r="K736" s="111"/>
      <c r="L736" s="137" t="str">
        <f>IFERROR(INDEX([239]MATERIALES!D:D,MATCH(B736,[239]MATERIALES!B:B,0)),"")</f>
        <v/>
      </c>
      <c r="M736" s="138"/>
      <c r="N736" s="139" t="str">
        <f>IFERROR(INDEX([239]MATERIALES!P:P,MATCH(B736,[239]MATERIALES!B:B,0)),"")</f>
        <v/>
      </c>
      <c r="O736" s="140"/>
      <c r="P736" s="118" t="str">
        <f t="shared" si="26"/>
        <v/>
      </c>
      <c r="Q736" s="119"/>
      <c r="R736" s="4"/>
    </row>
    <row r="737" spans="1:18">
      <c r="A737" s="1">
        <f t="shared" si="25"/>
        <v>0</v>
      </c>
      <c r="B737" s="2"/>
      <c r="C737" s="8"/>
      <c r="D737" s="109" t="str">
        <f>IFERROR(INDEX([239]MATERIALES!C:C,MATCH(B737,[239]MATERIALES!B:B,0)),"")</f>
        <v/>
      </c>
      <c r="E737" s="110"/>
      <c r="F737" s="110"/>
      <c r="G737" s="110"/>
      <c r="H737" s="110"/>
      <c r="I737" s="110"/>
      <c r="J737" s="110"/>
      <c r="K737" s="111"/>
      <c r="L737" s="137" t="str">
        <f>IFERROR(INDEX([239]MATERIALES!D:D,MATCH(B737,[239]MATERIALES!B:B,0)),"")</f>
        <v/>
      </c>
      <c r="M737" s="138"/>
      <c r="N737" s="139" t="str">
        <f>IFERROR(INDEX([239]MATERIALES!P:P,MATCH(B737,[239]MATERIALES!B:B,0)),"")</f>
        <v/>
      </c>
      <c r="O737" s="140"/>
      <c r="P737" s="118" t="str">
        <f t="shared" si="26"/>
        <v/>
      </c>
      <c r="Q737" s="119"/>
      <c r="R737" s="4"/>
    </row>
    <row r="738" spans="1:18" ht="15.75" thickBot="1">
      <c r="A738" s="1">
        <f t="shared" si="25"/>
        <v>0</v>
      </c>
      <c r="B738" s="2"/>
      <c r="C738" s="8"/>
      <c r="D738" s="109" t="s">
        <v>28</v>
      </c>
      <c r="E738" s="110"/>
      <c r="F738" s="110"/>
      <c r="G738" s="110"/>
      <c r="H738" s="110"/>
      <c r="I738" s="110"/>
      <c r="J738" s="110"/>
      <c r="K738" s="111"/>
      <c r="L738" s="137" t="s">
        <v>29</v>
      </c>
      <c r="M738" s="138">
        <v>0.05</v>
      </c>
      <c r="N738" s="139">
        <f>SUM(P724:P737)</f>
        <v>48304.93</v>
      </c>
      <c r="O738" s="140"/>
      <c r="P738" s="118">
        <f>ROUND(N738*M738,2)</f>
        <v>2415.25</v>
      </c>
      <c r="Q738" s="119"/>
      <c r="R738" s="4"/>
    </row>
    <row r="739" spans="1:18" ht="15.75" thickBot="1">
      <c r="A739" s="1">
        <f t="shared" si="25"/>
        <v>0</v>
      </c>
      <c r="B739" s="2"/>
      <c r="C739" s="8"/>
      <c r="D739" s="128" t="s">
        <v>24</v>
      </c>
      <c r="E739" s="129"/>
      <c r="F739" s="129"/>
      <c r="G739" s="129"/>
      <c r="H739" s="129"/>
      <c r="I739" s="129"/>
      <c r="J739" s="129"/>
      <c r="K739" s="129"/>
      <c r="L739" s="129"/>
      <c r="M739" s="129"/>
      <c r="N739" s="129"/>
      <c r="O739" s="130"/>
      <c r="P739" s="131">
        <f>SUM(P724:P738)</f>
        <v>50720.18</v>
      </c>
      <c r="Q739" s="119"/>
      <c r="R739" s="4"/>
    </row>
    <row r="740" spans="1:18" ht="15.75" thickBot="1">
      <c r="A740" s="1">
        <f t="shared" si="25"/>
        <v>0</v>
      </c>
      <c r="B740" s="2"/>
      <c r="C740" s="8"/>
      <c r="D740" s="74" t="s">
        <v>30</v>
      </c>
      <c r="E740" s="37"/>
      <c r="F740" s="37"/>
      <c r="G740" s="37"/>
      <c r="H740" s="37"/>
      <c r="I740" s="37"/>
      <c r="J740" s="37"/>
      <c r="K740" s="37"/>
      <c r="L740" s="37"/>
      <c r="M740" s="37"/>
      <c r="N740" s="37"/>
      <c r="O740" s="37"/>
      <c r="P740" s="99"/>
      <c r="Q740" s="100"/>
      <c r="R740" s="4"/>
    </row>
    <row r="741" spans="1:18">
      <c r="A741" s="1">
        <f t="shared" si="25"/>
        <v>0</v>
      </c>
      <c r="B741" s="2"/>
      <c r="C741" s="8"/>
      <c r="D741" s="101" t="s">
        <v>31</v>
      </c>
      <c r="E741" s="133"/>
      <c r="F741" s="133"/>
      <c r="G741" s="133"/>
      <c r="H741" s="133"/>
      <c r="I741" s="133"/>
      <c r="J741" s="133"/>
      <c r="K741" s="106" t="s">
        <v>32</v>
      </c>
      <c r="L741" s="141" t="s">
        <v>33</v>
      </c>
      <c r="M741" s="106" t="s">
        <v>34</v>
      </c>
      <c r="N741" s="104" t="s">
        <v>20</v>
      </c>
      <c r="O741" s="105"/>
      <c r="P741" s="107" t="s">
        <v>22</v>
      </c>
      <c r="Q741" s="108"/>
      <c r="R741" s="4"/>
    </row>
    <row r="742" spans="1:18">
      <c r="A742" s="1">
        <f t="shared" si="25"/>
        <v>0</v>
      </c>
      <c r="B742" s="2"/>
      <c r="C742" s="8"/>
      <c r="D742" s="142" t="str">
        <f>IFERROR(INDEX([239]TRANSPORTES!B:B,MATCH(B742,[239]TRANSPORTES!A:A,0)),"")</f>
        <v/>
      </c>
      <c r="E742" s="143"/>
      <c r="F742" s="143"/>
      <c r="G742" s="143"/>
      <c r="H742" s="143"/>
      <c r="I742" s="143"/>
      <c r="J742" s="143"/>
      <c r="K742" s="220"/>
      <c r="L742" s="145"/>
      <c r="M742" s="146" t="str">
        <f>IFERROR(INDEX([239]TRANSPORTES!C:C,MATCH(B742,[239]TRANSPORTES!A:A,0)),"")</f>
        <v/>
      </c>
      <c r="N742" s="139" t="str">
        <f>IFERROR(INDEX([239]TRANSPORTES!D:D,MATCH(B742,[239]TRANSPORTES!A:A,0)),"")</f>
        <v/>
      </c>
      <c r="O742" s="147"/>
      <c r="P742" s="148" t="str">
        <f>IFERROR(ROUND(K742*N742*L742,2),"")</f>
        <v/>
      </c>
      <c r="Q742" s="119"/>
      <c r="R742" s="4"/>
    </row>
    <row r="743" spans="1:18">
      <c r="A743" s="1">
        <f t="shared" si="25"/>
        <v>0</v>
      </c>
      <c r="B743" s="2"/>
      <c r="C743" s="8"/>
      <c r="D743" s="142" t="str">
        <f>IFERROR(INDEX([239]TRANSPORTES!B:B,MATCH(B743,[239]TRANSPORTES!A:A,0)),"")</f>
        <v/>
      </c>
      <c r="E743" s="143"/>
      <c r="F743" s="143"/>
      <c r="G743" s="143"/>
      <c r="H743" s="143"/>
      <c r="I743" s="143"/>
      <c r="J743" s="143"/>
      <c r="K743" s="144"/>
      <c r="L743" s="145"/>
      <c r="M743" s="146" t="str">
        <f>IFERROR(INDEX([239]TRANSPORTES!C:C,MATCH(B743,[239]TRANSPORTES!A:A,0)),"")</f>
        <v/>
      </c>
      <c r="N743" s="139" t="str">
        <f>IFERROR(INDEX([239]TRANSPORTES!D:D,MATCH(B743,[239]TRANSPORTES!A:A,0)),"")</f>
        <v/>
      </c>
      <c r="O743" s="147"/>
      <c r="P743" s="148" t="str">
        <f>IFERROR(ROUND(K743*N743*L743,2),"")</f>
        <v/>
      </c>
      <c r="Q743" s="119"/>
      <c r="R743" s="4"/>
    </row>
    <row r="744" spans="1:18">
      <c r="A744" s="1">
        <f t="shared" si="25"/>
        <v>0</v>
      </c>
      <c r="B744" s="2"/>
      <c r="C744" s="8"/>
      <c r="D744" s="142" t="str">
        <f>IFERROR(INDEX([239]TRANSPORTES!B:B,MATCH(B744,[239]TRANSPORTES!A:A,0)),"")</f>
        <v/>
      </c>
      <c r="E744" s="143"/>
      <c r="F744" s="143"/>
      <c r="G744" s="143"/>
      <c r="H744" s="143"/>
      <c r="I744" s="143"/>
      <c r="J744" s="143"/>
      <c r="K744" s="144"/>
      <c r="L744" s="145"/>
      <c r="M744" s="146" t="str">
        <f>IFERROR(INDEX([239]TRANSPORTES!C:C,MATCH(B744,[239]TRANSPORTES!A:A,0)),"")</f>
        <v/>
      </c>
      <c r="N744" s="139" t="str">
        <f>IFERROR(INDEX([239]TRANSPORTES!D:D,MATCH(B744,[239]TRANSPORTES!A:A,0)),"")</f>
        <v/>
      </c>
      <c r="O744" s="147"/>
      <c r="P744" s="148" t="str">
        <f>IFERROR(ROUND(K744*N744*L744,2),"")</f>
        <v/>
      </c>
      <c r="Q744" s="119"/>
      <c r="R744" s="4"/>
    </row>
    <row r="745" spans="1:18" ht="15.75" thickBot="1">
      <c r="A745" s="1">
        <f t="shared" si="25"/>
        <v>0</v>
      </c>
      <c r="B745" s="2"/>
      <c r="C745" s="8"/>
      <c r="D745" s="142" t="str">
        <f>IFERROR(INDEX([239]TRANSPORTES!B:B,MATCH(B745,[239]TRANSPORTES!A:A,0)),"")</f>
        <v/>
      </c>
      <c r="E745" s="143"/>
      <c r="F745" s="143"/>
      <c r="G745" s="143"/>
      <c r="H745" s="143"/>
      <c r="I745" s="143"/>
      <c r="J745" s="143"/>
      <c r="K745" s="149"/>
      <c r="L745" s="150"/>
      <c r="M745" s="146" t="str">
        <f>IFERROR(INDEX([239]TRANSPORTES!C:C,MATCH(B745,[239]TRANSPORTES!A:A,0)),"")</f>
        <v/>
      </c>
      <c r="N745" s="139" t="str">
        <f>IFERROR(INDEX([239]TRANSPORTES!D:D,MATCH(B745,[239]TRANSPORTES!A:A,0)),"")</f>
        <v/>
      </c>
      <c r="O745" s="147"/>
      <c r="P745" s="148" t="str">
        <f>IFERROR(ROUND(K745*N745*L745,2),"")</f>
        <v/>
      </c>
      <c r="Q745" s="119"/>
      <c r="R745" s="4"/>
    </row>
    <row r="746" spans="1:18" ht="15.75" thickBot="1">
      <c r="A746" s="1">
        <f t="shared" si="25"/>
        <v>0</v>
      </c>
      <c r="B746" s="2"/>
      <c r="C746" s="8"/>
      <c r="D746" s="128" t="s">
        <v>24</v>
      </c>
      <c r="E746" s="129"/>
      <c r="F746" s="129"/>
      <c r="G746" s="129"/>
      <c r="H746" s="129"/>
      <c r="I746" s="129"/>
      <c r="J746" s="129"/>
      <c r="K746" s="129"/>
      <c r="L746" s="129"/>
      <c r="M746" s="129"/>
      <c r="N746" s="129"/>
      <c r="O746" s="130"/>
      <c r="P746" s="151">
        <f>SUM(P742:P745)</f>
        <v>0</v>
      </c>
      <c r="Q746" s="132"/>
      <c r="R746" s="4"/>
    </row>
    <row r="747" spans="1:18" ht="15.75" thickBot="1">
      <c r="A747" s="1">
        <f t="shared" si="25"/>
        <v>0</v>
      </c>
      <c r="B747" s="2"/>
      <c r="C747" s="8"/>
      <c r="D747" s="74" t="s">
        <v>36</v>
      </c>
      <c r="E747" s="37"/>
      <c r="F747" s="37"/>
      <c r="G747" s="37"/>
      <c r="H747" s="37"/>
      <c r="I747" s="37"/>
      <c r="J747" s="37"/>
      <c r="K747" s="37"/>
      <c r="L747" s="37"/>
      <c r="M747" s="37"/>
      <c r="N747" s="37"/>
      <c r="O747" s="37"/>
      <c r="P747" s="99"/>
      <c r="Q747" s="100"/>
      <c r="R747" s="4"/>
    </row>
    <row r="748" spans="1:18" ht="30">
      <c r="A748" s="1">
        <f t="shared" si="25"/>
        <v>0</v>
      </c>
      <c r="B748" s="2"/>
      <c r="C748" s="8"/>
      <c r="D748" s="101" t="s">
        <v>37</v>
      </c>
      <c r="E748" s="133"/>
      <c r="F748" s="133"/>
      <c r="G748" s="133"/>
      <c r="H748" s="133"/>
      <c r="I748" s="133"/>
      <c r="J748" s="133"/>
      <c r="K748" s="106" t="s">
        <v>38</v>
      </c>
      <c r="L748" s="152" t="s">
        <v>39</v>
      </c>
      <c r="M748" s="153" t="s">
        <v>40</v>
      </c>
      <c r="N748" s="104" t="s">
        <v>21</v>
      </c>
      <c r="O748" s="105"/>
      <c r="P748" s="154" t="s">
        <v>22</v>
      </c>
      <c r="Q748" s="155"/>
      <c r="R748" s="4"/>
    </row>
    <row r="749" spans="1:18">
      <c r="A749" s="1">
        <f t="shared" si="25"/>
        <v>0</v>
      </c>
      <c r="B749" s="2" t="s">
        <v>285</v>
      </c>
      <c r="C749" s="8"/>
      <c r="D749" s="109" t="str">
        <f>IFERROR(INDEX('[239]MANO DE OBRA'!B:B,MATCH(B749,'[239]MANO DE OBRA'!A:A,0)),"")</f>
        <v>SOLDADOR</v>
      </c>
      <c r="E749" s="110"/>
      <c r="F749" s="110"/>
      <c r="G749" s="110"/>
      <c r="H749" s="110"/>
      <c r="I749" s="110"/>
      <c r="J749" s="111"/>
      <c r="K749" s="156">
        <f>IFERROR(INDEX('[239]MANO DE OBRA'!D:D,MATCH(B749,'[239]MANO DE OBRA'!A:A,0)),"")</f>
        <v>133570</v>
      </c>
      <c r="L749" s="157">
        <f>+IF(D749&lt;&gt;"",'[239]FACTOR PRESTACIONAL'!$E$21," ")</f>
        <v>1.95</v>
      </c>
      <c r="M749" s="158">
        <f>IFERROR(K749*L749," ")</f>
        <v>260461.5</v>
      </c>
      <c r="N749" s="159">
        <v>10</v>
      </c>
      <c r="O749" s="160"/>
      <c r="P749" s="161">
        <f>IFERROR(ROUND(M749/N749,2)," ")</f>
        <v>26046.15</v>
      </c>
      <c r="Q749" s="162"/>
      <c r="R749" s="4"/>
    </row>
    <row r="750" spans="1:18">
      <c r="A750" s="1">
        <f t="shared" si="25"/>
        <v>0</v>
      </c>
      <c r="B750" s="2" t="s">
        <v>286</v>
      </c>
      <c r="C750" s="8"/>
      <c r="D750" s="109" t="str">
        <f>IFERROR(INDEX('[239]MANO DE OBRA'!B:B,MATCH(B750,'[239]MANO DE OBRA'!A:A,0)),"")</f>
        <v>AYUDANTE (3)</v>
      </c>
      <c r="E750" s="110"/>
      <c r="F750" s="110"/>
      <c r="G750" s="110"/>
      <c r="H750" s="110"/>
      <c r="I750" s="110"/>
      <c r="J750" s="111"/>
      <c r="K750" s="156">
        <f>IFERROR(INDEX('[239]MANO DE OBRA'!D:D,MATCH(B750,'[239]MANO DE OBRA'!A:A,0)),"")</f>
        <v>214299</v>
      </c>
      <c r="L750" s="157">
        <f>+IF(D750&lt;&gt;"",'[239]FACTOR PRESTACIONAL'!$E$21," ")</f>
        <v>1.95</v>
      </c>
      <c r="M750" s="158">
        <f>IFERROR(K750*L750," ")</f>
        <v>417883.05</v>
      </c>
      <c r="N750" s="159">
        <v>10</v>
      </c>
      <c r="O750" s="160"/>
      <c r="P750" s="161">
        <f>IFERROR(ROUND(M750/N750,2)," ")</f>
        <v>41788.31</v>
      </c>
      <c r="Q750" s="162"/>
      <c r="R750" s="4"/>
    </row>
    <row r="751" spans="1:18">
      <c r="A751" s="1">
        <f t="shared" si="25"/>
        <v>0</v>
      </c>
      <c r="B751" s="2"/>
      <c r="C751" s="8"/>
      <c r="D751" s="109" t="str">
        <f>IFERROR(INDEX('[239]MANO DE OBRA'!B:B,MATCH(B751,'[239]MANO DE OBRA'!A:A,0)),"")</f>
        <v/>
      </c>
      <c r="E751" s="110"/>
      <c r="F751" s="110"/>
      <c r="G751" s="110"/>
      <c r="H751" s="110"/>
      <c r="I751" s="110"/>
      <c r="J751" s="111"/>
      <c r="K751" s="156" t="str">
        <f>IFERROR(INDEX('[239]MANO DE OBRA'!D:D,MATCH(B751,'[239]MANO DE OBRA'!A:A,0)),"")</f>
        <v/>
      </c>
      <c r="L751" s="157" t="str">
        <f>+IF(D751&lt;&gt;"",'[239]FACTOR PRESTACIONAL'!$E$21," ")</f>
        <v xml:space="preserve"> </v>
      </c>
      <c r="M751" s="158" t="str">
        <f>IFERROR(K751*L751," ")</f>
        <v xml:space="preserve"> </v>
      </c>
      <c r="N751" s="159"/>
      <c r="O751" s="160"/>
      <c r="P751" s="161" t="str">
        <f>IFERROR(ROUND(M751/N751,2)," ")</f>
        <v xml:space="preserve"> </v>
      </c>
      <c r="Q751" s="162"/>
      <c r="R751" s="4"/>
    </row>
    <row r="752" spans="1:18">
      <c r="A752" s="1">
        <f t="shared" si="25"/>
        <v>0</v>
      </c>
      <c r="B752" s="2"/>
      <c r="C752" s="8"/>
      <c r="D752" s="109" t="str">
        <f>IFERROR(INDEX('[239]MANO DE OBRA'!B:B,MATCH(B752,'[239]MANO DE OBRA'!A:A,0)),"")</f>
        <v/>
      </c>
      <c r="E752" s="110"/>
      <c r="F752" s="110"/>
      <c r="G752" s="110"/>
      <c r="H752" s="110"/>
      <c r="I752" s="110"/>
      <c r="J752" s="111"/>
      <c r="K752" s="156" t="str">
        <f>IFERROR(INDEX('[239]MANO DE OBRA'!D:D,MATCH(B752,'[239]MANO DE OBRA'!A:A,0)),"")</f>
        <v/>
      </c>
      <c r="L752" s="157" t="str">
        <f>+IF(D752&lt;&gt;"",'[239]FACTOR PRESTACIONAL'!$E$21," ")</f>
        <v xml:space="preserve"> </v>
      </c>
      <c r="M752" s="158" t="str">
        <f>IFERROR(K752*L752," ")</f>
        <v xml:space="preserve"> </v>
      </c>
      <c r="N752" s="159"/>
      <c r="O752" s="160"/>
      <c r="P752" s="161" t="str">
        <f>IFERROR(ROUND(M752/N752,2)," ")</f>
        <v xml:space="preserve"> </v>
      </c>
      <c r="Q752" s="162"/>
      <c r="R752" s="4"/>
    </row>
    <row r="753" spans="1:18" ht="15.75" thickBot="1">
      <c r="A753" s="1">
        <f t="shared" si="25"/>
        <v>0</v>
      </c>
      <c r="B753" s="2"/>
      <c r="C753" s="8"/>
      <c r="D753" s="109" t="str">
        <f>IFERROR(INDEX('[239]MANO DE OBRA'!B:B,MATCH(B753,'[239]MANO DE OBRA'!A:A,0)),"")</f>
        <v/>
      </c>
      <c r="E753" s="110"/>
      <c r="F753" s="110"/>
      <c r="G753" s="110"/>
      <c r="H753" s="110"/>
      <c r="I753" s="110"/>
      <c r="J753" s="111"/>
      <c r="K753" s="156" t="str">
        <f>IFERROR(INDEX('[239]MANO DE OBRA'!D:D,MATCH(B753,'[239]MANO DE OBRA'!A:A,0)),"")</f>
        <v/>
      </c>
      <c r="L753" s="157" t="str">
        <f>+IF(D753&lt;&gt;"",'[239]FACTOR PRESTACIONAL'!$E$21," ")</f>
        <v xml:space="preserve"> </v>
      </c>
      <c r="M753" s="158" t="str">
        <f>IFERROR(K753*L753," ")</f>
        <v xml:space="preserve"> </v>
      </c>
      <c r="N753" s="159"/>
      <c r="O753" s="160"/>
      <c r="P753" s="161" t="str">
        <f>IFERROR(ROUND(M753/N753,2)," ")</f>
        <v xml:space="preserve"> </v>
      </c>
      <c r="Q753" s="119"/>
      <c r="R753" s="4"/>
    </row>
    <row r="754" spans="1:18" ht="15.75" thickBot="1">
      <c r="A754" s="1">
        <f t="shared" si="25"/>
        <v>0</v>
      </c>
      <c r="B754" s="2"/>
      <c r="C754" s="8"/>
      <c r="D754" s="128" t="s">
        <v>24</v>
      </c>
      <c r="E754" s="129"/>
      <c r="F754" s="129"/>
      <c r="G754" s="129"/>
      <c r="H754" s="129"/>
      <c r="I754" s="129"/>
      <c r="J754" s="129"/>
      <c r="K754" s="129"/>
      <c r="L754" s="129"/>
      <c r="M754" s="129"/>
      <c r="N754" s="129"/>
      <c r="O754" s="130"/>
      <c r="P754" s="131">
        <f>SUM(P749:P753)</f>
        <v>67834.459999999992</v>
      </c>
      <c r="Q754" s="119"/>
      <c r="R754" s="4"/>
    </row>
    <row r="755" spans="1:18" ht="15.75" thickBot="1">
      <c r="A755" s="1">
        <f t="shared" si="25"/>
        <v>0</v>
      </c>
      <c r="B755" s="2"/>
      <c r="C755" s="8"/>
      <c r="D755" s="87"/>
      <c r="E755" s="20"/>
      <c r="F755" s="20"/>
      <c r="G755" s="20"/>
      <c r="H755" s="20"/>
      <c r="I755" s="20"/>
      <c r="J755" s="20"/>
      <c r="K755" s="20"/>
      <c r="L755" s="20"/>
      <c r="M755" s="20"/>
      <c r="N755" s="20"/>
      <c r="O755" s="20"/>
      <c r="P755" s="88"/>
      <c r="Q755" s="13"/>
      <c r="R755" s="4"/>
    </row>
    <row r="756" spans="1:18" ht="15.75" thickBot="1">
      <c r="A756" s="1"/>
      <c r="B756" s="2"/>
      <c r="C756" s="8"/>
      <c r="D756" s="163" t="s">
        <v>43</v>
      </c>
      <c r="E756" s="164"/>
      <c r="F756" s="164"/>
      <c r="G756" s="164"/>
      <c r="H756" s="164"/>
      <c r="I756" s="164"/>
      <c r="J756" s="164"/>
      <c r="K756" s="164"/>
      <c r="L756" s="164"/>
      <c r="M756" s="164"/>
      <c r="N756" s="164"/>
      <c r="O756" s="165"/>
      <c r="P756" s="166">
        <f>+P754+P746+P739+P721</f>
        <v>137838.09</v>
      </c>
      <c r="Q756" s="167"/>
      <c r="R756" s="168"/>
    </row>
    <row r="757" spans="1:18" ht="15.75" thickBot="1">
      <c r="A757" s="1"/>
      <c r="B757" s="2"/>
      <c r="C757" s="8"/>
      <c r="D757" s="169"/>
      <c r="E757" s="170"/>
      <c r="F757" s="170"/>
      <c r="G757" s="170"/>
      <c r="H757" s="170"/>
      <c r="I757" s="170"/>
      <c r="J757" s="170"/>
      <c r="K757" s="170"/>
      <c r="L757" s="170"/>
      <c r="M757" s="170"/>
      <c r="N757" s="170"/>
      <c r="O757" s="170"/>
      <c r="P757" s="171"/>
      <c r="Q757" s="100"/>
      <c r="R757" s="4"/>
    </row>
    <row r="758" spans="1:18">
      <c r="A758" s="1"/>
      <c r="B758" s="2"/>
      <c r="C758" s="8"/>
      <c r="D758" s="172" t="s">
        <v>73</v>
      </c>
      <c r="E758" s="173"/>
      <c r="F758" s="173"/>
      <c r="G758" s="173"/>
      <c r="H758" s="173"/>
      <c r="I758" s="173"/>
      <c r="J758" s="173"/>
      <c r="K758" s="141"/>
      <c r="L758" s="174"/>
      <c r="M758" s="153" t="s">
        <v>44</v>
      </c>
      <c r="N758" s="175" t="s">
        <v>45</v>
      </c>
      <c r="O758" s="176"/>
      <c r="P758" s="154"/>
      <c r="Q758" s="155"/>
      <c r="R758" s="4"/>
    </row>
    <row r="759" spans="1:18">
      <c r="A759" s="1"/>
      <c r="B759" s="2"/>
      <c r="C759" s="8"/>
      <c r="D759" s="109" t="s">
        <v>65</v>
      </c>
      <c r="E759" s="110"/>
      <c r="F759" s="110"/>
      <c r="G759" s="110"/>
      <c r="H759" s="110"/>
      <c r="I759" s="110"/>
      <c r="J759" s="110"/>
      <c r="K759" s="177"/>
      <c r="L759" s="178"/>
      <c r="M759" s="179">
        <f>+[239]INICIO!$F$10</f>
        <v>0.24</v>
      </c>
      <c r="N759" s="180">
        <f>ROUND(M759*P756,2)</f>
        <v>33081.14</v>
      </c>
      <c r="O759" s="181"/>
      <c r="P759" s="182"/>
      <c r="Q759" s="119"/>
      <c r="R759" s="4"/>
    </row>
    <row r="760" spans="1:18">
      <c r="A760" s="1"/>
      <c r="B760" s="2"/>
      <c r="C760" s="8"/>
      <c r="D760" s="183" t="s">
        <v>67</v>
      </c>
      <c r="E760" s="61"/>
      <c r="F760" s="61"/>
      <c r="G760" s="61"/>
      <c r="H760" s="61"/>
      <c r="I760" s="61"/>
      <c r="J760" s="61"/>
      <c r="K760" s="177"/>
      <c r="L760" s="178"/>
      <c r="M760" s="179">
        <f>+[239]INICIO!$F$11</f>
        <v>0.02</v>
      </c>
      <c r="N760" s="180">
        <f>ROUND(M760*P756,2)</f>
        <v>2756.76</v>
      </c>
      <c r="O760" s="181"/>
      <c r="P760" s="182"/>
      <c r="Q760" s="119"/>
      <c r="R760" s="4"/>
    </row>
    <row r="761" spans="1:18" ht="15.75" thickBot="1">
      <c r="A761" s="1"/>
      <c r="B761" s="2"/>
      <c r="C761" s="8"/>
      <c r="D761" s="77" t="s">
        <v>69</v>
      </c>
      <c r="E761" s="78"/>
      <c r="F761" s="78"/>
      <c r="G761" s="78"/>
      <c r="H761" s="78"/>
      <c r="I761" s="78"/>
      <c r="J761" s="78"/>
      <c r="K761" s="184"/>
      <c r="L761" s="185"/>
      <c r="M761" s="179">
        <f>+[239]INICIO!$F$12</f>
        <v>7.0000000000000007E-2</v>
      </c>
      <c r="N761" s="180">
        <f>ROUND(M761*P756,2)</f>
        <v>9648.67</v>
      </c>
      <c r="O761" s="181"/>
      <c r="P761" s="182"/>
      <c r="Q761" s="119"/>
      <c r="R761" s="4"/>
    </row>
    <row r="762" spans="1:18" ht="15.75" thickBot="1">
      <c r="A762" s="1"/>
      <c r="B762" s="2"/>
      <c r="C762" s="8"/>
      <c r="D762" s="128"/>
      <c r="E762" s="129"/>
      <c r="F762" s="129"/>
      <c r="G762" s="129"/>
      <c r="H762" s="129"/>
      <c r="I762" s="129"/>
      <c r="J762" s="129"/>
      <c r="K762" s="129"/>
      <c r="L762" s="129"/>
      <c r="M762" s="129"/>
      <c r="N762" s="129"/>
      <c r="O762" s="130"/>
      <c r="P762" s="131">
        <f>SUM(N759:N761)</f>
        <v>45486.57</v>
      </c>
      <c r="Q762" s="186"/>
      <c r="R762" s="4"/>
    </row>
    <row r="763" spans="1:18" ht="15.75" thickBot="1">
      <c r="A763" s="1"/>
      <c r="B763" s="2"/>
      <c r="C763" s="8"/>
      <c r="D763" s="87"/>
      <c r="E763" s="20"/>
      <c r="F763" s="20"/>
      <c r="G763" s="20"/>
      <c r="H763" s="20"/>
      <c r="I763" s="20"/>
      <c r="J763" s="20"/>
      <c r="K763" s="20"/>
      <c r="L763" s="20"/>
      <c r="M763" s="20"/>
      <c r="N763" s="20"/>
      <c r="O763" s="20"/>
      <c r="P763" s="88"/>
      <c r="Q763" s="13"/>
      <c r="R763" s="4"/>
    </row>
    <row r="764" spans="1:18" ht="15.75" thickBot="1">
      <c r="A764" s="1"/>
      <c r="B764" s="2"/>
      <c r="C764" s="8"/>
      <c r="D764" s="187" t="s">
        <v>46</v>
      </c>
      <c r="E764" s="188"/>
      <c r="F764" s="188"/>
      <c r="G764" s="188"/>
      <c r="H764" s="188"/>
      <c r="I764" s="188"/>
      <c r="J764" s="188"/>
      <c r="K764" s="188"/>
      <c r="L764" s="188"/>
      <c r="M764" s="188"/>
      <c r="N764" s="188"/>
      <c r="O764" s="189"/>
      <c r="P764" s="166">
        <f>ROUND(P762+P756,0)</f>
        <v>183325</v>
      </c>
      <c r="Q764" s="186"/>
      <c r="R764" s="4"/>
    </row>
    <row r="765" spans="1:18">
      <c r="A765" s="1"/>
      <c r="B765" s="2"/>
      <c r="C765" s="8"/>
      <c r="D765" s="80"/>
      <c r="E765" s="81"/>
      <c r="F765" s="81"/>
      <c r="G765" s="81"/>
      <c r="H765" s="81"/>
      <c r="I765" s="81"/>
      <c r="J765" s="81"/>
      <c r="K765" s="81"/>
      <c r="L765" s="81"/>
      <c r="M765" s="81"/>
      <c r="N765" s="81"/>
      <c r="O765" s="81"/>
      <c r="P765" s="82"/>
      <c r="Q765" s="13"/>
      <c r="R765" s="4"/>
    </row>
    <row r="766" spans="1:18">
      <c r="A766" s="1"/>
      <c r="B766" s="2"/>
      <c r="C766" s="8"/>
      <c r="D766" s="87"/>
      <c r="E766" s="20"/>
      <c r="F766" s="20"/>
      <c r="G766" s="20"/>
      <c r="H766" s="20"/>
      <c r="I766" s="20"/>
      <c r="J766" s="20"/>
      <c r="K766" s="20"/>
      <c r="L766" s="20"/>
      <c r="M766" s="20"/>
      <c r="N766" s="20"/>
      <c r="O766" s="20"/>
      <c r="P766" s="88"/>
      <c r="Q766" s="13"/>
      <c r="R766" s="4"/>
    </row>
    <row r="767" spans="1:18">
      <c r="A767" s="1"/>
      <c r="B767" s="2"/>
      <c r="C767" s="8"/>
      <c r="D767" s="87"/>
      <c r="E767" s="20"/>
      <c r="F767" s="20"/>
      <c r="G767" s="20"/>
      <c r="H767" s="20"/>
      <c r="I767" s="20"/>
      <c r="J767" s="20"/>
      <c r="K767" s="20"/>
      <c r="L767" s="20"/>
      <c r="M767" s="20"/>
      <c r="N767" s="20"/>
      <c r="O767" s="20"/>
      <c r="P767" s="88"/>
      <c r="Q767" s="13"/>
      <c r="R767" s="4"/>
    </row>
    <row r="768" spans="1:18">
      <c r="A768" s="1"/>
      <c r="B768" s="2"/>
      <c r="C768" s="8"/>
      <c r="D768" s="87"/>
      <c r="E768" s="20"/>
      <c r="F768" s="20"/>
      <c r="G768" s="20"/>
      <c r="H768" s="20"/>
      <c r="I768" s="20"/>
      <c r="J768" s="20"/>
      <c r="K768" s="20"/>
      <c r="L768" s="20"/>
      <c r="M768" s="20"/>
      <c r="N768" s="20"/>
      <c r="O768" s="20"/>
      <c r="P768" s="88"/>
      <c r="Q768" s="13"/>
      <c r="R768" s="4"/>
    </row>
    <row r="769" spans="1:18">
      <c r="A769" s="1"/>
      <c r="B769" s="2"/>
      <c r="C769" s="8"/>
      <c r="D769" s="219" t="str">
        <f>+[239]INICIO!$B$13</f>
        <v>Proyectó:</v>
      </c>
      <c r="E769" s="49"/>
      <c r="F769" s="49"/>
      <c r="G769" s="49"/>
      <c r="H769" s="49"/>
      <c r="I769" s="49"/>
      <c r="J769" s="49"/>
      <c r="K769" s="20"/>
      <c r="L769" s="69" t="str">
        <f>+[239]INICIO!$B$16</f>
        <v>Aprobó:</v>
      </c>
      <c r="M769" s="49"/>
      <c r="N769" s="49"/>
      <c r="O769" s="49"/>
      <c r="P769" s="88"/>
      <c r="Q769" s="13"/>
      <c r="R769" s="4"/>
    </row>
    <row r="770" spans="1:18">
      <c r="A770" s="1"/>
      <c r="B770" s="2"/>
      <c r="C770" s="8"/>
      <c r="D770" s="87"/>
      <c r="E770" s="20" t="str">
        <f>+Hoja2!C$13</f>
        <v>HELMER EDUARDO BECERRA SANTANDER</v>
      </c>
      <c r="F770" s="20"/>
      <c r="G770" s="20"/>
      <c r="H770" s="20"/>
      <c r="I770" s="20"/>
      <c r="J770" s="20"/>
      <c r="K770" s="20"/>
      <c r="L770" s="20"/>
      <c r="M770" s="20" t="str">
        <f>+Hoja2!$C$16</f>
        <v>JESÚS IVÁN QUIÑONES RUEDA</v>
      </c>
      <c r="N770" s="20"/>
      <c r="O770" s="20"/>
      <c r="P770" s="88"/>
      <c r="Q770" s="190"/>
      <c r="R770" s="4"/>
    </row>
    <row r="771" spans="1:18">
      <c r="A771" s="1"/>
      <c r="B771" s="2"/>
      <c r="C771" s="8"/>
      <c r="D771" s="87"/>
      <c r="E771" s="20" t="str">
        <f>+Hoja2!C$14</f>
        <v>APOYO SEC. DE PLANEACIÓN Y OBRAS PÚBLICAS</v>
      </c>
      <c r="F771" s="20"/>
      <c r="G771" s="20"/>
      <c r="H771" s="20"/>
      <c r="I771" s="20"/>
      <c r="J771" s="20"/>
      <c r="K771" s="20"/>
      <c r="L771" s="20"/>
      <c r="M771" s="20" t="str">
        <f>+Hoja2!$C$17</f>
        <v>SECRETARIO DE PLANEACIÓN Y OBRAS PUBLICAS</v>
      </c>
      <c r="N771" s="20"/>
      <c r="O771" s="20"/>
      <c r="P771" s="88"/>
      <c r="Q771" s="190"/>
      <c r="R771" s="4"/>
    </row>
    <row r="772" spans="1:18">
      <c r="A772" s="1"/>
      <c r="B772" s="2"/>
      <c r="C772" s="8"/>
      <c r="D772" s="68"/>
      <c r="E772" s="20" t="str">
        <f>+Hoja2!C$15</f>
        <v>123769-0701671 NTS</v>
      </c>
      <c r="F772" s="191"/>
      <c r="G772" s="191"/>
      <c r="H772" s="191"/>
      <c r="I772" s="20"/>
      <c r="J772" s="191"/>
      <c r="K772" s="191"/>
      <c r="L772" s="191"/>
      <c r="M772" s="192" t="str">
        <f>+Hoja2!C$18</f>
        <v>A21382020-1090480860</v>
      </c>
      <c r="N772" s="191"/>
      <c r="O772" s="191"/>
      <c r="P772" s="193"/>
      <c r="Q772" s="194"/>
      <c r="R772" s="4"/>
    </row>
    <row r="773" spans="1:18" ht="16.5" thickBot="1">
      <c r="A773" s="1"/>
      <c r="B773" s="2"/>
      <c r="C773" s="8"/>
      <c r="D773" s="195"/>
      <c r="E773" s="150"/>
      <c r="F773" s="150"/>
      <c r="G773" s="150"/>
      <c r="H773" s="150"/>
      <c r="I773" s="150"/>
      <c r="J773" s="150"/>
      <c r="K773" s="150"/>
      <c r="L773" s="150"/>
      <c r="M773" s="150"/>
      <c r="N773" s="150"/>
      <c r="O773" s="150"/>
      <c r="P773" s="196"/>
      <c r="Q773" s="197"/>
      <c r="R773" s="4"/>
    </row>
    <row r="774" spans="1:18" ht="15.75" thickBot="1">
      <c r="A774" s="1"/>
      <c r="B774" s="2"/>
      <c r="C774" s="198"/>
      <c r="D774" s="199"/>
      <c r="E774" s="199"/>
      <c r="F774" s="199"/>
      <c r="G774" s="199"/>
      <c r="H774" s="199"/>
      <c r="I774" s="199"/>
      <c r="J774" s="199"/>
      <c r="K774" s="199"/>
      <c r="L774" s="199"/>
      <c r="M774" s="199"/>
      <c r="N774" s="199"/>
      <c r="O774" s="199"/>
      <c r="P774" s="199"/>
      <c r="Q774" s="200"/>
      <c r="R774" s="4"/>
    </row>
    <row r="775" spans="1:18" ht="15.75" thickTop="1"/>
    <row r="776" spans="1:18" ht="15.75" thickBot="1"/>
    <row r="777" spans="1:18" ht="15.75" thickTop="1">
      <c r="A777" s="1"/>
      <c r="B777" s="2"/>
      <c r="C777" s="5"/>
      <c r="D777" s="6"/>
      <c r="E777" s="6"/>
      <c r="F777" s="6"/>
      <c r="G777" s="6"/>
      <c r="H777" s="6"/>
      <c r="I777" s="6"/>
      <c r="J777" s="6"/>
      <c r="K777" s="6"/>
      <c r="L777" s="6"/>
      <c r="M777" s="6"/>
      <c r="N777" s="6"/>
      <c r="O777" s="6"/>
      <c r="P777" s="6"/>
      <c r="Q777" s="7"/>
      <c r="R777" s="4"/>
    </row>
    <row r="778" spans="1:18" ht="24">
      <c r="A778" s="1"/>
      <c r="B778" s="2"/>
      <c r="C778" s="8"/>
      <c r="D778" s="9" t="str">
        <f>+[239]INICIO!$C$8</f>
        <v>Análisis de Precios Unitarios- Secretaria de Planeación y Obras Publicas de Cubará, Boyacá.</v>
      </c>
      <c r="E778" s="10"/>
      <c r="F778" s="10"/>
      <c r="G778" s="10"/>
      <c r="H778" s="11"/>
      <c r="I778" s="12"/>
      <c r="J778" s="12"/>
      <c r="K778" s="12"/>
      <c r="L778" s="12"/>
      <c r="M778" s="12"/>
      <c r="N778" s="12"/>
      <c r="O778" s="12"/>
      <c r="P778" s="12"/>
      <c r="Q778" s="13"/>
      <c r="R778" s="4"/>
    </row>
    <row r="779" spans="1:18">
      <c r="A779" s="1"/>
      <c r="B779" s="2"/>
      <c r="C779" s="8"/>
      <c r="D779" s="14" t="s">
        <v>0</v>
      </c>
      <c r="E779" s="15" t="str">
        <f>+[239]INICIO!$C$7</f>
        <v>CCE-EICP-FM-14</v>
      </c>
      <c r="F779" s="16"/>
      <c r="G779" s="17" t="str">
        <f>+[239]INICIO!$B$6</f>
        <v>VERSIÓN</v>
      </c>
      <c r="H779" s="14">
        <f>+[239]INICIO!$C$6</f>
        <v>1</v>
      </c>
      <c r="I779" s="12"/>
      <c r="J779" s="12"/>
      <c r="K779" s="12"/>
      <c r="L779" s="12"/>
      <c r="M779" s="12"/>
      <c r="N779" s="12"/>
      <c r="O779" s="12"/>
      <c r="P779" s="12"/>
      <c r="Q779" s="13"/>
      <c r="R779" s="4"/>
    </row>
    <row r="780" spans="1:18">
      <c r="A780" s="1"/>
      <c r="B780" s="2"/>
      <c r="C780" s="8"/>
      <c r="D780" s="18"/>
      <c r="E780" s="19"/>
      <c r="F780" s="18"/>
      <c r="G780" s="19"/>
      <c r="H780" s="12"/>
      <c r="I780" s="12"/>
      <c r="J780" s="12"/>
      <c r="K780" s="12"/>
      <c r="L780" s="12"/>
      <c r="M780" s="12"/>
      <c r="N780" s="12"/>
      <c r="O780" s="12"/>
      <c r="P780" s="12"/>
      <c r="Q780" s="13"/>
      <c r="R780" s="4"/>
    </row>
    <row r="781" spans="1:18" ht="15.75" thickBot="1">
      <c r="A781" s="1"/>
      <c r="B781" s="2"/>
      <c r="C781" s="8"/>
      <c r="D781" s="20"/>
      <c r="E781" s="20"/>
      <c r="F781" s="20"/>
      <c r="G781" s="20"/>
      <c r="H781" s="20"/>
      <c r="I781" s="20"/>
      <c r="J781" s="20"/>
      <c r="K781" s="20"/>
      <c r="L781" s="20"/>
      <c r="M781" s="20"/>
      <c r="N781" s="20"/>
      <c r="O781" s="20"/>
      <c r="P781" s="20"/>
      <c r="Q781" s="13"/>
      <c r="R781" s="4"/>
    </row>
    <row r="782" spans="1:18">
      <c r="A782" s="1"/>
      <c r="B782" s="2"/>
      <c r="C782" s="8"/>
      <c r="D782" s="21"/>
      <c r="E782" s="22"/>
      <c r="F782" s="23"/>
      <c r="G782" s="23"/>
      <c r="H782" s="23"/>
      <c r="I782" s="23"/>
      <c r="J782" s="23"/>
      <c r="K782" s="23"/>
      <c r="L782" s="24"/>
      <c r="M782" s="25"/>
      <c r="N782" s="26"/>
      <c r="O782" s="26"/>
      <c r="P782" s="27"/>
      <c r="Q782" s="28"/>
      <c r="R782" s="4"/>
    </row>
    <row r="783" spans="1:18">
      <c r="A783" s="1"/>
      <c r="B783" s="2"/>
      <c r="C783" s="8"/>
      <c r="D783" s="29"/>
      <c r="E783" s="30" t="s">
        <v>1</v>
      </c>
      <c r="F783" s="31"/>
      <c r="G783" s="31"/>
      <c r="H783" s="31"/>
      <c r="I783" s="31"/>
      <c r="J783" s="31"/>
      <c r="K783" s="31"/>
      <c r="L783" s="32"/>
      <c r="M783" s="33"/>
      <c r="N783" s="34"/>
      <c r="O783" s="34"/>
      <c r="P783" s="35"/>
      <c r="Q783" s="28"/>
      <c r="R783" s="4"/>
    </row>
    <row r="784" spans="1:18">
      <c r="A784" s="1"/>
      <c r="B784" s="2"/>
      <c r="C784" s="8"/>
      <c r="D784" s="29"/>
      <c r="E784" s="36"/>
      <c r="F784" s="37"/>
      <c r="G784" s="37"/>
      <c r="H784" s="37"/>
      <c r="I784" s="37"/>
      <c r="J784" s="37"/>
      <c r="K784" s="37"/>
      <c r="L784" s="38"/>
      <c r="M784" s="39"/>
      <c r="N784" s="40"/>
      <c r="O784" s="41"/>
      <c r="P784" s="42"/>
      <c r="Q784" s="28"/>
      <c r="R784" s="4"/>
    </row>
    <row r="785" spans="1:18">
      <c r="A785" s="1"/>
      <c r="B785" s="2"/>
      <c r="C785" s="8"/>
      <c r="D785" s="29"/>
      <c r="E785" s="36"/>
      <c r="F785" s="37"/>
      <c r="G785" s="37"/>
      <c r="H785" s="37"/>
      <c r="I785" s="37"/>
      <c r="J785" s="37"/>
      <c r="K785" s="37"/>
      <c r="L785" s="38"/>
      <c r="M785" s="43" t="s">
        <v>2</v>
      </c>
      <c r="N785" s="44"/>
      <c r="O785" s="45">
        <f>+[239]INICIO!$C$6</f>
        <v>1</v>
      </c>
      <c r="P785" s="46"/>
      <c r="Q785" s="28"/>
      <c r="R785" s="4"/>
    </row>
    <row r="786" spans="1:18">
      <c r="A786" s="1"/>
      <c r="B786" s="2"/>
      <c r="C786" s="8"/>
      <c r="D786" s="29"/>
      <c r="E786" s="36"/>
      <c r="F786" s="37"/>
      <c r="G786" s="37"/>
      <c r="H786" s="37"/>
      <c r="I786" s="37"/>
      <c r="J786" s="37"/>
      <c r="K786" s="37"/>
      <c r="L786" s="38"/>
      <c r="M786" s="47"/>
      <c r="N786" s="48"/>
      <c r="O786" s="49"/>
      <c r="P786" s="50"/>
      <c r="Q786" s="51"/>
      <c r="R786" s="4"/>
    </row>
    <row r="787" spans="1:18">
      <c r="A787" s="1"/>
      <c r="B787" s="2"/>
      <c r="C787" s="8"/>
      <c r="D787" s="29"/>
      <c r="E787" s="52"/>
      <c r="F787" s="53"/>
      <c r="G787" s="53"/>
      <c r="H787" s="53"/>
      <c r="I787" s="53"/>
      <c r="J787" s="53"/>
      <c r="K787" s="53"/>
      <c r="L787" s="54"/>
      <c r="M787" s="39"/>
      <c r="N787" s="55"/>
      <c r="O787" s="55"/>
      <c r="P787" s="56"/>
      <c r="Q787" s="28"/>
      <c r="R787" s="4"/>
    </row>
    <row r="788" spans="1:18">
      <c r="A788" s="1"/>
      <c r="B788" s="2"/>
      <c r="C788" s="8"/>
      <c r="D788" s="29"/>
      <c r="E788" s="52"/>
      <c r="F788" s="53"/>
      <c r="G788" s="53"/>
      <c r="H788" s="53"/>
      <c r="I788" s="53"/>
      <c r="J788" s="53"/>
      <c r="K788" s="53"/>
      <c r="L788" s="54"/>
      <c r="M788" s="43" t="s">
        <v>3</v>
      </c>
      <c r="N788" s="43" t="str">
        <f>+VLOOKUP(D799,'PRESUPUESTO OFICIAL '!C:Q,9,FALSE)</f>
        <v>25</v>
      </c>
      <c r="O788" s="43" t="s">
        <v>4</v>
      </c>
      <c r="P788" s="508" t="str">
        <f>+'PRESUPUESTO OFICIAL '!$M$122</f>
        <v>62</v>
      </c>
      <c r="Q788" s="28"/>
      <c r="R788" s="4"/>
    </row>
    <row r="789" spans="1:18">
      <c r="A789" s="1"/>
      <c r="B789" s="2"/>
      <c r="C789" s="8"/>
      <c r="D789" s="29"/>
      <c r="E789" s="30" t="s">
        <v>5</v>
      </c>
      <c r="F789" s="31"/>
      <c r="G789" s="31"/>
      <c r="H789" s="31"/>
      <c r="I789" s="31"/>
      <c r="J789" s="31"/>
      <c r="K789" s="31"/>
      <c r="L789" s="32"/>
      <c r="M789" s="43"/>
      <c r="N789" s="57"/>
      <c r="O789" s="57"/>
      <c r="P789" s="58"/>
      <c r="Q789" s="28"/>
      <c r="R789" s="4"/>
    </row>
    <row r="790" spans="1:18" ht="15.75" thickBot="1">
      <c r="A790" s="1"/>
      <c r="B790" s="2"/>
      <c r="C790" s="8"/>
      <c r="D790" s="59"/>
      <c r="E790" s="60"/>
      <c r="F790" s="60"/>
      <c r="G790" s="60"/>
      <c r="H790" s="60"/>
      <c r="I790" s="60"/>
      <c r="J790" s="60"/>
      <c r="K790" s="60"/>
      <c r="L790" s="60"/>
      <c r="M790" s="60"/>
      <c r="N790" s="61"/>
      <c r="O790" s="61"/>
      <c r="P790" s="62"/>
      <c r="Q790" s="63"/>
      <c r="R790" s="4"/>
    </row>
    <row r="791" spans="1:18">
      <c r="A791" s="1"/>
      <c r="B791" s="2"/>
      <c r="C791" s="8"/>
      <c r="D791" s="64"/>
      <c r="E791" s="65"/>
      <c r="F791" s="65"/>
      <c r="G791" s="65"/>
      <c r="H791" s="65"/>
      <c r="I791" s="65"/>
      <c r="J791" s="65"/>
      <c r="K791" s="65"/>
      <c r="L791" s="65"/>
      <c r="M791" s="66" t="s">
        <v>6</v>
      </c>
      <c r="N791" s="66" t="s">
        <v>7</v>
      </c>
      <c r="O791" s="66" t="s">
        <v>8</v>
      </c>
      <c r="P791" s="67" t="s">
        <v>9</v>
      </c>
      <c r="Q791" s="51"/>
      <c r="R791" s="4"/>
    </row>
    <row r="792" spans="1:18">
      <c r="A792" s="1"/>
      <c r="B792" s="2"/>
      <c r="C792" s="8"/>
      <c r="D792" s="68"/>
      <c r="E792" s="69"/>
      <c r="F792" s="69"/>
      <c r="G792" s="69"/>
      <c r="H792" s="69"/>
      <c r="I792" s="69"/>
      <c r="J792" s="69"/>
      <c r="K792" s="69"/>
      <c r="L792" s="69"/>
      <c r="M792" s="70"/>
      <c r="N792" s="71">
        <f>+Hoja2!B$5</f>
        <v>5</v>
      </c>
      <c r="O792" s="71">
        <f>+Hoja2!C$5</f>
        <v>8</v>
      </c>
      <c r="P792" s="72">
        <f>+Hoja2!D$5</f>
        <v>2026</v>
      </c>
      <c r="Q792" s="73"/>
      <c r="R792" s="4"/>
    </row>
    <row r="793" spans="1:18">
      <c r="A793" s="1"/>
      <c r="B793" s="2"/>
      <c r="C793" s="8"/>
      <c r="D793" s="74"/>
      <c r="E793" s="37"/>
      <c r="F793" s="37"/>
      <c r="G793" s="37"/>
      <c r="H793" s="69"/>
      <c r="I793" s="69"/>
      <c r="J793" s="69"/>
      <c r="K793" s="20"/>
      <c r="L793" s="69"/>
      <c r="M793" s="75"/>
      <c r="N793" s="20"/>
      <c r="O793" s="20"/>
      <c r="P793" s="76"/>
      <c r="Q793" s="73"/>
      <c r="R793" s="4"/>
    </row>
    <row r="794" spans="1:18" ht="15.75" thickBot="1">
      <c r="A794" s="1"/>
      <c r="B794" s="2"/>
      <c r="C794" s="8"/>
      <c r="D794" s="77"/>
      <c r="E794" s="78"/>
      <c r="F794" s="78"/>
      <c r="G794" s="78"/>
      <c r="H794" s="78"/>
      <c r="I794" s="78"/>
      <c r="J794" s="78"/>
      <c r="K794" s="78"/>
      <c r="L794" s="78"/>
      <c r="M794" s="78"/>
      <c r="N794" s="78"/>
      <c r="O794" s="78"/>
      <c r="P794" s="79"/>
      <c r="Q794" s="13"/>
      <c r="R794" s="4"/>
    </row>
    <row r="795" spans="1:18" ht="15.75" thickBot="1">
      <c r="A795" s="1"/>
      <c r="B795" s="2"/>
      <c r="C795" s="8"/>
      <c r="D795" s="80"/>
      <c r="E795" s="81"/>
      <c r="F795" s="81"/>
      <c r="G795" s="81"/>
      <c r="H795" s="81"/>
      <c r="I795" s="81"/>
      <c r="J795" s="20"/>
      <c r="K795" s="20"/>
      <c r="L795" s="81"/>
      <c r="M795" s="81"/>
      <c r="N795" s="81"/>
      <c r="O795" s="81"/>
      <c r="P795" s="82"/>
      <c r="Q795" s="13"/>
      <c r="R795" s="4"/>
    </row>
    <row r="796" spans="1:18">
      <c r="A796" s="1"/>
      <c r="B796" s="2"/>
      <c r="C796" s="8"/>
      <c r="D796" s="83" t="s">
        <v>10</v>
      </c>
      <c r="E796" s="84"/>
      <c r="F796" s="84"/>
      <c r="G796" s="84"/>
      <c r="H796" s="84"/>
      <c r="I796" s="84"/>
      <c r="J796" s="84"/>
      <c r="K796" s="84"/>
      <c r="L796" s="84"/>
      <c r="M796" s="84"/>
      <c r="N796" s="84"/>
      <c r="O796" s="84"/>
      <c r="P796" s="85"/>
      <c r="Q796" s="86"/>
      <c r="R796" s="4"/>
    </row>
    <row r="797" spans="1:18" ht="15.75" thickBot="1">
      <c r="A797" s="1"/>
      <c r="B797" s="2"/>
      <c r="C797" s="8"/>
      <c r="D797" s="87"/>
      <c r="E797" s="20"/>
      <c r="F797" s="20"/>
      <c r="G797" s="20"/>
      <c r="H797" s="20"/>
      <c r="I797" s="20"/>
      <c r="J797" s="20"/>
      <c r="K797" s="20"/>
      <c r="L797" s="20"/>
      <c r="M797" s="20"/>
      <c r="N797" s="20"/>
      <c r="O797" s="20"/>
      <c r="P797" s="88"/>
      <c r="Q797" s="13"/>
      <c r="R797" s="4"/>
    </row>
    <row r="798" spans="1:18">
      <c r="A798" s="1" t="s">
        <v>11</v>
      </c>
      <c r="B798" s="2" t="s">
        <v>12</v>
      </c>
      <c r="C798" s="8"/>
      <c r="D798" s="89" t="s">
        <v>13</v>
      </c>
      <c r="E798" s="90" t="s">
        <v>14</v>
      </c>
      <c r="F798" s="90"/>
      <c r="G798" s="90"/>
      <c r="H798" s="90"/>
      <c r="I798" s="90"/>
      <c r="J798" s="90"/>
      <c r="K798" s="90"/>
      <c r="L798" s="90"/>
      <c r="M798" s="90"/>
      <c r="N798" s="91" t="s">
        <v>15</v>
      </c>
      <c r="O798" s="91"/>
      <c r="P798" s="92" t="s">
        <v>16</v>
      </c>
      <c r="Q798" s="93"/>
      <c r="R798" s="4"/>
    </row>
    <row r="799" spans="1:18" ht="38.25" customHeight="1" thickBot="1">
      <c r="A799" s="1"/>
      <c r="B799" s="2"/>
      <c r="C799" s="8"/>
      <c r="D799" s="349">
        <f>+'PRESUPUESTO OFICIAL '!C43</f>
        <v>3.05</v>
      </c>
      <c r="E799" s="94" t="str">
        <f>+VLOOKUP(D799,'PRESUPUESTO OFICIAL '!C:H,2,FALSE)</f>
        <v xml:space="preserve">PLACA BASE E= 8 CM EN CONCRETO f'c = 2500 PSI (17.5 Mpa), Incluye malla electrosoldada </v>
      </c>
      <c r="F799" s="94"/>
      <c r="G799" s="94"/>
      <c r="H799" s="94"/>
      <c r="I799" s="94"/>
      <c r="J799" s="94"/>
      <c r="K799" s="94"/>
      <c r="L799" s="94"/>
      <c r="M799" s="94"/>
      <c r="N799" s="94" t="str">
        <f>+VLOOKUP(D799,'PRESUPUESTO OFICIAL '!C:H,3,FALSE)</f>
        <v>M2</v>
      </c>
      <c r="O799" s="95"/>
      <c r="P799" s="96">
        <f>+VLOOKUP(D799,'PRESUPUESTO OFICIAL '!C:H,4,FALSE)</f>
        <v>235.59</v>
      </c>
      <c r="Q799" s="97"/>
      <c r="R799" s="98">
        <f>+P851</f>
        <v>167995</v>
      </c>
    </row>
    <row r="800" spans="1:18" ht="15.75" thickBot="1">
      <c r="A800" s="1"/>
      <c r="B800" s="2"/>
      <c r="C800" s="8"/>
      <c r="D800" s="74" t="s">
        <v>17</v>
      </c>
      <c r="E800" s="37"/>
      <c r="F800" s="37"/>
      <c r="G800" s="37"/>
      <c r="H800" s="37"/>
      <c r="I800" s="37"/>
      <c r="J800" s="37"/>
      <c r="K800" s="37"/>
      <c r="L800" s="37"/>
      <c r="M800" s="37"/>
      <c r="N800" s="37"/>
      <c r="O800" s="37"/>
      <c r="P800" s="99"/>
      <c r="Q800" s="100"/>
      <c r="R800" s="4"/>
    </row>
    <row r="801" spans="1:18">
      <c r="A801" s="1"/>
      <c r="B801" s="2"/>
      <c r="C801" s="8"/>
      <c r="D801" s="101" t="s">
        <v>14</v>
      </c>
      <c r="E801" s="102"/>
      <c r="F801" s="102"/>
      <c r="G801" s="102"/>
      <c r="H801" s="103"/>
      <c r="I801" s="104" t="s">
        <v>18</v>
      </c>
      <c r="J801" s="102"/>
      <c r="K801" s="104" t="s">
        <v>19</v>
      </c>
      <c r="L801" s="105"/>
      <c r="M801" s="106" t="s">
        <v>20</v>
      </c>
      <c r="N801" s="104" t="s">
        <v>21</v>
      </c>
      <c r="O801" s="105"/>
      <c r="P801" s="107" t="s">
        <v>22</v>
      </c>
      <c r="Q801" s="108"/>
      <c r="R801" s="4"/>
    </row>
    <row r="802" spans="1:18">
      <c r="A802" s="1" t="e">
        <f>[239]INDICE!#REF!</f>
        <v>#REF!</v>
      </c>
      <c r="B802" s="2" t="s">
        <v>23</v>
      </c>
      <c r="C802" s="8"/>
      <c r="D802" s="109" t="str">
        <f>IFERROR(INDEX([239]EQUIPOS!B:B,MATCH(B802,[239]EQUIPOS!A:A,0)),"")</f>
        <v>HERRAMIENTA MENOR (% M.O)</v>
      </c>
      <c r="E802" s="110"/>
      <c r="F802" s="110"/>
      <c r="G802" s="110"/>
      <c r="H802" s="111"/>
      <c r="I802" s="112"/>
      <c r="J802" s="111"/>
      <c r="K802" s="113" t="str">
        <f>IFERROR(INDEX([239]EQUIPOS!C:C,MATCH(B802,[239]EQUIPOS!A:A,0)),"")</f>
        <v>%</v>
      </c>
      <c r="L802" s="114"/>
      <c r="M802" s="115">
        <f>IFERROR(IF(D802="HERRAMIENTA MENOR (% M.O)",P841,INDEX([239]EQUIPOS!D:D,MATCH(B802,[239]EQUIPOS!A:A,0))),"")</f>
        <v>36710.67</v>
      </c>
      <c r="N802" s="116">
        <v>10</v>
      </c>
      <c r="O802" s="117"/>
      <c r="P802" s="118">
        <f t="shared" ref="P802:P807" si="27">IFERROR(ROUND(IF(D802="HERRAMIENTA MENOR (% M.O)",N802%*M802,M802/N802),2)," ")</f>
        <v>3671.07</v>
      </c>
      <c r="Q802" s="119"/>
      <c r="R802" s="4"/>
    </row>
    <row r="803" spans="1:18">
      <c r="A803" s="1">
        <f>+$A$2858</f>
        <v>0</v>
      </c>
      <c r="B803" s="2"/>
      <c r="C803" s="8"/>
      <c r="D803" s="109" t="str">
        <f>IFERROR(INDEX([239]EQUIPOS!B:B,MATCH(B803,[239]EQUIPOS!A:A,0)),"")</f>
        <v/>
      </c>
      <c r="E803" s="110"/>
      <c r="F803" s="110"/>
      <c r="G803" s="110"/>
      <c r="H803" s="111"/>
      <c r="I803" s="112"/>
      <c r="J803" s="111"/>
      <c r="K803" s="113" t="str">
        <f>IFERROR(INDEX([239]EQUIPOS!C:C,MATCH(B803,[239]EQUIPOS!A:A,0)),"")</f>
        <v/>
      </c>
      <c r="L803" s="114"/>
      <c r="M803" s="115" t="str">
        <f>IFERROR(IF(D803="HERRAMIENTA MENOR (% M.O)",P842,INDEX([239]EQUIPOS!D:D,MATCH(B803,[239]EQUIPOS!A:A,0))),"")</f>
        <v/>
      </c>
      <c r="N803" s="116"/>
      <c r="O803" s="117"/>
      <c r="P803" s="118" t="str">
        <f t="shared" si="27"/>
        <v xml:space="preserve"> </v>
      </c>
      <c r="Q803" s="119"/>
      <c r="R803" s="4"/>
    </row>
    <row r="804" spans="1:18">
      <c r="A804" s="1">
        <f t="shared" ref="A804:A842" si="28">+A803</f>
        <v>0</v>
      </c>
      <c r="B804" s="2"/>
      <c r="C804" s="8"/>
      <c r="D804" s="109" t="str">
        <f>IFERROR(INDEX([239]EQUIPOS!B:B,MATCH(B804,[239]EQUIPOS!A:A,0)),"")</f>
        <v/>
      </c>
      <c r="E804" s="110"/>
      <c r="F804" s="110"/>
      <c r="G804" s="110"/>
      <c r="H804" s="111"/>
      <c r="I804" s="120"/>
      <c r="J804" s="121"/>
      <c r="K804" s="113" t="str">
        <f>IFERROR(INDEX([239]EQUIPOS!C:C,MATCH(B804,[239]EQUIPOS!A:A,0)),"")</f>
        <v/>
      </c>
      <c r="L804" s="114"/>
      <c r="M804" s="115" t="str">
        <f>IFERROR(IF(D804="HERRAMIENTA MENOR (% M.O)",P843,INDEX([239]EQUIPOS!D:D,MATCH(B804,[239]EQUIPOS!A:A,0))),"")</f>
        <v/>
      </c>
      <c r="N804" s="116"/>
      <c r="O804" s="117"/>
      <c r="P804" s="118" t="str">
        <f t="shared" si="27"/>
        <v xml:space="preserve"> </v>
      </c>
      <c r="Q804" s="119"/>
      <c r="R804" s="4"/>
    </row>
    <row r="805" spans="1:18">
      <c r="A805" s="1">
        <f t="shared" si="28"/>
        <v>0</v>
      </c>
      <c r="B805" s="2"/>
      <c r="C805" s="8"/>
      <c r="D805" s="109" t="str">
        <f>IFERROR(INDEX([239]EQUIPOS!B:B,MATCH(B805,[239]EQUIPOS!A:A,0)),"")</f>
        <v/>
      </c>
      <c r="E805" s="110"/>
      <c r="F805" s="110"/>
      <c r="G805" s="110"/>
      <c r="H805" s="111"/>
      <c r="I805" s="120"/>
      <c r="J805" s="121"/>
      <c r="K805" s="113" t="str">
        <f>IFERROR(INDEX([239]EQUIPOS!C:C,MATCH(B805,[239]EQUIPOS!A:A,0)),"")</f>
        <v/>
      </c>
      <c r="L805" s="114"/>
      <c r="M805" s="115" t="str">
        <f>IFERROR(IF(D805="HERRAMIENTA MENOR (% M.O)",P844,INDEX([239]EQUIPOS!D:D,MATCH(B805,[239]EQUIPOS!A:A,0))),"")</f>
        <v/>
      </c>
      <c r="N805" s="116"/>
      <c r="O805" s="117"/>
      <c r="P805" s="118" t="str">
        <f t="shared" si="27"/>
        <v xml:space="preserve"> </v>
      </c>
      <c r="Q805" s="119"/>
      <c r="R805" s="4"/>
    </row>
    <row r="806" spans="1:18">
      <c r="A806" s="1">
        <f t="shared" si="28"/>
        <v>0</v>
      </c>
      <c r="B806" s="2"/>
      <c r="C806" s="8"/>
      <c r="D806" s="109" t="str">
        <f>IFERROR(INDEX([239]EQUIPOS!B:B,MATCH(B806,[239]EQUIPOS!A:A,0)),"")</f>
        <v/>
      </c>
      <c r="E806" s="110"/>
      <c r="F806" s="110"/>
      <c r="G806" s="110"/>
      <c r="H806" s="111"/>
      <c r="I806" s="112"/>
      <c r="J806" s="111"/>
      <c r="K806" s="113" t="str">
        <f>IFERROR(INDEX([239]EQUIPOS!C:C,MATCH(B806,[239]EQUIPOS!A:A,0)),"")</f>
        <v/>
      </c>
      <c r="L806" s="114"/>
      <c r="M806" s="115" t="str">
        <f>IFERROR(IF(D806="HERRAMIENTA MENOR (% M.O)",P845,INDEX([239]EQUIPOS!D:D,MATCH(B806,[239]EQUIPOS!A:A,0))),"")</f>
        <v/>
      </c>
      <c r="N806" s="116"/>
      <c r="O806" s="117"/>
      <c r="P806" s="118" t="str">
        <f t="shared" si="27"/>
        <v xml:space="preserve"> </v>
      </c>
      <c r="Q806" s="119"/>
      <c r="R806" s="4"/>
    </row>
    <row r="807" spans="1:18" ht="15.75" thickBot="1">
      <c r="A807" s="1">
        <f t="shared" si="28"/>
        <v>0</v>
      </c>
      <c r="B807" s="2"/>
      <c r="C807" s="8"/>
      <c r="D807" s="109" t="str">
        <f>IFERROR(INDEX([239]EQUIPOS!B:B,MATCH(B807,[239]EQUIPOS!A:A,0)),"")</f>
        <v/>
      </c>
      <c r="E807" s="78"/>
      <c r="F807" s="78"/>
      <c r="G807" s="78"/>
      <c r="H807" s="122"/>
      <c r="I807" s="123"/>
      <c r="J807" s="122"/>
      <c r="K807" s="113" t="str">
        <f>IFERROR(INDEX([239]EQUIPOS!C:C,MATCH(B807,[239]EQUIPOS!A:A,0)),"")</f>
        <v/>
      </c>
      <c r="L807" s="124"/>
      <c r="M807" s="115" t="str">
        <f>IFERROR(IF(D807="HERRAMIENTA MENOR (% M.O)",P846,INDEX([239]EQUIPOS!D:D,MATCH(B807,[239]EQUIPOS!A:A,0))),"")</f>
        <v/>
      </c>
      <c r="N807" s="125"/>
      <c r="O807" s="126"/>
      <c r="P807" s="127" t="str">
        <f t="shared" si="27"/>
        <v xml:space="preserve"> </v>
      </c>
      <c r="Q807" s="119"/>
      <c r="R807" s="4"/>
    </row>
    <row r="808" spans="1:18" ht="15.75" thickBot="1">
      <c r="A808" s="1">
        <f t="shared" si="28"/>
        <v>0</v>
      </c>
      <c r="B808" s="2"/>
      <c r="C808" s="8"/>
      <c r="D808" s="128" t="s">
        <v>24</v>
      </c>
      <c r="E808" s="129"/>
      <c r="F808" s="129"/>
      <c r="G808" s="129"/>
      <c r="H808" s="129"/>
      <c r="I808" s="129"/>
      <c r="J808" s="129"/>
      <c r="K808" s="129"/>
      <c r="L808" s="129"/>
      <c r="M808" s="129"/>
      <c r="N808" s="129"/>
      <c r="O808" s="130"/>
      <c r="P808" s="131">
        <f>SUM(P802:P807)</f>
        <v>3671.07</v>
      </c>
      <c r="Q808" s="132"/>
      <c r="R808" s="4"/>
    </row>
    <row r="809" spans="1:18" ht="15.75" thickBot="1">
      <c r="A809" s="1">
        <f t="shared" si="28"/>
        <v>0</v>
      </c>
      <c r="B809" s="2"/>
      <c r="C809" s="8"/>
      <c r="D809" s="74" t="s">
        <v>25</v>
      </c>
      <c r="E809" s="37"/>
      <c r="F809" s="37"/>
      <c r="G809" s="37"/>
      <c r="H809" s="37"/>
      <c r="I809" s="37"/>
      <c r="J809" s="37"/>
      <c r="K809" s="37"/>
      <c r="L809" s="37"/>
      <c r="M809" s="37"/>
      <c r="N809" s="37"/>
      <c r="O809" s="37"/>
      <c r="P809" s="99"/>
      <c r="Q809" s="100"/>
      <c r="R809" s="4"/>
    </row>
    <row r="810" spans="1:18">
      <c r="A810" s="1">
        <f t="shared" si="28"/>
        <v>0</v>
      </c>
      <c r="B810" s="2"/>
      <c r="C810" s="8"/>
      <c r="D810" s="101" t="s">
        <v>14</v>
      </c>
      <c r="E810" s="133"/>
      <c r="F810" s="133"/>
      <c r="G810" s="133"/>
      <c r="H810" s="133"/>
      <c r="I810" s="133"/>
      <c r="J810" s="133"/>
      <c r="K810" s="105"/>
      <c r="L810" s="134" t="s">
        <v>15</v>
      </c>
      <c r="M810" s="106" t="s">
        <v>16</v>
      </c>
      <c r="N810" s="104" t="s">
        <v>26</v>
      </c>
      <c r="O810" s="105"/>
      <c r="P810" s="107" t="s">
        <v>22</v>
      </c>
      <c r="Q810" s="108"/>
      <c r="R810" s="4"/>
    </row>
    <row r="811" spans="1:18">
      <c r="A811" s="1">
        <f t="shared" si="28"/>
        <v>0</v>
      </c>
      <c r="B811" s="2" t="s">
        <v>287</v>
      </c>
      <c r="C811" s="8"/>
      <c r="D811" s="109" t="str">
        <f>IFERROR(INDEX([239]MATERIALES!C:C,MATCH(B811,[239]MATERIALES!B:B,0)),"")</f>
        <v>CONCRETO DE 2500 PSI (1:2:4)</v>
      </c>
      <c r="E811" s="135"/>
      <c r="F811" s="135"/>
      <c r="G811" s="135"/>
      <c r="H811" s="135"/>
      <c r="I811" s="135"/>
      <c r="J811" s="135"/>
      <c r="K811" s="136"/>
      <c r="L811" s="137" t="str">
        <f>IFERROR(INDEX([239]MATERIALES!D:D,MATCH(B811,[239]MATERIALES!B:B,0)),"")</f>
        <v>M3</v>
      </c>
      <c r="M811" s="138">
        <f>1*1*0.08</f>
        <v>0.08</v>
      </c>
      <c r="N811" s="139">
        <f>IFERROR(INDEX([239]MATERIALES!P:P,MATCH(B811,[239]MATERIALES!B:B,0)),"")</f>
        <v>703756.21</v>
      </c>
      <c r="O811" s="140"/>
      <c r="P811" s="118">
        <f>IFERROR(ROUND(N811*M811,2),"")</f>
        <v>56300.5</v>
      </c>
      <c r="Q811" s="119"/>
      <c r="R811" s="4"/>
    </row>
    <row r="812" spans="1:18">
      <c r="A812" s="1">
        <f t="shared" si="28"/>
        <v>0</v>
      </c>
      <c r="B812" s="2" t="s">
        <v>288</v>
      </c>
      <c r="C812" s="8"/>
      <c r="D812" s="109" t="str">
        <f>IFERROR(INDEX([239]MATERIALES!C:C,MATCH(B812,[239]MATERIALES!B:B,0)),"")</f>
        <v xml:space="preserve">SUMINISTRO E INSTALACIÓN DE MALLA ELECTROSOLDADA 4.00 mm 15X15 CM </v>
      </c>
      <c r="E812" s="135"/>
      <c r="F812" s="135"/>
      <c r="G812" s="135"/>
      <c r="H812" s="135"/>
      <c r="I812" s="135"/>
      <c r="J812" s="135"/>
      <c r="K812" s="136"/>
      <c r="L812" s="137" t="str">
        <f>IFERROR(INDEX([239]MATERIALES!D:D,MATCH(B812,[239]MATERIALES!B:B,0)),"")</f>
        <v>M2</v>
      </c>
      <c r="M812" s="138">
        <v>1</v>
      </c>
      <c r="N812" s="139">
        <f>IFERROR(INDEX([239]MATERIALES!P:P,MATCH(B812,[239]MATERIALES!B:B,0)),"")</f>
        <v>14317.74</v>
      </c>
      <c r="O812" s="140"/>
      <c r="P812" s="118">
        <f>IFERROR(ROUND(N812*M812,2),"")</f>
        <v>14317.74</v>
      </c>
      <c r="Q812" s="119"/>
      <c r="R812" s="4"/>
    </row>
    <row r="813" spans="1:18">
      <c r="A813" s="1">
        <f t="shared" si="28"/>
        <v>0</v>
      </c>
      <c r="B813" s="2" t="s">
        <v>273</v>
      </c>
      <c r="C813" s="8"/>
      <c r="D813" s="109" t="str">
        <f>IFERROR(INDEX([239]MATERIALES!C:C,MATCH(B813,[239]MATERIALES!B:B,0)),"")</f>
        <v>TABLA BURRA ORDINARIA 10" x 1" x 3m</v>
      </c>
      <c r="E813" s="110"/>
      <c r="F813" s="110"/>
      <c r="G813" s="110"/>
      <c r="H813" s="110"/>
      <c r="I813" s="110"/>
      <c r="J813" s="110"/>
      <c r="K813" s="111"/>
      <c r="L813" s="137" t="str">
        <f>IFERROR(INDEX([239]MATERIALES!D:D,MATCH(B813,[239]MATERIALES!B:B,0)),"")</f>
        <v>UND</v>
      </c>
      <c r="M813" s="138">
        <v>0.51</v>
      </c>
      <c r="N813" s="139">
        <f>IFERROR(INDEX([239]MATERIALES!P:P,MATCH(B813,[239]MATERIALES!B:B,0)),"")</f>
        <v>22000</v>
      </c>
      <c r="O813" s="140"/>
      <c r="P813" s="118">
        <f>IFERROR(ROUND(N813*M813,2),"")</f>
        <v>11220</v>
      </c>
      <c r="Q813" s="119"/>
      <c r="R813" s="4"/>
    </row>
    <row r="814" spans="1:18">
      <c r="A814" s="1">
        <f t="shared" si="28"/>
        <v>0</v>
      </c>
      <c r="B814" s="2"/>
      <c r="C814" s="8"/>
      <c r="D814" s="109" t="str">
        <f>IFERROR(INDEX([239]MATERIALES!C:C,MATCH(B814,[239]MATERIALES!B:B,0)),"")</f>
        <v/>
      </c>
      <c r="E814" s="110"/>
      <c r="F814" s="110"/>
      <c r="G814" s="110"/>
      <c r="H814" s="110"/>
      <c r="I814" s="110"/>
      <c r="J814" s="110"/>
      <c r="K814" s="111"/>
      <c r="L814" s="137" t="str">
        <f>IFERROR(INDEX([239]MATERIALES!D:D,MATCH(B814,[239]MATERIALES!B:B,0)),"")</f>
        <v/>
      </c>
      <c r="M814" s="138"/>
      <c r="N814" s="139" t="str">
        <f>IFERROR(INDEX([239]MATERIALES!P:P,MATCH(B814,[239]MATERIALES!B:B,0)),"")</f>
        <v/>
      </c>
      <c r="O814" s="140"/>
      <c r="P814" s="118" t="str">
        <f>IFERROR(ROUND(N814*M814,2),"")</f>
        <v/>
      </c>
      <c r="Q814" s="119"/>
      <c r="R814" s="4"/>
    </row>
    <row r="815" spans="1:18">
      <c r="A815" s="1">
        <f t="shared" si="28"/>
        <v>0</v>
      </c>
      <c r="B815" s="2"/>
      <c r="C815" s="8"/>
      <c r="D815" s="109" t="str">
        <f>IFERROR(INDEX([239]MATERIALES!C:C,MATCH(B815,[239]MATERIALES!B:B,0)),"")</f>
        <v/>
      </c>
      <c r="E815" s="110"/>
      <c r="F815" s="110"/>
      <c r="G815" s="110"/>
      <c r="H815" s="110"/>
      <c r="I815" s="110"/>
      <c r="J815" s="110"/>
      <c r="K815" s="111"/>
      <c r="L815" s="137" t="str">
        <f>IFERROR(INDEX([239]MATERIALES!D:D,MATCH(B815,[239]MATERIALES!B:B,0)),"")</f>
        <v/>
      </c>
      <c r="M815" s="138"/>
      <c r="N815" s="139" t="str">
        <f>IFERROR(INDEX([239]MATERIALES!P:P,MATCH(B815,[239]MATERIALES!B:B,0)),"")</f>
        <v/>
      </c>
      <c r="O815" s="140"/>
      <c r="P815" s="118" t="str">
        <f t="shared" ref="P815:P824" si="29">IFERROR(ROUND(N815*M815,2),"")</f>
        <v/>
      </c>
      <c r="Q815" s="119"/>
      <c r="R815" s="4"/>
    </row>
    <row r="816" spans="1:18">
      <c r="A816" s="1">
        <f t="shared" si="28"/>
        <v>0</v>
      </c>
      <c r="B816" s="2"/>
      <c r="C816" s="8"/>
      <c r="D816" s="109" t="str">
        <f>IFERROR(INDEX([239]MATERIALES!C:C,MATCH(B816,[239]MATERIALES!B:B,0)),"")</f>
        <v/>
      </c>
      <c r="E816" s="110"/>
      <c r="F816" s="110"/>
      <c r="G816" s="110"/>
      <c r="H816" s="110"/>
      <c r="I816" s="110"/>
      <c r="J816" s="110"/>
      <c r="K816" s="111"/>
      <c r="L816" s="137" t="str">
        <f>IFERROR(INDEX([239]MATERIALES!D:D,MATCH(B816,[239]MATERIALES!B:B,0)),"")</f>
        <v/>
      </c>
      <c r="M816" s="138"/>
      <c r="N816" s="139" t="str">
        <f>IFERROR(INDEX([239]MATERIALES!P:P,MATCH(B816,[239]MATERIALES!B:B,0)),"")</f>
        <v/>
      </c>
      <c r="O816" s="140"/>
      <c r="P816" s="118" t="str">
        <f t="shared" si="29"/>
        <v/>
      </c>
      <c r="Q816" s="119"/>
      <c r="R816" s="4"/>
    </row>
    <row r="817" spans="1:18">
      <c r="A817" s="1">
        <f t="shared" si="28"/>
        <v>0</v>
      </c>
      <c r="B817" s="2"/>
      <c r="C817" s="8"/>
      <c r="D817" s="109" t="str">
        <f>IFERROR(INDEX([239]MATERIALES!C:C,MATCH(B817,[239]MATERIALES!B:B,0)),"")</f>
        <v/>
      </c>
      <c r="E817" s="110"/>
      <c r="F817" s="110"/>
      <c r="G817" s="110"/>
      <c r="H817" s="110"/>
      <c r="I817" s="110"/>
      <c r="J817" s="110"/>
      <c r="K817" s="111"/>
      <c r="L817" s="137" t="str">
        <f>IFERROR(INDEX([239]MATERIALES!D:D,MATCH(B817,[239]MATERIALES!B:B,0)),"")</f>
        <v/>
      </c>
      <c r="M817" s="138"/>
      <c r="N817" s="139" t="str">
        <f>IFERROR(INDEX([239]MATERIALES!P:P,MATCH(B817,[239]MATERIALES!B:B,0)),"")</f>
        <v/>
      </c>
      <c r="O817" s="140"/>
      <c r="P817" s="118" t="str">
        <f t="shared" si="29"/>
        <v/>
      </c>
      <c r="Q817" s="119"/>
      <c r="R817" s="4"/>
    </row>
    <row r="818" spans="1:18">
      <c r="A818" s="1">
        <f t="shared" si="28"/>
        <v>0</v>
      </c>
      <c r="B818" s="2"/>
      <c r="C818" s="8"/>
      <c r="D818" s="109" t="str">
        <f>IFERROR(INDEX([239]MATERIALES!C:C,MATCH(B818,[239]MATERIALES!B:B,0)),"")</f>
        <v/>
      </c>
      <c r="E818" s="110"/>
      <c r="F818" s="110"/>
      <c r="G818" s="110"/>
      <c r="H818" s="110"/>
      <c r="I818" s="110"/>
      <c r="J818" s="110"/>
      <c r="K818" s="111"/>
      <c r="L818" s="137" t="str">
        <f>IFERROR(INDEX([239]MATERIALES!D:D,MATCH(B818,[239]MATERIALES!B:B,0)),"")</f>
        <v/>
      </c>
      <c r="M818" s="138"/>
      <c r="N818" s="139" t="str">
        <f>IFERROR(INDEX([239]MATERIALES!P:P,MATCH(B818,[239]MATERIALES!B:B,0)),"")</f>
        <v/>
      </c>
      <c r="O818" s="140"/>
      <c r="P818" s="118" t="str">
        <f t="shared" si="29"/>
        <v/>
      </c>
      <c r="Q818" s="119"/>
      <c r="R818" s="4"/>
    </row>
    <row r="819" spans="1:18">
      <c r="A819" s="1">
        <f t="shared" si="28"/>
        <v>0</v>
      </c>
      <c r="B819" s="2"/>
      <c r="C819" s="8"/>
      <c r="D819" s="109" t="str">
        <f>IFERROR(INDEX([239]MATERIALES!C:C,MATCH(B819,[239]MATERIALES!B:B,0)),"")</f>
        <v/>
      </c>
      <c r="E819" s="110"/>
      <c r="F819" s="110"/>
      <c r="G819" s="110"/>
      <c r="H819" s="110"/>
      <c r="I819" s="110"/>
      <c r="J819" s="110"/>
      <c r="K819" s="111"/>
      <c r="L819" s="137" t="str">
        <f>IFERROR(INDEX([239]MATERIALES!D:D,MATCH(B819,[239]MATERIALES!B:B,0)),"")</f>
        <v/>
      </c>
      <c r="M819" s="138"/>
      <c r="N819" s="139" t="str">
        <f>IFERROR(INDEX([239]MATERIALES!P:P,MATCH(B819,[239]MATERIALES!B:B,0)),"")</f>
        <v/>
      </c>
      <c r="O819" s="140"/>
      <c r="P819" s="118" t="str">
        <f t="shared" si="29"/>
        <v/>
      </c>
      <c r="Q819" s="119"/>
      <c r="R819" s="4"/>
    </row>
    <row r="820" spans="1:18">
      <c r="A820" s="1">
        <f t="shared" si="28"/>
        <v>0</v>
      </c>
      <c r="B820" s="2"/>
      <c r="C820" s="8"/>
      <c r="D820" s="109" t="str">
        <f>IFERROR(INDEX([239]MATERIALES!C:C,MATCH(B820,[239]MATERIALES!B:B,0)),"")</f>
        <v/>
      </c>
      <c r="E820" s="110"/>
      <c r="F820" s="110"/>
      <c r="G820" s="110"/>
      <c r="H820" s="110"/>
      <c r="I820" s="110"/>
      <c r="J820" s="110"/>
      <c r="K820" s="111"/>
      <c r="L820" s="137" t="str">
        <f>IFERROR(INDEX([239]MATERIALES!D:D,MATCH(B820,[239]MATERIALES!B:B,0)),"")</f>
        <v/>
      </c>
      <c r="M820" s="138"/>
      <c r="N820" s="139" t="str">
        <f>IFERROR(INDEX([239]MATERIALES!P:P,MATCH(B820,[239]MATERIALES!B:B,0)),"")</f>
        <v/>
      </c>
      <c r="O820" s="140"/>
      <c r="P820" s="118" t="str">
        <f t="shared" si="29"/>
        <v/>
      </c>
      <c r="Q820" s="119"/>
      <c r="R820" s="4"/>
    </row>
    <row r="821" spans="1:18">
      <c r="A821" s="1">
        <f t="shared" si="28"/>
        <v>0</v>
      </c>
      <c r="B821" s="2"/>
      <c r="C821" s="8"/>
      <c r="D821" s="109" t="str">
        <f>IFERROR(INDEX([239]MATERIALES!C:C,MATCH(B821,[239]MATERIALES!B:B,0)),"")</f>
        <v/>
      </c>
      <c r="E821" s="110"/>
      <c r="F821" s="110"/>
      <c r="G821" s="110"/>
      <c r="H821" s="110"/>
      <c r="I821" s="110"/>
      <c r="J821" s="110"/>
      <c r="K821" s="111"/>
      <c r="L821" s="137" t="str">
        <f>IFERROR(INDEX([239]MATERIALES!D:D,MATCH(B821,[239]MATERIALES!B:B,0)),"")</f>
        <v/>
      </c>
      <c r="M821" s="138"/>
      <c r="N821" s="139" t="str">
        <f>IFERROR(INDEX([239]MATERIALES!P:P,MATCH(B821,[239]MATERIALES!B:B,0)),"")</f>
        <v/>
      </c>
      <c r="O821" s="140"/>
      <c r="P821" s="118" t="str">
        <f t="shared" si="29"/>
        <v/>
      </c>
      <c r="Q821" s="119"/>
      <c r="R821" s="4"/>
    </row>
    <row r="822" spans="1:18">
      <c r="A822" s="1">
        <f t="shared" si="28"/>
        <v>0</v>
      </c>
      <c r="B822" s="2"/>
      <c r="C822" s="8"/>
      <c r="D822" s="109" t="str">
        <f>IFERROR(INDEX([239]MATERIALES!C:C,MATCH(B822,[239]MATERIALES!B:B,0)),"")</f>
        <v/>
      </c>
      <c r="E822" s="110"/>
      <c r="F822" s="110"/>
      <c r="G822" s="110"/>
      <c r="H822" s="110"/>
      <c r="I822" s="110"/>
      <c r="J822" s="110"/>
      <c r="K822" s="111"/>
      <c r="L822" s="137" t="str">
        <f>IFERROR(INDEX([239]MATERIALES!D:D,MATCH(B822,[239]MATERIALES!B:B,0)),"")</f>
        <v/>
      </c>
      <c r="M822" s="138"/>
      <c r="N822" s="139" t="str">
        <f>IFERROR(INDEX([239]MATERIALES!P:P,MATCH(B822,[239]MATERIALES!B:B,0)),"")</f>
        <v/>
      </c>
      <c r="O822" s="140"/>
      <c r="P822" s="118" t="str">
        <f t="shared" si="29"/>
        <v/>
      </c>
      <c r="Q822" s="119"/>
      <c r="R822" s="4"/>
    </row>
    <row r="823" spans="1:18">
      <c r="A823" s="1">
        <f t="shared" si="28"/>
        <v>0</v>
      </c>
      <c r="B823" s="2"/>
      <c r="C823" s="8"/>
      <c r="D823" s="109" t="str">
        <f>IFERROR(INDEX([239]MATERIALES!C:C,MATCH(B823,[239]MATERIALES!B:B,0)),"")</f>
        <v/>
      </c>
      <c r="E823" s="110"/>
      <c r="F823" s="110"/>
      <c r="G823" s="110"/>
      <c r="H823" s="110"/>
      <c r="I823" s="110"/>
      <c r="J823" s="110"/>
      <c r="K823" s="111"/>
      <c r="L823" s="137" t="str">
        <f>IFERROR(INDEX([239]MATERIALES!D:D,MATCH(B823,[239]MATERIALES!B:B,0)),"")</f>
        <v/>
      </c>
      <c r="M823" s="138"/>
      <c r="N823" s="139" t="str">
        <f>IFERROR(INDEX([239]MATERIALES!P:P,MATCH(B823,[239]MATERIALES!B:B,0)),"")</f>
        <v/>
      </c>
      <c r="O823" s="140"/>
      <c r="P823" s="118" t="str">
        <f t="shared" si="29"/>
        <v/>
      </c>
      <c r="Q823" s="119"/>
      <c r="R823" s="4"/>
    </row>
    <row r="824" spans="1:18">
      <c r="A824" s="1">
        <f t="shared" si="28"/>
        <v>0</v>
      </c>
      <c r="B824" s="2"/>
      <c r="C824" s="8"/>
      <c r="D824" s="109" t="str">
        <f>IFERROR(INDEX([239]MATERIALES!C:C,MATCH(B824,[239]MATERIALES!B:B,0)),"")</f>
        <v/>
      </c>
      <c r="E824" s="110"/>
      <c r="F824" s="110"/>
      <c r="G824" s="110"/>
      <c r="H824" s="110"/>
      <c r="I824" s="110"/>
      <c r="J824" s="110"/>
      <c r="K824" s="111"/>
      <c r="L824" s="137" t="str">
        <f>IFERROR(INDEX([239]MATERIALES!D:D,MATCH(B824,[239]MATERIALES!B:B,0)),"")</f>
        <v/>
      </c>
      <c r="M824" s="138"/>
      <c r="N824" s="139" t="str">
        <f>IFERROR(INDEX([239]MATERIALES!P:P,MATCH(B824,[239]MATERIALES!B:B,0)),"")</f>
        <v/>
      </c>
      <c r="O824" s="140"/>
      <c r="P824" s="118" t="str">
        <f t="shared" si="29"/>
        <v/>
      </c>
      <c r="Q824" s="119"/>
      <c r="R824" s="4"/>
    </row>
    <row r="825" spans="1:18" ht="15.75" thickBot="1">
      <c r="A825" s="1">
        <f t="shared" si="28"/>
        <v>0</v>
      </c>
      <c r="B825" s="2"/>
      <c r="C825" s="8"/>
      <c r="D825" s="109" t="s">
        <v>28</v>
      </c>
      <c r="E825" s="110"/>
      <c r="F825" s="110"/>
      <c r="G825" s="110"/>
      <c r="H825" s="110"/>
      <c r="I825" s="110"/>
      <c r="J825" s="110"/>
      <c r="K825" s="111"/>
      <c r="L825" s="137" t="s">
        <v>29</v>
      </c>
      <c r="M825" s="138">
        <v>0.05</v>
      </c>
      <c r="N825" s="139">
        <f>SUM(P811:P824)</f>
        <v>81838.240000000005</v>
      </c>
      <c r="O825" s="140"/>
      <c r="P825" s="118">
        <f>ROUND(N825*M825,2)</f>
        <v>4091.91</v>
      </c>
      <c r="Q825" s="119"/>
      <c r="R825" s="4"/>
    </row>
    <row r="826" spans="1:18" ht="15.75" thickBot="1">
      <c r="A826" s="1">
        <f t="shared" si="28"/>
        <v>0</v>
      </c>
      <c r="B826" s="2"/>
      <c r="C826" s="8"/>
      <c r="D826" s="128" t="s">
        <v>24</v>
      </c>
      <c r="E826" s="129"/>
      <c r="F826" s="129"/>
      <c r="G826" s="129"/>
      <c r="H826" s="129"/>
      <c r="I826" s="129"/>
      <c r="J826" s="129"/>
      <c r="K826" s="129"/>
      <c r="L826" s="129"/>
      <c r="M826" s="129"/>
      <c r="N826" s="129"/>
      <c r="O826" s="130"/>
      <c r="P826" s="131">
        <f>SUM(P811:P825)</f>
        <v>85930.150000000009</v>
      </c>
      <c r="Q826" s="119"/>
      <c r="R826" s="4"/>
    </row>
    <row r="827" spans="1:18" ht="15.75" thickBot="1">
      <c r="A827" s="1">
        <f t="shared" si="28"/>
        <v>0</v>
      </c>
      <c r="B827" s="2"/>
      <c r="C827" s="8"/>
      <c r="D827" s="74" t="s">
        <v>30</v>
      </c>
      <c r="E827" s="37"/>
      <c r="F827" s="37"/>
      <c r="G827" s="37"/>
      <c r="H827" s="37"/>
      <c r="I827" s="37"/>
      <c r="J827" s="37"/>
      <c r="K827" s="37"/>
      <c r="L827" s="37"/>
      <c r="M827" s="37"/>
      <c r="N827" s="37"/>
      <c r="O827" s="37"/>
      <c r="P827" s="99"/>
      <c r="Q827" s="100"/>
      <c r="R827" s="4"/>
    </row>
    <row r="828" spans="1:18">
      <c r="A828" s="1">
        <f t="shared" si="28"/>
        <v>0</v>
      </c>
      <c r="B828" s="2"/>
      <c r="C828" s="8"/>
      <c r="D828" s="101" t="s">
        <v>31</v>
      </c>
      <c r="E828" s="133"/>
      <c r="F828" s="133"/>
      <c r="G828" s="133"/>
      <c r="H828" s="133"/>
      <c r="I828" s="133"/>
      <c r="J828" s="133"/>
      <c r="K828" s="106" t="s">
        <v>32</v>
      </c>
      <c r="L828" s="141" t="s">
        <v>33</v>
      </c>
      <c r="M828" s="106" t="s">
        <v>34</v>
      </c>
      <c r="N828" s="104" t="s">
        <v>20</v>
      </c>
      <c r="O828" s="105"/>
      <c r="P828" s="107" t="s">
        <v>22</v>
      </c>
      <c r="Q828" s="108"/>
      <c r="R828" s="4"/>
    </row>
    <row r="829" spans="1:18">
      <c r="A829" s="1">
        <f t="shared" si="28"/>
        <v>0</v>
      </c>
      <c r="B829" s="2"/>
      <c r="C829" s="8"/>
      <c r="D829" s="142" t="str">
        <f>IFERROR(INDEX([239]TRANSPORTES!B:B,MATCH(B829,[239]TRANSPORTES!A:A,0)),"")</f>
        <v/>
      </c>
      <c r="E829" s="143"/>
      <c r="F829" s="143"/>
      <c r="G829" s="143"/>
      <c r="H829" s="143"/>
      <c r="I829" s="143"/>
      <c r="J829" s="143"/>
      <c r="K829" s="220"/>
      <c r="L829" s="145"/>
      <c r="M829" s="146" t="str">
        <f>IFERROR(INDEX([239]TRANSPORTES!C:C,MATCH(B829,[239]TRANSPORTES!A:A,0)),"")</f>
        <v/>
      </c>
      <c r="N829" s="139" t="str">
        <f>IFERROR(INDEX([239]TRANSPORTES!D:D,MATCH(B829,[239]TRANSPORTES!A:A,0)),"")</f>
        <v/>
      </c>
      <c r="O829" s="147"/>
      <c r="P829" s="148" t="str">
        <f>IFERROR(ROUND(K829*N829*L829,2),"")</f>
        <v/>
      </c>
      <c r="Q829" s="119"/>
      <c r="R829" s="4"/>
    </row>
    <row r="830" spans="1:18">
      <c r="A830" s="1">
        <f t="shared" si="28"/>
        <v>0</v>
      </c>
      <c r="B830" s="2"/>
      <c r="C830" s="8"/>
      <c r="D830" s="142" t="str">
        <f>IFERROR(INDEX([239]TRANSPORTES!B:B,MATCH(B830,[239]TRANSPORTES!A:A,0)),"")</f>
        <v/>
      </c>
      <c r="E830" s="143"/>
      <c r="F830" s="143"/>
      <c r="G830" s="143"/>
      <c r="H830" s="143"/>
      <c r="I830" s="143"/>
      <c r="J830" s="143"/>
      <c r="K830" s="144"/>
      <c r="L830" s="145"/>
      <c r="M830" s="146" t="str">
        <f>IFERROR(INDEX([239]TRANSPORTES!C:C,MATCH(B830,[239]TRANSPORTES!A:A,0)),"")</f>
        <v/>
      </c>
      <c r="N830" s="139" t="str">
        <f>IFERROR(INDEX([239]TRANSPORTES!D:D,MATCH(B830,[239]TRANSPORTES!A:A,0)),"")</f>
        <v/>
      </c>
      <c r="O830" s="147"/>
      <c r="P830" s="148" t="str">
        <f>IFERROR(ROUND(K830*N830*L830,2),"")</f>
        <v/>
      </c>
      <c r="Q830" s="119"/>
      <c r="R830" s="4"/>
    </row>
    <row r="831" spans="1:18">
      <c r="A831" s="1">
        <f t="shared" si="28"/>
        <v>0</v>
      </c>
      <c r="B831" s="2"/>
      <c r="C831" s="8"/>
      <c r="D831" s="142" t="str">
        <f>IFERROR(INDEX([239]TRANSPORTES!B:B,MATCH(B831,[239]TRANSPORTES!A:A,0)),"")</f>
        <v/>
      </c>
      <c r="E831" s="143"/>
      <c r="F831" s="143"/>
      <c r="G831" s="143"/>
      <c r="H831" s="143"/>
      <c r="I831" s="143"/>
      <c r="J831" s="143"/>
      <c r="K831" s="144"/>
      <c r="L831" s="145"/>
      <c r="M831" s="146" t="str">
        <f>IFERROR(INDEX([239]TRANSPORTES!C:C,MATCH(B831,[239]TRANSPORTES!A:A,0)),"")</f>
        <v/>
      </c>
      <c r="N831" s="139" t="str">
        <f>IFERROR(INDEX([239]TRANSPORTES!D:D,MATCH(B831,[239]TRANSPORTES!A:A,0)),"")</f>
        <v/>
      </c>
      <c r="O831" s="147"/>
      <c r="P831" s="148" t="str">
        <f>IFERROR(ROUND(K831*N831*L831,2),"")</f>
        <v/>
      </c>
      <c r="Q831" s="119"/>
      <c r="R831" s="4"/>
    </row>
    <row r="832" spans="1:18" ht="15.75" thickBot="1">
      <c r="A832" s="1">
        <f t="shared" si="28"/>
        <v>0</v>
      </c>
      <c r="B832" s="2"/>
      <c r="C832" s="8"/>
      <c r="D832" s="142" t="str">
        <f>IFERROR(INDEX([239]TRANSPORTES!B:B,MATCH(B832,[239]TRANSPORTES!A:A,0)),"")</f>
        <v/>
      </c>
      <c r="E832" s="143"/>
      <c r="F832" s="143"/>
      <c r="G832" s="143"/>
      <c r="H832" s="143"/>
      <c r="I832" s="143"/>
      <c r="J832" s="143"/>
      <c r="K832" s="149"/>
      <c r="L832" s="150"/>
      <c r="M832" s="146" t="str">
        <f>IFERROR(INDEX([239]TRANSPORTES!C:C,MATCH(B832,[239]TRANSPORTES!A:A,0)),"")</f>
        <v/>
      </c>
      <c r="N832" s="139" t="str">
        <f>IFERROR(INDEX([239]TRANSPORTES!D:D,MATCH(B832,[239]TRANSPORTES!A:A,0)),"")</f>
        <v/>
      </c>
      <c r="O832" s="147"/>
      <c r="P832" s="148" t="str">
        <f>IFERROR(ROUND(K832*N832*L832,2),"")</f>
        <v/>
      </c>
      <c r="Q832" s="119"/>
      <c r="R832" s="4"/>
    </row>
    <row r="833" spans="1:18" ht="15.75" thickBot="1">
      <c r="A833" s="1">
        <f t="shared" si="28"/>
        <v>0</v>
      </c>
      <c r="B833" s="2"/>
      <c r="C833" s="8"/>
      <c r="D833" s="128" t="s">
        <v>24</v>
      </c>
      <c r="E833" s="129"/>
      <c r="F833" s="129"/>
      <c r="G833" s="129"/>
      <c r="H833" s="129"/>
      <c r="I833" s="129"/>
      <c r="J833" s="129"/>
      <c r="K833" s="129"/>
      <c r="L833" s="129"/>
      <c r="M833" s="129"/>
      <c r="N833" s="129"/>
      <c r="O833" s="130"/>
      <c r="P833" s="151">
        <f>SUM(P829:P832)</f>
        <v>0</v>
      </c>
      <c r="Q833" s="132"/>
      <c r="R833" s="4"/>
    </row>
    <row r="834" spans="1:18" ht="15.75" thickBot="1">
      <c r="A834" s="1">
        <f t="shared" si="28"/>
        <v>0</v>
      </c>
      <c r="B834" s="2"/>
      <c r="C834" s="8"/>
      <c r="D834" s="74" t="s">
        <v>36</v>
      </c>
      <c r="E834" s="37"/>
      <c r="F834" s="37"/>
      <c r="G834" s="37"/>
      <c r="H834" s="37"/>
      <c r="I834" s="37"/>
      <c r="J834" s="37"/>
      <c r="K834" s="37"/>
      <c r="L834" s="37"/>
      <c r="M834" s="37"/>
      <c r="N834" s="37"/>
      <c r="O834" s="37"/>
      <c r="P834" s="99"/>
      <c r="Q834" s="100"/>
      <c r="R834" s="4"/>
    </row>
    <row r="835" spans="1:18" ht="30">
      <c r="A835" s="1">
        <f t="shared" si="28"/>
        <v>0</v>
      </c>
      <c r="B835" s="2"/>
      <c r="C835" s="8"/>
      <c r="D835" s="101" t="s">
        <v>37</v>
      </c>
      <c r="E835" s="133"/>
      <c r="F835" s="133"/>
      <c r="G835" s="133"/>
      <c r="H835" s="133"/>
      <c r="I835" s="133"/>
      <c r="J835" s="133"/>
      <c r="K835" s="106" t="s">
        <v>38</v>
      </c>
      <c r="L835" s="152" t="s">
        <v>39</v>
      </c>
      <c r="M835" s="153" t="s">
        <v>40</v>
      </c>
      <c r="N835" s="104" t="s">
        <v>21</v>
      </c>
      <c r="O835" s="105"/>
      <c r="P835" s="154" t="s">
        <v>22</v>
      </c>
      <c r="Q835" s="155"/>
      <c r="R835" s="4"/>
    </row>
    <row r="836" spans="1:18">
      <c r="A836" s="1">
        <f t="shared" si="28"/>
        <v>0</v>
      </c>
      <c r="B836" s="2" t="s">
        <v>41</v>
      </c>
      <c r="C836" s="8"/>
      <c r="D836" s="109" t="str">
        <f>IFERROR(INDEX('[239]MANO DE OBRA'!B:B,MATCH(B836,'[239]MANO DE OBRA'!A:A,0)),"")</f>
        <v>OFICIAL</v>
      </c>
      <c r="E836" s="110"/>
      <c r="F836" s="110"/>
      <c r="G836" s="110"/>
      <c r="H836" s="110"/>
      <c r="I836" s="110"/>
      <c r="J836" s="111"/>
      <c r="K836" s="156">
        <f>IFERROR(INDEX('[239]MANO DE OBRA'!D:D,MATCH(B836,'[239]MANO DE OBRA'!A:A,0)),"")</f>
        <v>95930</v>
      </c>
      <c r="L836" s="157">
        <f>+IF(D836&lt;&gt;"",'[239]FACTOR PRESTACIONAL'!$E$21," ")</f>
        <v>1.95</v>
      </c>
      <c r="M836" s="158">
        <f>IFERROR(K836*L836," ")</f>
        <v>187063.5</v>
      </c>
      <c r="N836" s="159">
        <f>ROUND(8/0.9,2)</f>
        <v>8.89</v>
      </c>
      <c r="O836" s="160"/>
      <c r="P836" s="161">
        <f>IFERROR(ROUND(M836/N836,2)," ")</f>
        <v>21042.01</v>
      </c>
      <c r="Q836" s="162"/>
      <c r="R836" s="4"/>
    </row>
    <row r="837" spans="1:18">
      <c r="A837" s="1">
        <f t="shared" si="28"/>
        <v>0</v>
      </c>
      <c r="B837" s="2" t="s">
        <v>81</v>
      </c>
      <c r="C837" s="8"/>
      <c r="D837" s="109" t="str">
        <f>IFERROR(INDEX('[239]MANO DE OBRA'!B:B,MATCH(B837,'[239]MANO DE OBRA'!A:A,0)),"")</f>
        <v>AYUDANTE (1)</v>
      </c>
      <c r="E837" s="110"/>
      <c r="F837" s="110"/>
      <c r="G837" s="110"/>
      <c r="H837" s="110"/>
      <c r="I837" s="110"/>
      <c r="J837" s="111"/>
      <c r="K837" s="156">
        <f>IFERROR(INDEX('[239]MANO DE OBRA'!D:D,MATCH(B837,'[239]MANO DE OBRA'!A:A,0)),"")</f>
        <v>71433</v>
      </c>
      <c r="L837" s="157">
        <f>+IF(D837&lt;&gt;"",'[239]FACTOR PRESTACIONAL'!$E$21," ")</f>
        <v>1.95</v>
      </c>
      <c r="M837" s="158">
        <f>IFERROR(K837*L837," ")</f>
        <v>139294.35</v>
      </c>
      <c r="N837" s="159">
        <f>+N836</f>
        <v>8.89</v>
      </c>
      <c r="O837" s="160"/>
      <c r="P837" s="161">
        <f>IFERROR(ROUND(M837/N837,2)," ")</f>
        <v>15668.66</v>
      </c>
      <c r="Q837" s="162"/>
      <c r="R837" s="4"/>
    </row>
    <row r="838" spans="1:18">
      <c r="A838" s="1">
        <f t="shared" si="28"/>
        <v>0</v>
      </c>
      <c r="B838" s="2"/>
      <c r="C838" s="8"/>
      <c r="D838" s="109" t="str">
        <f>IFERROR(INDEX('[239]MANO DE OBRA'!B:B,MATCH(B838,'[239]MANO DE OBRA'!A:A,0)),"")</f>
        <v/>
      </c>
      <c r="E838" s="110"/>
      <c r="F838" s="110"/>
      <c r="G838" s="110"/>
      <c r="H838" s="110"/>
      <c r="I838" s="110"/>
      <c r="J838" s="111"/>
      <c r="K838" s="156" t="str">
        <f>IFERROR(INDEX('[239]MANO DE OBRA'!D:D,MATCH(B838,'[239]MANO DE OBRA'!A:A,0)),"")</f>
        <v/>
      </c>
      <c r="L838" s="157" t="str">
        <f>+IF(D838&lt;&gt;"",'[239]FACTOR PRESTACIONAL'!$E$21," ")</f>
        <v xml:space="preserve"> </v>
      </c>
      <c r="M838" s="158" t="str">
        <f>IFERROR(K838*L838," ")</f>
        <v xml:space="preserve"> </v>
      </c>
      <c r="N838" s="159"/>
      <c r="O838" s="160"/>
      <c r="P838" s="161" t="str">
        <f>IFERROR(ROUND(M838/N838,2)," ")</f>
        <v xml:space="preserve"> </v>
      </c>
      <c r="Q838" s="162"/>
      <c r="R838" s="4"/>
    </row>
    <row r="839" spans="1:18">
      <c r="A839" s="1">
        <f t="shared" si="28"/>
        <v>0</v>
      </c>
      <c r="B839" s="2"/>
      <c r="C839" s="8"/>
      <c r="D839" s="109" t="str">
        <f>IFERROR(INDEX('[239]MANO DE OBRA'!B:B,MATCH(B839,'[239]MANO DE OBRA'!A:A,0)),"")</f>
        <v/>
      </c>
      <c r="E839" s="110"/>
      <c r="F839" s="110"/>
      <c r="G839" s="110"/>
      <c r="H839" s="110"/>
      <c r="I839" s="110"/>
      <c r="J839" s="111"/>
      <c r="K839" s="156" t="str">
        <f>IFERROR(INDEX('[239]MANO DE OBRA'!D:D,MATCH(B839,'[239]MANO DE OBRA'!A:A,0)),"")</f>
        <v/>
      </c>
      <c r="L839" s="157" t="str">
        <f>+IF(D839&lt;&gt;"",'[239]FACTOR PRESTACIONAL'!$E$21," ")</f>
        <v xml:space="preserve"> </v>
      </c>
      <c r="M839" s="158" t="str">
        <f>IFERROR(K839*L839," ")</f>
        <v xml:space="preserve"> </v>
      </c>
      <c r="N839" s="159"/>
      <c r="O839" s="160"/>
      <c r="P839" s="161" t="str">
        <f>IFERROR(ROUND(M839/N839,2)," ")</f>
        <v xml:space="preserve"> </v>
      </c>
      <c r="Q839" s="162"/>
      <c r="R839" s="4"/>
    </row>
    <row r="840" spans="1:18" ht="15.75" thickBot="1">
      <c r="A840" s="1">
        <f t="shared" si="28"/>
        <v>0</v>
      </c>
      <c r="B840" s="2"/>
      <c r="C840" s="8"/>
      <c r="D840" s="109" t="str">
        <f>IFERROR(INDEX('[239]MANO DE OBRA'!B:B,MATCH(B840,'[239]MANO DE OBRA'!A:A,0)),"")</f>
        <v/>
      </c>
      <c r="E840" s="110"/>
      <c r="F840" s="110"/>
      <c r="G840" s="110"/>
      <c r="H840" s="110"/>
      <c r="I840" s="110"/>
      <c r="J840" s="111"/>
      <c r="K840" s="156" t="str">
        <f>IFERROR(INDEX('[239]MANO DE OBRA'!D:D,MATCH(B840,'[239]MANO DE OBRA'!A:A,0)),"")</f>
        <v/>
      </c>
      <c r="L840" s="157" t="str">
        <f>+IF(D840&lt;&gt;"",'[239]FACTOR PRESTACIONAL'!$E$21," ")</f>
        <v xml:space="preserve"> </v>
      </c>
      <c r="M840" s="158" t="str">
        <f>IFERROR(K840*L840," ")</f>
        <v xml:space="preserve"> </v>
      </c>
      <c r="N840" s="159"/>
      <c r="O840" s="160"/>
      <c r="P840" s="161" t="str">
        <f>IFERROR(ROUND(M840/N840,2)," ")</f>
        <v xml:space="preserve"> </v>
      </c>
      <c r="Q840" s="119"/>
      <c r="R840" s="4"/>
    </row>
    <row r="841" spans="1:18" ht="15.75" thickBot="1">
      <c r="A841" s="1">
        <f t="shared" si="28"/>
        <v>0</v>
      </c>
      <c r="B841" s="2"/>
      <c r="C841" s="8"/>
      <c r="D841" s="128" t="s">
        <v>24</v>
      </c>
      <c r="E841" s="129"/>
      <c r="F841" s="129"/>
      <c r="G841" s="129"/>
      <c r="H841" s="129"/>
      <c r="I841" s="129"/>
      <c r="J841" s="129"/>
      <c r="K841" s="129"/>
      <c r="L841" s="129"/>
      <c r="M841" s="129"/>
      <c r="N841" s="129"/>
      <c r="O841" s="130"/>
      <c r="P841" s="131">
        <f>SUM(P836:P840)</f>
        <v>36710.67</v>
      </c>
      <c r="Q841" s="119"/>
      <c r="R841" s="4"/>
    </row>
    <row r="842" spans="1:18" ht="15.75" thickBot="1">
      <c r="A842" s="1">
        <f t="shared" si="28"/>
        <v>0</v>
      </c>
      <c r="B842" s="2"/>
      <c r="C842" s="8"/>
      <c r="D842" s="87"/>
      <c r="E842" s="20"/>
      <c r="F842" s="20"/>
      <c r="G842" s="20"/>
      <c r="H842" s="20"/>
      <c r="I842" s="20"/>
      <c r="J842" s="20"/>
      <c r="K842" s="20"/>
      <c r="L842" s="20"/>
      <c r="M842" s="20"/>
      <c r="N842" s="20"/>
      <c r="O842" s="20"/>
      <c r="P842" s="88"/>
      <c r="Q842" s="13"/>
      <c r="R842" s="4"/>
    </row>
    <row r="843" spans="1:18" ht="15.75" thickBot="1">
      <c r="A843" s="1"/>
      <c r="B843" s="2"/>
      <c r="C843" s="8"/>
      <c r="D843" s="163" t="s">
        <v>43</v>
      </c>
      <c r="E843" s="164"/>
      <c r="F843" s="164"/>
      <c r="G843" s="164"/>
      <c r="H843" s="164"/>
      <c r="I843" s="164"/>
      <c r="J843" s="164"/>
      <c r="K843" s="164"/>
      <c r="L843" s="164"/>
      <c r="M843" s="164"/>
      <c r="N843" s="164"/>
      <c r="O843" s="165"/>
      <c r="P843" s="166">
        <f>+P841+P833+P826+P808</f>
        <v>126311.89000000001</v>
      </c>
      <c r="Q843" s="167"/>
      <c r="R843" s="168"/>
    </row>
    <row r="844" spans="1:18" ht="15.75" thickBot="1">
      <c r="A844" s="1"/>
      <c r="B844" s="2"/>
      <c r="C844" s="8"/>
      <c r="D844" s="169"/>
      <c r="E844" s="170"/>
      <c r="F844" s="170"/>
      <c r="G844" s="170"/>
      <c r="H844" s="170"/>
      <c r="I844" s="170"/>
      <c r="J844" s="170"/>
      <c r="K844" s="170"/>
      <c r="L844" s="170"/>
      <c r="M844" s="170"/>
      <c r="N844" s="170"/>
      <c r="O844" s="170"/>
      <c r="P844" s="171"/>
      <c r="Q844" s="100"/>
      <c r="R844" s="4"/>
    </row>
    <row r="845" spans="1:18">
      <c r="A845" s="1"/>
      <c r="B845" s="2"/>
      <c r="C845" s="8"/>
      <c r="D845" s="172" t="s">
        <v>73</v>
      </c>
      <c r="E845" s="173"/>
      <c r="F845" s="173"/>
      <c r="G845" s="173"/>
      <c r="H845" s="173"/>
      <c r="I845" s="173"/>
      <c r="J845" s="173"/>
      <c r="K845" s="141"/>
      <c r="L845" s="174"/>
      <c r="M845" s="153" t="s">
        <v>44</v>
      </c>
      <c r="N845" s="175" t="s">
        <v>45</v>
      </c>
      <c r="O845" s="176"/>
      <c r="P845" s="154"/>
      <c r="Q845" s="155"/>
      <c r="R845" s="4"/>
    </row>
    <row r="846" spans="1:18">
      <c r="A846" s="1"/>
      <c r="B846" s="2"/>
      <c r="C846" s="8"/>
      <c r="D846" s="109" t="s">
        <v>65</v>
      </c>
      <c r="E846" s="110"/>
      <c r="F846" s="110"/>
      <c r="G846" s="110"/>
      <c r="H846" s="110"/>
      <c r="I846" s="110"/>
      <c r="J846" s="110"/>
      <c r="K846" s="177"/>
      <c r="L846" s="178"/>
      <c r="M846" s="179">
        <f>+[239]INICIO!$F$10</f>
        <v>0.24</v>
      </c>
      <c r="N846" s="180">
        <f>ROUND(M846*P843,2)</f>
        <v>30314.85</v>
      </c>
      <c r="O846" s="181"/>
      <c r="P846" s="182"/>
      <c r="Q846" s="119"/>
      <c r="R846" s="4"/>
    </row>
    <row r="847" spans="1:18">
      <c r="A847" s="1"/>
      <c r="B847" s="2"/>
      <c r="C847" s="8"/>
      <c r="D847" s="183" t="s">
        <v>67</v>
      </c>
      <c r="E847" s="61"/>
      <c r="F847" s="61"/>
      <c r="G847" s="61"/>
      <c r="H847" s="61"/>
      <c r="I847" s="61"/>
      <c r="J847" s="61"/>
      <c r="K847" s="177"/>
      <c r="L847" s="178"/>
      <c r="M847" s="179">
        <f>+[239]INICIO!$F$11</f>
        <v>0.02</v>
      </c>
      <c r="N847" s="180">
        <f>ROUND(M847*P843,2)</f>
        <v>2526.2399999999998</v>
      </c>
      <c r="O847" s="181"/>
      <c r="P847" s="182"/>
      <c r="Q847" s="119"/>
      <c r="R847" s="4"/>
    </row>
    <row r="848" spans="1:18" ht="15.75" thickBot="1">
      <c r="A848" s="1"/>
      <c r="B848" s="2"/>
      <c r="C848" s="8"/>
      <c r="D848" s="77" t="s">
        <v>69</v>
      </c>
      <c r="E848" s="78"/>
      <c r="F848" s="78"/>
      <c r="G848" s="78"/>
      <c r="H848" s="78"/>
      <c r="I848" s="78"/>
      <c r="J848" s="78"/>
      <c r="K848" s="184"/>
      <c r="L848" s="185"/>
      <c r="M848" s="179">
        <f>+[239]INICIO!$F$12</f>
        <v>7.0000000000000007E-2</v>
      </c>
      <c r="N848" s="180">
        <f>ROUND(M848*P843,2)</f>
        <v>8841.83</v>
      </c>
      <c r="O848" s="181"/>
      <c r="P848" s="182"/>
      <c r="Q848" s="119"/>
      <c r="R848" s="4"/>
    </row>
    <row r="849" spans="1:18" ht="15.75" thickBot="1">
      <c r="A849" s="1"/>
      <c r="B849" s="2"/>
      <c r="C849" s="8"/>
      <c r="D849" s="128"/>
      <c r="E849" s="129"/>
      <c r="F849" s="129"/>
      <c r="G849" s="129"/>
      <c r="H849" s="129"/>
      <c r="I849" s="129"/>
      <c r="J849" s="129"/>
      <c r="K849" s="129"/>
      <c r="L849" s="129"/>
      <c r="M849" s="129"/>
      <c r="N849" s="129"/>
      <c r="O849" s="130"/>
      <c r="P849" s="131">
        <f>SUM(N846:N848)</f>
        <v>41682.92</v>
      </c>
      <c r="Q849" s="186"/>
      <c r="R849" s="4"/>
    </row>
    <row r="850" spans="1:18" ht="15.75" thickBot="1">
      <c r="A850" s="1"/>
      <c r="B850" s="2"/>
      <c r="C850" s="8"/>
      <c r="D850" s="87"/>
      <c r="E850" s="20"/>
      <c r="F850" s="20"/>
      <c r="G850" s="20"/>
      <c r="H850" s="20"/>
      <c r="I850" s="20"/>
      <c r="J850" s="20"/>
      <c r="K850" s="20"/>
      <c r="L850" s="20"/>
      <c r="M850" s="20"/>
      <c r="N850" s="20"/>
      <c r="O850" s="20"/>
      <c r="P850" s="88"/>
      <c r="Q850" s="13"/>
      <c r="R850" s="4"/>
    </row>
    <row r="851" spans="1:18" ht="15.75" thickBot="1">
      <c r="A851" s="1"/>
      <c r="B851" s="2"/>
      <c r="C851" s="8"/>
      <c r="D851" s="187" t="s">
        <v>46</v>
      </c>
      <c r="E851" s="188"/>
      <c r="F851" s="188"/>
      <c r="G851" s="188"/>
      <c r="H851" s="188"/>
      <c r="I851" s="188"/>
      <c r="J851" s="188"/>
      <c r="K851" s="188"/>
      <c r="L851" s="188"/>
      <c r="M851" s="188"/>
      <c r="N851" s="188"/>
      <c r="O851" s="189"/>
      <c r="P851" s="166">
        <f>ROUND(P849+P843,0)</f>
        <v>167995</v>
      </c>
      <c r="Q851" s="186"/>
      <c r="R851" s="4"/>
    </row>
    <row r="852" spans="1:18">
      <c r="A852" s="1"/>
      <c r="B852" s="2"/>
      <c r="C852" s="8"/>
      <c r="D852" s="80"/>
      <c r="E852" s="81"/>
      <c r="F852" s="81"/>
      <c r="G852" s="81"/>
      <c r="H852" s="81"/>
      <c r="I852" s="81"/>
      <c r="J852" s="81"/>
      <c r="K852" s="81"/>
      <c r="L852" s="81"/>
      <c r="M852" s="81"/>
      <c r="N852" s="81"/>
      <c r="O852" s="81"/>
      <c r="P852" s="82"/>
      <c r="Q852" s="13"/>
      <c r="R852" s="4"/>
    </row>
    <row r="853" spans="1:18">
      <c r="A853" s="1"/>
      <c r="B853" s="2"/>
      <c r="C853" s="8"/>
      <c r="D853" s="87"/>
      <c r="E853" s="20"/>
      <c r="F853" s="20"/>
      <c r="G853" s="20"/>
      <c r="H853" s="20"/>
      <c r="I853" s="20"/>
      <c r="J853" s="20"/>
      <c r="K853" s="20"/>
      <c r="L853" s="20"/>
      <c r="M853" s="20"/>
      <c r="N853" s="20"/>
      <c r="O853" s="20"/>
      <c r="P853" s="88"/>
      <c r="Q853" s="13"/>
      <c r="R853" s="4"/>
    </row>
    <row r="854" spans="1:18">
      <c r="A854" s="1"/>
      <c r="B854" s="2"/>
      <c r="C854" s="8"/>
      <c r="D854" s="87"/>
      <c r="E854" s="20"/>
      <c r="F854" s="20"/>
      <c r="G854" s="20"/>
      <c r="H854" s="20"/>
      <c r="I854" s="20"/>
      <c r="J854" s="20"/>
      <c r="K854" s="20"/>
      <c r="L854" s="20"/>
      <c r="M854" s="20"/>
      <c r="N854" s="20"/>
      <c r="O854" s="20"/>
      <c r="P854" s="88"/>
      <c r="Q854" s="13"/>
      <c r="R854" s="4"/>
    </row>
    <row r="855" spans="1:18">
      <c r="A855" s="1"/>
      <c r="B855" s="2"/>
      <c r="C855" s="8"/>
      <c r="D855" s="87"/>
      <c r="E855" s="20"/>
      <c r="F855" s="20"/>
      <c r="G855" s="20"/>
      <c r="H855" s="20"/>
      <c r="I855" s="20"/>
      <c r="J855" s="20"/>
      <c r="K855" s="20"/>
      <c r="L855" s="20"/>
      <c r="M855" s="20"/>
      <c r="N855" s="20"/>
      <c r="O855" s="20"/>
      <c r="P855" s="88"/>
      <c r="Q855" s="13"/>
      <c r="R855" s="4"/>
    </row>
    <row r="856" spans="1:18">
      <c r="A856" s="1"/>
      <c r="B856" s="2"/>
      <c r="C856" s="8"/>
      <c r="D856" s="219" t="str">
        <f>+[239]INICIO!$B$13</f>
        <v>Proyectó:</v>
      </c>
      <c r="E856" s="49"/>
      <c r="F856" s="49"/>
      <c r="G856" s="49"/>
      <c r="H856" s="49"/>
      <c r="I856" s="49"/>
      <c r="J856" s="49"/>
      <c r="K856" s="20"/>
      <c r="L856" s="69" t="str">
        <f>+[239]INICIO!$B$16</f>
        <v>Aprobó:</v>
      </c>
      <c r="M856" s="49"/>
      <c r="N856" s="49"/>
      <c r="O856" s="49"/>
      <c r="P856" s="88"/>
      <c r="Q856" s="13"/>
      <c r="R856" s="4"/>
    </row>
    <row r="857" spans="1:18">
      <c r="A857" s="1"/>
      <c r="B857" s="2"/>
      <c r="C857" s="8"/>
      <c r="D857" s="87"/>
      <c r="E857" s="20" t="str">
        <f>+Hoja2!C$13</f>
        <v>HELMER EDUARDO BECERRA SANTANDER</v>
      </c>
      <c r="F857" s="20"/>
      <c r="G857" s="20"/>
      <c r="H857" s="20"/>
      <c r="I857" s="20"/>
      <c r="J857" s="20"/>
      <c r="K857" s="20"/>
      <c r="L857" s="20"/>
      <c r="M857" s="20" t="str">
        <f>+Hoja2!$C$16</f>
        <v>JESÚS IVÁN QUIÑONES RUEDA</v>
      </c>
      <c r="N857" s="20"/>
      <c r="O857" s="20"/>
      <c r="P857" s="88"/>
      <c r="Q857" s="190"/>
      <c r="R857" s="4"/>
    </row>
    <row r="858" spans="1:18">
      <c r="A858" s="1"/>
      <c r="B858" s="2"/>
      <c r="C858" s="8"/>
      <c r="D858" s="87"/>
      <c r="E858" s="20" t="str">
        <f>+Hoja2!C$14</f>
        <v>APOYO SEC. DE PLANEACIÓN Y OBRAS PÚBLICAS</v>
      </c>
      <c r="F858" s="20"/>
      <c r="G858" s="20"/>
      <c r="H858" s="20"/>
      <c r="I858" s="20"/>
      <c r="J858" s="20"/>
      <c r="K858" s="20"/>
      <c r="L858" s="20"/>
      <c r="M858" s="20" t="str">
        <f>+Hoja2!$C$17</f>
        <v>SECRETARIO DE PLANEACIÓN Y OBRAS PUBLICAS</v>
      </c>
      <c r="N858" s="20"/>
      <c r="O858" s="20"/>
      <c r="P858" s="88"/>
      <c r="Q858" s="190"/>
      <c r="R858" s="4"/>
    </row>
    <row r="859" spans="1:18">
      <c r="A859" s="1"/>
      <c r="B859" s="2"/>
      <c r="C859" s="8"/>
      <c r="D859" s="68"/>
      <c r="E859" s="20" t="str">
        <f>+Hoja2!C$15</f>
        <v>123769-0701671 NTS</v>
      </c>
      <c r="F859" s="191"/>
      <c r="G859" s="191"/>
      <c r="H859" s="191"/>
      <c r="I859" s="20"/>
      <c r="J859" s="191"/>
      <c r="K859" s="191"/>
      <c r="L859" s="191"/>
      <c r="M859" s="192" t="str">
        <f>+Hoja2!C$18</f>
        <v>A21382020-1090480860</v>
      </c>
      <c r="N859" s="191"/>
      <c r="O859" s="191"/>
      <c r="P859" s="193"/>
      <c r="Q859" s="194"/>
      <c r="R859" s="4"/>
    </row>
    <row r="860" spans="1:18" ht="16.5" thickBot="1">
      <c r="A860" s="1"/>
      <c r="B860" s="2"/>
      <c r="C860" s="8"/>
      <c r="D860" s="195"/>
      <c r="E860" s="150"/>
      <c r="F860" s="150"/>
      <c r="G860" s="150"/>
      <c r="H860" s="150"/>
      <c r="I860" s="150"/>
      <c r="J860" s="150"/>
      <c r="K860" s="150"/>
      <c r="L860" s="150"/>
      <c r="M860" s="150"/>
      <c r="N860" s="150"/>
      <c r="O860" s="150"/>
      <c r="P860" s="196"/>
      <c r="Q860" s="197"/>
      <c r="R860" s="4"/>
    </row>
    <row r="861" spans="1:18" ht="15.75" thickBot="1">
      <c r="A861" s="1"/>
      <c r="B861" s="2"/>
      <c r="C861" s="198"/>
      <c r="D861" s="199"/>
      <c r="E861" s="199"/>
      <c r="F861" s="199"/>
      <c r="G861" s="199"/>
      <c r="H861" s="199"/>
      <c r="I861" s="199"/>
      <c r="J861" s="199"/>
      <c r="K861" s="199"/>
      <c r="L861" s="199"/>
      <c r="M861" s="199"/>
      <c r="N861" s="199"/>
      <c r="O861" s="199"/>
      <c r="P861" s="199"/>
      <c r="Q861" s="200"/>
      <c r="R861" s="4"/>
    </row>
    <row r="862" spans="1:18" ht="15.75" thickTop="1"/>
    <row r="863" spans="1:18" ht="15.75" thickBot="1"/>
    <row r="864" spans="1:18" ht="15.75" thickTop="1">
      <c r="A864" s="1"/>
      <c r="B864" s="2"/>
      <c r="C864" s="5"/>
      <c r="D864" s="6"/>
      <c r="E864" s="6"/>
      <c r="F864" s="6"/>
      <c r="G864" s="6"/>
      <c r="H864" s="6"/>
      <c r="I864" s="6"/>
      <c r="J864" s="6"/>
      <c r="K864" s="6"/>
      <c r="L864" s="6"/>
      <c r="M864" s="6"/>
      <c r="N864" s="6"/>
      <c r="O864" s="6"/>
      <c r="P864" s="6"/>
      <c r="Q864" s="7"/>
      <c r="R864" s="4"/>
    </row>
    <row r="865" spans="1:18" ht="24">
      <c r="A865" s="1"/>
      <c r="B865" s="2"/>
      <c r="C865" s="8"/>
      <c r="D865" s="9" t="str">
        <f>+[239]INICIO!$C$8</f>
        <v>Análisis de Precios Unitarios- Secretaria de Planeación y Obras Publicas de Cubará, Boyacá.</v>
      </c>
      <c r="E865" s="10"/>
      <c r="F865" s="10"/>
      <c r="G865" s="10"/>
      <c r="H865" s="11"/>
      <c r="I865" s="12"/>
      <c r="J865" s="12"/>
      <c r="K865" s="12"/>
      <c r="L865" s="12"/>
      <c r="M865" s="12"/>
      <c r="N865" s="12"/>
      <c r="O865" s="12"/>
      <c r="P865" s="12"/>
      <c r="Q865" s="13"/>
      <c r="R865" s="4"/>
    </row>
    <row r="866" spans="1:18">
      <c r="A866" s="1"/>
      <c r="B866" s="2"/>
      <c r="C866" s="8"/>
      <c r="D866" s="14" t="s">
        <v>0</v>
      </c>
      <c r="E866" s="15" t="str">
        <f>+[239]INICIO!$C$7</f>
        <v>CCE-EICP-FM-14</v>
      </c>
      <c r="F866" s="16"/>
      <c r="G866" s="17" t="str">
        <f>+[239]INICIO!$B$6</f>
        <v>VERSIÓN</v>
      </c>
      <c r="H866" s="14">
        <f>+[239]INICIO!$C$6</f>
        <v>1</v>
      </c>
      <c r="I866" s="12"/>
      <c r="J866" s="12"/>
      <c r="K866" s="12"/>
      <c r="L866" s="12"/>
      <c r="M866" s="12"/>
      <c r="N866" s="12"/>
      <c r="O866" s="12"/>
      <c r="P866" s="12"/>
      <c r="Q866" s="13"/>
      <c r="R866" s="4"/>
    </row>
    <row r="867" spans="1:18">
      <c r="A867" s="1"/>
      <c r="B867" s="2"/>
      <c r="C867" s="8"/>
      <c r="D867" s="18"/>
      <c r="E867" s="19"/>
      <c r="F867" s="18"/>
      <c r="G867" s="19"/>
      <c r="H867" s="12"/>
      <c r="I867" s="12"/>
      <c r="J867" s="12"/>
      <c r="K867" s="12"/>
      <c r="L867" s="12"/>
      <c r="M867" s="12"/>
      <c r="N867" s="12"/>
      <c r="O867" s="12"/>
      <c r="P867" s="12"/>
      <c r="Q867" s="13"/>
      <c r="R867" s="4"/>
    </row>
    <row r="868" spans="1:18" ht="15.75" thickBot="1">
      <c r="A868" s="1"/>
      <c r="B868" s="2"/>
      <c r="C868" s="8"/>
      <c r="D868" s="20"/>
      <c r="E868" s="20"/>
      <c r="F868" s="20"/>
      <c r="G868" s="20"/>
      <c r="H868" s="20"/>
      <c r="I868" s="20"/>
      <c r="J868" s="20"/>
      <c r="K868" s="20"/>
      <c r="L868" s="20"/>
      <c r="M868" s="20"/>
      <c r="N868" s="20"/>
      <c r="O868" s="20"/>
      <c r="P868" s="20"/>
      <c r="Q868" s="13"/>
      <c r="R868" s="4"/>
    </row>
    <row r="869" spans="1:18">
      <c r="A869" s="1"/>
      <c r="B869" s="2"/>
      <c r="C869" s="8"/>
      <c r="D869" s="21"/>
      <c r="E869" s="22"/>
      <c r="F869" s="23"/>
      <c r="G869" s="23"/>
      <c r="H869" s="23"/>
      <c r="I869" s="23"/>
      <c r="J869" s="23"/>
      <c r="K869" s="23"/>
      <c r="L869" s="24"/>
      <c r="M869" s="25"/>
      <c r="N869" s="26"/>
      <c r="O869" s="26"/>
      <c r="P869" s="27"/>
      <c r="Q869" s="28"/>
      <c r="R869" s="4"/>
    </row>
    <row r="870" spans="1:18">
      <c r="A870" s="1"/>
      <c r="B870" s="2"/>
      <c r="C870" s="8"/>
      <c r="D870" s="29"/>
      <c r="E870" s="30" t="s">
        <v>1</v>
      </c>
      <c r="F870" s="31"/>
      <c r="G870" s="31"/>
      <c r="H870" s="31"/>
      <c r="I870" s="31"/>
      <c r="J870" s="31"/>
      <c r="K870" s="31"/>
      <c r="L870" s="32"/>
      <c r="M870" s="33"/>
      <c r="N870" s="34"/>
      <c r="O870" s="34"/>
      <c r="P870" s="35"/>
      <c r="Q870" s="28"/>
      <c r="R870" s="4"/>
    </row>
    <row r="871" spans="1:18">
      <c r="A871" s="1"/>
      <c r="B871" s="2"/>
      <c r="C871" s="8"/>
      <c r="D871" s="29"/>
      <c r="E871" s="36"/>
      <c r="F871" s="37"/>
      <c r="G871" s="37"/>
      <c r="H871" s="37"/>
      <c r="I871" s="37"/>
      <c r="J871" s="37"/>
      <c r="K871" s="37"/>
      <c r="L871" s="38"/>
      <c r="M871" s="39"/>
      <c r="N871" s="40"/>
      <c r="O871" s="41"/>
      <c r="P871" s="42"/>
      <c r="Q871" s="28"/>
      <c r="R871" s="4"/>
    </row>
    <row r="872" spans="1:18">
      <c r="A872" s="1"/>
      <c r="B872" s="2"/>
      <c r="C872" s="8"/>
      <c r="D872" s="29"/>
      <c r="E872" s="36"/>
      <c r="F872" s="37"/>
      <c r="G872" s="37"/>
      <c r="H872" s="37"/>
      <c r="I872" s="37"/>
      <c r="J872" s="37"/>
      <c r="K872" s="37"/>
      <c r="L872" s="38"/>
      <c r="M872" s="43" t="s">
        <v>2</v>
      </c>
      <c r="N872" s="44"/>
      <c r="O872" s="45">
        <f>+[239]INICIO!$C$6</f>
        <v>1</v>
      </c>
      <c r="P872" s="46"/>
      <c r="Q872" s="28"/>
      <c r="R872" s="4"/>
    </row>
    <row r="873" spans="1:18">
      <c r="A873" s="1"/>
      <c r="B873" s="2"/>
      <c r="C873" s="8"/>
      <c r="D873" s="29"/>
      <c r="E873" s="36"/>
      <c r="F873" s="37"/>
      <c r="G873" s="37"/>
      <c r="H873" s="37"/>
      <c r="I873" s="37"/>
      <c r="J873" s="37"/>
      <c r="K873" s="37"/>
      <c r="L873" s="38"/>
      <c r="M873" s="47"/>
      <c r="N873" s="48"/>
      <c r="O873" s="49"/>
      <c r="P873" s="50"/>
      <c r="Q873" s="51"/>
      <c r="R873" s="4"/>
    </row>
    <row r="874" spans="1:18">
      <c r="A874" s="1"/>
      <c r="B874" s="2"/>
      <c r="C874" s="8"/>
      <c r="D874" s="29"/>
      <c r="E874" s="52"/>
      <c r="F874" s="53"/>
      <c r="G874" s="53"/>
      <c r="H874" s="53"/>
      <c r="I874" s="53"/>
      <c r="J874" s="53"/>
      <c r="K874" s="53"/>
      <c r="L874" s="54"/>
      <c r="M874" s="39"/>
      <c r="N874" s="55"/>
      <c r="O874" s="55"/>
      <c r="P874" s="56"/>
      <c r="Q874" s="28"/>
      <c r="R874" s="4"/>
    </row>
    <row r="875" spans="1:18">
      <c r="A875" s="1"/>
      <c r="B875" s="2"/>
      <c r="C875" s="8"/>
      <c r="D875" s="29"/>
      <c r="E875" s="52"/>
      <c r="F875" s="53"/>
      <c r="G875" s="53"/>
      <c r="H875" s="53"/>
      <c r="I875" s="53"/>
      <c r="J875" s="53"/>
      <c r="K875" s="53"/>
      <c r="L875" s="54"/>
      <c r="M875" s="43" t="s">
        <v>3</v>
      </c>
      <c r="N875" s="43" t="str">
        <f>+VLOOKUP(D886,'PRESUPUESTO OFICIAL '!C:Q,9,FALSE)</f>
        <v>26</v>
      </c>
      <c r="O875" s="43" t="s">
        <v>4</v>
      </c>
      <c r="P875" s="508" t="str">
        <f>+'PRESUPUESTO OFICIAL '!$M$122</f>
        <v>62</v>
      </c>
      <c r="Q875" s="28"/>
      <c r="R875" s="4"/>
    </row>
    <row r="876" spans="1:18">
      <c r="A876" s="1"/>
      <c r="B876" s="2"/>
      <c r="C876" s="8"/>
      <c r="D876" s="29"/>
      <c r="E876" s="30" t="s">
        <v>5</v>
      </c>
      <c r="F876" s="31"/>
      <c r="G876" s="31"/>
      <c r="H876" s="31"/>
      <c r="I876" s="31"/>
      <c r="J876" s="31"/>
      <c r="K876" s="31"/>
      <c r="L876" s="32"/>
      <c r="M876" s="43"/>
      <c r="N876" s="57"/>
      <c r="O876" s="57"/>
      <c r="P876" s="58"/>
      <c r="Q876" s="28"/>
      <c r="R876" s="4"/>
    </row>
    <row r="877" spans="1:18" ht="15.75" thickBot="1">
      <c r="A877" s="1"/>
      <c r="B877" s="2"/>
      <c r="C877" s="8"/>
      <c r="D877" s="59"/>
      <c r="E877" s="60"/>
      <c r="F877" s="60"/>
      <c r="G877" s="60"/>
      <c r="H877" s="60"/>
      <c r="I877" s="60"/>
      <c r="J877" s="60"/>
      <c r="K877" s="60"/>
      <c r="L877" s="60"/>
      <c r="M877" s="60"/>
      <c r="N877" s="61"/>
      <c r="O877" s="61"/>
      <c r="P877" s="62"/>
      <c r="Q877" s="63"/>
      <c r="R877" s="4"/>
    </row>
    <row r="878" spans="1:18">
      <c r="A878" s="1"/>
      <c r="B878" s="2"/>
      <c r="C878" s="8"/>
      <c r="D878" s="64"/>
      <c r="E878" s="65"/>
      <c r="F878" s="65"/>
      <c r="G878" s="65"/>
      <c r="H878" s="65"/>
      <c r="I878" s="65"/>
      <c r="J878" s="65"/>
      <c r="K878" s="65"/>
      <c r="L878" s="65"/>
      <c r="M878" s="66" t="s">
        <v>6</v>
      </c>
      <c r="N878" s="66" t="s">
        <v>7</v>
      </c>
      <c r="O878" s="66" t="s">
        <v>8</v>
      </c>
      <c r="P878" s="67" t="s">
        <v>9</v>
      </c>
      <c r="Q878" s="51"/>
      <c r="R878" s="4"/>
    </row>
    <row r="879" spans="1:18">
      <c r="A879" s="1"/>
      <c r="B879" s="2"/>
      <c r="C879" s="8"/>
      <c r="D879" s="68"/>
      <c r="E879" s="69"/>
      <c r="F879" s="69"/>
      <c r="G879" s="69"/>
      <c r="H879" s="69"/>
      <c r="I879" s="69"/>
      <c r="J879" s="69"/>
      <c r="K879" s="69"/>
      <c r="L879" s="69"/>
      <c r="M879" s="70"/>
      <c r="N879" s="71">
        <f>+Hoja2!B$5</f>
        <v>5</v>
      </c>
      <c r="O879" s="71">
        <f>+Hoja2!C$5</f>
        <v>8</v>
      </c>
      <c r="P879" s="72">
        <f>+Hoja2!D$5</f>
        <v>2026</v>
      </c>
      <c r="Q879" s="73"/>
      <c r="R879" s="4"/>
    </row>
    <row r="880" spans="1:18">
      <c r="A880" s="1"/>
      <c r="B880" s="2"/>
      <c r="C880" s="8"/>
      <c r="D880" s="74"/>
      <c r="E880" s="37"/>
      <c r="F880" s="37"/>
      <c r="G880" s="37"/>
      <c r="H880" s="69"/>
      <c r="I880" s="69"/>
      <c r="J880" s="69"/>
      <c r="K880" s="20"/>
      <c r="L880" s="69"/>
      <c r="M880" s="75"/>
      <c r="N880" s="20"/>
      <c r="O880" s="20"/>
      <c r="P880" s="76"/>
      <c r="Q880" s="73"/>
      <c r="R880" s="4"/>
    </row>
    <row r="881" spans="1:18" ht="15.75" thickBot="1">
      <c r="A881" s="1"/>
      <c r="B881" s="2"/>
      <c r="C881" s="8"/>
      <c r="D881" s="77"/>
      <c r="E881" s="78"/>
      <c r="F881" s="78"/>
      <c r="G881" s="78"/>
      <c r="H881" s="78"/>
      <c r="I881" s="78"/>
      <c r="J881" s="78"/>
      <c r="K881" s="78"/>
      <c r="L881" s="78"/>
      <c r="M881" s="78"/>
      <c r="N881" s="78"/>
      <c r="O881" s="78"/>
      <c r="P881" s="79"/>
      <c r="Q881" s="13"/>
      <c r="R881" s="4"/>
    </row>
    <row r="882" spans="1:18" ht="15.75" thickBot="1">
      <c r="A882" s="1"/>
      <c r="B882" s="2"/>
      <c r="C882" s="8"/>
      <c r="D882" s="80"/>
      <c r="E882" s="81"/>
      <c r="F882" s="81"/>
      <c r="G882" s="81"/>
      <c r="H882" s="81"/>
      <c r="I882" s="81"/>
      <c r="J882" s="20"/>
      <c r="K882" s="20"/>
      <c r="L882" s="81"/>
      <c r="M882" s="81"/>
      <c r="N882" s="81"/>
      <c r="O882" s="81"/>
      <c r="P882" s="82"/>
      <c r="Q882" s="13"/>
      <c r="R882" s="4"/>
    </row>
    <row r="883" spans="1:18">
      <c r="A883" s="1"/>
      <c r="B883" s="2"/>
      <c r="C883" s="8"/>
      <c r="D883" s="83" t="s">
        <v>10</v>
      </c>
      <c r="E883" s="84"/>
      <c r="F883" s="84"/>
      <c r="G883" s="84"/>
      <c r="H883" s="84"/>
      <c r="I883" s="84"/>
      <c r="J883" s="84"/>
      <c r="K883" s="84"/>
      <c r="L883" s="84"/>
      <c r="M883" s="84"/>
      <c r="N883" s="84"/>
      <c r="O883" s="84"/>
      <c r="P883" s="85"/>
      <c r="Q883" s="86"/>
      <c r="R883" s="4"/>
    </row>
    <row r="884" spans="1:18" ht="15.75" thickBot="1">
      <c r="A884" s="1"/>
      <c r="B884" s="2"/>
      <c r="C884" s="8"/>
      <c r="D884" s="87"/>
      <c r="E884" s="20"/>
      <c r="F884" s="20"/>
      <c r="G884" s="20"/>
      <c r="H884" s="20"/>
      <c r="I884" s="20"/>
      <c r="J884" s="20"/>
      <c r="K884" s="20"/>
      <c r="L884" s="20"/>
      <c r="M884" s="20"/>
      <c r="N884" s="20"/>
      <c r="O884" s="20"/>
      <c r="P884" s="88"/>
      <c r="Q884" s="13"/>
      <c r="R884" s="4"/>
    </row>
    <row r="885" spans="1:18">
      <c r="A885" s="1" t="s">
        <v>11</v>
      </c>
      <c r="B885" s="2" t="s">
        <v>12</v>
      </c>
      <c r="C885" s="8"/>
      <c r="D885" s="89" t="s">
        <v>13</v>
      </c>
      <c r="E885" s="90" t="s">
        <v>14</v>
      </c>
      <c r="F885" s="90"/>
      <c r="G885" s="90"/>
      <c r="H885" s="90"/>
      <c r="I885" s="90"/>
      <c r="J885" s="90"/>
      <c r="K885" s="90"/>
      <c r="L885" s="90"/>
      <c r="M885" s="90"/>
      <c r="N885" s="91" t="s">
        <v>15</v>
      </c>
      <c r="O885" s="91"/>
      <c r="P885" s="92" t="s">
        <v>16</v>
      </c>
      <c r="Q885" s="93"/>
      <c r="R885" s="4"/>
    </row>
    <row r="886" spans="1:18" ht="15.75" thickBot="1">
      <c r="A886" s="1"/>
      <c r="B886" s="2"/>
      <c r="C886" s="8"/>
      <c r="D886" s="349">
        <f>+'PRESUPUESTO OFICIAL '!C44</f>
        <v>3.06</v>
      </c>
      <c r="E886" s="94" t="str">
        <f>+VLOOKUP(D886,'PRESUPUESTO OFICIAL '!C:H,2,FALSE)</f>
        <v>PLACA BASE E= 5 CM EN CONCRETO f'c = 2500 PSI (17.5 Mpa)</v>
      </c>
      <c r="F886" s="94"/>
      <c r="G886" s="94"/>
      <c r="H886" s="94"/>
      <c r="I886" s="94"/>
      <c r="J886" s="94"/>
      <c r="K886" s="94"/>
      <c r="L886" s="94"/>
      <c r="M886" s="94"/>
      <c r="N886" s="94" t="str">
        <f>+VLOOKUP(D886,'PRESUPUESTO OFICIAL '!C:H,3,FALSE)</f>
        <v>M2</v>
      </c>
      <c r="O886" s="95"/>
      <c r="P886" s="96">
        <f>+VLOOKUP(D886,'PRESUPUESTO OFICIAL '!C:H,4,FALSE)</f>
        <v>10.36</v>
      </c>
      <c r="Q886" s="97"/>
      <c r="R886" s="98">
        <f>+P938</f>
        <v>116881</v>
      </c>
    </row>
    <row r="887" spans="1:18" ht="15.75" thickBot="1">
      <c r="A887" s="1"/>
      <c r="B887" s="2"/>
      <c r="C887" s="8"/>
      <c r="D887" s="74" t="s">
        <v>17</v>
      </c>
      <c r="E887" s="37"/>
      <c r="F887" s="37"/>
      <c r="G887" s="37"/>
      <c r="H887" s="37"/>
      <c r="I887" s="37"/>
      <c r="J887" s="37"/>
      <c r="K887" s="37"/>
      <c r="L887" s="37"/>
      <c r="M887" s="37"/>
      <c r="N887" s="37"/>
      <c r="O887" s="37"/>
      <c r="P887" s="99"/>
      <c r="Q887" s="100"/>
      <c r="R887" s="4"/>
    </row>
    <row r="888" spans="1:18">
      <c r="A888" s="1"/>
      <c r="B888" s="2"/>
      <c r="C888" s="8"/>
      <c r="D888" s="101" t="s">
        <v>14</v>
      </c>
      <c r="E888" s="102"/>
      <c r="F888" s="102"/>
      <c r="G888" s="102"/>
      <c r="H888" s="103"/>
      <c r="I888" s="104" t="s">
        <v>18</v>
      </c>
      <c r="J888" s="102"/>
      <c r="K888" s="104" t="s">
        <v>19</v>
      </c>
      <c r="L888" s="105"/>
      <c r="M888" s="106" t="s">
        <v>20</v>
      </c>
      <c r="N888" s="104" t="s">
        <v>21</v>
      </c>
      <c r="O888" s="105"/>
      <c r="P888" s="107" t="s">
        <v>22</v>
      </c>
      <c r="Q888" s="108"/>
      <c r="R888" s="4"/>
    </row>
    <row r="889" spans="1:18">
      <c r="A889" s="1" t="e">
        <f>[239]INDICE!#REF!</f>
        <v>#REF!</v>
      </c>
      <c r="B889" s="2" t="s">
        <v>23</v>
      </c>
      <c r="C889" s="8"/>
      <c r="D889" s="109" t="str">
        <f>IFERROR(INDEX([239]EQUIPOS!B:B,MATCH(B889,[239]EQUIPOS!A:A,0)),"")</f>
        <v>HERRAMIENTA MENOR (% M.O)</v>
      </c>
      <c r="E889" s="110"/>
      <c r="F889" s="110"/>
      <c r="G889" s="110"/>
      <c r="H889" s="111"/>
      <c r="I889" s="112"/>
      <c r="J889" s="111"/>
      <c r="K889" s="113" t="str">
        <f>IFERROR(INDEX([239]EQUIPOS!C:C,MATCH(B889,[239]EQUIPOS!A:A,0)),"")</f>
        <v>%</v>
      </c>
      <c r="L889" s="114"/>
      <c r="M889" s="115">
        <f>IFERROR(IF(D889="HERRAMIENTA MENOR (% M.O)",P928,INDEX([239]EQUIPOS!D:D,MATCH(B889,[239]EQUIPOS!A:A,0))),"")</f>
        <v>32635.79</v>
      </c>
      <c r="N889" s="116">
        <v>10</v>
      </c>
      <c r="O889" s="117"/>
      <c r="P889" s="118">
        <f t="shared" ref="P889:P894" si="30">IFERROR(ROUND(IF(D889="HERRAMIENTA MENOR (% M.O)",N889%*M889,M889/N889),2)," ")</f>
        <v>3263.58</v>
      </c>
      <c r="Q889" s="119"/>
      <c r="R889" s="4"/>
    </row>
    <row r="890" spans="1:18">
      <c r="A890" s="1">
        <f>+$A$2858</f>
        <v>0</v>
      </c>
      <c r="B890" s="2"/>
      <c r="C890" s="8"/>
      <c r="D890" s="109" t="str">
        <f>IFERROR(INDEX([239]EQUIPOS!B:B,MATCH(B890,[239]EQUIPOS!A:A,0)),"")</f>
        <v/>
      </c>
      <c r="E890" s="110"/>
      <c r="F890" s="110"/>
      <c r="G890" s="110"/>
      <c r="H890" s="111"/>
      <c r="I890" s="112"/>
      <c r="J890" s="111"/>
      <c r="K890" s="113" t="str">
        <f>IFERROR(INDEX([239]EQUIPOS!C:C,MATCH(B890,[239]EQUIPOS!A:A,0)),"")</f>
        <v/>
      </c>
      <c r="L890" s="114"/>
      <c r="M890" s="115" t="str">
        <f>IFERROR(IF(D890="HERRAMIENTA MENOR (% M.O)",P929,INDEX([239]EQUIPOS!D:D,MATCH(B890,[239]EQUIPOS!A:A,0))),"")</f>
        <v/>
      </c>
      <c r="N890" s="116"/>
      <c r="O890" s="117"/>
      <c r="P890" s="118" t="str">
        <f t="shared" si="30"/>
        <v xml:space="preserve"> </v>
      </c>
      <c r="Q890" s="119"/>
      <c r="R890" s="4"/>
    </row>
    <row r="891" spans="1:18">
      <c r="A891" s="1">
        <f t="shared" ref="A891:A929" si="31">+A890</f>
        <v>0</v>
      </c>
      <c r="B891" s="2"/>
      <c r="C891" s="8"/>
      <c r="D891" s="109" t="str">
        <f>IFERROR(INDEX([239]EQUIPOS!B:B,MATCH(B891,[239]EQUIPOS!A:A,0)),"")</f>
        <v/>
      </c>
      <c r="E891" s="110"/>
      <c r="F891" s="110"/>
      <c r="G891" s="110"/>
      <c r="H891" s="111"/>
      <c r="I891" s="120"/>
      <c r="J891" s="121"/>
      <c r="K891" s="113" t="str">
        <f>IFERROR(INDEX([239]EQUIPOS!C:C,MATCH(B891,[239]EQUIPOS!A:A,0)),"")</f>
        <v/>
      </c>
      <c r="L891" s="114"/>
      <c r="M891" s="115" t="str">
        <f>IFERROR(IF(D891="HERRAMIENTA MENOR (% M.O)",P930,INDEX([239]EQUIPOS!D:D,MATCH(B891,[239]EQUIPOS!A:A,0))),"")</f>
        <v/>
      </c>
      <c r="N891" s="116"/>
      <c r="O891" s="117"/>
      <c r="P891" s="118" t="str">
        <f t="shared" si="30"/>
        <v xml:space="preserve"> </v>
      </c>
      <c r="Q891" s="119"/>
      <c r="R891" s="4"/>
    </row>
    <row r="892" spans="1:18">
      <c r="A892" s="1">
        <f t="shared" si="31"/>
        <v>0</v>
      </c>
      <c r="B892" s="2"/>
      <c r="C892" s="8"/>
      <c r="D892" s="109" t="str">
        <f>IFERROR(INDEX([239]EQUIPOS!B:B,MATCH(B892,[239]EQUIPOS!A:A,0)),"")</f>
        <v/>
      </c>
      <c r="E892" s="110"/>
      <c r="F892" s="110"/>
      <c r="G892" s="110"/>
      <c r="H892" s="111"/>
      <c r="I892" s="120"/>
      <c r="J892" s="121"/>
      <c r="K892" s="113" t="str">
        <f>IFERROR(INDEX([239]EQUIPOS!C:C,MATCH(B892,[239]EQUIPOS!A:A,0)),"")</f>
        <v/>
      </c>
      <c r="L892" s="114"/>
      <c r="M892" s="115" t="str">
        <f>IFERROR(IF(D892="HERRAMIENTA MENOR (% M.O)",P931,INDEX([239]EQUIPOS!D:D,MATCH(B892,[239]EQUIPOS!A:A,0))),"")</f>
        <v/>
      </c>
      <c r="N892" s="116"/>
      <c r="O892" s="117"/>
      <c r="P892" s="118" t="str">
        <f t="shared" si="30"/>
        <v xml:space="preserve"> </v>
      </c>
      <c r="Q892" s="119"/>
      <c r="R892" s="4"/>
    </row>
    <row r="893" spans="1:18">
      <c r="A893" s="1">
        <f t="shared" si="31"/>
        <v>0</v>
      </c>
      <c r="B893" s="2"/>
      <c r="C893" s="8"/>
      <c r="D893" s="109" t="str">
        <f>IFERROR(INDEX([239]EQUIPOS!B:B,MATCH(B893,[239]EQUIPOS!A:A,0)),"")</f>
        <v/>
      </c>
      <c r="E893" s="110"/>
      <c r="F893" s="110"/>
      <c r="G893" s="110"/>
      <c r="H893" s="111"/>
      <c r="I893" s="112"/>
      <c r="J893" s="111"/>
      <c r="K893" s="113" t="str">
        <f>IFERROR(INDEX([239]EQUIPOS!C:C,MATCH(B893,[239]EQUIPOS!A:A,0)),"")</f>
        <v/>
      </c>
      <c r="L893" s="114"/>
      <c r="M893" s="115" t="str">
        <f>IFERROR(IF(D893="HERRAMIENTA MENOR (% M.O)",P932,INDEX([239]EQUIPOS!D:D,MATCH(B893,[239]EQUIPOS!A:A,0))),"")</f>
        <v/>
      </c>
      <c r="N893" s="116"/>
      <c r="O893" s="117"/>
      <c r="P893" s="118" t="str">
        <f t="shared" si="30"/>
        <v xml:space="preserve"> </v>
      </c>
      <c r="Q893" s="119"/>
      <c r="R893" s="4"/>
    </row>
    <row r="894" spans="1:18" ht="15.75" thickBot="1">
      <c r="A894" s="1">
        <f t="shared" si="31"/>
        <v>0</v>
      </c>
      <c r="B894" s="2"/>
      <c r="C894" s="8"/>
      <c r="D894" s="109" t="str">
        <f>IFERROR(INDEX([239]EQUIPOS!B:B,MATCH(B894,[239]EQUIPOS!A:A,0)),"")</f>
        <v/>
      </c>
      <c r="E894" s="78"/>
      <c r="F894" s="78"/>
      <c r="G894" s="78"/>
      <c r="H894" s="122"/>
      <c r="I894" s="123"/>
      <c r="J894" s="122"/>
      <c r="K894" s="113" t="str">
        <f>IFERROR(INDEX([239]EQUIPOS!C:C,MATCH(B894,[239]EQUIPOS!A:A,0)),"")</f>
        <v/>
      </c>
      <c r="L894" s="124"/>
      <c r="M894" s="115" t="str">
        <f>IFERROR(IF(D894="HERRAMIENTA MENOR (% M.O)",P933,INDEX([239]EQUIPOS!D:D,MATCH(B894,[239]EQUIPOS!A:A,0))),"")</f>
        <v/>
      </c>
      <c r="N894" s="125"/>
      <c r="O894" s="126"/>
      <c r="P894" s="127" t="str">
        <f t="shared" si="30"/>
        <v xml:space="preserve"> </v>
      </c>
      <c r="Q894" s="119"/>
      <c r="R894" s="4"/>
    </row>
    <row r="895" spans="1:18" ht="15.75" thickBot="1">
      <c r="A895" s="1">
        <f t="shared" si="31"/>
        <v>0</v>
      </c>
      <c r="B895" s="2"/>
      <c r="C895" s="8"/>
      <c r="D895" s="128" t="s">
        <v>24</v>
      </c>
      <c r="E895" s="129"/>
      <c r="F895" s="129"/>
      <c r="G895" s="129"/>
      <c r="H895" s="129"/>
      <c r="I895" s="129"/>
      <c r="J895" s="129"/>
      <c r="K895" s="129"/>
      <c r="L895" s="129"/>
      <c r="M895" s="129"/>
      <c r="N895" s="129"/>
      <c r="O895" s="130"/>
      <c r="P895" s="131">
        <f>SUM(P889:P894)</f>
        <v>3263.58</v>
      </c>
      <c r="Q895" s="132"/>
      <c r="R895" s="4"/>
    </row>
    <row r="896" spans="1:18" ht="15.75" thickBot="1">
      <c r="A896" s="1">
        <f t="shared" si="31"/>
        <v>0</v>
      </c>
      <c r="B896" s="2"/>
      <c r="C896" s="8"/>
      <c r="D896" s="74" t="s">
        <v>25</v>
      </c>
      <c r="E896" s="37"/>
      <c r="F896" s="37"/>
      <c r="G896" s="37"/>
      <c r="H896" s="37"/>
      <c r="I896" s="37"/>
      <c r="J896" s="37"/>
      <c r="K896" s="37"/>
      <c r="L896" s="37"/>
      <c r="M896" s="37"/>
      <c r="N896" s="37"/>
      <c r="O896" s="37"/>
      <c r="P896" s="99"/>
      <c r="Q896" s="100"/>
      <c r="R896" s="4"/>
    </row>
    <row r="897" spans="1:18">
      <c r="A897" s="1">
        <f t="shared" si="31"/>
        <v>0</v>
      </c>
      <c r="B897" s="2"/>
      <c r="C897" s="8"/>
      <c r="D897" s="101" t="s">
        <v>14</v>
      </c>
      <c r="E897" s="133"/>
      <c r="F897" s="133"/>
      <c r="G897" s="133"/>
      <c r="H897" s="133"/>
      <c r="I897" s="133"/>
      <c r="J897" s="133"/>
      <c r="K897" s="105"/>
      <c r="L897" s="134" t="s">
        <v>15</v>
      </c>
      <c r="M897" s="106" t="s">
        <v>16</v>
      </c>
      <c r="N897" s="104" t="s">
        <v>26</v>
      </c>
      <c r="O897" s="105"/>
      <c r="P897" s="107" t="s">
        <v>22</v>
      </c>
      <c r="Q897" s="108"/>
      <c r="R897" s="4"/>
    </row>
    <row r="898" spans="1:18">
      <c r="A898" s="1">
        <f t="shared" si="31"/>
        <v>0</v>
      </c>
      <c r="B898" s="2" t="s">
        <v>287</v>
      </c>
      <c r="C898" s="8"/>
      <c r="D898" s="109" t="str">
        <f>IFERROR(INDEX([239]MATERIALES!C:C,MATCH(B898,[239]MATERIALES!B:B,0)),"")</f>
        <v>CONCRETO DE 2500 PSI (1:2:4)</v>
      </c>
      <c r="E898" s="135"/>
      <c r="F898" s="135"/>
      <c r="G898" s="135"/>
      <c r="H898" s="135"/>
      <c r="I898" s="135"/>
      <c r="J898" s="135"/>
      <c r="K898" s="136"/>
      <c r="L898" s="137" t="str">
        <f>IFERROR(INDEX([239]MATERIALES!D:D,MATCH(B898,[239]MATERIALES!B:B,0)),"")</f>
        <v>M3</v>
      </c>
      <c r="M898" s="138">
        <f>1*1*0.05</f>
        <v>0.05</v>
      </c>
      <c r="N898" s="139">
        <f>IFERROR(INDEX([239]MATERIALES!P:P,MATCH(B898,[239]MATERIALES!B:B,0)),"")</f>
        <v>703756.21</v>
      </c>
      <c r="O898" s="140"/>
      <c r="P898" s="118">
        <f>IFERROR(ROUND(N898*M898,2),"")</f>
        <v>35187.81</v>
      </c>
      <c r="Q898" s="119"/>
      <c r="R898" s="4"/>
    </row>
    <row r="899" spans="1:18">
      <c r="A899" s="1">
        <f t="shared" si="31"/>
        <v>0</v>
      </c>
      <c r="B899" s="2" t="s">
        <v>288</v>
      </c>
      <c r="C899" s="8"/>
      <c r="D899" s="109" t="str">
        <f>IFERROR(INDEX([239]MATERIALES!C:C,MATCH(B899,[239]MATERIALES!B:B,0)),"")</f>
        <v xml:space="preserve">SUMINISTRO E INSTALACIÓN DE MALLA ELECTROSOLDADA 4.00 mm 15X15 CM </v>
      </c>
      <c r="E899" s="135"/>
      <c r="F899" s="135"/>
      <c r="G899" s="135"/>
      <c r="H899" s="135"/>
      <c r="I899" s="135"/>
      <c r="J899" s="135"/>
      <c r="K899" s="136"/>
      <c r="L899" s="137" t="str">
        <f>IFERROR(INDEX([239]MATERIALES!D:D,MATCH(B899,[239]MATERIALES!B:B,0)),"")</f>
        <v>M2</v>
      </c>
      <c r="M899" s="138">
        <v>1</v>
      </c>
      <c r="N899" s="139">
        <f>IFERROR(INDEX([239]MATERIALES!P:P,MATCH(B899,[239]MATERIALES!B:B,0)),"")</f>
        <v>14317.74</v>
      </c>
      <c r="O899" s="140"/>
      <c r="P899" s="118">
        <f>IFERROR(ROUND(N899*M899,2),"")</f>
        <v>14317.74</v>
      </c>
      <c r="Q899" s="119"/>
      <c r="R899" s="4"/>
    </row>
    <row r="900" spans="1:18">
      <c r="A900" s="1">
        <f t="shared" si="31"/>
        <v>0</v>
      </c>
      <c r="B900" s="2"/>
      <c r="C900" s="8"/>
      <c r="D900" s="109" t="str">
        <f>IFERROR(INDEX([239]MATERIALES!C:C,MATCH(B900,[239]MATERIALES!B:B,0)),"")</f>
        <v/>
      </c>
      <c r="E900" s="110"/>
      <c r="F900" s="110"/>
      <c r="G900" s="110"/>
      <c r="H900" s="110"/>
      <c r="I900" s="110"/>
      <c r="J900" s="110"/>
      <c r="K900" s="111"/>
      <c r="L900" s="137" t="str">
        <f>IFERROR(INDEX([239]MATERIALES!D:D,MATCH(B900,[239]MATERIALES!B:B,0)),"")</f>
        <v/>
      </c>
      <c r="M900" s="138"/>
      <c r="N900" s="139" t="str">
        <f>IFERROR(INDEX([239]MATERIALES!P:P,MATCH(B900,[239]MATERIALES!B:B,0)),"")</f>
        <v/>
      </c>
      <c r="O900" s="140"/>
      <c r="P900" s="118" t="str">
        <f>IFERROR(ROUND(N900*M900,2),"")</f>
        <v/>
      </c>
      <c r="Q900" s="119"/>
      <c r="R900" s="4"/>
    </row>
    <row r="901" spans="1:18">
      <c r="A901" s="1">
        <f t="shared" si="31"/>
        <v>0</v>
      </c>
      <c r="B901" s="2"/>
      <c r="C901" s="8"/>
      <c r="D901" s="109" t="str">
        <f>IFERROR(INDEX([239]MATERIALES!C:C,MATCH(B901,[239]MATERIALES!B:B,0)),"")</f>
        <v/>
      </c>
      <c r="E901" s="110"/>
      <c r="F901" s="110"/>
      <c r="G901" s="110"/>
      <c r="H901" s="110"/>
      <c r="I901" s="110"/>
      <c r="J901" s="110"/>
      <c r="K901" s="111"/>
      <c r="L901" s="137" t="str">
        <f>IFERROR(INDEX([239]MATERIALES!D:D,MATCH(B901,[239]MATERIALES!B:B,0)),"")</f>
        <v/>
      </c>
      <c r="M901" s="138"/>
      <c r="N901" s="139" t="str">
        <f>IFERROR(INDEX([239]MATERIALES!P:P,MATCH(B901,[239]MATERIALES!B:B,0)),"")</f>
        <v/>
      </c>
      <c r="O901" s="140"/>
      <c r="P901" s="118" t="str">
        <f>IFERROR(ROUND(N901*M901,2),"")</f>
        <v/>
      </c>
      <c r="Q901" s="119"/>
      <c r="R901" s="4"/>
    </row>
    <row r="902" spans="1:18">
      <c r="A902" s="1">
        <f t="shared" si="31"/>
        <v>0</v>
      </c>
      <c r="B902" s="2"/>
      <c r="C902" s="8"/>
      <c r="D902" s="109" t="str">
        <f>IFERROR(INDEX([239]MATERIALES!C:C,MATCH(B902,[239]MATERIALES!B:B,0)),"")</f>
        <v/>
      </c>
      <c r="E902" s="110"/>
      <c r="F902" s="110"/>
      <c r="G902" s="110"/>
      <c r="H902" s="110"/>
      <c r="I902" s="110"/>
      <c r="J902" s="110"/>
      <c r="K902" s="111"/>
      <c r="L902" s="137" t="str">
        <f>IFERROR(INDEX([239]MATERIALES!D:D,MATCH(B902,[239]MATERIALES!B:B,0)),"")</f>
        <v/>
      </c>
      <c r="M902" s="138"/>
      <c r="N902" s="139" t="str">
        <f>IFERROR(INDEX([239]MATERIALES!P:P,MATCH(B902,[239]MATERIALES!B:B,0)),"")</f>
        <v/>
      </c>
      <c r="O902" s="140"/>
      <c r="P902" s="118" t="str">
        <f t="shared" ref="P902:P911" si="32">IFERROR(ROUND(N902*M902,2),"")</f>
        <v/>
      </c>
      <c r="Q902" s="119"/>
      <c r="R902" s="4"/>
    </row>
    <row r="903" spans="1:18">
      <c r="A903" s="1">
        <f t="shared" si="31"/>
        <v>0</v>
      </c>
      <c r="B903" s="2"/>
      <c r="C903" s="8"/>
      <c r="D903" s="109" t="str">
        <f>IFERROR(INDEX([239]MATERIALES!C:C,MATCH(B903,[239]MATERIALES!B:B,0)),"")</f>
        <v/>
      </c>
      <c r="E903" s="110"/>
      <c r="F903" s="110"/>
      <c r="G903" s="110"/>
      <c r="H903" s="110"/>
      <c r="I903" s="110"/>
      <c r="J903" s="110"/>
      <c r="K903" s="111"/>
      <c r="L903" s="137" t="str">
        <f>IFERROR(INDEX([239]MATERIALES!D:D,MATCH(B903,[239]MATERIALES!B:B,0)),"")</f>
        <v/>
      </c>
      <c r="M903" s="138"/>
      <c r="N903" s="139" t="str">
        <f>IFERROR(INDEX([239]MATERIALES!P:P,MATCH(B903,[239]MATERIALES!B:B,0)),"")</f>
        <v/>
      </c>
      <c r="O903" s="140"/>
      <c r="P903" s="118" t="str">
        <f t="shared" si="32"/>
        <v/>
      </c>
      <c r="Q903" s="119"/>
      <c r="R903" s="4"/>
    </row>
    <row r="904" spans="1:18">
      <c r="A904" s="1">
        <f t="shared" si="31"/>
        <v>0</v>
      </c>
      <c r="B904" s="2"/>
      <c r="C904" s="8"/>
      <c r="D904" s="109" t="str">
        <f>IFERROR(INDEX([239]MATERIALES!C:C,MATCH(B904,[239]MATERIALES!B:B,0)),"")</f>
        <v/>
      </c>
      <c r="E904" s="110"/>
      <c r="F904" s="110"/>
      <c r="G904" s="110"/>
      <c r="H904" s="110"/>
      <c r="I904" s="110"/>
      <c r="J904" s="110"/>
      <c r="K904" s="111"/>
      <c r="L904" s="137" t="str">
        <f>IFERROR(INDEX([239]MATERIALES!D:D,MATCH(B904,[239]MATERIALES!B:B,0)),"")</f>
        <v/>
      </c>
      <c r="M904" s="138"/>
      <c r="N904" s="139" t="str">
        <f>IFERROR(INDEX([239]MATERIALES!P:P,MATCH(B904,[239]MATERIALES!B:B,0)),"")</f>
        <v/>
      </c>
      <c r="O904" s="140"/>
      <c r="P904" s="118" t="str">
        <f t="shared" si="32"/>
        <v/>
      </c>
      <c r="Q904" s="119"/>
      <c r="R904" s="4"/>
    </row>
    <row r="905" spans="1:18">
      <c r="A905" s="1">
        <f t="shared" si="31"/>
        <v>0</v>
      </c>
      <c r="B905" s="2"/>
      <c r="C905" s="8"/>
      <c r="D905" s="109" t="str">
        <f>IFERROR(INDEX([239]MATERIALES!C:C,MATCH(B905,[239]MATERIALES!B:B,0)),"")</f>
        <v/>
      </c>
      <c r="E905" s="110"/>
      <c r="F905" s="110"/>
      <c r="G905" s="110"/>
      <c r="H905" s="110"/>
      <c r="I905" s="110"/>
      <c r="J905" s="110"/>
      <c r="K905" s="111"/>
      <c r="L905" s="137" t="str">
        <f>IFERROR(INDEX([239]MATERIALES!D:D,MATCH(B905,[239]MATERIALES!B:B,0)),"")</f>
        <v/>
      </c>
      <c r="M905" s="138"/>
      <c r="N905" s="139" t="str">
        <f>IFERROR(INDEX([239]MATERIALES!P:P,MATCH(B905,[239]MATERIALES!B:B,0)),"")</f>
        <v/>
      </c>
      <c r="O905" s="140"/>
      <c r="P905" s="118" t="str">
        <f t="shared" si="32"/>
        <v/>
      </c>
      <c r="Q905" s="119"/>
      <c r="R905" s="4"/>
    </row>
    <row r="906" spans="1:18">
      <c r="A906" s="1">
        <f t="shared" si="31"/>
        <v>0</v>
      </c>
      <c r="B906" s="2"/>
      <c r="C906" s="8"/>
      <c r="D906" s="109" t="str">
        <f>IFERROR(INDEX([239]MATERIALES!C:C,MATCH(B906,[239]MATERIALES!B:B,0)),"")</f>
        <v/>
      </c>
      <c r="E906" s="110"/>
      <c r="F906" s="110"/>
      <c r="G906" s="110"/>
      <c r="H906" s="110"/>
      <c r="I906" s="110"/>
      <c r="J906" s="110"/>
      <c r="K906" s="111"/>
      <c r="L906" s="137" t="str">
        <f>IFERROR(INDEX([239]MATERIALES!D:D,MATCH(B906,[239]MATERIALES!B:B,0)),"")</f>
        <v/>
      </c>
      <c r="M906" s="138"/>
      <c r="N906" s="139" t="str">
        <f>IFERROR(INDEX([239]MATERIALES!P:P,MATCH(B906,[239]MATERIALES!B:B,0)),"")</f>
        <v/>
      </c>
      <c r="O906" s="140"/>
      <c r="P906" s="118" t="str">
        <f t="shared" si="32"/>
        <v/>
      </c>
      <c r="Q906" s="119"/>
      <c r="R906" s="4"/>
    </row>
    <row r="907" spans="1:18">
      <c r="A907" s="1">
        <f t="shared" si="31"/>
        <v>0</v>
      </c>
      <c r="B907" s="2"/>
      <c r="C907" s="8"/>
      <c r="D907" s="109" t="str">
        <f>IFERROR(INDEX([239]MATERIALES!C:C,MATCH(B907,[239]MATERIALES!B:B,0)),"")</f>
        <v/>
      </c>
      <c r="E907" s="110"/>
      <c r="F907" s="110"/>
      <c r="G907" s="110"/>
      <c r="H907" s="110"/>
      <c r="I907" s="110"/>
      <c r="J907" s="110"/>
      <c r="K907" s="111"/>
      <c r="L907" s="137" t="str">
        <f>IFERROR(INDEX([239]MATERIALES!D:D,MATCH(B907,[239]MATERIALES!B:B,0)),"")</f>
        <v/>
      </c>
      <c r="M907" s="138"/>
      <c r="N907" s="139" t="str">
        <f>IFERROR(INDEX([239]MATERIALES!P:P,MATCH(B907,[239]MATERIALES!B:B,0)),"")</f>
        <v/>
      </c>
      <c r="O907" s="140"/>
      <c r="P907" s="118" t="str">
        <f t="shared" si="32"/>
        <v/>
      </c>
      <c r="Q907" s="119"/>
      <c r="R907" s="4"/>
    </row>
    <row r="908" spans="1:18">
      <c r="A908" s="1">
        <f t="shared" si="31"/>
        <v>0</v>
      </c>
      <c r="B908" s="2"/>
      <c r="C908" s="8"/>
      <c r="D908" s="109" t="str">
        <f>IFERROR(INDEX([239]MATERIALES!C:C,MATCH(B908,[239]MATERIALES!B:B,0)),"")</f>
        <v/>
      </c>
      <c r="E908" s="110"/>
      <c r="F908" s="110"/>
      <c r="G908" s="110"/>
      <c r="H908" s="110"/>
      <c r="I908" s="110"/>
      <c r="J908" s="110"/>
      <c r="K908" s="111"/>
      <c r="L908" s="137" t="str">
        <f>IFERROR(INDEX([239]MATERIALES!D:D,MATCH(B908,[239]MATERIALES!B:B,0)),"")</f>
        <v/>
      </c>
      <c r="M908" s="138"/>
      <c r="N908" s="139" t="str">
        <f>IFERROR(INDEX([239]MATERIALES!P:P,MATCH(B908,[239]MATERIALES!B:B,0)),"")</f>
        <v/>
      </c>
      <c r="O908" s="140"/>
      <c r="P908" s="118" t="str">
        <f t="shared" si="32"/>
        <v/>
      </c>
      <c r="Q908" s="119"/>
      <c r="R908" s="4"/>
    </row>
    <row r="909" spans="1:18">
      <c r="A909" s="1">
        <f t="shared" si="31"/>
        <v>0</v>
      </c>
      <c r="B909" s="2"/>
      <c r="C909" s="8"/>
      <c r="D909" s="109" t="str">
        <f>IFERROR(INDEX([239]MATERIALES!C:C,MATCH(B909,[239]MATERIALES!B:B,0)),"")</f>
        <v/>
      </c>
      <c r="E909" s="110"/>
      <c r="F909" s="110"/>
      <c r="G909" s="110"/>
      <c r="H909" s="110"/>
      <c r="I909" s="110"/>
      <c r="J909" s="110"/>
      <c r="K909" s="111"/>
      <c r="L909" s="137" t="str">
        <f>IFERROR(INDEX([239]MATERIALES!D:D,MATCH(B909,[239]MATERIALES!B:B,0)),"")</f>
        <v/>
      </c>
      <c r="M909" s="138"/>
      <c r="N909" s="139" t="str">
        <f>IFERROR(INDEX([239]MATERIALES!P:P,MATCH(B909,[239]MATERIALES!B:B,0)),"")</f>
        <v/>
      </c>
      <c r="O909" s="140"/>
      <c r="P909" s="118" t="str">
        <f t="shared" si="32"/>
        <v/>
      </c>
      <c r="Q909" s="119"/>
      <c r="R909" s="4"/>
    </row>
    <row r="910" spans="1:18">
      <c r="A910" s="1">
        <f t="shared" si="31"/>
        <v>0</v>
      </c>
      <c r="B910" s="2"/>
      <c r="C910" s="8"/>
      <c r="D910" s="109" t="str">
        <f>IFERROR(INDEX([239]MATERIALES!C:C,MATCH(B910,[239]MATERIALES!B:B,0)),"")</f>
        <v/>
      </c>
      <c r="E910" s="110"/>
      <c r="F910" s="110"/>
      <c r="G910" s="110"/>
      <c r="H910" s="110"/>
      <c r="I910" s="110"/>
      <c r="J910" s="110"/>
      <c r="K910" s="111"/>
      <c r="L910" s="137" t="str">
        <f>IFERROR(INDEX([239]MATERIALES!D:D,MATCH(B910,[239]MATERIALES!B:B,0)),"")</f>
        <v/>
      </c>
      <c r="M910" s="138"/>
      <c r="N910" s="139" t="str">
        <f>IFERROR(INDEX([239]MATERIALES!P:P,MATCH(B910,[239]MATERIALES!B:B,0)),"")</f>
        <v/>
      </c>
      <c r="O910" s="140"/>
      <c r="P910" s="118" t="str">
        <f t="shared" si="32"/>
        <v/>
      </c>
      <c r="Q910" s="119"/>
      <c r="R910" s="4"/>
    </row>
    <row r="911" spans="1:18">
      <c r="A911" s="1">
        <f t="shared" si="31"/>
        <v>0</v>
      </c>
      <c r="B911" s="2"/>
      <c r="C911" s="8"/>
      <c r="D911" s="109" t="str">
        <f>IFERROR(INDEX([239]MATERIALES!C:C,MATCH(B911,[239]MATERIALES!B:B,0)),"")</f>
        <v/>
      </c>
      <c r="E911" s="110"/>
      <c r="F911" s="110"/>
      <c r="G911" s="110"/>
      <c r="H911" s="110"/>
      <c r="I911" s="110"/>
      <c r="J911" s="110"/>
      <c r="K911" s="111"/>
      <c r="L911" s="137" t="str">
        <f>IFERROR(INDEX([239]MATERIALES!D:D,MATCH(B911,[239]MATERIALES!B:B,0)),"")</f>
        <v/>
      </c>
      <c r="M911" s="138"/>
      <c r="N911" s="139" t="str">
        <f>IFERROR(INDEX([239]MATERIALES!P:P,MATCH(B911,[239]MATERIALES!B:B,0)),"")</f>
        <v/>
      </c>
      <c r="O911" s="140"/>
      <c r="P911" s="118" t="str">
        <f t="shared" si="32"/>
        <v/>
      </c>
      <c r="Q911" s="119"/>
      <c r="R911" s="4"/>
    </row>
    <row r="912" spans="1:18" ht="15.75" thickBot="1">
      <c r="A912" s="1">
        <f t="shared" si="31"/>
        <v>0</v>
      </c>
      <c r="B912" s="2"/>
      <c r="C912" s="8"/>
      <c r="D912" s="109" t="s">
        <v>28</v>
      </c>
      <c r="E912" s="110"/>
      <c r="F912" s="110"/>
      <c r="G912" s="110"/>
      <c r="H912" s="110"/>
      <c r="I912" s="110"/>
      <c r="J912" s="110"/>
      <c r="K912" s="111"/>
      <c r="L912" s="137" t="s">
        <v>29</v>
      </c>
      <c r="M912" s="138">
        <v>0.05</v>
      </c>
      <c r="N912" s="139">
        <f>SUM(P898:P911)</f>
        <v>49505.549999999996</v>
      </c>
      <c r="O912" s="140"/>
      <c r="P912" s="118">
        <f>ROUND(N912*M912,2)</f>
        <v>2475.2800000000002</v>
      </c>
      <c r="Q912" s="119"/>
      <c r="R912" s="4"/>
    </row>
    <row r="913" spans="1:18" ht="15.75" thickBot="1">
      <c r="A913" s="1">
        <f t="shared" si="31"/>
        <v>0</v>
      </c>
      <c r="B913" s="2"/>
      <c r="C913" s="8"/>
      <c r="D913" s="128" t="s">
        <v>24</v>
      </c>
      <c r="E913" s="129"/>
      <c r="F913" s="129"/>
      <c r="G913" s="129"/>
      <c r="H913" s="129"/>
      <c r="I913" s="129"/>
      <c r="J913" s="129"/>
      <c r="K913" s="129"/>
      <c r="L913" s="129"/>
      <c r="M913" s="129"/>
      <c r="N913" s="129"/>
      <c r="O913" s="130"/>
      <c r="P913" s="131">
        <f>SUM(P898:P912)</f>
        <v>51980.829999999994</v>
      </c>
      <c r="Q913" s="119"/>
      <c r="R913" s="4"/>
    </row>
    <row r="914" spans="1:18" ht="15.75" thickBot="1">
      <c r="A914" s="1">
        <f t="shared" si="31"/>
        <v>0</v>
      </c>
      <c r="B914" s="2"/>
      <c r="C914" s="8"/>
      <c r="D914" s="74" t="s">
        <v>30</v>
      </c>
      <c r="E914" s="37"/>
      <c r="F914" s="37"/>
      <c r="G914" s="37"/>
      <c r="H914" s="37"/>
      <c r="I914" s="37"/>
      <c r="J914" s="37"/>
      <c r="K914" s="37"/>
      <c r="L914" s="37"/>
      <c r="M914" s="37"/>
      <c r="N914" s="37"/>
      <c r="O914" s="37"/>
      <c r="P914" s="99"/>
      <c r="Q914" s="100"/>
      <c r="R914" s="4"/>
    </row>
    <row r="915" spans="1:18">
      <c r="A915" s="1">
        <f t="shared" si="31"/>
        <v>0</v>
      </c>
      <c r="B915" s="2"/>
      <c r="C915" s="8"/>
      <c r="D915" s="101" t="s">
        <v>31</v>
      </c>
      <c r="E915" s="133"/>
      <c r="F915" s="133"/>
      <c r="G915" s="133"/>
      <c r="H915" s="133"/>
      <c r="I915" s="133"/>
      <c r="J915" s="133"/>
      <c r="K915" s="106" t="s">
        <v>32</v>
      </c>
      <c r="L915" s="141" t="s">
        <v>33</v>
      </c>
      <c r="M915" s="106" t="s">
        <v>34</v>
      </c>
      <c r="N915" s="104" t="s">
        <v>20</v>
      </c>
      <c r="O915" s="105"/>
      <c r="P915" s="107" t="s">
        <v>22</v>
      </c>
      <c r="Q915" s="108"/>
      <c r="R915" s="4"/>
    </row>
    <row r="916" spans="1:18">
      <c r="A916" s="1">
        <f t="shared" si="31"/>
        <v>0</v>
      </c>
      <c r="B916" s="2"/>
      <c r="C916" s="8"/>
      <c r="D916" s="142" t="str">
        <f>IFERROR(INDEX([239]TRANSPORTES!B:B,MATCH(B916,[239]TRANSPORTES!A:A,0)),"")</f>
        <v/>
      </c>
      <c r="E916" s="143"/>
      <c r="F916" s="143"/>
      <c r="G916" s="143"/>
      <c r="H916" s="143"/>
      <c r="I916" s="143"/>
      <c r="J916" s="143"/>
      <c r="K916" s="220"/>
      <c r="L916" s="145"/>
      <c r="M916" s="146" t="str">
        <f>IFERROR(INDEX([239]TRANSPORTES!C:C,MATCH(B916,[239]TRANSPORTES!A:A,0)),"")</f>
        <v/>
      </c>
      <c r="N916" s="139" t="str">
        <f>IFERROR(INDEX([239]TRANSPORTES!D:D,MATCH(B916,[239]TRANSPORTES!A:A,0)),"")</f>
        <v/>
      </c>
      <c r="O916" s="147"/>
      <c r="P916" s="148" t="str">
        <f>IFERROR(ROUND(K916*N916*L916,2),"")</f>
        <v/>
      </c>
      <c r="Q916" s="119"/>
      <c r="R916" s="4"/>
    </row>
    <row r="917" spans="1:18">
      <c r="A917" s="1">
        <f t="shared" si="31"/>
        <v>0</v>
      </c>
      <c r="B917" s="2"/>
      <c r="C917" s="8"/>
      <c r="D917" s="142" t="str">
        <f>IFERROR(INDEX([239]TRANSPORTES!B:B,MATCH(B917,[239]TRANSPORTES!A:A,0)),"")</f>
        <v/>
      </c>
      <c r="E917" s="143"/>
      <c r="F917" s="143"/>
      <c r="G917" s="143"/>
      <c r="H917" s="143"/>
      <c r="I917" s="143"/>
      <c r="J917" s="143"/>
      <c r="K917" s="144"/>
      <c r="L917" s="145"/>
      <c r="M917" s="146" t="str">
        <f>IFERROR(INDEX([239]TRANSPORTES!C:C,MATCH(B917,[239]TRANSPORTES!A:A,0)),"")</f>
        <v/>
      </c>
      <c r="N917" s="139" t="str">
        <f>IFERROR(INDEX([239]TRANSPORTES!D:D,MATCH(B917,[239]TRANSPORTES!A:A,0)),"")</f>
        <v/>
      </c>
      <c r="O917" s="147"/>
      <c r="P917" s="148" t="str">
        <f>IFERROR(ROUND(K917*N917*L917,2),"")</f>
        <v/>
      </c>
      <c r="Q917" s="119"/>
      <c r="R917" s="4"/>
    </row>
    <row r="918" spans="1:18">
      <c r="A918" s="1">
        <f t="shared" si="31"/>
        <v>0</v>
      </c>
      <c r="B918" s="2"/>
      <c r="C918" s="8"/>
      <c r="D918" s="142" t="str">
        <f>IFERROR(INDEX([239]TRANSPORTES!B:B,MATCH(B918,[239]TRANSPORTES!A:A,0)),"")</f>
        <v/>
      </c>
      <c r="E918" s="143"/>
      <c r="F918" s="143"/>
      <c r="G918" s="143"/>
      <c r="H918" s="143"/>
      <c r="I918" s="143"/>
      <c r="J918" s="143"/>
      <c r="K918" s="144"/>
      <c r="L918" s="145"/>
      <c r="M918" s="146" t="str">
        <f>IFERROR(INDEX([239]TRANSPORTES!C:C,MATCH(B918,[239]TRANSPORTES!A:A,0)),"")</f>
        <v/>
      </c>
      <c r="N918" s="139" t="str">
        <f>IFERROR(INDEX([239]TRANSPORTES!D:D,MATCH(B918,[239]TRANSPORTES!A:A,0)),"")</f>
        <v/>
      </c>
      <c r="O918" s="147"/>
      <c r="P918" s="148" t="str">
        <f>IFERROR(ROUND(K918*N918*L918,2),"")</f>
        <v/>
      </c>
      <c r="Q918" s="119"/>
      <c r="R918" s="4"/>
    </row>
    <row r="919" spans="1:18" ht="15.75" thickBot="1">
      <c r="A919" s="1">
        <f t="shared" si="31"/>
        <v>0</v>
      </c>
      <c r="B919" s="2"/>
      <c r="C919" s="8"/>
      <c r="D919" s="142" t="str">
        <f>IFERROR(INDEX([239]TRANSPORTES!B:B,MATCH(B919,[239]TRANSPORTES!A:A,0)),"")</f>
        <v/>
      </c>
      <c r="E919" s="143"/>
      <c r="F919" s="143"/>
      <c r="G919" s="143"/>
      <c r="H919" s="143"/>
      <c r="I919" s="143"/>
      <c r="J919" s="143"/>
      <c r="K919" s="149"/>
      <c r="L919" s="150"/>
      <c r="M919" s="146" t="str">
        <f>IFERROR(INDEX([239]TRANSPORTES!C:C,MATCH(B919,[239]TRANSPORTES!A:A,0)),"")</f>
        <v/>
      </c>
      <c r="N919" s="139" t="str">
        <f>IFERROR(INDEX([239]TRANSPORTES!D:D,MATCH(B919,[239]TRANSPORTES!A:A,0)),"")</f>
        <v/>
      </c>
      <c r="O919" s="147"/>
      <c r="P919" s="148" t="str">
        <f>IFERROR(ROUND(K919*N919*L919,2),"")</f>
        <v/>
      </c>
      <c r="Q919" s="119"/>
      <c r="R919" s="4"/>
    </row>
    <row r="920" spans="1:18" ht="15.75" thickBot="1">
      <c r="A920" s="1">
        <f t="shared" si="31"/>
        <v>0</v>
      </c>
      <c r="B920" s="2"/>
      <c r="C920" s="8"/>
      <c r="D920" s="128" t="s">
        <v>24</v>
      </c>
      <c r="E920" s="129"/>
      <c r="F920" s="129"/>
      <c r="G920" s="129"/>
      <c r="H920" s="129"/>
      <c r="I920" s="129"/>
      <c r="J920" s="129"/>
      <c r="K920" s="129"/>
      <c r="L920" s="129"/>
      <c r="M920" s="129"/>
      <c r="N920" s="129"/>
      <c r="O920" s="130"/>
      <c r="P920" s="151">
        <f>SUM(P916:P919)</f>
        <v>0</v>
      </c>
      <c r="Q920" s="132"/>
      <c r="R920" s="4"/>
    </row>
    <row r="921" spans="1:18" ht="15.75" thickBot="1">
      <c r="A921" s="1">
        <f t="shared" si="31"/>
        <v>0</v>
      </c>
      <c r="B921" s="2"/>
      <c r="C921" s="8"/>
      <c r="D921" s="74" t="s">
        <v>36</v>
      </c>
      <c r="E921" s="37"/>
      <c r="F921" s="37"/>
      <c r="G921" s="37"/>
      <c r="H921" s="37"/>
      <c r="I921" s="37"/>
      <c r="J921" s="37"/>
      <c r="K921" s="37"/>
      <c r="L921" s="37"/>
      <c r="M921" s="37"/>
      <c r="N921" s="37"/>
      <c r="O921" s="37"/>
      <c r="P921" s="99"/>
      <c r="Q921" s="100"/>
      <c r="R921" s="4"/>
    </row>
    <row r="922" spans="1:18" ht="30">
      <c r="A922" s="1">
        <f t="shared" si="31"/>
        <v>0</v>
      </c>
      <c r="B922" s="2"/>
      <c r="C922" s="8"/>
      <c r="D922" s="101" t="s">
        <v>37</v>
      </c>
      <c r="E922" s="133"/>
      <c r="F922" s="133"/>
      <c r="G922" s="133"/>
      <c r="H922" s="133"/>
      <c r="I922" s="133"/>
      <c r="J922" s="133"/>
      <c r="K922" s="106" t="s">
        <v>38</v>
      </c>
      <c r="L922" s="152" t="s">
        <v>39</v>
      </c>
      <c r="M922" s="153" t="s">
        <v>40</v>
      </c>
      <c r="N922" s="104" t="s">
        <v>21</v>
      </c>
      <c r="O922" s="105"/>
      <c r="P922" s="154" t="s">
        <v>22</v>
      </c>
      <c r="Q922" s="155"/>
      <c r="R922" s="4"/>
    </row>
    <row r="923" spans="1:18">
      <c r="A923" s="1">
        <f t="shared" si="31"/>
        <v>0</v>
      </c>
      <c r="B923" s="2" t="s">
        <v>41</v>
      </c>
      <c r="C923" s="8"/>
      <c r="D923" s="109" t="str">
        <f>IFERROR(INDEX('[239]MANO DE OBRA'!B:B,MATCH(B923,'[239]MANO DE OBRA'!A:A,0)),"")</f>
        <v>OFICIAL</v>
      </c>
      <c r="E923" s="110"/>
      <c r="F923" s="110"/>
      <c r="G923" s="110"/>
      <c r="H923" s="110"/>
      <c r="I923" s="110"/>
      <c r="J923" s="111"/>
      <c r="K923" s="156">
        <f>IFERROR(INDEX('[239]MANO DE OBRA'!D:D,MATCH(B923,'[239]MANO DE OBRA'!A:A,0)),"")</f>
        <v>95930</v>
      </c>
      <c r="L923" s="157">
        <f>+IF(D923&lt;&gt;"",'[239]FACTOR PRESTACIONAL'!$E$21," ")</f>
        <v>1.95</v>
      </c>
      <c r="M923" s="158">
        <f>IFERROR(K923*L923," ")</f>
        <v>187063.5</v>
      </c>
      <c r="N923" s="159">
        <v>10</v>
      </c>
      <c r="O923" s="160"/>
      <c r="P923" s="161">
        <f>IFERROR(ROUND(M923/N923,2)," ")</f>
        <v>18706.349999999999</v>
      </c>
      <c r="Q923" s="162"/>
      <c r="R923" s="4"/>
    </row>
    <row r="924" spans="1:18">
      <c r="A924" s="1">
        <f t="shared" si="31"/>
        <v>0</v>
      </c>
      <c r="B924" s="2" t="s">
        <v>81</v>
      </c>
      <c r="C924" s="8"/>
      <c r="D924" s="109" t="str">
        <f>IFERROR(INDEX('[239]MANO DE OBRA'!B:B,MATCH(B924,'[239]MANO DE OBRA'!A:A,0)),"")</f>
        <v>AYUDANTE (1)</v>
      </c>
      <c r="E924" s="110"/>
      <c r="F924" s="110"/>
      <c r="G924" s="110"/>
      <c r="H924" s="110"/>
      <c r="I924" s="110"/>
      <c r="J924" s="111"/>
      <c r="K924" s="156">
        <f>IFERROR(INDEX('[239]MANO DE OBRA'!D:D,MATCH(B924,'[239]MANO DE OBRA'!A:A,0)),"")</f>
        <v>71433</v>
      </c>
      <c r="L924" s="157">
        <f>+IF(D924&lt;&gt;"",'[239]FACTOR PRESTACIONAL'!$E$21," ")</f>
        <v>1.95</v>
      </c>
      <c r="M924" s="158">
        <f>IFERROR(K924*L924," ")</f>
        <v>139294.35</v>
      </c>
      <c r="N924" s="159">
        <v>10</v>
      </c>
      <c r="O924" s="160"/>
      <c r="P924" s="161">
        <f>IFERROR(ROUND(M924/N924,2)," ")</f>
        <v>13929.44</v>
      </c>
      <c r="Q924" s="162"/>
      <c r="R924" s="4"/>
    </row>
    <row r="925" spans="1:18">
      <c r="A925" s="1">
        <f t="shared" si="31"/>
        <v>0</v>
      </c>
      <c r="B925" s="2"/>
      <c r="C925" s="8"/>
      <c r="D925" s="109" t="str">
        <f>IFERROR(INDEX('[239]MANO DE OBRA'!B:B,MATCH(B925,'[239]MANO DE OBRA'!A:A,0)),"")</f>
        <v/>
      </c>
      <c r="E925" s="110"/>
      <c r="F925" s="110"/>
      <c r="G925" s="110"/>
      <c r="H925" s="110"/>
      <c r="I925" s="110"/>
      <c r="J925" s="111"/>
      <c r="K925" s="156" t="str">
        <f>IFERROR(INDEX('[239]MANO DE OBRA'!D:D,MATCH(B925,'[239]MANO DE OBRA'!A:A,0)),"")</f>
        <v/>
      </c>
      <c r="L925" s="157" t="str">
        <f>+IF(D925&lt;&gt;"",'[239]FACTOR PRESTACIONAL'!$E$21," ")</f>
        <v xml:space="preserve"> </v>
      </c>
      <c r="M925" s="158" t="str">
        <f>IFERROR(K925*L925," ")</f>
        <v xml:space="preserve"> </v>
      </c>
      <c r="N925" s="159"/>
      <c r="O925" s="160"/>
      <c r="P925" s="161" t="str">
        <f>IFERROR(ROUND(M925/N925,2)," ")</f>
        <v xml:space="preserve"> </v>
      </c>
      <c r="Q925" s="162"/>
      <c r="R925" s="4"/>
    </row>
    <row r="926" spans="1:18">
      <c r="A926" s="1">
        <f t="shared" si="31"/>
        <v>0</v>
      </c>
      <c r="B926" s="2"/>
      <c r="C926" s="8"/>
      <c r="D926" s="109" t="str">
        <f>IFERROR(INDEX('[239]MANO DE OBRA'!B:B,MATCH(B926,'[239]MANO DE OBRA'!A:A,0)),"")</f>
        <v/>
      </c>
      <c r="E926" s="110"/>
      <c r="F926" s="110"/>
      <c r="G926" s="110"/>
      <c r="H926" s="110"/>
      <c r="I926" s="110"/>
      <c r="J926" s="111"/>
      <c r="K926" s="156" t="str">
        <f>IFERROR(INDEX('[239]MANO DE OBRA'!D:D,MATCH(B926,'[239]MANO DE OBRA'!A:A,0)),"")</f>
        <v/>
      </c>
      <c r="L926" s="157" t="str">
        <f>+IF(D926&lt;&gt;"",'[239]FACTOR PRESTACIONAL'!$E$21," ")</f>
        <v xml:space="preserve"> </v>
      </c>
      <c r="M926" s="158" t="str">
        <f>IFERROR(K926*L926," ")</f>
        <v xml:space="preserve"> </v>
      </c>
      <c r="N926" s="159"/>
      <c r="O926" s="160"/>
      <c r="P926" s="161" t="str">
        <f>IFERROR(ROUND(M926/N926,2)," ")</f>
        <v xml:space="preserve"> </v>
      </c>
      <c r="Q926" s="162"/>
      <c r="R926" s="4"/>
    </row>
    <row r="927" spans="1:18" ht="15.75" thickBot="1">
      <c r="A927" s="1">
        <f t="shared" si="31"/>
        <v>0</v>
      </c>
      <c r="B927" s="2"/>
      <c r="C927" s="8"/>
      <c r="D927" s="109" t="str">
        <f>IFERROR(INDEX('[239]MANO DE OBRA'!B:B,MATCH(B927,'[239]MANO DE OBRA'!A:A,0)),"")</f>
        <v/>
      </c>
      <c r="E927" s="110"/>
      <c r="F927" s="110"/>
      <c r="G927" s="110"/>
      <c r="H927" s="110"/>
      <c r="I927" s="110"/>
      <c r="J927" s="111"/>
      <c r="K927" s="156" t="str">
        <f>IFERROR(INDEX('[239]MANO DE OBRA'!D:D,MATCH(B927,'[239]MANO DE OBRA'!A:A,0)),"")</f>
        <v/>
      </c>
      <c r="L927" s="157" t="str">
        <f>+IF(D927&lt;&gt;"",'[239]FACTOR PRESTACIONAL'!$E$21," ")</f>
        <v xml:space="preserve"> </v>
      </c>
      <c r="M927" s="158" t="str">
        <f>IFERROR(K927*L927," ")</f>
        <v xml:space="preserve"> </v>
      </c>
      <c r="N927" s="159"/>
      <c r="O927" s="160"/>
      <c r="P927" s="161" t="str">
        <f>IFERROR(ROUND(M927/N927,2)," ")</f>
        <v xml:space="preserve"> </v>
      </c>
      <c r="Q927" s="119"/>
      <c r="R927" s="4"/>
    </row>
    <row r="928" spans="1:18" ht="15.75" thickBot="1">
      <c r="A928" s="1">
        <f t="shared" si="31"/>
        <v>0</v>
      </c>
      <c r="B928" s="2"/>
      <c r="C928" s="8"/>
      <c r="D928" s="128" t="s">
        <v>24</v>
      </c>
      <c r="E928" s="129"/>
      <c r="F928" s="129"/>
      <c r="G928" s="129"/>
      <c r="H928" s="129"/>
      <c r="I928" s="129"/>
      <c r="J928" s="129"/>
      <c r="K928" s="129"/>
      <c r="L928" s="129"/>
      <c r="M928" s="129"/>
      <c r="N928" s="129"/>
      <c r="O928" s="130"/>
      <c r="P928" s="131">
        <f>SUM(P923:P927)</f>
        <v>32635.79</v>
      </c>
      <c r="Q928" s="119"/>
      <c r="R928" s="4"/>
    </row>
    <row r="929" spans="1:18" ht="15.75" thickBot="1">
      <c r="A929" s="1">
        <f t="shared" si="31"/>
        <v>0</v>
      </c>
      <c r="B929" s="2"/>
      <c r="C929" s="8"/>
      <c r="D929" s="87"/>
      <c r="E929" s="20"/>
      <c r="F929" s="20"/>
      <c r="G929" s="20"/>
      <c r="H929" s="20"/>
      <c r="I929" s="20"/>
      <c r="J929" s="20"/>
      <c r="K929" s="20"/>
      <c r="L929" s="20"/>
      <c r="M929" s="20"/>
      <c r="N929" s="20"/>
      <c r="O929" s="20"/>
      <c r="P929" s="88"/>
      <c r="Q929" s="13"/>
      <c r="R929" s="4"/>
    </row>
    <row r="930" spans="1:18" ht="15.75" thickBot="1">
      <c r="A930" s="1"/>
      <c r="B930" s="2"/>
      <c r="C930" s="8"/>
      <c r="D930" s="163" t="s">
        <v>43</v>
      </c>
      <c r="E930" s="164"/>
      <c r="F930" s="164"/>
      <c r="G930" s="164"/>
      <c r="H930" s="164"/>
      <c r="I930" s="164"/>
      <c r="J930" s="164"/>
      <c r="K930" s="164"/>
      <c r="L930" s="164"/>
      <c r="M930" s="164"/>
      <c r="N930" s="164"/>
      <c r="O930" s="165"/>
      <c r="P930" s="166">
        <f>+P928+P920+P913+P895</f>
        <v>87880.2</v>
      </c>
      <c r="Q930" s="167"/>
      <c r="R930" s="168"/>
    </row>
    <row r="931" spans="1:18" ht="15.75" thickBot="1">
      <c r="A931" s="1"/>
      <c r="B931" s="2"/>
      <c r="C931" s="8"/>
      <c r="D931" s="169"/>
      <c r="E931" s="170"/>
      <c r="F931" s="170"/>
      <c r="G931" s="170"/>
      <c r="H931" s="170"/>
      <c r="I931" s="170"/>
      <c r="J931" s="170"/>
      <c r="K931" s="170"/>
      <c r="L931" s="170"/>
      <c r="M931" s="170"/>
      <c r="N931" s="170"/>
      <c r="O931" s="170"/>
      <c r="P931" s="171"/>
      <c r="Q931" s="100"/>
      <c r="R931" s="4"/>
    </row>
    <row r="932" spans="1:18">
      <c r="A932" s="1"/>
      <c r="B932" s="2"/>
      <c r="C932" s="8"/>
      <c r="D932" s="172" t="s">
        <v>73</v>
      </c>
      <c r="E932" s="173"/>
      <c r="F932" s="173"/>
      <c r="G932" s="173"/>
      <c r="H932" s="173"/>
      <c r="I932" s="173"/>
      <c r="J932" s="173"/>
      <c r="K932" s="141"/>
      <c r="L932" s="174"/>
      <c r="M932" s="153" t="s">
        <v>44</v>
      </c>
      <c r="N932" s="175" t="s">
        <v>45</v>
      </c>
      <c r="O932" s="176"/>
      <c r="P932" s="154"/>
      <c r="Q932" s="155"/>
      <c r="R932" s="4"/>
    </row>
    <row r="933" spans="1:18">
      <c r="A933" s="1"/>
      <c r="B933" s="2"/>
      <c r="C933" s="8"/>
      <c r="D933" s="109" t="s">
        <v>65</v>
      </c>
      <c r="E933" s="110"/>
      <c r="F933" s="110"/>
      <c r="G933" s="110"/>
      <c r="H933" s="110"/>
      <c r="I933" s="110"/>
      <c r="J933" s="110"/>
      <c r="K933" s="177"/>
      <c r="L933" s="178"/>
      <c r="M933" s="179">
        <f>+[239]INICIO!$F$10</f>
        <v>0.24</v>
      </c>
      <c r="N933" s="180">
        <f>ROUND(M933*P930,2)</f>
        <v>21091.25</v>
      </c>
      <c r="O933" s="181"/>
      <c r="P933" s="182"/>
      <c r="Q933" s="119"/>
      <c r="R933" s="4"/>
    </row>
    <row r="934" spans="1:18">
      <c r="A934" s="1"/>
      <c r="B934" s="2"/>
      <c r="C934" s="8"/>
      <c r="D934" s="183" t="s">
        <v>67</v>
      </c>
      <c r="E934" s="61"/>
      <c r="F934" s="61"/>
      <c r="G934" s="61"/>
      <c r="H934" s="61"/>
      <c r="I934" s="61"/>
      <c r="J934" s="61"/>
      <c r="K934" s="177"/>
      <c r="L934" s="178"/>
      <c r="M934" s="179">
        <f>+[239]INICIO!$F$11</f>
        <v>0.02</v>
      </c>
      <c r="N934" s="180">
        <f>ROUND(M934*P930,2)</f>
        <v>1757.6</v>
      </c>
      <c r="O934" s="181"/>
      <c r="P934" s="182"/>
      <c r="Q934" s="119"/>
      <c r="R934" s="4"/>
    </row>
    <row r="935" spans="1:18" ht="15.75" thickBot="1">
      <c r="A935" s="1"/>
      <c r="B935" s="2"/>
      <c r="C935" s="8"/>
      <c r="D935" s="77" t="s">
        <v>69</v>
      </c>
      <c r="E935" s="78"/>
      <c r="F935" s="78"/>
      <c r="G935" s="78"/>
      <c r="H935" s="78"/>
      <c r="I935" s="78"/>
      <c r="J935" s="78"/>
      <c r="K935" s="184"/>
      <c r="L935" s="185"/>
      <c r="M935" s="179">
        <f>+[239]INICIO!$F$12</f>
        <v>7.0000000000000007E-2</v>
      </c>
      <c r="N935" s="180">
        <f>ROUND(M935*P930,2)</f>
        <v>6151.61</v>
      </c>
      <c r="O935" s="181"/>
      <c r="P935" s="182"/>
      <c r="Q935" s="119"/>
      <c r="R935" s="4"/>
    </row>
    <row r="936" spans="1:18" ht="15.75" thickBot="1">
      <c r="A936" s="1"/>
      <c r="B936" s="2"/>
      <c r="C936" s="8"/>
      <c r="D936" s="128"/>
      <c r="E936" s="129"/>
      <c r="F936" s="129"/>
      <c r="G936" s="129"/>
      <c r="H936" s="129"/>
      <c r="I936" s="129"/>
      <c r="J936" s="129"/>
      <c r="K936" s="129"/>
      <c r="L936" s="129"/>
      <c r="M936" s="129"/>
      <c r="N936" s="129"/>
      <c r="O936" s="130"/>
      <c r="P936" s="131">
        <f>SUM(N933:N935)</f>
        <v>29000.46</v>
      </c>
      <c r="Q936" s="186"/>
      <c r="R936" s="4"/>
    </row>
    <row r="937" spans="1:18" ht="15.75" thickBot="1">
      <c r="A937" s="1"/>
      <c r="B937" s="2"/>
      <c r="C937" s="8"/>
      <c r="D937" s="87"/>
      <c r="E937" s="20"/>
      <c r="F937" s="20"/>
      <c r="G937" s="20"/>
      <c r="H937" s="20"/>
      <c r="I937" s="20"/>
      <c r="J937" s="20"/>
      <c r="K937" s="20"/>
      <c r="L937" s="20"/>
      <c r="M937" s="20"/>
      <c r="N937" s="20"/>
      <c r="O937" s="20"/>
      <c r="P937" s="88"/>
      <c r="Q937" s="13"/>
      <c r="R937" s="4"/>
    </row>
    <row r="938" spans="1:18" ht="15.75" thickBot="1">
      <c r="A938" s="1"/>
      <c r="B938" s="2"/>
      <c r="C938" s="8"/>
      <c r="D938" s="187" t="s">
        <v>46</v>
      </c>
      <c r="E938" s="188"/>
      <c r="F938" s="188"/>
      <c r="G938" s="188"/>
      <c r="H938" s="188"/>
      <c r="I938" s="188"/>
      <c r="J938" s="188"/>
      <c r="K938" s="188"/>
      <c r="L938" s="188"/>
      <c r="M938" s="188"/>
      <c r="N938" s="188"/>
      <c r="O938" s="189"/>
      <c r="P938" s="166">
        <f>ROUND(P936+P930,0)</f>
        <v>116881</v>
      </c>
      <c r="Q938" s="186"/>
      <c r="R938" s="4"/>
    </row>
    <row r="939" spans="1:18">
      <c r="A939" s="1"/>
      <c r="B939" s="2"/>
      <c r="C939" s="8"/>
      <c r="D939" s="80"/>
      <c r="E939" s="81"/>
      <c r="F939" s="81"/>
      <c r="G939" s="81"/>
      <c r="H939" s="81"/>
      <c r="I939" s="81"/>
      <c r="J939" s="81"/>
      <c r="K939" s="81"/>
      <c r="L939" s="81"/>
      <c r="M939" s="81"/>
      <c r="N939" s="81"/>
      <c r="O939" s="81"/>
      <c r="P939" s="82"/>
      <c r="Q939" s="13"/>
      <c r="R939" s="4"/>
    </row>
    <row r="940" spans="1:18">
      <c r="A940" s="1"/>
      <c r="B940" s="2"/>
      <c r="C940" s="8"/>
      <c r="D940" s="87"/>
      <c r="E940" s="20"/>
      <c r="F940" s="20"/>
      <c r="G940" s="20"/>
      <c r="H940" s="20"/>
      <c r="I940" s="20"/>
      <c r="J940" s="20"/>
      <c r="K940" s="20"/>
      <c r="L940" s="20"/>
      <c r="M940" s="20"/>
      <c r="N940" s="20"/>
      <c r="O940" s="20"/>
      <c r="P940" s="88"/>
      <c r="Q940" s="13"/>
      <c r="R940" s="4"/>
    </row>
    <row r="941" spans="1:18">
      <c r="A941" s="1"/>
      <c r="B941" s="2"/>
      <c r="C941" s="8"/>
      <c r="D941" s="87"/>
      <c r="E941" s="20"/>
      <c r="F941" s="20"/>
      <c r="G941" s="20"/>
      <c r="H941" s="20"/>
      <c r="I941" s="20"/>
      <c r="J941" s="20"/>
      <c r="K941" s="20"/>
      <c r="L941" s="20"/>
      <c r="M941" s="20"/>
      <c r="N941" s="20"/>
      <c r="O941" s="20"/>
      <c r="P941" s="88"/>
      <c r="Q941" s="13"/>
      <c r="R941" s="4"/>
    </row>
    <row r="942" spans="1:18">
      <c r="A942" s="1"/>
      <c r="B942" s="2"/>
      <c r="C942" s="8"/>
      <c r="D942" s="87"/>
      <c r="E942" s="20"/>
      <c r="F942" s="20"/>
      <c r="G942" s="20"/>
      <c r="H942" s="20"/>
      <c r="I942" s="20"/>
      <c r="J942" s="20"/>
      <c r="K942" s="20"/>
      <c r="L942" s="20"/>
      <c r="M942" s="20"/>
      <c r="N942" s="20"/>
      <c r="O942" s="20"/>
      <c r="P942" s="88"/>
      <c r="Q942" s="13"/>
      <c r="R942" s="4"/>
    </row>
    <row r="943" spans="1:18">
      <c r="A943" s="1"/>
      <c r="B943" s="2"/>
      <c r="C943" s="8"/>
      <c r="D943" s="219" t="str">
        <f>+[239]INICIO!$B$13</f>
        <v>Proyectó:</v>
      </c>
      <c r="E943" s="49"/>
      <c r="F943" s="49"/>
      <c r="G943" s="49"/>
      <c r="H943" s="49"/>
      <c r="I943" s="49"/>
      <c r="J943" s="49"/>
      <c r="K943" s="20"/>
      <c r="L943" s="69" t="str">
        <f>+[239]INICIO!$B$16</f>
        <v>Aprobó:</v>
      </c>
      <c r="M943" s="49"/>
      <c r="N943" s="49"/>
      <c r="O943" s="49"/>
      <c r="P943" s="88"/>
      <c r="Q943" s="13"/>
      <c r="R943" s="4"/>
    </row>
    <row r="944" spans="1:18">
      <c r="A944" s="1"/>
      <c r="B944" s="2"/>
      <c r="C944" s="8"/>
      <c r="D944" s="87"/>
      <c r="E944" s="20" t="str">
        <f>+Hoja2!C$13</f>
        <v>HELMER EDUARDO BECERRA SANTANDER</v>
      </c>
      <c r="F944" s="20"/>
      <c r="G944" s="20"/>
      <c r="H944" s="20"/>
      <c r="I944" s="20"/>
      <c r="J944" s="20"/>
      <c r="K944" s="20"/>
      <c r="L944" s="20"/>
      <c r="M944" s="20" t="str">
        <f>+Hoja2!$C$16</f>
        <v>JESÚS IVÁN QUIÑONES RUEDA</v>
      </c>
      <c r="N944" s="20"/>
      <c r="O944" s="20"/>
      <c r="P944" s="88"/>
      <c r="Q944" s="190"/>
      <c r="R944" s="4"/>
    </row>
    <row r="945" spans="1:18">
      <c r="A945" s="1"/>
      <c r="B945" s="2"/>
      <c r="C945" s="8"/>
      <c r="D945" s="87"/>
      <c r="E945" s="20" t="str">
        <f>+Hoja2!C$14</f>
        <v>APOYO SEC. DE PLANEACIÓN Y OBRAS PÚBLICAS</v>
      </c>
      <c r="F945" s="20"/>
      <c r="G945" s="20"/>
      <c r="H945" s="20"/>
      <c r="I945" s="20"/>
      <c r="J945" s="20"/>
      <c r="K945" s="20"/>
      <c r="L945" s="20"/>
      <c r="M945" s="20" t="str">
        <f>+Hoja2!$C$17</f>
        <v>SECRETARIO DE PLANEACIÓN Y OBRAS PUBLICAS</v>
      </c>
      <c r="N945" s="20"/>
      <c r="O945" s="20"/>
      <c r="P945" s="88"/>
      <c r="Q945" s="190"/>
      <c r="R945" s="4"/>
    </row>
    <row r="946" spans="1:18">
      <c r="A946" s="1"/>
      <c r="B946" s="2"/>
      <c r="C946" s="8"/>
      <c r="D946" s="68"/>
      <c r="E946" s="20" t="str">
        <f>+Hoja2!C$15</f>
        <v>123769-0701671 NTS</v>
      </c>
      <c r="F946" s="191"/>
      <c r="G946" s="191"/>
      <c r="H946" s="191"/>
      <c r="I946" s="20"/>
      <c r="J946" s="191"/>
      <c r="K946" s="191"/>
      <c r="L946" s="191"/>
      <c r="M946" s="192" t="str">
        <f>+Hoja2!C$18</f>
        <v>A21382020-1090480860</v>
      </c>
      <c r="N946" s="191"/>
      <c r="O946" s="191"/>
      <c r="P946" s="193"/>
      <c r="Q946" s="194"/>
      <c r="R946" s="4"/>
    </row>
    <row r="947" spans="1:18" ht="16.5" thickBot="1">
      <c r="A947" s="1"/>
      <c r="B947" s="2"/>
      <c r="C947" s="8"/>
      <c r="D947" s="195"/>
      <c r="E947" s="150"/>
      <c r="F947" s="150"/>
      <c r="G947" s="150"/>
      <c r="H947" s="150"/>
      <c r="I947" s="150"/>
      <c r="J947" s="150"/>
      <c r="K947" s="150"/>
      <c r="L947" s="150"/>
      <c r="M947" s="150"/>
      <c r="N947" s="150"/>
      <c r="O947" s="150"/>
      <c r="P947" s="196"/>
      <c r="Q947" s="197"/>
      <c r="R947" s="4"/>
    </row>
    <row r="948" spans="1:18" ht="15.75" thickBot="1">
      <c r="A948" s="1"/>
      <c r="B948" s="2"/>
      <c r="C948" s="198"/>
      <c r="D948" s="199"/>
      <c r="E948" s="199"/>
      <c r="F948" s="199"/>
      <c r="G948" s="199"/>
      <c r="H948" s="199"/>
      <c r="I948" s="199"/>
      <c r="J948" s="199"/>
      <c r="K948" s="199"/>
      <c r="L948" s="199"/>
      <c r="M948" s="199"/>
      <c r="N948" s="199"/>
      <c r="O948" s="199"/>
      <c r="P948" s="199"/>
      <c r="Q948" s="200"/>
      <c r="R948" s="4"/>
    </row>
    <row r="949" spans="1:18" ht="15.75" thickTop="1"/>
    <row r="950" spans="1:18" ht="15.75" thickBot="1"/>
    <row r="951" spans="1:18" ht="15.75" thickTop="1">
      <c r="A951" s="1"/>
      <c r="B951" s="2"/>
      <c r="C951" s="5"/>
      <c r="D951" s="6"/>
      <c r="E951" s="6"/>
      <c r="F951" s="6"/>
      <c r="G951" s="6"/>
      <c r="H951" s="6"/>
      <c r="I951" s="6"/>
      <c r="J951" s="6"/>
      <c r="K951" s="6"/>
      <c r="L951" s="6"/>
      <c r="M951" s="6"/>
      <c r="N951" s="6"/>
      <c r="O951" s="6"/>
      <c r="P951" s="6"/>
      <c r="Q951" s="7"/>
      <c r="R951" s="4"/>
    </row>
    <row r="952" spans="1:18" ht="24">
      <c r="A952" s="1"/>
      <c r="B952" s="2"/>
      <c r="C952" s="8"/>
      <c r="D952" s="9" t="str">
        <f>+[239]INICIO!$C$8</f>
        <v>Análisis de Precios Unitarios- Secretaria de Planeación y Obras Publicas de Cubará, Boyacá.</v>
      </c>
      <c r="E952" s="10"/>
      <c r="F952" s="10"/>
      <c r="G952" s="10"/>
      <c r="H952" s="11"/>
      <c r="I952" s="12"/>
      <c r="J952" s="12"/>
      <c r="K952" s="12"/>
      <c r="L952" s="12"/>
      <c r="M952" s="12"/>
      <c r="N952" s="12"/>
      <c r="O952" s="12"/>
      <c r="P952" s="12"/>
      <c r="Q952" s="13"/>
      <c r="R952" s="4"/>
    </row>
    <row r="953" spans="1:18">
      <c r="A953" s="1"/>
      <c r="B953" s="2"/>
      <c r="C953" s="8"/>
      <c r="D953" s="14" t="s">
        <v>0</v>
      </c>
      <c r="E953" s="15" t="str">
        <f>+[239]INICIO!$C$7</f>
        <v>CCE-EICP-FM-14</v>
      </c>
      <c r="F953" s="16"/>
      <c r="G953" s="17" t="str">
        <f>+[239]INICIO!$B$6</f>
        <v>VERSIÓN</v>
      </c>
      <c r="H953" s="14">
        <f>+[239]INICIO!$C$6</f>
        <v>1</v>
      </c>
      <c r="I953" s="12"/>
      <c r="J953" s="12"/>
      <c r="K953" s="12"/>
      <c r="L953" s="12"/>
      <c r="M953" s="12"/>
      <c r="N953" s="12"/>
      <c r="O953" s="12"/>
      <c r="P953" s="12"/>
      <c r="Q953" s="13"/>
      <c r="R953" s="4"/>
    </row>
    <row r="954" spans="1:18">
      <c r="A954" s="1"/>
      <c r="B954" s="2"/>
      <c r="C954" s="8"/>
      <c r="D954" s="18"/>
      <c r="E954" s="19"/>
      <c r="F954" s="18"/>
      <c r="G954" s="19"/>
      <c r="H954" s="12"/>
      <c r="I954" s="12"/>
      <c r="J954" s="12"/>
      <c r="K954" s="12"/>
      <c r="L954" s="12"/>
      <c r="M954" s="12"/>
      <c r="N954" s="12"/>
      <c r="O954" s="12"/>
      <c r="P954" s="12"/>
      <c r="Q954" s="13"/>
      <c r="R954" s="4"/>
    </row>
    <row r="955" spans="1:18" ht="15.75" thickBot="1">
      <c r="A955" s="1"/>
      <c r="B955" s="2"/>
      <c r="C955" s="8"/>
      <c r="D955" s="20"/>
      <c r="E955" s="20"/>
      <c r="F955" s="20"/>
      <c r="G955" s="20"/>
      <c r="H955" s="20"/>
      <c r="I955" s="20"/>
      <c r="J955" s="20"/>
      <c r="K955" s="20"/>
      <c r="L955" s="20"/>
      <c r="M955" s="20"/>
      <c r="N955" s="20"/>
      <c r="O955" s="20"/>
      <c r="P955" s="20"/>
      <c r="Q955" s="13"/>
      <c r="R955" s="4"/>
    </row>
    <row r="956" spans="1:18">
      <c r="A956" s="1"/>
      <c r="B956" s="2"/>
      <c r="C956" s="8"/>
      <c r="D956" s="21"/>
      <c r="E956" s="22"/>
      <c r="F956" s="23"/>
      <c r="G956" s="23"/>
      <c r="H956" s="23"/>
      <c r="I956" s="23"/>
      <c r="J956" s="23"/>
      <c r="K956" s="23"/>
      <c r="L956" s="24"/>
      <c r="M956" s="25"/>
      <c r="N956" s="26"/>
      <c r="O956" s="26"/>
      <c r="P956" s="27"/>
      <c r="Q956" s="28"/>
      <c r="R956" s="4"/>
    </row>
    <row r="957" spans="1:18">
      <c r="A957" s="1"/>
      <c r="B957" s="2"/>
      <c r="C957" s="8"/>
      <c r="D957" s="29"/>
      <c r="E957" s="30" t="s">
        <v>1</v>
      </c>
      <c r="F957" s="31"/>
      <c r="G957" s="31"/>
      <c r="H957" s="31"/>
      <c r="I957" s="31"/>
      <c r="J957" s="31"/>
      <c r="K957" s="31"/>
      <c r="L957" s="32"/>
      <c r="M957" s="33"/>
      <c r="N957" s="34"/>
      <c r="O957" s="34"/>
      <c r="P957" s="35"/>
      <c r="Q957" s="28"/>
      <c r="R957" s="4"/>
    </row>
    <row r="958" spans="1:18">
      <c r="A958" s="1"/>
      <c r="B958" s="2"/>
      <c r="C958" s="8"/>
      <c r="D958" s="29"/>
      <c r="E958" s="36"/>
      <c r="F958" s="37"/>
      <c r="G958" s="37"/>
      <c r="H958" s="37"/>
      <c r="I958" s="37"/>
      <c r="J958" s="37"/>
      <c r="K958" s="37"/>
      <c r="L958" s="38"/>
      <c r="M958" s="39"/>
      <c r="N958" s="40"/>
      <c r="O958" s="41"/>
      <c r="P958" s="42"/>
      <c r="Q958" s="28"/>
      <c r="R958" s="4"/>
    </row>
    <row r="959" spans="1:18">
      <c r="A959" s="1"/>
      <c r="B959" s="2"/>
      <c r="C959" s="8"/>
      <c r="D959" s="29"/>
      <c r="E959" s="36"/>
      <c r="F959" s="37"/>
      <c r="G959" s="37"/>
      <c r="H959" s="37"/>
      <c r="I959" s="37"/>
      <c r="J959" s="37"/>
      <c r="K959" s="37"/>
      <c r="L959" s="38"/>
      <c r="M959" s="43" t="s">
        <v>2</v>
      </c>
      <c r="N959" s="44"/>
      <c r="O959" s="45">
        <f>+[239]INICIO!$C$6</f>
        <v>1</v>
      </c>
      <c r="P959" s="46"/>
      <c r="Q959" s="28"/>
      <c r="R959" s="4"/>
    </row>
    <row r="960" spans="1:18">
      <c r="A960" s="1"/>
      <c r="B960" s="2"/>
      <c r="C960" s="8"/>
      <c r="D960" s="29"/>
      <c r="E960" s="36"/>
      <c r="F960" s="37"/>
      <c r="G960" s="37"/>
      <c r="H960" s="37"/>
      <c r="I960" s="37"/>
      <c r="J960" s="37"/>
      <c r="K960" s="37"/>
      <c r="L960" s="38"/>
      <c r="M960" s="47"/>
      <c r="N960" s="48"/>
      <c r="O960" s="49"/>
      <c r="P960" s="50"/>
      <c r="Q960" s="51"/>
      <c r="R960" s="4"/>
    </row>
    <row r="961" spans="1:18">
      <c r="A961" s="1"/>
      <c r="B961" s="2"/>
      <c r="C961" s="8"/>
      <c r="D961" s="29"/>
      <c r="E961" s="52"/>
      <c r="F961" s="53"/>
      <c r="G961" s="53"/>
      <c r="H961" s="53"/>
      <c r="I961" s="53"/>
      <c r="J961" s="53"/>
      <c r="K961" s="53"/>
      <c r="L961" s="54"/>
      <c r="M961" s="39"/>
      <c r="N961" s="55"/>
      <c r="O961" s="55"/>
      <c r="P961" s="56"/>
      <c r="Q961" s="28"/>
      <c r="R961" s="4"/>
    </row>
    <row r="962" spans="1:18">
      <c r="A962" s="1"/>
      <c r="B962" s="2"/>
      <c r="C962" s="8"/>
      <c r="D962" s="29"/>
      <c r="E962" s="52"/>
      <c r="F962" s="53"/>
      <c r="G962" s="53"/>
      <c r="H962" s="53"/>
      <c r="I962" s="53"/>
      <c r="J962" s="53"/>
      <c r="K962" s="53"/>
      <c r="L962" s="54"/>
      <c r="M962" s="43" t="s">
        <v>3</v>
      </c>
      <c r="N962" s="43" t="str">
        <f>+VLOOKUP(D973,'PRESUPUESTO OFICIAL '!C:Q,9,FALSE)</f>
        <v>27</v>
      </c>
      <c r="O962" s="43" t="s">
        <v>4</v>
      </c>
      <c r="P962" s="508" t="str">
        <f>+'PRESUPUESTO OFICIAL '!$M$122</f>
        <v>62</v>
      </c>
      <c r="Q962" s="28"/>
      <c r="R962" s="4"/>
    </row>
    <row r="963" spans="1:18">
      <c r="A963" s="1"/>
      <c r="B963" s="2"/>
      <c r="C963" s="8"/>
      <c r="D963" s="29"/>
      <c r="E963" s="30" t="s">
        <v>5</v>
      </c>
      <c r="F963" s="31"/>
      <c r="G963" s="31"/>
      <c r="H963" s="31"/>
      <c r="I963" s="31"/>
      <c r="J963" s="31"/>
      <c r="K963" s="31"/>
      <c r="L963" s="32"/>
      <c r="M963" s="43"/>
      <c r="N963" s="57"/>
      <c r="O963" s="57"/>
      <c r="P963" s="58"/>
      <c r="Q963" s="28"/>
      <c r="R963" s="4"/>
    </row>
    <row r="964" spans="1:18" ht="15.75" thickBot="1">
      <c r="A964" s="1"/>
      <c r="B964" s="2"/>
      <c r="C964" s="8"/>
      <c r="D964" s="59"/>
      <c r="E964" s="60"/>
      <c r="F964" s="60"/>
      <c r="G964" s="60"/>
      <c r="H964" s="60"/>
      <c r="I964" s="60"/>
      <c r="J964" s="60"/>
      <c r="K964" s="60"/>
      <c r="L964" s="60"/>
      <c r="M964" s="60"/>
      <c r="N964" s="61"/>
      <c r="O964" s="61"/>
      <c r="P964" s="62"/>
      <c r="Q964" s="63"/>
      <c r="R964" s="4"/>
    </row>
    <row r="965" spans="1:18">
      <c r="A965" s="1"/>
      <c r="B965" s="2"/>
      <c r="C965" s="8"/>
      <c r="D965" s="64"/>
      <c r="E965" s="65"/>
      <c r="F965" s="65"/>
      <c r="G965" s="65"/>
      <c r="H965" s="65"/>
      <c r="I965" s="65"/>
      <c r="J965" s="65"/>
      <c r="K965" s="65"/>
      <c r="L965" s="65"/>
      <c r="M965" s="66" t="s">
        <v>6</v>
      </c>
      <c r="N965" s="66" t="s">
        <v>7</v>
      </c>
      <c r="O965" s="66" t="s">
        <v>8</v>
      </c>
      <c r="P965" s="67" t="s">
        <v>9</v>
      </c>
      <c r="Q965" s="51"/>
      <c r="R965" s="4"/>
    </row>
    <row r="966" spans="1:18">
      <c r="A966" s="1"/>
      <c r="B966" s="2"/>
      <c r="C966" s="8"/>
      <c r="D966" s="68"/>
      <c r="E966" s="69"/>
      <c r="F966" s="69"/>
      <c r="G966" s="69"/>
      <c r="H966" s="69"/>
      <c r="I966" s="69"/>
      <c r="J966" s="69"/>
      <c r="K966" s="69"/>
      <c r="L966" s="69"/>
      <c r="M966" s="70"/>
      <c r="N966" s="71">
        <f>+Hoja2!B$5</f>
        <v>5</v>
      </c>
      <c r="O966" s="71">
        <f>+Hoja2!C$5</f>
        <v>8</v>
      </c>
      <c r="P966" s="72">
        <f>+Hoja2!D$5</f>
        <v>2026</v>
      </c>
      <c r="Q966" s="73"/>
      <c r="R966" s="4"/>
    </row>
    <row r="967" spans="1:18">
      <c r="A967" s="1"/>
      <c r="B967" s="2"/>
      <c r="C967" s="8"/>
      <c r="D967" s="74"/>
      <c r="E967" s="37"/>
      <c r="F967" s="37"/>
      <c r="G967" s="37"/>
      <c r="H967" s="69"/>
      <c r="I967" s="69"/>
      <c r="J967" s="69"/>
      <c r="K967" s="20"/>
      <c r="L967" s="69"/>
      <c r="M967" s="75"/>
      <c r="N967" s="20"/>
      <c r="O967" s="20"/>
      <c r="P967" s="76"/>
      <c r="Q967" s="73"/>
      <c r="R967" s="4"/>
    </row>
    <row r="968" spans="1:18" ht="15.75" thickBot="1">
      <c r="A968" s="1"/>
      <c r="B968" s="2"/>
      <c r="C968" s="8"/>
      <c r="D968" s="77"/>
      <c r="E968" s="78"/>
      <c r="F968" s="78"/>
      <c r="G968" s="78"/>
      <c r="H968" s="78"/>
      <c r="I968" s="78"/>
      <c r="J968" s="78"/>
      <c r="K968" s="78"/>
      <c r="L968" s="78"/>
      <c r="M968" s="78"/>
      <c r="N968" s="78"/>
      <c r="O968" s="78"/>
      <c r="P968" s="79"/>
      <c r="Q968" s="13"/>
      <c r="R968" s="4"/>
    </row>
    <row r="969" spans="1:18" ht="15.75" thickBot="1">
      <c r="A969" s="1"/>
      <c r="B969" s="2"/>
      <c r="C969" s="8"/>
      <c r="D969" s="80"/>
      <c r="E969" s="81"/>
      <c r="F969" s="81"/>
      <c r="G969" s="81"/>
      <c r="H969" s="81"/>
      <c r="I969" s="81"/>
      <c r="J969" s="20"/>
      <c r="K969" s="20"/>
      <c r="L969" s="81"/>
      <c r="M969" s="81"/>
      <c r="N969" s="81"/>
      <c r="O969" s="81"/>
      <c r="P969" s="82"/>
      <c r="Q969" s="13"/>
      <c r="R969" s="4"/>
    </row>
    <row r="970" spans="1:18">
      <c r="A970" s="1"/>
      <c r="B970" s="2"/>
      <c r="C970" s="8"/>
      <c r="D970" s="83" t="s">
        <v>10</v>
      </c>
      <c r="E970" s="84"/>
      <c r="F970" s="84"/>
      <c r="G970" s="84"/>
      <c r="H970" s="84"/>
      <c r="I970" s="84"/>
      <c r="J970" s="84"/>
      <c r="K970" s="84"/>
      <c r="L970" s="84"/>
      <c r="M970" s="84"/>
      <c r="N970" s="84"/>
      <c r="O970" s="84"/>
      <c r="P970" s="85"/>
      <c r="Q970" s="86"/>
      <c r="R970" s="4"/>
    </row>
    <row r="971" spans="1:18" ht="15.75" thickBot="1">
      <c r="A971" s="1"/>
      <c r="B971" s="2"/>
      <c r="C971" s="8"/>
      <c r="D971" s="87"/>
      <c r="E971" s="20"/>
      <c r="F971" s="20"/>
      <c r="G971" s="20"/>
      <c r="H971" s="20"/>
      <c r="I971" s="20"/>
      <c r="J971" s="20"/>
      <c r="K971" s="20"/>
      <c r="L971" s="20"/>
      <c r="M971" s="20"/>
      <c r="N971" s="20"/>
      <c r="O971" s="20"/>
      <c r="P971" s="88"/>
      <c r="Q971" s="13"/>
      <c r="R971" s="4"/>
    </row>
    <row r="972" spans="1:18">
      <c r="A972" s="1" t="s">
        <v>11</v>
      </c>
      <c r="B972" s="2" t="s">
        <v>12</v>
      </c>
      <c r="C972" s="8"/>
      <c r="D972" s="89" t="s">
        <v>13</v>
      </c>
      <c r="E972" s="90" t="s">
        <v>14</v>
      </c>
      <c r="F972" s="90"/>
      <c r="G972" s="90"/>
      <c r="H972" s="90"/>
      <c r="I972" s="90"/>
      <c r="J972" s="90"/>
      <c r="K972" s="90"/>
      <c r="L972" s="90"/>
      <c r="M972" s="90"/>
      <c r="N972" s="91" t="s">
        <v>15</v>
      </c>
      <c r="O972" s="91"/>
      <c r="P972" s="92" t="s">
        <v>16</v>
      </c>
      <c r="Q972" s="93"/>
      <c r="R972" s="4"/>
    </row>
    <row r="973" spans="1:18" ht="15.75" thickBot="1">
      <c r="A973" s="1"/>
      <c r="B973" s="2"/>
      <c r="C973" s="8"/>
      <c r="D973" s="349">
        <f>+'PRESUPUESTO OFICIAL '!C45</f>
        <v>3.07</v>
      </c>
      <c r="E973" s="94" t="str">
        <f>+VLOOKUP(D973,'PRESUPUESTO OFICIAL '!C:H,2,FALSE)</f>
        <v>MESONES EN CONCRETO A = 0.60 M. 17.5 MPa - (2500 PSI) INCLUYE REFUERZO, E = 0.05 M.</v>
      </c>
      <c r="F973" s="94"/>
      <c r="G973" s="94"/>
      <c r="H973" s="94"/>
      <c r="I973" s="94"/>
      <c r="J973" s="94"/>
      <c r="K973" s="94"/>
      <c r="L973" s="94"/>
      <c r="M973" s="94"/>
      <c r="N973" s="94" t="str">
        <f>+VLOOKUP(D973,'PRESUPUESTO OFICIAL '!C:H,3,FALSE)</f>
        <v>M2</v>
      </c>
      <c r="O973" s="95"/>
      <c r="P973" s="96">
        <f>+VLOOKUP(D973,'PRESUPUESTO OFICIAL '!C:H,4,FALSE)</f>
        <v>22.69</v>
      </c>
      <c r="Q973" s="97"/>
      <c r="R973" s="98">
        <f>+P1025</f>
        <v>318473</v>
      </c>
    </row>
    <row r="974" spans="1:18" ht="15.75" thickBot="1">
      <c r="A974" s="1"/>
      <c r="B974" s="2"/>
      <c r="C974" s="8"/>
      <c r="D974" s="74" t="s">
        <v>17</v>
      </c>
      <c r="E974" s="37"/>
      <c r="F974" s="37"/>
      <c r="G974" s="37"/>
      <c r="H974" s="37"/>
      <c r="I974" s="37"/>
      <c r="J974" s="37"/>
      <c r="K974" s="37"/>
      <c r="L974" s="37"/>
      <c r="M974" s="37"/>
      <c r="N974" s="37"/>
      <c r="O974" s="37"/>
      <c r="P974" s="99"/>
      <c r="Q974" s="100"/>
      <c r="R974" s="4"/>
    </row>
    <row r="975" spans="1:18">
      <c r="A975" s="1"/>
      <c r="B975" s="2"/>
      <c r="C975" s="8"/>
      <c r="D975" s="101" t="s">
        <v>14</v>
      </c>
      <c r="E975" s="102"/>
      <c r="F975" s="102"/>
      <c r="G975" s="102"/>
      <c r="H975" s="103"/>
      <c r="I975" s="104" t="s">
        <v>18</v>
      </c>
      <c r="J975" s="102"/>
      <c r="K975" s="104" t="s">
        <v>19</v>
      </c>
      <c r="L975" s="105"/>
      <c r="M975" s="106" t="s">
        <v>20</v>
      </c>
      <c r="N975" s="104" t="s">
        <v>21</v>
      </c>
      <c r="O975" s="105"/>
      <c r="P975" s="107" t="s">
        <v>22</v>
      </c>
      <c r="Q975" s="108"/>
      <c r="R975" s="4"/>
    </row>
    <row r="976" spans="1:18">
      <c r="A976" s="1" t="e">
        <f>[239]INDICE!#REF!</f>
        <v>#REF!</v>
      </c>
      <c r="B976" s="2" t="s">
        <v>23</v>
      </c>
      <c r="C976" s="8"/>
      <c r="D976" s="109" t="str">
        <f>IFERROR(INDEX([239]EQUIPOS!B:B,MATCH(B976,[239]EQUIPOS!A:A,0)),"")</f>
        <v>HERRAMIENTA MENOR (% M.O)</v>
      </c>
      <c r="E976" s="110"/>
      <c r="F976" s="110"/>
      <c r="G976" s="110"/>
      <c r="H976" s="111"/>
      <c r="I976" s="112"/>
      <c r="J976" s="111"/>
      <c r="K976" s="113" t="str">
        <f>IFERROR(INDEX([239]EQUIPOS!C:C,MATCH(B976,[239]EQUIPOS!A:A,0)),"")</f>
        <v>%</v>
      </c>
      <c r="L976" s="114"/>
      <c r="M976" s="115">
        <f>IFERROR(IF(D976="HERRAMIENTA MENOR (% M.O)",P1015,INDEX([239]EQUIPOS!D:D,MATCH(B976,[239]EQUIPOS!A:A,0))),"")</f>
        <v>108785.95</v>
      </c>
      <c r="N976" s="116">
        <v>10</v>
      </c>
      <c r="O976" s="117"/>
      <c r="P976" s="118">
        <f t="shared" ref="P976:P981" si="33">IFERROR(ROUND(IF(D976="HERRAMIENTA MENOR (% M.O)",N976%*M976,M976/N976),2)," ")</f>
        <v>10878.6</v>
      </c>
      <c r="Q976" s="119"/>
      <c r="R976" s="4"/>
    </row>
    <row r="977" spans="1:18">
      <c r="A977" s="1">
        <f>+$A$2858</f>
        <v>0</v>
      </c>
      <c r="B977" s="2"/>
      <c r="C977" s="8"/>
      <c r="D977" s="109" t="str">
        <f>IFERROR(INDEX([239]EQUIPOS!B:B,MATCH(B977,[239]EQUIPOS!A:A,0)),"")</f>
        <v/>
      </c>
      <c r="E977" s="110"/>
      <c r="F977" s="110"/>
      <c r="G977" s="110"/>
      <c r="H977" s="111"/>
      <c r="I977" s="112"/>
      <c r="J977" s="111"/>
      <c r="K977" s="113" t="str">
        <f>IFERROR(INDEX([239]EQUIPOS!C:C,MATCH(B977,[239]EQUIPOS!A:A,0)),"")</f>
        <v/>
      </c>
      <c r="L977" s="114"/>
      <c r="M977" s="115" t="str">
        <f>IFERROR(IF(D977="HERRAMIENTA MENOR (% M.O)",P1016,INDEX([239]EQUIPOS!D:D,MATCH(B977,[239]EQUIPOS!A:A,0))),"")</f>
        <v/>
      </c>
      <c r="N977" s="116"/>
      <c r="O977" s="117"/>
      <c r="P977" s="118" t="str">
        <f t="shared" si="33"/>
        <v xml:space="preserve"> </v>
      </c>
      <c r="Q977" s="119"/>
      <c r="R977" s="4"/>
    </row>
    <row r="978" spans="1:18">
      <c r="A978" s="1">
        <f t="shared" ref="A978:A1016" si="34">+A977</f>
        <v>0</v>
      </c>
      <c r="B978" s="2"/>
      <c r="C978" s="8"/>
      <c r="D978" s="109" t="str">
        <f>IFERROR(INDEX([239]EQUIPOS!B:B,MATCH(B978,[239]EQUIPOS!A:A,0)),"")</f>
        <v/>
      </c>
      <c r="E978" s="110"/>
      <c r="F978" s="110"/>
      <c r="G978" s="110"/>
      <c r="H978" s="111"/>
      <c r="I978" s="120"/>
      <c r="J978" s="121"/>
      <c r="K978" s="113" t="str">
        <f>IFERROR(INDEX([239]EQUIPOS!C:C,MATCH(B978,[239]EQUIPOS!A:A,0)),"")</f>
        <v/>
      </c>
      <c r="L978" s="114"/>
      <c r="M978" s="115" t="str">
        <f>IFERROR(IF(D978="HERRAMIENTA MENOR (% M.O)",P1017,INDEX([239]EQUIPOS!D:D,MATCH(B978,[239]EQUIPOS!A:A,0))),"")</f>
        <v/>
      </c>
      <c r="N978" s="116"/>
      <c r="O978" s="117"/>
      <c r="P978" s="118" t="str">
        <f t="shared" si="33"/>
        <v xml:space="preserve"> </v>
      </c>
      <c r="Q978" s="119"/>
      <c r="R978" s="4"/>
    </row>
    <row r="979" spans="1:18">
      <c r="A979" s="1">
        <f t="shared" si="34"/>
        <v>0</v>
      </c>
      <c r="B979" s="2"/>
      <c r="C979" s="8"/>
      <c r="D979" s="109" t="str">
        <f>IFERROR(INDEX([239]EQUIPOS!B:B,MATCH(B979,[239]EQUIPOS!A:A,0)),"")</f>
        <v/>
      </c>
      <c r="E979" s="110"/>
      <c r="F979" s="110"/>
      <c r="G979" s="110"/>
      <c r="H979" s="111"/>
      <c r="I979" s="120"/>
      <c r="J979" s="121"/>
      <c r="K979" s="113" t="str">
        <f>IFERROR(INDEX([239]EQUIPOS!C:C,MATCH(B979,[239]EQUIPOS!A:A,0)),"")</f>
        <v/>
      </c>
      <c r="L979" s="114"/>
      <c r="M979" s="115" t="str">
        <f>IFERROR(IF(D979="HERRAMIENTA MENOR (% M.O)",P1018,INDEX([239]EQUIPOS!D:D,MATCH(B979,[239]EQUIPOS!A:A,0))),"")</f>
        <v/>
      </c>
      <c r="N979" s="116"/>
      <c r="O979" s="117"/>
      <c r="P979" s="118" t="str">
        <f t="shared" si="33"/>
        <v xml:space="preserve"> </v>
      </c>
      <c r="Q979" s="119"/>
      <c r="R979" s="4"/>
    </row>
    <row r="980" spans="1:18">
      <c r="A980" s="1">
        <f t="shared" si="34"/>
        <v>0</v>
      </c>
      <c r="B980" s="2"/>
      <c r="C980" s="8"/>
      <c r="D980" s="109" t="str">
        <f>IFERROR(INDEX([239]EQUIPOS!B:B,MATCH(B980,[239]EQUIPOS!A:A,0)),"")</f>
        <v/>
      </c>
      <c r="E980" s="110"/>
      <c r="F980" s="110"/>
      <c r="G980" s="110"/>
      <c r="H980" s="111"/>
      <c r="I980" s="112"/>
      <c r="J980" s="111"/>
      <c r="K980" s="113" t="str">
        <f>IFERROR(INDEX([239]EQUIPOS!C:C,MATCH(B980,[239]EQUIPOS!A:A,0)),"")</f>
        <v/>
      </c>
      <c r="L980" s="114"/>
      <c r="M980" s="115" t="str">
        <f>IFERROR(IF(D980="HERRAMIENTA MENOR (% M.O)",P1019,INDEX([239]EQUIPOS!D:D,MATCH(B980,[239]EQUIPOS!A:A,0))),"")</f>
        <v/>
      </c>
      <c r="N980" s="116"/>
      <c r="O980" s="117"/>
      <c r="P980" s="118" t="str">
        <f t="shared" si="33"/>
        <v xml:space="preserve"> </v>
      </c>
      <c r="Q980" s="119"/>
      <c r="R980" s="4"/>
    </row>
    <row r="981" spans="1:18" ht="15.75" thickBot="1">
      <c r="A981" s="1">
        <f t="shared" si="34"/>
        <v>0</v>
      </c>
      <c r="B981" s="2"/>
      <c r="C981" s="8"/>
      <c r="D981" s="109" t="str">
        <f>IFERROR(INDEX([239]EQUIPOS!B:B,MATCH(B981,[239]EQUIPOS!A:A,0)),"")</f>
        <v/>
      </c>
      <c r="E981" s="78"/>
      <c r="F981" s="78"/>
      <c r="G981" s="78"/>
      <c r="H981" s="122"/>
      <c r="I981" s="123"/>
      <c r="J981" s="122"/>
      <c r="K981" s="113" t="str">
        <f>IFERROR(INDEX([239]EQUIPOS!C:C,MATCH(B981,[239]EQUIPOS!A:A,0)),"")</f>
        <v/>
      </c>
      <c r="L981" s="124"/>
      <c r="M981" s="115" t="str">
        <f>IFERROR(IF(D981="HERRAMIENTA MENOR (% M.O)",P1020,INDEX([239]EQUIPOS!D:D,MATCH(B981,[239]EQUIPOS!A:A,0))),"")</f>
        <v/>
      </c>
      <c r="N981" s="125"/>
      <c r="O981" s="126"/>
      <c r="P981" s="127" t="str">
        <f t="shared" si="33"/>
        <v xml:space="preserve"> </v>
      </c>
      <c r="Q981" s="119"/>
      <c r="R981" s="4"/>
    </row>
    <row r="982" spans="1:18" ht="15.75" thickBot="1">
      <c r="A982" s="1">
        <f t="shared" si="34"/>
        <v>0</v>
      </c>
      <c r="B982" s="2"/>
      <c r="C982" s="8"/>
      <c r="D982" s="128" t="s">
        <v>24</v>
      </c>
      <c r="E982" s="129"/>
      <c r="F982" s="129"/>
      <c r="G982" s="129"/>
      <c r="H982" s="129"/>
      <c r="I982" s="129"/>
      <c r="J982" s="129"/>
      <c r="K982" s="129"/>
      <c r="L982" s="129"/>
      <c r="M982" s="129"/>
      <c r="N982" s="129"/>
      <c r="O982" s="130"/>
      <c r="P982" s="131">
        <f>SUM(P976:P981)</f>
        <v>10878.6</v>
      </c>
      <c r="Q982" s="132"/>
      <c r="R982" s="4"/>
    </row>
    <row r="983" spans="1:18" ht="15.75" thickBot="1">
      <c r="A983" s="1">
        <f t="shared" si="34"/>
        <v>0</v>
      </c>
      <c r="B983" s="2"/>
      <c r="C983" s="8"/>
      <c r="D983" s="74" t="s">
        <v>25</v>
      </c>
      <c r="E983" s="37"/>
      <c r="F983" s="37"/>
      <c r="G983" s="37"/>
      <c r="H983" s="37"/>
      <c r="I983" s="37"/>
      <c r="J983" s="37"/>
      <c r="K983" s="37"/>
      <c r="L983" s="37"/>
      <c r="M983" s="37"/>
      <c r="N983" s="37"/>
      <c r="O983" s="37"/>
      <c r="P983" s="99"/>
      <c r="Q983" s="100"/>
      <c r="R983" s="4"/>
    </row>
    <row r="984" spans="1:18">
      <c r="A984" s="1">
        <f t="shared" si="34"/>
        <v>0</v>
      </c>
      <c r="B984" s="2"/>
      <c r="C984" s="8"/>
      <c r="D984" s="101" t="s">
        <v>14</v>
      </c>
      <c r="E984" s="133"/>
      <c r="F984" s="133"/>
      <c r="G984" s="133"/>
      <c r="H984" s="133"/>
      <c r="I984" s="133"/>
      <c r="J984" s="133"/>
      <c r="K984" s="105"/>
      <c r="L984" s="134" t="s">
        <v>15</v>
      </c>
      <c r="M984" s="106" t="s">
        <v>16</v>
      </c>
      <c r="N984" s="104" t="s">
        <v>26</v>
      </c>
      <c r="O984" s="105"/>
      <c r="P984" s="107" t="s">
        <v>22</v>
      </c>
      <c r="Q984" s="108"/>
      <c r="R984" s="4"/>
    </row>
    <row r="985" spans="1:18">
      <c r="A985" s="1">
        <f t="shared" si="34"/>
        <v>0</v>
      </c>
      <c r="B985" s="2" t="s">
        <v>289</v>
      </c>
      <c r="C985" s="8"/>
      <c r="D985" s="109" t="str">
        <f>IFERROR(INDEX([239]MATERIALES!C:C,MATCH(B985,[239]MATERIALES!B:B,0)),"")</f>
        <v>ACERO DE REFUERZO 60000 PSI</v>
      </c>
      <c r="E985" s="135"/>
      <c r="F985" s="135"/>
      <c r="G985" s="135"/>
      <c r="H985" s="135"/>
      <c r="I985" s="135"/>
      <c r="J985" s="135"/>
      <c r="K985" s="136"/>
      <c r="L985" s="137" t="str">
        <f>IFERROR(INDEX([239]MATERIALES!D:D,MATCH(B985,[239]MATERIALES!B:B,0)),"")</f>
        <v>KG</v>
      </c>
      <c r="M985" s="138">
        <v>8</v>
      </c>
      <c r="N985" s="139">
        <f>IFERROR(INDEX([239]MATERIALES!P:P,MATCH(B985,[239]MATERIALES!B:B,0)),"")</f>
        <v>5501.58</v>
      </c>
      <c r="O985" s="140"/>
      <c r="P985" s="118">
        <f>IFERROR(ROUND(N985*M985,2),"")</f>
        <v>44012.639999999999</v>
      </c>
      <c r="Q985" s="119"/>
      <c r="R985" s="4"/>
    </row>
    <row r="986" spans="1:18">
      <c r="A986" s="1">
        <f t="shared" si="34"/>
        <v>0</v>
      </c>
      <c r="B986" s="2" t="s">
        <v>276</v>
      </c>
      <c r="C986" s="8"/>
      <c r="D986" s="109" t="str">
        <f>IFERROR(INDEX([239]MATERIALES!C:C,MATCH(B986,[239]MATERIALES!B:B,0)),"")</f>
        <v>ALAMBRE NEGRO # 18 (RECOCIDO)</v>
      </c>
      <c r="E986" s="135"/>
      <c r="F986" s="135"/>
      <c r="G986" s="135"/>
      <c r="H986" s="135"/>
      <c r="I986" s="135"/>
      <c r="J986" s="135"/>
      <c r="K986" s="136"/>
      <c r="L986" s="137" t="str">
        <f>IFERROR(INDEX([239]MATERIALES!D:D,MATCH(B986,[239]MATERIALES!B:B,0)),"")</f>
        <v>KG</v>
      </c>
      <c r="M986" s="138">
        <v>0.24</v>
      </c>
      <c r="N986" s="139">
        <f>IFERROR(INDEX([239]MATERIALES!P:P,MATCH(B986,[239]MATERIALES!B:B,0)),"")</f>
        <v>7850</v>
      </c>
      <c r="O986" s="140"/>
      <c r="P986" s="118">
        <f>IFERROR(ROUND(N986*M986,2),"")</f>
        <v>1884</v>
      </c>
      <c r="Q986" s="119"/>
      <c r="R986" s="4"/>
    </row>
    <row r="987" spans="1:18">
      <c r="A987" s="1">
        <f t="shared" si="34"/>
        <v>0</v>
      </c>
      <c r="B987" s="2" t="s">
        <v>287</v>
      </c>
      <c r="C987" s="8"/>
      <c r="D987" s="109" t="str">
        <f>IFERROR(INDEX([239]MATERIALES!C:C,MATCH(B987,[239]MATERIALES!B:B,0)),"")</f>
        <v>CONCRETO DE 2500 PSI (1:2:4)</v>
      </c>
      <c r="E987" s="110"/>
      <c r="F987" s="110"/>
      <c r="G987" s="110"/>
      <c r="H987" s="110"/>
      <c r="I987" s="110"/>
      <c r="J987" s="110"/>
      <c r="K987" s="111"/>
      <c r="L987" s="137" t="str">
        <f>IFERROR(INDEX([239]MATERIALES!D:D,MATCH(B987,[239]MATERIALES!B:B,0)),"")</f>
        <v>M3</v>
      </c>
      <c r="M987" s="138">
        <f>1*1*0.05</f>
        <v>0.05</v>
      </c>
      <c r="N987" s="139">
        <f>IFERROR(INDEX([239]MATERIALES!P:P,MATCH(B987,[239]MATERIALES!B:B,0)),"")</f>
        <v>703756.21</v>
      </c>
      <c r="O987" s="140"/>
      <c r="P987" s="118">
        <f>IFERROR(ROUND(N987*M987,2),"")</f>
        <v>35187.81</v>
      </c>
      <c r="Q987" s="119"/>
      <c r="R987" s="4"/>
    </row>
    <row r="988" spans="1:18">
      <c r="A988" s="1">
        <f t="shared" si="34"/>
        <v>0</v>
      </c>
      <c r="B988" s="2" t="s">
        <v>273</v>
      </c>
      <c r="C988" s="8"/>
      <c r="D988" s="109" t="str">
        <f>IFERROR(INDEX([239]MATERIALES!C:C,MATCH(B988,[239]MATERIALES!B:B,0)),"")</f>
        <v>TABLA BURRA ORDINARIA 10" x 1" x 3m</v>
      </c>
      <c r="E988" s="110"/>
      <c r="F988" s="110"/>
      <c r="G988" s="110"/>
      <c r="H988" s="110"/>
      <c r="I988" s="110"/>
      <c r="J988" s="110"/>
      <c r="K988" s="111"/>
      <c r="L988" s="137" t="str">
        <f>IFERROR(INDEX([239]MATERIALES!D:D,MATCH(B988,[239]MATERIALES!B:B,0)),"")</f>
        <v>UND</v>
      </c>
      <c r="M988" s="138">
        <v>1.5</v>
      </c>
      <c r="N988" s="139">
        <f>IFERROR(INDEX([239]MATERIALES!P:P,MATCH(B988,[239]MATERIALES!B:B,0)),"")</f>
        <v>22000</v>
      </c>
      <c r="O988" s="140"/>
      <c r="P988" s="118">
        <f>IFERROR(ROUND(N988*M988,2),"")</f>
        <v>33000</v>
      </c>
      <c r="Q988" s="119"/>
      <c r="R988" s="4"/>
    </row>
    <row r="989" spans="1:18">
      <c r="A989" s="1">
        <f t="shared" si="34"/>
        <v>0</v>
      </c>
      <c r="B989" s="2"/>
      <c r="C989" s="8"/>
      <c r="D989" s="109" t="str">
        <f>IFERROR(INDEX([239]MATERIALES!C:C,MATCH(B989,[239]MATERIALES!B:B,0)),"")</f>
        <v/>
      </c>
      <c r="E989" s="110"/>
      <c r="F989" s="110"/>
      <c r="G989" s="110"/>
      <c r="H989" s="110"/>
      <c r="I989" s="110"/>
      <c r="J989" s="110"/>
      <c r="K989" s="111"/>
      <c r="L989" s="137" t="str">
        <f>IFERROR(INDEX([239]MATERIALES!D:D,MATCH(B989,[239]MATERIALES!B:B,0)),"")</f>
        <v/>
      </c>
      <c r="M989" s="138"/>
      <c r="N989" s="139" t="str">
        <f>IFERROR(INDEX([239]MATERIALES!P:P,MATCH(B989,[239]MATERIALES!B:B,0)),"")</f>
        <v/>
      </c>
      <c r="O989" s="140"/>
      <c r="P989" s="118" t="str">
        <f t="shared" ref="P989:P998" si="35">IFERROR(ROUND(N989*M989,2),"")</f>
        <v/>
      </c>
      <c r="Q989" s="119"/>
      <c r="R989" s="4"/>
    </row>
    <row r="990" spans="1:18">
      <c r="A990" s="1">
        <f t="shared" si="34"/>
        <v>0</v>
      </c>
      <c r="B990" s="2"/>
      <c r="C990" s="8"/>
      <c r="D990" s="109" t="str">
        <f>IFERROR(INDEX([239]MATERIALES!C:C,MATCH(B990,[239]MATERIALES!B:B,0)),"")</f>
        <v/>
      </c>
      <c r="E990" s="110"/>
      <c r="F990" s="110"/>
      <c r="G990" s="110"/>
      <c r="H990" s="110"/>
      <c r="I990" s="110"/>
      <c r="J990" s="110"/>
      <c r="K990" s="111"/>
      <c r="L990" s="137" t="str">
        <f>IFERROR(INDEX([239]MATERIALES!D:D,MATCH(B990,[239]MATERIALES!B:B,0)),"")</f>
        <v/>
      </c>
      <c r="M990" s="138"/>
      <c r="N990" s="139" t="str">
        <f>IFERROR(INDEX([239]MATERIALES!P:P,MATCH(B990,[239]MATERIALES!B:B,0)),"")</f>
        <v/>
      </c>
      <c r="O990" s="140"/>
      <c r="P990" s="118" t="str">
        <f t="shared" si="35"/>
        <v/>
      </c>
      <c r="Q990" s="119"/>
      <c r="R990" s="4"/>
    </row>
    <row r="991" spans="1:18">
      <c r="A991" s="1">
        <f t="shared" si="34"/>
        <v>0</v>
      </c>
      <c r="B991" s="2"/>
      <c r="C991" s="8"/>
      <c r="D991" s="109" t="str">
        <f>IFERROR(INDEX([239]MATERIALES!C:C,MATCH(B991,[239]MATERIALES!B:B,0)),"")</f>
        <v/>
      </c>
      <c r="E991" s="110"/>
      <c r="F991" s="110"/>
      <c r="G991" s="110"/>
      <c r="H991" s="110"/>
      <c r="I991" s="110"/>
      <c r="J991" s="110"/>
      <c r="K991" s="111"/>
      <c r="L991" s="137" t="str">
        <f>IFERROR(INDEX([239]MATERIALES!D:D,MATCH(B991,[239]MATERIALES!B:B,0)),"")</f>
        <v/>
      </c>
      <c r="M991" s="138"/>
      <c r="N991" s="139" t="str">
        <f>IFERROR(INDEX([239]MATERIALES!P:P,MATCH(B991,[239]MATERIALES!B:B,0)),"")</f>
        <v/>
      </c>
      <c r="O991" s="140"/>
      <c r="P991" s="118" t="str">
        <f t="shared" si="35"/>
        <v/>
      </c>
      <c r="Q991" s="119"/>
      <c r="R991" s="4"/>
    </row>
    <row r="992" spans="1:18">
      <c r="A992" s="1">
        <f t="shared" si="34"/>
        <v>0</v>
      </c>
      <c r="B992" s="2"/>
      <c r="C992" s="8"/>
      <c r="D992" s="109" t="str">
        <f>IFERROR(INDEX([239]MATERIALES!C:C,MATCH(B992,[239]MATERIALES!B:B,0)),"")</f>
        <v/>
      </c>
      <c r="E992" s="110"/>
      <c r="F992" s="110"/>
      <c r="G992" s="110"/>
      <c r="H992" s="110"/>
      <c r="I992" s="110"/>
      <c r="J992" s="110"/>
      <c r="K992" s="111"/>
      <c r="L992" s="137" t="str">
        <f>IFERROR(INDEX([239]MATERIALES!D:D,MATCH(B992,[239]MATERIALES!B:B,0)),"")</f>
        <v/>
      </c>
      <c r="M992" s="138"/>
      <c r="N992" s="139" t="str">
        <f>IFERROR(INDEX([239]MATERIALES!P:P,MATCH(B992,[239]MATERIALES!B:B,0)),"")</f>
        <v/>
      </c>
      <c r="O992" s="140"/>
      <c r="P992" s="118" t="str">
        <f t="shared" si="35"/>
        <v/>
      </c>
      <c r="Q992" s="119"/>
      <c r="R992" s="4"/>
    </row>
    <row r="993" spans="1:18">
      <c r="A993" s="1">
        <f t="shared" si="34"/>
        <v>0</v>
      </c>
      <c r="B993" s="2"/>
      <c r="C993" s="8"/>
      <c r="D993" s="109" t="str">
        <f>IFERROR(INDEX([239]MATERIALES!C:C,MATCH(B993,[239]MATERIALES!B:B,0)),"")</f>
        <v/>
      </c>
      <c r="E993" s="110"/>
      <c r="F993" s="110"/>
      <c r="G993" s="110"/>
      <c r="H993" s="110"/>
      <c r="I993" s="110"/>
      <c r="J993" s="110"/>
      <c r="K993" s="111"/>
      <c r="L993" s="137" t="str">
        <f>IFERROR(INDEX([239]MATERIALES!D:D,MATCH(B993,[239]MATERIALES!B:B,0)),"")</f>
        <v/>
      </c>
      <c r="M993" s="138"/>
      <c r="N993" s="139" t="str">
        <f>IFERROR(INDEX([239]MATERIALES!P:P,MATCH(B993,[239]MATERIALES!B:B,0)),"")</f>
        <v/>
      </c>
      <c r="O993" s="140"/>
      <c r="P993" s="118" t="str">
        <f t="shared" si="35"/>
        <v/>
      </c>
      <c r="Q993" s="119"/>
      <c r="R993" s="4"/>
    </row>
    <row r="994" spans="1:18">
      <c r="A994" s="1">
        <f t="shared" si="34"/>
        <v>0</v>
      </c>
      <c r="B994" s="2"/>
      <c r="C994" s="8"/>
      <c r="D994" s="109" t="str">
        <f>IFERROR(INDEX([239]MATERIALES!C:C,MATCH(B994,[239]MATERIALES!B:B,0)),"")</f>
        <v/>
      </c>
      <c r="E994" s="110"/>
      <c r="F994" s="110"/>
      <c r="G994" s="110"/>
      <c r="H994" s="110"/>
      <c r="I994" s="110"/>
      <c r="J994" s="110"/>
      <c r="K994" s="111"/>
      <c r="L994" s="137" t="str">
        <f>IFERROR(INDEX([239]MATERIALES!D:D,MATCH(B994,[239]MATERIALES!B:B,0)),"")</f>
        <v/>
      </c>
      <c r="M994" s="138"/>
      <c r="N994" s="139" t="str">
        <f>IFERROR(INDEX([239]MATERIALES!P:P,MATCH(B994,[239]MATERIALES!B:B,0)),"")</f>
        <v/>
      </c>
      <c r="O994" s="140"/>
      <c r="P994" s="118" t="str">
        <f t="shared" si="35"/>
        <v/>
      </c>
      <c r="Q994" s="119"/>
      <c r="R994" s="4"/>
    </row>
    <row r="995" spans="1:18">
      <c r="A995" s="1">
        <f t="shared" si="34"/>
        <v>0</v>
      </c>
      <c r="B995" s="2"/>
      <c r="C995" s="8"/>
      <c r="D995" s="109" t="str">
        <f>IFERROR(INDEX([239]MATERIALES!C:C,MATCH(B995,[239]MATERIALES!B:B,0)),"")</f>
        <v/>
      </c>
      <c r="E995" s="110"/>
      <c r="F995" s="110"/>
      <c r="G995" s="110"/>
      <c r="H995" s="110"/>
      <c r="I995" s="110"/>
      <c r="J995" s="110"/>
      <c r="K995" s="111"/>
      <c r="L995" s="137" t="str">
        <f>IFERROR(INDEX([239]MATERIALES!D:D,MATCH(B995,[239]MATERIALES!B:B,0)),"")</f>
        <v/>
      </c>
      <c r="M995" s="138"/>
      <c r="N995" s="139" t="str">
        <f>IFERROR(INDEX([239]MATERIALES!P:P,MATCH(B995,[239]MATERIALES!B:B,0)),"")</f>
        <v/>
      </c>
      <c r="O995" s="140"/>
      <c r="P995" s="118" t="str">
        <f t="shared" si="35"/>
        <v/>
      </c>
      <c r="Q995" s="119"/>
      <c r="R995" s="4"/>
    </row>
    <row r="996" spans="1:18">
      <c r="A996" s="1">
        <f t="shared" si="34"/>
        <v>0</v>
      </c>
      <c r="B996" s="2"/>
      <c r="C996" s="8"/>
      <c r="D996" s="109" t="str">
        <f>IFERROR(INDEX([239]MATERIALES!C:C,MATCH(B996,[239]MATERIALES!B:B,0)),"")</f>
        <v/>
      </c>
      <c r="E996" s="110"/>
      <c r="F996" s="110"/>
      <c r="G996" s="110"/>
      <c r="H996" s="110"/>
      <c r="I996" s="110"/>
      <c r="J996" s="110"/>
      <c r="K996" s="111"/>
      <c r="L996" s="137" t="str">
        <f>IFERROR(INDEX([239]MATERIALES!D:D,MATCH(B996,[239]MATERIALES!B:B,0)),"")</f>
        <v/>
      </c>
      <c r="M996" s="138"/>
      <c r="N996" s="139" t="str">
        <f>IFERROR(INDEX([239]MATERIALES!P:P,MATCH(B996,[239]MATERIALES!B:B,0)),"")</f>
        <v/>
      </c>
      <c r="O996" s="140"/>
      <c r="P996" s="118" t="str">
        <f t="shared" si="35"/>
        <v/>
      </c>
      <c r="Q996" s="119"/>
      <c r="R996" s="4"/>
    </row>
    <row r="997" spans="1:18">
      <c r="A997" s="1">
        <f t="shared" si="34"/>
        <v>0</v>
      </c>
      <c r="B997" s="2"/>
      <c r="C997" s="8"/>
      <c r="D997" s="109" t="str">
        <f>IFERROR(INDEX([239]MATERIALES!C:C,MATCH(B997,[239]MATERIALES!B:B,0)),"")</f>
        <v/>
      </c>
      <c r="E997" s="110"/>
      <c r="F997" s="110"/>
      <c r="G997" s="110"/>
      <c r="H997" s="110"/>
      <c r="I997" s="110"/>
      <c r="J997" s="110"/>
      <c r="K997" s="111"/>
      <c r="L997" s="137" t="str">
        <f>IFERROR(INDEX([239]MATERIALES!D:D,MATCH(B997,[239]MATERIALES!B:B,0)),"")</f>
        <v/>
      </c>
      <c r="M997" s="138"/>
      <c r="N997" s="139" t="str">
        <f>IFERROR(INDEX([239]MATERIALES!P:P,MATCH(B997,[239]MATERIALES!B:B,0)),"")</f>
        <v/>
      </c>
      <c r="O997" s="140"/>
      <c r="P997" s="118" t="str">
        <f t="shared" si="35"/>
        <v/>
      </c>
      <c r="Q997" s="119"/>
      <c r="R997" s="4"/>
    </row>
    <row r="998" spans="1:18">
      <c r="A998" s="1">
        <f t="shared" si="34"/>
        <v>0</v>
      </c>
      <c r="B998" s="2"/>
      <c r="C998" s="8"/>
      <c r="D998" s="109" t="str">
        <f>IFERROR(INDEX([239]MATERIALES!C:C,MATCH(B998,[239]MATERIALES!B:B,0)),"")</f>
        <v/>
      </c>
      <c r="E998" s="110"/>
      <c r="F998" s="110"/>
      <c r="G998" s="110"/>
      <c r="H998" s="110"/>
      <c r="I998" s="110"/>
      <c r="J998" s="110"/>
      <c r="K998" s="111"/>
      <c r="L998" s="137" t="str">
        <f>IFERROR(INDEX([239]MATERIALES!D:D,MATCH(B998,[239]MATERIALES!B:B,0)),"")</f>
        <v/>
      </c>
      <c r="M998" s="138"/>
      <c r="N998" s="139" t="str">
        <f>IFERROR(INDEX([239]MATERIALES!P:P,MATCH(B998,[239]MATERIALES!B:B,0)),"")</f>
        <v/>
      </c>
      <c r="O998" s="140"/>
      <c r="P998" s="118" t="str">
        <f t="shared" si="35"/>
        <v/>
      </c>
      <c r="Q998" s="119"/>
      <c r="R998" s="4"/>
    </row>
    <row r="999" spans="1:18" ht="15.75" thickBot="1">
      <c r="A999" s="1">
        <f t="shared" si="34"/>
        <v>0</v>
      </c>
      <c r="B999" s="2"/>
      <c r="C999" s="8"/>
      <c r="D999" s="109" t="s">
        <v>28</v>
      </c>
      <c r="E999" s="110"/>
      <c r="F999" s="110"/>
      <c r="G999" s="110"/>
      <c r="H999" s="110"/>
      <c r="I999" s="110"/>
      <c r="J999" s="110"/>
      <c r="K999" s="111"/>
      <c r="L999" s="137" t="s">
        <v>29</v>
      </c>
      <c r="M999" s="138">
        <v>0.05</v>
      </c>
      <c r="N999" s="139">
        <f>SUM(P985:P998)</f>
        <v>114084.45</v>
      </c>
      <c r="O999" s="140"/>
      <c r="P999" s="118">
        <f>ROUND(N999*M999,2)</f>
        <v>5704.22</v>
      </c>
      <c r="Q999" s="119"/>
      <c r="R999" s="4"/>
    </row>
    <row r="1000" spans="1:18" ht="15.75" thickBot="1">
      <c r="A1000" s="1">
        <f t="shared" si="34"/>
        <v>0</v>
      </c>
      <c r="B1000" s="2"/>
      <c r="C1000" s="8"/>
      <c r="D1000" s="128" t="s">
        <v>24</v>
      </c>
      <c r="E1000" s="129"/>
      <c r="F1000" s="129"/>
      <c r="G1000" s="129"/>
      <c r="H1000" s="129"/>
      <c r="I1000" s="129"/>
      <c r="J1000" s="129"/>
      <c r="K1000" s="129"/>
      <c r="L1000" s="129"/>
      <c r="M1000" s="129"/>
      <c r="N1000" s="129"/>
      <c r="O1000" s="130"/>
      <c r="P1000" s="131">
        <f>SUM(P985:P999)</f>
        <v>119788.67</v>
      </c>
      <c r="Q1000" s="119"/>
      <c r="R1000" s="4"/>
    </row>
    <row r="1001" spans="1:18" ht="15.75" thickBot="1">
      <c r="A1001" s="1">
        <f t="shared" si="34"/>
        <v>0</v>
      </c>
      <c r="B1001" s="2"/>
      <c r="C1001" s="8"/>
      <c r="D1001" s="74" t="s">
        <v>30</v>
      </c>
      <c r="E1001" s="37"/>
      <c r="F1001" s="37"/>
      <c r="G1001" s="37"/>
      <c r="H1001" s="37"/>
      <c r="I1001" s="37"/>
      <c r="J1001" s="37"/>
      <c r="K1001" s="37"/>
      <c r="L1001" s="37"/>
      <c r="M1001" s="37"/>
      <c r="N1001" s="37"/>
      <c r="O1001" s="37"/>
      <c r="P1001" s="99"/>
      <c r="Q1001" s="100"/>
      <c r="R1001" s="4"/>
    </row>
    <row r="1002" spans="1:18">
      <c r="A1002" s="1">
        <f t="shared" si="34"/>
        <v>0</v>
      </c>
      <c r="B1002" s="2"/>
      <c r="C1002" s="8"/>
      <c r="D1002" s="101" t="s">
        <v>31</v>
      </c>
      <c r="E1002" s="133"/>
      <c r="F1002" s="133"/>
      <c r="G1002" s="133"/>
      <c r="H1002" s="133"/>
      <c r="I1002" s="133"/>
      <c r="J1002" s="133"/>
      <c r="K1002" s="106" t="s">
        <v>32</v>
      </c>
      <c r="L1002" s="141" t="s">
        <v>33</v>
      </c>
      <c r="M1002" s="106" t="s">
        <v>34</v>
      </c>
      <c r="N1002" s="104" t="s">
        <v>20</v>
      </c>
      <c r="O1002" s="105"/>
      <c r="P1002" s="107" t="s">
        <v>22</v>
      </c>
      <c r="Q1002" s="108"/>
      <c r="R1002" s="4"/>
    </row>
    <row r="1003" spans="1:18">
      <c r="A1003" s="1">
        <f t="shared" si="34"/>
        <v>0</v>
      </c>
      <c r="B1003" s="2"/>
      <c r="C1003" s="8"/>
      <c r="D1003" s="142" t="str">
        <f>IFERROR(INDEX([239]TRANSPORTES!B:B,MATCH(B1003,[239]TRANSPORTES!A:A,0)),"")</f>
        <v/>
      </c>
      <c r="E1003" s="143"/>
      <c r="F1003" s="143"/>
      <c r="G1003" s="143"/>
      <c r="H1003" s="143"/>
      <c r="I1003" s="143"/>
      <c r="J1003" s="143"/>
      <c r="K1003" s="220"/>
      <c r="L1003" s="145"/>
      <c r="M1003" s="146" t="str">
        <f>IFERROR(INDEX([239]TRANSPORTES!C:C,MATCH(B1003,[239]TRANSPORTES!A:A,0)),"")</f>
        <v/>
      </c>
      <c r="N1003" s="139" t="str">
        <f>IFERROR(INDEX([239]TRANSPORTES!D:D,MATCH(B1003,[239]TRANSPORTES!A:A,0)),"")</f>
        <v/>
      </c>
      <c r="O1003" s="147"/>
      <c r="P1003" s="148" t="str">
        <f>IFERROR(ROUND(K1003*N1003*L1003,2),"")</f>
        <v/>
      </c>
      <c r="Q1003" s="119"/>
      <c r="R1003" s="4"/>
    </row>
    <row r="1004" spans="1:18">
      <c r="A1004" s="1">
        <f t="shared" si="34"/>
        <v>0</v>
      </c>
      <c r="B1004" s="2"/>
      <c r="C1004" s="8"/>
      <c r="D1004" s="142" t="str">
        <f>IFERROR(INDEX([239]TRANSPORTES!B:B,MATCH(B1004,[239]TRANSPORTES!A:A,0)),"")</f>
        <v/>
      </c>
      <c r="E1004" s="143"/>
      <c r="F1004" s="143"/>
      <c r="G1004" s="143"/>
      <c r="H1004" s="143"/>
      <c r="I1004" s="143"/>
      <c r="J1004" s="143"/>
      <c r="K1004" s="144"/>
      <c r="L1004" s="145"/>
      <c r="M1004" s="146" t="str">
        <f>IFERROR(INDEX([239]TRANSPORTES!C:C,MATCH(B1004,[239]TRANSPORTES!A:A,0)),"")</f>
        <v/>
      </c>
      <c r="N1004" s="139" t="str">
        <f>IFERROR(INDEX([239]TRANSPORTES!D:D,MATCH(B1004,[239]TRANSPORTES!A:A,0)),"")</f>
        <v/>
      </c>
      <c r="O1004" s="147"/>
      <c r="P1004" s="148" t="str">
        <f>IFERROR(ROUND(K1004*N1004*L1004,2),"")</f>
        <v/>
      </c>
      <c r="Q1004" s="119"/>
      <c r="R1004" s="4"/>
    </row>
    <row r="1005" spans="1:18">
      <c r="A1005" s="1">
        <f t="shared" si="34"/>
        <v>0</v>
      </c>
      <c r="B1005" s="2"/>
      <c r="C1005" s="8"/>
      <c r="D1005" s="142" t="str">
        <f>IFERROR(INDEX([239]TRANSPORTES!B:B,MATCH(B1005,[239]TRANSPORTES!A:A,0)),"")</f>
        <v/>
      </c>
      <c r="E1005" s="143"/>
      <c r="F1005" s="143"/>
      <c r="G1005" s="143"/>
      <c r="H1005" s="143"/>
      <c r="I1005" s="143"/>
      <c r="J1005" s="143"/>
      <c r="K1005" s="144"/>
      <c r="L1005" s="145"/>
      <c r="M1005" s="146" t="str">
        <f>IFERROR(INDEX([239]TRANSPORTES!C:C,MATCH(B1005,[239]TRANSPORTES!A:A,0)),"")</f>
        <v/>
      </c>
      <c r="N1005" s="139" t="str">
        <f>IFERROR(INDEX([239]TRANSPORTES!D:D,MATCH(B1005,[239]TRANSPORTES!A:A,0)),"")</f>
        <v/>
      </c>
      <c r="O1005" s="147"/>
      <c r="P1005" s="148" t="str">
        <f>IFERROR(ROUND(K1005*N1005*L1005,2),"")</f>
        <v/>
      </c>
      <c r="Q1005" s="119"/>
      <c r="R1005" s="4"/>
    </row>
    <row r="1006" spans="1:18" ht="15.75" thickBot="1">
      <c r="A1006" s="1">
        <f t="shared" si="34"/>
        <v>0</v>
      </c>
      <c r="B1006" s="2"/>
      <c r="C1006" s="8"/>
      <c r="D1006" s="142" t="str">
        <f>IFERROR(INDEX([239]TRANSPORTES!B:B,MATCH(B1006,[239]TRANSPORTES!A:A,0)),"")</f>
        <v/>
      </c>
      <c r="E1006" s="143"/>
      <c r="F1006" s="143"/>
      <c r="G1006" s="143"/>
      <c r="H1006" s="143"/>
      <c r="I1006" s="143"/>
      <c r="J1006" s="143"/>
      <c r="K1006" s="149"/>
      <c r="L1006" s="150"/>
      <c r="M1006" s="146" t="str">
        <f>IFERROR(INDEX([239]TRANSPORTES!C:C,MATCH(B1006,[239]TRANSPORTES!A:A,0)),"")</f>
        <v/>
      </c>
      <c r="N1006" s="139" t="str">
        <f>IFERROR(INDEX([239]TRANSPORTES!D:D,MATCH(B1006,[239]TRANSPORTES!A:A,0)),"")</f>
        <v/>
      </c>
      <c r="O1006" s="147"/>
      <c r="P1006" s="148" t="str">
        <f>IFERROR(ROUND(K1006*N1006*L1006,2),"")</f>
        <v/>
      </c>
      <c r="Q1006" s="119"/>
      <c r="R1006" s="4"/>
    </row>
    <row r="1007" spans="1:18" ht="15.75" thickBot="1">
      <c r="A1007" s="1">
        <f t="shared" si="34"/>
        <v>0</v>
      </c>
      <c r="B1007" s="2"/>
      <c r="C1007" s="8"/>
      <c r="D1007" s="128" t="s">
        <v>24</v>
      </c>
      <c r="E1007" s="129"/>
      <c r="F1007" s="129"/>
      <c r="G1007" s="129"/>
      <c r="H1007" s="129"/>
      <c r="I1007" s="129"/>
      <c r="J1007" s="129"/>
      <c r="K1007" s="129"/>
      <c r="L1007" s="129"/>
      <c r="M1007" s="129"/>
      <c r="N1007" s="129"/>
      <c r="O1007" s="130"/>
      <c r="P1007" s="151">
        <f>SUM(P1003:P1006)</f>
        <v>0</v>
      </c>
      <c r="Q1007" s="132"/>
      <c r="R1007" s="4"/>
    </row>
    <row r="1008" spans="1:18" ht="15.75" thickBot="1">
      <c r="A1008" s="1">
        <f t="shared" si="34"/>
        <v>0</v>
      </c>
      <c r="B1008" s="2"/>
      <c r="C1008" s="8"/>
      <c r="D1008" s="74" t="s">
        <v>36</v>
      </c>
      <c r="E1008" s="37"/>
      <c r="F1008" s="37"/>
      <c r="G1008" s="37"/>
      <c r="H1008" s="37"/>
      <c r="I1008" s="37"/>
      <c r="J1008" s="37"/>
      <c r="K1008" s="37"/>
      <c r="L1008" s="37"/>
      <c r="M1008" s="37"/>
      <c r="N1008" s="37"/>
      <c r="O1008" s="37"/>
      <c r="P1008" s="99"/>
      <c r="Q1008" s="100"/>
      <c r="R1008" s="4"/>
    </row>
    <row r="1009" spans="1:18" ht="30">
      <c r="A1009" s="1">
        <f t="shared" si="34"/>
        <v>0</v>
      </c>
      <c r="B1009" s="2"/>
      <c r="C1009" s="8"/>
      <c r="D1009" s="101" t="s">
        <v>37</v>
      </c>
      <c r="E1009" s="133"/>
      <c r="F1009" s="133"/>
      <c r="G1009" s="133"/>
      <c r="H1009" s="133"/>
      <c r="I1009" s="133"/>
      <c r="J1009" s="133"/>
      <c r="K1009" s="106" t="s">
        <v>38</v>
      </c>
      <c r="L1009" s="152" t="s">
        <v>39</v>
      </c>
      <c r="M1009" s="153" t="s">
        <v>40</v>
      </c>
      <c r="N1009" s="104" t="s">
        <v>21</v>
      </c>
      <c r="O1009" s="105"/>
      <c r="P1009" s="154" t="s">
        <v>22</v>
      </c>
      <c r="Q1009" s="155"/>
      <c r="R1009" s="4"/>
    </row>
    <row r="1010" spans="1:18">
      <c r="A1010" s="1">
        <f t="shared" si="34"/>
        <v>0</v>
      </c>
      <c r="B1010" s="2" t="s">
        <v>41</v>
      </c>
      <c r="C1010" s="8"/>
      <c r="D1010" s="109" t="str">
        <f>IFERROR(INDEX('[239]MANO DE OBRA'!B:B,MATCH(B1010,'[239]MANO DE OBRA'!A:A,0)),"")</f>
        <v>OFICIAL</v>
      </c>
      <c r="E1010" s="110"/>
      <c r="F1010" s="110"/>
      <c r="G1010" s="110"/>
      <c r="H1010" s="110"/>
      <c r="I1010" s="110"/>
      <c r="J1010" s="111"/>
      <c r="K1010" s="156">
        <f>IFERROR(INDEX('[239]MANO DE OBRA'!D:D,MATCH(B1010,'[239]MANO DE OBRA'!A:A,0)),"")</f>
        <v>95930</v>
      </c>
      <c r="L1010" s="157">
        <f>+IF(D1010&lt;&gt;"",'[239]FACTOR PRESTACIONAL'!$E$21," ")</f>
        <v>1.95</v>
      </c>
      <c r="M1010" s="158">
        <f>IFERROR(K1010*L1010," ")</f>
        <v>187063.5</v>
      </c>
      <c r="N1010" s="159">
        <v>3</v>
      </c>
      <c r="O1010" s="160"/>
      <c r="P1010" s="161">
        <f>IFERROR(ROUND(M1010/N1010,2)," ")</f>
        <v>62354.5</v>
      </c>
      <c r="Q1010" s="162"/>
      <c r="R1010" s="4"/>
    </row>
    <row r="1011" spans="1:18">
      <c r="A1011" s="1">
        <f t="shared" si="34"/>
        <v>0</v>
      </c>
      <c r="B1011" s="2" t="s">
        <v>81</v>
      </c>
      <c r="C1011" s="8"/>
      <c r="D1011" s="109" t="str">
        <f>IFERROR(INDEX('[239]MANO DE OBRA'!B:B,MATCH(B1011,'[239]MANO DE OBRA'!A:A,0)),"")</f>
        <v>AYUDANTE (1)</v>
      </c>
      <c r="E1011" s="110"/>
      <c r="F1011" s="110"/>
      <c r="G1011" s="110"/>
      <c r="H1011" s="110"/>
      <c r="I1011" s="110"/>
      <c r="J1011" s="111"/>
      <c r="K1011" s="156">
        <f>IFERROR(INDEX('[239]MANO DE OBRA'!D:D,MATCH(B1011,'[239]MANO DE OBRA'!A:A,0)),"")</f>
        <v>71433</v>
      </c>
      <c r="L1011" s="157">
        <f>+IF(D1011&lt;&gt;"",'[239]FACTOR PRESTACIONAL'!$E$21," ")</f>
        <v>1.95</v>
      </c>
      <c r="M1011" s="158">
        <f>IFERROR(K1011*L1011," ")</f>
        <v>139294.35</v>
      </c>
      <c r="N1011" s="159">
        <v>3</v>
      </c>
      <c r="O1011" s="160"/>
      <c r="P1011" s="161">
        <f>IFERROR(ROUND(M1011/N1011,2)," ")</f>
        <v>46431.45</v>
      </c>
      <c r="Q1011" s="162"/>
      <c r="R1011" s="4"/>
    </row>
    <row r="1012" spans="1:18">
      <c r="A1012" s="1">
        <f t="shared" si="34"/>
        <v>0</v>
      </c>
      <c r="B1012" s="2"/>
      <c r="C1012" s="8"/>
      <c r="D1012" s="109" t="str">
        <f>IFERROR(INDEX('[239]MANO DE OBRA'!B:B,MATCH(B1012,'[239]MANO DE OBRA'!A:A,0)),"")</f>
        <v/>
      </c>
      <c r="E1012" s="110"/>
      <c r="F1012" s="110"/>
      <c r="G1012" s="110"/>
      <c r="H1012" s="110"/>
      <c r="I1012" s="110"/>
      <c r="J1012" s="111"/>
      <c r="K1012" s="156" t="str">
        <f>IFERROR(INDEX('[239]MANO DE OBRA'!D:D,MATCH(B1012,'[239]MANO DE OBRA'!A:A,0)),"")</f>
        <v/>
      </c>
      <c r="L1012" s="157" t="str">
        <f>+IF(D1012&lt;&gt;"",'[239]FACTOR PRESTACIONAL'!$E$21," ")</f>
        <v xml:space="preserve"> </v>
      </c>
      <c r="M1012" s="158" t="str">
        <f>IFERROR(K1012*L1012," ")</f>
        <v xml:space="preserve"> </v>
      </c>
      <c r="N1012" s="159"/>
      <c r="O1012" s="160"/>
      <c r="P1012" s="161" t="str">
        <f>IFERROR(ROUND(M1012/N1012,2)," ")</f>
        <v xml:space="preserve"> </v>
      </c>
      <c r="Q1012" s="162"/>
      <c r="R1012" s="4"/>
    </row>
    <row r="1013" spans="1:18">
      <c r="A1013" s="1">
        <f t="shared" si="34"/>
        <v>0</v>
      </c>
      <c r="B1013" s="2"/>
      <c r="C1013" s="8"/>
      <c r="D1013" s="109" t="str">
        <f>IFERROR(INDEX('[239]MANO DE OBRA'!B:B,MATCH(B1013,'[239]MANO DE OBRA'!A:A,0)),"")</f>
        <v/>
      </c>
      <c r="E1013" s="110"/>
      <c r="F1013" s="110"/>
      <c r="G1013" s="110"/>
      <c r="H1013" s="110"/>
      <c r="I1013" s="110"/>
      <c r="J1013" s="111"/>
      <c r="K1013" s="156" t="str">
        <f>IFERROR(INDEX('[239]MANO DE OBRA'!D:D,MATCH(B1013,'[239]MANO DE OBRA'!A:A,0)),"")</f>
        <v/>
      </c>
      <c r="L1013" s="157" t="str">
        <f>+IF(D1013&lt;&gt;"",'[239]FACTOR PRESTACIONAL'!$E$21," ")</f>
        <v xml:space="preserve"> </v>
      </c>
      <c r="M1013" s="158" t="str">
        <f>IFERROR(K1013*L1013," ")</f>
        <v xml:space="preserve"> </v>
      </c>
      <c r="N1013" s="159"/>
      <c r="O1013" s="160"/>
      <c r="P1013" s="161" t="str">
        <f>IFERROR(ROUND(M1013/N1013,2)," ")</f>
        <v xml:space="preserve"> </v>
      </c>
      <c r="Q1013" s="162"/>
      <c r="R1013" s="4"/>
    </row>
    <row r="1014" spans="1:18" ht="15.75" thickBot="1">
      <c r="A1014" s="1">
        <f t="shared" si="34"/>
        <v>0</v>
      </c>
      <c r="B1014" s="2"/>
      <c r="C1014" s="8"/>
      <c r="D1014" s="109" t="str">
        <f>IFERROR(INDEX('[239]MANO DE OBRA'!B:B,MATCH(B1014,'[239]MANO DE OBRA'!A:A,0)),"")</f>
        <v/>
      </c>
      <c r="E1014" s="110"/>
      <c r="F1014" s="110"/>
      <c r="G1014" s="110"/>
      <c r="H1014" s="110"/>
      <c r="I1014" s="110"/>
      <c r="J1014" s="111"/>
      <c r="K1014" s="156" t="str">
        <f>IFERROR(INDEX('[239]MANO DE OBRA'!D:D,MATCH(B1014,'[239]MANO DE OBRA'!A:A,0)),"")</f>
        <v/>
      </c>
      <c r="L1014" s="157" t="str">
        <f>+IF(D1014&lt;&gt;"",'[239]FACTOR PRESTACIONAL'!$E$21," ")</f>
        <v xml:space="preserve"> </v>
      </c>
      <c r="M1014" s="158" t="str">
        <f>IFERROR(K1014*L1014," ")</f>
        <v xml:space="preserve"> </v>
      </c>
      <c r="N1014" s="159"/>
      <c r="O1014" s="160"/>
      <c r="P1014" s="161" t="str">
        <f>IFERROR(ROUND(M1014/N1014,2)," ")</f>
        <v xml:space="preserve"> </v>
      </c>
      <c r="Q1014" s="119"/>
      <c r="R1014" s="4"/>
    </row>
    <row r="1015" spans="1:18" ht="15.75" thickBot="1">
      <c r="A1015" s="1">
        <f t="shared" si="34"/>
        <v>0</v>
      </c>
      <c r="B1015" s="2"/>
      <c r="C1015" s="8"/>
      <c r="D1015" s="128" t="s">
        <v>24</v>
      </c>
      <c r="E1015" s="129"/>
      <c r="F1015" s="129"/>
      <c r="G1015" s="129"/>
      <c r="H1015" s="129"/>
      <c r="I1015" s="129"/>
      <c r="J1015" s="129"/>
      <c r="K1015" s="129"/>
      <c r="L1015" s="129"/>
      <c r="M1015" s="129"/>
      <c r="N1015" s="129"/>
      <c r="O1015" s="130"/>
      <c r="P1015" s="131">
        <f>SUM(P1010:P1014)</f>
        <v>108785.95</v>
      </c>
      <c r="Q1015" s="119"/>
      <c r="R1015" s="4"/>
    </row>
    <row r="1016" spans="1:18" ht="15.75" thickBot="1">
      <c r="A1016" s="1">
        <f t="shared" si="34"/>
        <v>0</v>
      </c>
      <c r="B1016" s="2"/>
      <c r="C1016" s="8"/>
      <c r="D1016" s="87"/>
      <c r="E1016" s="20"/>
      <c r="F1016" s="20"/>
      <c r="G1016" s="20"/>
      <c r="H1016" s="20"/>
      <c r="I1016" s="20"/>
      <c r="J1016" s="20"/>
      <c r="K1016" s="20"/>
      <c r="L1016" s="20"/>
      <c r="M1016" s="20"/>
      <c r="N1016" s="20"/>
      <c r="O1016" s="20"/>
      <c r="P1016" s="88"/>
      <c r="Q1016" s="13"/>
      <c r="R1016" s="4"/>
    </row>
    <row r="1017" spans="1:18" ht="15.75" thickBot="1">
      <c r="A1017" s="1"/>
      <c r="B1017" s="2"/>
      <c r="C1017" s="8"/>
      <c r="D1017" s="163" t="s">
        <v>43</v>
      </c>
      <c r="E1017" s="164"/>
      <c r="F1017" s="164"/>
      <c r="G1017" s="164"/>
      <c r="H1017" s="164"/>
      <c r="I1017" s="164"/>
      <c r="J1017" s="164"/>
      <c r="K1017" s="164"/>
      <c r="L1017" s="164"/>
      <c r="M1017" s="164"/>
      <c r="N1017" s="164"/>
      <c r="O1017" s="165"/>
      <c r="P1017" s="166">
        <f>+P1015+P1007+P1000+P982</f>
        <v>239453.22</v>
      </c>
      <c r="Q1017" s="167"/>
      <c r="R1017" s="168"/>
    </row>
    <row r="1018" spans="1:18" ht="15.75" thickBot="1">
      <c r="A1018" s="1"/>
      <c r="B1018" s="2"/>
      <c r="C1018" s="8"/>
      <c r="D1018" s="169"/>
      <c r="E1018" s="170"/>
      <c r="F1018" s="170"/>
      <c r="G1018" s="170"/>
      <c r="H1018" s="170"/>
      <c r="I1018" s="170"/>
      <c r="J1018" s="170"/>
      <c r="K1018" s="170"/>
      <c r="L1018" s="170"/>
      <c r="M1018" s="170"/>
      <c r="N1018" s="170"/>
      <c r="O1018" s="170"/>
      <c r="P1018" s="171"/>
      <c r="Q1018" s="100"/>
      <c r="R1018" s="4"/>
    </row>
    <row r="1019" spans="1:18">
      <c r="A1019" s="1"/>
      <c r="B1019" s="2"/>
      <c r="C1019" s="8"/>
      <c r="D1019" s="172" t="s">
        <v>73</v>
      </c>
      <c r="E1019" s="173"/>
      <c r="F1019" s="173"/>
      <c r="G1019" s="173"/>
      <c r="H1019" s="173"/>
      <c r="I1019" s="173"/>
      <c r="J1019" s="173"/>
      <c r="K1019" s="141"/>
      <c r="L1019" s="174"/>
      <c r="M1019" s="153" t="s">
        <v>44</v>
      </c>
      <c r="N1019" s="175" t="s">
        <v>45</v>
      </c>
      <c r="O1019" s="176"/>
      <c r="P1019" s="154"/>
      <c r="Q1019" s="155"/>
      <c r="R1019" s="4"/>
    </row>
    <row r="1020" spans="1:18">
      <c r="A1020" s="1"/>
      <c r="B1020" s="2"/>
      <c r="C1020" s="8"/>
      <c r="D1020" s="109" t="s">
        <v>65</v>
      </c>
      <c r="E1020" s="110"/>
      <c r="F1020" s="110"/>
      <c r="G1020" s="110"/>
      <c r="H1020" s="110"/>
      <c r="I1020" s="110"/>
      <c r="J1020" s="110"/>
      <c r="K1020" s="177"/>
      <c r="L1020" s="178"/>
      <c r="M1020" s="179">
        <f>+[239]INICIO!$F$10</f>
        <v>0.24</v>
      </c>
      <c r="N1020" s="180">
        <f>ROUND(M1020*P1017,2)</f>
        <v>57468.77</v>
      </c>
      <c r="O1020" s="181"/>
      <c r="P1020" s="182"/>
      <c r="Q1020" s="119"/>
      <c r="R1020" s="4"/>
    </row>
    <row r="1021" spans="1:18">
      <c r="A1021" s="1"/>
      <c r="B1021" s="2"/>
      <c r="C1021" s="8"/>
      <c r="D1021" s="183" t="s">
        <v>67</v>
      </c>
      <c r="E1021" s="61"/>
      <c r="F1021" s="61"/>
      <c r="G1021" s="61"/>
      <c r="H1021" s="61"/>
      <c r="I1021" s="61"/>
      <c r="J1021" s="61"/>
      <c r="K1021" s="177"/>
      <c r="L1021" s="178"/>
      <c r="M1021" s="179">
        <f>+[239]INICIO!$F$11</f>
        <v>0.02</v>
      </c>
      <c r="N1021" s="180">
        <f>ROUND(M1021*P1017,2)</f>
        <v>4789.0600000000004</v>
      </c>
      <c r="O1021" s="181"/>
      <c r="P1021" s="182"/>
      <c r="Q1021" s="119"/>
      <c r="R1021" s="4"/>
    </row>
    <row r="1022" spans="1:18" ht="15.75" thickBot="1">
      <c r="A1022" s="1"/>
      <c r="B1022" s="2"/>
      <c r="C1022" s="8"/>
      <c r="D1022" s="77" t="s">
        <v>69</v>
      </c>
      <c r="E1022" s="78"/>
      <c r="F1022" s="78"/>
      <c r="G1022" s="78"/>
      <c r="H1022" s="78"/>
      <c r="I1022" s="78"/>
      <c r="J1022" s="78"/>
      <c r="K1022" s="184"/>
      <c r="L1022" s="185"/>
      <c r="M1022" s="179">
        <f>+[239]INICIO!$F$12</f>
        <v>7.0000000000000007E-2</v>
      </c>
      <c r="N1022" s="180">
        <f>ROUND(M1022*P1017,2)</f>
        <v>16761.73</v>
      </c>
      <c r="O1022" s="181"/>
      <c r="P1022" s="182"/>
      <c r="Q1022" s="119"/>
      <c r="R1022" s="4"/>
    </row>
    <row r="1023" spans="1:18" ht="15.75" thickBot="1">
      <c r="A1023" s="1"/>
      <c r="B1023" s="2"/>
      <c r="C1023" s="8"/>
      <c r="D1023" s="128"/>
      <c r="E1023" s="129"/>
      <c r="F1023" s="129"/>
      <c r="G1023" s="129"/>
      <c r="H1023" s="129"/>
      <c r="I1023" s="129"/>
      <c r="J1023" s="129"/>
      <c r="K1023" s="129"/>
      <c r="L1023" s="129"/>
      <c r="M1023" s="129"/>
      <c r="N1023" s="129"/>
      <c r="O1023" s="130"/>
      <c r="P1023" s="131">
        <f>SUM(N1020:N1022)</f>
        <v>79019.56</v>
      </c>
      <c r="Q1023" s="186"/>
      <c r="R1023" s="4"/>
    </row>
    <row r="1024" spans="1:18" ht="15.75" thickBot="1">
      <c r="A1024" s="1"/>
      <c r="B1024" s="2"/>
      <c r="C1024" s="8"/>
      <c r="D1024" s="87"/>
      <c r="E1024" s="20"/>
      <c r="F1024" s="20"/>
      <c r="G1024" s="20"/>
      <c r="H1024" s="20"/>
      <c r="I1024" s="20"/>
      <c r="J1024" s="20"/>
      <c r="K1024" s="20"/>
      <c r="L1024" s="20"/>
      <c r="M1024" s="20"/>
      <c r="N1024" s="20"/>
      <c r="O1024" s="20"/>
      <c r="P1024" s="88"/>
      <c r="Q1024" s="13"/>
      <c r="R1024" s="4"/>
    </row>
    <row r="1025" spans="1:18" ht="15.75" thickBot="1">
      <c r="A1025" s="1"/>
      <c r="B1025" s="2"/>
      <c r="C1025" s="8"/>
      <c r="D1025" s="187" t="s">
        <v>46</v>
      </c>
      <c r="E1025" s="188"/>
      <c r="F1025" s="188"/>
      <c r="G1025" s="188"/>
      <c r="H1025" s="188"/>
      <c r="I1025" s="188"/>
      <c r="J1025" s="188"/>
      <c r="K1025" s="188"/>
      <c r="L1025" s="188"/>
      <c r="M1025" s="188"/>
      <c r="N1025" s="188"/>
      <c r="O1025" s="189"/>
      <c r="P1025" s="166">
        <f>ROUND(P1023+P1017,0)</f>
        <v>318473</v>
      </c>
      <c r="Q1025" s="186"/>
      <c r="R1025" s="4"/>
    </row>
    <row r="1026" spans="1:18">
      <c r="A1026" s="1"/>
      <c r="B1026" s="2"/>
      <c r="C1026" s="8"/>
      <c r="D1026" s="80"/>
      <c r="E1026" s="81"/>
      <c r="F1026" s="81"/>
      <c r="G1026" s="81"/>
      <c r="H1026" s="81"/>
      <c r="I1026" s="81"/>
      <c r="J1026" s="81"/>
      <c r="K1026" s="81"/>
      <c r="L1026" s="81"/>
      <c r="M1026" s="81"/>
      <c r="N1026" s="81"/>
      <c r="O1026" s="81"/>
      <c r="P1026" s="82"/>
      <c r="Q1026" s="13"/>
      <c r="R1026" s="4"/>
    </row>
    <row r="1027" spans="1:18">
      <c r="A1027" s="1"/>
      <c r="B1027" s="2"/>
      <c r="C1027" s="8"/>
      <c r="D1027" s="87"/>
      <c r="E1027" s="20"/>
      <c r="F1027" s="20"/>
      <c r="G1027" s="20"/>
      <c r="H1027" s="20"/>
      <c r="I1027" s="20"/>
      <c r="J1027" s="20"/>
      <c r="K1027" s="20"/>
      <c r="L1027" s="20"/>
      <c r="M1027" s="20"/>
      <c r="N1027" s="20"/>
      <c r="O1027" s="20"/>
      <c r="P1027" s="88"/>
      <c r="Q1027" s="13"/>
      <c r="R1027" s="4"/>
    </row>
    <row r="1028" spans="1:18">
      <c r="A1028" s="1"/>
      <c r="B1028" s="2"/>
      <c r="C1028" s="8"/>
      <c r="D1028" s="87"/>
      <c r="E1028" s="20"/>
      <c r="F1028" s="20"/>
      <c r="G1028" s="20"/>
      <c r="H1028" s="20"/>
      <c r="I1028" s="20"/>
      <c r="J1028" s="20"/>
      <c r="K1028" s="20"/>
      <c r="L1028" s="20"/>
      <c r="M1028" s="20"/>
      <c r="N1028" s="20"/>
      <c r="O1028" s="20"/>
      <c r="P1028" s="88"/>
      <c r="Q1028" s="13"/>
      <c r="R1028" s="4"/>
    </row>
    <row r="1029" spans="1:18">
      <c r="A1029" s="1"/>
      <c r="B1029" s="2"/>
      <c r="C1029" s="8"/>
      <c r="D1029" s="87"/>
      <c r="E1029" s="20"/>
      <c r="F1029" s="20"/>
      <c r="G1029" s="20"/>
      <c r="H1029" s="20"/>
      <c r="I1029" s="20"/>
      <c r="J1029" s="20"/>
      <c r="K1029" s="20"/>
      <c r="L1029" s="20"/>
      <c r="M1029" s="20"/>
      <c r="N1029" s="20"/>
      <c r="O1029" s="20"/>
      <c r="P1029" s="88"/>
      <c r="Q1029" s="13"/>
      <c r="R1029" s="4"/>
    </row>
    <row r="1030" spans="1:18">
      <c r="A1030" s="1"/>
      <c r="B1030" s="2"/>
      <c r="C1030" s="8"/>
      <c r="D1030" s="219" t="str">
        <f>+[239]INICIO!$B$13</f>
        <v>Proyectó:</v>
      </c>
      <c r="E1030" s="49"/>
      <c r="F1030" s="49"/>
      <c r="G1030" s="49"/>
      <c r="H1030" s="49"/>
      <c r="I1030" s="49"/>
      <c r="J1030" s="49"/>
      <c r="K1030" s="20"/>
      <c r="L1030" s="69" t="str">
        <f>+[239]INICIO!$B$16</f>
        <v>Aprobó:</v>
      </c>
      <c r="M1030" s="49"/>
      <c r="N1030" s="49"/>
      <c r="O1030" s="49"/>
      <c r="P1030" s="88"/>
      <c r="Q1030" s="13"/>
      <c r="R1030" s="4"/>
    </row>
    <row r="1031" spans="1:18">
      <c r="A1031" s="1"/>
      <c r="B1031" s="2"/>
      <c r="C1031" s="8"/>
      <c r="D1031" s="87"/>
      <c r="E1031" s="20" t="str">
        <f>+Hoja2!C$13</f>
        <v>HELMER EDUARDO BECERRA SANTANDER</v>
      </c>
      <c r="F1031" s="20"/>
      <c r="G1031" s="20"/>
      <c r="H1031" s="20"/>
      <c r="I1031" s="20"/>
      <c r="J1031" s="20"/>
      <c r="K1031" s="20"/>
      <c r="L1031" s="20"/>
      <c r="M1031" s="20" t="str">
        <f>+Hoja2!$C$16</f>
        <v>JESÚS IVÁN QUIÑONES RUEDA</v>
      </c>
      <c r="N1031" s="20"/>
      <c r="O1031" s="20"/>
      <c r="P1031" s="88"/>
      <c r="Q1031" s="190"/>
      <c r="R1031" s="4"/>
    </row>
    <row r="1032" spans="1:18">
      <c r="A1032" s="1"/>
      <c r="B1032" s="2"/>
      <c r="C1032" s="8"/>
      <c r="D1032" s="87"/>
      <c r="E1032" s="20" t="str">
        <f>+Hoja2!C$14</f>
        <v>APOYO SEC. DE PLANEACIÓN Y OBRAS PÚBLICAS</v>
      </c>
      <c r="F1032" s="20"/>
      <c r="G1032" s="20"/>
      <c r="H1032" s="20"/>
      <c r="I1032" s="20"/>
      <c r="J1032" s="20"/>
      <c r="K1032" s="20"/>
      <c r="L1032" s="20"/>
      <c r="M1032" s="20" t="str">
        <f>+Hoja2!$C$17</f>
        <v>SECRETARIO DE PLANEACIÓN Y OBRAS PUBLICAS</v>
      </c>
      <c r="N1032" s="20"/>
      <c r="O1032" s="20"/>
      <c r="P1032" s="88"/>
      <c r="Q1032" s="190"/>
      <c r="R1032" s="4"/>
    </row>
    <row r="1033" spans="1:18">
      <c r="A1033" s="1"/>
      <c r="B1033" s="2"/>
      <c r="C1033" s="8"/>
      <c r="D1033" s="68"/>
      <c r="E1033" s="20" t="str">
        <f>+Hoja2!C$15</f>
        <v>123769-0701671 NTS</v>
      </c>
      <c r="F1033" s="191"/>
      <c r="G1033" s="191"/>
      <c r="H1033" s="191"/>
      <c r="I1033" s="20"/>
      <c r="J1033" s="191"/>
      <c r="K1033" s="191"/>
      <c r="L1033" s="191"/>
      <c r="M1033" s="192" t="str">
        <f>+Hoja2!C$18</f>
        <v>A21382020-1090480860</v>
      </c>
      <c r="N1033" s="191"/>
      <c r="O1033" s="191"/>
      <c r="P1033" s="193"/>
      <c r="Q1033" s="194"/>
      <c r="R1033" s="4"/>
    </row>
    <row r="1034" spans="1:18" ht="16.5" thickBot="1">
      <c r="A1034" s="1"/>
      <c r="B1034" s="2"/>
      <c r="C1034" s="8"/>
      <c r="D1034" s="195"/>
      <c r="E1034" s="150"/>
      <c r="F1034" s="150"/>
      <c r="G1034" s="150"/>
      <c r="H1034" s="150"/>
      <c r="I1034" s="150"/>
      <c r="J1034" s="150"/>
      <c r="K1034" s="150"/>
      <c r="L1034" s="150"/>
      <c r="M1034" s="150"/>
      <c r="N1034" s="150"/>
      <c r="O1034" s="150"/>
      <c r="P1034" s="196"/>
      <c r="Q1034" s="197"/>
      <c r="R1034" s="4"/>
    </row>
    <row r="1035" spans="1:18" ht="15.75" thickBot="1">
      <c r="A1035" s="1"/>
      <c r="B1035" s="2"/>
      <c r="C1035" s="198"/>
      <c r="D1035" s="199"/>
      <c r="E1035" s="199"/>
      <c r="F1035" s="199"/>
      <c r="G1035" s="199"/>
      <c r="H1035" s="199"/>
      <c r="I1035" s="199"/>
      <c r="J1035" s="199"/>
      <c r="K1035" s="199"/>
      <c r="L1035" s="199"/>
      <c r="M1035" s="199"/>
      <c r="N1035" s="199"/>
      <c r="O1035" s="199"/>
      <c r="P1035" s="199"/>
      <c r="Q1035" s="200"/>
      <c r="R1035" s="4"/>
    </row>
    <row r="1036" spans="1:18" ht="16.5" thickTop="1" thickBot="1">
      <c r="A1036" s="1"/>
      <c r="B1036" s="2"/>
      <c r="C1036" s="3"/>
      <c r="D1036" s="4"/>
      <c r="E1036" s="4"/>
      <c r="F1036" s="4"/>
      <c r="G1036" s="4"/>
      <c r="H1036" s="4"/>
      <c r="I1036" s="4"/>
      <c r="J1036" s="4"/>
      <c r="K1036" s="4"/>
      <c r="L1036" s="4"/>
      <c r="M1036" s="4"/>
      <c r="N1036" s="4"/>
      <c r="O1036" s="4"/>
      <c r="P1036" s="4"/>
      <c r="Q1036" s="4"/>
      <c r="R1036" s="4"/>
    </row>
    <row r="1037" spans="1:18" ht="15.75" thickTop="1">
      <c r="A1037" s="1"/>
      <c r="B1037" s="2"/>
      <c r="C1037" s="5"/>
      <c r="D1037" s="6"/>
      <c r="E1037" s="6"/>
      <c r="F1037" s="6"/>
      <c r="G1037" s="6"/>
      <c r="H1037" s="6"/>
      <c r="I1037" s="6"/>
      <c r="J1037" s="6"/>
      <c r="K1037" s="6"/>
      <c r="L1037" s="6"/>
      <c r="M1037" s="6"/>
      <c r="N1037" s="6"/>
      <c r="O1037" s="6"/>
      <c r="P1037" s="6"/>
      <c r="Q1037" s="7"/>
      <c r="R1037" s="4"/>
    </row>
    <row r="1038" spans="1:18" ht="24">
      <c r="A1038" s="1"/>
      <c r="B1038" s="2"/>
      <c r="C1038" s="8"/>
      <c r="D1038" s="9" t="str">
        <f>+[239]INICIO!$C$8</f>
        <v>Análisis de Precios Unitarios- Secretaria de Planeación y Obras Publicas de Cubará, Boyacá.</v>
      </c>
      <c r="E1038" s="10"/>
      <c r="F1038" s="10"/>
      <c r="G1038" s="10"/>
      <c r="H1038" s="11"/>
      <c r="I1038" s="12"/>
      <c r="J1038" s="12"/>
      <c r="K1038" s="12"/>
      <c r="L1038" s="12"/>
      <c r="M1038" s="12"/>
      <c r="N1038" s="12"/>
      <c r="O1038" s="12"/>
      <c r="P1038" s="12"/>
      <c r="Q1038" s="13"/>
      <c r="R1038" s="4"/>
    </row>
    <row r="1039" spans="1:18">
      <c r="A1039" s="1"/>
      <c r="B1039" s="2"/>
      <c r="C1039" s="8"/>
      <c r="D1039" s="14" t="s">
        <v>0</v>
      </c>
      <c r="E1039" s="15" t="str">
        <f>+[239]INICIO!$C$7</f>
        <v>CCE-EICP-FM-14</v>
      </c>
      <c r="F1039" s="16"/>
      <c r="G1039" s="17" t="str">
        <f>+[239]INICIO!$B$6</f>
        <v>VERSIÓN</v>
      </c>
      <c r="H1039" s="14">
        <f>+[239]INICIO!$C$6</f>
        <v>1</v>
      </c>
      <c r="I1039" s="12"/>
      <c r="J1039" s="12"/>
      <c r="K1039" s="12"/>
      <c r="L1039" s="12"/>
      <c r="M1039" s="12"/>
      <c r="N1039" s="12"/>
      <c r="O1039" s="12"/>
      <c r="P1039" s="12"/>
      <c r="Q1039" s="13"/>
      <c r="R1039" s="4"/>
    </row>
    <row r="1040" spans="1:18">
      <c r="A1040" s="1"/>
      <c r="B1040" s="2"/>
      <c r="C1040" s="8"/>
      <c r="D1040" s="18"/>
      <c r="E1040" s="19"/>
      <c r="F1040" s="18"/>
      <c r="G1040" s="19"/>
      <c r="H1040" s="12"/>
      <c r="I1040" s="12"/>
      <c r="J1040" s="12"/>
      <c r="K1040" s="12"/>
      <c r="L1040" s="12"/>
      <c r="M1040" s="12"/>
      <c r="N1040" s="12"/>
      <c r="O1040" s="12"/>
      <c r="P1040" s="12"/>
      <c r="Q1040" s="13"/>
      <c r="R1040" s="4"/>
    </row>
    <row r="1041" spans="1:18" ht="15.75" thickBot="1">
      <c r="A1041" s="1"/>
      <c r="B1041" s="2"/>
      <c r="C1041" s="8"/>
      <c r="D1041" s="20"/>
      <c r="E1041" s="20"/>
      <c r="F1041" s="20"/>
      <c r="G1041" s="20"/>
      <c r="H1041" s="20"/>
      <c r="I1041" s="20"/>
      <c r="J1041" s="20"/>
      <c r="K1041" s="20"/>
      <c r="L1041" s="20"/>
      <c r="M1041" s="20"/>
      <c r="N1041" s="20"/>
      <c r="O1041" s="20"/>
      <c r="P1041" s="20"/>
      <c r="Q1041" s="13"/>
      <c r="R1041" s="4"/>
    </row>
    <row r="1042" spans="1:18">
      <c r="A1042" s="1"/>
      <c r="B1042" s="2"/>
      <c r="C1042" s="8"/>
      <c r="D1042" s="21"/>
      <c r="E1042" s="22"/>
      <c r="F1042" s="23"/>
      <c r="G1042" s="23"/>
      <c r="H1042" s="23"/>
      <c r="I1042" s="23"/>
      <c r="J1042" s="23"/>
      <c r="K1042" s="23"/>
      <c r="L1042" s="24"/>
      <c r="M1042" s="25"/>
      <c r="N1042" s="26"/>
      <c r="O1042" s="26"/>
      <c r="P1042" s="27"/>
      <c r="Q1042" s="28"/>
      <c r="R1042" s="4"/>
    </row>
    <row r="1043" spans="1:18">
      <c r="A1043" s="1"/>
      <c r="B1043" s="2"/>
      <c r="C1043" s="8"/>
      <c r="D1043" s="29"/>
      <c r="E1043" s="30" t="s">
        <v>1</v>
      </c>
      <c r="F1043" s="31"/>
      <c r="G1043" s="31"/>
      <c r="H1043" s="31"/>
      <c r="I1043" s="31"/>
      <c r="J1043" s="31"/>
      <c r="K1043" s="31"/>
      <c r="L1043" s="32"/>
      <c r="M1043" s="33"/>
      <c r="N1043" s="34"/>
      <c r="O1043" s="34"/>
      <c r="P1043" s="35"/>
      <c r="Q1043" s="28"/>
      <c r="R1043" s="4"/>
    </row>
    <row r="1044" spans="1:18">
      <c r="A1044" s="1"/>
      <c r="B1044" s="2"/>
      <c r="C1044" s="8"/>
      <c r="D1044" s="29"/>
      <c r="E1044" s="36"/>
      <c r="F1044" s="37"/>
      <c r="G1044" s="37"/>
      <c r="H1044" s="37"/>
      <c r="I1044" s="37"/>
      <c r="J1044" s="37"/>
      <c r="K1044" s="37"/>
      <c r="L1044" s="38"/>
      <c r="M1044" s="39"/>
      <c r="N1044" s="40"/>
      <c r="O1044" s="41"/>
      <c r="P1044" s="42"/>
      <c r="Q1044" s="28"/>
      <c r="R1044" s="4"/>
    </row>
    <row r="1045" spans="1:18">
      <c r="A1045" s="1"/>
      <c r="B1045" s="2"/>
      <c r="C1045" s="8"/>
      <c r="D1045" s="29"/>
      <c r="E1045" s="36"/>
      <c r="F1045" s="37"/>
      <c r="G1045" s="37"/>
      <c r="H1045" s="37"/>
      <c r="I1045" s="37"/>
      <c r="J1045" s="37"/>
      <c r="K1045" s="37"/>
      <c r="L1045" s="38"/>
      <c r="M1045" s="43" t="s">
        <v>2</v>
      </c>
      <c r="N1045" s="44"/>
      <c r="O1045" s="45">
        <f>+[239]INICIO!$C$6</f>
        <v>1</v>
      </c>
      <c r="P1045" s="46"/>
      <c r="Q1045" s="28"/>
      <c r="R1045" s="4"/>
    </row>
    <row r="1046" spans="1:18">
      <c r="A1046" s="1"/>
      <c r="B1046" s="2"/>
      <c r="C1046" s="8"/>
      <c r="D1046" s="29"/>
      <c r="E1046" s="36"/>
      <c r="F1046" s="37"/>
      <c r="G1046" s="37"/>
      <c r="H1046" s="37"/>
      <c r="I1046" s="37"/>
      <c r="J1046" s="37"/>
      <c r="K1046" s="37"/>
      <c r="L1046" s="38"/>
      <c r="M1046" s="47"/>
      <c r="N1046" s="48"/>
      <c r="O1046" s="49"/>
      <c r="P1046" s="50"/>
      <c r="Q1046" s="51"/>
      <c r="R1046" s="4"/>
    </row>
    <row r="1047" spans="1:18">
      <c r="A1047" s="1"/>
      <c r="B1047" s="2"/>
      <c r="C1047" s="8"/>
      <c r="D1047" s="29"/>
      <c r="E1047" s="52"/>
      <c r="F1047" s="53"/>
      <c r="G1047" s="53"/>
      <c r="H1047" s="53"/>
      <c r="I1047" s="53"/>
      <c r="J1047" s="53"/>
      <c r="K1047" s="53"/>
      <c r="L1047" s="54"/>
      <c r="M1047" s="39"/>
      <c r="N1047" s="55"/>
      <c r="O1047" s="55"/>
      <c r="P1047" s="56"/>
      <c r="Q1047" s="28"/>
      <c r="R1047" s="4"/>
    </row>
    <row r="1048" spans="1:18">
      <c r="A1048" s="1"/>
      <c r="B1048" s="2"/>
      <c r="C1048" s="8"/>
      <c r="D1048" s="29"/>
      <c r="E1048" s="52"/>
      <c r="F1048" s="53"/>
      <c r="G1048" s="53"/>
      <c r="H1048" s="53"/>
      <c r="I1048" s="53"/>
      <c r="J1048" s="53"/>
      <c r="K1048" s="53"/>
      <c r="L1048" s="54"/>
      <c r="M1048" s="43" t="s">
        <v>3</v>
      </c>
      <c r="N1048" s="43" t="str">
        <f>+VLOOKUP(D1059,'PRESUPUESTO OFICIAL '!C:Q,9,FALSE)</f>
        <v>28</v>
      </c>
      <c r="O1048" s="43" t="s">
        <v>4</v>
      </c>
      <c r="P1048" s="508" t="str">
        <f>+'PRESUPUESTO OFICIAL '!$M$122</f>
        <v>62</v>
      </c>
      <c r="Q1048" s="28"/>
      <c r="R1048" s="4"/>
    </row>
    <row r="1049" spans="1:18">
      <c r="A1049" s="1"/>
      <c r="B1049" s="2"/>
      <c r="C1049" s="8"/>
      <c r="D1049" s="29"/>
      <c r="E1049" s="30" t="s">
        <v>5</v>
      </c>
      <c r="F1049" s="31"/>
      <c r="G1049" s="31"/>
      <c r="H1049" s="31"/>
      <c r="I1049" s="31"/>
      <c r="J1049" s="31"/>
      <c r="K1049" s="31"/>
      <c r="L1049" s="32"/>
      <c r="M1049" s="43"/>
      <c r="N1049" s="57"/>
      <c r="O1049" s="57"/>
      <c r="P1049" s="58"/>
      <c r="Q1049" s="28"/>
      <c r="R1049" s="4"/>
    </row>
    <row r="1050" spans="1:18" ht="15.75" thickBot="1">
      <c r="A1050" s="1"/>
      <c r="B1050" s="2"/>
      <c r="C1050" s="8"/>
      <c r="D1050" s="59"/>
      <c r="E1050" s="60"/>
      <c r="F1050" s="60"/>
      <c r="G1050" s="60"/>
      <c r="H1050" s="60"/>
      <c r="I1050" s="60"/>
      <c r="J1050" s="60"/>
      <c r="K1050" s="60"/>
      <c r="L1050" s="60"/>
      <c r="M1050" s="60"/>
      <c r="N1050" s="61"/>
      <c r="O1050" s="61"/>
      <c r="P1050" s="62"/>
      <c r="Q1050" s="63"/>
      <c r="R1050" s="4"/>
    </row>
    <row r="1051" spans="1:18">
      <c r="A1051" s="1"/>
      <c r="B1051" s="2"/>
      <c r="C1051" s="8"/>
      <c r="D1051" s="64"/>
      <c r="E1051" s="65"/>
      <c r="F1051" s="65"/>
      <c r="G1051" s="65"/>
      <c r="H1051" s="65"/>
      <c r="I1051" s="65"/>
      <c r="J1051" s="65"/>
      <c r="K1051" s="65"/>
      <c r="L1051" s="65"/>
      <c r="M1051" s="66" t="s">
        <v>6</v>
      </c>
      <c r="N1051" s="66" t="s">
        <v>7</v>
      </c>
      <c r="O1051" s="66" t="s">
        <v>8</v>
      </c>
      <c r="P1051" s="67" t="s">
        <v>9</v>
      </c>
      <c r="Q1051" s="51"/>
      <c r="R1051" s="4"/>
    </row>
    <row r="1052" spans="1:18">
      <c r="A1052" s="1"/>
      <c r="B1052" s="2"/>
      <c r="C1052" s="8"/>
      <c r="D1052" s="68"/>
      <c r="E1052" s="69"/>
      <c r="F1052" s="69"/>
      <c r="G1052" s="69"/>
      <c r="H1052" s="69"/>
      <c r="I1052" s="69"/>
      <c r="J1052" s="69"/>
      <c r="K1052" s="69"/>
      <c r="L1052" s="69"/>
      <c r="M1052" s="70"/>
      <c r="N1052" s="71">
        <f>+Hoja2!B$5</f>
        <v>5</v>
      </c>
      <c r="O1052" s="71">
        <f>+Hoja2!C$5</f>
        <v>8</v>
      </c>
      <c r="P1052" s="72">
        <f>+Hoja2!D$5</f>
        <v>2026</v>
      </c>
      <c r="Q1052" s="73"/>
      <c r="R1052" s="4"/>
    </row>
    <row r="1053" spans="1:18">
      <c r="A1053" s="1"/>
      <c r="B1053" s="2"/>
      <c r="C1053" s="8"/>
      <c r="D1053" s="74"/>
      <c r="E1053" s="37"/>
      <c r="F1053" s="37"/>
      <c r="G1053" s="37"/>
      <c r="H1053" s="69"/>
      <c r="I1053" s="69"/>
      <c r="J1053" s="69"/>
      <c r="K1053" s="20"/>
      <c r="L1053" s="69"/>
      <c r="M1053" s="75"/>
      <c r="N1053" s="20"/>
      <c r="O1053" s="20"/>
      <c r="P1053" s="76"/>
      <c r="Q1053" s="73"/>
      <c r="R1053" s="4"/>
    </row>
    <row r="1054" spans="1:18" ht="15.75" thickBot="1">
      <c r="A1054" s="1"/>
      <c r="B1054" s="2"/>
      <c r="C1054" s="8"/>
      <c r="D1054" s="77"/>
      <c r="E1054" s="78"/>
      <c r="F1054" s="78"/>
      <c r="G1054" s="78"/>
      <c r="H1054" s="78"/>
      <c r="I1054" s="78"/>
      <c r="J1054" s="78"/>
      <c r="K1054" s="78"/>
      <c r="L1054" s="78"/>
      <c r="M1054" s="78"/>
      <c r="N1054" s="78"/>
      <c r="O1054" s="78"/>
      <c r="P1054" s="79"/>
      <c r="Q1054" s="13"/>
      <c r="R1054" s="4"/>
    </row>
    <row r="1055" spans="1:18" ht="15.75" thickBot="1">
      <c r="A1055" s="1"/>
      <c r="B1055" s="2"/>
      <c r="C1055" s="8"/>
      <c r="D1055" s="80"/>
      <c r="E1055" s="81"/>
      <c r="F1055" s="81"/>
      <c r="G1055" s="81"/>
      <c r="H1055" s="81"/>
      <c r="I1055" s="81"/>
      <c r="J1055" s="20"/>
      <c r="K1055" s="20"/>
      <c r="L1055" s="81"/>
      <c r="M1055" s="81"/>
      <c r="N1055" s="81"/>
      <c r="O1055" s="81"/>
      <c r="P1055" s="82"/>
      <c r="Q1055" s="13"/>
      <c r="R1055" s="4"/>
    </row>
    <row r="1056" spans="1:18">
      <c r="A1056" s="1"/>
      <c r="B1056" s="2"/>
      <c r="C1056" s="8"/>
      <c r="D1056" s="83" t="s">
        <v>10</v>
      </c>
      <c r="E1056" s="84"/>
      <c r="F1056" s="84"/>
      <c r="G1056" s="84"/>
      <c r="H1056" s="84"/>
      <c r="I1056" s="84"/>
      <c r="J1056" s="84"/>
      <c r="K1056" s="84"/>
      <c r="L1056" s="84"/>
      <c r="M1056" s="84"/>
      <c r="N1056" s="84"/>
      <c r="O1056" s="84"/>
      <c r="P1056" s="85"/>
      <c r="Q1056" s="86"/>
      <c r="R1056" s="4"/>
    </row>
    <row r="1057" spans="1:18" ht="15.75" thickBot="1">
      <c r="A1057" s="1"/>
      <c r="B1057" s="2"/>
      <c r="C1057" s="8"/>
      <c r="D1057" s="87"/>
      <c r="E1057" s="20"/>
      <c r="F1057" s="20"/>
      <c r="G1057" s="20"/>
      <c r="H1057" s="20"/>
      <c r="I1057" s="20"/>
      <c r="J1057" s="20"/>
      <c r="K1057" s="20"/>
      <c r="L1057" s="20"/>
      <c r="M1057" s="20"/>
      <c r="N1057" s="20"/>
      <c r="O1057" s="20"/>
      <c r="P1057" s="88"/>
      <c r="Q1057" s="13"/>
      <c r="R1057" s="4"/>
    </row>
    <row r="1058" spans="1:18">
      <c r="A1058" s="1" t="s">
        <v>11</v>
      </c>
      <c r="B1058" s="2" t="s">
        <v>12</v>
      </c>
      <c r="C1058" s="8"/>
      <c r="D1058" s="89" t="s">
        <v>13</v>
      </c>
      <c r="E1058" s="90" t="s">
        <v>14</v>
      </c>
      <c r="F1058" s="90"/>
      <c r="G1058" s="90"/>
      <c r="H1058" s="90"/>
      <c r="I1058" s="90"/>
      <c r="J1058" s="90"/>
      <c r="K1058" s="90"/>
      <c r="L1058" s="90"/>
      <c r="M1058" s="90"/>
      <c r="N1058" s="91" t="s">
        <v>15</v>
      </c>
      <c r="O1058" s="91"/>
      <c r="P1058" s="92" t="s">
        <v>16</v>
      </c>
      <c r="Q1058" s="93"/>
      <c r="R1058" s="4"/>
    </row>
    <row r="1059" spans="1:18" ht="15.75" thickBot="1">
      <c r="A1059" s="1"/>
      <c r="B1059" s="2"/>
      <c r="C1059" s="8"/>
      <c r="D1059" s="349">
        <f>+'PRESUPUESTO OFICIAL '!C46</f>
        <v>3.08</v>
      </c>
      <c r="E1059" s="94" t="str">
        <f>+VLOOKUP(D1059,'PRESUPUESTO OFICIAL '!C:H,2,FALSE)</f>
        <v>SUMINISTRO, FIGURADA Y AMARRE DE ACERO 60,000 PSI (420 Mpa)</v>
      </c>
      <c r="F1059" s="94"/>
      <c r="G1059" s="94"/>
      <c r="H1059" s="94"/>
      <c r="I1059" s="94"/>
      <c r="J1059" s="94"/>
      <c r="K1059" s="94"/>
      <c r="L1059" s="94"/>
      <c r="M1059" s="94"/>
      <c r="N1059" s="94" t="str">
        <f>+VLOOKUP(D1059,'PRESUPUESTO OFICIAL '!C:H,3,FALSE)</f>
        <v>KG</v>
      </c>
      <c r="O1059" s="95"/>
      <c r="P1059" s="96">
        <f>+VLOOKUP(D1059,'PRESUPUESTO OFICIAL '!C:H,4,FALSE)</f>
        <v>6290.78</v>
      </c>
      <c r="Q1059" s="97"/>
      <c r="R1059" s="98">
        <f>+P1111</f>
        <v>13885</v>
      </c>
    </row>
    <row r="1060" spans="1:18" ht="15.75" thickBot="1">
      <c r="A1060" s="1"/>
      <c r="B1060" s="2"/>
      <c r="C1060" s="8"/>
      <c r="D1060" s="74" t="s">
        <v>17</v>
      </c>
      <c r="E1060" s="37"/>
      <c r="F1060" s="37"/>
      <c r="G1060" s="37"/>
      <c r="H1060" s="37"/>
      <c r="I1060" s="37"/>
      <c r="J1060" s="37"/>
      <c r="K1060" s="37"/>
      <c r="L1060" s="37"/>
      <c r="M1060" s="37"/>
      <c r="N1060" s="37"/>
      <c r="O1060" s="37"/>
      <c r="P1060" s="99"/>
      <c r="Q1060" s="100"/>
      <c r="R1060" s="4"/>
    </row>
    <row r="1061" spans="1:18">
      <c r="A1061" s="1"/>
      <c r="B1061" s="2"/>
      <c r="C1061" s="8"/>
      <c r="D1061" s="101" t="s">
        <v>14</v>
      </c>
      <c r="E1061" s="102"/>
      <c r="F1061" s="102"/>
      <c r="G1061" s="102"/>
      <c r="H1061" s="103"/>
      <c r="I1061" s="104" t="s">
        <v>18</v>
      </c>
      <c r="J1061" s="102"/>
      <c r="K1061" s="104" t="s">
        <v>19</v>
      </c>
      <c r="L1061" s="105"/>
      <c r="M1061" s="106" t="s">
        <v>20</v>
      </c>
      <c r="N1061" s="104" t="s">
        <v>21</v>
      </c>
      <c r="O1061" s="105"/>
      <c r="P1061" s="107" t="s">
        <v>22</v>
      </c>
      <c r="Q1061" s="108"/>
      <c r="R1061" s="4"/>
    </row>
    <row r="1062" spans="1:18">
      <c r="A1062" s="1" t="s">
        <v>261</v>
      </c>
      <c r="B1062" s="2" t="s">
        <v>23</v>
      </c>
      <c r="C1062" s="8"/>
      <c r="D1062" s="109" t="str">
        <f>IFERROR(INDEX([239]EQUIPOS!B:B,MATCH(B1062,[239]EQUIPOS!A:A,0)),"")</f>
        <v>HERRAMIENTA MENOR (% M.O)</v>
      </c>
      <c r="E1062" s="110"/>
      <c r="F1062" s="110"/>
      <c r="G1062" s="110"/>
      <c r="H1062" s="111"/>
      <c r="I1062" s="112"/>
      <c r="J1062" s="111"/>
      <c r="K1062" s="113" t="str">
        <f>IFERROR(INDEX([239]EQUIPOS!C:C,MATCH(B1062,[239]EQUIPOS!A:A,0)),"")</f>
        <v>%</v>
      </c>
      <c r="L1062" s="114"/>
      <c r="M1062" s="115">
        <f>IFERROR(IF(D1062="HERRAMIENTA MENOR (% M.O)",P1101,INDEX([239]EQUIPOS!D:D,MATCH(B1062,[239]EQUIPOS!A:A,0))),"")</f>
        <v>4014.25</v>
      </c>
      <c r="N1062" s="116">
        <v>10</v>
      </c>
      <c r="O1062" s="117"/>
      <c r="P1062" s="118">
        <f t="shared" ref="P1062:P1067" si="36">IFERROR(ROUND(IF(D1062="HERRAMIENTA MENOR (% M.O)",N1062%*M1062,M1062/N1062),2)," ")</f>
        <v>401.43</v>
      </c>
      <c r="Q1062" s="119"/>
      <c r="R1062" s="4"/>
    </row>
    <row r="1063" spans="1:18">
      <c r="A1063" s="1">
        <f>+$A$2858</f>
        <v>0</v>
      </c>
      <c r="B1063" s="2"/>
      <c r="C1063" s="8"/>
      <c r="D1063" s="109" t="str">
        <f>IFERROR(INDEX([239]EQUIPOS!B:B,MATCH(B1063,[239]EQUIPOS!A:A,0)),"")</f>
        <v/>
      </c>
      <c r="E1063" s="110"/>
      <c r="F1063" s="110"/>
      <c r="G1063" s="110"/>
      <c r="H1063" s="111"/>
      <c r="I1063" s="112"/>
      <c r="J1063" s="111"/>
      <c r="K1063" s="113" t="str">
        <f>IFERROR(INDEX([239]EQUIPOS!C:C,MATCH(B1063,[239]EQUIPOS!A:A,0)),"")</f>
        <v/>
      </c>
      <c r="L1063" s="114"/>
      <c r="M1063" s="115" t="str">
        <f>IFERROR(IF(D1063="HERRAMIENTA MENOR (% M.O)",P1102,INDEX([239]EQUIPOS!D:D,MATCH(B1063,[239]EQUIPOS!A:A,0))),"")</f>
        <v/>
      </c>
      <c r="N1063" s="116"/>
      <c r="O1063" s="117"/>
      <c r="P1063" s="118" t="str">
        <f t="shared" si="36"/>
        <v xml:space="preserve"> </v>
      </c>
      <c r="Q1063" s="119"/>
      <c r="R1063" s="4"/>
    </row>
    <row r="1064" spans="1:18">
      <c r="A1064" s="1">
        <f t="shared" ref="A1064:A1102" si="37">+A1063</f>
        <v>0</v>
      </c>
      <c r="B1064" s="2"/>
      <c r="C1064" s="8"/>
      <c r="D1064" s="109" t="str">
        <f>IFERROR(INDEX([239]EQUIPOS!B:B,MATCH(B1064,[239]EQUIPOS!A:A,0)),"")</f>
        <v/>
      </c>
      <c r="E1064" s="110"/>
      <c r="F1064" s="110"/>
      <c r="G1064" s="110"/>
      <c r="H1064" s="111"/>
      <c r="I1064" s="120"/>
      <c r="J1064" s="121"/>
      <c r="K1064" s="113" t="str">
        <f>IFERROR(INDEX([239]EQUIPOS!C:C,MATCH(B1064,[239]EQUIPOS!A:A,0)),"")</f>
        <v/>
      </c>
      <c r="L1064" s="114"/>
      <c r="M1064" s="115" t="str">
        <f>IFERROR(IF(D1064="HERRAMIENTA MENOR (% M.O)",P1103,INDEX([239]EQUIPOS!D:D,MATCH(B1064,[239]EQUIPOS!A:A,0))),"")</f>
        <v/>
      </c>
      <c r="N1064" s="116"/>
      <c r="O1064" s="117"/>
      <c r="P1064" s="118" t="str">
        <f t="shared" si="36"/>
        <v xml:space="preserve"> </v>
      </c>
      <c r="Q1064" s="119"/>
      <c r="R1064" s="4"/>
    </row>
    <row r="1065" spans="1:18">
      <c r="A1065" s="1"/>
      <c r="B1065" s="2"/>
      <c r="C1065" s="8"/>
      <c r="D1065" s="109" t="str">
        <f>IFERROR(INDEX([239]EQUIPOS!B:B,MATCH(B1065,[239]EQUIPOS!A:A,0)),"")</f>
        <v/>
      </c>
      <c r="E1065" s="110"/>
      <c r="F1065" s="110"/>
      <c r="G1065" s="110"/>
      <c r="H1065" s="111"/>
      <c r="I1065" s="120"/>
      <c r="J1065" s="121"/>
      <c r="K1065" s="113" t="str">
        <f>IFERROR(INDEX([239]EQUIPOS!C:C,MATCH(B1065,[239]EQUIPOS!A:A,0)),"")</f>
        <v/>
      </c>
      <c r="L1065" s="114"/>
      <c r="M1065" s="115" t="str">
        <f>IFERROR(IF(D1065="HERRAMIENTA MENOR (% M.O)",P1104,INDEX([239]EQUIPOS!D:D,MATCH(B1065,[239]EQUIPOS!A:A,0))),"")</f>
        <v/>
      </c>
      <c r="N1065" s="116"/>
      <c r="O1065" s="117"/>
      <c r="P1065" s="118" t="str">
        <f t="shared" si="36"/>
        <v xml:space="preserve"> </v>
      </c>
      <c r="Q1065" s="119"/>
      <c r="R1065" s="4"/>
    </row>
    <row r="1066" spans="1:18">
      <c r="A1066" s="1"/>
      <c r="B1066" s="2"/>
      <c r="C1066" s="8"/>
      <c r="D1066" s="109" t="str">
        <f>IFERROR(INDEX([239]EQUIPOS!B:B,MATCH(B1066,[239]EQUIPOS!A:A,0)),"")</f>
        <v/>
      </c>
      <c r="E1066" s="110"/>
      <c r="F1066" s="110"/>
      <c r="G1066" s="110"/>
      <c r="H1066" s="111"/>
      <c r="I1066" s="112"/>
      <c r="J1066" s="111"/>
      <c r="K1066" s="113" t="str">
        <f>IFERROR(INDEX([239]EQUIPOS!C:C,MATCH(B1066,[239]EQUIPOS!A:A,0)),"")</f>
        <v/>
      </c>
      <c r="L1066" s="114"/>
      <c r="M1066" s="115" t="str">
        <f>IFERROR(IF(D1066="HERRAMIENTA MENOR (% M.O)",P1105,INDEX([239]EQUIPOS!D:D,MATCH(B1066,[239]EQUIPOS!A:A,0))),"")</f>
        <v/>
      </c>
      <c r="N1066" s="116"/>
      <c r="O1066" s="117"/>
      <c r="P1066" s="118" t="str">
        <f t="shared" si="36"/>
        <v xml:space="preserve"> </v>
      </c>
      <c r="Q1066" s="119"/>
      <c r="R1066" s="4"/>
    </row>
    <row r="1067" spans="1:18" ht="15.75" thickBot="1">
      <c r="A1067" s="1"/>
      <c r="B1067" s="2"/>
      <c r="C1067" s="8"/>
      <c r="D1067" s="109" t="str">
        <f>IFERROR(INDEX([239]EQUIPOS!B:B,MATCH(B1067,[239]EQUIPOS!A:A,0)),"")</f>
        <v/>
      </c>
      <c r="E1067" s="78"/>
      <c r="F1067" s="78"/>
      <c r="G1067" s="78"/>
      <c r="H1067" s="122"/>
      <c r="I1067" s="123"/>
      <c r="J1067" s="122"/>
      <c r="K1067" s="113" t="str">
        <f>IFERROR(INDEX([239]EQUIPOS!C:C,MATCH(B1067,[239]EQUIPOS!A:A,0)),"")</f>
        <v/>
      </c>
      <c r="L1067" s="124"/>
      <c r="M1067" s="115" t="str">
        <f>IFERROR(IF(D1067="HERRAMIENTA MENOR (% M.O)",P1106,INDEX([239]EQUIPOS!D:D,MATCH(B1067,[239]EQUIPOS!A:A,0))),"")</f>
        <v/>
      </c>
      <c r="N1067" s="125"/>
      <c r="O1067" s="126"/>
      <c r="P1067" s="127" t="str">
        <f t="shared" si="36"/>
        <v xml:space="preserve"> </v>
      </c>
      <c r="Q1067" s="119"/>
      <c r="R1067" s="4"/>
    </row>
    <row r="1068" spans="1:18" ht="15.75" thickBot="1">
      <c r="A1068" s="1"/>
      <c r="B1068" s="2"/>
      <c r="C1068" s="8"/>
      <c r="D1068" s="128" t="s">
        <v>24</v>
      </c>
      <c r="E1068" s="129"/>
      <c r="F1068" s="129"/>
      <c r="G1068" s="129"/>
      <c r="H1068" s="129"/>
      <c r="I1068" s="129"/>
      <c r="J1068" s="129"/>
      <c r="K1068" s="129"/>
      <c r="L1068" s="129"/>
      <c r="M1068" s="129"/>
      <c r="N1068" s="129"/>
      <c r="O1068" s="130"/>
      <c r="P1068" s="131">
        <f>SUM(P1062:P1067)</f>
        <v>401.43</v>
      </c>
      <c r="Q1068" s="132"/>
      <c r="R1068" s="4"/>
    </row>
    <row r="1069" spans="1:18" ht="15.75" thickBot="1">
      <c r="A1069" s="1"/>
      <c r="B1069" s="2"/>
      <c r="C1069" s="8"/>
      <c r="D1069" s="74" t="s">
        <v>25</v>
      </c>
      <c r="E1069" s="37"/>
      <c r="F1069" s="37"/>
      <c r="G1069" s="37"/>
      <c r="H1069" s="37"/>
      <c r="I1069" s="37"/>
      <c r="J1069" s="37"/>
      <c r="K1069" s="37"/>
      <c r="L1069" s="37"/>
      <c r="M1069" s="37"/>
      <c r="N1069" s="37"/>
      <c r="O1069" s="37"/>
      <c r="P1069" s="99"/>
      <c r="Q1069" s="100"/>
      <c r="R1069" s="4"/>
    </row>
    <row r="1070" spans="1:18">
      <c r="A1070" s="1"/>
      <c r="B1070" s="2"/>
      <c r="C1070" s="8"/>
      <c r="D1070" s="101" t="s">
        <v>14</v>
      </c>
      <c r="E1070" s="133"/>
      <c r="F1070" s="133"/>
      <c r="G1070" s="133"/>
      <c r="H1070" s="133"/>
      <c r="I1070" s="133"/>
      <c r="J1070" s="133"/>
      <c r="K1070" s="105"/>
      <c r="L1070" s="134" t="s">
        <v>15</v>
      </c>
      <c r="M1070" s="106" t="s">
        <v>16</v>
      </c>
      <c r="N1070" s="104" t="s">
        <v>26</v>
      </c>
      <c r="O1070" s="105"/>
      <c r="P1070" s="107" t="s">
        <v>22</v>
      </c>
      <c r="Q1070" s="108"/>
      <c r="R1070" s="4"/>
    </row>
    <row r="1071" spans="1:18">
      <c r="A1071" s="1"/>
      <c r="B1071" s="2" t="s">
        <v>289</v>
      </c>
      <c r="C1071" s="8"/>
      <c r="D1071" s="109" t="str">
        <f>IFERROR(INDEX([239]MATERIALES!C:C,MATCH(B1071,[239]MATERIALES!B:B,0)),"")</f>
        <v>ACERO DE REFUERZO 60000 PSI</v>
      </c>
      <c r="E1071" s="135"/>
      <c r="F1071" s="135"/>
      <c r="G1071" s="135"/>
      <c r="H1071" s="135"/>
      <c r="I1071" s="135"/>
      <c r="J1071" s="135"/>
      <c r="K1071" s="136"/>
      <c r="L1071" s="137" t="str">
        <f>IFERROR(INDEX([239]MATERIALES!D:D,MATCH(B1071,[239]MATERIALES!B:B,0)),"")</f>
        <v>KG</v>
      </c>
      <c r="M1071" s="138">
        <v>1</v>
      </c>
      <c r="N1071" s="139">
        <f>IFERROR(INDEX([239]MATERIALES!P:P,MATCH(B1071,[239]MATERIALES!B:B,0)),"")</f>
        <v>5501.58</v>
      </c>
      <c r="O1071" s="140"/>
      <c r="P1071" s="118">
        <f>IFERROR(ROUND(N1071*M1071,2),"")</f>
        <v>5501.58</v>
      </c>
      <c r="Q1071" s="119"/>
      <c r="R1071" s="4"/>
    </row>
    <row r="1072" spans="1:18">
      <c r="A1072" s="1">
        <f t="shared" si="37"/>
        <v>0</v>
      </c>
      <c r="B1072" s="2" t="s">
        <v>276</v>
      </c>
      <c r="C1072" s="8"/>
      <c r="D1072" s="109" t="str">
        <f>IFERROR(INDEX([239]MATERIALES!C:C,MATCH(B1072,[239]MATERIALES!B:B,0)),"")</f>
        <v>ALAMBRE NEGRO # 18 (RECOCIDO)</v>
      </c>
      <c r="E1072" s="135"/>
      <c r="F1072" s="135"/>
      <c r="G1072" s="135"/>
      <c r="H1072" s="135"/>
      <c r="I1072" s="135"/>
      <c r="J1072" s="135"/>
      <c r="K1072" s="136"/>
      <c r="L1072" s="137" t="str">
        <f>IFERROR(INDEX([239]MATERIALES!D:D,MATCH(B1072,[239]MATERIALES!B:B,0)),"")</f>
        <v>KG</v>
      </c>
      <c r="M1072" s="138">
        <v>0.03</v>
      </c>
      <c r="N1072" s="139">
        <f>IFERROR(INDEX([239]MATERIALES!P:P,MATCH(B1072,[239]MATERIALES!B:B,0)),"")</f>
        <v>7850</v>
      </c>
      <c r="O1072" s="140"/>
      <c r="P1072" s="118">
        <f>IFERROR(ROUND(N1072*M1072,2),"")</f>
        <v>235.5</v>
      </c>
      <c r="Q1072" s="119"/>
      <c r="R1072" s="4"/>
    </row>
    <row r="1073" spans="1:18">
      <c r="A1073" s="1">
        <f t="shared" si="37"/>
        <v>0</v>
      </c>
      <c r="B1073" s="2"/>
      <c r="C1073" s="8"/>
      <c r="D1073" s="109" t="str">
        <f>IFERROR(INDEX([239]MATERIALES!C:C,MATCH(B1073,[239]MATERIALES!B:B,0)),"")</f>
        <v/>
      </c>
      <c r="E1073" s="110"/>
      <c r="F1073" s="110"/>
      <c r="G1073" s="110"/>
      <c r="H1073" s="110"/>
      <c r="I1073" s="110"/>
      <c r="J1073" s="110"/>
      <c r="K1073" s="111"/>
      <c r="L1073" s="137" t="str">
        <f>IFERROR(INDEX([239]MATERIALES!D:D,MATCH(B1073,[239]MATERIALES!B:B,0)),"")</f>
        <v/>
      </c>
      <c r="M1073" s="138"/>
      <c r="N1073" s="139" t="str">
        <f>IFERROR(INDEX([239]MATERIALES!P:P,MATCH(B1073,[239]MATERIALES!B:B,0)),"")</f>
        <v/>
      </c>
      <c r="O1073" s="140"/>
      <c r="P1073" s="118" t="str">
        <f>IFERROR(ROUND(N1073*M1073,2),"")</f>
        <v/>
      </c>
      <c r="Q1073" s="119"/>
      <c r="R1073" s="4"/>
    </row>
    <row r="1074" spans="1:18">
      <c r="A1074" s="1">
        <f t="shared" si="37"/>
        <v>0</v>
      </c>
      <c r="B1074" s="2"/>
      <c r="C1074" s="8"/>
      <c r="D1074" s="109" t="str">
        <f>IFERROR(INDEX([239]MATERIALES!C:C,MATCH(B1074,[239]MATERIALES!B:B,0)),"")</f>
        <v/>
      </c>
      <c r="E1074" s="110"/>
      <c r="F1074" s="110"/>
      <c r="G1074" s="110"/>
      <c r="H1074" s="110"/>
      <c r="I1074" s="110"/>
      <c r="J1074" s="110"/>
      <c r="K1074" s="111"/>
      <c r="L1074" s="137" t="str">
        <f>IFERROR(INDEX([239]MATERIALES!D:D,MATCH(B1074,[239]MATERIALES!B:B,0)),"")</f>
        <v/>
      </c>
      <c r="M1074" s="138"/>
      <c r="N1074" s="139" t="str">
        <f>IFERROR(INDEX([239]MATERIALES!P:P,MATCH(B1074,[239]MATERIALES!B:B,0)),"")</f>
        <v/>
      </c>
      <c r="O1074" s="140"/>
      <c r="P1074" s="118" t="str">
        <f>IFERROR(ROUND(N1074*M1074,2),"")</f>
        <v/>
      </c>
      <c r="Q1074" s="119"/>
      <c r="R1074" s="4"/>
    </row>
    <row r="1075" spans="1:18">
      <c r="A1075" s="1">
        <f t="shared" si="37"/>
        <v>0</v>
      </c>
      <c r="B1075" s="2"/>
      <c r="C1075" s="8"/>
      <c r="D1075" s="109" t="str">
        <f>IFERROR(INDEX([239]MATERIALES!C:C,MATCH(B1075,[239]MATERIALES!B:B,0)),"")</f>
        <v/>
      </c>
      <c r="E1075" s="110"/>
      <c r="F1075" s="110"/>
      <c r="G1075" s="110"/>
      <c r="H1075" s="110"/>
      <c r="I1075" s="110"/>
      <c r="J1075" s="110"/>
      <c r="K1075" s="111"/>
      <c r="L1075" s="137" t="str">
        <f>IFERROR(INDEX([239]MATERIALES!D:D,MATCH(B1075,[239]MATERIALES!B:B,0)),"")</f>
        <v/>
      </c>
      <c r="M1075" s="138"/>
      <c r="N1075" s="139" t="str">
        <f>IFERROR(INDEX([239]MATERIALES!P:P,MATCH(B1075,[239]MATERIALES!B:B,0)),"")</f>
        <v/>
      </c>
      <c r="O1075" s="140"/>
      <c r="P1075" s="118" t="str">
        <f t="shared" ref="P1075:P1084" si="38">IFERROR(ROUND(N1075*M1075,2),"")</f>
        <v/>
      </c>
      <c r="Q1075" s="119"/>
      <c r="R1075" s="4"/>
    </row>
    <row r="1076" spans="1:18">
      <c r="A1076" s="1">
        <f t="shared" si="37"/>
        <v>0</v>
      </c>
      <c r="B1076" s="2"/>
      <c r="C1076" s="8"/>
      <c r="D1076" s="109" t="str">
        <f>IFERROR(INDEX([239]MATERIALES!C:C,MATCH(B1076,[239]MATERIALES!B:B,0)),"")</f>
        <v/>
      </c>
      <c r="E1076" s="110"/>
      <c r="F1076" s="110"/>
      <c r="G1076" s="110"/>
      <c r="H1076" s="110"/>
      <c r="I1076" s="110"/>
      <c r="J1076" s="110"/>
      <c r="K1076" s="111"/>
      <c r="L1076" s="137" t="str">
        <f>IFERROR(INDEX([239]MATERIALES!D:D,MATCH(B1076,[239]MATERIALES!B:B,0)),"")</f>
        <v/>
      </c>
      <c r="M1076" s="138"/>
      <c r="N1076" s="139" t="str">
        <f>IFERROR(INDEX([239]MATERIALES!P:P,MATCH(B1076,[239]MATERIALES!B:B,0)),"")</f>
        <v/>
      </c>
      <c r="O1076" s="140"/>
      <c r="P1076" s="118" t="str">
        <f t="shared" si="38"/>
        <v/>
      </c>
      <c r="Q1076" s="119"/>
      <c r="R1076" s="4"/>
    </row>
    <row r="1077" spans="1:18">
      <c r="A1077" s="1">
        <f t="shared" si="37"/>
        <v>0</v>
      </c>
      <c r="B1077" s="2"/>
      <c r="C1077" s="8"/>
      <c r="D1077" s="109" t="str">
        <f>IFERROR(INDEX([239]MATERIALES!C:C,MATCH(B1077,[239]MATERIALES!B:B,0)),"")</f>
        <v/>
      </c>
      <c r="E1077" s="110"/>
      <c r="F1077" s="110"/>
      <c r="G1077" s="110"/>
      <c r="H1077" s="110"/>
      <c r="I1077" s="110"/>
      <c r="J1077" s="110"/>
      <c r="K1077" s="111"/>
      <c r="L1077" s="137" t="str">
        <f>IFERROR(INDEX([239]MATERIALES!D:D,MATCH(B1077,[239]MATERIALES!B:B,0)),"")</f>
        <v/>
      </c>
      <c r="M1077" s="138"/>
      <c r="N1077" s="139" t="str">
        <f>IFERROR(INDEX([239]MATERIALES!P:P,MATCH(B1077,[239]MATERIALES!B:B,0)),"")</f>
        <v/>
      </c>
      <c r="O1077" s="140"/>
      <c r="P1077" s="118" t="str">
        <f t="shared" si="38"/>
        <v/>
      </c>
      <c r="Q1077" s="119"/>
      <c r="R1077" s="4"/>
    </row>
    <row r="1078" spans="1:18">
      <c r="A1078" s="1">
        <f t="shared" si="37"/>
        <v>0</v>
      </c>
      <c r="B1078" s="2"/>
      <c r="C1078" s="8"/>
      <c r="D1078" s="109" t="str">
        <f>IFERROR(INDEX([239]MATERIALES!C:C,MATCH(B1078,[239]MATERIALES!B:B,0)),"")</f>
        <v/>
      </c>
      <c r="E1078" s="110"/>
      <c r="F1078" s="110"/>
      <c r="G1078" s="110"/>
      <c r="H1078" s="110"/>
      <c r="I1078" s="110"/>
      <c r="J1078" s="110"/>
      <c r="K1078" s="111"/>
      <c r="L1078" s="137" t="str">
        <f>IFERROR(INDEX([239]MATERIALES!D:D,MATCH(B1078,[239]MATERIALES!B:B,0)),"")</f>
        <v/>
      </c>
      <c r="M1078" s="138"/>
      <c r="N1078" s="139" t="str">
        <f>IFERROR(INDEX([239]MATERIALES!P:P,MATCH(B1078,[239]MATERIALES!B:B,0)),"")</f>
        <v/>
      </c>
      <c r="O1078" s="140"/>
      <c r="P1078" s="118" t="str">
        <f t="shared" si="38"/>
        <v/>
      </c>
      <c r="Q1078" s="119"/>
      <c r="R1078" s="4"/>
    </row>
    <row r="1079" spans="1:18">
      <c r="A1079" s="1">
        <f t="shared" si="37"/>
        <v>0</v>
      </c>
      <c r="B1079" s="2"/>
      <c r="C1079" s="8"/>
      <c r="D1079" s="109" t="str">
        <f>IFERROR(INDEX([239]MATERIALES!C:C,MATCH(B1079,[239]MATERIALES!B:B,0)),"")</f>
        <v/>
      </c>
      <c r="E1079" s="110"/>
      <c r="F1079" s="110"/>
      <c r="G1079" s="110"/>
      <c r="H1079" s="110"/>
      <c r="I1079" s="110"/>
      <c r="J1079" s="110"/>
      <c r="K1079" s="111"/>
      <c r="L1079" s="137" t="str">
        <f>IFERROR(INDEX([239]MATERIALES!D:D,MATCH(B1079,[239]MATERIALES!B:B,0)),"")</f>
        <v/>
      </c>
      <c r="M1079" s="138"/>
      <c r="N1079" s="139" t="str">
        <f>IFERROR(INDEX([239]MATERIALES!P:P,MATCH(B1079,[239]MATERIALES!B:B,0)),"")</f>
        <v/>
      </c>
      <c r="O1079" s="140"/>
      <c r="P1079" s="118" t="str">
        <f t="shared" si="38"/>
        <v/>
      </c>
      <c r="Q1079" s="119"/>
      <c r="R1079" s="4"/>
    </row>
    <row r="1080" spans="1:18">
      <c r="A1080" s="1">
        <f t="shared" si="37"/>
        <v>0</v>
      </c>
      <c r="B1080" s="2"/>
      <c r="C1080" s="8"/>
      <c r="D1080" s="109" t="str">
        <f>IFERROR(INDEX([239]MATERIALES!C:C,MATCH(B1080,[239]MATERIALES!B:B,0)),"")</f>
        <v/>
      </c>
      <c r="E1080" s="110"/>
      <c r="F1080" s="110"/>
      <c r="G1080" s="110"/>
      <c r="H1080" s="110"/>
      <c r="I1080" s="110"/>
      <c r="J1080" s="110"/>
      <c r="K1080" s="111"/>
      <c r="L1080" s="137" t="str">
        <f>IFERROR(INDEX([239]MATERIALES!D:D,MATCH(B1080,[239]MATERIALES!B:B,0)),"")</f>
        <v/>
      </c>
      <c r="M1080" s="138"/>
      <c r="N1080" s="139" t="str">
        <f>IFERROR(INDEX([239]MATERIALES!P:P,MATCH(B1080,[239]MATERIALES!B:B,0)),"")</f>
        <v/>
      </c>
      <c r="O1080" s="140"/>
      <c r="P1080" s="118" t="str">
        <f t="shared" si="38"/>
        <v/>
      </c>
      <c r="Q1080" s="119"/>
      <c r="R1080" s="4"/>
    </row>
    <row r="1081" spans="1:18">
      <c r="A1081" s="1">
        <f t="shared" si="37"/>
        <v>0</v>
      </c>
      <c r="B1081" s="2"/>
      <c r="C1081" s="8"/>
      <c r="D1081" s="109" t="str">
        <f>IFERROR(INDEX([239]MATERIALES!C:C,MATCH(B1081,[239]MATERIALES!B:B,0)),"")</f>
        <v/>
      </c>
      <c r="E1081" s="110"/>
      <c r="F1081" s="110"/>
      <c r="G1081" s="110"/>
      <c r="H1081" s="110"/>
      <c r="I1081" s="110"/>
      <c r="J1081" s="110"/>
      <c r="K1081" s="111"/>
      <c r="L1081" s="137" t="str">
        <f>IFERROR(INDEX([239]MATERIALES!D:D,MATCH(B1081,[239]MATERIALES!B:B,0)),"")</f>
        <v/>
      </c>
      <c r="M1081" s="138"/>
      <c r="N1081" s="139" t="str">
        <f>IFERROR(INDEX([239]MATERIALES!P:P,MATCH(B1081,[239]MATERIALES!B:B,0)),"")</f>
        <v/>
      </c>
      <c r="O1081" s="140"/>
      <c r="P1081" s="118" t="str">
        <f t="shared" si="38"/>
        <v/>
      </c>
      <c r="Q1081" s="119"/>
      <c r="R1081" s="4"/>
    </row>
    <row r="1082" spans="1:18">
      <c r="A1082" s="1">
        <f t="shared" si="37"/>
        <v>0</v>
      </c>
      <c r="B1082" s="2"/>
      <c r="C1082" s="8"/>
      <c r="D1082" s="109" t="str">
        <f>IFERROR(INDEX([239]MATERIALES!C:C,MATCH(B1082,[239]MATERIALES!B:B,0)),"")</f>
        <v/>
      </c>
      <c r="E1082" s="110"/>
      <c r="F1082" s="110"/>
      <c r="G1082" s="110"/>
      <c r="H1082" s="110"/>
      <c r="I1082" s="110"/>
      <c r="J1082" s="110"/>
      <c r="K1082" s="111"/>
      <c r="L1082" s="137" t="str">
        <f>IFERROR(INDEX([239]MATERIALES!D:D,MATCH(B1082,[239]MATERIALES!B:B,0)),"")</f>
        <v/>
      </c>
      <c r="M1082" s="138"/>
      <c r="N1082" s="139" t="str">
        <f>IFERROR(INDEX([239]MATERIALES!P:P,MATCH(B1082,[239]MATERIALES!B:B,0)),"")</f>
        <v/>
      </c>
      <c r="O1082" s="140"/>
      <c r="P1082" s="118" t="str">
        <f t="shared" si="38"/>
        <v/>
      </c>
      <c r="Q1082" s="119"/>
      <c r="R1082" s="4"/>
    </row>
    <row r="1083" spans="1:18">
      <c r="A1083" s="1">
        <f t="shared" si="37"/>
        <v>0</v>
      </c>
      <c r="B1083" s="2"/>
      <c r="C1083" s="8"/>
      <c r="D1083" s="109" t="str">
        <f>IFERROR(INDEX([239]MATERIALES!C:C,MATCH(B1083,[239]MATERIALES!B:B,0)),"")</f>
        <v/>
      </c>
      <c r="E1083" s="110"/>
      <c r="F1083" s="110"/>
      <c r="G1083" s="110"/>
      <c r="H1083" s="110"/>
      <c r="I1083" s="110"/>
      <c r="J1083" s="110"/>
      <c r="K1083" s="111"/>
      <c r="L1083" s="137" t="str">
        <f>IFERROR(INDEX([239]MATERIALES!D:D,MATCH(B1083,[239]MATERIALES!B:B,0)),"")</f>
        <v/>
      </c>
      <c r="M1083" s="138"/>
      <c r="N1083" s="139" t="str">
        <f>IFERROR(INDEX([239]MATERIALES!P:P,MATCH(B1083,[239]MATERIALES!B:B,0)),"")</f>
        <v/>
      </c>
      <c r="O1083" s="140"/>
      <c r="P1083" s="118" t="str">
        <f t="shared" si="38"/>
        <v/>
      </c>
      <c r="Q1083" s="119"/>
      <c r="R1083" s="4"/>
    </row>
    <row r="1084" spans="1:18">
      <c r="A1084" s="1">
        <f t="shared" si="37"/>
        <v>0</v>
      </c>
      <c r="B1084" s="2"/>
      <c r="C1084" s="8"/>
      <c r="D1084" s="109" t="str">
        <f>IFERROR(INDEX([239]MATERIALES!C:C,MATCH(B1084,[239]MATERIALES!B:B,0)),"")</f>
        <v/>
      </c>
      <c r="E1084" s="110"/>
      <c r="F1084" s="110"/>
      <c r="G1084" s="110"/>
      <c r="H1084" s="110"/>
      <c r="I1084" s="110"/>
      <c r="J1084" s="110"/>
      <c r="K1084" s="111"/>
      <c r="L1084" s="137" t="str">
        <f>IFERROR(INDEX([239]MATERIALES!D:D,MATCH(B1084,[239]MATERIALES!B:B,0)),"")</f>
        <v/>
      </c>
      <c r="M1084" s="138"/>
      <c r="N1084" s="139" t="str">
        <f>IFERROR(INDEX([239]MATERIALES!P:P,MATCH(B1084,[239]MATERIALES!B:B,0)),"")</f>
        <v/>
      </c>
      <c r="O1084" s="140"/>
      <c r="P1084" s="118" t="str">
        <f t="shared" si="38"/>
        <v/>
      </c>
      <c r="Q1084" s="119"/>
      <c r="R1084" s="4"/>
    </row>
    <row r="1085" spans="1:18" ht="15.75" thickBot="1">
      <c r="A1085" s="1">
        <f t="shared" si="37"/>
        <v>0</v>
      </c>
      <c r="B1085" s="2"/>
      <c r="C1085" s="8"/>
      <c r="D1085" s="109" t="s">
        <v>28</v>
      </c>
      <c r="E1085" s="110"/>
      <c r="F1085" s="110"/>
      <c r="G1085" s="110"/>
      <c r="H1085" s="110"/>
      <c r="I1085" s="110"/>
      <c r="J1085" s="110"/>
      <c r="K1085" s="111"/>
      <c r="L1085" s="137" t="s">
        <v>29</v>
      </c>
      <c r="M1085" s="138">
        <v>0.05</v>
      </c>
      <c r="N1085" s="139">
        <f>SUM(P1071:P1084)</f>
        <v>5737.08</v>
      </c>
      <c r="O1085" s="140"/>
      <c r="P1085" s="118">
        <f>ROUND(N1085*M1085,2)</f>
        <v>286.85000000000002</v>
      </c>
      <c r="Q1085" s="119"/>
      <c r="R1085" s="4"/>
    </row>
    <row r="1086" spans="1:18" ht="15.75" thickBot="1">
      <c r="A1086" s="1">
        <f t="shared" si="37"/>
        <v>0</v>
      </c>
      <c r="B1086" s="2"/>
      <c r="C1086" s="8"/>
      <c r="D1086" s="128" t="s">
        <v>24</v>
      </c>
      <c r="E1086" s="129"/>
      <c r="F1086" s="129"/>
      <c r="G1086" s="129"/>
      <c r="H1086" s="129"/>
      <c r="I1086" s="129"/>
      <c r="J1086" s="129"/>
      <c r="K1086" s="129"/>
      <c r="L1086" s="129"/>
      <c r="M1086" s="129"/>
      <c r="N1086" s="129"/>
      <c r="O1086" s="130"/>
      <c r="P1086" s="131">
        <f>SUM(P1071:P1085)</f>
        <v>6023.93</v>
      </c>
      <c r="Q1086" s="119"/>
      <c r="R1086" s="4"/>
    </row>
    <row r="1087" spans="1:18" ht="15.75" thickBot="1">
      <c r="A1087" s="1">
        <f t="shared" si="37"/>
        <v>0</v>
      </c>
      <c r="B1087" s="2"/>
      <c r="C1087" s="8"/>
      <c r="D1087" s="74" t="s">
        <v>30</v>
      </c>
      <c r="E1087" s="37"/>
      <c r="F1087" s="37"/>
      <c r="G1087" s="37"/>
      <c r="H1087" s="37"/>
      <c r="I1087" s="37"/>
      <c r="J1087" s="37"/>
      <c r="K1087" s="37"/>
      <c r="L1087" s="37"/>
      <c r="M1087" s="37"/>
      <c r="N1087" s="37"/>
      <c r="O1087" s="37"/>
      <c r="P1087" s="99"/>
      <c r="Q1087" s="100"/>
      <c r="R1087" s="4"/>
    </row>
    <row r="1088" spans="1:18">
      <c r="A1088" s="1">
        <f t="shared" si="37"/>
        <v>0</v>
      </c>
      <c r="B1088" s="2"/>
      <c r="C1088" s="8"/>
      <c r="D1088" s="101" t="s">
        <v>31</v>
      </c>
      <c r="E1088" s="133"/>
      <c r="F1088" s="133"/>
      <c r="G1088" s="133"/>
      <c r="H1088" s="133"/>
      <c r="I1088" s="133"/>
      <c r="J1088" s="133"/>
      <c r="K1088" s="106" t="s">
        <v>32</v>
      </c>
      <c r="L1088" s="141" t="s">
        <v>33</v>
      </c>
      <c r="M1088" s="106" t="s">
        <v>34</v>
      </c>
      <c r="N1088" s="104" t="s">
        <v>20</v>
      </c>
      <c r="O1088" s="105"/>
      <c r="P1088" s="107" t="s">
        <v>22</v>
      </c>
      <c r="Q1088" s="108"/>
      <c r="R1088" s="4"/>
    </row>
    <row r="1089" spans="1:18">
      <c r="A1089" s="1">
        <f t="shared" si="37"/>
        <v>0</v>
      </c>
      <c r="B1089" s="2"/>
      <c r="C1089" s="8"/>
      <c r="D1089" s="142" t="str">
        <f>IFERROR(INDEX([239]TRANSPORTES!B:B,MATCH(B1089,[239]TRANSPORTES!A:A,0)),"")</f>
        <v/>
      </c>
      <c r="E1089" s="143"/>
      <c r="F1089" s="143"/>
      <c r="G1089" s="143"/>
      <c r="H1089" s="143"/>
      <c r="I1089" s="143"/>
      <c r="J1089" s="143"/>
      <c r="K1089" s="220"/>
      <c r="L1089" s="145"/>
      <c r="M1089" s="146" t="str">
        <f>IFERROR(INDEX([239]TRANSPORTES!C:C,MATCH(B1089,[239]TRANSPORTES!A:A,0)),"")</f>
        <v/>
      </c>
      <c r="N1089" s="139" t="str">
        <f>IFERROR(INDEX([239]TRANSPORTES!D:D,MATCH(B1089,[239]TRANSPORTES!A:A,0)),"")</f>
        <v/>
      </c>
      <c r="O1089" s="147"/>
      <c r="P1089" s="148" t="str">
        <f>IFERROR(ROUND(K1089*N1089*L1089,2),"")</f>
        <v/>
      </c>
      <c r="Q1089" s="119"/>
      <c r="R1089" s="4"/>
    </row>
    <row r="1090" spans="1:18">
      <c r="A1090" s="1">
        <f t="shared" si="37"/>
        <v>0</v>
      </c>
      <c r="B1090" s="2"/>
      <c r="C1090" s="8"/>
      <c r="D1090" s="142" t="str">
        <f>IFERROR(INDEX([239]TRANSPORTES!B:B,MATCH(B1090,[239]TRANSPORTES!A:A,0)),"")</f>
        <v/>
      </c>
      <c r="E1090" s="143"/>
      <c r="F1090" s="143"/>
      <c r="G1090" s="143"/>
      <c r="H1090" s="143"/>
      <c r="I1090" s="143"/>
      <c r="J1090" s="143"/>
      <c r="K1090" s="144"/>
      <c r="L1090" s="145"/>
      <c r="M1090" s="146" t="str">
        <f>IFERROR(INDEX([239]TRANSPORTES!C:C,MATCH(B1090,[239]TRANSPORTES!A:A,0)),"")</f>
        <v/>
      </c>
      <c r="N1090" s="139" t="str">
        <f>IFERROR(INDEX([239]TRANSPORTES!D:D,MATCH(B1090,[239]TRANSPORTES!A:A,0)),"")</f>
        <v/>
      </c>
      <c r="O1090" s="147"/>
      <c r="P1090" s="148" t="str">
        <f>IFERROR(ROUND(K1090*N1090*L1090,2),"")</f>
        <v/>
      </c>
      <c r="Q1090" s="119"/>
      <c r="R1090" s="4"/>
    </row>
    <row r="1091" spans="1:18">
      <c r="A1091" s="1">
        <f t="shared" si="37"/>
        <v>0</v>
      </c>
      <c r="B1091" s="2"/>
      <c r="C1091" s="8"/>
      <c r="D1091" s="142" t="str">
        <f>IFERROR(INDEX([239]TRANSPORTES!B:B,MATCH(B1091,[239]TRANSPORTES!A:A,0)),"")</f>
        <v/>
      </c>
      <c r="E1091" s="143"/>
      <c r="F1091" s="143"/>
      <c r="G1091" s="143"/>
      <c r="H1091" s="143"/>
      <c r="I1091" s="143"/>
      <c r="J1091" s="143"/>
      <c r="K1091" s="144"/>
      <c r="L1091" s="145"/>
      <c r="M1091" s="146" t="str">
        <f>IFERROR(INDEX([239]TRANSPORTES!C:C,MATCH(B1091,[239]TRANSPORTES!A:A,0)),"")</f>
        <v/>
      </c>
      <c r="N1091" s="139" t="str">
        <f>IFERROR(INDEX([239]TRANSPORTES!D:D,MATCH(B1091,[239]TRANSPORTES!A:A,0)),"")</f>
        <v/>
      </c>
      <c r="O1091" s="147"/>
      <c r="P1091" s="148" t="str">
        <f>IFERROR(ROUND(K1091*N1091*L1091,2),"")</f>
        <v/>
      </c>
      <c r="Q1091" s="119"/>
      <c r="R1091" s="4"/>
    </row>
    <row r="1092" spans="1:18" ht="15.75" thickBot="1">
      <c r="A1092" s="1">
        <f t="shared" si="37"/>
        <v>0</v>
      </c>
      <c r="B1092" s="2"/>
      <c r="C1092" s="8"/>
      <c r="D1092" s="142" t="str">
        <f>IFERROR(INDEX([239]TRANSPORTES!B:B,MATCH(B1092,[239]TRANSPORTES!A:A,0)),"")</f>
        <v/>
      </c>
      <c r="E1092" s="143"/>
      <c r="F1092" s="143"/>
      <c r="G1092" s="143"/>
      <c r="H1092" s="143"/>
      <c r="I1092" s="143"/>
      <c r="J1092" s="143"/>
      <c r="K1092" s="149"/>
      <c r="L1092" s="150"/>
      <c r="M1092" s="146" t="str">
        <f>IFERROR(INDEX([239]TRANSPORTES!C:C,MATCH(B1092,[239]TRANSPORTES!A:A,0)),"")</f>
        <v/>
      </c>
      <c r="N1092" s="139" t="str">
        <f>IFERROR(INDEX([239]TRANSPORTES!D:D,MATCH(B1092,[239]TRANSPORTES!A:A,0)),"")</f>
        <v/>
      </c>
      <c r="O1092" s="147"/>
      <c r="P1092" s="148" t="str">
        <f>IFERROR(ROUND(K1092*N1092*L1092,2),"")</f>
        <v/>
      </c>
      <c r="Q1092" s="119"/>
      <c r="R1092" s="4"/>
    </row>
    <row r="1093" spans="1:18" ht="15.75" thickBot="1">
      <c r="A1093" s="1">
        <f t="shared" si="37"/>
        <v>0</v>
      </c>
      <c r="B1093" s="2"/>
      <c r="C1093" s="8"/>
      <c r="D1093" s="128" t="s">
        <v>24</v>
      </c>
      <c r="E1093" s="129"/>
      <c r="F1093" s="129"/>
      <c r="G1093" s="129"/>
      <c r="H1093" s="129"/>
      <c r="I1093" s="129"/>
      <c r="J1093" s="129"/>
      <c r="K1093" s="129"/>
      <c r="L1093" s="129"/>
      <c r="M1093" s="129"/>
      <c r="N1093" s="129"/>
      <c r="O1093" s="130"/>
      <c r="P1093" s="151">
        <f>SUM(P1089:P1092)</f>
        <v>0</v>
      </c>
      <c r="Q1093" s="132"/>
      <c r="R1093" s="4"/>
    </row>
    <row r="1094" spans="1:18" ht="15.75" thickBot="1">
      <c r="A1094" s="1">
        <f t="shared" si="37"/>
        <v>0</v>
      </c>
      <c r="B1094" s="2"/>
      <c r="C1094" s="8"/>
      <c r="D1094" s="74" t="s">
        <v>36</v>
      </c>
      <c r="E1094" s="37"/>
      <c r="F1094" s="37"/>
      <c r="G1094" s="37"/>
      <c r="H1094" s="37"/>
      <c r="I1094" s="37"/>
      <c r="J1094" s="37"/>
      <c r="K1094" s="37"/>
      <c r="L1094" s="37"/>
      <c r="M1094" s="37"/>
      <c r="N1094" s="37"/>
      <c r="O1094" s="37"/>
      <c r="P1094" s="99"/>
      <c r="Q1094" s="100"/>
      <c r="R1094" s="4"/>
    </row>
    <row r="1095" spans="1:18" ht="30">
      <c r="A1095" s="1">
        <f t="shared" si="37"/>
        <v>0</v>
      </c>
      <c r="B1095" s="2"/>
      <c r="C1095" s="8"/>
      <c r="D1095" s="101" t="s">
        <v>37</v>
      </c>
      <c r="E1095" s="133"/>
      <c r="F1095" s="133"/>
      <c r="G1095" s="133"/>
      <c r="H1095" s="133"/>
      <c r="I1095" s="133"/>
      <c r="J1095" s="133"/>
      <c r="K1095" s="106" t="s">
        <v>38</v>
      </c>
      <c r="L1095" s="152" t="s">
        <v>39</v>
      </c>
      <c r="M1095" s="153" t="s">
        <v>40</v>
      </c>
      <c r="N1095" s="104" t="s">
        <v>21</v>
      </c>
      <c r="O1095" s="105"/>
      <c r="P1095" s="154" t="s">
        <v>22</v>
      </c>
      <c r="Q1095" s="155"/>
      <c r="R1095" s="4"/>
    </row>
    <row r="1096" spans="1:18">
      <c r="A1096" s="1">
        <f t="shared" si="37"/>
        <v>0</v>
      </c>
      <c r="B1096" s="2" t="s">
        <v>41</v>
      </c>
      <c r="C1096" s="8"/>
      <c r="D1096" s="109" t="str">
        <f>IFERROR(INDEX('[239]MANO DE OBRA'!B:B,MATCH(B1096,'[239]MANO DE OBRA'!A:A,0)),"")</f>
        <v>OFICIAL</v>
      </c>
      <c r="E1096" s="110"/>
      <c r="F1096" s="110"/>
      <c r="G1096" s="110"/>
      <c r="H1096" s="110"/>
      <c r="I1096" s="110"/>
      <c r="J1096" s="111"/>
      <c r="K1096" s="156">
        <f>IFERROR(INDEX('[239]MANO DE OBRA'!D:D,MATCH(B1096,'[239]MANO DE OBRA'!A:A,0)),"")</f>
        <v>95930</v>
      </c>
      <c r="L1096" s="157">
        <f>+IF(D1096&lt;&gt;"",'[239]FACTOR PRESTACIONAL'!$E$21," ")</f>
        <v>1.95</v>
      </c>
      <c r="M1096" s="158">
        <f>IFERROR(K1096*L1096," ")</f>
        <v>187063.5</v>
      </c>
      <c r="N1096" s="159">
        <v>116</v>
      </c>
      <c r="O1096" s="160"/>
      <c r="P1096" s="161">
        <f>IFERROR(ROUND(M1096/N1096,2)," ")</f>
        <v>1612.62</v>
      </c>
      <c r="Q1096" s="162"/>
      <c r="R1096" s="4"/>
    </row>
    <row r="1097" spans="1:18">
      <c r="A1097" s="1">
        <f t="shared" si="37"/>
        <v>0</v>
      </c>
      <c r="B1097" s="2" t="s">
        <v>42</v>
      </c>
      <c r="C1097" s="8"/>
      <c r="D1097" s="109" t="str">
        <f>IFERROR(INDEX('[239]MANO DE OBRA'!B:B,MATCH(B1097,'[239]MANO DE OBRA'!A:A,0)),"")</f>
        <v>AYUDANTE (2)</v>
      </c>
      <c r="E1097" s="110"/>
      <c r="F1097" s="110"/>
      <c r="G1097" s="110"/>
      <c r="H1097" s="110"/>
      <c r="I1097" s="110"/>
      <c r="J1097" s="111"/>
      <c r="K1097" s="156">
        <f>IFERROR(INDEX('[239]MANO DE OBRA'!D:D,MATCH(B1097,'[239]MANO DE OBRA'!A:A,0)),"")</f>
        <v>142866</v>
      </c>
      <c r="L1097" s="157">
        <f>+IF(D1097&lt;&gt;"",'[239]FACTOR PRESTACIONAL'!$E$21," ")</f>
        <v>1.95</v>
      </c>
      <c r="M1097" s="158">
        <f>IFERROR(K1097*L1097," ")</f>
        <v>278588.7</v>
      </c>
      <c r="N1097" s="159">
        <v>116</v>
      </c>
      <c r="O1097" s="160"/>
      <c r="P1097" s="161">
        <f>IFERROR(ROUND(M1097/N1097,2)," ")</f>
        <v>2401.63</v>
      </c>
      <c r="Q1097" s="162"/>
      <c r="R1097" s="4"/>
    </row>
    <row r="1098" spans="1:18">
      <c r="A1098" s="1">
        <f t="shared" si="37"/>
        <v>0</v>
      </c>
      <c r="B1098" s="2"/>
      <c r="C1098" s="8"/>
      <c r="D1098" s="109" t="str">
        <f>IFERROR(INDEX('[239]MANO DE OBRA'!B:B,MATCH(B1098,'[239]MANO DE OBRA'!A:A,0)),"")</f>
        <v/>
      </c>
      <c r="E1098" s="110"/>
      <c r="F1098" s="110"/>
      <c r="G1098" s="110"/>
      <c r="H1098" s="110"/>
      <c r="I1098" s="110"/>
      <c r="J1098" s="111"/>
      <c r="K1098" s="156" t="str">
        <f>IFERROR(INDEX('[239]MANO DE OBRA'!D:D,MATCH(B1098,'[239]MANO DE OBRA'!A:A,0)),"")</f>
        <v/>
      </c>
      <c r="L1098" s="157" t="str">
        <f>+IF(D1098&lt;&gt;"",'[239]FACTOR PRESTACIONAL'!$E$21," ")</f>
        <v xml:space="preserve"> </v>
      </c>
      <c r="M1098" s="158" t="str">
        <f>IFERROR(K1098*L1098," ")</f>
        <v xml:space="preserve"> </v>
      </c>
      <c r="N1098" s="159"/>
      <c r="O1098" s="160"/>
      <c r="P1098" s="161" t="str">
        <f>IFERROR(ROUND(M1098/N1098,2)," ")</f>
        <v xml:space="preserve"> </v>
      </c>
      <c r="Q1098" s="162"/>
      <c r="R1098" s="4"/>
    </row>
    <row r="1099" spans="1:18">
      <c r="A1099" s="1">
        <f t="shared" si="37"/>
        <v>0</v>
      </c>
      <c r="B1099" s="2"/>
      <c r="C1099" s="8"/>
      <c r="D1099" s="109" t="str">
        <f>IFERROR(INDEX('[239]MANO DE OBRA'!B:B,MATCH(B1099,'[239]MANO DE OBRA'!A:A,0)),"")</f>
        <v/>
      </c>
      <c r="E1099" s="110"/>
      <c r="F1099" s="110"/>
      <c r="G1099" s="110"/>
      <c r="H1099" s="110"/>
      <c r="I1099" s="110"/>
      <c r="J1099" s="111"/>
      <c r="K1099" s="156" t="str">
        <f>IFERROR(INDEX('[239]MANO DE OBRA'!D:D,MATCH(B1099,'[239]MANO DE OBRA'!A:A,0)),"")</f>
        <v/>
      </c>
      <c r="L1099" s="157" t="str">
        <f>+IF(D1099&lt;&gt;"",'[239]FACTOR PRESTACIONAL'!$E$21," ")</f>
        <v xml:space="preserve"> </v>
      </c>
      <c r="M1099" s="158" t="str">
        <f>IFERROR(K1099*L1099," ")</f>
        <v xml:space="preserve"> </v>
      </c>
      <c r="N1099" s="159"/>
      <c r="O1099" s="160"/>
      <c r="P1099" s="161" t="str">
        <f>IFERROR(ROUND(M1099/N1099,2)," ")</f>
        <v xml:space="preserve"> </v>
      </c>
      <c r="Q1099" s="162"/>
      <c r="R1099" s="4"/>
    </row>
    <row r="1100" spans="1:18" ht="15.75" thickBot="1">
      <c r="A1100" s="1">
        <f t="shared" si="37"/>
        <v>0</v>
      </c>
      <c r="B1100" s="2"/>
      <c r="C1100" s="8"/>
      <c r="D1100" s="109" t="str">
        <f>IFERROR(INDEX('[239]MANO DE OBRA'!B:B,MATCH(B1100,'[239]MANO DE OBRA'!A:A,0)),"")</f>
        <v/>
      </c>
      <c r="E1100" s="110"/>
      <c r="F1100" s="110"/>
      <c r="G1100" s="110"/>
      <c r="H1100" s="110"/>
      <c r="I1100" s="110"/>
      <c r="J1100" s="111"/>
      <c r="K1100" s="156" t="str">
        <f>IFERROR(INDEX('[239]MANO DE OBRA'!D:D,MATCH(B1100,'[239]MANO DE OBRA'!A:A,0)),"")</f>
        <v/>
      </c>
      <c r="L1100" s="157" t="str">
        <f>+IF(D1100&lt;&gt;"",'[239]FACTOR PRESTACIONAL'!$E$21," ")</f>
        <v xml:space="preserve"> </v>
      </c>
      <c r="M1100" s="158" t="str">
        <f>IFERROR(K1100*L1100," ")</f>
        <v xml:space="preserve"> </v>
      </c>
      <c r="N1100" s="159"/>
      <c r="O1100" s="160"/>
      <c r="P1100" s="161" t="str">
        <f>IFERROR(ROUND(M1100/N1100,2)," ")</f>
        <v xml:space="preserve"> </v>
      </c>
      <c r="Q1100" s="119"/>
      <c r="R1100" s="4"/>
    </row>
    <row r="1101" spans="1:18" ht="15.75" thickBot="1">
      <c r="A1101" s="1">
        <f t="shared" si="37"/>
        <v>0</v>
      </c>
      <c r="B1101" s="2"/>
      <c r="C1101" s="8"/>
      <c r="D1101" s="128" t="s">
        <v>24</v>
      </c>
      <c r="E1101" s="129"/>
      <c r="F1101" s="129"/>
      <c r="G1101" s="129"/>
      <c r="H1101" s="129"/>
      <c r="I1101" s="129"/>
      <c r="J1101" s="129"/>
      <c r="K1101" s="129"/>
      <c r="L1101" s="129"/>
      <c r="M1101" s="129"/>
      <c r="N1101" s="129"/>
      <c r="O1101" s="130"/>
      <c r="P1101" s="131">
        <f>SUM(P1096:P1100)</f>
        <v>4014.25</v>
      </c>
      <c r="Q1101" s="119"/>
      <c r="R1101" s="4"/>
    </row>
    <row r="1102" spans="1:18" ht="15.75" thickBot="1">
      <c r="A1102" s="1">
        <f t="shared" si="37"/>
        <v>0</v>
      </c>
      <c r="B1102" s="2"/>
      <c r="C1102" s="8"/>
      <c r="D1102" s="87"/>
      <c r="E1102" s="20"/>
      <c r="F1102" s="20"/>
      <c r="G1102" s="20"/>
      <c r="H1102" s="20"/>
      <c r="I1102" s="20"/>
      <c r="J1102" s="20"/>
      <c r="K1102" s="20"/>
      <c r="L1102" s="20"/>
      <c r="M1102" s="20"/>
      <c r="N1102" s="20"/>
      <c r="O1102" s="20"/>
      <c r="P1102" s="88"/>
      <c r="Q1102" s="13"/>
      <c r="R1102" s="4"/>
    </row>
    <row r="1103" spans="1:18" ht="15.75" thickBot="1">
      <c r="A1103" s="1"/>
      <c r="B1103" s="2"/>
      <c r="C1103" s="8"/>
      <c r="D1103" s="163" t="s">
        <v>43</v>
      </c>
      <c r="E1103" s="164"/>
      <c r="F1103" s="164"/>
      <c r="G1103" s="164"/>
      <c r="H1103" s="164"/>
      <c r="I1103" s="164"/>
      <c r="J1103" s="164"/>
      <c r="K1103" s="164"/>
      <c r="L1103" s="164"/>
      <c r="M1103" s="164"/>
      <c r="N1103" s="164"/>
      <c r="O1103" s="165"/>
      <c r="P1103" s="166">
        <f>+P1101+P1093+P1086+P1068</f>
        <v>10439.61</v>
      </c>
      <c r="Q1103" s="167"/>
      <c r="R1103" s="168"/>
    </row>
    <row r="1104" spans="1:18" ht="15.75" thickBot="1">
      <c r="A1104" s="1"/>
      <c r="B1104" s="2"/>
      <c r="C1104" s="8"/>
      <c r="D1104" s="169"/>
      <c r="E1104" s="170"/>
      <c r="F1104" s="170"/>
      <c r="G1104" s="170"/>
      <c r="H1104" s="170"/>
      <c r="I1104" s="170"/>
      <c r="J1104" s="170"/>
      <c r="K1104" s="170"/>
      <c r="L1104" s="170"/>
      <c r="M1104" s="170"/>
      <c r="N1104" s="170"/>
      <c r="O1104" s="170"/>
      <c r="P1104" s="171"/>
      <c r="Q1104" s="100"/>
      <c r="R1104" s="4"/>
    </row>
    <row r="1105" spans="1:18">
      <c r="A1105" s="1"/>
      <c r="B1105" s="2"/>
      <c r="C1105" s="8"/>
      <c r="D1105" s="172" t="s">
        <v>73</v>
      </c>
      <c r="E1105" s="173"/>
      <c r="F1105" s="173"/>
      <c r="G1105" s="173"/>
      <c r="H1105" s="173"/>
      <c r="I1105" s="173"/>
      <c r="J1105" s="173"/>
      <c r="K1105" s="141"/>
      <c r="L1105" s="174"/>
      <c r="M1105" s="153" t="s">
        <v>44</v>
      </c>
      <c r="N1105" s="175" t="s">
        <v>45</v>
      </c>
      <c r="O1105" s="176"/>
      <c r="P1105" s="154"/>
      <c r="Q1105" s="155"/>
      <c r="R1105" s="4"/>
    </row>
    <row r="1106" spans="1:18">
      <c r="A1106" s="1"/>
      <c r="B1106" s="2"/>
      <c r="C1106" s="8"/>
      <c r="D1106" s="109" t="s">
        <v>65</v>
      </c>
      <c r="E1106" s="110"/>
      <c r="F1106" s="110"/>
      <c r="G1106" s="110"/>
      <c r="H1106" s="110"/>
      <c r="I1106" s="110"/>
      <c r="J1106" s="110"/>
      <c r="K1106" s="177"/>
      <c r="L1106" s="178"/>
      <c r="M1106" s="179">
        <f>+[239]INICIO!$F$10</f>
        <v>0.24</v>
      </c>
      <c r="N1106" s="180">
        <f>ROUND(M1106*P1103,2)</f>
        <v>2505.5100000000002</v>
      </c>
      <c r="O1106" s="181"/>
      <c r="P1106" s="182"/>
      <c r="Q1106" s="119"/>
      <c r="R1106" s="4"/>
    </row>
    <row r="1107" spans="1:18">
      <c r="A1107" s="1"/>
      <c r="B1107" s="2"/>
      <c r="C1107" s="8"/>
      <c r="D1107" s="183" t="s">
        <v>67</v>
      </c>
      <c r="E1107" s="61"/>
      <c r="F1107" s="61"/>
      <c r="G1107" s="61"/>
      <c r="H1107" s="61"/>
      <c r="I1107" s="61"/>
      <c r="J1107" s="61"/>
      <c r="K1107" s="177"/>
      <c r="L1107" s="178"/>
      <c r="M1107" s="179">
        <f>+[239]INICIO!$F$11</f>
        <v>0.02</v>
      </c>
      <c r="N1107" s="180">
        <f>ROUND(M1107*P1103,2)</f>
        <v>208.79</v>
      </c>
      <c r="O1107" s="181"/>
      <c r="P1107" s="182"/>
      <c r="Q1107" s="119"/>
      <c r="R1107" s="4"/>
    </row>
    <row r="1108" spans="1:18" ht="15.75" thickBot="1">
      <c r="A1108" s="1"/>
      <c r="B1108" s="2"/>
      <c r="C1108" s="8"/>
      <c r="D1108" s="77" t="s">
        <v>69</v>
      </c>
      <c r="E1108" s="78"/>
      <c r="F1108" s="78"/>
      <c r="G1108" s="78"/>
      <c r="H1108" s="78"/>
      <c r="I1108" s="78"/>
      <c r="J1108" s="78"/>
      <c r="K1108" s="184"/>
      <c r="L1108" s="185"/>
      <c r="M1108" s="179">
        <f>+[239]INICIO!$F$12</f>
        <v>7.0000000000000007E-2</v>
      </c>
      <c r="N1108" s="180">
        <f>ROUND(M1108*P1103,2)</f>
        <v>730.77</v>
      </c>
      <c r="O1108" s="181"/>
      <c r="P1108" s="182"/>
      <c r="Q1108" s="119"/>
      <c r="R1108" s="4"/>
    </row>
    <row r="1109" spans="1:18" ht="15.75" thickBot="1">
      <c r="A1109" s="1"/>
      <c r="B1109" s="2"/>
      <c r="C1109" s="8"/>
      <c r="D1109" s="128"/>
      <c r="E1109" s="129"/>
      <c r="F1109" s="129"/>
      <c r="G1109" s="129"/>
      <c r="H1109" s="129"/>
      <c r="I1109" s="129"/>
      <c r="J1109" s="129"/>
      <c r="K1109" s="129"/>
      <c r="L1109" s="129"/>
      <c r="M1109" s="129"/>
      <c r="N1109" s="129"/>
      <c r="O1109" s="130"/>
      <c r="P1109" s="131">
        <f>SUM(N1106:N1108)</f>
        <v>3445.07</v>
      </c>
      <c r="Q1109" s="186"/>
      <c r="R1109" s="4"/>
    </row>
    <row r="1110" spans="1:18" ht="15.75" thickBot="1">
      <c r="A1110" s="1"/>
      <c r="B1110" s="2"/>
      <c r="C1110" s="8"/>
      <c r="D1110" s="87"/>
      <c r="E1110" s="20"/>
      <c r="F1110" s="20"/>
      <c r="G1110" s="20"/>
      <c r="H1110" s="20"/>
      <c r="I1110" s="20"/>
      <c r="J1110" s="20"/>
      <c r="K1110" s="20"/>
      <c r="L1110" s="20"/>
      <c r="M1110" s="20"/>
      <c r="N1110" s="20"/>
      <c r="O1110" s="20"/>
      <c r="P1110" s="88"/>
      <c r="Q1110" s="13"/>
      <c r="R1110" s="4"/>
    </row>
    <row r="1111" spans="1:18" ht="15.75" thickBot="1">
      <c r="A1111" s="1"/>
      <c r="B1111" s="2"/>
      <c r="C1111" s="8"/>
      <c r="D1111" s="187" t="s">
        <v>46</v>
      </c>
      <c r="E1111" s="188"/>
      <c r="F1111" s="188"/>
      <c r="G1111" s="188"/>
      <c r="H1111" s="188"/>
      <c r="I1111" s="188"/>
      <c r="J1111" s="188"/>
      <c r="K1111" s="188"/>
      <c r="L1111" s="188"/>
      <c r="M1111" s="188"/>
      <c r="N1111" s="188"/>
      <c r="O1111" s="189"/>
      <c r="P1111" s="166">
        <f>ROUND(P1109+P1103,0)</f>
        <v>13885</v>
      </c>
      <c r="Q1111" s="186"/>
      <c r="R1111" s="4"/>
    </row>
    <row r="1112" spans="1:18">
      <c r="A1112" s="1"/>
      <c r="B1112" s="2"/>
      <c r="C1112" s="8"/>
      <c r="D1112" s="80"/>
      <c r="E1112" s="81"/>
      <c r="F1112" s="81"/>
      <c r="G1112" s="81"/>
      <c r="H1112" s="81"/>
      <c r="I1112" s="81"/>
      <c r="J1112" s="81"/>
      <c r="K1112" s="81"/>
      <c r="L1112" s="81"/>
      <c r="M1112" s="81"/>
      <c r="N1112" s="81"/>
      <c r="O1112" s="81"/>
      <c r="P1112" s="82"/>
      <c r="Q1112" s="13"/>
      <c r="R1112" s="4"/>
    </row>
    <row r="1113" spans="1:18">
      <c r="A1113" s="1"/>
      <c r="B1113" s="2"/>
      <c r="C1113" s="8"/>
      <c r="D1113" s="87"/>
      <c r="E1113" s="20"/>
      <c r="F1113" s="20"/>
      <c r="G1113" s="20"/>
      <c r="H1113" s="20"/>
      <c r="I1113" s="20"/>
      <c r="J1113" s="20"/>
      <c r="K1113" s="20"/>
      <c r="L1113" s="20"/>
      <c r="M1113" s="20"/>
      <c r="N1113" s="20"/>
      <c r="O1113" s="20"/>
      <c r="P1113" s="88"/>
      <c r="Q1113" s="13"/>
      <c r="R1113" s="4"/>
    </row>
    <row r="1114" spans="1:18">
      <c r="A1114" s="1"/>
      <c r="B1114" s="2"/>
      <c r="C1114" s="8"/>
      <c r="D1114" s="87"/>
      <c r="E1114" s="20"/>
      <c r="F1114" s="20"/>
      <c r="G1114" s="20"/>
      <c r="H1114" s="20"/>
      <c r="I1114" s="20"/>
      <c r="J1114" s="20"/>
      <c r="K1114" s="20"/>
      <c r="L1114" s="20"/>
      <c r="M1114" s="20"/>
      <c r="N1114" s="20"/>
      <c r="O1114" s="20"/>
      <c r="P1114" s="88"/>
      <c r="Q1114" s="13"/>
      <c r="R1114" s="4"/>
    </row>
    <row r="1115" spans="1:18">
      <c r="A1115" s="1"/>
      <c r="B1115" s="2"/>
      <c r="C1115" s="8"/>
      <c r="D1115" s="87"/>
      <c r="E1115" s="20"/>
      <c r="F1115" s="20"/>
      <c r="G1115" s="20"/>
      <c r="H1115" s="20"/>
      <c r="I1115" s="20"/>
      <c r="J1115" s="20"/>
      <c r="K1115" s="20"/>
      <c r="L1115" s="20"/>
      <c r="M1115" s="20"/>
      <c r="N1115" s="20"/>
      <c r="O1115" s="20"/>
      <c r="P1115" s="88"/>
      <c r="Q1115" s="13"/>
      <c r="R1115" s="4"/>
    </row>
    <row r="1116" spans="1:18">
      <c r="A1116" s="1"/>
      <c r="B1116" s="2"/>
      <c r="C1116" s="8"/>
      <c r="D1116" s="219" t="str">
        <f>+[239]INICIO!$B$13</f>
        <v>Proyectó:</v>
      </c>
      <c r="E1116" s="49"/>
      <c r="F1116" s="49"/>
      <c r="G1116" s="49"/>
      <c r="H1116" s="49"/>
      <c r="I1116" s="49"/>
      <c r="J1116" s="49"/>
      <c r="K1116" s="20"/>
      <c r="L1116" s="69" t="str">
        <f>+[239]INICIO!$B$16</f>
        <v>Aprobó:</v>
      </c>
      <c r="M1116" s="49"/>
      <c r="N1116" s="49"/>
      <c r="O1116" s="49"/>
      <c r="P1116" s="88"/>
      <c r="Q1116" s="13"/>
      <c r="R1116" s="4"/>
    </row>
    <row r="1117" spans="1:18">
      <c r="A1117" s="1"/>
      <c r="B1117" s="2"/>
      <c r="C1117" s="8"/>
      <c r="D1117" s="87"/>
      <c r="E1117" s="20" t="str">
        <f>+Hoja2!C$13</f>
        <v>HELMER EDUARDO BECERRA SANTANDER</v>
      </c>
      <c r="F1117" s="20"/>
      <c r="G1117" s="20"/>
      <c r="H1117" s="20"/>
      <c r="I1117" s="20"/>
      <c r="J1117" s="20"/>
      <c r="K1117" s="20"/>
      <c r="L1117" s="20"/>
      <c r="M1117" s="20" t="str">
        <f>+Hoja2!$C$16</f>
        <v>JESÚS IVÁN QUIÑONES RUEDA</v>
      </c>
      <c r="N1117" s="20"/>
      <c r="O1117" s="20"/>
      <c r="P1117" s="88"/>
      <c r="Q1117" s="190"/>
      <c r="R1117" s="4"/>
    </row>
    <row r="1118" spans="1:18">
      <c r="A1118" s="1"/>
      <c r="B1118" s="2"/>
      <c r="C1118" s="8"/>
      <c r="D1118" s="87"/>
      <c r="E1118" s="20" t="str">
        <f>+Hoja2!C$14</f>
        <v>APOYO SEC. DE PLANEACIÓN Y OBRAS PÚBLICAS</v>
      </c>
      <c r="F1118" s="20"/>
      <c r="G1118" s="20"/>
      <c r="H1118" s="20"/>
      <c r="I1118" s="20"/>
      <c r="J1118" s="20"/>
      <c r="K1118" s="20"/>
      <c r="L1118" s="20"/>
      <c r="M1118" s="20" t="str">
        <f>+Hoja2!$C$17</f>
        <v>SECRETARIO DE PLANEACIÓN Y OBRAS PUBLICAS</v>
      </c>
      <c r="N1118" s="20"/>
      <c r="O1118" s="20"/>
      <c r="P1118" s="88"/>
      <c r="Q1118" s="190"/>
      <c r="R1118" s="4"/>
    </row>
    <row r="1119" spans="1:18">
      <c r="A1119" s="1"/>
      <c r="B1119" s="2"/>
      <c r="C1119" s="8"/>
      <c r="D1119" s="68"/>
      <c r="E1119" s="20" t="str">
        <f>+Hoja2!C$15</f>
        <v>123769-0701671 NTS</v>
      </c>
      <c r="F1119" s="191"/>
      <c r="G1119" s="191"/>
      <c r="H1119" s="191"/>
      <c r="I1119" s="20"/>
      <c r="J1119" s="191"/>
      <c r="K1119" s="191"/>
      <c r="L1119" s="191"/>
      <c r="M1119" s="192" t="str">
        <f>+Hoja2!C$18</f>
        <v>A21382020-1090480860</v>
      </c>
      <c r="N1119" s="191"/>
      <c r="O1119" s="191"/>
      <c r="P1119" s="193"/>
      <c r="Q1119" s="194"/>
      <c r="R1119" s="4"/>
    </row>
    <row r="1120" spans="1:18" ht="16.5" thickBot="1">
      <c r="A1120" s="1"/>
      <c r="B1120" s="2"/>
      <c r="C1120" s="8"/>
      <c r="D1120" s="195"/>
      <c r="E1120" s="150"/>
      <c r="F1120" s="150"/>
      <c r="G1120" s="150"/>
      <c r="H1120" s="150"/>
      <c r="I1120" s="150"/>
      <c r="J1120" s="150"/>
      <c r="K1120" s="150"/>
      <c r="L1120" s="150"/>
      <c r="M1120" s="150"/>
      <c r="N1120" s="150"/>
      <c r="O1120" s="150"/>
      <c r="P1120" s="196"/>
      <c r="Q1120" s="197"/>
      <c r="R1120" s="4"/>
    </row>
    <row r="1121" spans="1:18" ht="15.75" thickBot="1">
      <c r="A1121" s="1"/>
      <c r="B1121" s="2"/>
      <c r="C1121" s="198"/>
      <c r="D1121" s="199"/>
      <c r="E1121" s="199"/>
      <c r="F1121" s="199"/>
      <c r="G1121" s="199"/>
      <c r="H1121" s="199"/>
      <c r="I1121" s="199"/>
      <c r="J1121" s="199"/>
      <c r="K1121" s="199"/>
      <c r="L1121" s="199"/>
      <c r="M1121" s="199"/>
      <c r="N1121" s="199"/>
      <c r="O1121" s="199"/>
      <c r="P1121" s="199"/>
      <c r="Q1121" s="200"/>
      <c r="R1121" s="4"/>
    </row>
    <row r="1122" spans="1:18" ht="16.5" thickTop="1" thickBot="1">
      <c r="A1122" s="2"/>
      <c r="B1122" s="2"/>
      <c r="C1122" s="3"/>
      <c r="D1122" s="4"/>
      <c r="E1122" s="4"/>
      <c r="F1122" s="4"/>
      <c r="G1122" s="4"/>
      <c r="H1122" s="4"/>
      <c r="I1122" s="4"/>
      <c r="J1122" s="4"/>
      <c r="K1122" s="4"/>
      <c r="L1122" s="4"/>
      <c r="M1122" s="4"/>
      <c r="N1122" s="4"/>
      <c r="O1122" s="4"/>
      <c r="P1122" s="4"/>
      <c r="Q1122" s="4"/>
      <c r="R1122" s="4"/>
    </row>
    <row r="1123" spans="1:18" ht="15.75" thickTop="1">
      <c r="A1123" s="1"/>
      <c r="B1123" s="2"/>
      <c r="C1123" s="5"/>
      <c r="D1123" s="6"/>
      <c r="E1123" s="6"/>
      <c r="F1123" s="6"/>
      <c r="G1123" s="6"/>
      <c r="H1123" s="6"/>
      <c r="I1123" s="6"/>
      <c r="J1123" s="6"/>
      <c r="K1123" s="6"/>
      <c r="L1123" s="6"/>
      <c r="M1123" s="6"/>
      <c r="N1123" s="6"/>
      <c r="O1123" s="6"/>
      <c r="P1123" s="6"/>
      <c r="Q1123" s="7"/>
      <c r="R1123" s="4"/>
    </row>
    <row r="1124" spans="1:18" ht="24">
      <c r="A1124" s="1"/>
      <c r="B1124" s="2"/>
      <c r="C1124" s="8"/>
      <c r="D1124" s="9" t="str">
        <f>+[239]INICIO!$C$8</f>
        <v>Análisis de Precios Unitarios- Secretaria de Planeación y Obras Publicas de Cubará, Boyacá.</v>
      </c>
      <c r="E1124" s="10"/>
      <c r="F1124" s="10"/>
      <c r="G1124" s="10"/>
      <c r="H1124" s="11"/>
      <c r="I1124" s="12"/>
      <c r="J1124" s="12"/>
      <c r="K1124" s="12"/>
      <c r="L1124" s="12"/>
      <c r="M1124" s="12"/>
      <c r="N1124" s="12"/>
      <c r="O1124" s="12"/>
      <c r="P1124" s="12"/>
      <c r="Q1124" s="13"/>
      <c r="R1124" s="4"/>
    </row>
    <row r="1125" spans="1:18">
      <c r="A1125" s="1"/>
      <c r="B1125" s="2"/>
      <c r="C1125" s="8"/>
      <c r="D1125" s="14" t="s">
        <v>0</v>
      </c>
      <c r="E1125" s="15" t="str">
        <f>+[239]INICIO!$C$7</f>
        <v>CCE-EICP-FM-14</v>
      </c>
      <c r="F1125" s="16"/>
      <c r="G1125" s="17" t="str">
        <f>+[239]INICIO!$B$6</f>
        <v>VERSIÓN</v>
      </c>
      <c r="H1125" s="14">
        <f>+[239]INICIO!$C$6</f>
        <v>1</v>
      </c>
      <c r="I1125" s="12"/>
      <c r="J1125" s="12"/>
      <c r="K1125" s="12"/>
      <c r="L1125" s="12"/>
      <c r="M1125" s="12"/>
      <c r="N1125" s="12"/>
      <c r="O1125" s="12"/>
      <c r="P1125" s="12"/>
      <c r="Q1125" s="13"/>
      <c r="R1125" s="4"/>
    </row>
    <row r="1126" spans="1:18">
      <c r="A1126" s="1"/>
      <c r="B1126" s="2"/>
      <c r="C1126" s="8"/>
      <c r="D1126" s="18"/>
      <c r="E1126" s="19"/>
      <c r="F1126" s="18"/>
      <c r="G1126" s="19"/>
      <c r="H1126" s="12"/>
      <c r="I1126" s="12"/>
      <c r="J1126" s="12"/>
      <c r="K1126" s="12"/>
      <c r="L1126" s="12"/>
      <c r="M1126" s="12"/>
      <c r="N1126" s="12"/>
      <c r="O1126" s="12"/>
      <c r="P1126" s="12"/>
      <c r="Q1126" s="13"/>
      <c r="R1126" s="4"/>
    </row>
    <row r="1127" spans="1:18" ht="15.75" thickBot="1">
      <c r="A1127" s="1"/>
      <c r="B1127" s="2"/>
      <c r="C1127" s="8"/>
      <c r="D1127" s="20"/>
      <c r="E1127" s="20"/>
      <c r="F1127" s="20"/>
      <c r="G1127" s="20"/>
      <c r="H1127" s="20"/>
      <c r="I1127" s="20"/>
      <c r="J1127" s="20"/>
      <c r="K1127" s="20"/>
      <c r="L1127" s="20"/>
      <c r="M1127" s="20"/>
      <c r="N1127" s="20"/>
      <c r="O1127" s="20"/>
      <c r="P1127" s="20"/>
      <c r="Q1127" s="13"/>
      <c r="R1127" s="4"/>
    </row>
    <row r="1128" spans="1:18">
      <c r="A1128" s="1"/>
      <c r="B1128" s="2"/>
      <c r="C1128" s="8"/>
      <c r="D1128" s="21"/>
      <c r="E1128" s="22"/>
      <c r="F1128" s="23"/>
      <c r="G1128" s="23"/>
      <c r="H1128" s="23"/>
      <c r="I1128" s="23"/>
      <c r="J1128" s="23"/>
      <c r="K1128" s="23"/>
      <c r="L1128" s="24"/>
      <c r="M1128" s="25"/>
      <c r="N1128" s="26"/>
      <c r="O1128" s="26"/>
      <c r="P1128" s="27"/>
      <c r="Q1128" s="28"/>
      <c r="R1128" s="4"/>
    </row>
    <row r="1129" spans="1:18">
      <c r="A1129" s="1"/>
      <c r="B1129" s="2"/>
      <c r="C1129" s="8"/>
      <c r="D1129" s="29"/>
      <c r="E1129" s="30" t="s">
        <v>1</v>
      </c>
      <c r="F1129" s="31"/>
      <c r="G1129" s="31"/>
      <c r="H1129" s="31"/>
      <c r="I1129" s="31"/>
      <c r="J1129" s="31"/>
      <c r="K1129" s="31"/>
      <c r="L1129" s="32"/>
      <c r="M1129" s="33"/>
      <c r="N1129" s="34"/>
      <c r="O1129" s="34"/>
      <c r="P1129" s="35"/>
      <c r="Q1129" s="28"/>
      <c r="R1129" s="4"/>
    </row>
    <row r="1130" spans="1:18">
      <c r="A1130" s="1"/>
      <c r="B1130" s="2"/>
      <c r="C1130" s="8"/>
      <c r="D1130" s="29"/>
      <c r="E1130" s="36"/>
      <c r="F1130" s="37"/>
      <c r="G1130" s="37"/>
      <c r="H1130" s="37"/>
      <c r="I1130" s="37"/>
      <c r="J1130" s="37"/>
      <c r="K1130" s="37"/>
      <c r="L1130" s="38"/>
      <c r="M1130" s="39"/>
      <c r="N1130" s="40"/>
      <c r="O1130" s="41"/>
      <c r="P1130" s="42"/>
      <c r="Q1130" s="28"/>
      <c r="R1130" s="4"/>
    </row>
    <row r="1131" spans="1:18">
      <c r="A1131" s="1"/>
      <c r="B1131" s="2"/>
      <c r="C1131" s="8"/>
      <c r="D1131" s="29"/>
      <c r="E1131" s="36"/>
      <c r="F1131" s="37"/>
      <c r="G1131" s="37"/>
      <c r="H1131" s="37"/>
      <c r="I1131" s="37"/>
      <c r="J1131" s="37"/>
      <c r="K1131" s="37"/>
      <c r="L1131" s="38"/>
      <c r="M1131" s="43" t="s">
        <v>2</v>
      </c>
      <c r="N1131" s="44"/>
      <c r="O1131" s="45">
        <f>+[239]INICIO!$C$6</f>
        <v>1</v>
      </c>
      <c r="P1131" s="46"/>
      <c r="Q1131" s="28"/>
      <c r="R1131" s="4"/>
    </row>
    <row r="1132" spans="1:18">
      <c r="A1132" s="1"/>
      <c r="B1132" s="2"/>
      <c r="C1132" s="8"/>
      <c r="D1132" s="29"/>
      <c r="E1132" s="36"/>
      <c r="F1132" s="37"/>
      <c r="G1132" s="37"/>
      <c r="H1132" s="37"/>
      <c r="I1132" s="37"/>
      <c r="J1132" s="37"/>
      <c r="K1132" s="37"/>
      <c r="L1132" s="38"/>
      <c r="M1132" s="47"/>
      <c r="N1132" s="48"/>
      <c r="O1132" s="49"/>
      <c r="P1132" s="50"/>
      <c r="Q1132" s="51"/>
      <c r="R1132" s="4"/>
    </row>
    <row r="1133" spans="1:18">
      <c r="A1133" s="1"/>
      <c r="B1133" s="2"/>
      <c r="C1133" s="8"/>
      <c r="D1133" s="29"/>
      <c r="E1133" s="52"/>
      <c r="F1133" s="53"/>
      <c r="G1133" s="53"/>
      <c r="H1133" s="53"/>
      <c r="I1133" s="53"/>
      <c r="J1133" s="53"/>
      <c r="K1133" s="53"/>
      <c r="L1133" s="54"/>
      <c r="M1133" s="39"/>
      <c r="N1133" s="55"/>
      <c r="O1133" s="55"/>
      <c r="P1133" s="56"/>
      <c r="Q1133" s="28"/>
      <c r="R1133" s="4"/>
    </row>
    <row r="1134" spans="1:18">
      <c r="A1134" s="1"/>
      <c r="B1134" s="2"/>
      <c r="C1134" s="8"/>
      <c r="D1134" s="29"/>
      <c r="E1134" s="52"/>
      <c r="F1134" s="53"/>
      <c r="G1134" s="53"/>
      <c r="H1134" s="53"/>
      <c r="I1134" s="53"/>
      <c r="J1134" s="53"/>
      <c r="K1134" s="53"/>
      <c r="L1134" s="54"/>
      <c r="M1134" s="43" t="s">
        <v>3</v>
      </c>
      <c r="N1134" s="43" t="str">
        <f>+VLOOKUP(D1145,'PRESUPUESTO OFICIAL '!C:Q,9,FALSE)</f>
        <v>29</v>
      </c>
      <c r="O1134" s="43" t="s">
        <v>4</v>
      </c>
      <c r="P1134" s="508" t="str">
        <f>+'PRESUPUESTO OFICIAL '!$M$122</f>
        <v>62</v>
      </c>
      <c r="Q1134" s="28"/>
      <c r="R1134" s="4"/>
    </row>
    <row r="1135" spans="1:18">
      <c r="A1135" s="1"/>
      <c r="B1135" s="2"/>
      <c r="C1135" s="8"/>
      <c r="D1135" s="29"/>
      <c r="E1135" s="30" t="s">
        <v>5</v>
      </c>
      <c r="F1135" s="31"/>
      <c r="G1135" s="31"/>
      <c r="H1135" s="31"/>
      <c r="I1135" s="31"/>
      <c r="J1135" s="31"/>
      <c r="K1135" s="31"/>
      <c r="L1135" s="32"/>
      <c r="M1135" s="43"/>
      <c r="N1135" s="57"/>
      <c r="O1135" s="57"/>
      <c r="P1135" s="58"/>
      <c r="Q1135" s="28"/>
      <c r="R1135" s="4"/>
    </row>
    <row r="1136" spans="1:18" ht="15.75" thickBot="1">
      <c r="A1136" s="1"/>
      <c r="B1136" s="2"/>
      <c r="C1136" s="8"/>
      <c r="D1136" s="59"/>
      <c r="E1136" s="60"/>
      <c r="F1136" s="60"/>
      <c r="G1136" s="60"/>
      <c r="H1136" s="60"/>
      <c r="I1136" s="60"/>
      <c r="J1136" s="60"/>
      <c r="K1136" s="60"/>
      <c r="L1136" s="60"/>
      <c r="M1136" s="60"/>
      <c r="N1136" s="61"/>
      <c r="O1136" s="61"/>
      <c r="P1136" s="62"/>
      <c r="Q1136" s="63"/>
      <c r="R1136" s="4"/>
    </row>
    <row r="1137" spans="1:18">
      <c r="A1137" s="1"/>
      <c r="B1137" s="2"/>
      <c r="C1137" s="8"/>
      <c r="D1137" s="64"/>
      <c r="E1137" s="65"/>
      <c r="F1137" s="65"/>
      <c r="G1137" s="65"/>
      <c r="H1137" s="65"/>
      <c r="I1137" s="65"/>
      <c r="J1137" s="65"/>
      <c r="K1137" s="65"/>
      <c r="L1137" s="65"/>
      <c r="M1137" s="66" t="s">
        <v>6</v>
      </c>
      <c r="N1137" s="66" t="s">
        <v>7</v>
      </c>
      <c r="O1137" s="66" t="s">
        <v>8</v>
      </c>
      <c r="P1137" s="67" t="s">
        <v>9</v>
      </c>
      <c r="Q1137" s="51"/>
      <c r="R1137" s="4"/>
    </row>
    <row r="1138" spans="1:18">
      <c r="A1138" s="1"/>
      <c r="B1138" s="2"/>
      <c r="C1138" s="8"/>
      <c r="D1138" s="68"/>
      <c r="E1138" s="69"/>
      <c r="F1138" s="69"/>
      <c r="G1138" s="69"/>
      <c r="H1138" s="69"/>
      <c r="I1138" s="69"/>
      <c r="J1138" s="69"/>
      <c r="K1138" s="69"/>
      <c r="L1138" s="69"/>
      <c r="M1138" s="70"/>
      <c r="N1138" s="71">
        <f>+Hoja2!B$5</f>
        <v>5</v>
      </c>
      <c r="O1138" s="71">
        <f>+Hoja2!C$5</f>
        <v>8</v>
      </c>
      <c r="P1138" s="72">
        <f>+Hoja2!D$5</f>
        <v>2026</v>
      </c>
      <c r="Q1138" s="73"/>
      <c r="R1138" s="4"/>
    </row>
    <row r="1139" spans="1:18">
      <c r="A1139" s="1"/>
      <c r="B1139" s="2"/>
      <c r="C1139" s="8"/>
      <c r="D1139" s="74"/>
      <c r="E1139" s="37"/>
      <c r="F1139" s="37"/>
      <c r="G1139" s="37"/>
      <c r="H1139" s="69"/>
      <c r="I1139" s="69"/>
      <c r="J1139" s="69"/>
      <c r="K1139" s="20"/>
      <c r="L1139" s="69"/>
      <c r="M1139" s="75"/>
      <c r="N1139" s="20"/>
      <c r="O1139" s="20"/>
      <c r="P1139" s="76"/>
      <c r="Q1139" s="73"/>
      <c r="R1139" s="4"/>
    </row>
    <row r="1140" spans="1:18" ht="15.75" thickBot="1">
      <c r="A1140" s="1"/>
      <c r="B1140" s="2"/>
      <c r="C1140" s="8"/>
      <c r="D1140" s="77"/>
      <c r="E1140" s="78"/>
      <c r="F1140" s="78"/>
      <c r="G1140" s="78"/>
      <c r="H1140" s="78"/>
      <c r="I1140" s="78"/>
      <c r="J1140" s="78"/>
      <c r="K1140" s="78"/>
      <c r="L1140" s="78"/>
      <c r="M1140" s="78"/>
      <c r="N1140" s="78"/>
      <c r="O1140" s="78"/>
      <c r="P1140" s="79"/>
      <c r="Q1140" s="13"/>
      <c r="R1140" s="4"/>
    </row>
    <row r="1141" spans="1:18" ht="15.75" thickBot="1">
      <c r="A1141" s="1"/>
      <c r="B1141" s="2"/>
      <c r="C1141" s="8"/>
      <c r="D1141" s="80"/>
      <c r="E1141" s="81"/>
      <c r="F1141" s="81"/>
      <c r="G1141" s="81"/>
      <c r="H1141" s="81"/>
      <c r="I1141" s="81"/>
      <c r="J1141" s="20"/>
      <c r="K1141" s="20"/>
      <c r="L1141" s="81"/>
      <c r="M1141" s="81"/>
      <c r="N1141" s="81"/>
      <c r="O1141" s="81"/>
      <c r="P1141" s="82"/>
      <c r="Q1141" s="13"/>
      <c r="R1141" s="4"/>
    </row>
    <row r="1142" spans="1:18">
      <c r="A1142" s="1"/>
      <c r="B1142" s="2"/>
      <c r="C1142" s="8"/>
      <c r="D1142" s="83" t="s">
        <v>10</v>
      </c>
      <c r="E1142" s="84"/>
      <c r="F1142" s="84"/>
      <c r="G1142" s="84"/>
      <c r="H1142" s="84"/>
      <c r="I1142" s="84"/>
      <c r="J1142" s="84"/>
      <c r="K1142" s="84"/>
      <c r="L1142" s="84"/>
      <c r="M1142" s="84"/>
      <c r="N1142" s="84"/>
      <c r="O1142" s="84"/>
      <c r="P1142" s="85"/>
      <c r="Q1142" s="86"/>
      <c r="R1142" s="4"/>
    </row>
    <row r="1143" spans="1:18" ht="15.75" thickBot="1">
      <c r="A1143" s="1"/>
      <c r="B1143" s="2"/>
      <c r="C1143" s="8"/>
      <c r="D1143" s="87"/>
      <c r="E1143" s="20"/>
      <c r="F1143" s="20"/>
      <c r="G1143" s="20"/>
      <c r="H1143" s="20"/>
      <c r="I1143" s="20"/>
      <c r="J1143" s="20"/>
      <c r="K1143" s="20"/>
      <c r="L1143" s="20"/>
      <c r="M1143" s="20"/>
      <c r="N1143" s="20"/>
      <c r="O1143" s="20"/>
      <c r="P1143" s="88"/>
      <c r="Q1143" s="13"/>
      <c r="R1143" s="4"/>
    </row>
    <row r="1144" spans="1:18">
      <c r="A1144" s="1" t="s">
        <v>11</v>
      </c>
      <c r="B1144" s="2" t="s">
        <v>12</v>
      </c>
      <c r="C1144" s="8"/>
      <c r="D1144" s="89" t="s">
        <v>13</v>
      </c>
      <c r="E1144" s="90" t="s">
        <v>14</v>
      </c>
      <c r="F1144" s="90"/>
      <c r="G1144" s="90"/>
      <c r="H1144" s="90"/>
      <c r="I1144" s="90"/>
      <c r="J1144" s="90"/>
      <c r="K1144" s="90"/>
      <c r="L1144" s="90"/>
      <c r="M1144" s="90"/>
      <c r="N1144" s="91" t="s">
        <v>15</v>
      </c>
      <c r="O1144" s="91"/>
      <c r="P1144" s="92" t="s">
        <v>16</v>
      </c>
      <c r="Q1144" s="93"/>
      <c r="R1144" s="4"/>
    </row>
    <row r="1145" spans="1:18" ht="24" customHeight="1" thickBot="1">
      <c r="A1145" s="1"/>
      <c r="B1145" s="2"/>
      <c r="C1145" s="8"/>
      <c r="D1145" s="349">
        <f>+'PRESUPUESTO OFICIAL '!C50</f>
        <v>4.01</v>
      </c>
      <c r="E1145" s="94" t="str">
        <f>+VLOOKUP(D1145,'PRESUPUESTO OFICIAL '!C:H,2,FALSE)</f>
        <v>SUMINISTRO E INSTALACIÓN DE TUBERÍA PVC DE 1/2" T.P, PARA RED DE SUMINISTRO INTERNA.</v>
      </c>
      <c r="F1145" s="94"/>
      <c r="G1145" s="94"/>
      <c r="H1145" s="94"/>
      <c r="I1145" s="94"/>
      <c r="J1145" s="94"/>
      <c r="K1145" s="94"/>
      <c r="L1145" s="94"/>
      <c r="M1145" s="94"/>
      <c r="N1145" s="94" t="str">
        <f>+VLOOKUP(D1145,'PRESUPUESTO OFICIAL '!C:H,3,FALSE)</f>
        <v>M</v>
      </c>
      <c r="O1145" s="95"/>
      <c r="P1145" s="96">
        <f>+VLOOKUP(D1145,'PRESUPUESTO OFICIAL '!C:H,4,FALSE)</f>
        <v>128</v>
      </c>
      <c r="Q1145" s="97"/>
      <c r="R1145" s="98">
        <f>+P1197</f>
        <v>24471</v>
      </c>
    </row>
    <row r="1146" spans="1:18" ht="15.75" thickBot="1">
      <c r="A1146" s="1"/>
      <c r="B1146" s="2"/>
      <c r="C1146" s="8"/>
      <c r="D1146" s="74" t="s">
        <v>17</v>
      </c>
      <c r="E1146" s="37"/>
      <c r="F1146" s="37"/>
      <c r="G1146" s="37"/>
      <c r="H1146" s="37"/>
      <c r="I1146" s="37"/>
      <c r="J1146" s="37"/>
      <c r="K1146" s="37"/>
      <c r="L1146" s="37"/>
      <c r="M1146" s="37"/>
      <c r="N1146" s="37"/>
      <c r="O1146" s="37"/>
      <c r="P1146" s="99"/>
      <c r="Q1146" s="100"/>
      <c r="R1146" s="4"/>
    </row>
    <row r="1147" spans="1:18">
      <c r="A1147" s="1"/>
      <c r="B1147" s="2"/>
      <c r="C1147" s="8"/>
      <c r="D1147" s="101" t="s">
        <v>14</v>
      </c>
      <c r="E1147" s="102"/>
      <c r="F1147" s="102"/>
      <c r="G1147" s="102"/>
      <c r="H1147" s="103"/>
      <c r="I1147" s="104" t="s">
        <v>18</v>
      </c>
      <c r="J1147" s="102"/>
      <c r="K1147" s="104" t="s">
        <v>19</v>
      </c>
      <c r="L1147" s="105"/>
      <c r="M1147" s="106" t="s">
        <v>20</v>
      </c>
      <c r="N1147" s="104" t="s">
        <v>21</v>
      </c>
      <c r="O1147" s="105"/>
      <c r="P1147" s="107" t="s">
        <v>22</v>
      </c>
      <c r="Q1147" s="108"/>
      <c r="R1147" s="4"/>
    </row>
    <row r="1148" spans="1:18">
      <c r="A1148" s="1" t="e">
        <f>[239]INDICE!#REF!</f>
        <v>#REF!</v>
      </c>
      <c r="B1148" s="2" t="s">
        <v>23</v>
      </c>
      <c r="C1148" s="8"/>
      <c r="D1148" s="109" t="str">
        <f>IFERROR(INDEX([239]EQUIPOS!B:B,MATCH(B1148,[239]EQUIPOS!A:A,0)),"")</f>
        <v>HERRAMIENTA MENOR (% M.O)</v>
      </c>
      <c r="E1148" s="110"/>
      <c r="F1148" s="110"/>
      <c r="G1148" s="110"/>
      <c r="H1148" s="111"/>
      <c r="I1148" s="112"/>
      <c r="J1148" s="111"/>
      <c r="K1148" s="113" t="str">
        <f>IFERROR(INDEX([239]EQUIPOS!C:C,MATCH(B1148,[239]EQUIPOS!A:A,0)),"")</f>
        <v>%</v>
      </c>
      <c r="L1148" s="114"/>
      <c r="M1148" s="115">
        <f>IFERROR(IF(D1148="HERRAMIENTA MENOR (% M.O)",P1187,INDEX([239]EQUIPOS!D:D,MATCH(B1148,[239]EQUIPOS!A:A,0))),"")</f>
        <v>10878.599999999999</v>
      </c>
      <c r="N1148" s="116">
        <v>10</v>
      </c>
      <c r="O1148" s="117"/>
      <c r="P1148" s="118">
        <f t="shared" ref="P1148:P1153" si="39">IFERROR(ROUND(IF(D1148="HERRAMIENTA MENOR (% M.O)",N1148%*M1148,M1148/N1148),2)," ")</f>
        <v>1087.8599999999999</v>
      </c>
      <c r="Q1148" s="119"/>
      <c r="R1148" s="4"/>
    </row>
    <row r="1149" spans="1:18">
      <c r="A1149" s="1">
        <f>+$A$2858</f>
        <v>0</v>
      </c>
      <c r="B1149" s="2"/>
      <c r="C1149" s="8"/>
      <c r="D1149" s="109" t="str">
        <f>IFERROR(INDEX([239]EQUIPOS!B:B,MATCH(B1149,[239]EQUIPOS!A:A,0)),"")</f>
        <v/>
      </c>
      <c r="E1149" s="110"/>
      <c r="F1149" s="110"/>
      <c r="G1149" s="110"/>
      <c r="H1149" s="111"/>
      <c r="I1149" s="112"/>
      <c r="J1149" s="111"/>
      <c r="K1149" s="113" t="str">
        <f>IFERROR(INDEX([239]EQUIPOS!C:C,MATCH(B1149,[239]EQUIPOS!A:A,0)),"")</f>
        <v/>
      </c>
      <c r="L1149" s="114"/>
      <c r="M1149" s="115" t="str">
        <f>IFERROR(IF(D1149="HERRAMIENTA MENOR (% M.O)",P1188,INDEX([239]EQUIPOS!D:D,MATCH(B1149,[239]EQUIPOS!A:A,0))),"")</f>
        <v/>
      </c>
      <c r="N1149" s="116"/>
      <c r="O1149" s="117"/>
      <c r="P1149" s="118" t="str">
        <f t="shared" si="39"/>
        <v xml:space="preserve"> </v>
      </c>
      <c r="Q1149" s="119"/>
      <c r="R1149" s="4"/>
    </row>
    <row r="1150" spans="1:18">
      <c r="A1150" s="1">
        <f t="shared" ref="A1150:A1188" si="40">+A1149</f>
        <v>0</v>
      </c>
      <c r="B1150" s="2"/>
      <c r="C1150" s="8"/>
      <c r="D1150" s="109" t="str">
        <f>IFERROR(INDEX([239]EQUIPOS!B:B,MATCH(B1150,[239]EQUIPOS!A:A,0)),"")</f>
        <v/>
      </c>
      <c r="E1150" s="110"/>
      <c r="F1150" s="110"/>
      <c r="G1150" s="110"/>
      <c r="H1150" s="111"/>
      <c r="I1150" s="120"/>
      <c r="J1150" s="121"/>
      <c r="K1150" s="113" t="str">
        <f>IFERROR(INDEX([239]EQUIPOS!C:C,MATCH(B1150,[239]EQUIPOS!A:A,0)),"")</f>
        <v/>
      </c>
      <c r="L1150" s="114"/>
      <c r="M1150" s="115" t="str">
        <f>IFERROR(IF(D1150="HERRAMIENTA MENOR (% M.O)",P1189,INDEX([239]EQUIPOS!D:D,MATCH(B1150,[239]EQUIPOS!A:A,0))),"")</f>
        <v/>
      </c>
      <c r="N1150" s="116"/>
      <c r="O1150" s="117"/>
      <c r="P1150" s="118" t="str">
        <f t="shared" si="39"/>
        <v xml:space="preserve"> </v>
      </c>
      <c r="Q1150" s="119"/>
      <c r="R1150" s="4"/>
    </row>
    <row r="1151" spans="1:18">
      <c r="A1151" s="1">
        <f t="shared" si="40"/>
        <v>0</v>
      </c>
      <c r="B1151" s="2"/>
      <c r="C1151" s="8"/>
      <c r="D1151" s="109" t="str">
        <f>IFERROR(INDEX([239]EQUIPOS!B:B,MATCH(B1151,[239]EQUIPOS!A:A,0)),"")</f>
        <v/>
      </c>
      <c r="E1151" s="110"/>
      <c r="F1151" s="110"/>
      <c r="G1151" s="110"/>
      <c r="H1151" s="111"/>
      <c r="I1151" s="120"/>
      <c r="J1151" s="121"/>
      <c r="K1151" s="113" t="str">
        <f>IFERROR(INDEX([239]EQUIPOS!C:C,MATCH(B1151,[239]EQUIPOS!A:A,0)),"")</f>
        <v/>
      </c>
      <c r="L1151" s="114"/>
      <c r="M1151" s="115" t="str">
        <f>IFERROR(IF(D1151="HERRAMIENTA MENOR (% M.O)",P1190,INDEX([239]EQUIPOS!D:D,MATCH(B1151,[239]EQUIPOS!A:A,0))),"")</f>
        <v/>
      </c>
      <c r="N1151" s="116"/>
      <c r="O1151" s="117"/>
      <c r="P1151" s="118" t="str">
        <f t="shared" si="39"/>
        <v xml:space="preserve"> </v>
      </c>
      <c r="Q1151" s="119"/>
      <c r="R1151" s="4"/>
    </row>
    <row r="1152" spans="1:18">
      <c r="A1152" s="1">
        <f t="shared" si="40"/>
        <v>0</v>
      </c>
      <c r="B1152" s="2"/>
      <c r="C1152" s="8"/>
      <c r="D1152" s="109" t="str">
        <f>IFERROR(INDEX([239]EQUIPOS!B:B,MATCH(B1152,[239]EQUIPOS!A:A,0)),"")</f>
        <v/>
      </c>
      <c r="E1152" s="110"/>
      <c r="F1152" s="110"/>
      <c r="G1152" s="110"/>
      <c r="H1152" s="111"/>
      <c r="I1152" s="112"/>
      <c r="J1152" s="111"/>
      <c r="K1152" s="113" t="str">
        <f>IFERROR(INDEX([239]EQUIPOS!C:C,MATCH(B1152,[239]EQUIPOS!A:A,0)),"")</f>
        <v/>
      </c>
      <c r="L1152" s="114"/>
      <c r="M1152" s="115" t="str">
        <f>IFERROR(IF(D1152="HERRAMIENTA MENOR (% M.O)",P1191,INDEX([239]EQUIPOS!D:D,MATCH(B1152,[239]EQUIPOS!A:A,0))),"")</f>
        <v/>
      </c>
      <c r="N1152" s="116"/>
      <c r="O1152" s="117"/>
      <c r="P1152" s="118" t="str">
        <f t="shared" si="39"/>
        <v xml:space="preserve"> </v>
      </c>
      <c r="Q1152" s="119"/>
      <c r="R1152" s="4"/>
    </row>
    <row r="1153" spans="1:18" ht="15.75" thickBot="1">
      <c r="A1153" s="1">
        <f t="shared" si="40"/>
        <v>0</v>
      </c>
      <c r="B1153" s="2"/>
      <c r="C1153" s="8"/>
      <c r="D1153" s="109" t="str">
        <f>IFERROR(INDEX([239]EQUIPOS!B:B,MATCH(B1153,[239]EQUIPOS!A:A,0)),"")</f>
        <v/>
      </c>
      <c r="E1153" s="78"/>
      <c r="F1153" s="78"/>
      <c r="G1153" s="78"/>
      <c r="H1153" s="122"/>
      <c r="I1153" s="123"/>
      <c r="J1153" s="122"/>
      <c r="K1153" s="113" t="str">
        <f>IFERROR(INDEX([239]EQUIPOS!C:C,MATCH(B1153,[239]EQUIPOS!A:A,0)),"")</f>
        <v/>
      </c>
      <c r="L1153" s="124"/>
      <c r="M1153" s="115" t="str">
        <f>IFERROR(IF(D1153="HERRAMIENTA MENOR (% M.O)",P1192,INDEX([239]EQUIPOS!D:D,MATCH(B1153,[239]EQUIPOS!A:A,0))),"")</f>
        <v/>
      </c>
      <c r="N1153" s="125"/>
      <c r="O1153" s="126"/>
      <c r="P1153" s="127" t="str">
        <f t="shared" si="39"/>
        <v xml:space="preserve"> </v>
      </c>
      <c r="Q1153" s="119"/>
      <c r="R1153" s="4"/>
    </row>
    <row r="1154" spans="1:18" ht="15.75" thickBot="1">
      <c r="A1154" s="1">
        <f t="shared" si="40"/>
        <v>0</v>
      </c>
      <c r="B1154" s="2"/>
      <c r="C1154" s="8"/>
      <c r="D1154" s="128" t="s">
        <v>24</v>
      </c>
      <c r="E1154" s="129"/>
      <c r="F1154" s="129"/>
      <c r="G1154" s="129"/>
      <c r="H1154" s="129"/>
      <c r="I1154" s="129"/>
      <c r="J1154" s="129"/>
      <c r="K1154" s="129"/>
      <c r="L1154" s="129"/>
      <c r="M1154" s="129"/>
      <c r="N1154" s="129"/>
      <c r="O1154" s="130"/>
      <c r="P1154" s="131">
        <f>SUM(P1148:P1153)</f>
        <v>1087.8599999999999</v>
      </c>
      <c r="Q1154" s="132"/>
      <c r="R1154" s="4"/>
    </row>
    <row r="1155" spans="1:18" ht="15.75" thickBot="1">
      <c r="A1155" s="1">
        <f t="shared" si="40"/>
        <v>0</v>
      </c>
      <c r="B1155" s="2"/>
      <c r="C1155" s="8"/>
      <c r="D1155" s="74" t="s">
        <v>25</v>
      </c>
      <c r="E1155" s="37"/>
      <c r="F1155" s="37"/>
      <c r="G1155" s="37"/>
      <c r="H1155" s="37"/>
      <c r="I1155" s="37"/>
      <c r="J1155" s="37"/>
      <c r="K1155" s="37"/>
      <c r="L1155" s="37"/>
      <c r="M1155" s="37"/>
      <c r="N1155" s="37"/>
      <c r="O1155" s="37"/>
      <c r="P1155" s="99"/>
      <c r="Q1155" s="100"/>
      <c r="R1155" s="4"/>
    </row>
    <row r="1156" spans="1:18">
      <c r="A1156" s="1">
        <f t="shared" si="40"/>
        <v>0</v>
      </c>
      <c r="B1156" s="2"/>
      <c r="C1156" s="8"/>
      <c r="D1156" s="101" t="s">
        <v>14</v>
      </c>
      <c r="E1156" s="133"/>
      <c r="F1156" s="133"/>
      <c r="G1156" s="133"/>
      <c r="H1156" s="133"/>
      <c r="I1156" s="133"/>
      <c r="J1156" s="133"/>
      <c r="K1156" s="105"/>
      <c r="L1156" s="134" t="s">
        <v>15</v>
      </c>
      <c r="M1156" s="106" t="s">
        <v>16</v>
      </c>
      <c r="N1156" s="104" t="s">
        <v>26</v>
      </c>
      <c r="O1156" s="105"/>
      <c r="P1156" s="107" t="s">
        <v>22</v>
      </c>
      <c r="Q1156" s="108"/>
      <c r="R1156" s="4"/>
    </row>
    <row r="1157" spans="1:18">
      <c r="A1157" s="1">
        <f t="shared" si="40"/>
        <v>0</v>
      </c>
      <c r="B1157" s="2" t="s">
        <v>290</v>
      </c>
      <c r="C1157" s="8"/>
      <c r="D1157" s="109" t="str">
        <f>IFERROR(INDEX([239]MATERIALES!C:C,MATCH(B1157,[239]MATERIALES!B:B,0)),"")</f>
        <v>TUBERÍA PVC DE 1/2". T.P. (RDE. 9)</v>
      </c>
      <c r="E1157" s="135"/>
      <c r="F1157" s="135"/>
      <c r="G1157" s="135"/>
      <c r="H1157" s="135"/>
      <c r="I1157" s="135"/>
      <c r="J1157" s="135"/>
      <c r="K1157" s="136"/>
      <c r="L1157" s="137" t="str">
        <f>IFERROR(INDEX([239]MATERIALES!D:D,MATCH(B1157,[239]MATERIALES!B:B,0)),"")</f>
        <v>M</v>
      </c>
      <c r="M1157" s="138">
        <v>1</v>
      </c>
      <c r="N1157" s="139">
        <f>IFERROR(INDEX([239]MATERIALES!P:P,MATCH(B1157,[239]MATERIALES!B:B,0)),"")</f>
        <v>5399.16</v>
      </c>
      <c r="O1157" s="140"/>
      <c r="P1157" s="118">
        <f>IFERROR(ROUND(N1157*M1157,2),"")</f>
        <v>5399.16</v>
      </c>
      <c r="Q1157" s="119"/>
      <c r="R1157" s="4"/>
    </row>
    <row r="1158" spans="1:18">
      <c r="A1158" s="1">
        <f t="shared" si="40"/>
        <v>0</v>
      </c>
      <c r="B1158" s="2" t="s">
        <v>291</v>
      </c>
      <c r="C1158" s="8"/>
      <c r="D1158" s="109" t="str">
        <f>IFERROR(INDEX([239]MATERIALES!C:C,MATCH(B1158,[239]MATERIALES!B:B,0)),"")</f>
        <v>UNION DE 1/2"</v>
      </c>
      <c r="E1158" s="135"/>
      <c r="F1158" s="135"/>
      <c r="G1158" s="135"/>
      <c r="H1158" s="135"/>
      <c r="I1158" s="135"/>
      <c r="J1158" s="135"/>
      <c r="K1158" s="136"/>
      <c r="L1158" s="137" t="str">
        <f>IFERROR(INDEX([239]MATERIALES!D:D,MATCH(B1158,[239]MATERIALES!B:B,0)),"")</f>
        <v>UND</v>
      </c>
      <c r="M1158" s="138">
        <v>0.17</v>
      </c>
      <c r="N1158" s="139">
        <f>IFERROR(INDEX([239]MATERIALES!P:P,MATCH(B1158,[239]MATERIALES!B:B,0)),"")</f>
        <v>900</v>
      </c>
      <c r="O1158" s="140"/>
      <c r="P1158" s="118">
        <f>IFERROR(ROUND(N1158*M1158,2),"")</f>
        <v>153</v>
      </c>
      <c r="Q1158" s="119"/>
      <c r="R1158" s="4"/>
    </row>
    <row r="1159" spans="1:18">
      <c r="A1159" s="1">
        <f t="shared" si="40"/>
        <v>0</v>
      </c>
      <c r="B1159" s="2" t="s">
        <v>292</v>
      </c>
      <c r="C1159" s="8"/>
      <c r="D1159" s="109" t="str">
        <f>IFERROR(INDEX([239]MATERIALES!C:C,MATCH(B1159,[239]MATERIALES!B:B,0)),"")</f>
        <v>TEE PVC DE 1/2" T.P.</v>
      </c>
      <c r="E1159" s="110"/>
      <c r="F1159" s="110"/>
      <c r="G1159" s="110"/>
      <c r="H1159" s="110"/>
      <c r="I1159" s="110"/>
      <c r="J1159" s="110"/>
      <c r="K1159" s="111"/>
      <c r="L1159" s="137" t="str">
        <f>IFERROR(INDEX([239]MATERIALES!D:D,MATCH(B1159,[239]MATERIALES!B:B,0)),"")</f>
        <v>UND</v>
      </c>
      <c r="M1159" s="138">
        <v>0.1</v>
      </c>
      <c r="N1159" s="139">
        <f>IFERROR(INDEX([239]MATERIALES!P:P,MATCH(B1159,[239]MATERIALES!B:B,0)),"")</f>
        <v>1183.52</v>
      </c>
      <c r="O1159" s="140"/>
      <c r="P1159" s="118">
        <f>IFERROR(ROUND(N1159*M1159,2),"")</f>
        <v>118.35</v>
      </c>
      <c r="Q1159" s="119"/>
      <c r="R1159" s="4"/>
    </row>
    <row r="1160" spans="1:18">
      <c r="A1160" s="1">
        <f t="shared" si="40"/>
        <v>0</v>
      </c>
      <c r="B1160" s="2" t="s">
        <v>293</v>
      </c>
      <c r="C1160" s="8"/>
      <c r="D1160" s="109" t="str">
        <f>IFERROR(INDEX([239]MATERIALES!C:C,MATCH(B1160,[239]MATERIALES!B:B,0)),"")</f>
        <v>CODO PVC DE 1/2" T.P.</v>
      </c>
      <c r="E1160" s="110"/>
      <c r="F1160" s="110"/>
      <c r="G1160" s="110"/>
      <c r="H1160" s="110"/>
      <c r="I1160" s="110"/>
      <c r="J1160" s="110"/>
      <c r="K1160" s="111"/>
      <c r="L1160" s="137" t="str">
        <f>IFERROR(INDEX([239]MATERIALES!D:D,MATCH(B1160,[239]MATERIALES!B:B,0)),"")</f>
        <v>UND</v>
      </c>
      <c r="M1160" s="138">
        <v>0.1</v>
      </c>
      <c r="N1160" s="139">
        <f>IFERROR(INDEX([239]MATERIALES!P:P,MATCH(B1160,[239]MATERIALES!B:B,0)),"")</f>
        <v>895.96</v>
      </c>
      <c r="O1160" s="140"/>
      <c r="P1160" s="118">
        <f>IFERROR(ROUND(N1160*M1160,2),"")</f>
        <v>89.6</v>
      </c>
      <c r="Q1160" s="119"/>
      <c r="R1160" s="4"/>
    </row>
    <row r="1161" spans="1:18">
      <c r="A1161" s="1">
        <f t="shared" si="40"/>
        <v>0</v>
      </c>
      <c r="B1161" s="2" t="s">
        <v>294</v>
      </c>
      <c r="C1161" s="8"/>
      <c r="D1161" s="109" t="str">
        <f>IFERROR(INDEX([239]MATERIALES!C:C,MATCH(B1161,[239]MATERIALES!B:B,0)),"")</f>
        <v>SOLDADURA LIQUIDA PVC 1/4"</v>
      </c>
      <c r="E1161" s="110"/>
      <c r="F1161" s="110"/>
      <c r="G1161" s="110"/>
      <c r="H1161" s="110"/>
      <c r="I1161" s="110"/>
      <c r="J1161" s="110"/>
      <c r="K1161" s="111"/>
      <c r="L1161" s="137" t="str">
        <f>IFERROR(INDEX([239]MATERIALES!D:D,MATCH(B1161,[239]MATERIALES!B:B,0)),"")</f>
        <v>GAL</v>
      </c>
      <c r="M1161" s="352">
        <v>3.0000000000000001E-3</v>
      </c>
      <c r="N1161" s="139">
        <f>IFERROR(INDEX([239]MATERIALES!P:P,MATCH(B1161,[239]MATERIALES!B:B,0)),"")</f>
        <v>67444</v>
      </c>
      <c r="O1161" s="140"/>
      <c r="P1161" s="118">
        <f t="shared" ref="P1161:P1170" si="41">IFERROR(ROUND(N1161*M1161,2),"")</f>
        <v>202.33</v>
      </c>
      <c r="Q1161" s="119"/>
      <c r="R1161" s="4"/>
    </row>
    <row r="1162" spans="1:18">
      <c r="A1162" s="1">
        <f t="shared" si="40"/>
        <v>0</v>
      </c>
      <c r="B1162" s="2" t="s">
        <v>295</v>
      </c>
      <c r="C1162" s="8"/>
      <c r="D1162" s="109" t="str">
        <f>IFERROR(INDEX([239]MATERIALES!C:C,MATCH(B1162,[239]MATERIALES!B:B,0)),"")</f>
        <v>REMOVEDOR PVC (LIMPIADOR 1/4 )</v>
      </c>
      <c r="E1162" s="110"/>
      <c r="F1162" s="110"/>
      <c r="G1162" s="110"/>
      <c r="H1162" s="110"/>
      <c r="I1162" s="110"/>
      <c r="J1162" s="110"/>
      <c r="K1162" s="111"/>
      <c r="L1162" s="137" t="str">
        <f>IFERROR(INDEX([239]MATERIALES!D:D,MATCH(B1162,[239]MATERIALES!B:B,0)),"")</f>
        <v>GAL</v>
      </c>
      <c r="M1162" s="352">
        <v>3.0000000000000001E-3</v>
      </c>
      <c r="N1162" s="139">
        <f>IFERROR(INDEX([239]MATERIALES!P:P,MATCH(B1162,[239]MATERIALES!B:B,0)),"")</f>
        <v>54704</v>
      </c>
      <c r="O1162" s="140"/>
      <c r="P1162" s="118">
        <f t="shared" si="41"/>
        <v>164.11</v>
      </c>
      <c r="Q1162" s="119"/>
      <c r="R1162" s="4"/>
    </row>
    <row r="1163" spans="1:18">
      <c r="A1163" s="1">
        <f t="shared" si="40"/>
        <v>0</v>
      </c>
      <c r="B1163" s="2"/>
      <c r="C1163" s="8"/>
      <c r="D1163" s="109" t="str">
        <f>IFERROR(INDEX([239]MATERIALES!C:C,MATCH(B1163,[239]MATERIALES!B:B,0)),"")</f>
        <v/>
      </c>
      <c r="E1163" s="110"/>
      <c r="F1163" s="110"/>
      <c r="G1163" s="110"/>
      <c r="H1163" s="110"/>
      <c r="I1163" s="110"/>
      <c r="J1163" s="110"/>
      <c r="K1163" s="111"/>
      <c r="L1163" s="137" t="str">
        <f>IFERROR(INDEX([239]MATERIALES!D:D,MATCH(B1163,[239]MATERIALES!B:B,0)),"")</f>
        <v/>
      </c>
      <c r="M1163" s="138"/>
      <c r="N1163" s="139" t="str">
        <f>IFERROR(INDEX([239]MATERIALES!P:P,MATCH(B1163,[239]MATERIALES!B:B,0)),"")</f>
        <v/>
      </c>
      <c r="O1163" s="140"/>
      <c r="P1163" s="118" t="str">
        <f t="shared" si="41"/>
        <v/>
      </c>
      <c r="Q1163" s="119"/>
      <c r="R1163" s="4"/>
    </row>
    <row r="1164" spans="1:18">
      <c r="A1164" s="1">
        <f t="shared" si="40"/>
        <v>0</v>
      </c>
      <c r="B1164" s="2"/>
      <c r="C1164" s="8"/>
      <c r="D1164" s="109" t="str">
        <f>IFERROR(INDEX([239]MATERIALES!C:C,MATCH(B1164,[239]MATERIALES!B:B,0)),"")</f>
        <v/>
      </c>
      <c r="E1164" s="110"/>
      <c r="F1164" s="110"/>
      <c r="G1164" s="110"/>
      <c r="H1164" s="110"/>
      <c r="I1164" s="110"/>
      <c r="J1164" s="110"/>
      <c r="K1164" s="111"/>
      <c r="L1164" s="137" t="str">
        <f>IFERROR(INDEX([239]MATERIALES!D:D,MATCH(B1164,[239]MATERIALES!B:B,0)),"")</f>
        <v/>
      </c>
      <c r="M1164" s="138"/>
      <c r="N1164" s="139" t="str">
        <f>IFERROR(INDEX([239]MATERIALES!P:P,MATCH(B1164,[239]MATERIALES!B:B,0)),"")</f>
        <v/>
      </c>
      <c r="O1164" s="140"/>
      <c r="P1164" s="118" t="str">
        <f t="shared" si="41"/>
        <v/>
      </c>
      <c r="Q1164" s="119"/>
      <c r="R1164" s="4"/>
    </row>
    <row r="1165" spans="1:18">
      <c r="A1165" s="1">
        <f t="shared" si="40"/>
        <v>0</v>
      </c>
      <c r="B1165" s="2"/>
      <c r="C1165" s="8"/>
      <c r="D1165" s="109" t="str">
        <f>IFERROR(INDEX([239]MATERIALES!C:C,MATCH(B1165,[239]MATERIALES!B:B,0)),"")</f>
        <v/>
      </c>
      <c r="E1165" s="110"/>
      <c r="F1165" s="110"/>
      <c r="G1165" s="110"/>
      <c r="H1165" s="110"/>
      <c r="I1165" s="110"/>
      <c r="J1165" s="110"/>
      <c r="K1165" s="111"/>
      <c r="L1165" s="137" t="str">
        <f>IFERROR(INDEX([239]MATERIALES!D:D,MATCH(B1165,[239]MATERIALES!B:B,0)),"")</f>
        <v/>
      </c>
      <c r="M1165" s="138"/>
      <c r="N1165" s="139" t="str">
        <f>IFERROR(INDEX([239]MATERIALES!P:P,MATCH(B1165,[239]MATERIALES!B:B,0)),"")</f>
        <v/>
      </c>
      <c r="O1165" s="140"/>
      <c r="P1165" s="118" t="str">
        <f t="shared" si="41"/>
        <v/>
      </c>
      <c r="Q1165" s="119"/>
      <c r="R1165" s="4"/>
    </row>
    <row r="1166" spans="1:18">
      <c r="A1166" s="1">
        <f t="shared" si="40"/>
        <v>0</v>
      </c>
      <c r="B1166" s="2"/>
      <c r="C1166" s="8"/>
      <c r="D1166" s="109" t="str">
        <f>IFERROR(INDEX([239]MATERIALES!C:C,MATCH(B1166,[239]MATERIALES!B:B,0)),"")</f>
        <v/>
      </c>
      <c r="E1166" s="110"/>
      <c r="F1166" s="110"/>
      <c r="G1166" s="110"/>
      <c r="H1166" s="110"/>
      <c r="I1166" s="110"/>
      <c r="J1166" s="110"/>
      <c r="K1166" s="111"/>
      <c r="L1166" s="137" t="str">
        <f>IFERROR(INDEX([239]MATERIALES!D:D,MATCH(B1166,[239]MATERIALES!B:B,0)),"")</f>
        <v/>
      </c>
      <c r="M1166" s="138"/>
      <c r="N1166" s="139" t="str">
        <f>IFERROR(INDEX([239]MATERIALES!P:P,MATCH(B1166,[239]MATERIALES!B:B,0)),"")</f>
        <v/>
      </c>
      <c r="O1166" s="140"/>
      <c r="P1166" s="118" t="str">
        <f t="shared" si="41"/>
        <v/>
      </c>
      <c r="Q1166" s="119"/>
      <c r="R1166" s="4"/>
    </row>
    <row r="1167" spans="1:18">
      <c r="A1167" s="1">
        <f t="shared" si="40"/>
        <v>0</v>
      </c>
      <c r="B1167" s="2"/>
      <c r="C1167" s="8"/>
      <c r="D1167" s="109" t="str">
        <f>IFERROR(INDEX([239]MATERIALES!C:C,MATCH(B1167,[239]MATERIALES!B:B,0)),"")</f>
        <v/>
      </c>
      <c r="E1167" s="110"/>
      <c r="F1167" s="110"/>
      <c r="G1167" s="110"/>
      <c r="H1167" s="110"/>
      <c r="I1167" s="110"/>
      <c r="J1167" s="110"/>
      <c r="K1167" s="111"/>
      <c r="L1167" s="137" t="str">
        <f>IFERROR(INDEX([239]MATERIALES!D:D,MATCH(B1167,[239]MATERIALES!B:B,0)),"")</f>
        <v/>
      </c>
      <c r="M1167" s="138"/>
      <c r="N1167" s="139" t="str">
        <f>IFERROR(INDEX([239]MATERIALES!P:P,MATCH(B1167,[239]MATERIALES!B:B,0)),"")</f>
        <v/>
      </c>
      <c r="O1167" s="140"/>
      <c r="P1167" s="118" t="str">
        <f t="shared" si="41"/>
        <v/>
      </c>
      <c r="Q1167" s="119"/>
      <c r="R1167" s="4"/>
    </row>
    <row r="1168" spans="1:18">
      <c r="A1168" s="1">
        <f t="shared" si="40"/>
        <v>0</v>
      </c>
      <c r="B1168" s="2"/>
      <c r="C1168" s="8"/>
      <c r="D1168" s="109" t="str">
        <f>IFERROR(INDEX([239]MATERIALES!C:C,MATCH(B1168,[239]MATERIALES!B:B,0)),"")</f>
        <v/>
      </c>
      <c r="E1168" s="110"/>
      <c r="F1168" s="110"/>
      <c r="G1168" s="110"/>
      <c r="H1168" s="110"/>
      <c r="I1168" s="110"/>
      <c r="J1168" s="110"/>
      <c r="K1168" s="111"/>
      <c r="L1168" s="137" t="str">
        <f>IFERROR(INDEX([239]MATERIALES!D:D,MATCH(B1168,[239]MATERIALES!B:B,0)),"")</f>
        <v/>
      </c>
      <c r="M1168" s="138"/>
      <c r="N1168" s="139" t="str">
        <f>IFERROR(INDEX([239]MATERIALES!P:P,MATCH(B1168,[239]MATERIALES!B:B,0)),"")</f>
        <v/>
      </c>
      <c r="O1168" s="140"/>
      <c r="P1168" s="118" t="str">
        <f t="shared" si="41"/>
        <v/>
      </c>
      <c r="Q1168" s="119"/>
      <c r="R1168" s="4"/>
    </row>
    <row r="1169" spans="1:18">
      <c r="A1169" s="1">
        <f t="shared" si="40"/>
        <v>0</v>
      </c>
      <c r="B1169" s="2"/>
      <c r="C1169" s="8"/>
      <c r="D1169" s="109" t="str">
        <f>IFERROR(INDEX([239]MATERIALES!C:C,MATCH(B1169,[239]MATERIALES!B:B,0)),"")</f>
        <v/>
      </c>
      <c r="E1169" s="110"/>
      <c r="F1169" s="110"/>
      <c r="G1169" s="110"/>
      <c r="H1169" s="110"/>
      <c r="I1169" s="110"/>
      <c r="J1169" s="110"/>
      <c r="K1169" s="111"/>
      <c r="L1169" s="137" t="str">
        <f>IFERROR(INDEX([239]MATERIALES!D:D,MATCH(B1169,[239]MATERIALES!B:B,0)),"")</f>
        <v/>
      </c>
      <c r="M1169" s="138"/>
      <c r="N1169" s="139" t="str">
        <f>IFERROR(INDEX([239]MATERIALES!P:P,MATCH(B1169,[239]MATERIALES!B:B,0)),"")</f>
        <v/>
      </c>
      <c r="O1169" s="140"/>
      <c r="P1169" s="118" t="str">
        <f t="shared" si="41"/>
        <v/>
      </c>
      <c r="Q1169" s="119"/>
      <c r="R1169" s="4"/>
    </row>
    <row r="1170" spans="1:18">
      <c r="A1170" s="1">
        <f t="shared" si="40"/>
        <v>0</v>
      </c>
      <c r="B1170" s="2"/>
      <c r="C1170" s="8"/>
      <c r="D1170" s="109" t="str">
        <f>IFERROR(INDEX([239]MATERIALES!C:C,MATCH(B1170,[239]MATERIALES!B:B,0)),"")</f>
        <v/>
      </c>
      <c r="E1170" s="110"/>
      <c r="F1170" s="110"/>
      <c r="G1170" s="110"/>
      <c r="H1170" s="110"/>
      <c r="I1170" s="110"/>
      <c r="J1170" s="110"/>
      <c r="K1170" s="111"/>
      <c r="L1170" s="137" t="str">
        <f>IFERROR(INDEX([239]MATERIALES!D:D,MATCH(B1170,[239]MATERIALES!B:B,0)),"")</f>
        <v/>
      </c>
      <c r="M1170" s="138"/>
      <c r="N1170" s="139" t="str">
        <f>IFERROR(INDEX([239]MATERIALES!P:P,MATCH(B1170,[239]MATERIALES!B:B,0)),"")</f>
        <v/>
      </c>
      <c r="O1170" s="140"/>
      <c r="P1170" s="118" t="str">
        <f t="shared" si="41"/>
        <v/>
      </c>
      <c r="Q1170" s="119"/>
      <c r="R1170" s="4"/>
    </row>
    <row r="1171" spans="1:18" ht="15.75" thickBot="1">
      <c r="A1171" s="1">
        <f t="shared" si="40"/>
        <v>0</v>
      </c>
      <c r="B1171" s="2"/>
      <c r="C1171" s="8"/>
      <c r="D1171" s="109" t="s">
        <v>28</v>
      </c>
      <c r="E1171" s="110"/>
      <c r="F1171" s="110"/>
      <c r="G1171" s="110"/>
      <c r="H1171" s="110"/>
      <c r="I1171" s="110"/>
      <c r="J1171" s="110"/>
      <c r="K1171" s="111"/>
      <c r="L1171" s="137" t="s">
        <v>29</v>
      </c>
      <c r="M1171" s="138">
        <v>0.05</v>
      </c>
      <c r="N1171" s="139">
        <f>SUM(P1157:P1170)</f>
        <v>6126.55</v>
      </c>
      <c r="O1171" s="140"/>
      <c r="P1171" s="118">
        <f>ROUND(N1171*M1171,2)</f>
        <v>306.33</v>
      </c>
      <c r="Q1171" s="119"/>
      <c r="R1171" s="4"/>
    </row>
    <row r="1172" spans="1:18" ht="15.75" thickBot="1">
      <c r="A1172" s="1">
        <f t="shared" si="40"/>
        <v>0</v>
      </c>
      <c r="B1172" s="2"/>
      <c r="C1172" s="8"/>
      <c r="D1172" s="128" t="s">
        <v>24</v>
      </c>
      <c r="E1172" s="129"/>
      <c r="F1172" s="129"/>
      <c r="G1172" s="129"/>
      <c r="H1172" s="129"/>
      <c r="I1172" s="129"/>
      <c r="J1172" s="129"/>
      <c r="K1172" s="129"/>
      <c r="L1172" s="129"/>
      <c r="M1172" s="129"/>
      <c r="N1172" s="129"/>
      <c r="O1172" s="130"/>
      <c r="P1172" s="131">
        <f>SUM(P1157:P1171)</f>
        <v>6432.88</v>
      </c>
      <c r="Q1172" s="119"/>
      <c r="R1172" s="4"/>
    </row>
    <row r="1173" spans="1:18" ht="15.75" thickBot="1">
      <c r="A1173" s="1">
        <f t="shared" si="40"/>
        <v>0</v>
      </c>
      <c r="B1173" s="2"/>
      <c r="C1173" s="8"/>
      <c r="D1173" s="74" t="s">
        <v>30</v>
      </c>
      <c r="E1173" s="37"/>
      <c r="F1173" s="37"/>
      <c r="G1173" s="37"/>
      <c r="H1173" s="37"/>
      <c r="I1173" s="37"/>
      <c r="J1173" s="37"/>
      <c r="K1173" s="37"/>
      <c r="L1173" s="37"/>
      <c r="M1173" s="37"/>
      <c r="N1173" s="37"/>
      <c r="O1173" s="37"/>
      <c r="P1173" s="99"/>
      <c r="Q1173" s="100"/>
      <c r="R1173" s="4"/>
    </row>
    <row r="1174" spans="1:18">
      <c r="A1174" s="1">
        <f t="shared" si="40"/>
        <v>0</v>
      </c>
      <c r="B1174" s="2"/>
      <c r="C1174" s="8"/>
      <c r="D1174" s="101" t="s">
        <v>31</v>
      </c>
      <c r="E1174" s="133"/>
      <c r="F1174" s="133"/>
      <c r="G1174" s="133"/>
      <c r="H1174" s="133"/>
      <c r="I1174" s="133"/>
      <c r="J1174" s="133"/>
      <c r="K1174" s="106" t="s">
        <v>32</v>
      </c>
      <c r="L1174" s="141" t="s">
        <v>33</v>
      </c>
      <c r="M1174" s="106" t="s">
        <v>34</v>
      </c>
      <c r="N1174" s="104" t="s">
        <v>20</v>
      </c>
      <c r="O1174" s="105"/>
      <c r="P1174" s="107" t="s">
        <v>22</v>
      </c>
      <c r="Q1174" s="108"/>
      <c r="R1174" s="4"/>
    </row>
    <row r="1175" spans="1:18">
      <c r="A1175" s="1">
        <f t="shared" si="40"/>
        <v>0</v>
      </c>
      <c r="B1175" s="2"/>
      <c r="C1175" s="8"/>
      <c r="D1175" s="142" t="str">
        <f>IFERROR(INDEX([239]TRANSPORTES!B:B,MATCH(B1175,[239]TRANSPORTES!A:A,0)),"")</f>
        <v/>
      </c>
      <c r="E1175" s="143"/>
      <c r="F1175" s="143"/>
      <c r="G1175" s="143"/>
      <c r="H1175" s="143"/>
      <c r="I1175" s="143"/>
      <c r="J1175" s="143"/>
      <c r="K1175" s="220"/>
      <c r="L1175" s="145"/>
      <c r="M1175" s="146" t="str">
        <f>IFERROR(INDEX([239]TRANSPORTES!C:C,MATCH(B1175,[239]TRANSPORTES!A:A,0)),"")</f>
        <v/>
      </c>
      <c r="N1175" s="139" t="str">
        <f>IFERROR(INDEX([239]TRANSPORTES!D:D,MATCH(B1175,[239]TRANSPORTES!A:A,0)),"")</f>
        <v/>
      </c>
      <c r="O1175" s="147"/>
      <c r="P1175" s="148" t="str">
        <f>IFERROR(ROUND(K1175*N1175*L1175,2),"")</f>
        <v/>
      </c>
      <c r="Q1175" s="119"/>
      <c r="R1175" s="4"/>
    </row>
    <row r="1176" spans="1:18">
      <c r="A1176" s="1">
        <f t="shared" si="40"/>
        <v>0</v>
      </c>
      <c r="B1176" s="2"/>
      <c r="C1176" s="8"/>
      <c r="D1176" s="142" t="str">
        <f>IFERROR(INDEX([239]TRANSPORTES!B:B,MATCH(B1176,[239]TRANSPORTES!A:A,0)),"")</f>
        <v/>
      </c>
      <c r="E1176" s="143"/>
      <c r="F1176" s="143"/>
      <c r="G1176" s="143"/>
      <c r="H1176" s="143"/>
      <c r="I1176" s="143"/>
      <c r="J1176" s="143"/>
      <c r="K1176" s="144"/>
      <c r="L1176" s="145"/>
      <c r="M1176" s="146" t="str">
        <f>IFERROR(INDEX([239]TRANSPORTES!C:C,MATCH(B1176,[239]TRANSPORTES!A:A,0)),"")</f>
        <v/>
      </c>
      <c r="N1176" s="139" t="str">
        <f>IFERROR(INDEX([239]TRANSPORTES!D:D,MATCH(B1176,[239]TRANSPORTES!A:A,0)),"")</f>
        <v/>
      </c>
      <c r="O1176" s="147"/>
      <c r="P1176" s="148" t="str">
        <f>IFERROR(ROUND(K1176*N1176*L1176,2),"")</f>
        <v/>
      </c>
      <c r="Q1176" s="119"/>
      <c r="R1176" s="4"/>
    </row>
    <row r="1177" spans="1:18">
      <c r="A1177" s="1">
        <f t="shared" si="40"/>
        <v>0</v>
      </c>
      <c r="B1177" s="2"/>
      <c r="C1177" s="8"/>
      <c r="D1177" s="142" t="str">
        <f>IFERROR(INDEX([239]TRANSPORTES!B:B,MATCH(B1177,[239]TRANSPORTES!A:A,0)),"")</f>
        <v/>
      </c>
      <c r="E1177" s="143"/>
      <c r="F1177" s="143"/>
      <c r="G1177" s="143"/>
      <c r="H1177" s="143"/>
      <c r="I1177" s="143"/>
      <c r="J1177" s="143"/>
      <c r="K1177" s="144"/>
      <c r="L1177" s="145"/>
      <c r="M1177" s="146" t="str">
        <f>IFERROR(INDEX([239]TRANSPORTES!C:C,MATCH(B1177,[239]TRANSPORTES!A:A,0)),"")</f>
        <v/>
      </c>
      <c r="N1177" s="139" t="str">
        <f>IFERROR(INDEX([239]TRANSPORTES!D:D,MATCH(B1177,[239]TRANSPORTES!A:A,0)),"")</f>
        <v/>
      </c>
      <c r="O1177" s="147"/>
      <c r="P1177" s="148" t="str">
        <f>IFERROR(ROUND(K1177*N1177*L1177,2),"")</f>
        <v/>
      </c>
      <c r="Q1177" s="119"/>
      <c r="R1177" s="4"/>
    </row>
    <row r="1178" spans="1:18" ht="15.75" thickBot="1">
      <c r="A1178" s="1">
        <f t="shared" si="40"/>
        <v>0</v>
      </c>
      <c r="B1178" s="2"/>
      <c r="C1178" s="8"/>
      <c r="D1178" s="142" t="str">
        <f>IFERROR(INDEX([239]TRANSPORTES!B:B,MATCH(B1178,[239]TRANSPORTES!A:A,0)),"")</f>
        <v/>
      </c>
      <c r="E1178" s="143"/>
      <c r="F1178" s="143"/>
      <c r="G1178" s="143"/>
      <c r="H1178" s="143"/>
      <c r="I1178" s="143"/>
      <c r="J1178" s="143"/>
      <c r="K1178" s="149"/>
      <c r="L1178" s="150"/>
      <c r="M1178" s="146" t="str">
        <f>IFERROR(INDEX([239]TRANSPORTES!C:C,MATCH(B1178,[239]TRANSPORTES!A:A,0)),"")</f>
        <v/>
      </c>
      <c r="N1178" s="139" t="str">
        <f>IFERROR(INDEX([239]TRANSPORTES!D:D,MATCH(B1178,[239]TRANSPORTES!A:A,0)),"")</f>
        <v/>
      </c>
      <c r="O1178" s="147"/>
      <c r="P1178" s="148" t="str">
        <f>IFERROR(ROUND(K1178*N1178*L1178,2),"")</f>
        <v/>
      </c>
      <c r="Q1178" s="119"/>
      <c r="R1178" s="4"/>
    </row>
    <row r="1179" spans="1:18" ht="15.75" thickBot="1">
      <c r="A1179" s="1">
        <f t="shared" si="40"/>
        <v>0</v>
      </c>
      <c r="B1179" s="2"/>
      <c r="C1179" s="8"/>
      <c r="D1179" s="128" t="s">
        <v>24</v>
      </c>
      <c r="E1179" s="129"/>
      <c r="F1179" s="129"/>
      <c r="G1179" s="129"/>
      <c r="H1179" s="129"/>
      <c r="I1179" s="129"/>
      <c r="J1179" s="129"/>
      <c r="K1179" s="129"/>
      <c r="L1179" s="129"/>
      <c r="M1179" s="129"/>
      <c r="N1179" s="129"/>
      <c r="O1179" s="130"/>
      <c r="P1179" s="151">
        <f>SUM(P1175:P1178)</f>
        <v>0</v>
      </c>
      <c r="Q1179" s="132"/>
      <c r="R1179" s="4"/>
    </row>
    <row r="1180" spans="1:18" ht="15.75" thickBot="1">
      <c r="A1180" s="1">
        <f t="shared" si="40"/>
        <v>0</v>
      </c>
      <c r="B1180" s="2"/>
      <c r="C1180" s="8"/>
      <c r="D1180" s="74" t="s">
        <v>36</v>
      </c>
      <c r="E1180" s="37"/>
      <c r="F1180" s="37"/>
      <c r="G1180" s="37"/>
      <c r="H1180" s="37"/>
      <c r="I1180" s="37"/>
      <c r="J1180" s="37"/>
      <c r="K1180" s="37"/>
      <c r="L1180" s="37"/>
      <c r="M1180" s="37"/>
      <c r="N1180" s="37"/>
      <c r="O1180" s="37"/>
      <c r="P1180" s="99"/>
      <c r="Q1180" s="100"/>
      <c r="R1180" s="4"/>
    </row>
    <row r="1181" spans="1:18" ht="30">
      <c r="A1181" s="1">
        <f t="shared" si="40"/>
        <v>0</v>
      </c>
      <c r="B1181" s="2"/>
      <c r="C1181" s="8"/>
      <c r="D1181" s="101" t="s">
        <v>37</v>
      </c>
      <c r="E1181" s="133"/>
      <c r="F1181" s="133"/>
      <c r="G1181" s="133"/>
      <c r="H1181" s="133"/>
      <c r="I1181" s="133"/>
      <c r="J1181" s="133"/>
      <c r="K1181" s="106" t="s">
        <v>38</v>
      </c>
      <c r="L1181" s="152" t="s">
        <v>39</v>
      </c>
      <c r="M1181" s="153" t="s">
        <v>40</v>
      </c>
      <c r="N1181" s="104" t="s">
        <v>21</v>
      </c>
      <c r="O1181" s="105"/>
      <c r="P1181" s="154" t="s">
        <v>22</v>
      </c>
      <c r="Q1181" s="155"/>
      <c r="R1181" s="4"/>
    </row>
    <row r="1182" spans="1:18">
      <c r="A1182" s="1">
        <f t="shared" si="40"/>
        <v>0</v>
      </c>
      <c r="B1182" s="2" t="s">
        <v>41</v>
      </c>
      <c r="C1182" s="8"/>
      <c r="D1182" s="109" t="str">
        <f>IFERROR(INDEX('[239]MANO DE OBRA'!B:B,MATCH(B1182,'[239]MANO DE OBRA'!A:A,0)),"")</f>
        <v>OFICIAL</v>
      </c>
      <c r="E1182" s="110"/>
      <c r="F1182" s="110"/>
      <c r="G1182" s="110"/>
      <c r="H1182" s="110"/>
      <c r="I1182" s="110"/>
      <c r="J1182" s="111"/>
      <c r="K1182" s="156">
        <f>IFERROR(INDEX('[239]MANO DE OBRA'!D:D,MATCH(B1182,'[239]MANO DE OBRA'!A:A,0)),"")</f>
        <v>95930</v>
      </c>
      <c r="L1182" s="157">
        <f>+IF(D1182&lt;&gt;"",'[239]FACTOR PRESTACIONAL'!$E$21," ")</f>
        <v>1.95</v>
      </c>
      <c r="M1182" s="158">
        <f>IFERROR(K1182*L1182," ")</f>
        <v>187063.5</v>
      </c>
      <c r="N1182" s="159">
        <v>30</v>
      </c>
      <c r="O1182" s="160"/>
      <c r="P1182" s="161">
        <f>IFERROR(ROUND(M1182/N1182,2)," ")</f>
        <v>6235.45</v>
      </c>
      <c r="Q1182" s="162"/>
      <c r="R1182" s="4"/>
    </row>
    <row r="1183" spans="1:18">
      <c r="A1183" s="1">
        <f t="shared" si="40"/>
        <v>0</v>
      </c>
      <c r="B1183" s="2" t="s">
        <v>81</v>
      </c>
      <c r="C1183" s="8"/>
      <c r="D1183" s="109" t="str">
        <f>IFERROR(INDEX('[239]MANO DE OBRA'!B:B,MATCH(B1183,'[239]MANO DE OBRA'!A:A,0)),"")</f>
        <v>AYUDANTE (1)</v>
      </c>
      <c r="E1183" s="110"/>
      <c r="F1183" s="110"/>
      <c r="G1183" s="110"/>
      <c r="H1183" s="110"/>
      <c r="I1183" s="110"/>
      <c r="J1183" s="111"/>
      <c r="K1183" s="156">
        <f>IFERROR(INDEX('[239]MANO DE OBRA'!D:D,MATCH(B1183,'[239]MANO DE OBRA'!A:A,0)),"")</f>
        <v>71433</v>
      </c>
      <c r="L1183" s="157">
        <f>+IF(D1183&lt;&gt;"",'[239]FACTOR PRESTACIONAL'!$E$21," ")</f>
        <v>1.95</v>
      </c>
      <c r="M1183" s="158">
        <f>IFERROR(K1183*L1183," ")</f>
        <v>139294.35</v>
      </c>
      <c r="N1183" s="159">
        <v>30</v>
      </c>
      <c r="O1183" s="160"/>
      <c r="P1183" s="161">
        <f>IFERROR(ROUND(M1183/N1183,2)," ")</f>
        <v>4643.1499999999996</v>
      </c>
      <c r="Q1183" s="162"/>
      <c r="R1183" s="4"/>
    </row>
    <row r="1184" spans="1:18">
      <c r="A1184" s="1">
        <f t="shared" si="40"/>
        <v>0</v>
      </c>
      <c r="B1184" s="2"/>
      <c r="C1184" s="8"/>
      <c r="D1184" s="109" t="str">
        <f>IFERROR(INDEX('[239]MANO DE OBRA'!B:B,MATCH(B1184,'[239]MANO DE OBRA'!A:A,0)),"")</f>
        <v/>
      </c>
      <c r="E1184" s="110"/>
      <c r="F1184" s="110"/>
      <c r="G1184" s="110"/>
      <c r="H1184" s="110"/>
      <c r="I1184" s="110"/>
      <c r="J1184" s="111"/>
      <c r="K1184" s="156" t="str">
        <f>IFERROR(INDEX('[239]MANO DE OBRA'!D:D,MATCH(B1184,'[239]MANO DE OBRA'!A:A,0)),"")</f>
        <v/>
      </c>
      <c r="L1184" s="157" t="str">
        <f>+IF(D1184&lt;&gt;"",'[239]FACTOR PRESTACIONAL'!$E$21," ")</f>
        <v xml:space="preserve"> </v>
      </c>
      <c r="M1184" s="158" t="str">
        <f>IFERROR(K1184*L1184," ")</f>
        <v xml:space="preserve"> </v>
      </c>
      <c r="N1184" s="159"/>
      <c r="O1184" s="160"/>
      <c r="P1184" s="161" t="str">
        <f>IFERROR(ROUND(M1184/N1184,2)," ")</f>
        <v xml:space="preserve"> </v>
      </c>
      <c r="Q1184" s="162"/>
      <c r="R1184" s="4"/>
    </row>
    <row r="1185" spans="1:18">
      <c r="A1185" s="1">
        <f t="shared" si="40"/>
        <v>0</v>
      </c>
      <c r="B1185" s="2"/>
      <c r="C1185" s="8"/>
      <c r="D1185" s="109" t="str">
        <f>IFERROR(INDEX('[239]MANO DE OBRA'!B:B,MATCH(B1185,'[239]MANO DE OBRA'!A:A,0)),"")</f>
        <v/>
      </c>
      <c r="E1185" s="110"/>
      <c r="F1185" s="110"/>
      <c r="G1185" s="110"/>
      <c r="H1185" s="110"/>
      <c r="I1185" s="110"/>
      <c r="J1185" s="111"/>
      <c r="K1185" s="156" t="str">
        <f>IFERROR(INDEX('[239]MANO DE OBRA'!D:D,MATCH(B1185,'[239]MANO DE OBRA'!A:A,0)),"")</f>
        <v/>
      </c>
      <c r="L1185" s="157" t="str">
        <f>+IF(D1185&lt;&gt;"",'[239]FACTOR PRESTACIONAL'!$E$21," ")</f>
        <v xml:space="preserve"> </v>
      </c>
      <c r="M1185" s="158" t="str">
        <f>IFERROR(K1185*L1185," ")</f>
        <v xml:space="preserve"> </v>
      </c>
      <c r="N1185" s="159"/>
      <c r="O1185" s="160"/>
      <c r="P1185" s="161" t="str">
        <f>IFERROR(ROUND(M1185/N1185,2)," ")</f>
        <v xml:space="preserve"> </v>
      </c>
      <c r="Q1185" s="162"/>
      <c r="R1185" s="4"/>
    </row>
    <row r="1186" spans="1:18" ht="15.75" thickBot="1">
      <c r="A1186" s="1">
        <f t="shared" si="40"/>
        <v>0</v>
      </c>
      <c r="B1186" s="2"/>
      <c r="C1186" s="8"/>
      <c r="D1186" s="109" t="str">
        <f>IFERROR(INDEX('[239]MANO DE OBRA'!B:B,MATCH(B1186,'[239]MANO DE OBRA'!A:A,0)),"")</f>
        <v/>
      </c>
      <c r="E1186" s="110"/>
      <c r="F1186" s="110"/>
      <c r="G1186" s="110"/>
      <c r="H1186" s="110"/>
      <c r="I1186" s="110"/>
      <c r="J1186" s="111"/>
      <c r="K1186" s="156" t="str">
        <f>IFERROR(INDEX('[239]MANO DE OBRA'!D:D,MATCH(B1186,'[239]MANO DE OBRA'!A:A,0)),"")</f>
        <v/>
      </c>
      <c r="L1186" s="157" t="str">
        <f>+IF(D1186&lt;&gt;"",'[239]FACTOR PRESTACIONAL'!$E$21," ")</f>
        <v xml:space="preserve"> </v>
      </c>
      <c r="M1186" s="158" t="str">
        <f>IFERROR(K1186*L1186," ")</f>
        <v xml:space="preserve"> </v>
      </c>
      <c r="N1186" s="159"/>
      <c r="O1186" s="160"/>
      <c r="P1186" s="161" t="str">
        <f>IFERROR(ROUND(M1186/N1186,2)," ")</f>
        <v xml:space="preserve"> </v>
      </c>
      <c r="Q1186" s="119"/>
      <c r="R1186" s="4"/>
    </row>
    <row r="1187" spans="1:18" ht="15.75" thickBot="1">
      <c r="A1187" s="1">
        <f t="shared" si="40"/>
        <v>0</v>
      </c>
      <c r="B1187" s="2"/>
      <c r="C1187" s="8"/>
      <c r="D1187" s="128" t="s">
        <v>24</v>
      </c>
      <c r="E1187" s="129"/>
      <c r="F1187" s="129"/>
      <c r="G1187" s="129"/>
      <c r="H1187" s="129"/>
      <c r="I1187" s="129"/>
      <c r="J1187" s="129"/>
      <c r="K1187" s="129"/>
      <c r="L1187" s="129"/>
      <c r="M1187" s="129"/>
      <c r="N1187" s="129"/>
      <c r="O1187" s="130"/>
      <c r="P1187" s="131">
        <f>SUM(P1182:P1186)</f>
        <v>10878.599999999999</v>
      </c>
      <c r="Q1187" s="119"/>
      <c r="R1187" s="4"/>
    </row>
    <row r="1188" spans="1:18" ht="15.75" thickBot="1">
      <c r="A1188" s="1">
        <f t="shared" si="40"/>
        <v>0</v>
      </c>
      <c r="B1188" s="2"/>
      <c r="C1188" s="8"/>
      <c r="D1188" s="87"/>
      <c r="E1188" s="20"/>
      <c r="F1188" s="20"/>
      <c r="G1188" s="20"/>
      <c r="H1188" s="20"/>
      <c r="I1188" s="20"/>
      <c r="J1188" s="20"/>
      <c r="K1188" s="20"/>
      <c r="L1188" s="20"/>
      <c r="M1188" s="20"/>
      <c r="N1188" s="20"/>
      <c r="O1188" s="20"/>
      <c r="P1188" s="88"/>
      <c r="Q1188" s="13"/>
      <c r="R1188" s="4"/>
    </row>
    <row r="1189" spans="1:18" ht="15.75" thickBot="1">
      <c r="A1189" s="1"/>
      <c r="B1189" s="2"/>
      <c r="C1189" s="8"/>
      <c r="D1189" s="163" t="s">
        <v>43</v>
      </c>
      <c r="E1189" s="164"/>
      <c r="F1189" s="164"/>
      <c r="G1189" s="164"/>
      <c r="H1189" s="164"/>
      <c r="I1189" s="164"/>
      <c r="J1189" s="164"/>
      <c r="K1189" s="164"/>
      <c r="L1189" s="164"/>
      <c r="M1189" s="164"/>
      <c r="N1189" s="164"/>
      <c r="O1189" s="165"/>
      <c r="P1189" s="166">
        <f>+P1187+P1179+P1172+P1154</f>
        <v>18399.34</v>
      </c>
      <c r="Q1189" s="167"/>
      <c r="R1189" s="168"/>
    </row>
    <row r="1190" spans="1:18" ht="15.75" thickBot="1">
      <c r="A1190" s="1"/>
      <c r="B1190" s="2"/>
      <c r="C1190" s="8"/>
      <c r="D1190" s="169"/>
      <c r="E1190" s="170"/>
      <c r="F1190" s="170"/>
      <c r="G1190" s="170"/>
      <c r="H1190" s="170"/>
      <c r="I1190" s="170"/>
      <c r="J1190" s="170"/>
      <c r="K1190" s="170"/>
      <c r="L1190" s="170"/>
      <c r="M1190" s="170"/>
      <c r="N1190" s="170"/>
      <c r="O1190" s="170"/>
      <c r="P1190" s="171"/>
      <c r="Q1190" s="100"/>
      <c r="R1190" s="4"/>
    </row>
    <row r="1191" spans="1:18">
      <c r="A1191" s="1"/>
      <c r="B1191" s="2"/>
      <c r="C1191" s="8"/>
      <c r="D1191" s="172" t="s">
        <v>73</v>
      </c>
      <c r="E1191" s="173"/>
      <c r="F1191" s="173"/>
      <c r="G1191" s="173"/>
      <c r="H1191" s="173"/>
      <c r="I1191" s="173"/>
      <c r="J1191" s="173"/>
      <c r="K1191" s="141"/>
      <c r="L1191" s="174"/>
      <c r="M1191" s="153" t="s">
        <v>44</v>
      </c>
      <c r="N1191" s="175" t="s">
        <v>45</v>
      </c>
      <c r="O1191" s="176"/>
      <c r="P1191" s="154"/>
      <c r="Q1191" s="155"/>
      <c r="R1191" s="4"/>
    </row>
    <row r="1192" spans="1:18">
      <c r="A1192" s="1"/>
      <c r="B1192" s="2"/>
      <c r="C1192" s="8"/>
      <c r="D1192" s="109" t="s">
        <v>65</v>
      </c>
      <c r="E1192" s="110"/>
      <c r="F1192" s="110"/>
      <c r="G1192" s="110"/>
      <c r="H1192" s="110"/>
      <c r="I1192" s="110"/>
      <c r="J1192" s="110"/>
      <c r="K1192" s="177"/>
      <c r="L1192" s="178"/>
      <c r="M1192" s="179">
        <f>+[239]INICIO!$F$10</f>
        <v>0.24</v>
      </c>
      <c r="N1192" s="180">
        <f>ROUND(M1192*P1189,2)</f>
        <v>4415.84</v>
      </c>
      <c r="O1192" s="181"/>
      <c r="P1192" s="182"/>
      <c r="Q1192" s="119"/>
      <c r="R1192" s="4"/>
    </row>
    <row r="1193" spans="1:18">
      <c r="A1193" s="1"/>
      <c r="B1193" s="2"/>
      <c r="C1193" s="8"/>
      <c r="D1193" s="183" t="s">
        <v>67</v>
      </c>
      <c r="E1193" s="61"/>
      <c r="F1193" s="61"/>
      <c r="G1193" s="61"/>
      <c r="H1193" s="61"/>
      <c r="I1193" s="61"/>
      <c r="J1193" s="61"/>
      <c r="K1193" s="177"/>
      <c r="L1193" s="178"/>
      <c r="M1193" s="179">
        <f>+[239]INICIO!$F$11</f>
        <v>0.02</v>
      </c>
      <c r="N1193" s="180">
        <f>ROUND(M1193*P1189,2)</f>
        <v>367.99</v>
      </c>
      <c r="O1193" s="181"/>
      <c r="P1193" s="182"/>
      <c r="Q1193" s="119"/>
      <c r="R1193" s="4"/>
    </row>
    <row r="1194" spans="1:18" ht="15.75" thickBot="1">
      <c r="A1194" s="1"/>
      <c r="B1194" s="2"/>
      <c r="C1194" s="8"/>
      <c r="D1194" s="77" t="s">
        <v>69</v>
      </c>
      <c r="E1194" s="78"/>
      <c r="F1194" s="78"/>
      <c r="G1194" s="78"/>
      <c r="H1194" s="78"/>
      <c r="I1194" s="78"/>
      <c r="J1194" s="78"/>
      <c r="K1194" s="184"/>
      <c r="L1194" s="185"/>
      <c r="M1194" s="179">
        <f>+[239]INICIO!$F$12</f>
        <v>7.0000000000000007E-2</v>
      </c>
      <c r="N1194" s="180">
        <f>ROUND(M1194*P1189,2)</f>
        <v>1287.95</v>
      </c>
      <c r="O1194" s="181"/>
      <c r="P1194" s="182"/>
      <c r="Q1194" s="119"/>
      <c r="R1194" s="4"/>
    </row>
    <row r="1195" spans="1:18" ht="15.75" thickBot="1">
      <c r="A1195" s="1"/>
      <c r="B1195" s="2"/>
      <c r="C1195" s="8"/>
      <c r="D1195" s="128"/>
      <c r="E1195" s="129"/>
      <c r="F1195" s="129"/>
      <c r="G1195" s="129"/>
      <c r="H1195" s="129"/>
      <c r="I1195" s="129"/>
      <c r="J1195" s="129"/>
      <c r="K1195" s="129"/>
      <c r="L1195" s="129"/>
      <c r="M1195" s="129"/>
      <c r="N1195" s="129"/>
      <c r="O1195" s="130"/>
      <c r="P1195" s="131">
        <f>SUM(N1192:N1194)</f>
        <v>6071.78</v>
      </c>
      <c r="Q1195" s="186"/>
      <c r="R1195" s="4"/>
    </row>
    <row r="1196" spans="1:18" ht="15.75" thickBot="1">
      <c r="A1196" s="1"/>
      <c r="B1196" s="2"/>
      <c r="C1196" s="8"/>
      <c r="D1196" s="87"/>
      <c r="E1196" s="20"/>
      <c r="F1196" s="20"/>
      <c r="G1196" s="20"/>
      <c r="H1196" s="20"/>
      <c r="I1196" s="20"/>
      <c r="J1196" s="20"/>
      <c r="K1196" s="20"/>
      <c r="L1196" s="20"/>
      <c r="M1196" s="20"/>
      <c r="N1196" s="20"/>
      <c r="O1196" s="20"/>
      <c r="P1196" s="88"/>
      <c r="Q1196" s="13"/>
      <c r="R1196" s="4"/>
    </row>
    <row r="1197" spans="1:18" ht="15.75" thickBot="1">
      <c r="A1197" s="1"/>
      <c r="B1197" s="2"/>
      <c r="C1197" s="8"/>
      <c r="D1197" s="187" t="s">
        <v>46</v>
      </c>
      <c r="E1197" s="188"/>
      <c r="F1197" s="188"/>
      <c r="G1197" s="188"/>
      <c r="H1197" s="188"/>
      <c r="I1197" s="188"/>
      <c r="J1197" s="188"/>
      <c r="K1197" s="188"/>
      <c r="L1197" s="188"/>
      <c r="M1197" s="188"/>
      <c r="N1197" s="188"/>
      <c r="O1197" s="189"/>
      <c r="P1197" s="166">
        <f>ROUND(P1195+P1189,0)</f>
        <v>24471</v>
      </c>
      <c r="Q1197" s="186"/>
      <c r="R1197" s="4"/>
    </row>
    <row r="1198" spans="1:18">
      <c r="A1198" s="1"/>
      <c r="B1198" s="2"/>
      <c r="C1198" s="8"/>
      <c r="D1198" s="80"/>
      <c r="E1198" s="81"/>
      <c r="F1198" s="81"/>
      <c r="G1198" s="81"/>
      <c r="H1198" s="81"/>
      <c r="I1198" s="81"/>
      <c r="J1198" s="81"/>
      <c r="K1198" s="81"/>
      <c r="L1198" s="81"/>
      <c r="M1198" s="81"/>
      <c r="N1198" s="81"/>
      <c r="O1198" s="81"/>
      <c r="P1198" s="82"/>
      <c r="Q1198" s="13"/>
      <c r="R1198" s="4"/>
    </row>
    <row r="1199" spans="1:18">
      <c r="A1199" s="1"/>
      <c r="B1199" s="2"/>
      <c r="C1199" s="8"/>
      <c r="D1199" s="87"/>
      <c r="E1199" s="20"/>
      <c r="F1199" s="20"/>
      <c r="G1199" s="20"/>
      <c r="H1199" s="20"/>
      <c r="I1199" s="20"/>
      <c r="J1199" s="20"/>
      <c r="K1199" s="20"/>
      <c r="L1199" s="20"/>
      <c r="M1199" s="20"/>
      <c r="N1199" s="20"/>
      <c r="O1199" s="20"/>
      <c r="P1199" s="88"/>
      <c r="Q1199" s="13"/>
      <c r="R1199" s="4"/>
    </row>
    <row r="1200" spans="1:18">
      <c r="A1200" s="1"/>
      <c r="B1200" s="2"/>
      <c r="C1200" s="8"/>
      <c r="D1200" s="87"/>
      <c r="E1200" s="20"/>
      <c r="F1200" s="20"/>
      <c r="G1200" s="20"/>
      <c r="H1200" s="20"/>
      <c r="I1200" s="20"/>
      <c r="J1200" s="20"/>
      <c r="K1200" s="20"/>
      <c r="L1200" s="20"/>
      <c r="M1200" s="20"/>
      <c r="N1200" s="20"/>
      <c r="O1200" s="20"/>
      <c r="P1200" s="88"/>
      <c r="Q1200" s="13"/>
      <c r="R1200" s="4"/>
    </row>
    <row r="1201" spans="1:18">
      <c r="A1201" s="1"/>
      <c r="B1201" s="2"/>
      <c r="C1201" s="8"/>
      <c r="D1201" s="87"/>
      <c r="E1201" s="20"/>
      <c r="F1201" s="20"/>
      <c r="G1201" s="20"/>
      <c r="H1201" s="20"/>
      <c r="I1201" s="20"/>
      <c r="J1201" s="20"/>
      <c r="K1201" s="20"/>
      <c r="L1201" s="20"/>
      <c r="M1201" s="20"/>
      <c r="N1201" s="20"/>
      <c r="O1201" s="20"/>
      <c r="P1201" s="88"/>
      <c r="Q1201" s="13"/>
      <c r="R1201" s="4"/>
    </row>
    <row r="1202" spans="1:18">
      <c r="A1202" s="1"/>
      <c r="B1202" s="2"/>
      <c r="C1202" s="8"/>
      <c r="D1202" s="219" t="str">
        <f>+[239]INICIO!$B$13</f>
        <v>Proyectó:</v>
      </c>
      <c r="E1202" s="49"/>
      <c r="F1202" s="49"/>
      <c r="G1202" s="49"/>
      <c r="H1202" s="49"/>
      <c r="I1202" s="49"/>
      <c r="J1202" s="49"/>
      <c r="K1202" s="20"/>
      <c r="L1202" s="69" t="str">
        <f>+[239]INICIO!$B$16</f>
        <v>Aprobó:</v>
      </c>
      <c r="M1202" s="49"/>
      <c r="N1202" s="49"/>
      <c r="O1202" s="49"/>
      <c r="P1202" s="88"/>
      <c r="Q1202" s="13"/>
      <c r="R1202" s="4"/>
    </row>
    <row r="1203" spans="1:18">
      <c r="A1203" s="1"/>
      <c r="B1203" s="2"/>
      <c r="C1203" s="8"/>
      <c r="D1203" s="87"/>
      <c r="E1203" s="20" t="str">
        <f>+Hoja2!C$13</f>
        <v>HELMER EDUARDO BECERRA SANTANDER</v>
      </c>
      <c r="F1203" s="20"/>
      <c r="G1203" s="20"/>
      <c r="H1203" s="20"/>
      <c r="I1203" s="20"/>
      <c r="J1203" s="20"/>
      <c r="K1203" s="20"/>
      <c r="L1203" s="20"/>
      <c r="M1203" s="20" t="str">
        <f>+Hoja2!$C$16</f>
        <v>JESÚS IVÁN QUIÑONES RUEDA</v>
      </c>
      <c r="N1203" s="20"/>
      <c r="O1203" s="20"/>
      <c r="P1203" s="88"/>
      <c r="Q1203" s="190"/>
      <c r="R1203" s="4"/>
    </row>
    <row r="1204" spans="1:18">
      <c r="A1204" s="1"/>
      <c r="B1204" s="2"/>
      <c r="C1204" s="8"/>
      <c r="D1204" s="87"/>
      <c r="E1204" s="20" t="str">
        <f>+Hoja2!C$14</f>
        <v>APOYO SEC. DE PLANEACIÓN Y OBRAS PÚBLICAS</v>
      </c>
      <c r="F1204" s="20"/>
      <c r="G1204" s="20"/>
      <c r="H1204" s="20"/>
      <c r="I1204" s="20"/>
      <c r="J1204" s="20"/>
      <c r="K1204" s="20"/>
      <c r="L1204" s="20"/>
      <c r="M1204" s="20" t="str">
        <f>+Hoja2!$C$17</f>
        <v>SECRETARIO DE PLANEACIÓN Y OBRAS PUBLICAS</v>
      </c>
      <c r="N1204" s="20"/>
      <c r="O1204" s="20"/>
      <c r="P1204" s="88"/>
      <c r="Q1204" s="190"/>
      <c r="R1204" s="4"/>
    </row>
    <row r="1205" spans="1:18">
      <c r="A1205" s="1"/>
      <c r="B1205" s="2"/>
      <c r="C1205" s="8"/>
      <c r="D1205" s="68"/>
      <c r="E1205" s="20" t="str">
        <f>+Hoja2!C$15</f>
        <v>123769-0701671 NTS</v>
      </c>
      <c r="F1205" s="191"/>
      <c r="G1205" s="191"/>
      <c r="H1205" s="191"/>
      <c r="I1205" s="20"/>
      <c r="J1205" s="191"/>
      <c r="K1205" s="191"/>
      <c r="L1205" s="191"/>
      <c r="M1205" s="192" t="str">
        <f>+Hoja2!C$18</f>
        <v>A21382020-1090480860</v>
      </c>
      <c r="N1205" s="191"/>
      <c r="O1205" s="191"/>
      <c r="P1205" s="193"/>
      <c r="Q1205" s="194"/>
      <c r="R1205" s="4"/>
    </row>
    <row r="1206" spans="1:18" ht="16.5" thickBot="1">
      <c r="A1206" s="1"/>
      <c r="B1206" s="2"/>
      <c r="C1206" s="8"/>
      <c r="D1206" s="195"/>
      <c r="E1206" s="150"/>
      <c r="F1206" s="150"/>
      <c r="G1206" s="150"/>
      <c r="H1206" s="150"/>
      <c r="I1206" s="150"/>
      <c r="J1206" s="150"/>
      <c r="K1206" s="150"/>
      <c r="L1206" s="150"/>
      <c r="M1206" s="150"/>
      <c r="N1206" s="150"/>
      <c r="O1206" s="150"/>
      <c r="P1206" s="196"/>
      <c r="Q1206" s="197"/>
      <c r="R1206" s="4"/>
    </row>
    <row r="1207" spans="1:18" ht="15.75" thickBot="1">
      <c r="A1207" s="1"/>
      <c r="B1207" s="2"/>
      <c r="C1207" s="198"/>
      <c r="D1207" s="199"/>
      <c r="E1207" s="199"/>
      <c r="F1207" s="199"/>
      <c r="G1207" s="199"/>
      <c r="H1207" s="199"/>
      <c r="I1207" s="199"/>
      <c r="J1207" s="199"/>
      <c r="K1207" s="199"/>
      <c r="L1207" s="199"/>
      <c r="M1207" s="199"/>
      <c r="N1207" s="199"/>
      <c r="O1207" s="199"/>
      <c r="P1207" s="199"/>
      <c r="Q1207" s="200"/>
      <c r="R1207" s="4"/>
    </row>
    <row r="1208" spans="1:18" ht="15.75" thickTop="1">
      <c r="A1208" s="1"/>
      <c r="B1208" s="2"/>
      <c r="C1208" s="5"/>
      <c r="D1208" s="6"/>
      <c r="E1208" s="6"/>
      <c r="F1208" s="6"/>
      <c r="G1208" s="6"/>
      <c r="H1208" s="6"/>
      <c r="I1208" s="6"/>
      <c r="J1208" s="6"/>
      <c r="K1208" s="6"/>
      <c r="L1208" s="6"/>
      <c r="M1208" s="6"/>
      <c r="N1208" s="6"/>
      <c r="O1208" s="6"/>
      <c r="P1208" s="6"/>
      <c r="Q1208" s="7"/>
      <c r="R1208" s="4"/>
    </row>
    <row r="1209" spans="1:18" ht="24">
      <c r="A1209" s="1"/>
      <c r="B1209" s="2"/>
      <c r="C1209" s="8"/>
      <c r="D1209" s="9" t="str">
        <f>+[239]INICIO!$C$8</f>
        <v>Análisis de Precios Unitarios- Secretaria de Planeación y Obras Publicas de Cubará, Boyacá.</v>
      </c>
      <c r="E1209" s="10"/>
      <c r="F1209" s="10"/>
      <c r="G1209" s="10"/>
      <c r="H1209" s="11"/>
      <c r="I1209" s="12"/>
      <c r="J1209" s="12"/>
      <c r="K1209" s="12"/>
      <c r="L1209" s="12"/>
      <c r="M1209" s="12"/>
      <c r="N1209" s="12"/>
      <c r="O1209" s="12"/>
      <c r="P1209" s="12"/>
      <c r="Q1209" s="13"/>
      <c r="R1209" s="4"/>
    </row>
    <row r="1210" spans="1:18">
      <c r="A1210" s="1"/>
      <c r="B1210" s="2"/>
      <c r="C1210" s="8"/>
      <c r="D1210" s="14" t="s">
        <v>0</v>
      </c>
      <c r="E1210" s="15" t="str">
        <f>+[239]INICIO!$C$7</f>
        <v>CCE-EICP-FM-14</v>
      </c>
      <c r="F1210" s="16"/>
      <c r="G1210" s="17" t="str">
        <f>+[239]INICIO!$B$6</f>
        <v>VERSIÓN</v>
      </c>
      <c r="H1210" s="14">
        <f>+[239]INICIO!$C$6</f>
        <v>1</v>
      </c>
      <c r="I1210" s="12"/>
      <c r="J1210" s="12"/>
      <c r="K1210" s="12"/>
      <c r="L1210" s="12"/>
      <c r="M1210" s="12"/>
      <c r="N1210" s="12"/>
      <c r="O1210" s="12"/>
      <c r="P1210" s="12"/>
      <c r="Q1210" s="13"/>
      <c r="R1210" s="4"/>
    </row>
    <row r="1211" spans="1:18">
      <c r="A1211" s="1"/>
      <c r="B1211" s="2"/>
      <c r="C1211" s="8"/>
      <c r="D1211" s="18"/>
      <c r="E1211" s="19"/>
      <c r="F1211" s="18"/>
      <c r="G1211" s="19"/>
      <c r="H1211" s="12"/>
      <c r="I1211" s="12"/>
      <c r="J1211" s="12"/>
      <c r="K1211" s="12"/>
      <c r="L1211" s="12"/>
      <c r="M1211" s="12"/>
      <c r="N1211" s="12"/>
      <c r="O1211" s="12"/>
      <c r="P1211" s="12"/>
      <c r="Q1211" s="13"/>
      <c r="R1211" s="4"/>
    </row>
    <row r="1212" spans="1:18" ht="15.75" thickBot="1">
      <c r="A1212" s="1"/>
      <c r="B1212" s="2"/>
      <c r="C1212" s="8"/>
      <c r="D1212" s="20"/>
      <c r="E1212" s="20"/>
      <c r="F1212" s="20"/>
      <c r="G1212" s="20"/>
      <c r="H1212" s="20"/>
      <c r="I1212" s="20"/>
      <c r="J1212" s="20"/>
      <c r="K1212" s="20"/>
      <c r="L1212" s="20"/>
      <c r="M1212" s="20"/>
      <c r="N1212" s="20"/>
      <c r="O1212" s="20"/>
      <c r="P1212" s="20"/>
      <c r="Q1212" s="13"/>
      <c r="R1212" s="4"/>
    </row>
    <row r="1213" spans="1:18">
      <c r="A1213" s="1"/>
      <c r="B1213" s="2"/>
      <c r="C1213" s="8"/>
      <c r="D1213" s="21"/>
      <c r="E1213" s="22"/>
      <c r="F1213" s="23"/>
      <c r="G1213" s="23"/>
      <c r="H1213" s="23"/>
      <c r="I1213" s="23"/>
      <c r="J1213" s="23"/>
      <c r="K1213" s="23"/>
      <c r="L1213" s="24"/>
      <c r="M1213" s="25"/>
      <c r="N1213" s="26"/>
      <c r="O1213" s="26"/>
      <c r="P1213" s="27"/>
      <c r="Q1213" s="28"/>
      <c r="R1213" s="4"/>
    </row>
    <row r="1214" spans="1:18">
      <c r="A1214" s="1"/>
      <c r="B1214" s="2"/>
      <c r="C1214" s="8"/>
      <c r="D1214" s="29"/>
      <c r="E1214" s="30" t="s">
        <v>1</v>
      </c>
      <c r="F1214" s="31"/>
      <c r="G1214" s="31"/>
      <c r="H1214" s="31"/>
      <c r="I1214" s="31"/>
      <c r="J1214" s="31"/>
      <c r="K1214" s="31"/>
      <c r="L1214" s="32"/>
      <c r="M1214" s="33"/>
      <c r="N1214" s="34"/>
      <c r="O1214" s="34"/>
      <c r="P1214" s="35"/>
      <c r="Q1214" s="28"/>
      <c r="R1214" s="4"/>
    </row>
    <row r="1215" spans="1:18">
      <c r="A1215" s="1"/>
      <c r="B1215" s="2"/>
      <c r="C1215" s="8"/>
      <c r="D1215" s="29"/>
      <c r="E1215" s="36"/>
      <c r="F1215" s="37"/>
      <c r="G1215" s="37"/>
      <c r="H1215" s="37"/>
      <c r="I1215" s="37"/>
      <c r="J1215" s="37"/>
      <c r="K1215" s="37"/>
      <c r="L1215" s="38"/>
      <c r="M1215" s="39"/>
      <c r="N1215" s="40"/>
      <c r="O1215" s="41"/>
      <c r="P1215" s="42"/>
      <c r="Q1215" s="28"/>
      <c r="R1215" s="4"/>
    </row>
    <row r="1216" spans="1:18">
      <c r="A1216" s="1"/>
      <c r="B1216" s="2"/>
      <c r="C1216" s="8"/>
      <c r="D1216" s="29"/>
      <c r="E1216" s="36"/>
      <c r="F1216" s="37"/>
      <c r="G1216" s="37"/>
      <c r="H1216" s="37"/>
      <c r="I1216" s="37"/>
      <c r="J1216" s="37"/>
      <c r="K1216" s="37"/>
      <c r="L1216" s="38"/>
      <c r="M1216" s="43" t="s">
        <v>2</v>
      </c>
      <c r="N1216" s="44"/>
      <c r="O1216" s="45">
        <f>+[239]INICIO!$C$6</f>
        <v>1</v>
      </c>
      <c r="P1216" s="46"/>
      <c r="Q1216" s="28"/>
      <c r="R1216" s="4"/>
    </row>
    <row r="1217" spans="1:18">
      <c r="A1217" s="1"/>
      <c r="B1217" s="2"/>
      <c r="C1217" s="8"/>
      <c r="D1217" s="29"/>
      <c r="E1217" s="36"/>
      <c r="F1217" s="37"/>
      <c r="G1217" s="37"/>
      <c r="H1217" s="37"/>
      <c r="I1217" s="37"/>
      <c r="J1217" s="37"/>
      <c r="K1217" s="37"/>
      <c r="L1217" s="38"/>
      <c r="M1217" s="47"/>
      <c r="N1217" s="48"/>
      <c r="O1217" s="49"/>
      <c r="P1217" s="50"/>
      <c r="Q1217" s="51"/>
      <c r="R1217" s="4"/>
    </row>
    <row r="1218" spans="1:18">
      <c r="A1218" s="1"/>
      <c r="B1218" s="2"/>
      <c r="C1218" s="8"/>
      <c r="D1218" s="29"/>
      <c r="E1218" s="52"/>
      <c r="F1218" s="53"/>
      <c r="G1218" s="53"/>
      <c r="H1218" s="53"/>
      <c r="I1218" s="53"/>
      <c r="J1218" s="53"/>
      <c r="K1218" s="53"/>
      <c r="L1218" s="54"/>
      <c r="M1218" s="39"/>
      <c r="N1218" s="55"/>
      <c r="O1218" s="55"/>
      <c r="P1218" s="56"/>
      <c r="Q1218" s="28"/>
      <c r="R1218" s="4"/>
    </row>
    <row r="1219" spans="1:18">
      <c r="A1219" s="1"/>
      <c r="B1219" s="2"/>
      <c r="C1219" s="8"/>
      <c r="D1219" s="29"/>
      <c r="E1219" s="52"/>
      <c r="F1219" s="53"/>
      <c r="G1219" s="53"/>
      <c r="H1219" s="53"/>
      <c r="I1219" s="53"/>
      <c r="J1219" s="53"/>
      <c r="K1219" s="53"/>
      <c r="L1219" s="54"/>
      <c r="M1219" s="43" t="s">
        <v>3</v>
      </c>
      <c r="N1219" s="43" t="str">
        <f>+VLOOKUP(D1230,'PRESUPUESTO OFICIAL '!C:Q,9,FALSE)</f>
        <v>30</v>
      </c>
      <c r="O1219" s="43" t="s">
        <v>4</v>
      </c>
      <c r="P1219" s="508" t="str">
        <f>+'PRESUPUESTO OFICIAL '!$M$122</f>
        <v>62</v>
      </c>
      <c r="Q1219" s="28"/>
      <c r="R1219" s="4"/>
    </row>
    <row r="1220" spans="1:18">
      <c r="A1220" s="1"/>
      <c r="B1220" s="2"/>
      <c r="C1220" s="8"/>
      <c r="D1220" s="29"/>
      <c r="E1220" s="30" t="s">
        <v>5</v>
      </c>
      <c r="F1220" s="31"/>
      <c r="G1220" s="31"/>
      <c r="H1220" s="31"/>
      <c r="I1220" s="31"/>
      <c r="J1220" s="31"/>
      <c r="K1220" s="31"/>
      <c r="L1220" s="32"/>
      <c r="M1220" s="43"/>
      <c r="N1220" s="57"/>
      <c r="O1220" s="57"/>
      <c r="P1220" s="58"/>
      <c r="Q1220" s="28"/>
      <c r="R1220" s="4"/>
    </row>
    <row r="1221" spans="1:18" ht="15.75" thickBot="1">
      <c r="A1221" s="1"/>
      <c r="B1221" s="2"/>
      <c r="C1221" s="8"/>
      <c r="D1221" s="59"/>
      <c r="E1221" s="60"/>
      <c r="F1221" s="60"/>
      <c r="G1221" s="60"/>
      <c r="H1221" s="60"/>
      <c r="I1221" s="60"/>
      <c r="J1221" s="60"/>
      <c r="K1221" s="60"/>
      <c r="L1221" s="60"/>
      <c r="M1221" s="60"/>
      <c r="N1221" s="61"/>
      <c r="O1221" s="61"/>
      <c r="P1221" s="62"/>
      <c r="Q1221" s="63"/>
      <c r="R1221" s="4"/>
    </row>
    <row r="1222" spans="1:18">
      <c r="A1222" s="1"/>
      <c r="B1222" s="2"/>
      <c r="C1222" s="8"/>
      <c r="D1222" s="64"/>
      <c r="E1222" s="65"/>
      <c r="F1222" s="65"/>
      <c r="G1222" s="65"/>
      <c r="H1222" s="65"/>
      <c r="I1222" s="65"/>
      <c r="J1222" s="65"/>
      <c r="K1222" s="65"/>
      <c r="L1222" s="65"/>
      <c r="M1222" s="66" t="s">
        <v>6</v>
      </c>
      <c r="N1222" s="66" t="s">
        <v>7</v>
      </c>
      <c r="O1222" s="66" t="s">
        <v>8</v>
      </c>
      <c r="P1222" s="67" t="s">
        <v>9</v>
      </c>
      <c r="Q1222" s="51"/>
      <c r="R1222" s="4"/>
    </row>
    <row r="1223" spans="1:18">
      <c r="A1223" s="1"/>
      <c r="B1223" s="2"/>
      <c r="C1223" s="8"/>
      <c r="D1223" s="68"/>
      <c r="E1223" s="69"/>
      <c r="F1223" s="69"/>
      <c r="G1223" s="69"/>
      <c r="H1223" s="69"/>
      <c r="I1223" s="69"/>
      <c r="J1223" s="69"/>
      <c r="K1223" s="69"/>
      <c r="L1223" s="69"/>
      <c r="M1223" s="70"/>
      <c r="N1223" s="71">
        <f>+Hoja2!B$5</f>
        <v>5</v>
      </c>
      <c r="O1223" s="71">
        <f>+Hoja2!C$5</f>
        <v>8</v>
      </c>
      <c r="P1223" s="72">
        <f>+Hoja2!D$5</f>
        <v>2026</v>
      </c>
      <c r="Q1223" s="73"/>
      <c r="R1223" s="4"/>
    </row>
    <row r="1224" spans="1:18">
      <c r="A1224" s="1"/>
      <c r="B1224" s="2"/>
      <c r="C1224" s="8"/>
      <c r="D1224" s="74"/>
      <c r="E1224" s="37"/>
      <c r="F1224" s="37"/>
      <c r="G1224" s="37"/>
      <c r="H1224" s="69"/>
      <c r="I1224" s="69"/>
      <c r="J1224" s="69"/>
      <c r="K1224" s="20"/>
      <c r="L1224" s="69"/>
      <c r="M1224" s="75"/>
      <c r="N1224" s="20"/>
      <c r="O1224" s="20"/>
      <c r="P1224" s="76"/>
      <c r="Q1224" s="73"/>
      <c r="R1224" s="4"/>
    </row>
    <row r="1225" spans="1:18" ht="15.75" thickBot="1">
      <c r="A1225" s="1"/>
      <c r="B1225" s="2"/>
      <c r="C1225" s="8"/>
      <c r="D1225" s="77"/>
      <c r="E1225" s="78"/>
      <c r="F1225" s="78"/>
      <c r="G1225" s="78"/>
      <c r="H1225" s="78"/>
      <c r="I1225" s="78"/>
      <c r="J1225" s="78"/>
      <c r="K1225" s="78"/>
      <c r="L1225" s="78"/>
      <c r="M1225" s="78"/>
      <c r="N1225" s="78"/>
      <c r="O1225" s="78"/>
      <c r="P1225" s="79"/>
      <c r="Q1225" s="13"/>
      <c r="R1225" s="4"/>
    </row>
    <row r="1226" spans="1:18" ht="15.75" thickBot="1">
      <c r="A1226" s="1"/>
      <c r="B1226" s="2"/>
      <c r="C1226" s="8"/>
      <c r="D1226" s="80"/>
      <c r="E1226" s="81"/>
      <c r="F1226" s="81"/>
      <c r="G1226" s="81"/>
      <c r="H1226" s="81"/>
      <c r="I1226" s="81"/>
      <c r="J1226" s="20"/>
      <c r="K1226" s="20"/>
      <c r="L1226" s="81"/>
      <c r="M1226" s="81"/>
      <c r="N1226" s="81"/>
      <c r="O1226" s="81"/>
      <c r="P1226" s="82"/>
      <c r="Q1226" s="13"/>
      <c r="R1226" s="4"/>
    </row>
    <row r="1227" spans="1:18">
      <c r="A1227" s="1"/>
      <c r="B1227" s="2"/>
      <c r="C1227" s="8"/>
      <c r="D1227" s="83" t="s">
        <v>10</v>
      </c>
      <c r="E1227" s="84"/>
      <c r="F1227" s="84"/>
      <c r="G1227" s="84"/>
      <c r="H1227" s="84"/>
      <c r="I1227" s="84"/>
      <c r="J1227" s="84"/>
      <c r="K1227" s="84"/>
      <c r="L1227" s="84"/>
      <c r="M1227" s="84"/>
      <c r="N1227" s="84"/>
      <c r="O1227" s="84"/>
      <c r="P1227" s="85"/>
      <c r="Q1227" s="86"/>
      <c r="R1227" s="4"/>
    </row>
    <row r="1228" spans="1:18" ht="15.75" thickBot="1">
      <c r="A1228" s="1"/>
      <c r="B1228" s="2"/>
      <c r="C1228" s="8"/>
      <c r="D1228" s="87"/>
      <c r="E1228" s="20"/>
      <c r="F1228" s="20"/>
      <c r="G1228" s="20"/>
      <c r="H1228" s="20"/>
      <c r="I1228" s="20"/>
      <c r="J1228" s="20"/>
      <c r="K1228" s="20"/>
      <c r="L1228" s="20"/>
      <c r="M1228" s="20"/>
      <c r="N1228" s="20"/>
      <c r="O1228" s="20"/>
      <c r="P1228" s="88"/>
      <c r="Q1228" s="13"/>
      <c r="R1228" s="4"/>
    </row>
    <row r="1229" spans="1:18">
      <c r="A1229" s="1" t="s">
        <v>11</v>
      </c>
      <c r="B1229" s="2" t="s">
        <v>12</v>
      </c>
      <c r="C1229" s="8"/>
      <c r="D1229" s="89" t="s">
        <v>13</v>
      </c>
      <c r="E1229" s="90" t="s">
        <v>14</v>
      </c>
      <c r="F1229" s="90"/>
      <c r="G1229" s="90"/>
      <c r="H1229" s="90"/>
      <c r="I1229" s="90"/>
      <c r="J1229" s="90"/>
      <c r="K1229" s="90"/>
      <c r="L1229" s="90"/>
      <c r="M1229" s="90"/>
      <c r="N1229" s="91" t="s">
        <v>15</v>
      </c>
      <c r="O1229" s="91"/>
      <c r="P1229" s="92" t="s">
        <v>16</v>
      </c>
      <c r="Q1229" s="93"/>
      <c r="R1229" s="4"/>
    </row>
    <row r="1230" spans="1:18" ht="15.75" thickBot="1">
      <c r="A1230" s="1"/>
      <c r="B1230" s="2"/>
      <c r="C1230" s="8"/>
      <c r="D1230" s="349">
        <f>+'PRESUPUESTO OFICIAL '!C51</f>
        <v>4.0199999999999996</v>
      </c>
      <c r="E1230" s="94" t="str">
        <f>+VLOOKUP(D1230,'PRESUPUESTO OFICIAL '!C:H,2,FALSE)</f>
        <v>SUMINISTRO E INSTALACIÓN DE SALIDA DE AGUA FRÍA EN TUBERÍA PVC DE 1/2" T.P.</v>
      </c>
      <c r="F1230" s="94"/>
      <c r="G1230" s="94"/>
      <c r="H1230" s="94"/>
      <c r="I1230" s="94"/>
      <c r="J1230" s="94"/>
      <c r="K1230" s="94"/>
      <c r="L1230" s="94"/>
      <c r="M1230" s="94"/>
      <c r="N1230" s="94" t="str">
        <f>+VLOOKUP(D1230,'PRESUPUESTO OFICIAL '!C:H,3,FALSE)</f>
        <v>UND</v>
      </c>
      <c r="O1230" s="95"/>
      <c r="P1230" s="96">
        <f>+VLOOKUP(D1230,'PRESUPUESTO OFICIAL '!C:H,4,FALSE)</f>
        <v>37</v>
      </c>
      <c r="Q1230" s="97"/>
      <c r="R1230" s="98">
        <f>+P1282</f>
        <v>77838</v>
      </c>
    </row>
    <row r="1231" spans="1:18" ht="15.75" thickBot="1">
      <c r="A1231" s="1"/>
      <c r="B1231" s="2"/>
      <c r="C1231" s="8"/>
      <c r="D1231" s="74"/>
      <c r="E1231" s="37"/>
      <c r="F1231" s="37"/>
      <c r="G1231" s="37"/>
      <c r="H1231" s="37"/>
      <c r="I1231" s="37"/>
      <c r="J1231" s="37"/>
      <c r="K1231" s="37"/>
      <c r="L1231" s="37"/>
      <c r="M1231" s="37"/>
      <c r="N1231" s="37"/>
      <c r="O1231" s="37"/>
      <c r="P1231" s="99"/>
      <c r="Q1231" s="100"/>
      <c r="R1231" s="4"/>
    </row>
    <row r="1232" spans="1:18">
      <c r="A1232" s="1"/>
      <c r="B1232" s="2"/>
      <c r="C1232" s="8"/>
      <c r="D1232" s="101" t="s">
        <v>14</v>
      </c>
      <c r="E1232" s="102"/>
      <c r="F1232" s="102"/>
      <c r="G1232" s="102"/>
      <c r="H1232" s="103"/>
      <c r="I1232" s="104" t="s">
        <v>18</v>
      </c>
      <c r="J1232" s="102"/>
      <c r="K1232" s="104" t="s">
        <v>19</v>
      </c>
      <c r="L1232" s="105"/>
      <c r="M1232" s="106" t="s">
        <v>20</v>
      </c>
      <c r="N1232" s="104" t="s">
        <v>21</v>
      </c>
      <c r="O1232" s="105"/>
      <c r="P1232" s="107" t="s">
        <v>22</v>
      </c>
      <c r="Q1232" s="108"/>
      <c r="R1232" s="4"/>
    </row>
    <row r="1233" spans="1:18">
      <c r="A1233" s="1" t="e">
        <f>[239]INDICE!#REF!</f>
        <v>#REF!</v>
      </c>
      <c r="B1233" s="2" t="s">
        <v>23</v>
      </c>
      <c r="C1233" s="8"/>
      <c r="D1233" s="109" t="str">
        <f>IFERROR(INDEX([239]EQUIPOS!B:B,MATCH(B1233,[239]EQUIPOS!A:A,0)),"")</f>
        <v>HERRAMIENTA MENOR (% M.O)</v>
      </c>
      <c r="E1233" s="110"/>
      <c r="F1233" s="110"/>
      <c r="G1233" s="110"/>
      <c r="H1233" s="111"/>
      <c r="I1233" s="112"/>
      <c r="J1233" s="111"/>
      <c r="K1233" s="113" t="str">
        <f>IFERROR(INDEX([239]EQUIPOS!C:C,MATCH(B1233,[239]EQUIPOS!A:A,0)),"")</f>
        <v>%</v>
      </c>
      <c r="L1233" s="114"/>
      <c r="M1233" s="115">
        <f>IFERROR(IF(D1233="HERRAMIENTA MENOR (% M.O)",P1272,INDEX([239]EQUIPOS!D:D,MATCH(B1233,[239]EQUIPOS!A:A,0))),"")</f>
        <v>32635.79</v>
      </c>
      <c r="N1233" s="116">
        <v>10</v>
      </c>
      <c r="O1233" s="117"/>
      <c r="P1233" s="118">
        <f t="shared" ref="P1233:P1238" si="42">IFERROR(ROUND(IF(D1233="HERRAMIENTA MENOR (% M.O)",N1233%*M1233,M1233/N1233),2)," ")</f>
        <v>3263.58</v>
      </c>
      <c r="Q1233" s="119"/>
      <c r="R1233" s="4"/>
    </row>
    <row r="1234" spans="1:18">
      <c r="A1234" s="1">
        <f>+$A$2858</f>
        <v>0</v>
      </c>
      <c r="B1234" s="2"/>
      <c r="C1234" s="8"/>
      <c r="D1234" s="109" t="str">
        <f>IFERROR(INDEX([239]EQUIPOS!B:B,MATCH(B1234,[239]EQUIPOS!A:A,0)),"")</f>
        <v/>
      </c>
      <c r="E1234" s="110"/>
      <c r="F1234" s="110"/>
      <c r="G1234" s="110"/>
      <c r="H1234" s="111"/>
      <c r="I1234" s="112"/>
      <c r="J1234" s="111"/>
      <c r="K1234" s="113" t="str">
        <f>IFERROR(INDEX([239]EQUIPOS!C:C,MATCH(B1234,[239]EQUIPOS!A:A,0)),"")</f>
        <v/>
      </c>
      <c r="L1234" s="114"/>
      <c r="M1234" s="115" t="str">
        <f>IFERROR(IF(D1234="HERRAMIENTA MENOR (% M.O)",P1273,INDEX([239]EQUIPOS!D:D,MATCH(B1234,[239]EQUIPOS!A:A,0))),"")</f>
        <v/>
      </c>
      <c r="N1234" s="116"/>
      <c r="O1234" s="117"/>
      <c r="P1234" s="118" t="str">
        <f t="shared" si="42"/>
        <v xml:space="preserve"> </v>
      </c>
      <c r="Q1234" s="119"/>
      <c r="R1234" s="4"/>
    </row>
    <row r="1235" spans="1:18">
      <c r="A1235" s="1">
        <f t="shared" ref="A1235:A1273" si="43">+A1234</f>
        <v>0</v>
      </c>
      <c r="B1235" s="2"/>
      <c r="C1235" s="8"/>
      <c r="D1235" s="109" t="str">
        <f>IFERROR(INDEX([239]EQUIPOS!B:B,MATCH(B1235,[239]EQUIPOS!A:A,0)),"")</f>
        <v/>
      </c>
      <c r="E1235" s="110"/>
      <c r="F1235" s="110"/>
      <c r="G1235" s="110"/>
      <c r="H1235" s="111"/>
      <c r="I1235" s="120"/>
      <c r="J1235" s="121"/>
      <c r="K1235" s="113" t="str">
        <f>IFERROR(INDEX([239]EQUIPOS!C:C,MATCH(B1235,[239]EQUIPOS!A:A,0)),"")</f>
        <v/>
      </c>
      <c r="L1235" s="114"/>
      <c r="M1235" s="115" t="str">
        <f>IFERROR(IF(D1235="HERRAMIENTA MENOR (% M.O)",P1274,INDEX([239]EQUIPOS!D:D,MATCH(B1235,[239]EQUIPOS!A:A,0))),"")</f>
        <v/>
      </c>
      <c r="N1235" s="116"/>
      <c r="O1235" s="117"/>
      <c r="P1235" s="118" t="str">
        <f t="shared" si="42"/>
        <v xml:space="preserve"> </v>
      </c>
      <c r="Q1235" s="119"/>
      <c r="R1235" s="4"/>
    </row>
    <row r="1236" spans="1:18">
      <c r="A1236" s="1">
        <f t="shared" si="43"/>
        <v>0</v>
      </c>
      <c r="B1236" s="2"/>
      <c r="C1236" s="8"/>
      <c r="D1236" s="109" t="str">
        <f>IFERROR(INDEX([239]EQUIPOS!B:B,MATCH(B1236,[239]EQUIPOS!A:A,0)),"")</f>
        <v/>
      </c>
      <c r="E1236" s="110"/>
      <c r="F1236" s="110"/>
      <c r="G1236" s="110"/>
      <c r="H1236" s="111"/>
      <c r="I1236" s="120"/>
      <c r="J1236" s="121"/>
      <c r="K1236" s="113" t="str">
        <f>IFERROR(INDEX([239]EQUIPOS!C:C,MATCH(B1236,[239]EQUIPOS!A:A,0)),"")</f>
        <v/>
      </c>
      <c r="L1236" s="114"/>
      <c r="M1236" s="115" t="str">
        <f>IFERROR(IF(D1236="HERRAMIENTA MENOR (% M.O)",P1275,INDEX([239]EQUIPOS!D:D,MATCH(B1236,[239]EQUIPOS!A:A,0))),"")</f>
        <v/>
      </c>
      <c r="N1236" s="116"/>
      <c r="O1236" s="117"/>
      <c r="P1236" s="118" t="str">
        <f t="shared" si="42"/>
        <v xml:space="preserve"> </v>
      </c>
      <c r="Q1236" s="119"/>
      <c r="R1236" s="4"/>
    </row>
    <row r="1237" spans="1:18">
      <c r="A1237" s="1">
        <f t="shared" si="43"/>
        <v>0</v>
      </c>
      <c r="B1237" s="2"/>
      <c r="C1237" s="8"/>
      <c r="D1237" s="109" t="str">
        <f>IFERROR(INDEX([239]EQUIPOS!B:B,MATCH(B1237,[239]EQUIPOS!A:A,0)),"")</f>
        <v/>
      </c>
      <c r="E1237" s="110"/>
      <c r="F1237" s="110"/>
      <c r="G1237" s="110"/>
      <c r="H1237" s="111"/>
      <c r="I1237" s="112"/>
      <c r="J1237" s="111"/>
      <c r="K1237" s="113" t="str">
        <f>IFERROR(INDEX([239]EQUIPOS!C:C,MATCH(B1237,[239]EQUIPOS!A:A,0)),"")</f>
        <v/>
      </c>
      <c r="L1237" s="114"/>
      <c r="M1237" s="115" t="str">
        <f>IFERROR(IF(D1237="HERRAMIENTA MENOR (% M.O)",P1276,INDEX([239]EQUIPOS!D:D,MATCH(B1237,[239]EQUIPOS!A:A,0))),"")</f>
        <v/>
      </c>
      <c r="N1237" s="116"/>
      <c r="O1237" s="117"/>
      <c r="P1237" s="118" t="str">
        <f t="shared" si="42"/>
        <v xml:space="preserve"> </v>
      </c>
      <c r="Q1237" s="119"/>
      <c r="R1237" s="4"/>
    </row>
    <row r="1238" spans="1:18" ht="15.75" thickBot="1">
      <c r="A1238" s="1">
        <f t="shared" si="43"/>
        <v>0</v>
      </c>
      <c r="B1238" s="2"/>
      <c r="C1238" s="8"/>
      <c r="D1238" s="109" t="str">
        <f>IFERROR(INDEX([239]EQUIPOS!B:B,MATCH(B1238,[239]EQUIPOS!A:A,0)),"")</f>
        <v/>
      </c>
      <c r="E1238" s="78"/>
      <c r="F1238" s="78"/>
      <c r="G1238" s="78"/>
      <c r="H1238" s="122"/>
      <c r="I1238" s="123"/>
      <c r="J1238" s="122"/>
      <c r="K1238" s="113" t="str">
        <f>IFERROR(INDEX([239]EQUIPOS!C:C,MATCH(B1238,[239]EQUIPOS!A:A,0)),"")</f>
        <v/>
      </c>
      <c r="L1238" s="124"/>
      <c r="M1238" s="115" t="str">
        <f>IFERROR(IF(D1238="HERRAMIENTA MENOR (% M.O)",P1277,INDEX([239]EQUIPOS!D:D,MATCH(B1238,[239]EQUIPOS!A:A,0))),"")</f>
        <v/>
      </c>
      <c r="N1238" s="125"/>
      <c r="O1238" s="126"/>
      <c r="P1238" s="127" t="str">
        <f t="shared" si="42"/>
        <v xml:space="preserve"> </v>
      </c>
      <c r="Q1238" s="119"/>
      <c r="R1238" s="4"/>
    </row>
    <row r="1239" spans="1:18" ht="15.75" thickBot="1">
      <c r="A1239" s="1">
        <f t="shared" si="43"/>
        <v>0</v>
      </c>
      <c r="B1239" s="2"/>
      <c r="C1239" s="8"/>
      <c r="D1239" s="128" t="s">
        <v>24</v>
      </c>
      <c r="E1239" s="129"/>
      <c r="F1239" s="129"/>
      <c r="G1239" s="129"/>
      <c r="H1239" s="129"/>
      <c r="I1239" s="129"/>
      <c r="J1239" s="129"/>
      <c r="K1239" s="129"/>
      <c r="L1239" s="129"/>
      <c r="M1239" s="129"/>
      <c r="N1239" s="129"/>
      <c r="O1239" s="130"/>
      <c r="P1239" s="131">
        <f>SUM(P1233:P1238)</f>
        <v>3263.58</v>
      </c>
      <c r="Q1239" s="132"/>
      <c r="R1239" s="4"/>
    </row>
    <row r="1240" spans="1:18" ht="15.75" thickBot="1">
      <c r="A1240" s="1">
        <f t="shared" si="43"/>
        <v>0</v>
      </c>
      <c r="B1240" s="2"/>
      <c r="C1240" s="8"/>
      <c r="D1240" s="74" t="s">
        <v>25</v>
      </c>
      <c r="E1240" s="37"/>
      <c r="F1240" s="37"/>
      <c r="G1240" s="37"/>
      <c r="H1240" s="37"/>
      <c r="I1240" s="37"/>
      <c r="J1240" s="37"/>
      <c r="K1240" s="37"/>
      <c r="L1240" s="37"/>
      <c r="M1240" s="37"/>
      <c r="N1240" s="37"/>
      <c r="O1240" s="37"/>
      <c r="P1240" s="99"/>
      <c r="Q1240" s="100"/>
      <c r="R1240" s="4"/>
    </row>
    <row r="1241" spans="1:18">
      <c r="A1241" s="1">
        <f t="shared" si="43"/>
        <v>0</v>
      </c>
      <c r="B1241" s="2"/>
      <c r="C1241" s="8"/>
      <c r="D1241" s="101" t="s">
        <v>14</v>
      </c>
      <c r="E1241" s="133"/>
      <c r="F1241" s="133"/>
      <c r="G1241" s="133"/>
      <c r="H1241" s="133"/>
      <c r="I1241" s="133"/>
      <c r="J1241" s="133"/>
      <c r="K1241" s="105"/>
      <c r="L1241" s="134" t="s">
        <v>15</v>
      </c>
      <c r="M1241" s="106" t="s">
        <v>16</v>
      </c>
      <c r="N1241" s="104" t="s">
        <v>26</v>
      </c>
      <c r="O1241" s="105"/>
      <c r="P1241" s="107" t="s">
        <v>22</v>
      </c>
      <c r="Q1241" s="108"/>
      <c r="R1241" s="4"/>
    </row>
    <row r="1242" spans="1:18">
      <c r="A1242" s="1">
        <f t="shared" si="43"/>
        <v>0</v>
      </c>
      <c r="B1242" s="2" t="s">
        <v>290</v>
      </c>
      <c r="C1242" s="8"/>
      <c r="D1242" s="109" t="str">
        <f>IFERROR(INDEX([239]MATERIALES!C:C,MATCH(B1242,[239]MATERIALES!B:B,0)),"")</f>
        <v>TUBERÍA PVC DE 1/2". T.P. (RDE. 9)</v>
      </c>
      <c r="E1242" s="135"/>
      <c r="F1242" s="135"/>
      <c r="G1242" s="135"/>
      <c r="H1242" s="135"/>
      <c r="I1242" s="135"/>
      <c r="J1242" s="135"/>
      <c r="K1242" s="136"/>
      <c r="L1242" s="137" t="str">
        <f>IFERROR(INDEX([239]MATERIALES!D:D,MATCH(B1242,[239]MATERIALES!B:B,0)),"")</f>
        <v>M</v>
      </c>
      <c r="M1242" s="138">
        <v>3</v>
      </c>
      <c r="N1242" s="139">
        <f>IFERROR(INDEX([239]MATERIALES!P:P,MATCH(B1242,[239]MATERIALES!B:B,0)),"")</f>
        <v>5399.16</v>
      </c>
      <c r="O1242" s="140"/>
      <c r="P1242" s="118">
        <f>IFERROR(ROUND(N1242*M1242,2),"")</f>
        <v>16197.48</v>
      </c>
      <c r="Q1242" s="119"/>
      <c r="R1242" s="4"/>
    </row>
    <row r="1243" spans="1:18">
      <c r="A1243" s="1">
        <f t="shared" si="43"/>
        <v>0</v>
      </c>
      <c r="B1243" s="2" t="s">
        <v>291</v>
      </c>
      <c r="C1243" s="8"/>
      <c r="D1243" s="109" t="str">
        <f>IFERROR(INDEX([239]MATERIALES!C:C,MATCH(B1243,[239]MATERIALES!B:B,0)),"")</f>
        <v>UNION DE 1/2"</v>
      </c>
      <c r="E1243" s="135"/>
      <c r="F1243" s="135"/>
      <c r="G1243" s="135"/>
      <c r="H1243" s="135"/>
      <c r="I1243" s="135"/>
      <c r="J1243" s="135"/>
      <c r="K1243" s="136"/>
      <c r="L1243" s="137" t="str">
        <f>IFERROR(INDEX([239]MATERIALES!D:D,MATCH(B1243,[239]MATERIALES!B:B,0)),"")</f>
        <v>UND</v>
      </c>
      <c r="M1243" s="138">
        <v>1</v>
      </c>
      <c r="N1243" s="139">
        <f>IFERROR(INDEX([239]MATERIALES!P:P,MATCH(B1243,[239]MATERIALES!B:B,0)),"")</f>
        <v>900</v>
      </c>
      <c r="O1243" s="140"/>
      <c r="P1243" s="118">
        <f>IFERROR(ROUND(N1243*M1243,2),"")</f>
        <v>900</v>
      </c>
      <c r="Q1243" s="119"/>
      <c r="R1243" s="4"/>
    </row>
    <row r="1244" spans="1:18">
      <c r="A1244" s="1">
        <f t="shared" si="43"/>
        <v>0</v>
      </c>
      <c r="B1244" s="2" t="s">
        <v>293</v>
      </c>
      <c r="C1244" s="8"/>
      <c r="D1244" s="109" t="str">
        <f>IFERROR(INDEX([239]MATERIALES!C:C,MATCH(B1244,[239]MATERIALES!B:B,0)),"")</f>
        <v>CODO PVC DE 1/2" T.P.</v>
      </c>
      <c r="E1244" s="110"/>
      <c r="F1244" s="110"/>
      <c r="G1244" s="110"/>
      <c r="H1244" s="110"/>
      <c r="I1244" s="110"/>
      <c r="J1244" s="110"/>
      <c r="K1244" s="111"/>
      <c r="L1244" s="137" t="str">
        <f>IFERROR(INDEX([239]MATERIALES!D:D,MATCH(B1244,[239]MATERIALES!B:B,0)),"")</f>
        <v>UND</v>
      </c>
      <c r="M1244" s="138">
        <v>1</v>
      </c>
      <c r="N1244" s="139">
        <f>IFERROR(INDEX([239]MATERIALES!P:P,MATCH(B1244,[239]MATERIALES!B:B,0)),"")</f>
        <v>895.96</v>
      </c>
      <c r="O1244" s="140"/>
      <c r="P1244" s="118">
        <f>IFERROR(ROUND(N1244*M1244,2),"")</f>
        <v>895.96</v>
      </c>
      <c r="Q1244" s="119"/>
      <c r="R1244" s="4"/>
    </row>
    <row r="1245" spans="1:18">
      <c r="A1245" s="1">
        <f t="shared" si="43"/>
        <v>0</v>
      </c>
      <c r="B1245" s="2" t="s">
        <v>292</v>
      </c>
      <c r="C1245" s="8"/>
      <c r="D1245" s="109" t="str">
        <f>IFERROR(INDEX([239]MATERIALES!C:C,MATCH(B1245,[239]MATERIALES!B:B,0)),"")</f>
        <v>TEE PVC DE 1/2" T.P.</v>
      </c>
      <c r="E1245" s="110"/>
      <c r="F1245" s="110"/>
      <c r="G1245" s="110"/>
      <c r="H1245" s="110"/>
      <c r="I1245" s="110"/>
      <c r="J1245" s="110"/>
      <c r="K1245" s="111"/>
      <c r="L1245" s="137" t="str">
        <f>IFERROR(INDEX([239]MATERIALES!D:D,MATCH(B1245,[239]MATERIALES!B:B,0)),"")</f>
        <v>UND</v>
      </c>
      <c r="M1245" s="138">
        <v>1</v>
      </c>
      <c r="N1245" s="139">
        <f>IFERROR(INDEX([239]MATERIALES!P:P,MATCH(B1245,[239]MATERIALES!B:B,0)),"")</f>
        <v>1183.52</v>
      </c>
      <c r="O1245" s="140"/>
      <c r="P1245" s="118">
        <f>IFERROR(ROUND(N1245*M1245,2),"")</f>
        <v>1183.52</v>
      </c>
      <c r="Q1245" s="119"/>
      <c r="R1245" s="4"/>
    </row>
    <row r="1246" spans="1:18">
      <c r="A1246" s="1">
        <f t="shared" si="43"/>
        <v>0</v>
      </c>
      <c r="B1246" s="2" t="s">
        <v>296</v>
      </c>
      <c r="C1246" s="8"/>
      <c r="D1246" s="109" t="str">
        <f>IFERROR(INDEX([239]MATERIALES!C:C,MATCH(B1246,[239]MATERIALES!B:B,0)),"")</f>
        <v>ADAPTADOR MACHO PVC DE 1/2"</v>
      </c>
      <c r="E1246" s="110"/>
      <c r="F1246" s="110"/>
      <c r="G1246" s="110"/>
      <c r="H1246" s="110"/>
      <c r="I1246" s="110"/>
      <c r="J1246" s="110"/>
      <c r="K1246" s="111"/>
      <c r="L1246" s="137" t="str">
        <f>IFERROR(INDEX([239]MATERIALES!D:D,MATCH(B1246,[239]MATERIALES!B:B,0)),"")</f>
        <v>UND</v>
      </c>
      <c r="M1246" s="138">
        <v>1</v>
      </c>
      <c r="N1246" s="139">
        <f>IFERROR(INDEX([239]MATERIALES!P:P,MATCH(B1246,[239]MATERIALES!B:B,0)),"")</f>
        <v>618.28</v>
      </c>
      <c r="O1246" s="140"/>
      <c r="P1246" s="118">
        <f t="shared" ref="P1246:P1255" si="44">IFERROR(ROUND(N1246*M1246,2),"")</f>
        <v>618.28</v>
      </c>
      <c r="Q1246" s="119"/>
      <c r="R1246" s="4"/>
    </row>
    <row r="1247" spans="1:18">
      <c r="A1247" s="1">
        <f t="shared" si="43"/>
        <v>0</v>
      </c>
      <c r="B1247" s="2" t="s">
        <v>297</v>
      </c>
      <c r="C1247" s="8"/>
      <c r="D1247" s="109" t="str">
        <f>IFERROR(INDEX([239]MATERIALES!C:C,MATCH(B1247,[239]MATERIALES!B:B,0)),"")</f>
        <v>TAPÓN PVC ROSCADO 1/2"</v>
      </c>
      <c r="E1247" s="110"/>
      <c r="F1247" s="110"/>
      <c r="G1247" s="110"/>
      <c r="H1247" s="110"/>
      <c r="I1247" s="110"/>
      <c r="J1247" s="110"/>
      <c r="K1247" s="111"/>
      <c r="L1247" s="137" t="str">
        <f>IFERROR(INDEX([239]MATERIALES!D:D,MATCH(B1247,[239]MATERIALES!B:B,0)),"")</f>
        <v>UND</v>
      </c>
      <c r="M1247" s="138">
        <v>1</v>
      </c>
      <c r="N1247" s="139">
        <f>IFERROR(INDEX([239]MATERIALES!P:P,MATCH(B1247,[239]MATERIALES!B:B,0)),"")</f>
        <v>800</v>
      </c>
      <c r="O1247" s="140"/>
      <c r="P1247" s="118">
        <f t="shared" si="44"/>
        <v>800</v>
      </c>
      <c r="Q1247" s="119"/>
      <c r="R1247" s="4"/>
    </row>
    <row r="1248" spans="1:18">
      <c r="A1248" s="1">
        <f t="shared" si="43"/>
        <v>0</v>
      </c>
      <c r="B1248" s="2" t="s">
        <v>298</v>
      </c>
      <c r="C1248" s="8"/>
      <c r="D1248" s="109" t="str">
        <f>IFERROR(INDEX([239]MATERIALES!C:C,MATCH(B1248,[239]MATERIALES!B:B,0)),"")</f>
        <v>CINTA TEFLÓN 10 m 1/2"</v>
      </c>
      <c r="E1248" s="110"/>
      <c r="F1248" s="110"/>
      <c r="G1248" s="110"/>
      <c r="H1248" s="110"/>
      <c r="I1248" s="110"/>
      <c r="J1248" s="110"/>
      <c r="K1248" s="111"/>
      <c r="L1248" s="137" t="str">
        <f>IFERROR(INDEX([239]MATERIALES!D:D,MATCH(B1248,[239]MATERIALES!B:B,0)),"")</f>
        <v>RL</v>
      </c>
      <c r="M1248" s="138">
        <v>0.1</v>
      </c>
      <c r="N1248" s="139">
        <f>IFERROR(INDEX([239]MATERIALES!P:P,MATCH(B1248,[239]MATERIALES!B:B,0)),"")</f>
        <v>2200</v>
      </c>
      <c r="O1248" s="140"/>
      <c r="P1248" s="118">
        <f t="shared" si="44"/>
        <v>220</v>
      </c>
      <c r="Q1248" s="119"/>
      <c r="R1248" s="4"/>
    </row>
    <row r="1249" spans="1:18">
      <c r="A1249" s="1">
        <f t="shared" si="43"/>
        <v>0</v>
      </c>
      <c r="B1249" s="2" t="s">
        <v>295</v>
      </c>
      <c r="C1249" s="8"/>
      <c r="D1249" s="109" t="str">
        <f>IFERROR(INDEX([239]MATERIALES!C:C,MATCH(B1249,[239]MATERIALES!B:B,0)),"")</f>
        <v>REMOVEDOR PVC (LIMPIADOR 1/4 )</v>
      </c>
      <c r="E1249" s="110"/>
      <c r="F1249" s="110"/>
      <c r="G1249" s="110"/>
      <c r="H1249" s="110"/>
      <c r="I1249" s="110"/>
      <c r="J1249" s="110"/>
      <c r="K1249" s="111"/>
      <c r="L1249" s="137" t="str">
        <f>IFERROR(INDEX([239]MATERIALES!D:D,MATCH(B1249,[239]MATERIALES!B:B,0)),"")</f>
        <v>GAL</v>
      </c>
      <c r="M1249" s="352">
        <v>6.0000000000000001E-3</v>
      </c>
      <c r="N1249" s="139">
        <f>IFERROR(INDEX([239]MATERIALES!P:P,MATCH(B1249,[239]MATERIALES!B:B,0)),"")</f>
        <v>54704</v>
      </c>
      <c r="O1249" s="140"/>
      <c r="P1249" s="118">
        <f t="shared" si="44"/>
        <v>328.22</v>
      </c>
      <c r="Q1249" s="119"/>
      <c r="R1249" s="4"/>
    </row>
    <row r="1250" spans="1:18">
      <c r="A1250" s="1">
        <f t="shared" si="43"/>
        <v>0</v>
      </c>
      <c r="B1250" s="2" t="s">
        <v>294</v>
      </c>
      <c r="C1250" s="8"/>
      <c r="D1250" s="109" t="str">
        <f>IFERROR(INDEX([239]MATERIALES!C:C,MATCH(B1250,[239]MATERIALES!B:B,0)),"")</f>
        <v>SOLDADURA LIQUIDA PVC 1/4"</v>
      </c>
      <c r="E1250" s="110"/>
      <c r="F1250" s="110"/>
      <c r="G1250" s="110"/>
      <c r="H1250" s="110"/>
      <c r="I1250" s="110"/>
      <c r="J1250" s="110"/>
      <c r="K1250" s="111"/>
      <c r="L1250" s="137" t="str">
        <f>IFERROR(INDEX([239]MATERIALES!D:D,MATCH(B1250,[239]MATERIALES!B:B,0)),"")</f>
        <v>GAL</v>
      </c>
      <c r="M1250" s="352">
        <v>6.0000000000000001E-3</v>
      </c>
      <c r="N1250" s="139">
        <f>IFERROR(INDEX([239]MATERIALES!P:P,MATCH(B1250,[239]MATERIALES!B:B,0)),"")</f>
        <v>67444</v>
      </c>
      <c r="O1250" s="140"/>
      <c r="P1250" s="118">
        <f t="shared" si="44"/>
        <v>404.66</v>
      </c>
      <c r="Q1250" s="119"/>
      <c r="R1250" s="4"/>
    </row>
    <row r="1251" spans="1:18">
      <c r="A1251" s="1">
        <f t="shared" si="43"/>
        <v>0</v>
      </c>
      <c r="B1251" s="2"/>
      <c r="C1251" s="8"/>
      <c r="D1251" s="109" t="str">
        <f>IFERROR(INDEX([239]MATERIALES!C:C,MATCH(B1251,[239]MATERIALES!B:B,0)),"")</f>
        <v/>
      </c>
      <c r="E1251" s="110"/>
      <c r="F1251" s="110"/>
      <c r="G1251" s="110"/>
      <c r="H1251" s="110"/>
      <c r="I1251" s="110"/>
      <c r="J1251" s="110"/>
      <c r="K1251" s="111"/>
      <c r="L1251" s="137" t="str">
        <f>IFERROR(INDEX([239]MATERIALES!D:D,MATCH(B1251,[239]MATERIALES!B:B,0)),"")</f>
        <v/>
      </c>
      <c r="M1251" s="138"/>
      <c r="N1251" s="139" t="str">
        <f>IFERROR(INDEX([239]MATERIALES!P:P,MATCH(B1251,[239]MATERIALES!B:B,0)),"")</f>
        <v/>
      </c>
      <c r="O1251" s="140"/>
      <c r="P1251" s="118" t="str">
        <f t="shared" si="44"/>
        <v/>
      </c>
      <c r="Q1251" s="119"/>
      <c r="R1251" s="4"/>
    </row>
    <row r="1252" spans="1:18">
      <c r="A1252" s="1">
        <f t="shared" si="43"/>
        <v>0</v>
      </c>
      <c r="B1252" s="2"/>
      <c r="C1252" s="8"/>
      <c r="D1252" s="109" t="str">
        <f>IFERROR(INDEX([239]MATERIALES!C:C,MATCH(B1252,[239]MATERIALES!B:B,0)),"")</f>
        <v/>
      </c>
      <c r="E1252" s="110"/>
      <c r="F1252" s="110"/>
      <c r="G1252" s="110"/>
      <c r="H1252" s="110"/>
      <c r="I1252" s="110"/>
      <c r="J1252" s="110"/>
      <c r="K1252" s="111"/>
      <c r="L1252" s="137" t="str">
        <f>IFERROR(INDEX([239]MATERIALES!D:D,MATCH(B1252,[239]MATERIALES!B:B,0)),"")</f>
        <v/>
      </c>
      <c r="M1252" s="138"/>
      <c r="N1252" s="139" t="str">
        <f>IFERROR(INDEX([239]MATERIALES!P:P,MATCH(B1252,[239]MATERIALES!B:B,0)),"")</f>
        <v/>
      </c>
      <c r="O1252" s="140"/>
      <c r="P1252" s="118" t="str">
        <f t="shared" si="44"/>
        <v/>
      </c>
      <c r="Q1252" s="119"/>
      <c r="R1252" s="4"/>
    </row>
    <row r="1253" spans="1:18">
      <c r="A1253" s="1">
        <f t="shared" si="43"/>
        <v>0</v>
      </c>
      <c r="B1253" s="2"/>
      <c r="C1253" s="8"/>
      <c r="D1253" s="109" t="str">
        <f>IFERROR(INDEX([239]MATERIALES!C:C,MATCH(B1253,[239]MATERIALES!B:B,0)),"")</f>
        <v/>
      </c>
      <c r="E1253" s="110"/>
      <c r="F1253" s="110"/>
      <c r="G1253" s="110"/>
      <c r="H1253" s="110"/>
      <c r="I1253" s="110"/>
      <c r="J1253" s="110"/>
      <c r="K1253" s="111"/>
      <c r="L1253" s="137" t="str">
        <f>IFERROR(INDEX([239]MATERIALES!D:D,MATCH(B1253,[239]MATERIALES!B:B,0)),"")</f>
        <v/>
      </c>
      <c r="M1253" s="138"/>
      <c r="N1253" s="139" t="str">
        <f>IFERROR(INDEX([239]MATERIALES!P:P,MATCH(B1253,[239]MATERIALES!B:B,0)),"")</f>
        <v/>
      </c>
      <c r="O1253" s="140"/>
      <c r="P1253" s="118" t="str">
        <f t="shared" si="44"/>
        <v/>
      </c>
      <c r="Q1253" s="119"/>
      <c r="R1253" s="4"/>
    </row>
    <row r="1254" spans="1:18">
      <c r="A1254" s="1">
        <f t="shared" si="43"/>
        <v>0</v>
      </c>
      <c r="B1254" s="2"/>
      <c r="C1254" s="8"/>
      <c r="D1254" s="109" t="str">
        <f>IFERROR(INDEX([239]MATERIALES!C:C,MATCH(B1254,[239]MATERIALES!B:B,0)),"")</f>
        <v/>
      </c>
      <c r="E1254" s="110"/>
      <c r="F1254" s="110"/>
      <c r="G1254" s="110"/>
      <c r="H1254" s="110"/>
      <c r="I1254" s="110"/>
      <c r="J1254" s="110"/>
      <c r="K1254" s="111"/>
      <c r="L1254" s="137" t="str">
        <f>IFERROR(INDEX([239]MATERIALES!D:D,MATCH(B1254,[239]MATERIALES!B:B,0)),"")</f>
        <v/>
      </c>
      <c r="M1254" s="138"/>
      <c r="N1254" s="139" t="str">
        <f>IFERROR(INDEX([239]MATERIALES!P:P,MATCH(B1254,[239]MATERIALES!B:B,0)),"")</f>
        <v/>
      </c>
      <c r="O1254" s="140"/>
      <c r="P1254" s="118" t="str">
        <f t="shared" si="44"/>
        <v/>
      </c>
      <c r="Q1254" s="119"/>
      <c r="R1254" s="4"/>
    </row>
    <row r="1255" spans="1:18">
      <c r="A1255" s="1">
        <f t="shared" si="43"/>
        <v>0</v>
      </c>
      <c r="B1255" s="2"/>
      <c r="C1255" s="8"/>
      <c r="D1255" s="109" t="str">
        <f>IFERROR(INDEX([239]MATERIALES!C:C,MATCH(B1255,[239]MATERIALES!B:B,0)),"")</f>
        <v/>
      </c>
      <c r="E1255" s="110"/>
      <c r="F1255" s="110"/>
      <c r="G1255" s="110"/>
      <c r="H1255" s="110"/>
      <c r="I1255" s="110"/>
      <c r="J1255" s="110"/>
      <c r="K1255" s="111"/>
      <c r="L1255" s="137" t="str">
        <f>IFERROR(INDEX([239]MATERIALES!D:D,MATCH(B1255,[239]MATERIALES!B:B,0)),"")</f>
        <v/>
      </c>
      <c r="M1255" s="138"/>
      <c r="N1255" s="139" t="str">
        <f>IFERROR(INDEX([239]MATERIALES!P:P,MATCH(B1255,[239]MATERIALES!B:B,0)),"")</f>
        <v/>
      </c>
      <c r="O1255" s="140"/>
      <c r="P1255" s="118" t="str">
        <f t="shared" si="44"/>
        <v/>
      </c>
      <c r="Q1255" s="119"/>
      <c r="R1255" s="4"/>
    </row>
    <row r="1256" spans="1:18" ht="15.75" thickBot="1">
      <c r="A1256" s="1">
        <f t="shared" si="43"/>
        <v>0</v>
      </c>
      <c r="B1256" s="2"/>
      <c r="C1256" s="8"/>
      <c r="D1256" s="109" t="s">
        <v>28</v>
      </c>
      <c r="E1256" s="110"/>
      <c r="F1256" s="110"/>
      <c r="G1256" s="110"/>
      <c r="H1256" s="110"/>
      <c r="I1256" s="110"/>
      <c r="J1256" s="110"/>
      <c r="K1256" s="111"/>
      <c r="L1256" s="137" t="s">
        <v>29</v>
      </c>
      <c r="M1256" s="138">
        <v>0.05</v>
      </c>
      <c r="N1256" s="139">
        <f>SUM(P1242:P1255)</f>
        <v>21548.12</v>
      </c>
      <c r="O1256" s="140"/>
      <c r="P1256" s="118">
        <f>ROUND(N1256*M1256,2)</f>
        <v>1077.4100000000001</v>
      </c>
      <c r="Q1256" s="119"/>
      <c r="R1256" s="4"/>
    </row>
    <row r="1257" spans="1:18" ht="15.75" thickBot="1">
      <c r="A1257" s="1">
        <f t="shared" si="43"/>
        <v>0</v>
      </c>
      <c r="B1257" s="2"/>
      <c r="C1257" s="8"/>
      <c r="D1257" s="128" t="s">
        <v>24</v>
      </c>
      <c r="E1257" s="129"/>
      <c r="F1257" s="129"/>
      <c r="G1257" s="129"/>
      <c r="H1257" s="129"/>
      <c r="I1257" s="129"/>
      <c r="J1257" s="129"/>
      <c r="K1257" s="129"/>
      <c r="L1257" s="129"/>
      <c r="M1257" s="129"/>
      <c r="N1257" s="129"/>
      <c r="O1257" s="130"/>
      <c r="P1257" s="131">
        <f>SUM(P1242:P1256)</f>
        <v>22625.53</v>
      </c>
      <c r="Q1257" s="119"/>
      <c r="R1257" s="4"/>
    </row>
    <row r="1258" spans="1:18" ht="15.75" thickBot="1">
      <c r="A1258" s="1">
        <f t="shared" si="43"/>
        <v>0</v>
      </c>
      <c r="B1258" s="2"/>
      <c r="C1258" s="8"/>
      <c r="D1258" s="74" t="s">
        <v>30</v>
      </c>
      <c r="E1258" s="37"/>
      <c r="F1258" s="37"/>
      <c r="G1258" s="37"/>
      <c r="H1258" s="37"/>
      <c r="I1258" s="37"/>
      <c r="J1258" s="37"/>
      <c r="K1258" s="37"/>
      <c r="L1258" s="37"/>
      <c r="M1258" s="37"/>
      <c r="N1258" s="37"/>
      <c r="O1258" s="37"/>
      <c r="P1258" s="99"/>
      <c r="Q1258" s="100"/>
      <c r="R1258" s="4"/>
    </row>
    <row r="1259" spans="1:18">
      <c r="A1259" s="1">
        <f t="shared" si="43"/>
        <v>0</v>
      </c>
      <c r="B1259" s="2"/>
      <c r="C1259" s="8"/>
      <c r="D1259" s="101" t="s">
        <v>31</v>
      </c>
      <c r="E1259" s="133"/>
      <c r="F1259" s="133"/>
      <c r="G1259" s="133"/>
      <c r="H1259" s="133"/>
      <c r="I1259" s="133"/>
      <c r="J1259" s="133"/>
      <c r="K1259" s="106" t="s">
        <v>32</v>
      </c>
      <c r="L1259" s="141" t="s">
        <v>33</v>
      </c>
      <c r="M1259" s="106" t="s">
        <v>34</v>
      </c>
      <c r="N1259" s="104" t="s">
        <v>20</v>
      </c>
      <c r="O1259" s="105"/>
      <c r="P1259" s="107" t="s">
        <v>22</v>
      </c>
      <c r="Q1259" s="108"/>
      <c r="R1259" s="4"/>
    </row>
    <row r="1260" spans="1:18">
      <c r="A1260" s="1">
        <f t="shared" si="43"/>
        <v>0</v>
      </c>
      <c r="B1260" s="2"/>
      <c r="C1260" s="8"/>
      <c r="D1260" s="142" t="str">
        <f>IFERROR(INDEX([239]TRANSPORTES!B:B,MATCH(B1260,[239]TRANSPORTES!A:A,0)),"")</f>
        <v/>
      </c>
      <c r="E1260" s="143"/>
      <c r="F1260" s="143"/>
      <c r="G1260" s="143"/>
      <c r="H1260" s="143"/>
      <c r="I1260" s="143"/>
      <c r="J1260" s="143"/>
      <c r="K1260" s="220"/>
      <c r="L1260" s="145"/>
      <c r="M1260" s="146" t="str">
        <f>IFERROR(INDEX([239]TRANSPORTES!C:C,MATCH(B1260,[239]TRANSPORTES!A:A,0)),"")</f>
        <v/>
      </c>
      <c r="N1260" s="139" t="str">
        <f>IFERROR(INDEX([239]TRANSPORTES!D:D,MATCH(B1260,[239]TRANSPORTES!A:A,0)),"")</f>
        <v/>
      </c>
      <c r="O1260" s="147"/>
      <c r="P1260" s="148" t="str">
        <f>IFERROR(ROUND(K1260*N1260*L1260,2),"")</f>
        <v/>
      </c>
      <c r="Q1260" s="119"/>
      <c r="R1260" s="4"/>
    </row>
    <row r="1261" spans="1:18">
      <c r="A1261" s="1">
        <f t="shared" si="43"/>
        <v>0</v>
      </c>
      <c r="B1261" s="2"/>
      <c r="C1261" s="8"/>
      <c r="D1261" s="142" t="str">
        <f>IFERROR(INDEX([239]TRANSPORTES!B:B,MATCH(B1261,[239]TRANSPORTES!A:A,0)),"")</f>
        <v/>
      </c>
      <c r="E1261" s="143"/>
      <c r="F1261" s="143"/>
      <c r="G1261" s="143"/>
      <c r="H1261" s="143"/>
      <c r="I1261" s="143"/>
      <c r="J1261" s="143"/>
      <c r="K1261" s="144"/>
      <c r="L1261" s="145"/>
      <c r="M1261" s="146" t="str">
        <f>IFERROR(INDEX([239]TRANSPORTES!C:C,MATCH(B1261,[239]TRANSPORTES!A:A,0)),"")</f>
        <v/>
      </c>
      <c r="N1261" s="139" t="str">
        <f>IFERROR(INDEX([239]TRANSPORTES!D:D,MATCH(B1261,[239]TRANSPORTES!A:A,0)),"")</f>
        <v/>
      </c>
      <c r="O1261" s="147"/>
      <c r="P1261" s="148" t="str">
        <f>IFERROR(ROUND(K1261*N1261*L1261,2),"")</f>
        <v/>
      </c>
      <c r="Q1261" s="119"/>
      <c r="R1261" s="4"/>
    </row>
    <row r="1262" spans="1:18">
      <c r="A1262" s="1">
        <f t="shared" si="43"/>
        <v>0</v>
      </c>
      <c r="B1262" s="2"/>
      <c r="C1262" s="8"/>
      <c r="D1262" s="142" t="str">
        <f>IFERROR(INDEX([239]TRANSPORTES!B:B,MATCH(B1262,[239]TRANSPORTES!A:A,0)),"")</f>
        <v/>
      </c>
      <c r="E1262" s="143"/>
      <c r="F1262" s="143"/>
      <c r="G1262" s="143"/>
      <c r="H1262" s="143"/>
      <c r="I1262" s="143"/>
      <c r="J1262" s="143"/>
      <c r="K1262" s="144"/>
      <c r="L1262" s="145"/>
      <c r="M1262" s="146" t="str">
        <f>IFERROR(INDEX([239]TRANSPORTES!C:C,MATCH(B1262,[239]TRANSPORTES!A:A,0)),"")</f>
        <v/>
      </c>
      <c r="N1262" s="139" t="str">
        <f>IFERROR(INDEX([239]TRANSPORTES!D:D,MATCH(B1262,[239]TRANSPORTES!A:A,0)),"")</f>
        <v/>
      </c>
      <c r="O1262" s="147"/>
      <c r="P1262" s="148" t="str">
        <f>IFERROR(ROUND(K1262*N1262*L1262,2),"")</f>
        <v/>
      </c>
      <c r="Q1262" s="119"/>
      <c r="R1262" s="4"/>
    </row>
    <row r="1263" spans="1:18" ht="15.75" thickBot="1">
      <c r="A1263" s="1">
        <f t="shared" si="43"/>
        <v>0</v>
      </c>
      <c r="B1263" s="2"/>
      <c r="C1263" s="8"/>
      <c r="D1263" s="142" t="str">
        <f>IFERROR(INDEX([239]TRANSPORTES!B:B,MATCH(B1263,[239]TRANSPORTES!A:A,0)),"")</f>
        <v/>
      </c>
      <c r="E1263" s="143"/>
      <c r="F1263" s="143"/>
      <c r="G1263" s="143"/>
      <c r="H1263" s="143"/>
      <c r="I1263" s="143"/>
      <c r="J1263" s="143"/>
      <c r="K1263" s="149"/>
      <c r="L1263" s="150"/>
      <c r="M1263" s="146" t="str">
        <f>IFERROR(INDEX([239]TRANSPORTES!C:C,MATCH(B1263,[239]TRANSPORTES!A:A,0)),"")</f>
        <v/>
      </c>
      <c r="N1263" s="139" t="str">
        <f>IFERROR(INDEX([239]TRANSPORTES!D:D,MATCH(B1263,[239]TRANSPORTES!A:A,0)),"")</f>
        <v/>
      </c>
      <c r="O1263" s="147"/>
      <c r="P1263" s="148" t="str">
        <f>IFERROR(ROUND(K1263*N1263*L1263,2),"")</f>
        <v/>
      </c>
      <c r="Q1263" s="119"/>
      <c r="R1263" s="4"/>
    </row>
    <row r="1264" spans="1:18" ht="15.75" thickBot="1">
      <c r="A1264" s="1">
        <f t="shared" si="43"/>
        <v>0</v>
      </c>
      <c r="B1264" s="2"/>
      <c r="C1264" s="8"/>
      <c r="D1264" s="128" t="s">
        <v>24</v>
      </c>
      <c r="E1264" s="129"/>
      <c r="F1264" s="129"/>
      <c r="G1264" s="129"/>
      <c r="H1264" s="129"/>
      <c r="I1264" s="129"/>
      <c r="J1264" s="129"/>
      <c r="K1264" s="129"/>
      <c r="L1264" s="129"/>
      <c r="M1264" s="129"/>
      <c r="N1264" s="129"/>
      <c r="O1264" s="130"/>
      <c r="P1264" s="151">
        <f>SUM(P1260:P1263)</f>
        <v>0</v>
      </c>
      <c r="Q1264" s="132"/>
      <c r="R1264" s="4"/>
    </row>
    <row r="1265" spans="1:18" ht="15.75" thickBot="1">
      <c r="A1265" s="1">
        <f t="shared" si="43"/>
        <v>0</v>
      </c>
      <c r="B1265" s="2"/>
      <c r="C1265" s="8"/>
      <c r="D1265" s="74" t="s">
        <v>36</v>
      </c>
      <c r="E1265" s="37"/>
      <c r="F1265" s="37"/>
      <c r="G1265" s="37"/>
      <c r="H1265" s="37"/>
      <c r="I1265" s="37"/>
      <c r="J1265" s="37"/>
      <c r="K1265" s="37"/>
      <c r="L1265" s="37"/>
      <c r="M1265" s="37"/>
      <c r="N1265" s="37"/>
      <c r="O1265" s="37"/>
      <c r="P1265" s="99"/>
      <c r="Q1265" s="100"/>
      <c r="R1265" s="4"/>
    </row>
    <row r="1266" spans="1:18" ht="30">
      <c r="A1266" s="1">
        <f t="shared" si="43"/>
        <v>0</v>
      </c>
      <c r="B1266" s="2"/>
      <c r="C1266" s="8"/>
      <c r="D1266" s="101" t="s">
        <v>37</v>
      </c>
      <c r="E1266" s="133"/>
      <c r="F1266" s="133"/>
      <c r="G1266" s="133"/>
      <c r="H1266" s="133"/>
      <c r="I1266" s="133"/>
      <c r="J1266" s="133"/>
      <c r="K1266" s="106" t="s">
        <v>38</v>
      </c>
      <c r="L1266" s="152" t="s">
        <v>39</v>
      </c>
      <c r="M1266" s="153" t="s">
        <v>40</v>
      </c>
      <c r="N1266" s="104" t="s">
        <v>21</v>
      </c>
      <c r="O1266" s="105"/>
      <c r="P1266" s="154" t="s">
        <v>22</v>
      </c>
      <c r="Q1266" s="155"/>
      <c r="R1266" s="4"/>
    </row>
    <row r="1267" spans="1:18">
      <c r="A1267" s="1">
        <f t="shared" si="43"/>
        <v>0</v>
      </c>
      <c r="B1267" s="2" t="s">
        <v>41</v>
      </c>
      <c r="C1267" s="8"/>
      <c r="D1267" s="109" t="str">
        <f>IFERROR(INDEX('[239]MANO DE OBRA'!B:B,MATCH(B1267,'[239]MANO DE OBRA'!A:A,0)),"")</f>
        <v>OFICIAL</v>
      </c>
      <c r="E1267" s="110"/>
      <c r="F1267" s="110"/>
      <c r="G1267" s="110"/>
      <c r="H1267" s="110"/>
      <c r="I1267" s="110"/>
      <c r="J1267" s="111"/>
      <c r="K1267" s="156">
        <f>IFERROR(INDEX('[239]MANO DE OBRA'!D:D,MATCH(B1267,'[239]MANO DE OBRA'!A:A,0)),"")</f>
        <v>95930</v>
      </c>
      <c r="L1267" s="157">
        <f>+IF(D1267&lt;&gt;"",'[239]FACTOR PRESTACIONAL'!$E$21," ")</f>
        <v>1.95</v>
      </c>
      <c r="M1267" s="158">
        <f>IFERROR(K1267*L1267," ")</f>
        <v>187063.5</v>
      </c>
      <c r="N1267" s="159">
        <v>10</v>
      </c>
      <c r="O1267" s="160"/>
      <c r="P1267" s="161">
        <f>IFERROR(ROUND(M1267/N1267,2)," ")</f>
        <v>18706.349999999999</v>
      </c>
      <c r="Q1267" s="162"/>
      <c r="R1267" s="4"/>
    </row>
    <row r="1268" spans="1:18">
      <c r="A1268" s="1">
        <f t="shared" si="43"/>
        <v>0</v>
      </c>
      <c r="B1268" s="2" t="s">
        <v>81</v>
      </c>
      <c r="C1268" s="8"/>
      <c r="D1268" s="109" t="str">
        <f>IFERROR(INDEX('[239]MANO DE OBRA'!B:B,MATCH(B1268,'[239]MANO DE OBRA'!A:A,0)),"")</f>
        <v>AYUDANTE (1)</v>
      </c>
      <c r="E1268" s="110"/>
      <c r="F1268" s="110"/>
      <c r="G1268" s="110"/>
      <c r="H1268" s="110"/>
      <c r="I1268" s="110"/>
      <c r="J1268" s="111"/>
      <c r="K1268" s="156">
        <f>IFERROR(INDEX('[239]MANO DE OBRA'!D:D,MATCH(B1268,'[239]MANO DE OBRA'!A:A,0)),"")</f>
        <v>71433</v>
      </c>
      <c r="L1268" s="157">
        <f>+IF(D1268&lt;&gt;"",'[239]FACTOR PRESTACIONAL'!$E$21," ")</f>
        <v>1.95</v>
      </c>
      <c r="M1268" s="158">
        <f>IFERROR(K1268*L1268," ")</f>
        <v>139294.35</v>
      </c>
      <c r="N1268" s="159">
        <v>10</v>
      </c>
      <c r="O1268" s="160"/>
      <c r="P1268" s="161">
        <f>IFERROR(ROUND(M1268/N1268,2)," ")</f>
        <v>13929.44</v>
      </c>
      <c r="Q1268" s="162"/>
      <c r="R1268" s="4"/>
    </row>
    <row r="1269" spans="1:18">
      <c r="A1269" s="1">
        <f t="shared" si="43"/>
        <v>0</v>
      </c>
      <c r="B1269" s="2"/>
      <c r="C1269" s="8"/>
      <c r="D1269" s="109" t="str">
        <f>IFERROR(INDEX('[239]MANO DE OBRA'!B:B,MATCH(B1269,'[239]MANO DE OBRA'!A:A,0)),"")</f>
        <v/>
      </c>
      <c r="E1269" s="110"/>
      <c r="F1269" s="110"/>
      <c r="G1269" s="110"/>
      <c r="H1269" s="110"/>
      <c r="I1269" s="110"/>
      <c r="J1269" s="111"/>
      <c r="K1269" s="156" t="str">
        <f>IFERROR(INDEX('[239]MANO DE OBRA'!D:D,MATCH(B1269,'[239]MANO DE OBRA'!A:A,0)),"")</f>
        <v/>
      </c>
      <c r="L1269" s="157" t="str">
        <f>+IF(D1269&lt;&gt;"",'[239]FACTOR PRESTACIONAL'!$E$21," ")</f>
        <v xml:space="preserve"> </v>
      </c>
      <c r="M1269" s="158" t="str">
        <f>IFERROR(K1269*L1269," ")</f>
        <v xml:space="preserve"> </v>
      </c>
      <c r="N1269" s="159"/>
      <c r="O1269" s="160"/>
      <c r="P1269" s="161" t="str">
        <f>IFERROR(ROUND(M1269/N1269,2)," ")</f>
        <v xml:space="preserve"> </v>
      </c>
      <c r="Q1269" s="162"/>
      <c r="R1269" s="4"/>
    </row>
    <row r="1270" spans="1:18">
      <c r="A1270" s="1">
        <f t="shared" si="43"/>
        <v>0</v>
      </c>
      <c r="B1270" s="2"/>
      <c r="C1270" s="8"/>
      <c r="D1270" s="109" t="str">
        <f>IFERROR(INDEX('[239]MANO DE OBRA'!B:B,MATCH(B1270,'[239]MANO DE OBRA'!A:A,0)),"")</f>
        <v/>
      </c>
      <c r="E1270" s="110"/>
      <c r="F1270" s="110"/>
      <c r="G1270" s="110"/>
      <c r="H1270" s="110"/>
      <c r="I1270" s="110"/>
      <c r="J1270" s="111"/>
      <c r="K1270" s="156" t="str">
        <f>IFERROR(INDEX('[239]MANO DE OBRA'!D:D,MATCH(B1270,'[239]MANO DE OBRA'!A:A,0)),"")</f>
        <v/>
      </c>
      <c r="L1270" s="157" t="str">
        <f>+IF(D1270&lt;&gt;"",'[239]FACTOR PRESTACIONAL'!$E$21," ")</f>
        <v xml:space="preserve"> </v>
      </c>
      <c r="M1270" s="158" t="str">
        <f>IFERROR(K1270*L1270," ")</f>
        <v xml:space="preserve"> </v>
      </c>
      <c r="N1270" s="159"/>
      <c r="O1270" s="160"/>
      <c r="P1270" s="161" t="str">
        <f>IFERROR(ROUND(M1270/N1270,2)," ")</f>
        <v xml:space="preserve"> </v>
      </c>
      <c r="Q1270" s="162"/>
      <c r="R1270" s="4"/>
    </row>
    <row r="1271" spans="1:18" ht="15.75" thickBot="1">
      <c r="A1271" s="1">
        <f t="shared" si="43"/>
        <v>0</v>
      </c>
      <c r="B1271" s="2"/>
      <c r="C1271" s="8"/>
      <c r="D1271" s="109" t="str">
        <f>IFERROR(INDEX('[239]MANO DE OBRA'!B:B,MATCH(B1271,'[239]MANO DE OBRA'!A:A,0)),"")</f>
        <v/>
      </c>
      <c r="E1271" s="110"/>
      <c r="F1271" s="110"/>
      <c r="G1271" s="110"/>
      <c r="H1271" s="110"/>
      <c r="I1271" s="110"/>
      <c r="J1271" s="111"/>
      <c r="K1271" s="156" t="str">
        <f>IFERROR(INDEX('[239]MANO DE OBRA'!D:D,MATCH(B1271,'[239]MANO DE OBRA'!A:A,0)),"")</f>
        <v/>
      </c>
      <c r="L1271" s="157" t="str">
        <f>+IF(D1271&lt;&gt;"",'[239]FACTOR PRESTACIONAL'!$E$21," ")</f>
        <v xml:space="preserve"> </v>
      </c>
      <c r="M1271" s="158" t="str">
        <f>IFERROR(K1271*L1271," ")</f>
        <v xml:space="preserve"> </v>
      </c>
      <c r="N1271" s="159"/>
      <c r="O1271" s="160"/>
      <c r="P1271" s="161" t="str">
        <f>IFERROR(ROUND(M1271/N1271,2)," ")</f>
        <v xml:space="preserve"> </v>
      </c>
      <c r="Q1271" s="119"/>
      <c r="R1271" s="4"/>
    </row>
    <row r="1272" spans="1:18" ht="15.75" thickBot="1">
      <c r="A1272" s="1">
        <f t="shared" si="43"/>
        <v>0</v>
      </c>
      <c r="B1272" s="2"/>
      <c r="C1272" s="8"/>
      <c r="D1272" s="128" t="s">
        <v>24</v>
      </c>
      <c r="E1272" s="129"/>
      <c r="F1272" s="129"/>
      <c r="G1272" s="129"/>
      <c r="H1272" s="129"/>
      <c r="I1272" s="129"/>
      <c r="J1272" s="129"/>
      <c r="K1272" s="129"/>
      <c r="L1272" s="129"/>
      <c r="M1272" s="129"/>
      <c r="N1272" s="129"/>
      <c r="O1272" s="130"/>
      <c r="P1272" s="131">
        <f>SUM(P1267:P1271)</f>
        <v>32635.79</v>
      </c>
      <c r="Q1272" s="119"/>
      <c r="R1272" s="4"/>
    </row>
    <row r="1273" spans="1:18" ht="15.75" thickBot="1">
      <c r="A1273" s="1">
        <f t="shared" si="43"/>
        <v>0</v>
      </c>
      <c r="B1273" s="2"/>
      <c r="C1273" s="8"/>
      <c r="D1273" s="87"/>
      <c r="E1273" s="20"/>
      <c r="F1273" s="20"/>
      <c r="G1273" s="20"/>
      <c r="H1273" s="20"/>
      <c r="I1273" s="20"/>
      <c r="J1273" s="20"/>
      <c r="K1273" s="20"/>
      <c r="L1273" s="20"/>
      <c r="M1273" s="20"/>
      <c r="N1273" s="20"/>
      <c r="O1273" s="20"/>
      <c r="P1273" s="88"/>
      <c r="Q1273" s="13"/>
      <c r="R1273" s="4"/>
    </row>
    <row r="1274" spans="1:18" ht="15.75" thickBot="1">
      <c r="A1274" s="1"/>
      <c r="B1274" s="2"/>
      <c r="C1274" s="8"/>
      <c r="D1274" s="163" t="s">
        <v>43</v>
      </c>
      <c r="E1274" s="164"/>
      <c r="F1274" s="164"/>
      <c r="G1274" s="164"/>
      <c r="H1274" s="164"/>
      <c r="I1274" s="164"/>
      <c r="J1274" s="164"/>
      <c r="K1274" s="164"/>
      <c r="L1274" s="164"/>
      <c r="M1274" s="164"/>
      <c r="N1274" s="164"/>
      <c r="O1274" s="165"/>
      <c r="P1274" s="166">
        <f>+P1272+P1264+P1257+P1239</f>
        <v>58524.9</v>
      </c>
      <c r="Q1274" s="167"/>
      <c r="R1274" s="168"/>
    </row>
    <row r="1275" spans="1:18" ht="15.75" thickBot="1">
      <c r="A1275" s="1"/>
      <c r="B1275" s="2"/>
      <c r="C1275" s="8"/>
      <c r="D1275" s="169"/>
      <c r="E1275" s="170"/>
      <c r="F1275" s="170"/>
      <c r="G1275" s="170"/>
      <c r="H1275" s="170"/>
      <c r="I1275" s="170"/>
      <c r="J1275" s="170"/>
      <c r="K1275" s="170"/>
      <c r="L1275" s="170"/>
      <c r="M1275" s="170"/>
      <c r="N1275" s="170"/>
      <c r="O1275" s="170"/>
      <c r="P1275" s="171"/>
      <c r="Q1275" s="100"/>
      <c r="R1275" s="4"/>
    </row>
    <row r="1276" spans="1:18">
      <c r="A1276" s="1"/>
      <c r="B1276" s="2"/>
      <c r="C1276" s="8"/>
      <c r="D1276" s="172" t="s">
        <v>73</v>
      </c>
      <c r="E1276" s="173"/>
      <c r="F1276" s="173"/>
      <c r="G1276" s="173"/>
      <c r="H1276" s="173"/>
      <c r="I1276" s="173"/>
      <c r="J1276" s="173"/>
      <c r="K1276" s="141"/>
      <c r="L1276" s="174"/>
      <c r="M1276" s="153" t="s">
        <v>44</v>
      </c>
      <c r="N1276" s="175" t="s">
        <v>45</v>
      </c>
      <c r="O1276" s="176"/>
      <c r="P1276" s="154"/>
      <c r="Q1276" s="155"/>
      <c r="R1276" s="4"/>
    </row>
    <row r="1277" spans="1:18">
      <c r="A1277" s="1"/>
      <c r="B1277" s="2"/>
      <c r="C1277" s="8"/>
      <c r="D1277" s="109" t="s">
        <v>65</v>
      </c>
      <c r="E1277" s="110"/>
      <c r="F1277" s="110"/>
      <c r="G1277" s="110"/>
      <c r="H1277" s="110"/>
      <c r="I1277" s="110"/>
      <c r="J1277" s="110"/>
      <c r="K1277" s="177"/>
      <c r="L1277" s="178"/>
      <c r="M1277" s="179">
        <f>+[239]INICIO!$F$10</f>
        <v>0.24</v>
      </c>
      <c r="N1277" s="180">
        <f>ROUND(M1277*P1274,2)</f>
        <v>14045.98</v>
      </c>
      <c r="O1277" s="181"/>
      <c r="P1277" s="182"/>
      <c r="Q1277" s="119"/>
      <c r="R1277" s="4"/>
    </row>
    <row r="1278" spans="1:18">
      <c r="A1278" s="1"/>
      <c r="B1278" s="2"/>
      <c r="C1278" s="8"/>
      <c r="D1278" s="183" t="s">
        <v>67</v>
      </c>
      <c r="E1278" s="61"/>
      <c r="F1278" s="61"/>
      <c r="G1278" s="61"/>
      <c r="H1278" s="61"/>
      <c r="I1278" s="61"/>
      <c r="J1278" s="61"/>
      <c r="K1278" s="177"/>
      <c r="L1278" s="178"/>
      <c r="M1278" s="179">
        <f>+[239]INICIO!$F$11</f>
        <v>0.02</v>
      </c>
      <c r="N1278" s="180">
        <f>ROUND(M1278*P1274,2)</f>
        <v>1170.5</v>
      </c>
      <c r="O1278" s="181"/>
      <c r="P1278" s="182"/>
      <c r="Q1278" s="119"/>
      <c r="R1278" s="4"/>
    </row>
    <row r="1279" spans="1:18" ht="15.75" thickBot="1">
      <c r="A1279" s="1"/>
      <c r="B1279" s="2"/>
      <c r="C1279" s="8"/>
      <c r="D1279" s="77" t="s">
        <v>69</v>
      </c>
      <c r="E1279" s="78"/>
      <c r="F1279" s="78"/>
      <c r="G1279" s="78"/>
      <c r="H1279" s="78"/>
      <c r="I1279" s="78"/>
      <c r="J1279" s="78"/>
      <c r="K1279" s="184"/>
      <c r="L1279" s="185"/>
      <c r="M1279" s="179">
        <f>+[239]INICIO!$F$12</f>
        <v>7.0000000000000007E-2</v>
      </c>
      <c r="N1279" s="180">
        <f>ROUND(M1279*P1274,2)</f>
        <v>4096.74</v>
      </c>
      <c r="O1279" s="181"/>
      <c r="P1279" s="182"/>
      <c r="Q1279" s="119"/>
      <c r="R1279" s="4"/>
    </row>
    <row r="1280" spans="1:18" ht="15.75" thickBot="1">
      <c r="A1280" s="1"/>
      <c r="B1280" s="2"/>
      <c r="C1280" s="8"/>
      <c r="D1280" s="128"/>
      <c r="E1280" s="129"/>
      <c r="F1280" s="129"/>
      <c r="G1280" s="129"/>
      <c r="H1280" s="129"/>
      <c r="I1280" s="129"/>
      <c r="J1280" s="129"/>
      <c r="K1280" s="129"/>
      <c r="L1280" s="129"/>
      <c r="M1280" s="129"/>
      <c r="N1280" s="129"/>
      <c r="O1280" s="130"/>
      <c r="P1280" s="131">
        <f>SUM(N1277:N1279)</f>
        <v>19313.22</v>
      </c>
      <c r="Q1280" s="186"/>
      <c r="R1280" s="4"/>
    </row>
    <row r="1281" spans="1:18" ht="15.75" thickBot="1">
      <c r="A1281" s="1"/>
      <c r="B1281" s="2"/>
      <c r="C1281" s="8"/>
      <c r="D1281" s="87"/>
      <c r="E1281" s="20"/>
      <c r="F1281" s="20"/>
      <c r="G1281" s="20"/>
      <c r="H1281" s="20"/>
      <c r="I1281" s="20"/>
      <c r="J1281" s="20"/>
      <c r="K1281" s="20"/>
      <c r="L1281" s="20"/>
      <c r="M1281" s="20"/>
      <c r="N1281" s="20"/>
      <c r="O1281" s="20"/>
      <c r="P1281" s="88"/>
      <c r="Q1281" s="13"/>
      <c r="R1281" s="4"/>
    </row>
    <row r="1282" spans="1:18" ht="15.75" thickBot="1">
      <c r="A1282" s="1"/>
      <c r="B1282" s="2"/>
      <c r="C1282" s="8"/>
      <c r="D1282" s="187" t="s">
        <v>46</v>
      </c>
      <c r="E1282" s="188"/>
      <c r="F1282" s="188"/>
      <c r="G1282" s="188"/>
      <c r="H1282" s="188"/>
      <c r="I1282" s="188"/>
      <c r="J1282" s="188"/>
      <c r="K1282" s="188"/>
      <c r="L1282" s="188"/>
      <c r="M1282" s="188"/>
      <c r="N1282" s="188"/>
      <c r="O1282" s="189"/>
      <c r="P1282" s="166">
        <f>ROUND(P1280+P1274,0)</f>
        <v>77838</v>
      </c>
      <c r="Q1282" s="186"/>
      <c r="R1282" s="4"/>
    </row>
    <row r="1283" spans="1:18">
      <c r="A1283" s="1"/>
      <c r="B1283" s="2"/>
      <c r="C1283" s="8"/>
      <c r="D1283" s="80"/>
      <c r="E1283" s="81"/>
      <c r="F1283" s="81"/>
      <c r="G1283" s="81"/>
      <c r="H1283" s="81"/>
      <c r="I1283" s="81"/>
      <c r="J1283" s="81"/>
      <c r="K1283" s="81"/>
      <c r="L1283" s="81"/>
      <c r="M1283" s="81"/>
      <c r="N1283" s="81"/>
      <c r="O1283" s="81"/>
      <c r="P1283" s="82"/>
      <c r="Q1283" s="13"/>
      <c r="R1283" s="4"/>
    </row>
    <row r="1284" spans="1:18">
      <c r="A1284" s="1"/>
      <c r="B1284" s="2"/>
      <c r="C1284" s="8"/>
      <c r="D1284" s="87"/>
      <c r="E1284" s="20"/>
      <c r="F1284" s="20"/>
      <c r="G1284" s="20"/>
      <c r="H1284" s="20"/>
      <c r="I1284" s="20"/>
      <c r="J1284" s="20"/>
      <c r="K1284" s="20"/>
      <c r="L1284" s="20"/>
      <c r="M1284" s="20"/>
      <c r="N1284" s="20"/>
      <c r="O1284" s="20"/>
      <c r="P1284" s="88"/>
      <c r="Q1284" s="13"/>
      <c r="R1284" s="4"/>
    </row>
    <row r="1285" spans="1:18">
      <c r="A1285" s="1"/>
      <c r="B1285" s="2"/>
      <c r="C1285" s="8"/>
      <c r="D1285" s="87"/>
      <c r="E1285" s="20"/>
      <c r="F1285" s="20"/>
      <c r="G1285" s="20"/>
      <c r="H1285" s="20"/>
      <c r="I1285" s="20"/>
      <c r="J1285" s="20"/>
      <c r="K1285" s="20"/>
      <c r="L1285" s="20"/>
      <c r="M1285" s="20"/>
      <c r="N1285" s="20"/>
      <c r="O1285" s="20"/>
      <c r="P1285" s="88"/>
      <c r="Q1285" s="13"/>
      <c r="R1285" s="4"/>
    </row>
    <row r="1286" spans="1:18">
      <c r="A1286" s="1"/>
      <c r="B1286" s="2"/>
      <c r="C1286" s="8"/>
      <c r="D1286" s="87"/>
      <c r="E1286" s="20"/>
      <c r="F1286" s="20"/>
      <c r="G1286" s="20"/>
      <c r="H1286" s="20"/>
      <c r="I1286" s="20"/>
      <c r="J1286" s="20"/>
      <c r="K1286" s="20"/>
      <c r="L1286" s="20"/>
      <c r="M1286" s="20"/>
      <c r="N1286" s="20"/>
      <c r="O1286" s="20"/>
      <c r="P1286" s="88"/>
      <c r="Q1286" s="13"/>
      <c r="R1286" s="4"/>
    </row>
    <row r="1287" spans="1:18">
      <c r="A1287" s="1"/>
      <c r="B1287" s="2"/>
      <c r="C1287" s="8"/>
      <c r="D1287" s="219" t="str">
        <f>+[239]INICIO!$B$13</f>
        <v>Proyectó:</v>
      </c>
      <c r="E1287" s="49"/>
      <c r="F1287" s="49"/>
      <c r="G1287" s="49"/>
      <c r="H1287" s="49"/>
      <c r="I1287" s="49"/>
      <c r="J1287" s="49"/>
      <c r="K1287" s="20"/>
      <c r="L1287" s="69" t="str">
        <f>+[239]INICIO!$B$16</f>
        <v>Aprobó:</v>
      </c>
      <c r="M1287" s="49"/>
      <c r="N1287" s="49"/>
      <c r="O1287" s="49"/>
      <c r="P1287" s="88"/>
      <c r="Q1287" s="13"/>
      <c r="R1287" s="4"/>
    </row>
    <row r="1288" spans="1:18">
      <c r="A1288" s="1"/>
      <c r="B1288" s="2"/>
      <c r="C1288" s="8"/>
      <c r="D1288" s="87"/>
      <c r="E1288" s="20" t="str">
        <f>+Hoja2!C$13</f>
        <v>HELMER EDUARDO BECERRA SANTANDER</v>
      </c>
      <c r="F1288" s="20"/>
      <c r="G1288" s="20"/>
      <c r="H1288" s="20"/>
      <c r="I1288" s="20"/>
      <c r="J1288" s="20"/>
      <c r="K1288" s="20"/>
      <c r="L1288" s="20"/>
      <c r="M1288" s="20" t="str">
        <f>+Hoja2!$C$16</f>
        <v>JESÚS IVÁN QUIÑONES RUEDA</v>
      </c>
      <c r="N1288" s="20"/>
      <c r="O1288" s="20"/>
      <c r="P1288" s="88"/>
      <c r="Q1288" s="190"/>
      <c r="R1288" s="4"/>
    </row>
    <row r="1289" spans="1:18">
      <c r="A1289" s="1"/>
      <c r="B1289" s="2"/>
      <c r="C1289" s="8"/>
      <c r="D1289" s="87"/>
      <c r="E1289" s="20" t="str">
        <f>+Hoja2!C$14</f>
        <v>APOYO SEC. DE PLANEACIÓN Y OBRAS PÚBLICAS</v>
      </c>
      <c r="F1289" s="20"/>
      <c r="G1289" s="20"/>
      <c r="H1289" s="20"/>
      <c r="I1289" s="20"/>
      <c r="J1289" s="20"/>
      <c r="K1289" s="20"/>
      <c r="L1289" s="20"/>
      <c r="M1289" s="20" t="str">
        <f>+Hoja2!$C$17</f>
        <v>SECRETARIO DE PLANEACIÓN Y OBRAS PUBLICAS</v>
      </c>
      <c r="N1289" s="20"/>
      <c r="O1289" s="20"/>
      <c r="P1289" s="88"/>
      <c r="Q1289" s="190"/>
      <c r="R1289" s="4"/>
    </row>
    <row r="1290" spans="1:18">
      <c r="A1290" s="1"/>
      <c r="B1290" s="2"/>
      <c r="C1290" s="8"/>
      <c r="D1290" s="68"/>
      <c r="E1290" s="20" t="str">
        <f>+Hoja2!C$15</f>
        <v>123769-0701671 NTS</v>
      </c>
      <c r="F1290" s="191"/>
      <c r="G1290" s="191"/>
      <c r="H1290" s="191"/>
      <c r="I1290" s="20"/>
      <c r="J1290" s="191"/>
      <c r="K1290" s="191"/>
      <c r="L1290" s="191"/>
      <c r="M1290" s="192" t="str">
        <f>+Hoja2!C$18</f>
        <v>A21382020-1090480860</v>
      </c>
      <c r="N1290" s="191"/>
      <c r="O1290" s="191"/>
      <c r="P1290" s="193"/>
      <c r="Q1290" s="194"/>
      <c r="R1290" s="4"/>
    </row>
    <row r="1291" spans="1:18" ht="16.5" thickBot="1">
      <c r="A1291" s="1"/>
      <c r="B1291" s="2"/>
      <c r="C1291" s="8"/>
      <c r="D1291" s="195"/>
      <c r="E1291" s="150"/>
      <c r="F1291" s="150"/>
      <c r="G1291" s="150"/>
      <c r="H1291" s="150"/>
      <c r="I1291" s="150"/>
      <c r="J1291" s="150"/>
      <c r="K1291" s="150"/>
      <c r="L1291" s="150"/>
      <c r="M1291" s="150"/>
      <c r="N1291" s="150"/>
      <c r="O1291" s="150"/>
      <c r="P1291" s="196"/>
      <c r="Q1291" s="197"/>
      <c r="R1291" s="4"/>
    </row>
    <row r="1292" spans="1:18" ht="15.75" thickBot="1">
      <c r="A1292" s="1"/>
      <c r="B1292" s="2"/>
      <c r="C1292" s="198"/>
      <c r="D1292" s="199"/>
      <c r="E1292" s="199"/>
      <c r="F1292" s="199"/>
      <c r="G1292" s="199"/>
      <c r="H1292" s="199"/>
      <c r="I1292" s="199"/>
      <c r="J1292" s="199"/>
      <c r="K1292" s="199"/>
      <c r="L1292" s="199"/>
      <c r="M1292" s="199"/>
      <c r="N1292" s="199"/>
      <c r="O1292" s="199"/>
      <c r="P1292" s="199"/>
      <c r="Q1292" s="200"/>
      <c r="R1292" s="4"/>
    </row>
    <row r="1293" spans="1:18" ht="16.5" thickTop="1" thickBot="1"/>
    <row r="1294" spans="1:18" ht="15.75" thickTop="1">
      <c r="A1294" s="1"/>
      <c r="B1294" s="2"/>
      <c r="C1294" s="5"/>
      <c r="D1294" s="6"/>
      <c r="E1294" s="6"/>
      <c r="F1294" s="6"/>
      <c r="G1294" s="6"/>
      <c r="H1294" s="6"/>
      <c r="I1294" s="6"/>
      <c r="J1294" s="6"/>
      <c r="K1294" s="6"/>
      <c r="L1294" s="6"/>
      <c r="M1294" s="6"/>
      <c r="N1294" s="6"/>
      <c r="O1294" s="6"/>
      <c r="P1294" s="6"/>
      <c r="Q1294" s="7"/>
      <c r="R1294" s="4"/>
    </row>
    <row r="1295" spans="1:18" ht="24">
      <c r="A1295" s="1"/>
      <c r="B1295" s="2"/>
      <c r="C1295" s="8"/>
      <c r="D1295" s="9" t="str">
        <f>+[239]INICIO!$C$8</f>
        <v>Análisis de Precios Unitarios- Secretaria de Planeación y Obras Publicas de Cubará, Boyacá.</v>
      </c>
      <c r="E1295" s="10"/>
      <c r="F1295" s="10"/>
      <c r="G1295" s="10"/>
      <c r="H1295" s="11"/>
      <c r="I1295" s="12"/>
      <c r="J1295" s="12"/>
      <c r="K1295" s="12"/>
      <c r="L1295" s="12"/>
      <c r="M1295" s="12"/>
      <c r="N1295" s="12"/>
      <c r="O1295" s="12"/>
      <c r="P1295" s="12"/>
      <c r="Q1295" s="13"/>
      <c r="R1295" s="4"/>
    </row>
    <row r="1296" spans="1:18">
      <c r="A1296" s="1"/>
      <c r="B1296" s="2"/>
      <c r="C1296" s="8"/>
      <c r="D1296" s="14" t="s">
        <v>0</v>
      </c>
      <c r="E1296" s="15" t="str">
        <f>+[239]INICIO!$C$7</f>
        <v>CCE-EICP-FM-14</v>
      </c>
      <c r="F1296" s="16"/>
      <c r="G1296" s="17" t="str">
        <f>+[239]INICIO!$B$6</f>
        <v>VERSIÓN</v>
      </c>
      <c r="H1296" s="14">
        <f>+[239]INICIO!$C$6</f>
        <v>1</v>
      </c>
      <c r="I1296" s="12"/>
      <c r="J1296" s="12"/>
      <c r="K1296" s="12"/>
      <c r="L1296" s="12"/>
      <c r="M1296" s="12"/>
      <c r="N1296" s="12"/>
      <c r="O1296" s="12"/>
      <c r="P1296" s="12"/>
      <c r="Q1296" s="13"/>
      <c r="R1296" s="4"/>
    </row>
    <row r="1297" spans="1:18">
      <c r="A1297" s="1"/>
      <c r="B1297" s="2"/>
      <c r="C1297" s="8"/>
      <c r="D1297" s="18"/>
      <c r="E1297" s="19"/>
      <c r="F1297" s="18"/>
      <c r="G1297" s="19"/>
      <c r="H1297" s="12"/>
      <c r="I1297" s="12"/>
      <c r="J1297" s="12"/>
      <c r="K1297" s="12"/>
      <c r="L1297" s="12"/>
      <c r="M1297" s="12"/>
      <c r="N1297" s="12"/>
      <c r="O1297" s="12"/>
      <c r="P1297" s="12"/>
      <c r="Q1297" s="13"/>
      <c r="R1297" s="4"/>
    </row>
    <row r="1298" spans="1:18" ht="15.75" thickBot="1">
      <c r="A1298" s="1"/>
      <c r="B1298" s="2"/>
      <c r="C1298" s="8"/>
      <c r="D1298" s="20"/>
      <c r="E1298" s="20"/>
      <c r="F1298" s="20"/>
      <c r="G1298" s="20"/>
      <c r="H1298" s="20"/>
      <c r="I1298" s="20"/>
      <c r="J1298" s="20"/>
      <c r="K1298" s="20"/>
      <c r="L1298" s="20"/>
      <c r="M1298" s="20"/>
      <c r="N1298" s="20"/>
      <c r="O1298" s="20"/>
      <c r="P1298" s="20"/>
      <c r="Q1298" s="13"/>
      <c r="R1298" s="4"/>
    </row>
    <row r="1299" spans="1:18">
      <c r="A1299" s="1"/>
      <c r="B1299" s="2"/>
      <c r="C1299" s="8"/>
      <c r="D1299" s="21"/>
      <c r="E1299" s="22"/>
      <c r="F1299" s="23"/>
      <c r="G1299" s="23"/>
      <c r="H1299" s="23"/>
      <c r="I1299" s="23"/>
      <c r="J1299" s="23"/>
      <c r="K1299" s="23"/>
      <c r="L1299" s="24"/>
      <c r="M1299" s="25"/>
      <c r="N1299" s="26"/>
      <c r="O1299" s="26"/>
      <c r="P1299" s="27"/>
      <c r="Q1299" s="28"/>
      <c r="R1299" s="4"/>
    </row>
    <row r="1300" spans="1:18">
      <c r="A1300" s="1"/>
      <c r="B1300" s="2"/>
      <c r="C1300" s="8"/>
      <c r="D1300" s="29"/>
      <c r="E1300" s="30" t="s">
        <v>1</v>
      </c>
      <c r="F1300" s="31"/>
      <c r="G1300" s="31"/>
      <c r="H1300" s="31"/>
      <c r="I1300" s="31"/>
      <c r="J1300" s="31"/>
      <c r="K1300" s="31"/>
      <c r="L1300" s="32"/>
      <c r="M1300" s="33"/>
      <c r="N1300" s="34"/>
      <c r="O1300" s="34"/>
      <c r="P1300" s="35"/>
      <c r="Q1300" s="28"/>
      <c r="R1300" s="4"/>
    </row>
    <row r="1301" spans="1:18">
      <c r="A1301" s="1"/>
      <c r="B1301" s="2"/>
      <c r="C1301" s="8"/>
      <c r="D1301" s="29"/>
      <c r="E1301" s="36"/>
      <c r="F1301" s="37"/>
      <c r="G1301" s="37"/>
      <c r="H1301" s="37"/>
      <c r="I1301" s="37"/>
      <c r="J1301" s="37"/>
      <c r="K1301" s="37"/>
      <c r="L1301" s="38"/>
      <c r="M1301" s="39"/>
      <c r="N1301" s="40"/>
      <c r="O1301" s="41"/>
      <c r="P1301" s="42"/>
      <c r="Q1301" s="28"/>
      <c r="R1301" s="4"/>
    </row>
    <row r="1302" spans="1:18">
      <c r="A1302" s="1"/>
      <c r="B1302" s="2"/>
      <c r="C1302" s="8"/>
      <c r="D1302" s="29"/>
      <c r="E1302" s="36"/>
      <c r="F1302" s="37"/>
      <c r="G1302" s="37"/>
      <c r="H1302" s="37"/>
      <c r="I1302" s="37"/>
      <c r="J1302" s="37"/>
      <c r="K1302" s="37"/>
      <c r="L1302" s="38"/>
      <c r="M1302" s="43" t="s">
        <v>2</v>
      </c>
      <c r="N1302" s="44"/>
      <c r="O1302" s="45">
        <f>+[239]INICIO!$C$6</f>
        <v>1</v>
      </c>
      <c r="P1302" s="46"/>
      <c r="Q1302" s="28"/>
      <c r="R1302" s="4"/>
    </row>
    <row r="1303" spans="1:18">
      <c r="A1303" s="1"/>
      <c r="B1303" s="2"/>
      <c r="C1303" s="8"/>
      <c r="D1303" s="29"/>
      <c r="E1303" s="36"/>
      <c r="F1303" s="37"/>
      <c r="G1303" s="37"/>
      <c r="H1303" s="37"/>
      <c r="I1303" s="37"/>
      <c r="J1303" s="37"/>
      <c r="K1303" s="37"/>
      <c r="L1303" s="38"/>
      <c r="M1303" s="47"/>
      <c r="N1303" s="48"/>
      <c r="O1303" s="49"/>
      <c r="P1303" s="50"/>
      <c r="Q1303" s="51"/>
      <c r="R1303" s="4"/>
    </row>
    <row r="1304" spans="1:18">
      <c r="A1304" s="1"/>
      <c r="B1304" s="2"/>
      <c r="C1304" s="8"/>
      <c r="D1304" s="29"/>
      <c r="E1304" s="52"/>
      <c r="F1304" s="53"/>
      <c r="G1304" s="53"/>
      <c r="H1304" s="53"/>
      <c r="I1304" s="53"/>
      <c r="J1304" s="53"/>
      <c r="K1304" s="53"/>
      <c r="L1304" s="54"/>
      <c r="M1304" s="39"/>
      <c r="N1304" s="55"/>
      <c r="O1304" s="55"/>
      <c r="P1304" s="56"/>
      <c r="Q1304" s="28"/>
      <c r="R1304" s="4"/>
    </row>
    <row r="1305" spans="1:18">
      <c r="A1305" s="1"/>
      <c r="B1305" s="2"/>
      <c r="C1305" s="8"/>
      <c r="D1305" s="29"/>
      <c r="E1305" s="52"/>
      <c r="F1305" s="53"/>
      <c r="G1305" s="53"/>
      <c r="H1305" s="53"/>
      <c r="I1305" s="53"/>
      <c r="J1305" s="53"/>
      <c r="K1305" s="53"/>
      <c r="L1305" s="54"/>
      <c r="M1305" s="43" t="s">
        <v>3</v>
      </c>
      <c r="N1305" s="43" t="str">
        <f>+VLOOKUP(D1316,'PRESUPUESTO OFICIAL '!C:Q,9,FALSE)</f>
        <v>31</v>
      </c>
      <c r="O1305" s="43" t="s">
        <v>4</v>
      </c>
      <c r="P1305" s="508" t="str">
        <f>+'PRESUPUESTO OFICIAL '!$M$122</f>
        <v>62</v>
      </c>
      <c r="Q1305" s="28"/>
      <c r="R1305" s="4"/>
    </row>
    <row r="1306" spans="1:18">
      <c r="A1306" s="1"/>
      <c r="B1306" s="2"/>
      <c r="C1306" s="8"/>
      <c r="D1306" s="29"/>
      <c r="E1306" s="30" t="s">
        <v>5</v>
      </c>
      <c r="F1306" s="31"/>
      <c r="G1306" s="31"/>
      <c r="H1306" s="31"/>
      <c r="I1306" s="31"/>
      <c r="J1306" s="31"/>
      <c r="K1306" s="31"/>
      <c r="L1306" s="32"/>
      <c r="M1306" s="43"/>
      <c r="N1306" s="57"/>
      <c r="O1306" s="57"/>
      <c r="P1306" s="58"/>
      <c r="Q1306" s="28"/>
      <c r="R1306" s="4"/>
    </row>
    <row r="1307" spans="1:18" ht="15.75" thickBot="1">
      <c r="A1307" s="1"/>
      <c r="B1307" s="2"/>
      <c r="C1307" s="8"/>
      <c r="D1307" s="59"/>
      <c r="E1307" s="60"/>
      <c r="F1307" s="60"/>
      <c r="G1307" s="60"/>
      <c r="H1307" s="60"/>
      <c r="I1307" s="60"/>
      <c r="J1307" s="60"/>
      <c r="K1307" s="60"/>
      <c r="L1307" s="60"/>
      <c r="M1307" s="60"/>
      <c r="N1307" s="61"/>
      <c r="O1307" s="61"/>
      <c r="P1307" s="62"/>
      <c r="Q1307" s="63"/>
      <c r="R1307" s="4"/>
    </row>
    <row r="1308" spans="1:18">
      <c r="A1308" s="1"/>
      <c r="B1308" s="2"/>
      <c r="C1308" s="8"/>
      <c r="D1308" s="64"/>
      <c r="E1308" s="65"/>
      <c r="F1308" s="65"/>
      <c r="G1308" s="65"/>
      <c r="H1308" s="65"/>
      <c r="I1308" s="65"/>
      <c r="J1308" s="65"/>
      <c r="K1308" s="65"/>
      <c r="L1308" s="65"/>
      <c r="M1308" s="66" t="s">
        <v>6</v>
      </c>
      <c r="N1308" s="66" t="s">
        <v>7</v>
      </c>
      <c r="O1308" s="66" t="s">
        <v>8</v>
      </c>
      <c r="P1308" s="67" t="s">
        <v>9</v>
      </c>
      <c r="Q1308" s="51"/>
      <c r="R1308" s="4"/>
    </row>
    <row r="1309" spans="1:18">
      <c r="A1309" s="1"/>
      <c r="B1309" s="2"/>
      <c r="C1309" s="8"/>
      <c r="D1309" s="68"/>
      <c r="E1309" s="69"/>
      <c r="F1309" s="69"/>
      <c r="G1309" s="69"/>
      <c r="H1309" s="69"/>
      <c r="I1309" s="69"/>
      <c r="J1309" s="69"/>
      <c r="K1309" s="69"/>
      <c r="L1309" s="69"/>
      <c r="M1309" s="70"/>
      <c r="N1309" s="71">
        <f>+Hoja2!B$5</f>
        <v>5</v>
      </c>
      <c r="O1309" s="71">
        <f>+Hoja2!C$5</f>
        <v>8</v>
      </c>
      <c r="P1309" s="72">
        <f>+Hoja2!D$5</f>
        <v>2026</v>
      </c>
      <c r="Q1309" s="73"/>
      <c r="R1309" s="4"/>
    </row>
    <row r="1310" spans="1:18">
      <c r="A1310" s="1"/>
      <c r="B1310" s="2"/>
      <c r="C1310" s="8"/>
      <c r="D1310" s="74"/>
      <c r="E1310" s="37"/>
      <c r="F1310" s="37"/>
      <c r="G1310" s="37"/>
      <c r="H1310" s="69"/>
      <c r="I1310" s="69"/>
      <c r="J1310" s="69"/>
      <c r="K1310" s="20"/>
      <c r="L1310" s="69"/>
      <c r="M1310" s="75"/>
      <c r="N1310" s="20"/>
      <c r="O1310" s="20"/>
      <c r="P1310" s="76"/>
      <c r="Q1310" s="73"/>
      <c r="R1310" s="4"/>
    </row>
    <row r="1311" spans="1:18" ht="15.75" thickBot="1">
      <c r="A1311" s="1"/>
      <c r="B1311" s="2"/>
      <c r="C1311" s="8"/>
      <c r="D1311" s="77"/>
      <c r="E1311" s="78"/>
      <c r="F1311" s="78"/>
      <c r="G1311" s="78"/>
      <c r="H1311" s="78"/>
      <c r="I1311" s="78"/>
      <c r="J1311" s="78"/>
      <c r="K1311" s="78"/>
      <c r="L1311" s="78"/>
      <c r="M1311" s="78"/>
      <c r="N1311" s="78"/>
      <c r="O1311" s="78"/>
      <c r="P1311" s="79"/>
      <c r="Q1311" s="13"/>
      <c r="R1311" s="4"/>
    </row>
    <row r="1312" spans="1:18" ht="15.75" thickBot="1">
      <c r="A1312" s="1"/>
      <c r="B1312" s="2"/>
      <c r="C1312" s="8"/>
      <c r="D1312" s="80"/>
      <c r="E1312" s="81"/>
      <c r="F1312" s="81"/>
      <c r="G1312" s="81"/>
      <c r="H1312" s="81"/>
      <c r="I1312" s="81"/>
      <c r="J1312" s="20"/>
      <c r="K1312" s="20"/>
      <c r="L1312" s="81"/>
      <c r="M1312" s="81"/>
      <c r="N1312" s="81"/>
      <c r="O1312" s="81"/>
      <c r="P1312" s="82"/>
      <c r="Q1312" s="13"/>
      <c r="R1312" s="4"/>
    </row>
    <row r="1313" spans="1:18">
      <c r="A1313" s="1"/>
      <c r="B1313" s="2"/>
      <c r="C1313" s="8"/>
      <c r="D1313" s="83" t="s">
        <v>10</v>
      </c>
      <c r="E1313" s="84"/>
      <c r="F1313" s="84"/>
      <c r="G1313" s="84"/>
      <c r="H1313" s="84"/>
      <c r="I1313" s="84"/>
      <c r="J1313" s="84"/>
      <c r="K1313" s="84"/>
      <c r="L1313" s="84"/>
      <c r="M1313" s="84"/>
      <c r="N1313" s="84"/>
      <c r="O1313" s="84"/>
      <c r="P1313" s="85"/>
      <c r="Q1313" s="86"/>
      <c r="R1313" s="4"/>
    </row>
    <row r="1314" spans="1:18" ht="15.75" thickBot="1">
      <c r="A1314" s="1"/>
      <c r="B1314" s="2"/>
      <c r="C1314" s="8"/>
      <c r="D1314" s="87"/>
      <c r="E1314" s="20"/>
      <c r="F1314" s="20"/>
      <c r="G1314" s="20"/>
      <c r="H1314" s="20"/>
      <c r="I1314" s="20"/>
      <c r="J1314" s="20"/>
      <c r="K1314" s="20"/>
      <c r="L1314" s="20"/>
      <c r="M1314" s="20"/>
      <c r="N1314" s="20"/>
      <c r="O1314" s="20"/>
      <c r="P1314" s="88"/>
      <c r="Q1314" s="13"/>
      <c r="R1314" s="4"/>
    </row>
    <row r="1315" spans="1:18">
      <c r="A1315" s="1" t="s">
        <v>11</v>
      </c>
      <c r="B1315" s="2" t="s">
        <v>12</v>
      </c>
      <c r="C1315" s="8"/>
      <c r="D1315" s="89" t="s">
        <v>13</v>
      </c>
      <c r="E1315" s="90" t="s">
        <v>14</v>
      </c>
      <c r="F1315" s="90"/>
      <c r="G1315" s="90"/>
      <c r="H1315" s="90"/>
      <c r="I1315" s="90"/>
      <c r="J1315" s="90"/>
      <c r="K1315" s="90"/>
      <c r="L1315" s="90"/>
      <c r="M1315" s="90"/>
      <c r="N1315" s="91" t="s">
        <v>15</v>
      </c>
      <c r="O1315" s="91"/>
      <c r="P1315" s="92" t="s">
        <v>16</v>
      </c>
      <c r="Q1315" s="93"/>
      <c r="R1315" s="4"/>
    </row>
    <row r="1316" spans="1:18" ht="15.75" thickBot="1">
      <c r="A1316" s="1"/>
      <c r="B1316" s="2"/>
      <c r="C1316" s="8"/>
      <c r="D1316" s="349">
        <f>+'PRESUPUESTO OFICIAL '!C52</f>
        <v>4.03</v>
      </c>
      <c r="E1316" s="94" t="str">
        <f>+VLOOKUP(D1316,'PRESUPUESTO OFICIAL '!C:H,2,FALSE)</f>
        <v>SUMINISTRO E INSTALACIÓN DE TUBERÍA PVC SANITARIA D = 2"</v>
      </c>
      <c r="F1316" s="94"/>
      <c r="G1316" s="94"/>
      <c r="H1316" s="94"/>
      <c r="I1316" s="94"/>
      <c r="J1316" s="94"/>
      <c r="K1316" s="94"/>
      <c r="L1316" s="94"/>
      <c r="M1316" s="94"/>
      <c r="N1316" s="94" t="str">
        <f>+VLOOKUP(D1316,'PRESUPUESTO OFICIAL '!C:H,3,FALSE)</f>
        <v>M</v>
      </c>
      <c r="O1316" s="95"/>
      <c r="P1316" s="96">
        <f>+VLOOKUP(D1316,'PRESUPUESTO OFICIAL '!C:H,4,FALSE)</f>
        <v>24.6</v>
      </c>
      <c r="Q1316" s="97"/>
      <c r="R1316" s="98">
        <f>+P1368</f>
        <v>60892</v>
      </c>
    </row>
    <row r="1317" spans="1:18" ht="15.75" thickBot="1">
      <c r="A1317" s="1"/>
      <c r="B1317" s="2"/>
      <c r="C1317" s="8"/>
      <c r="D1317" s="74" t="s">
        <v>17</v>
      </c>
      <c r="E1317" s="37"/>
      <c r="F1317" s="37"/>
      <c r="G1317" s="37"/>
      <c r="H1317" s="37"/>
      <c r="I1317" s="37"/>
      <c r="J1317" s="37"/>
      <c r="K1317" s="37"/>
      <c r="L1317" s="37"/>
      <c r="M1317" s="37"/>
      <c r="N1317" s="37"/>
      <c r="O1317" s="37"/>
      <c r="P1317" s="99"/>
      <c r="Q1317" s="100"/>
      <c r="R1317" s="4"/>
    </row>
    <row r="1318" spans="1:18">
      <c r="A1318" s="1"/>
      <c r="B1318" s="2"/>
      <c r="C1318" s="8"/>
      <c r="D1318" s="101" t="s">
        <v>14</v>
      </c>
      <c r="E1318" s="102"/>
      <c r="F1318" s="102"/>
      <c r="G1318" s="102"/>
      <c r="H1318" s="103"/>
      <c r="I1318" s="104" t="s">
        <v>18</v>
      </c>
      <c r="J1318" s="102"/>
      <c r="K1318" s="104" t="s">
        <v>19</v>
      </c>
      <c r="L1318" s="105"/>
      <c r="M1318" s="106" t="s">
        <v>20</v>
      </c>
      <c r="N1318" s="104" t="s">
        <v>21</v>
      </c>
      <c r="O1318" s="105"/>
      <c r="P1318" s="107" t="s">
        <v>22</v>
      </c>
      <c r="Q1318" s="108"/>
      <c r="R1318" s="4"/>
    </row>
    <row r="1319" spans="1:18">
      <c r="A1319" s="1" t="e">
        <f>[239]INDICE!#REF!</f>
        <v>#REF!</v>
      </c>
      <c r="B1319" s="2" t="s">
        <v>23</v>
      </c>
      <c r="C1319" s="8"/>
      <c r="D1319" s="109" t="str">
        <f>IFERROR(INDEX([239]EQUIPOS!B:B,MATCH(B1319,[239]EQUIPOS!A:A,0)),"")</f>
        <v>HERRAMIENTA MENOR (% M.O)</v>
      </c>
      <c r="E1319" s="110"/>
      <c r="F1319" s="110"/>
      <c r="G1319" s="110"/>
      <c r="H1319" s="111"/>
      <c r="I1319" s="112"/>
      <c r="J1319" s="111"/>
      <c r="K1319" s="113" t="str">
        <f>IFERROR(INDEX([239]EQUIPOS!C:C,MATCH(B1319,[239]EQUIPOS!A:A,0)),"")</f>
        <v>%</v>
      </c>
      <c r="L1319" s="114"/>
      <c r="M1319" s="115">
        <f>IFERROR(IF(D1319="HERRAMIENTA MENOR (% M.O)",P1358,INDEX([239]EQUIPOS!D:D,MATCH(B1319,[239]EQUIPOS!A:A,0))),"")</f>
        <v>16317.900000000001</v>
      </c>
      <c r="N1319" s="116">
        <v>10</v>
      </c>
      <c r="O1319" s="117"/>
      <c r="P1319" s="118">
        <f t="shared" ref="P1319:P1324" si="45">IFERROR(ROUND(IF(D1319="HERRAMIENTA MENOR (% M.O)",N1319%*M1319,M1319/N1319),2)," ")</f>
        <v>1631.79</v>
      </c>
      <c r="Q1319" s="119"/>
      <c r="R1319" s="4"/>
    </row>
    <row r="1320" spans="1:18">
      <c r="A1320" s="1">
        <f>+$A$2858</f>
        <v>0</v>
      </c>
      <c r="B1320" s="2"/>
      <c r="C1320" s="8"/>
      <c r="D1320" s="109" t="str">
        <f>IFERROR(INDEX([239]EQUIPOS!B:B,MATCH(B1320,[239]EQUIPOS!A:A,0)),"")</f>
        <v/>
      </c>
      <c r="E1320" s="110"/>
      <c r="F1320" s="110"/>
      <c r="G1320" s="110"/>
      <c r="H1320" s="111"/>
      <c r="I1320" s="112"/>
      <c r="J1320" s="111"/>
      <c r="K1320" s="113" t="str">
        <f>IFERROR(INDEX([239]EQUIPOS!C:C,MATCH(B1320,[239]EQUIPOS!A:A,0)),"")</f>
        <v/>
      </c>
      <c r="L1320" s="114"/>
      <c r="M1320" s="115" t="str">
        <f>IFERROR(IF(D1320="HERRAMIENTA MENOR (% M.O)",P1359,INDEX([239]EQUIPOS!D:D,MATCH(B1320,[239]EQUIPOS!A:A,0))),"")</f>
        <v/>
      </c>
      <c r="N1320" s="116"/>
      <c r="O1320" s="117"/>
      <c r="P1320" s="118" t="str">
        <f t="shared" si="45"/>
        <v xml:space="preserve"> </v>
      </c>
      <c r="Q1320" s="119"/>
      <c r="R1320" s="4"/>
    </row>
    <row r="1321" spans="1:18">
      <c r="A1321" s="1">
        <f t="shared" ref="A1321:A1359" si="46">+A1320</f>
        <v>0</v>
      </c>
      <c r="B1321" s="2"/>
      <c r="C1321" s="8"/>
      <c r="D1321" s="109" t="str">
        <f>IFERROR(INDEX([239]EQUIPOS!B:B,MATCH(B1321,[239]EQUIPOS!A:A,0)),"")</f>
        <v/>
      </c>
      <c r="E1321" s="110"/>
      <c r="F1321" s="110"/>
      <c r="G1321" s="110"/>
      <c r="H1321" s="111"/>
      <c r="I1321" s="120"/>
      <c r="J1321" s="121"/>
      <c r="K1321" s="113" t="str">
        <f>IFERROR(INDEX([239]EQUIPOS!C:C,MATCH(B1321,[239]EQUIPOS!A:A,0)),"")</f>
        <v/>
      </c>
      <c r="L1321" s="114"/>
      <c r="M1321" s="115" t="str">
        <f>IFERROR(IF(D1321="HERRAMIENTA MENOR (% M.O)",P1360,INDEX([239]EQUIPOS!D:D,MATCH(B1321,[239]EQUIPOS!A:A,0))),"")</f>
        <v/>
      </c>
      <c r="N1321" s="116"/>
      <c r="O1321" s="117"/>
      <c r="P1321" s="118" t="str">
        <f t="shared" si="45"/>
        <v xml:space="preserve"> </v>
      </c>
      <c r="Q1321" s="119"/>
      <c r="R1321" s="4"/>
    </row>
    <row r="1322" spans="1:18">
      <c r="A1322" s="1">
        <f t="shared" si="46"/>
        <v>0</v>
      </c>
      <c r="B1322" s="2"/>
      <c r="C1322" s="8"/>
      <c r="D1322" s="109" t="str">
        <f>IFERROR(INDEX([239]EQUIPOS!B:B,MATCH(B1322,[239]EQUIPOS!A:A,0)),"")</f>
        <v/>
      </c>
      <c r="E1322" s="110"/>
      <c r="F1322" s="110"/>
      <c r="G1322" s="110"/>
      <c r="H1322" s="111"/>
      <c r="I1322" s="120"/>
      <c r="J1322" s="121"/>
      <c r="K1322" s="113" t="str">
        <f>IFERROR(INDEX([239]EQUIPOS!C:C,MATCH(B1322,[239]EQUIPOS!A:A,0)),"")</f>
        <v/>
      </c>
      <c r="L1322" s="114"/>
      <c r="M1322" s="115" t="str">
        <f>IFERROR(IF(D1322="HERRAMIENTA MENOR (% M.O)",P1361,INDEX([239]EQUIPOS!D:D,MATCH(B1322,[239]EQUIPOS!A:A,0))),"")</f>
        <v/>
      </c>
      <c r="N1322" s="116"/>
      <c r="O1322" s="117"/>
      <c r="P1322" s="118" t="str">
        <f t="shared" si="45"/>
        <v xml:space="preserve"> </v>
      </c>
      <c r="Q1322" s="119"/>
      <c r="R1322" s="4"/>
    </row>
    <row r="1323" spans="1:18">
      <c r="A1323" s="1">
        <f t="shared" si="46"/>
        <v>0</v>
      </c>
      <c r="B1323" s="2"/>
      <c r="C1323" s="8"/>
      <c r="D1323" s="109" t="str">
        <f>IFERROR(INDEX([239]EQUIPOS!B:B,MATCH(B1323,[239]EQUIPOS!A:A,0)),"")</f>
        <v/>
      </c>
      <c r="E1323" s="110"/>
      <c r="F1323" s="110"/>
      <c r="G1323" s="110"/>
      <c r="H1323" s="111"/>
      <c r="I1323" s="112"/>
      <c r="J1323" s="111"/>
      <c r="K1323" s="113" t="str">
        <f>IFERROR(INDEX([239]EQUIPOS!C:C,MATCH(B1323,[239]EQUIPOS!A:A,0)),"")</f>
        <v/>
      </c>
      <c r="L1323" s="114"/>
      <c r="M1323" s="115" t="str">
        <f>IFERROR(IF(D1323="HERRAMIENTA MENOR (% M.O)",P1362,INDEX([239]EQUIPOS!D:D,MATCH(B1323,[239]EQUIPOS!A:A,0))),"")</f>
        <v/>
      </c>
      <c r="N1323" s="116"/>
      <c r="O1323" s="117"/>
      <c r="P1323" s="118" t="str">
        <f t="shared" si="45"/>
        <v xml:space="preserve"> </v>
      </c>
      <c r="Q1323" s="119"/>
      <c r="R1323" s="4"/>
    </row>
    <row r="1324" spans="1:18" ht="15.75" thickBot="1">
      <c r="A1324" s="1">
        <f t="shared" si="46"/>
        <v>0</v>
      </c>
      <c r="B1324" s="2"/>
      <c r="C1324" s="8"/>
      <c r="D1324" s="109" t="str">
        <f>IFERROR(INDEX([239]EQUIPOS!B:B,MATCH(B1324,[239]EQUIPOS!A:A,0)),"")</f>
        <v/>
      </c>
      <c r="E1324" s="78"/>
      <c r="F1324" s="78"/>
      <c r="G1324" s="78"/>
      <c r="H1324" s="122"/>
      <c r="I1324" s="123"/>
      <c r="J1324" s="122"/>
      <c r="K1324" s="113" t="str">
        <f>IFERROR(INDEX([239]EQUIPOS!C:C,MATCH(B1324,[239]EQUIPOS!A:A,0)),"")</f>
        <v/>
      </c>
      <c r="L1324" s="124"/>
      <c r="M1324" s="115" t="str">
        <f>IFERROR(IF(D1324="HERRAMIENTA MENOR (% M.O)",P1363,INDEX([239]EQUIPOS!D:D,MATCH(B1324,[239]EQUIPOS!A:A,0))),"")</f>
        <v/>
      </c>
      <c r="N1324" s="125"/>
      <c r="O1324" s="126"/>
      <c r="P1324" s="127" t="str">
        <f t="shared" si="45"/>
        <v xml:space="preserve"> </v>
      </c>
      <c r="Q1324" s="119"/>
      <c r="R1324" s="4"/>
    </row>
    <row r="1325" spans="1:18" ht="15.75" thickBot="1">
      <c r="A1325" s="1">
        <f t="shared" si="46"/>
        <v>0</v>
      </c>
      <c r="B1325" s="2"/>
      <c r="C1325" s="8"/>
      <c r="D1325" s="128" t="s">
        <v>24</v>
      </c>
      <c r="E1325" s="129"/>
      <c r="F1325" s="129"/>
      <c r="G1325" s="129"/>
      <c r="H1325" s="129"/>
      <c r="I1325" s="129"/>
      <c r="J1325" s="129"/>
      <c r="K1325" s="129"/>
      <c r="L1325" s="129"/>
      <c r="M1325" s="129"/>
      <c r="N1325" s="129"/>
      <c r="O1325" s="130"/>
      <c r="P1325" s="131">
        <f>SUM(P1319:P1324)</f>
        <v>1631.79</v>
      </c>
      <c r="Q1325" s="132"/>
      <c r="R1325" s="4"/>
    </row>
    <row r="1326" spans="1:18" ht="15.75" thickBot="1">
      <c r="A1326" s="1">
        <f t="shared" si="46"/>
        <v>0</v>
      </c>
      <c r="B1326" s="2"/>
      <c r="C1326" s="8"/>
      <c r="D1326" s="74" t="s">
        <v>25</v>
      </c>
      <c r="E1326" s="37"/>
      <c r="F1326" s="37"/>
      <c r="G1326" s="37"/>
      <c r="H1326" s="37"/>
      <c r="I1326" s="37"/>
      <c r="J1326" s="37"/>
      <c r="K1326" s="37"/>
      <c r="L1326" s="37"/>
      <c r="M1326" s="37"/>
      <c r="N1326" s="37"/>
      <c r="O1326" s="37"/>
      <c r="P1326" s="99"/>
      <c r="Q1326" s="100"/>
      <c r="R1326" s="4"/>
    </row>
    <row r="1327" spans="1:18">
      <c r="A1327" s="1">
        <f t="shared" si="46"/>
        <v>0</v>
      </c>
      <c r="B1327" s="2"/>
      <c r="C1327" s="8"/>
      <c r="D1327" s="101" t="s">
        <v>14</v>
      </c>
      <c r="E1327" s="133"/>
      <c r="F1327" s="133"/>
      <c r="G1327" s="133"/>
      <c r="H1327" s="133"/>
      <c r="I1327" s="133"/>
      <c r="J1327" s="133"/>
      <c r="K1327" s="105"/>
      <c r="L1327" s="134" t="s">
        <v>15</v>
      </c>
      <c r="M1327" s="106" t="s">
        <v>16</v>
      </c>
      <c r="N1327" s="104" t="s">
        <v>26</v>
      </c>
      <c r="O1327" s="105"/>
      <c r="P1327" s="107" t="s">
        <v>22</v>
      </c>
      <c r="Q1327" s="108"/>
      <c r="R1327" s="4"/>
    </row>
    <row r="1328" spans="1:18">
      <c r="A1328" s="1">
        <f t="shared" si="46"/>
        <v>0</v>
      </c>
      <c r="B1328" s="2" t="s">
        <v>299</v>
      </c>
      <c r="C1328" s="8"/>
      <c r="D1328" s="109" t="str">
        <f>IFERROR(INDEX([239]MATERIALES!C:C,MATCH(B1328,[239]MATERIALES!B:B,0)),"")</f>
        <v>TUBERÍA PVC DE 2". T.P.</v>
      </c>
      <c r="E1328" s="135"/>
      <c r="F1328" s="135"/>
      <c r="G1328" s="135"/>
      <c r="H1328" s="135"/>
      <c r="I1328" s="135"/>
      <c r="J1328" s="135"/>
      <c r="K1328" s="136"/>
      <c r="L1328" s="137" t="str">
        <f>IFERROR(INDEX([239]MATERIALES!D:D,MATCH(B1328,[239]MATERIALES!B:B,0)),"")</f>
        <v>UND</v>
      </c>
      <c r="M1328" s="138">
        <v>1</v>
      </c>
      <c r="N1328" s="139">
        <f>IFERROR(INDEX([239]MATERIALES!P:P,MATCH(B1328,[239]MATERIALES!B:B,0)),"")</f>
        <v>24174.62</v>
      </c>
      <c r="O1328" s="140"/>
      <c r="P1328" s="118">
        <f>IFERROR(ROUND(N1328*M1328,2),"")</f>
        <v>24174.62</v>
      </c>
      <c r="Q1328" s="119"/>
      <c r="R1328" s="4"/>
    </row>
    <row r="1329" spans="1:18">
      <c r="A1329" s="1">
        <f t="shared" si="46"/>
        <v>0</v>
      </c>
      <c r="B1329" s="2" t="s">
        <v>300</v>
      </c>
      <c r="C1329" s="8"/>
      <c r="D1329" s="109" t="str">
        <f>IFERROR(INDEX([239]MATERIALES!C:C,MATCH(B1329,[239]MATERIALES!B:B,0)),"")</f>
        <v>UNIÓN PVC SANITARIA DE 2"</v>
      </c>
      <c r="E1329" s="135"/>
      <c r="F1329" s="135"/>
      <c r="G1329" s="135"/>
      <c r="H1329" s="135"/>
      <c r="I1329" s="135"/>
      <c r="J1329" s="135"/>
      <c r="K1329" s="136"/>
      <c r="L1329" s="137" t="str">
        <f>IFERROR(INDEX([239]MATERIALES!D:D,MATCH(B1329,[239]MATERIALES!B:B,0)),"")</f>
        <v>UND</v>
      </c>
      <c r="M1329" s="138">
        <v>0.17</v>
      </c>
      <c r="N1329" s="139">
        <f>IFERROR(INDEX([239]MATERIALES!P:P,MATCH(B1329,[239]MATERIALES!B:B,0)),"")</f>
        <v>3960.32</v>
      </c>
      <c r="O1329" s="140"/>
      <c r="P1329" s="118">
        <f>IFERROR(ROUND(N1329*M1329,2),"")</f>
        <v>673.25</v>
      </c>
      <c r="Q1329" s="119"/>
      <c r="R1329" s="4"/>
    </row>
    <row r="1330" spans="1:18">
      <c r="A1330" s="1">
        <f t="shared" si="46"/>
        <v>0</v>
      </c>
      <c r="B1330" s="2" t="s">
        <v>301</v>
      </c>
      <c r="C1330" s="8"/>
      <c r="D1330" s="109" t="str">
        <f>IFERROR(INDEX([239]MATERIALES!C:C,MATCH(B1330,[239]MATERIALES!B:B,0)),"")</f>
        <v>CODO SANITARIO DE 2" PVC</v>
      </c>
      <c r="E1330" s="110"/>
      <c r="F1330" s="110"/>
      <c r="G1330" s="110"/>
      <c r="H1330" s="110"/>
      <c r="I1330" s="110"/>
      <c r="J1330" s="110"/>
      <c r="K1330" s="111"/>
      <c r="L1330" s="137" t="str">
        <f>IFERROR(INDEX([239]MATERIALES!D:D,MATCH(B1330,[239]MATERIALES!B:B,0)),"")</f>
        <v>UND</v>
      </c>
      <c r="M1330" s="138">
        <v>0.03</v>
      </c>
      <c r="N1330" s="139">
        <f>IFERROR(INDEX([239]MATERIALES!P:P,MATCH(B1330,[239]MATERIALES!B:B,0)),"")</f>
        <v>4619.68</v>
      </c>
      <c r="O1330" s="140"/>
      <c r="P1330" s="118">
        <f>IFERROR(ROUND(N1330*M1330,2),"")</f>
        <v>138.59</v>
      </c>
      <c r="Q1330" s="119"/>
      <c r="R1330" s="4"/>
    </row>
    <row r="1331" spans="1:18">
      <c r="A1331" s="1">
        <f t="shared" si="46"/>
        <v>0</v>
      </c>
      <c r="B1331" s="2" t="s">
        <v>302</v>
      </c>
      <c r="C1331" s="8"/>
      <c r="D1331" s="109" t="str">
        <f>IFERROR(INDEX([239]MATERIALES!C:C,MATCH(B1331,[239]MATERIALES!B:B,0)),"")</f>
        <v>TEE SENCILLA SANITARIA DE 2" PVC</v>
      </c>
      <c r="E1331" s="110"/>
      <c r="F1331" s="110"/>
      <c r="G1331" s="110"/>
      <c r="H1331" s="110"/>
      <c r="I1331" s="110"/>
      <c r="J1331" s="110"/>
      <c r="K1331" s="111"/>
      <c r="L1331" s="137" t="str">
        <f>IFERROR(INDEX([239]MATERIALES!D:D,MATCH(B1331,[239]MATERIALES!B:B,0)),"")</f>
        <v>UND</v>
      </c>
      <c r="M1331" s="138">
        <v>0.03</v>
      </c>
      <c r="N1331" s="139">
        <f>IFERROR(INDEX([239]MATERIALES!P:P,MATCH(B1331,[239]MATERIALES!B:B,0)),"")</f>
        <v>10013.82</v>
      </c>
      <c r="O1331" s="140"/>
      <c r="P1331" s="118">
        <f>IFERROR(ROUND(N1331*M1331,2),"")</f>
        <v>300.41000000000003</v>
      </c>
      <c r="Q1331" s="119"/>
      <c r="R1331" s="4"/>
    </row>
    <row r="1332" spans="1:18">
      <c r="A1332" s="1">
        <f t="shared" si="46"/>
        <v>0</v>
      </c>
      <c r="B1332" s="2" t="s">
        <v>295</v>
      </c>
      <c r="C1332" s="8"/>
      <c r="D1332" s="109" t="str">
        <f>IFERROR(INDEX([239]MATERIALES!C:C,MATCH(B1332,[239]MATERIALES!B:B,0)),"")</f>
        <v>REMOVEDOR PVC (LIMPIADOR 1/4 )</v>
      </c>
      <c r="E1332" s="110"/>
      <c r="F1332" s="110"/>
      <c r="G1332" s="110"/>
      <c r="H1332" s="110"/>
      <c r="I1332" s="110"/>
      <c r="J1332" s="110"/>
      <c r="K1332" s="111"/>
      <c r="L1332" s="137" t="str">
        <f>IFERROR(INDEX([239]MATERIALES!D:D,MATCH(B1332,[239]MATERIALES!B:B,0)),"")</f>
        <v>GAL</v>
      </c>
      <c r="M1332" s="138">
        <v>0.01</v>
      </c>
      <c r="N1332" s="139">
        <f>IFERROR(INDEX([239]MATERIALES!P:P,MATCH(B1332,[239]MATERIALES!B:B,0)),"")</f>
        <v>54704</v>
      </c>
      <c r="O1332" s="140"/>
      <c r="P1332" s="118">
        <f t="shared" ref="P1332:P1341" si="47">IFERROR(ROUND(N1332*M1332,2),"")</f>
        <v>547.04</v>
      </c>
      <c r="Q1332" s="119"/>
      <c r="R1332" s="4"/>
    </row>
    <row r="1333" spans="1:18">
      <c r="A1333" s="1">
        <f t="shared" si="46"/>
        <v>0</v>
      </c>
      <c r="B1333" s="2" t="s">
        <v>294</v>
      </c>
      <c r="C1333" s="8"/>
      <c r="D1333" s="109" t="str">
        <f>IFERROR(INDEX([239]MATERIALES!C:C,MATCH(B1333,[239]MATERIALES!B:B,0)),"")</f>
        <v>SOLDADURA LIQUIDA PVC 1/4"</v>
      </c>
      <c r="E1333" s="110"/>
      <c r="F1333" s="110"/>
      <c r="G1333" s="110"/>
      <c r="H1333" s="110"/>
      <c r="I1333" s="110"/>
      <c r="J1333" s="110"/>
      <c r="K1333" s="111"/>
      <c r="L1333" s="137" t="str">
        <f>IFERROR(INDEX([239]MATERIALES!D:D,MATCH(B1333,[239]MATERIALES!B:B,0)),"")</f>
        <v>GAL</v>
      </c>
      <c r="M1333" s="138">
        <v>0.01</v>
      </c>
      <c r="N1333" s="139">
        <f>IFERROR(INDEX([239]MATERIALES!P:P,MATCH(B1333,[239]MATERIALES!B:B,0)),"")</f>
        <v>67444</v>
      </c>
      <c r="O1333" s="140"/>
      <c r="P1333" s="118">
        <f t="shared" si="47"/>
        <v>674.44</v>
      </c>
      <c r="Q1333" s="119"/>
      <c r="R1333" s="4"/>
    </row>
    <row r="1334" spans="1:18">
      <c r="A1334" s="1">
        <f t="shared" si="46"/>
        <v>0</v>
      </c>
      <c r="B1334" s="2"/>
      <c r="C1334" s="8"/>
      <c r="D1334" s="109" t="str">
        <f>IFERROR(INDEX([239]MATERIALES!C:C,MATCH(B1334,[239]MATERIALES!B:B,0)),"")</f>
        <v/>
      </c>
      <c r="E1334" s="110"/>
      <c r="F1334" s="110"/>
      <c r="G1334" s="110"/>
      <c r="H1334" s="110"/>
      <c r="I1334" s="110"/>
      <c r="J1334" s="110"/>
      <c r="K1334" s="111"/>
      <c r="L1334" s="137" t="str">
        <f>IFERROR(INDEX([239]MATERIALES!D:D,MATCH(B1334,[239]MATERIALES!B:B,0)),"")</f>
        <v/>
      </c>
      <c r="M1334" s="138"/>
      <c r="N1334" s="139" t="str">
        <f>IFERROR(INDEX([239]MATERIALES!P:P,MATCH(B1334,[239]MATERIALES!B:B,0)),"")</f>
        <v/>
      </c>
      <c r="O1334" s="140"/>
      <c r="P1334" s="118" t="str">
        <f t="shared" si="47"/>
        <v/>
      </c>
      <c r="Q1334" s="119"/>
      <c r="R1334" s="4"/>
    </row>
    <row r="1335" spans="1:18">
      <c r="A1335" s="1">
        <f t="shared" si="46"/>
        <v>0</v>
      </c>
      <c r="B1335" s="2"/>
      <c r="C1335" s="8"/>
      <c r="D1335" s="109" t="str">
        <f>IFERROR(INDEX([239]MATERIALES!C:C,MATCH(B1335,[239]MATERIALES!B:B,0)),"")</f>
        <v/>
      </c>
      <c r="E1335" s="110"/>
      <c r="F1335" s="110"/>
      <c r="G1335" s="110"/>
      <c r="H1335" s="110"/>
      <c r="I1335" s="110"/>
      <c r="J1335" s="110"/>
      <c r="K1335" s="111"/>
      <c r="L1335" s="137" t="str">
        <f>IFERROR(INDEX([239]MATERIALES!D:D,MATCH(B1335,[239]MATERIALES!B:B,0)),"")</f>
        <v/>
      </c>
      <c r="M1335" s="138"/>
      <c r="N1335" s="139" t="str">
        <f>IFERROR(INDEX([239]MATERIALES!P:P,MATCH(B1335,[239]MATERIALES!B:B,0)),"")</f>
        <v/>
      </c>
      <c r="O1335" s="140"/>
      <c r="P1335" s="118" t="str">
        <f t="shared" si="47"/>
        <v/>
      </c>
      <c r="Q1335" s="119"/>
      <c r="R1335" s="4"/>
    </row>
    <row r="1336" spans="1:18">
      <c r="A1336" s="1">
        <f t="shared" si="46"/>
        <v>0</v>
      </c>
      <c r="B1336" s="2"/>
      <c r="C1336" s="8"/>
      <c r="D1336" s="109" t="str">
        <f>IFERROR(INDEX([239]MATERIALES!C:C,MATCH(B1336,[239]MATERIALES!B:B,0)),"")</f>
        <v/>
      </c>
      <c r="E1336" s="110"/>
      <c r="F1336" s="110"/>
      <c r="G1336" s="110"/>
      <c r="H1336" s="110"/>
      <c r="I1336" s="110"/>
      <c r="J1336" s="110"/>
      <c r="K1336" s="111"/>
      <c r="L1336" s="137" t="str">
        <f>IFERROR(INDEX([239]MATERIALES!D:D,MATCH(B1336,[239]MATERIALES!B:B,0)),"")</f>
        <v/>
      </c>
      <c r="M1336" s="138"/>
      <c r="N1336" s="139" t="str">
        <f>IFERROR(INDEX([239]MATERIALES!P:P,MATCH(B1336,[239]MATERIALES!B:B,0)),"")</f>
        <v/>
      </c>
      <c r="O1336" s="140"/>
      <c r="P1336" s="118" t="str">
        <f t="shared" si="47"/>
        <v/>
      </c>
      <c r="Q1336" s="119"/>
      <c r="R1336" s="4"/>
    </row>
    <row r="1337" spans="1:18">
      <c r="A1337" s="1">
        <f t="shared" si="46"/>
        <v>0</v>
      </c>
      <c r="B1337" s="2"/>
      <c r="C1337" s="8"/>
      <c r="D1337" s="109" t="str">
        <f>IFERROR(INDEX([239]MATERIALES!C:C,MATCH(B1337,[239]MATERIALES!B:B,0)),"")</f>
        <v/>
      </c>
      <c r="E1337" s="110"/>
      <c r="F1337" s="110"/>
      <c r="G1337" s="110"/>
      <c r="H1337" s="110"/>
      <c r="I1337" s="110"/>
      <c r="J1337" s="110"/>
      <c r="K1337" s="111"/>
      <c r="L1337" s="137" t="str">
        <f>IFERROR(INDEX([239]MATERIALES!D:D,MATCH(B1337,[239]MATERIALES!B:B,0)),"")</f>
        <v/>
      </c>
      <c r="M1337" s="138"/>
      <c r="N1337" s="139" t="str">
        <f>IFERROR(INDEX([239]MATERIALES!P:P,MATCH(B1337,[239]MATERIALES!B:B,0)),"")</f>
        <v/>
      </c>
      <c r="O1337" s="140"/>
      <c r="P1337" s="118" t="str">
        <f t="shared" si="47"/>
        <v/>
      </c>
      <c r="Q1337" s="119"/>
      <c r="R1337" s="4"/>
    </row>
    <row r="1338" spans="1:18">
      <c r="A1338" s="1">
        <f t="shared" si="46"/>
        <v>0</v>
      </c>
      <c r="B1338" s="2"/>
      <c r="C1338" s="8"/>
      <c r="D1338" s="109" t="str">
        <f>IFERROR(INDEX([239]MATERIALES!C:C,MATCH(B1338,[239]MATERIALES!B:B,0)),"")</f>
        <v/>
      </c>
      <c r="E1338" s="110"/>
      <c r="F1338" s="110"/>
      <c r="G1338" s="110"/>
      <c r="H1338" s="110"/>
      <c r="I1338" s="110"/>
      <c r="J1338" s="110"/>
      <c r="K1338" s="111"/>
      <c r="L1338" s="137" t="str">
        <f>IFERROR(INDEX([239]MATERIALES!D:D,MATCH(B1338,[239]MATERIALES!B:B,0)),"")</f>
        <v/>
      </c>
      <c r="M1338" s="138"/>
      <c r="N1338" s="139" t="str">
        <f>IFERROR(INDEX([239]MATERIALES!P:P,MATCH(B1338,[239]MATERIALES!B:B,0)),"")</f>
        <v/>
      </c>
      <c r="O1338" s="140"/>
      <c r="P1338" s="118" t="str">
        <f t="shared" si="47"/>
        <v/>
      </c>
      <c r="Q1338" s="119"/>
      <c r="R1338" s="4"/>
    </row>
    <row r="1339" spans="1:18">
      <c r="A1339" s="1">
        <f t="shared" si="46"/>
        <v>0</v>
      </c>
      <c r="B1339" s="2"/>
      <c r="C1339" s="8"/>
      <c r="D1339" s="109" t="str">
        <f>IFERROR(INDEX([239]MATERIALES!C:C,MATCH(B1339,[239]MATERIALES!B:B,0)),"")</f>
        <v/>
      </c>
      <c r="E1339" s="110"/>
      <c r="F1339" s="110"/>
      <c r="G1339" s="110"/>
      <c r="H1339" s="110"/>
      <c r="I1339" s="110"/>
      <c r="J1339" s="110"/>
      <c r="K1339" s="111"/>
      <c r="L1339" s="137" t="str">
        <f>IFERROR(INDEX([239]MATERIALES!D:D,MATCH(B1339,[239]MATERIALES!B:B,0)),"")</f>
        <v/>
      </c>
      <c r="M1339" s="138"/>
      <c r="N1339" s="139" t="str">
        <f>IFERROR(INDEX([239]MATERIALES!P:P,MATCH(B1339,[239]MATERIALES!B:B,0)),"")</f>
        <v/>
      </c>
      <c r="O1339" s="140"/>
      <c r="P1339" s="118" t="str">
        <f t="shared" si="47"/>
        <v/>
      </c>
      <c r="Q1339" s="119"/>
      <c r="R1339" s="4"/>
    </row>
    <row r="1340" spans="1:18">
      <c r="A1340" s="1">
        <f t="shared" si="46"/>
        <v>0</v>
      </c>
      <c r="B1340" s="2"/>
      <c r="C1340" s="8"/>
      <c r="D1340" s="109" t="str">
        <f>IFERROR(INDEX([239]MATERIALES!C:C,MATCH(B1340,[239]MATERIALES!B:B,0)),"")</f>
        <v/>
      </c>
      <c r="E1340" s="110"/>
      <c r="F1340" s="110"/>
      <c r="G1340" s="110"/>
      <c r="H1340" s="110"/>
      <c r="I1340" s="110"/>
      <c r="J1340" s="110"/>
      <c r="K1340" s="111"/>
      <c r="L1340" s="137" t="str">
        <f>IFERROR(INDEX([239]MATERIALES!D:D,MATCH(B1340,[239]MATERIALES!B:B,0)),"")</f>
        <v/>
      </c>
      <c r="M1340" s="138"/>
      <c r="N1340" s="139" t="str">
        <f>IFERROR(INDEX([239]MATERIALES!P:P,MATCH(B1340,[239]MATERIALES!B:B,0)),"")</f>
        <v/>
      </c>
      <c r="O1340" s="140"/>
      <c r="P1340" s="118" t="str">
        <f t="shared" si="47"/>
        <v/>
      </c>
      <c r="Q1340" s="119"/>
      <c r="R1340" s="4"/>
    </row>
    <row r="1341" spans="1:18">
      <c r="A1341" s="1">
        <f t="shared" si="46"/>
        <v>0</v>
      </c>
      <c r="B1341" s="2"/>
      <c r="C1341" s="8"/>
      <c r="D1341" s="109" t="str">
        <f>IFERROR(INDEX([239]MATERIALES!C:C,MATCH(B1341,[239]MATERIALES!B:B,0)),"")</f>
        <v/>
      </c>
      <c r="E1341" s="110"/>
      <c r="F1341" s="110"/>
      <c r="G1341" s="110"/>
      <c r="H1341" s="110"/>
      <c r="I1341" s="110"/>
      <c r="J1341" s="110"/>
      <c r="K1341" s="111"/>
      <c r="L1341" s="137" t="str">
        <f>IFERROR(INDEX([239]MATERIALES!D:D,MATCH(B1341,[239]MATERIALES!B:B,0)),"")</f>
        <v/>
      </c>
      <c r="M1341" s="138"/>
      <c r="N1341" s="139" t="str">
        <f>IFERROR(INDEX([239]MATERIALES!P:P,MATCH(B1341,[239]MATERIALES!B:B,0)),"")</f>
        <v/>
      </c>
      <c r="O1341" s="140"/>
      <c r="P1341" s="118" t="str">
        <f t="shared" si="47"/>
        <v/>
      </c>
      <c r="Q1341" s="119"/>
      <c r="R1341" s="4"/>
    </row>
    <row r="1342" spans="1:18" ht="15.75" thickBot="1">
      <c r="A1342" s="1">
        <f t="shared" si="46"/>
        <v>0</v>
      </c>
      <c r="B1342" s="2"/>
      <c r="C1342" s="8"/>
      <c r="D1342" s="109" t="s">
        <v>28</v>
      </c>
      <c r="E1342" s="110"/>
      <c r="F1342" s="110"/>
      <c r="G1342" s="110"/>
      <c r="H1342" s="110"/>
      <c r="I1342" s="110"/>
      <c r="J1342" s="110"/>
      <c r="K1342" s="111"/>
      <c r="L1342" s="137" t="s">
        <v>29</v>
      </c>
      <c r="M1342" s="138">
        <v>0.05</v>
      </c>
      <c r="N1342" s="139">
        <f>SUM(P1328:P1341)</f>
        <v>26508.35</v>
      </c>
      <c r="O1342" s="140"/>
      <c r="P1342" s="118">
        <f>ROUND(N1342*M1342,2)</f>
        <v>1325.42</v>
      </c>
      <c r="Q1342" s="119"/>
      <c r="R1342" s="4"/>
    </row>
    <row r="1343" spans="1:18" ht="15.75" thickBot="1">
      <c r="A1343" s="1">
        <f t="shared" si="46"/>
        <v>0</v>
      </c>
      <c r="B1343" s="2"/>
      <c r="C1343" s="8"/>
      <c r="D1343" s="128" t="s">
        <v>24</v>
      </c>
      <c r="E1343" s="129"/>
      <c r="F1343" s="129"/>
      <c r="G1343" s="129"/>
      <c r="H1343" s="129"/>
      <c r="I1343" s="129"/>
      <c r="J1343" s="129"/>
      <c r="K1343" s="129"/>
      <c r="L1343" s="129"/>
      <c r="M1343" s="129"/>
      <c r="N1343" s="129"/>
      <c r="O1343" s="130"/>
      <c r="P1343" s="131">
        <f>SUM(P1328:P1342)</f>
        <v>27833.769999999997</v>
      </c>
      <c r="Q1343" s="119"/>
      <c r="R1343" s="4"/>
    </row>
    <row r="1344" spans="1:18" ht="15.75" thickBot="1">
      <c r="A1344" s="1">
        <f t="shared" si="46"/>
        <v>0</v>
      </c>
      <c r="B1344" s="2"/>
      <c r="C1344" s="8"/>
      <c r="D1344" s="74" t="s">
        <v>30</v>
      </c>
      <c r="E1344" s="37"/>
      <c r="F1344" s="37"/>
      <c r="G1344" s="37"/>
      <c r="H1344" s="37"/>
      <c r="I1344" s="37"/>
      <c r="J1344" s="37"/>
      <c r="K1344" s="37"/>
      <c r="L1344" s="37"/>
      <c r="M1344" s="37"/>
      <c r="N1344" s="37"/>
      <c r="O1344" s="37"/>
      <c r="P1344" s="99"/>
      <c r="Q1344" s="100"/>
      <c r="R1344" s="4"/>
    </row>
    <row r="1345" spans="1:18">
      <c r="A1345" s="1">
        <f t="shared" si="46"/>
        <v>0</v>
      </c>
      <c r="B1345" s="2"/>
      <c r="C1345" s="8"/>
      <c r="D1345" s="101" t="s">
        <v>31</v>
      </c>
      <c r="E1345" s="133"/>
      <c r="F1345" s="133"/>
      <c r="G1345" s="133"/>
      <c r="H1345" s="133"/>
      <c r="I1345" s="133"/>
      <c r="J1345" s="133"/>
      <c r="K1345" s="106" t="s">
        <v>32</v>
      </c>
      <c r="L1345" s="141" t="s">
        <v>33</v>
      </c>
      <c r="M1345" s="106" t="s">
        <v>34</v>
      </c>
      <c r="N1345" s="104" t="s">
        <v>20</v>
      </c>
      <c r="O1345" s="105"/>
      <c r="P1345" s="107" t="s">
        <v>22</v>
      </c>
      <c r="Q1345" s="108"/>
      <c r="R1345" s="4"/>
    </row>
    <row r="1346" spans="1:18">
      <c r="A1346" s="1">
        <f t="shared" si="46"/>
        <v>0</v>
      </c>
      <c r="B1346" s="2"/>
      <c r="C1346" s="8"/>
      <c r="D1346" s="142" t="str">
        <f>IFERROR(INDEX([239]TRANSPORTES!B:B,MATCH(B1346,[239]TRANSPORTES!A:A,0)),"")</f>
        <v/>
      </c>
      <c r="E1346" s="143"/>
      <c r="F1346" s="143"/>
      <c r="G1346" s="143"/>
      <c r="H1346" s="143"/>
      <c r="I1346" s="143"/>
      <c r="J1346" s="143"/>
      <c r="K1346" s="220"/>
      <c r="L1346" s="145"/>
      <c r="M1346" s="146" t="str">
        <f>IFERROR(INDEX([239]TRANSPORTES!C:C,MATCH(B1346,[239]TRANSPORTES!A:A,0)),"")</f>
        <v/>
      </c>
      <c r="N1346" s="139" t="str">
        <f>IFERROR(INDEX([239]TRANSPORTES!D:D,MATCH(B1346,[239]TRANSPORTES!A:A,0)),"")</f>
        <v/>
      </c>
      <c r="O1346" s="147"/>
      <c r="P1346" s="148" t="str">
        <f>IFERROR(ROUND(K1346*N1346*L1346,2),"")</f>
        <v/>
      </c>
      <c r="Q1346" s="119"/>
      <c r="R1346" s="4"/>
    </row>
    <row r="1347" spans="1:18">
      <c r="A1347" s="1">
        <f t="shared" si="46"/>
        <v>0</v>
      </c>
      <c r="B1347" s="2"/>
      <c r="C1347" s="8"/>
      <c r="D1347" s="142" t="str">
        <f>IFERROR(INDEX([239]TRANSPORTES!B:B,MATCH(B1347,[239]TRANSPORTES!A:A,0)),"")</f>
        <v/>
      </c>
      <c r="E1347" s="143"/>
      <c r="F1347" s="143"/>
      <c r="G1347" s="143"/>
      <c r="H1347" s="143"/>
      <c r="I1347" s="143"/>
      <c r="J1347" s="143"/>
      <c r="K1347" s="144"/>
      <c r="L1347" s="145"/>
      <c r="M1347" s="146" t="str">
        <f>IFERROR(INDEX([239]TRANSPORTES!C:C,MATCH(B1347,[239]TRANSPORTES!A:A,0)),"")</f>
        <v/>
      </c>
      <c r="N1347" s="139" t="str">
        <f>IFERROR(INDEX([239]TRANSPORTES!D:D,MATCH(B1347,[239]TRANSPORTES!A:A,0)),"")</f>
        <v/>
      </c>
      <c r="O1347" s="147"/>
      <c r="P1347" s="148" t="str">
        <f>IFERROR(ROUND(K1347*N1347*L1347,2),"")</f>
        <v/>
      </c>
      <c r="Q1347" s="119"/>
      <c r="R1347" s="4"/>
    </row>
    <row r="1348" spans="1:18">
      <c r="A1348" s="1">
        <f t="shared" si="46"/>
        <v>0</v>
      </c>
      <c r="B1348" s="2"/>
      <c r="C1348" s="8"/>
      <c r="D1348" s="142" t="str">
        <f>IFERROR(INDEX([239]TRANSPORTES!B:B,MATCH(B1348,[239]TRANSPORTES!A:A,0)),"")</f>
        <v/>
      </c>
      <c r="E1348" s="143"/>
      <c r="F1348" s="143"/>
      <c r="G1348" s="143"/>
      <c r="H1348" s="143"/>
      <c r="I1348" s="143"/>
      <c r="J1348" s="143"/>
      <c r="K1348" s="144"/>
      <c r="L1348" s="145"/>
      <c r="M1348" s="146" t="str">
        <f>IFERROR(INDEX([239]TRANSPORTES!C:C,MATCH(B1348,[239]TRANSPORTES!A:A,0)),"")</f>
        <v/>
      </c>
      <c r="N1348" s="139" t="str">
        <f>IFERROR(INDEX([239]TRANSPORTES!D:D,MATCH(B1348,[239]TRANSPORTES!A:A,0)),"")</f>
        <v/>
      </c>
      <c r="O1348" s="147"/>
      <c r="P1348" s="148" t="str">
        <f>IFERROR(ROUND(K1348*N1348*L1348,2),"")</f>
        <v/>
      </c>
      <c r="Q1348" s="119"/>
      <c r="R1348" s="4"/>
    </row>
    <row r="1349" spans="1:18" ht="15.75" thickBot="1">
      <c r="A1349" s="1">
        <f t="shared" si="46"/>
        <v>0</v>
      </c>
      <c r="B1349" s="2"/>
      <c r="C1349" s="8"/>
      <c r="D1349" s="142" t="str">
        <f>IFERROR(INDEX([239]TRANSPORTES!B:B,MATCH(B1349,[239]TRANSPORTES!A:A,0)),"")</f>
        <v/>
      </c>
      <c r="E1349" s="143"/>
      <c r="F1349" s="143"/>
      <c r="G1349" s="143"/>
      <c r="H1349" s="143"/>
      <c r="I1349" s="143"/>
      <c r="J1349" s="143"/>
      <c r="K1349" s="149"/>
      <c r="L1349" s="150"/>
      <c r="M1349" s="146" t="str">
        <f>IFERROR(INDEX([239]TRANSPORTES!C:C,MATCH(B1349,[239]TRANSPORTES!A:A,0)),"")</f>
        <v/>
      </c>
      <c r="N1349" s="139" t="str">
        <f>IFERROR(INDEX([239]TRANSPORTES!D:D,MATCH(B1349,[239]TRANSPORTES!A:A,0)),"")</f>
        <v/>
      </c>
      <c r="O1349" s="147"/>
      <c r="P1349" s="148" t="str">
        <f>IFERROR(ROUND(K1349*N1349*L1349,2),"")</f>
        <v/>
      </c>
      <c r="Q1349" s="119"/>
      <c r="R1349" s="4"/>
    </row>
    <row r="1350" spans="1:18" ht="15.75" thickBot="1">
      <c r="A1350" s="1">
        <f t="shared" si="46"/>
        <v>0</v>
      </c>
      <c r="B1350" s="2"/>
      <c r="C1350" s="8"/>
      <c r="D1350" s="128" t="s">
        <v>24</v>
      </c>
      <c r="E1350" s="129"/>
      <c r="F1350" s="129"/>
      <c r="G1350" s="129"/>
      <c r="H1350" s="129"/>
      <c r="I1350" s="129"/>
      <c r="J1350" s="129"/>
      <c r="K1350" s="129"/>
      <c r="L1350" s="129"/>
      <c r="M1350" s="129"/>
      <c r="N1350" s="129"/>
      <c r="O1350" s="130"/>
      <c r="P1350" s="151">
        <f>SUM(P1346:P1349)</f>
        <v>0</v>
      </c>
      <c r="Q1350" s="132"/>
      <c r="R1350" s="4"/>
    </row>
    <row r="1351" spans="1:18" ht="15.75" thickBot="1">
      <c r="A1351" s="1">
        <f t="shared" si="46"/>
        <v>0</v>
      </c>
      <c r="B1351" s="2"/>
      <c r="C1351" s="8"/>
      <c r="D1351" s="74" t="s">
        <v>36</v>
      </c>
      <c r="E1351" s="37"/>
      <c r="F1351" s="37"/>
      <c r="G1351" s="37"/>
      <c r="H1351" s="37"/>
      <c r="I1351" s="37"/>
      <c r="J1351" s="37"/>
      <c r="K1351" s="37"/>
      <c r="L1351" s="37"/>
      <c r="M1351" s="37"/>
      <c r="N1351" s="37"/>
      <c r="O1351" s="37"/>
      <c r="P1351" s="99"/>
      <c r="Q1351" s="100"/>
      <c r="R1351" s="4"/>
    </row>
    <row r="1352" spans="1:18" ht="30">
      <c r="A1352" s="1">
        <f t="shared" si="46"/>
        <v>0</v>
      </c>
      <c r="B1352" s="2"/>
      <c r="C1352" s="8"/>
      <c r="D1352" s="101" t="s">
        <v>37</v>
      </c>
      <c r="E1352" s="133"/>
      <c r="F1352" s="133"/>
      <c r="G1352" s="133"/>
      <c r="H1352" s="133"/>
      <c r="I1352" s="133"/>
      <c r="J1352" s="133"/>
      <c r="K1352" s="106" t="s">
        <v>38</v>
      </c>
      <c r="L1352" s="152" t="s">
        <v>39</v>
      </c>
      <c r="M1352" s="153" t="s">
        <v>40</v>
      </c>
      <c r="N1352" s="104" t="s">
        <v>21</v>
      </c>
      <c r="O1352" s="105"/>
      <c r="P1352" s="154" t="s">
        <v>22</v>
      </c>
      <c r="Q1352" s="155"/>
      <c r="R1352" s="4"/>
    </row>
    <row r="1353" spans="1:18">
      <c r="A1353" s="1">
        <f t="shared" si="46"/>
        <v>0</v>
      </c>
      <c r="B1353" s="2" t="s">
        <v>41</v>
      </c>
      <c r="C1353" s="8"/>
      <c r="D1353" s="109" t="str">
        <f>IFERROR(INDEX('[239]MANO DE OBRA'!B:B,MATCH(B1353,'[239]MANO DE OBRA'!A:A,0)),"")</f>
        <v>OFICIAL</v>
      </c>
      <c r="E1353" s="110"/>
      <c r="F1353" s="110"/>
      <c r="G1353" s="110"/>
      <c r="H1353" s="110"/>
      <c r="I1353" s="110"/>
      <c r="J1353" s="111"/>
      <c r="K1353" s="156">
        <f>IFERROR(INDEX('[239]MANO DE OBRA'!D:D,MATCH(B1353,'[239]MANO DE OBRA'!A:A,0)),"")</f>
        <v>95930</v>
      </c>
      <c r="L1353" s="157">
        <f>+IF(D1353&lt;&gt;"",'[239]FACTOR PRESTACIONAL'!$E$21," ")</f>
        <v>1.95</v>
      </c>
      <c r="M1353" s="158">
        <f>IFERROR(K1353*L1353," ")</f>
        <v>187063.5</v>
      </c>
      <c r="N1353" s="159">
        <v>20</v>
      </c>
      <c r="O1353" s="160"/>
      <c r="P1353" s="161">
        <f>IFERROR(ROUND(M1353/N1353,2)," ")</f>
        <v>9353.18</v>
      </c>
      <c r="Q1353" s="162"/>
      <c r="R1353" s="4"/>
    </row>
    <row r="1354" spans="1:18">
      <c r="A1354" s="1">
        <f t="shared" si="46"/>
        <v>0</v>
      </c>
      <c r="B1354" s="2" t="s">
        <v>81</v>
      </c>
      <c r="C1354" s="8"/>
      <c r="D1354" s="109" t="str">
        <f>IFERROR(INDEX('[239]MANO DE OBRA'!B:B,MATCH(B1354,'[239]MANO DE OBRA'!A:A,0)),"")</f>
        <v>AYUDANTE (1)</v>
      </c>
      <c r="E1354" s="110"/>
      <c r="F1354" s="110"/>
      <c r="G1354" s="110"/>
      <c r="H1354" s="110"/>
      <c r="I1354" s="110"/>
      <c r="J1354" s="111"/>
      <c r="K1354" s="156">
        <f>IFERROR(INDEX('[239]MANO DE OBRA'!D:D,MATCH(B1354,'[239]MANO DE OBRA'!A:A,0)),"")</f>
        <v>71433</v>
      </c>
      <c r="L1354" s="157">
        <f>+IF(D1354&lt;&gt;"",'[239]FACTOR PRESTACIONAL'!$E$21," ")</f>
        <v>1.95</v>
      </c>
      <c r="M1354" s="158">
        <f>IFERROR(K1354*L1354," ")</f>
        <v>139294.35</v>
      </c>
      <c r="N1354" s="159">
        <v>20</v>
      </c>
      <c r="O1354" s="160"/>
      <c r="P1354" s="161">
        <f>IFERROR(ROUND(M1354/N1354,2)," ")</f>
        <v>6964.72</v>
      </c>
      <c r="Q1354" s="162"/>
      <c r="R1354" s="4"/>
    </row>
    <row r="1355" spans="1:18">
      <c r="A1355" s="1">
        <f t="shared" si="46"/>
        <v>0</v>
      </c>
      <c r="B1355" s="2"/>
      <c r="C1355" s="8"/>
      <c r="D1355" s="109" t="str">
        <f>IFERROR(INDEX('[239]MANO DE OBRA'!B:B,MATCH(B1355,'[239]MANO DE OBRA'!A:A,0)),"")</f>
        <v/>
      </c>
      <c r="E1355" s="110"/>
      <c r="F1355" s="110"/>
      <c r="G1355" s="110"/>
      <c r="H1355" s="110"/>
      <c r="I1355" s="110"/>
      <c r="J1355" s="111"/>
      <c r="K1355" s="156" t="str">
        <f>IFERROR(INDEX('[239]MANO DE OBRA'!D:D,MATCH(B1355,'[239]MANO DE OBRA'!A:A,0)),"")</f>
        <v/>
      </c>
      <c r="L1355" s="157" t="str">
        <f>+IF(D1355&lt;&gt;"",'[239]FACTOR PRESTACIONAL'!$E$21," ")</f>
        <v xml:space="preserve"> </v>
      </c>
      <c r="M1355" s="158" t="str">
        <f>IFERROR(K1355*L1355," ")</f>
        <v xml:space="preserve"> </v>
      </c>
      <c r="N1355" s="159"/>
      <c r="O1355" s="160"/>
      <c r="P1355" s="161" t="str">
        <f>IFERROR(ROUND(M1355/N1355,2)," ")</f>
        <v xml:space="preserve"> </v>
      </c>
      <c r="Q1355" s="162"/>
      <c r="R1355" s="4"/>
    </row>
    <row r="1356" spans="1:18">
      <c r="A1356" s="1">
        <f t="shared" si="46"/>
        <v>0</v>
      </c>
      <c r="B1356" s="2"/>
      <c r="C1356" s="8"/>
      <c r="D1356" s="109" t="str">
        <f>IFERROR(INDEX('[239]MANO DE OBRA'!B:B,MATCH(B1356,'[239]MANO DE OBRA'!A:A,0)),"")</f>
        <v/>
      </c>
      <c r="E1356" s="110"/>
      <c r="F1356" s="110"/>
      <c r="G1356" s="110"/>
      <c r="H1356" s="110"/>
      <c r="I1356" s="110"/>
      <c r="J1356" s="111"/>
      <c r="K1356" s="156" t="str">
        <f>IFERROR(INDEX('[239]MANO DE OBRA'!D:D,MATCH(B1356,'[239]MANO DE OBRA'!A:A,0)),"")</f>
        <v/>
      </c>
      <c r="L1356" s="157" t="str">
        <f>+IF(D1356&lt;&gt;"",'[239]FACTOR PRESTACIONAL'!$E$21," ")</f>
        <v xml:space="preserve"> </v>
      </c>
      <c r="M1356" s="158" t="str">
        <f>IFERROR(K1356*L1356," ")</f>
        <v xml:space="preserve"> </v>
      </c>
      <c r="N1356" s="159"/>
      <c r="O1356" s="160"/>
      <c r="P1356" s="161" t="str">
        <f>IFERROR(ROUND(M1356/N1356,2)," ")</f>
        <v xml:space="preserve"> </v>
      </c>
      <c r="Q1356" s="162"/>
      <c r="R1356" s="4"/>
    </row>
    <row r="1357" spans="1:18" ht="15.75" thickBot="1">
      <c r="A1357" s="1">
        <f t="shared" si="46"/>
        <v>0</v>
      </c>
      <c r="B1357" s="2"/>
      <c r="C1357" s="8"/>
      <c r="D1357" s="109" t="str">
        <f>IFERROR(INDEX('[239]MANO DE OBRA'!B:B,MATCH(B1357,'[239]MANO DE OBRA'!A:A,0)),"")</f>
        <v/>
      </c>
      <c r="E1357" s="110"/>
      <c r="F1357" s="110"/>
      <c r="G1357" s="110"/>
      <c r="H1357" s="110"/>
      <c r="I1357" s="110"/>
      <c r="J1357" s="111"/>
      <c r="K1357" s="156" t="str">
        <f>IFERROR(INDEX('[239]MANO DE OBRA'!D:D,MATCH(B1357,'[239]MANO DE OBRA'!A:A,0)),"")</f>
        <v/>
      </c>
      <c r="L1357" s="157" t="str">
        <f>+IF(D1357&lt;&gt;"",'[239]FACTOR PRESTACIONAL'!$E$21," ")</f>
        <v xml:space="preserve"> </v>
      </c>
      <c r="M1357" s="158" t="str">
        <f>IFERROR(K1357*L1357," ")</f>
        <v xml:space="preserve"> </v>
      </c>
      <c r="N1357" s="159"/>
      <c r="O1357" s="160"/>
      <c r="P1357" s="161" t="str">
        <f>IFERROR(ROUND(M1357/N1357,2)," ")</f>
        <v xml:space="preserve"> </v>
      </c>
      <c r="Q1357" s="119"/>
      <c r="R1357" s="4"/>
    </row>
    <row r="1358" spans="1:18" ht="15.75" thickBot="1">
      <c r="A1358" s="1">
        <f t="shared" si="46"/>
        <v>0</v>
      </c>
      <c r="B1358" s="2"/>
      <c r="C1358" s="8"/>
      <c r="D1358" s="128" t="s">
        <v>24</v>
      </c>
      <c r="E1358" s="129"/>
      <c r="F1358" s="129"/>
      <c r="G1358" s="129"/>
      <c r="H1358" s="129"/>
      <c r="I1358" s="129"/>
      <c r="J1358" s="129"/>
      <c r="K1358" s="129"/>
      <c r="L1358" s="129"/>
      <c r="M1358" s="129"/>
      <c r="N1358" s="129"/>
      <c r="O1358" s="130"/>
      <c r="P1358" s="131">
        <f>SUM(P1353:P1357)</f>
        <v>16317.900000000001</v>
      </c>
      <c r="Q1358" s="119"/>
      <c r="R1358" s="4"/>
    </row>
    <row r="1359" spans="1:18" ht="15.75" thickBot="1">
      <c r="A1359" s="1">
        <f t="shared" si="46"/>
        <v>0</v>
      </c>
      <c r="B1359" s="2"/>
      <c r="C1359" s="8"/>
      <c r="D1359" s="87"/>
      <c r="E1359" s="20"/>
      <c r="F1359" s="20"/>
      <c r="G1359" s="20"/>
      <c r="H1359" s="20"/>
      <c r="I1359" s="20"/>
      <c r="J1359" s="20"/>
      <c r="K1359" s="20"/>
      <c r="L1359" s="20"/>
      <c r="M1359" s="20"/>
      <c r="N1359" s="20"/>
      <c r="O1359" s="20"/>
      <c r="P1359" s="88"/>
      <c r="Q1359" s="13"/>
      <c r="R1359" s="4"/>
    </row>
    <row r="1360" spans="1:18" ht="15.75" thickBot="1">
      <c r="A1360" s="1"/>
      <c r="B1360" s="2"/>
      <c r="C1360" s="8"/>
      <c r="D1360" s="163" t="s">
        <v>43</v>
      </c>
      <c r="E1360" s="164"/>
      <c r="F1360" s="164"/>
      <c r="G1360" s="164"/>
      <c r="H1360" s="164"/>
      <c r="I1360" s="164"/>
      <c r="J1360" s="164"/>
      <c r="K1360" s="164"/>
      <c r="L1360" s="164"/>
      <c r="M1360" s="164"/>
      <c r="N1360" s="164"/>
      <c r="O1360" s="165"/>
      <c r="P1360" s="166">
        <f>+P1358+P1350+P1343+P1325</f>
        <v>45783.46</v>
      </c>
      <c r="Q1360" s="167"/>
      <c r="R1360" s="168"/>
    </row>
    <row r="1361" spans="1:18" ht="15.75" thickBot="1">
      <c r="A1361" s="1"/>
      <c r="B1361" s="2"/>
      <c r="C1361" s="8"/>
      <c r="D1361" s="169"/>
      <c r="E1361" s="170"/>
      <c r="F1361" s="170"/>
      <c r="G1361" s="170"/>
      <c r="H1361" s="170"/>
      <c r="I1361" s="170"/>
      <c r="J1361" s="170"/>
      <c r="K1361" s="170"/>
      <c r="L1361" s="170"/>
      <c r="M1361" s="170"/>
      <c r="N1361" s="170"/>
      <c r="O1361" s="170"/>
      <c r="P1361" s="171"/>
      <c r="Q1361" s="100"/>
      <c r="R1361" s="4"/>
    </row>
    <row r="1362" spans="1:18">
      <c r="A1362" s="1"/>
      <c r="B1362" s="2"/>
      <c r="C1362" s="8"/>
      <c r="D1362" s="172" t="s">
        <v>73</v>
      </c>
      <c r="E1362" s="173"/>
      <c r="F1362" s="173"/>
      <c r="G1362" s="173"/>
      <c r="H1362" s="173"/>
      <c r="I1362" s="173"/>
      <c r="J1362" s="173"/>
      <c r="K1362" s="141"/>
      <c r="L1362" s="174"/>
      <c r="M1362" s="153" t="s">
        <v>44</v>
      </c>
      <c r="N1362" s="175" t="s">
        <v>45</v>
      </c>
      <c r="O1362" s="176"/>
      <c r="P1362" s="154"/>
      <c r="Q1362" s="155"/>
      <c r="R1362" s="4"/>
    </row>
    <row r="1363" spans="1:18">
      <c r="A1363" s="1"/>
      <c r="B1363" s="2"/>
      <c r="C1363" s="8"/>
      <c r="D1363" s="109" t="s">
        <v>65</v>
      </c>
      <c r="E1363" s="110"/>
      <c r="F1363" s="110"/>
      <c r="G1363" s="110"/>
      <c r="H1363" s="110"/>
      <c r="I1363" s="110"/>
      <c r="J1363" s="110"/>
      <c r="K1363" s="177"/>
      <c r="L1363" s="178"/>
      <c r="M1363" s="179">
        <f>+[239]INICIO!$F$10</f>
        <v>0.24</v>
      </c>
      <c r="N1363" s="180">
        <f>ROUND(M1363*P1360,2)</f>
        <v>10988.03</v>
      </c>
      <c r="O1363" s="181"/>
      <c r="P1363" s="182"/>
      <c r="Q1363" s="119"/>
      <c r="R1363" s="4"/>
    </row>
    <row r="1364" spans="1:18">
      <c r="A1364" s="1"/>
      <c r="B1364" s="2"/>
      <c r="C1364" s="8"/>
      <c r="D1364" s="183" t="s">
        <v>67</v>
      </c>
      <c r="E1364" s="61"/>
      <c r="F1364" s="61"/>
      <c r="G1364" s="61"/>
      <c r="H1364" s="61"/>
      <c r="I1364" s="61"/>
      <c r="J1364" s="61"/>
      <c r="K1364" s="177"/>
      <c r="L1364" s="178"/>
      <c r="M1364" s="179">
        <f>+[239]INICIO!$F$11</f>
        <v>0.02</v>
      </c>
      <c r="N1364" s="180">
        <f>ROUND(M1364*P1360,2)</f>
        <v>915.67</v>
      </c>
      <c r="O1364" s="181"/>
      <c r="P1364" s="182"/>
      <c r="Q1364" s="119"/>
      <c r="R1364" s="4"/>
    </row>
    <row r="1365" spans="1:18" ht="15.75" thickBot="1">
      <c r="A1365" s="1"/>
      <c r="B1365" s="2"/>
      <c r="C1365" s="8"/>
      <c r="D1365" s="77" t="s">
        <v>69</v>
      </c>
      <c r="E1365" s="78"/>
      <c r="F1365" s="78"/>
      <c r="G1365" s="78"/>
      <c r="H1365" s="78"/>
      <c r="I1365" s="78"/>
      <c r="J1365" s="78"/>
      <c r="K1365" s="184"/>
      <c r="L1365" s="185"/>
      <c r="M1365" s="179">
        <f>+[239]INICIO!$F$12</f>
        <v>7.0000000000000007E-2</v>
      </c>
      <c r="N1365" s="180">
        <f>ROUND(M1365*P1360,2)</f>
        <v>3204.84</v>
      </c>
      <c r="O1365" s="181"/>
      <c r="P1365" s="182"/>
      <c r="Q1365" s="119"/>
      <c r="R1365" s="4"/>
    </row>
    <row r="1366" spans="1:18" ht="15.75" thickBot="1">
      <c r="A1366" s="1"/>
      <c r="B1366" s="2"/>
      <c r="C1366" s="8"/>
      <c r="D1366" s="128"/>
      <c r="E1366" s="129"/>
      <c r="F1366" s="129"/>
      <c r="G1366" s="129"/>
      <c r="H1366" s="129"/>
      <c r="I1366" s="129"/>
      <c r="J1366" s="129"/>
      <c r="K1366" s="129"/>
      <c r="L1366" s="129"/>
      <c r="M1366" s="129"/>
      <c r="N1366" s="129"/>
      <c r="O1366" s="130"/>
      <c r="P1366" s="131">
        <f>SUM(N1363:N1365)</f>
        <v>15108.54</v>
      </c>
      <c r="Q1366" s="186"/>
      <c r="R1366" s="4"/>
    </row>
    <row r="1367" spans="1:18" ht="15.75" thickBot="1">
      <c r="A1367" s="1"/>
      <c r="B1367" s="2"/>
      <c r="C1367" s="8"/>
      <c r="D1367" s="87"/>
      <c r="E1367" s="20"/>
      <c r="F1367" s="20"/>
      <c r="G1367" s="20"/>
      <c r="H1367" s="20"/>
      <c r="I1367" s="20"/>
      <c r="J1367" s="20"/>
      <c r="K1367" s="20"/>
      <c r="L1367" s="20"/>
      <c r="M1367" s="20"/>
      <c r="N1367" s="20"/>
      <c r="O1367" s="20"/>
      <c r="P1367" s="88"/>
      <c r="Q1367" s="13"/>
      <c r="R1367" s="4"/>
    </row>
    <row r="1368" spans="1:18" ht="15.75" thickBot="1">
      <c r="A1368" s="1"/>
      <c r="B1368" s="2"/>
      <c r="C1368" s="8"/>
      <c r="D1368" s="187" t="s">
        <v>46</v>
      </c>
      <c r="E1368" s="188"/>
      <c r="F1368" s="188"/>
      <c r="G1368" s="188"/>
      <c r="H1368" s="188"/>
      <c r="I1368" s="188"/>
      <c r="J1368" s="188"/>
      <c r="K1368" s="188"/>
      <c r="L1368" s="188"/>
      <c r="M1368" s="188"/>
      <c r="N1368" s="188"/>
      <c r="O1368" s="189"/>
      <c r="P1368" s="166">
        <f>ROUND(P1366+P1360,0)</f>
        <v>60892</v>
      </c>
      <c r="Q1368" s="186"/>
      <c r="R1368" s="4"/>
    </row>
    <row r="1369" spans="1:18">
      <c r="A1369" s="1"/>
      <c r="B1369" s="2"/>
      <c r="C1369" s="8"/>
      <c r="D1369" s="80"/>
      <c r="E1369" s="81"/>
      <c r="F1369" s="81"/>
      <c r="G1369" s="81"/>
      <c r="H1369" s="81"/>
      <c r="I1369" s="81"/>
      <c r="J1369" s="81"/>
      <c r="K1369" s="81"/>
      <c r="L1369" s="81"/>
      <c r="M1369" s="81"/>
      <c r="N1369" s="81"/>
      <c r="O1369" s="81"/>
      <c r="P1369" s="82"/>
      <c r="Q1369" s="13"/>
      <c r="R1369" s="4"/>
    </row>
    <row r="1370" spans="1:18">
      <c r="A1370" s="1"/>
      <c r="B1370" s="2"/>
      <c r="C1370" s="8"/>
      <c r="D1370" s="87"/>
      <c r="E1370" s="20"/>
      <c r="F1370" s="20"/>
      <c r="G1370" s="20"/>
      <c r="H1370" s="20"/>
      <c r="I1370" s="20"/>
      <c r="J1370" s="20"/>
      <c r="K1370" s="20"/>
      <c r="L1370" s="20"/>
      <c r="M1370" s="20"/>
      <c r="N1370" s="20"/>
      <c r="O1370" s="20"/>
      <c r="P1370" s="88"/>
      <c r="Q1370" s="13"/>
      <c r="R1370" s="4"/>
    </row>
    <row r="1371" spans="1:18">
      <c r="A1371" s="1"/>
      <c r="B1371" s="2"/>
      <c r="C1371" s="8"/>
      <c r="D1371" s="87"/>
      <c r="E1371" s="20"/>
      <c r="F1371" s="20"/>
      <c r="G1371" s="20"/>
      <c r="H1371" s="20"/>
      <c r="I1371" s="20"/>
      <c r="J1371" s="20"/>
      <c r="K1371" s="20"/>
      <c r="L1371" s="20"/>
      <c r="M1371" s="20"/>
      <c r="N1371" s="20"/>
      <c r="O1371" s="20"/>
      <c r="P1371" s="88"/>
      <c r="Q1371" s="13"/>
      <c r="R1371" s="4"/>
    </row>
    <row r="1372" spans="1:18">
      <c r="A1372" s="1"/>
      <c r="B1372" s="2"/>
      <c r="C1372" s="8"/>
      <c r="D1372" s="87"/>
      <c r="E1372" s="20"/>
      <c r="F1372" s="20"/>
      <c r="G1372" s="20"/>
      <c r="H1372" s="20"/>
      <c r="I1372" s="20"/>
      <c r="J1372" s="20"/>
      <c r="K1372" s="20"/>
      <c r="L1372" s="20"/>
      <c r="M1372" s="20"/>
      <c r="N1372" s="20"/>
      <c r="O1372" s="20"/>
      <c r="P1372" s="88"/>
      <c r="Q1372" s="13"/>
      <c r="R1372" s="4"/>
    </row>
    <row r="1373" spans="1:18">
      <c r="A1373" s="1"/>
      <c r="B1373" s="2"/>
      <c r="C1373" s="8"/>
      <c r="D1373" s="219" t="str">
        <f>+[239]INICIO!$B$13</f>
        <v>Proyectó:</v>
      </c>
      <c r="E1373" s="49"/>
      <c r="F1373" s="49"/>
      <c r="G1373" s="49"/>
      <c r="H1373" s="49"/>
      <c r="I1373" s="49"/>
      <c r="J1373" s="49"/>
      <c r="K1373" s="20"/>
      <c r="L1373" s="69" t="str">
        <f>+[239]INICIO!$B$16</f>
        <v>Aprobó:</v>
      </c>
      <c r="M1373" s="49"/>
      <c r="N1373" s="49"/>
      <c r="O1373" s="49"/>
      <c r="P1373" s="88"/>
      <c r="Q1373" s="13"/>
      <c r="R1373" s="4"/>
    </row>
    <row r="1374" spans="1:18">
      <c r="A1374" s="1"/>
      <c r="B1374" s="2"/>
      <c r="C1374" s="8"/>
      <c r="D1374" s="87"/>
      <c r="E1374" s="20" t="str">
        <f>+Hoja2!C$13</f>
        <v>HELMER EDUARDO BECERRA SANTANDER</v>
      </c>
      <c r="F1374" s="20"/>
      <c r="G1374" s="20"/>
      <c r="H1374" s="20"/>
      <c r="I1374" s="20"/>
      <c r="J1374" s="20"/>
      <c r="K1374" s="20"/>
      <c r="L1374" s="20"/>
      <c r="M1374" s="20" t="str">
        <f>+Hoja2!$C$16</f>
        <v>JESÚS IVÁN QUIÑONES RUEDA</v>
      </c>
      <c r="N1374" s="20"/>
      <c r="O1374" s="20"/>
      <c r="P1374" s="88"/>
      <c r="Q1374" s="190"/>
      <c r="R1374" s="4"/>
    </row>
    <row r="1375" spans="1:18">
      <c r="A1375" s="1"/>
      <c r="B1375" s="2"/>
      <c r="C1375" s="8"/>
      <c r="D1375" s="87"/>
      <c r="E1375" s="20" t="str">
        <f>+Hoja2!C$14</f>
        <v>APOYO SEC. DE PLANEACIÓN Y OBRAS PÚBLICAS</v>
      </c>
      <c r="F1375" s="20"/>
      <c r="G1375" s="20"/>
      <c r="H1375" s="20"/>
      <c r="I1375" s="20"/>
      <c r="J1375" s="20"/>
      <c r="K1375" s="20"/>
      <c r="L1375" s="20"/>
      <c r="M1375" s="20" t="str">
        <f>+Hoja2!$C$17</f>
        <v>SECRETARIO DE PLANEACIÓN Y OBRAS PUBLICAS</v>
      </c>
      <c r="N1375" s="20"/>
      <c r="O1375" s="20"/>
      <c r="P1375" s="88"/>
      <c r="Q1375" s="190"/>
      <c r="R1375" s="4"/>
    </row>
    <row r="1376" spans="1:18">
      <c r="A1376" s="1"/>
      <c r="B1376" s="2"/>
      <c r="C1376" s="8"/>
      <c r="D1376" s="68"/>
      <c r="E1376" s="20" t="str">
        <f>+Hoja2!C$15</f>
        <v>123769-0701671 NTS</v>
      </c>
      <c r="F1376" s="191"/>
      <c r="G1376" s="191"/>
      <c r="H1376" s="191"/>
      <c r="I1376" s="20"/>
      <c r="J1376" s="191"/>
      <c r="K1376" s="191"/>
      <c r="L1376" s="191"/>
      <c r="M1376" s="192" t="str">
        <f>+Hoja2!C$18</f>
        <v>A21382020-1090480860</v>
      </c>
      <c r="N1376" s="191"/>
      <c r="O1376" s="191"/>
      <c r="P1376" s="193"/>
      <c r="Q1376" s="194"/>
      <c r="R1376" s="4"/>
    </row>
    <row r="1377" spans="1:18" ht="16.5" thickBot="1">
      <c r="A1377" s="1"/>
      <c r="B1377" s="2"/>
      <c r="C1377" s="8"/>
      <c r="D1377" s="195"/>
      <c r="E1377" s="150"/>
      <c r="F1377" s="150"/>
      <c r="G1377" s="150"/>
      <c r="H1377" s="150"/>
      <c r="I1377" s="150"/>
      <c r="J1377" s="150"/>
      <c r="K1377" s="150"/>
      <c r="L1377" s="150"/>
      <c r="M1377" s="150"/>
      <c r="N1377" s="150"/>
      <c r="O1377" s="150"/>
      <c r="P1377" s="196"/>
      <c r="Q1377" s="197"/>
      <c r="R1377" s="4"/>
    </row>
    <row r="1378" spans="1:18" ht="15.75" thickBot="1">
      <c r="A1378" s="1"/>
      <c r="B1378" s="2"/>
      <c r="C1378" s="198"/>
      <c r="D1378" s="199"/>
      <c r="E1378" s="199"/>
      <c r="F1378" s="199"/>
      <c r="G1378" s="199"/>
      <c r="H1378" s="199"/>
      <c r="I1378" s="199"/>
      <c r="J1378" s="199"/>
      <c r="K1378" s="199"/>
      <c r="L1378" s="199"/>
      <c r="M1378" s="199"/>
      <c r="N1378" s="199"/>
      <c r="O1378" s="199"/>
      <c r="P1378" s="199"/>
      <c r="Q1378" s="200"/>
      <c r="R1378" s="4"/>
    </row>
    <row r="1379" spans="1:18" ht="15.75" thickTop="1"/>
    <row r="1380" spans="1:18" ht="15.75" thickBot="1"/>
    <row r="1381" spans="1:18" ht="15.75" thickTop="1">
      <c r="A1381" s="1"/>
      <c r="B1381" s="2"/>
      <c r="C1381" s="5"/>
      <c r="D1381" s="6"/>
      <c r="E1381" s="6"/>
      <c r="F1381" s="6"/>
      <c r="G1381" s="6"/>
      <c r="H1381" s="6"/>
      <c r="I1381" s="6"/>
      <c r="J1381" s="6"/>
      <c r="K1381" s="6"/>
      <c r="L1381" s="6"/>
      <c r="M1381" s="6"/>
      <c r="N1381" s="6"/>
      <c r="O1381" s="6"/>
      <c r="P1381" s="6"/>
      <c r="Q1381" s="7"/>
      <c r="R1381" s="4"/>
    </row>
    <row r="1382" spans="1:18" ht="24">
      <c r="A1382" s="1"/>
      <c r="B1382" s="2"/>
      <c r="C1382" s="8"/>
      <c r="D1382" s="9" t="str">
        <f>+[239]INICIO!$C$8</f>
        <v>Análisis de Precios Unitarios- Secretaria de Planeación y Obras Publicas de Cubará, Boyacá.</v>
      </c>
      <c r="E1382" s="10"/>
      <c r="F1382" s="10"/>
      <c r="G1382" s="10"/>
      <c r="H1382" s="11"/>
      <c r="I1382" s="12"/>
      <c r="J1382" s="12"/>
      <c r="K1382" s="12"/>
      <c r="L1382" s="12"/>
      <c r="M1382" s="12"/>
      <c r="N1382" s="12"/>
      <c r="O1382" s="12"/>
      <c r="P1382" s="12"/>
      <c r="Q1382" s="13"/>
      <c r="R1382" s="4"/>
    </row>
    <row r="1383" spans="1:18">
      <c r="A1383" s="1"/>
      <c r="B1383" s="2"/>
      <c r="C1383" s="8"/>
      <c r="D1383" s="14" t="s">
        <v>0</v>
      </c>
      <c r="E1383" s="15" t="str">
        <f>+[239]INICIO!$C$7</f>
        <v>CCE-EICP-FM-14</v>
      </c>
      <c r="F1383" s="16"/>
      <c r="G1383" s="17" t="str">
        <f>+[239]INICIO!$B$6</f>
        <v>VERSIÓN</v>
      </c>
      <c r="H1383" s="14">
        <f>+[239]INICIO!$C$6</f>
        <v>1</v>
      </c>
      <c r="I1383" s="12"/>
      <c r="J1383" s="12"/>
      <c r="K1383" s="12"/>
      <c r="L1383" s="12"/>
      <c r="M1383" s="12"/>
      <c r="N1383" s="12"/>
      <c r="O1383" s="12"/>
      <c r="P1383" s="12"/>
      <c r="Q1383" s="13"/>
      <c r="R1383" s="4"/>
    </row>
    <row r="1384" spans="1:18">
      <c r="A1384" s="1"/>
      <c r="B1384" s="2"/>
      <c r="C1384" s="8"/>
      <c r="D1384" s="18"/>
      <c r="E1384" s="19"/>
      <c r="F1384" s="18"/>
      <c r="G1384" s="19"/>
      <c r="H1384" s="12"/>
      <c r="I1384" s="12"/>
      <c r="J1384" s="12"/>
      <c r="K1384" s="12"/>
      <c r="L1384" s="12"/>
      <c r="M1384" s="12"/>
      <c r="N1384" s="12"/>
      <c r="O1384" s="12"/>
      <c r="P1384" s="12"/>
      <c r="Q1384" s="13"/>
      <c r="R1384" s="4"/>
    </row>
    <row r="1385" spans="1:18" ht="15.75" thickBot="1">
      <c r="A1385" s="1"/>
      <c r="B1385" s="2"/>
      <c r="C1385" s="8"/>
      <c r="D1385" s="20"/>
      <c r="E1385" s="20"/>
      <c r="F1385" s="20"/>
      <c r="G1385" s="20"/>
      <c r="H1385" s="20"/>
      <c r="I1385" s="20"/>
      <c r="J1385" s="20"/>
      <c r="K1385" s="20"/>
      <c r="L1385" s="20"/>
      <c r="M1385" s="20"/>
      <c r="N1385" s="20"/>
      <c r="O1385" s="20"/>
      <c r="P1385" s="20"/>
      <c r="Q1385" s="13"/>
      <c r="R1385" s="4"/>
    </row>
    <row r="1386" spans="1:18">
      <c r="A1386" s="1"/>
      <c r="B1386" s="2"/>
      <c r="C1386" s="8"/>
      <c r="D1386" s="21"/>
      <c r="E1386" s="22"/>
      <c r="F1386" s="23"/>
      <c r="G1386" s="23"/>
      <c r="H1386" s="23"/>
      <c r="I1386" s="23"/>
      <c r="J1386" s="23"/>
      <c r="K1386" s="23"/>
      <c r="L1386" s="24"/>
      <c r="M1386" s="25"/>
      <c r="N1386" s="26"/>
      <c r="O1386" s="26"/>
      <c r="P1386" s="27"/>
      <c r="Q1386" s="28"/>
      <c r="R1386" s="4"/>
    </row>
    <row r="1387" spans="1:18">
      <c r="A1387" s="1"/>
      <c r="B1387" s="2"/>
      <c r="C1387" s="8"/>
      <c r="D1387" s="29"/>
      <c r="E1387" s="30" t="s">
        <v>1</v>
      </c>
      <c r="F1387" s="31"/>
      <c r="G1387" s="31"/>
      <c r="H1387" s="31"/>
      <c r="I1387" s="31"/>
      <c r="J1387" s="31"/>
      <c r="K1387" s="31"/>
      <c r="L1387" s="32"/>
      <c r="M1387" s="33"/>
      <c r="N1387" s="34"/>
      <c r="O1387" s="34"/>
      <c r="P1387" s="35"/>
      <c r="Q1387" s="28"/>
      <c r="R1387" s="4"/>
    </row>
    <row r="1388" spans="1:18">
      <c r="A1388" s="1"/>
      <c r="B1388" s="2"/>
      <c r="C1388" s="8"/>
      <c r="D1388" s="29"/>
      <c r="E1388" s="36"/>
      <c r="F1388" s="37"/>
      <c r="G1388" s="37"/>
      <c r="H1388" s="37"/>
      <c r="I1388" s="37"/>
      <c r="J1388" s="37"/>
      <c r="K1388" s="37"/>
      <c r="L1388" s="38"/>
      <c r="M1388" s="39"/>
      <c r="N1388" s="40"/>
      <c r="O1388" s="41"/>
      <c r="P1388" s="42"/>
      <c r="Q1388" s="28"/>
      <c r="R1388" s="4"/>
    </row>
    <row r="1389" spans="1:18">
      <c r="A1389" s="1"/>
      <c r="B1389" s="2"/>
      <c r="C1389" s="8"/>
      <c r="D1389" s="29"/>
      <c r="E1389" s="36"/>
      <c r="F1389" s="37"/>
      <c r="G1389" s="37"/>
      <c r="H1389" s="37"/>
      <c r="I1389" s="37"/>
      <c r="J1389" s="37"/>
      <c r="K1389" s="37"/>
      <c r="L1389" s="38"/>
      <c r="M1389" s="43" t="s">
        <v>2</v>
      </c>
      <c r="N1389" s="44"/>
      <c r="O1389" s="45">
        <f>+[239]INICIO!$C$6</f>
        <v>1</v>
      </c>
      <c r="P1389" s="46"/>
      <c r="Q1389" s="28"/>
      <c r="R1389" s="4"/>
    </row>
    <row r="1390" spans="1:18">
      <c r="A1390" s="1"/>
      <c r="B1390" s="2"/>
      <c r="C1390" s="8"/>
      <c r="D1390" s="29"/>
      <c r="E1390" s="36"/>
      <c r="F1390" s="37"/>
      <c r="G1390" s="37"/>
      <c r="H1390" s="37"/>
      <c r="I1390" s="37"/>
      <c r="J1390" s="37"/>
      <c r="K1390" s="37"/>
      <c r="L1390" s="38"/>
      <c r="M1390" s="47"/>
      <c r="N1390" s="48"/>
      <c r="O1390" s="49"/>
      <c r="P1390" s="50"/>
      <c r="Q1390" s="51"/>
      <c r="R1390" s="4"/>
    </row>
    <row r="1391" spans="1:18">
      <c r="A1391" s="1"/>
      <c r="B1391" s="2"/>
      <c r="C1391" s="8"/>
      <c r="D1391" s="29"/>
      <c r="E1391" s="52"/>
      <c r="F1391" s="53"/>
      <c r="G1391" s="53"/>
      <c r="H1391" s="53"/>
      <c r="I1391" s="53"/>
      <c r="J1391" s="53"/>
      <c r="K1391" s="53"/>
      <c r="L1391" s="54"/>
      <c r="M1391" s="39"/>
      <c r="N1391" s="55"/>
      <c r="O1391" s="55"/>
      <c r="P1391" s="56"/>
      <c r="Q1391" s="28"/>
      <c r="R1391" s="4"/>
    </row>
    <row r="1392" spans="1:18">
      <c r="A1392" s="1"/>
      <c r="B1392" s="2"/>
      <c r="C1392" s="8"/>
      <c r="D1392" s="29"/>
      <c r="E1392" s="52"/>
      <c r="F1392" s="53"/>
      <c r="G1392" s="53"/>
      <c r="H1392" s="53"/>
      <c r="I1392" s="53"/>
      <c r="J1392" s="53"/>
      <c r="K1392" s="53"/>
      <c r="L1392" s="54"/>
      <c r="M1392" s="43" t="s">
        <v>3</v>
      </c>
      <c r="N1392" s="43" t="str">
        <f>+VLOOKUP(D1403,'PRESUPUESTO OFICIAL '!C:Q,9,FALSE)</f>
        <v>32</v>
      </c>
      <c r="O1392" s="43" t="s">
        <v>4</v>
      </c>
      <c r="P1392" s="508" t="str">
        <f>+'PRESUPUESTO OFICIAL '!$M$122</f>
        <v>62</v>
      </c>
      <c r="Q1392" s="28"/>
      <c r="R1392" s="4"/>
    </row>
    <row r="1393" spans="1:18">
      <c r="A1393" s="1"/>
      <c r="B1393" s="2"/>
      <c r="C1393" s="8"/>
      <c r="D1393" s="29"/>
      <c r="E1393" s="30" t="s">
        <v>5</v>
      </c>
      <c r="F1393" s="31"/>
      <c r="G1393" s="31"/>
      <c r="H1393" s="31"/>
      <c r="I1393" s="31"/>
      <c r="J1393" s="31"/>
      <c r="K1393" s="31"/>
      <c r="L1393" s="32"/>
      <c r="M1393" s="43"/>
      <c r="N1393" s="57"/>
      <c r="O1393" s="57"/>
      <c r="P1393" s="58"/>
      <c r="Q1393" s="28"/>
      <c r="R1393" s="4"/>
    </row>
    <row r="1394" spans="1:18" ht="15.75" thickBot="1">
      <c r="A1394" s="1"/>
      <c r="B1394" s="2"/>
      <c r="C1394" s="8"/>
      <c r="D1394" s="59"/>
      <c r="E1394" s="60"/>
      <c r="F1394" s="60"/>
      <c r="G1394" s="60"/>
      <c r="H1394" s="60"/>
      <c r="I1394" s="60"/>
      <c r="J1394" s="60"/>
      <c r="K1394" s="60"/>
      <c r="L1394" s="60"/>
      <c r="M1394" s="60"/>
      <c r="N1394" s="61"/>
      <c r="O1394" s="61"/>
      <c r="P1394" s="62"/>
      <c r="Q1394" s="63"/>
      <c r="R1394" s="4"/>
    </row>
    <row r="1395" spans="1:18">
      <c r="A1395" s="1"/>
      <c r="B1395" s="2"/>
      <c r="C1395" s="8"/>
      <c r="D1395" s="64"/>
      <c r="E1395" s="65"/>
      <c r="F1395" s="65"/>
      <c r="G1395" s="65"/>
      <c r="H1395" s="65"/>
      <c r="I1395" s="65"/>
      <c r="J1395" s="65"/>
      <c r="K1395" s="65"/>
      <c r="L1395" s="65"/>
      <c r="M1395" s="66" t="s">
        <v>6</v>
      </c>
      <c r="N1395" s="66" t="s">
        <v>7</v>
      </c>
      <c r="O1395" s="66" t="s">
        <v>8</v>
      </c>
      <c r="P1395" s="67" t="s">
        <v>9</v>
      </c>
      <c r="Q1395" s="51"/>
      <c r="R1395" s="4"/>
    </row>
    <row r="1396" spans="1:18">
      <c r="A1396" s="1"/>
      <c r="B1396" s="2"/>
      <c r="C1396" s="8"/>
      <c r="D1396" s="68"/>
      <c r="E1396" s="69"/>
      <c r="F1396" s="69"/>
      <c r="G1396" s="69"/>
      <c r="H1396" s="69"/>
      <c r="I1396" s="69"/>
      <c r="J1396" s="69"/>
      <c r="K1396" s="69"/>
      <c r="L1396" s="69"/>
      <c r="M1396" s="70"/>
      <c r="N1396" s="71">
        <f>+Hoja2!B$5</f>
        <v>5</v>
      </c>
      <c r="O1396" s="71">
        <f>+Hoja2!C$5</f>
        <v>8</v>
      </c>
      <c r="P1396" s="72">
        <f>+Hoja2!D$5</f>
        <v>2026</v>
      </c>
      <c r="Q1396" s="73"/>
      <c r="R1396" s="4"/>
    </row>
    <row r="1397" spans="1:18">
      <c r="A1397" s="1"/>
      <c r="B1397" s="2"/>
      <c r="C1397" s="8"/>
      <c r="D1397" s="74"/>
      <c r="E1397" s="37"/>
      <c r="F1397" s="37"/>
      <c r="G1397" s="37"/>
      <c r="H1397" s="69"/>
      <c r="I1397" s="69"/>
      <c r="J1397" s="69"/>
      <c r="K1397" s="20"/>
      <c r="L1397" s="69"/>
      <c r="M1397" s="75"/>
      <c r="N1397" s="20"/>
      <c r="O1397" s="20"/>
      <c r="P1397" s="76"/>
      <c r="Q1397" s="73"/>
      <c r="R1397" s="4"/>
    </row>
    <row r="1398" spans="1:18" ht="15.75" thickBot="1">
      <c r="A1398" s="1"/>
      <c r="B1398" s="2"/>
      <c r="C1398" s="8"/>
      <c r="D1398" s="77"/>
      <c r="E1398" s="78"/>
      <c r="F1398" s="78"/>
      <c r="G1398" s="78"/>
      <c r="H1398" s="78"/>
      <c r="I1398" s="78"/>
      <c r="J1398" s="78"/>
      <c r="K1398" s="78"/>
      <c r="L1398" s="78"/>
      <c r="M1398" s="78"/>
      <c r="N1398" s="78"/>
      <c r="O1398" s="78"/>
      <c r="P1398" s="79"/>
      <c r="Q1398" s="13"/>
      <c r="R1398" s="4"/>
    </row>
    <row r="1399" spans="1:18" ht="15.75" thickBot="1">
      <c r="A1399" s="1"/>
      <c r="B1399" s="2"/>
      <c r="C1399" s="8"/>
      <c r="D1399" s="80"/>
      <c r="E1399" s="81"/>
      <c r="F1399" s="81"/>
      <c r="G1399" s="81"/>
      <c r="H1399" s="81"/>
      <c r="I1399" s="81"/>
      <c r="J1399" s="20"/>
      <c r="K1399" s="20"/>
      <c r="L1399" s="81"/>
      <c r="M1399" s="81"/>
      <c r="N1399" s="81"/>
      <c r="O1399" s="81"/>
      <c r="P1399" s="82"/>
      <c r="Q1399" s="13"/>
      <c r="R1399" s="4"/>
    </row>
    <row r="1400" spans="1:18">
      <c r="A1400" s="1"/>
      <c r="B1400" s="2"/>
      <c r="C1400" s="8"/>
      <c r="D1400" s="83" t="s">
        <v>10</v>
      </c>
      <c r="E1400" s="84"/>
      <c r="F1400" s="84"/>
      <c r="G1400" s="84"/>
      <c r="H1400" s="84"/>
      <c r="I1400" s="84"/>
      <c r="J1400" s="84"/>
      <c r="K1400" s="84"/>
      <c r="L1400" s="84"/>
      <c r="M1400" s="84"/>
      <c r="N1400" s="84"/>
      <c r="O1400" s="84"/>
      <c r="P1400" s="85"/>
      <c r="Q1400" s="86"/>
      <c r="R1400" s="4"/>
    </row>
    <row r="1401" spans="1:18" ht="15.75" thickBot="1">
      <c r="A1401" s="1"/>
      <c r="B1401" s="2"/>
      <c r="C1401" s="8"/>
      <c r="D1401" s="87"/>
      <c r="E1401" s="20"/>
      <c r="F1401" s="20"/>
      <c r="G1401" s="20"/>
      <c r="H1401" s="20"/>
      <c r="I1401" s="20"/>
      <c r="J1401" s="20"/>
      <c r="K1401" s="20"/>
      <c r="L1401" s="20"/>
      <c r="M1401" s="20"/>
      <c r="N1401" s="20"/>
      <c r="O1401" s="20"/>
      <c r="P1401" s="88"/>
      <c r="Q1401" s="13"/>
      <c r="R1401" s="4"/>
    </row>
    <row r="1402" spans="1:18">
      <c r="A1402" s="1" t="s">
        <v>11</v>
      </c>
      <c r="B1402" s="2" t="s">
        <v>12</v>
      </c>
      <c r="C1402" s="8"/>
      <c r="D1402" s="89" t="s">
        <v>13</v>
      </c>
      <c r="E1402" s="90" t="s">
        <v>14</v>
      </c>
      <c r="F1402" s="90"/>
      <c r="G1402" s="90"/>
      <c r="H1402" s="90"/>
      <c r="I1402" s="90"/>
      <c r="J1402" s="90"/>
      <c r="K1402" s="90"/>
      <c r="L1402" s="90"/>
      <c r="M1402" s="90"/>
      <c r="N1402" s="91" t="s">
        <v>15</v>
      </c>
      <c r="O1402" s="91"/>
      <c r="P1402" s="92" t="s">
        <v>16</v>
      </c>
      <c r="Q1402" s="93"/>
      <c r="R1402" s="4"/>
    </row>
    <row r="1403" spans="1:18" ht="38.25" customHeight="1" thickBot="1">
      <c r="A1403" s="1"/>
      <c r="B1403" s="2"/>
      <c r="C1403" s="8"/>
      <c r="D1403" s="349">
        <f>+'PRESUPUESTO OFICIAL '!C53</f>
        <v>4.04</v>
      </c>
      <c r="E1403" s="94" t="str">
        <f>+VLOOKUP(D1403,'PRESUPUESTO OFICIAL '!C:H,2,FALSE)</f>
        <v>SUMINISTRO E INSTALACIÓN DE SIFÓN SANITARIO DE 2" PVC</v>
      </c>
      <c r="F1403" s="94"/>
      <c r="G1403" s="94"/>
      <c r="H1403" s="94"/>
      <c r="I1403" s="94"/>
      <c r="J1403" s="94"/>
      <c r="K1403" s="94"/>
      <c r="L1403" s="94"/>
      <c r="M1403" s="94"/>
      <c r="N1403" s="94" t="str">
        <f>+VLOOKUP(D1403,'PRESUPUESTO OFICIAL '!C:H,3,FALSE)</f>
        <v>UND</v>
      </c>
      <c r="O1403" s="95"/>
      <c r="P1403" s="96">
        <f>+VLOOKUP(D1403,'PRESUPUESTO OFICIAL '!C:H,4,FALSE)</f>
        <v>19</v>
      </c>
      <c r="Q1403" s="97"/>
      <c r="R1403" s="98">
        <f>+P1455</f>
        <v>47432</v>
      </c>
    </row>
    <row r="1404" spans="1:18" ht="15.75" thickBot="1">
      <c r="A1404" s="1"/>
      <c r="B1404" s="2"/>
      <c r="C1404" s="8"/>
      <c r="D1404" s="74" t="s">
        <v>17</v>
      </c>
      <c r="E1404" s="37"/>
      <c r="F1404" s="37"/>
      <c r="G1404" s="37"/>
      <c r="H1404" s="37"/>
      <c r="I1404" s="37"/>
      <c r="J1404" s="37"/>
      <c r="K1404" s="37"/>
      <c r="L1404" s="37"/>
      <c r="M1404" s="37"/>
      <c r="N1404" s="37"/>
      <c r="O1404" s="37"/>
      <c r="P1404" s="99"/>
      <c r="Q1404" s="100"/>
      <c r="R1404" s="4"/>
    </row>
    <row r="1405" spans="1:18">
      <c r="A1405" s="1"/>
      <c r="B1405" s="2"/>
      <c r="C1405" s="8"/>
      <c r="D1405" s="101" t="s">
        <v>14</v>
      </c>
      <c r="E1405" s="102"/>
      <c r="F1405" s="102"/>
      <c r="G1405" s="102"/>
      <c r="H1405" s="103"/>
      <c r="I1405" s="104" t="s">
        <v>18</v>
      </c>
      <c r="J1405" s="102"/>
      <c r="K1405" s="104" t="s">
        <v>19</v>
      </c>
      <c r="L1405" s="105"/>
      <c r="M1405" s="106" t="s">
        <v>20</v>
      </c>
      <c r="N1405" s="104" t="s">
        <v>21</v>
      </c>
      <c r="O1405" s="105"/>
      <c r="P1405" s="107" t="s">
        <v>22</v>
      </c>
      <c r="Q1405" s="108"/>
      <c r="R1405" s="4"/>
    </row>
    <row r="1406" spans="1:18">
      <c r="A1406" s="1" t="e">
        <f>[239]INDICE!#REF!</f>
        <v>#REF!</v>
      </c>
      <c r="B1406" s="2" t="s">
        <v>23</v>
      </c>
      <c r="C1406" s="8"/>
      <c r="D1406" s="109" t="str">
        <f>IFERROR(INDEX([239]EQUIPOS!B:B,MATCH(B1406,[239]EQUIPOS!A:A,0)),"")</f>
        <v>HERRAMIENTA MENOR (% M.O)</v>
      </c>
      <c r="E1406" s="110"/>
      <c r="F1406" s="110"/>
      <c r="G1406" s="110"/>
      <c r="H1406" s="111"/>
      <c r="I1406" s="112"/>
      <c r="J1406" s="111"/>
      <c r="K1406" s="113" t="str">
        <f>IFERROR(INDEX([239]EQUIPOS!C:C,MATCH(B1406,[239]EQUIPOS!A:A,0)),"")</f>
        <v>%</v>
      </c>
      <c r="L1406" s="114"/>
      <c r="M1406" s="115">
        <f>IFERROR(IF(D1406="HERRAMIENTA MENOR (% M.O)",P1445,INDEX([239]EQUIPOS!D:D,MATCH(B1406,[239]EQUIPOS!A:A,0))),"")</f>
        <v>18131</v>
      </c>
      <c r="N1406" s="116">
        <v>10</v>
      </c>
      <c r="O1406" s="117"/>
      <c r="P1406" s="118">
        <f t="shared" ref="P1406:P1411" si="48">IFERROR(ROUND(IF(D1406="HERRAMIENTA MENOR (% M.O)",N1406%*M1406,M1406/N1406),2)," ")</f>
        <v>1813.1</v>
      </c>
      <c r="Q1406" s="119"/>
      <c r="R1406" s="4"/>
    </row>
    <row r="1407" spans="1:18">
      <c r="A1407" s="1">
        <f>+$A$2858</f>
        <v>0</v>
      </c>
      <c r="B1407" s="2"/>
      <c r="C1407" s="8"/>
      <c r="D1407" s="109" t="str">
        <f>IFERROR(INDEX([239]EQUIPOS!B:B,MATCH(B1407,[239]EQUIPOS!A:A,0)),"")</f>
        <v/>
      </c>
      <c r="E1407" s="110"/>
      <c r="F1407" s="110"/>
      <c r="G1407" s="110"/>
      <c r="H1407" s="111"/>
      <c r="I1407" s="112"/>
      <c r="J1407" s="111"/>
      <c r="K1407" s="113" t="str">
        <f>IFERROR(INDEX([239]EQUIPOS!C:C,MATCH(B1407,[239]EQUIPOS!A:A,0)),"")</f>
        <v/>
      </c>
      <c r="L1407" s="114"/>
      <c r="M1407" s="115" t="str">
        <f>IFERROR(IF(D1407="HERRAMIENTA MENOR (% M.O)",P1446,INDEX([239]EQUIPOS!D:D,MATCH(B1407,[239]EQUIPOS!A:A,0))),"")</f>
        <v/>
      </c>
      <c r="N1407" s="116"/>
      <c r="O1407" s="117"/>
      <c r="P1407" s="118" t="str">
        <f t="shared" si="48"/>
        <v xml:space="preserve"> </v>
      </c>
      <c r="Q1407" s="119"/>
      <c r="R1407" s="4"/>
    </row>
    <row r="1408" spans="1:18">
      <c r="A1408" s="1">
        <f t="shared" ref="A1408:A1446" si="49">+A1407</f>
        <v>0</v>
      </c>
      <c r="B1408" s="2"/>
      <c r="C1408" s="8"/>
      <c r="D1408" s="109" t="str">
        <f>IFERROR(INDEX([239]EQUIPOS!B:B,MATCH(B1408,[239]EQUIPOS!A:A,0)),"")</f>
        <v/>
      </c>
      <c r="E1408" s="110"/>
      <c r="F1408" s="110"/>
      <c r="G1408" s="110"/>
      <c r="H1408" s="111"/>
      <c r="I1408" s="120"/>
      <c r="J1408" s="121"/>
      <c r="K1408" s="113" t="str">
        <f>IFERROR(INDEX([239]EQUIPOS!C:C,MATCH(B1408,[239]EQUIPOS!A:A,0)),"")</f>
        <v/>
      </c>
      <c r="L1408" s="114"/>
      <c r="M1408" s="115" t="str">
        <f>IFERROR(IF(D1408="HERRAMIENTA MENOR (% M.O)",P1447,INDEX([239]EQUIPOS!D:D,MATCH(B1408,[239]EQUIPOS!A:A,0))),"")</f>
        <v/>
      </c>
      <c r="N1408" s="116"/>
      <c r="O1408" s="117"/>
      <c r="P1408" s="118" t="str">
        <f t="shared" si="48"/>
        <v xml:space="preserve"> </v>
      </c>
      <c r="Q1408" s="119"/>
      <c r="R1408" s="4"/>
    </row>
    <row r="1409" spans="1:18">
      <c r="A1409" s="1">
        <f t="shared" si="49"/>
        <v>0</v>
      </c>
      <c r="B1409" s="2"/>
      <c r="C1409" s="8"/>
      <c r="D1409" s="109" t="str">
        <f>IFERROR(INDEX([239]EQUIPOS!B:B,MATCH(B1409,[239]EQUIPOS!A:A,0)),"")</f>
        <v/>
      </c>
      <c r="E1409" s="110"/>
      <c r="F1409" s="110"/>
      <c r="G1409" s="110"/>
      <c r="H1409" s="111"/>
      <c r="I1409" s="120"/>
      <c r="J1409" s="121"/>
      <c r="K1409" s="113" t="str">
        <f>IFERROR(INDEX([239]EQUIPOS!C:C,MATCH(B1409,[239]EQUIPOS!A:A,0)),"")</f>
        <v/>
      </c>
      <c r="L1409" s="114"/>
      <c r="M1409" s="115" t="str">
        <f>IFERROR(IF(D1409="HERRAMIENTA MENOR (% M.O)",P1448,INDEX([239]EQUIPOS!D:D,MATCH(B1409,[239]EQUIPOS!A:A,0))),"")</f>
        <v/>
      </c>
      <c r="N1409" s="116"/>
      <c r="O1409" s="117"/>
      <c r="P1409" s="118" t="str">
        <f t="shared" si="48"/>
        <v xml:space="preserve"> </v>
      </c>
      <c r="Q1409" s="119"/>
      <c r="R1409" s="4"/>
    </row>
    <row r="1410" spans="1:18">
      <c r="A1410" s="1">
        <f t="shared" si="49"/>
        <v>0</v>
      </c>
      <c r="B1410" s="2"/>
      <c r="C1410" s="8"/>
      <c r="D1410" s="109" t="str">
        <f>IFERROR(INDEX([239]EQUIPOS!B:B,MATCH(B1410,[239]EQUIPOS!A:A,0)),"")</f>
        <v/>
      </c>
      <c r="E1410" s="110"/>
      <c r="F1410" s="110"/>
      <c r="G1410" s="110"/>
      <c r="H1410" s="111"/>
      <c r="I1410" s="112"/>
      <c r="J1410" s="111"/>
      <c r="K1410" s="113" t="str">
        <f>IFERROR(INDEX([239]EQUIPOS!C:C,MATCH(B1410,[239]EQUIPOS!A:A,0)),"")</f>
        <v/>
      </c>
      <c r="L1410" s="114"/>
      <c r="M1410" s="115" t="str">
        <f>IFERROR(IF(D1410="HERRAMIENTA MENOR (% M.O)",P1449,INDEX([239]EQUIPOS!D:D,MATCH(B1410,[239]EQUIPOS!A:A,0))),"")</f>
        <v/>
      </c>
      <c r="N1410" s="116"/>
      <c r="O1410" s="117"/>
      <c r="P1410" s="118" t="str">
        <f t="shared" si="48"/>
        <v xml:space="preserve"> </v>
      </c>
      <c r="Q1410" s="119"/>
      <c r="R1410" s="4"/>
    </row>
    <row r="1411" spans="1:18" ht="15.75" thickBot="1">
      <c r="A1411" s="1">
        <f t="shared" si="49"/>
        <v>0</v>
      </c>
      <c r="B1411" s="2"/>
      <c r="C1411" s="8"/>
      <c r="D1411" s="109" t="str">
        <f>IFERROR(INDEX([239]EQUIPOS!B:B,MATCH(B1411,[239]EQUIPOS!A:A,0)),"")</f>
        <v/>
      </c>
      <c r="E1411" s="78"/>
      <c r="F1411" s="78"/>
      <c r="G1411" s="78"/>
      <c r="H1411" s="122"/>
      <c r="I1411" s="123"/>
      <c r="J1411" s="122"/>
      <c r="K1411" s="113" t="str">
        <f>IFERROR(INDEX([239]EQUIPOS!C:C,MATCH(B1411,[239]EQUIPOS!A:A,0)),"")</f>
        <v/>
      </c>
      <c r="L1411" s="124"/>
      <c r="M1411" s="115" t="str">
        <f>IFERROR(IF(D1411="HERRAMIENTA MENOR (% M.O)",P1450,INDEX([239]EQUIPOS!D:D,MATCH(B1411,[239]EQUIPOS!A:A,0))),"")</f>
        <v/>
      </c>
      <c r="N1411" s="125"/>
      <c r="O1411" s="126"/>
      <c r="P1411" s="127" t="str">
        <f t="shared" si="48"/>
        <v xml:space="preserve"> </v>
      </c>
      <c r="Q1411" s="119"/>
      <c r="R1411" s="4"/>
    </row>
    <row r="1412" spans="1:18" ht="15.75" thickBot="1">
      <c r="A1412" s="1">
        <f t="shared" si="49"/>
        <v>0</v>
      </c>
      <c r="B1412" s="2"/>
      <c r="C1412" s="8"/>
      <c r="D1412" s="128" t="s">
        <v>24</v>
      </c>
      <c r="E1412" s="129"/>
      <c r="F1412" s="129"/>
      <c r="G1412" s="129"/>
      <c r="H1412" s="129"/>
      <c r="I1412" s="129"/>
      <c r="J1412" s="129"/>
      <c r="K1412" s="129"/>
      <c r="L1412" s="129"/>
      <c r="M1412" s="129"/>
      <c r="N1412" s="129"/>
      <c r="O1412" s="130"/>
      <c r="P1412" s="131">
        <f>SUM(P1406:P1411)</f>
        <v>1813.1</v>
      </c>
      <c r="Q1412" s="132"/>
      <c r="R1412" s="4"/>
    </row>
    <row r="1413" spans="1:18" ht="15.75" thickBot="1">
      <c r="A1413" s="1">
        <f t="shared" si="49"/>
        <v>0</v>
      </c>
      <c r="B1413" s="2"/>
      <c r="C1413" s="8"/>
      <c r="D1413" s="74" t="s">
        <v>25</v>
      </c>
      <c r="E1413" s="37"/>
      <c r="F1413" s="37"/>
      <c r="G1413" s="37"/>
      <c r="H1413" s="37"/>
      <c r="I1413" s="37"/>
      <c r="J1413" s="37"/>
      <c r="K1413" s="37"/>
      <c r="L1413" s="37"/>
      <c r="M1413" s="37"/>
      <c r="N1413" s="37"/>
      <c r="O1413" s="37"/>
      <c r="P1413" s="99"/>
      <c r="Q1413" s="100"/>
      <c r="R1413" s="4"/>
    </row>
    <row r="1414" spans="1:18">
      <c r="A1414" s="1">
        <f t="shared" si="49"/>
        <v>0</v>
      </c>
      <c r="B1414" s="2"/>
      <c r="C1414" s="8"/>
      <c r="D1414" s="101" t="s">
        <v>14</v>
      </c>
      <c r="E1414" s="133"/>
      <c r="F1414" s="133"/>
      <c r="G1414" s="133"/>
      <c r="H1414" s="133"/>
      <c r="I1414" s="133"/>
      <c r="J1414" s="133"/>
      <c r="K1414" s="105"/>
      <c r="L1414" s="134" t="s">
        <v>15</v>
      </c>
      <c r="M1414" s="106" t="s">
        <v>16</v>
      </c>
      <c r="N1414" s="104" t="s">
        <v>26</v>
      </c>
      <c r="O1414" s="105"/>
      <c r="P1414" s="107" t="s">
        <v>22</v>
      </c>
      <c r="Q1414" s="108"/>
      <c r="R1414" s="4"/>
    </row>
    <row r="1415" spans="1:18">
      <c r="A1415" s="1">
        <f t="shared" si="49"/>
        <v>0</v>
      </c>
      <c r="B1415" s="2" t="s">
        <v>303</v>
      </c>
      <c r="C1415" s="8"/>
      <c r="D1415" s="109" t="str">
        <f>IFERROR(INDEX([239]MATERIALES!C:C,MATCH(B1415,[239]MATERIALES!B:B,0)),"")</f>
        <v>SIFÓN SANITARIO DE 2" PVC</v>
      </c>
      <c r="E1415" s="135"/>
      <c r="F1415" s="135"/>
      <c r="G1415" s="135"/>
      <c r="H1415" s="135"/>
      <c r="I1415" s="135"/>
      <c r="J1415" s="135"/>
      <c r="K1415" s="136"/>
      <c r="L1415" s="137" t="str">
        <f>IFERROR(INDEX([239]MATERIALES!D:D,MATCH(B1415,[239]MATERIALES!B:B,0)),"")</f>
        <v>UND</v>
      </c>
      <c r="M1415" s="138">
        <v>1</v>
      </c>
      <c r="N1415" s="139">
        <f>IFERROR(INDEX([239]MATERIALES!P:P,MATCH(B1415,[239]MATERIALES!B:B,0)),"")</f>
        <v>12527.32</v>
      </c>
      <c r="O1415" s="140"/>
      <c r="P1415" s="118">
        <f>IFERROR(ROUND(N1415*M1415,2),"")</f>
        <v>12527.32</v>
      </c>
      <c r="Q1415" s="119"/>
      <c r="R1415" s="4"/>
    </row>
    <row r="1416" spans="1:18">
      <c r="A1416" s="1">
        <f t="shared" si="49"/>
        <v>0</v>
      </c>
      <c r="B1416" s="2" t="s">
        <v>295</v>
      </c>
      <c r="C1416" s="8"/>
      <c r="D1416" s="109" t="str">
        <f>IFERROR(INDEX([239]MATERIALES!C:C,MATCH(B1416,[239]MATERIALES!B:B,0)),"")</f>
        <v>REMOVEDOR PVC (LIMPIADOR 1/4 )</v>
      </c>
      <c r="E1416" s="135"/>
      <c r="F1416" s="135"/>
      <c r="G1416" s="135"/>
      <c r="H1416" s="135"/>
      <c r="I1416" s="135"/>
      <c r="J1416" s="135"/>
      <c r="K1416" s="136"/>
      <c r="L1416" s="137" t="str">
        <f>IFERROR(INDEX([239]MATERIALES!D:D,MATCH(B1416,[239]MATERIALES!B:B,0)),"")</f>
        <v>GAL</v>
      </c>
      <c r="M1416" s="138">
        <v>0.02</v>
      </c>
      <c r="N1416" s="139">
        <f>IFERROR(INDEX([239]MATERIALES!P:P,MATCH(B1416,[239]MATERIALES!B:B,0)),"")</f>
        <v>54704</v>
      </c>
      <c r="O1416" s="140"/>
      <c r="P1416" s="118">
        <f>IFERROR(ROUND(N1416*M1416,2),"")</f>
        <v>1094.08</v>
      </c>
      <c r="Q1416" s="119"/>
      <c r="R1416" s="4"/>
    </row>
    <row r="1417" spans="1:18">
      <c r="A1417" s="1">
        <f t="shared" si="49"/>
        <v>0</v>
      </c>
      <c r="B1417" s="2" t="s">
        <v>294</v>
      </c>
      <c r="C1417" s="8"/>
      <c r="D1417" s="109" t="str">
        <f>IFERROR(INDEX([239]MATERIALES!C:C,MATCH(B1417,[239]MATERIALES!B:B,0)),"")</f>
        <v>SOLDADURA LIQUIDA PVC 1/4"</v>
      </c>
      <c r="E1417" s="110"/>
      <c r="F1417" s="110"/>
      <c r="G1417" s="110"/>
      <c r="H1417" s="110"/>
      <c r="I1417" s="110"/>
      <c r="J1417" s="110"/>
      <c r="K1417" s="111"/>
      <c r="L1417" s="137" t="str">
        <f>IFERROR(INDEX([239]MATERIALES!D:D,MATCH(B1417,[239]MATERIALES!B:B,0)),"")</f>
        <v>GAL</v>
      </c>
      <c r="M1417" s="138">
        <v>0.02</v>
      </c>
      <c r="N1417" s="139">
        <f>IFERROR(INDEX([239]MATERIALES!P:P,MATCH(B1417,[239]MATERIALES!B:B,0)),"")</f>
        <v>67444</v>
      </c>
      <c r="O1417" s="140"/>
      <c r="P1417" s="118">
        <f>IFERROR(ROUND(N1417*M1417,2),"")</f>
        <v>1348.88</v>
      </c>
      <c r="Q1417" s="119"/>
      <c r="R1417" s="4"/>
    </row>
    <row r="1418" spans="1:18">
      <c r="A1418" s="1">
        <f t="shared" si="49"/>
        <v>0</v>
      </c>
      <c r="B1418" s="2"/>
      <c r="C1418" s="8"/>
      <c r="D1418" s="109" t="str">
        <f>IFERROR(INDEX([239]MATERIALES!C:C,MATCH(B1418,[239]MATERIALES!B:B,0)),"")</f>
        <v/>
      </c>
      <c r="E1418" s="110"/>
      <c r="F1418" s="110"/>
      <c r="G1418" s="110"/>
      <c r="H1418" s="110"/>
      <c r="I1418" s="110"/>
      <c r="J1418" s="110"/>
      <c r="K1418" s="111"/>
      <c r="L1418" s="137" t="str">
        <f>IFERROR(INDEX([239]MATERIALES!D:D,MATCH(B1418,[239]MATERIALES!B:B,0)),"")</f>
        <v/>
      </c>
      <c r="M1418" s="138"/>
      <c r="N1418" s="139" t="str">
        <f>IFERROR(INDEX([239]MATERIALES!P:P,MATCH(B1418,[239]MATERIALES!B:B,0)),"")</f>
        <v/>
      </c>
      <c r="O1418" s="140"/>
      <c r="P1418" s="118" t="str">
        <f>IFERROR(ROUND(N1418*M1418,2),"")</f>
        <v/>
      </c>
      <c r="Q1418" s="119"/>
      <c r="R1418" s="4"/>
    </row>
    <row r="1419" spans="1:18">
      <c r="A1419" s="1">
        <f t="shared" si="49"/>
        <v>0</v>
      </c>
      <c r="B1419" s="2"/>
      <c r="C1419" s="8"/>
      <c r="D1419" s="109" t="str">
        <f>IFERROR(INDEX([239]MATERIALES!C:C,MATCH(B1419,[239]MATERIALES!B:B,0)),"")</f>
        <v/>
      </c>
      <c r="E1419" s="110"/>
      <c r="F1419" s="110"/>
      <c r="G1419" s="110"/>
      <c r="H1419" s="110"/>
      <c r="I1419" s="110"/>
      <c r="J1419" s="110"/>
      <c r="K1419" s="111"/>
      <c r="L1419" s="137" t="str">
        <f>IFERROR(INDEX([239]MATERIALES!D:D,MATCH(B1419,[239]MATERIALES!B:B,0)),"")</f>
        <v/>
      </c>
      <c r="M1419" s="138"/>
      <c r="N1419" s="139" t="str">
        <f>IFERROR(INDEX([239]MATERIALES!P:P,MATCH(B1419,[239]MATERIALES!B:B,0)),"")</f>
        <v/>
      </c>
      <c r="O1419" s="140"/>
      <c r="P1419" s="118" t="str">
        <f t="shared" ref="P1419:P1428" si="50">IFERROR(ROUND(N1419*M1419,2),"")</f>
        <v/>
      </c>
      <c r="Q1419" s="119"/>
      <c r="R1419" s="4"/>
    </row>
    <row r="1420" spans="1:18">
      <c r="A1420" s="1">
        <f t="shared" si="49"/>
        <v>0</v>
      </c>
      <c r="B1420" s="2"/>
      <c r="C1420" s="8"/>
      <c r="D1420" s="109" t="str">
        <f>IFERROR(INDEX([239]MATERIALES!C:C,MATCH(B1420,[239]MATERIALES!B:B,0)),"")</f>
        <v/>
      </c>
      <c r="E1420" s="110"/>
      <c r="F1420" s="110"/>
      <c r="G1420" s="110"/>
      <c r="H1420" s="110"/>
      <c r="I1420" s="110"/>
      <c r="J1420" s="110"/>
      <c r="K1420" s="111"/>
      <c r="L1420" s="137" t="str">
        <f>IFERROR(INDEX([239]MATERIALES!D:D,MATCH(B1420,[239]MATERIALES!B:B,0)),"")</f>
        <v/>
      </c>
      <c r="M1420" s="138"/>
      <c r="N1420" s="139" t="str">
        <f>IFERROR(INDEX([239]MATERIALES!P:P,MATCH(B1420,[239]MATERIALES!B:B,0)),"")</f>
        <v/>
      </c>
      <c r="O1420" s="140"/>
      <c r="P1420" s="118" t="str">
        <f t="shared" si="50"/>
        <v/>
      </c>
      <c r="Q1420" s="119"/>
      <c r="R1420" s="4"/>
    </row>
    <row r="1421" spans="1:18">
      <c r="A1421" s="1">
        <f t="shared" si="49"/>
        <v>0</v>
      </c>
      <c r="B1421" s="2"/>
      <c r="C1421" s="8"/>
      <c r="D1421" s="109" t="str">
        <f>IFERROR(INDEX([239]MATERIALES!C:C,MATCH(B1421,[239]MATERIALES!B:B,0)),"")</f>
        <v/>
      </c>
      <c r="E1421" s="110"/>
      <c r="F1421" s="110"/>
      <c r="G1421" s="110"/>
      <c r="H1421" s="110"/>
      <c r="I1421" s="110"/>
      <c r="J1421" s="110"/>
      <c r="K1421" s="111"/>
      <c r="L1421" s="137" t="str">
        <f>IFERROR(INDEX([239]MATERIALES!D:D,MATCH(B1421,[239]MATERIALES!B:B,0)),"")</f>
        <v/>
      </c>
      <c r="M1421" s="138"/>
      <c r="N1421" s="139" t="str">
        <f>IFERROR(INDEX([239]MATERIALES!P:P,MATCH(B1421,[239]MATERIALES!B:B,0)),"")</f>
        <v/>
      </c>
      <c r="O1421" s="140"/>
      <c r="P1421" s="118" t="str">
        <f t="shared" si="50"/>
        <v/>
      </c>
      <c r="Q1421" s="119"/>
      <c r="R1421" s="4"/>
    </row>
    <row r="1422" spans="1:18">
      <c r="A1422" s="1">
        <f t="shared" si="49"/>
        <v>0</v>
      </c>
      <c r="B1422" s="2"/>
      <c r="C1422" s="8"/>
      <c r="D1422" s="109" t="str">
        <f>IFERROR(INDEX([239]MATERIALES!C:C,MATCH(B1422,[239]MATERIALES!B:B,0)),"")</f>
        <v/>
      </c>
      <c r="E1422" s="110"/>
      <c r="F1422" s="110"/>
      <c r="G1422" s="110"/>
      <c r="H1422" s="110"/>
      <c r="I1422" s="110"/>
      <c r="J1422" s="110"/>
      <c r="K1422" s="111"/>
      <c r="L1422" s="137" t="str">
        <f>IFERROR(INDEX([239]MATERIALES!D:D,MATCH(B1422,[239]MATERIALES!B:B,0)),"")</f>
        <v/>
      </c>
      <c r="M1422" s="138"/>
      <c r="N1422" s="139" t="str">
        <f>IFERROR(INDEX([239]MATERIALES!P:P,MATCH(B1422,[239]MATERIALES!B:B,0)),"")</f>
        <v/>
      </c>
      <c r="O1422" s="140"/>
      <c r="P1422" s="118" t="str">
        <f t="shared" si="50"/>
        <v/>
      </c>
      <c r="Q1422" s="119"/>
      <c r="R1422" s="4"/>
    </row>
    <row r="1423" spans="1:18">
      <c r="A1423" s="1">
        <f t="shared" si="49"/>
        <v>0</v>
      </c>
      <c r="B1423" s="2"/>
      <c r="C1423" s="8"/>
      <c r="D1423" s="109" t="str">
        <f>IFERROR(INDEX([239]MATERIALES!C:C,MATCH(B1423,[239]MATERIALES!B:B,0)),"")</f>
        <v/>
      </c>
      <c r="E1423" s="110"/>
      <c r="F1423" s="110"/>
      <c r="G1423" s="110"/>
      <c r="H1423" s="110"/>
      <c r="I1423" s="110"/>
      <c r="J1423" s="110"/>
      <c r="K1423" s="111"/>
      <c r="L1423" s="137" t="str">
        <f>IFERROR(INDEX([239]MATERIALES!D:D,MATCH(B1423,[239]MATERIALES!B:B,0)),"")</f>
        <v/>
      </c>
      <c r="M1423" s="138"/>
      <c r="N1423" s="139" t="str">
        <f>IFERROR(INDEX([239]MATERIALES!P:P,MATCH(B1423,[239]MATERIALES!B:B,0)),"")</f>
        <v/>
      </c>
      <c r="O1423" s="140"/>
      <c r="P1423" s="118" t="str">
        <f t="shared" si="50"/>
        <v/>
      </c>
      <c r="Q1423" s="119"/>
      <c r="R1423" s="4"/>
    </row>
    <row r="1424" spans="1:18">
      <c r="A1424" s="1">
        <f t="shared" si="49"/>
        <v>0</v>
      </c>
      <c r="B1424" s="2"/>
      <c r="C1424" s="8"/>
      <c r="D1424" s="109" t="str">
        <f>IFERROR(INDEX([239]MATERIALES!C:C,MATCH(B1424,[239]MATERIALES!B:B,0)),"")</f>
        <v/>
      </c>
      <c r="E1424" s="110"/>
      <c r="F1424" s="110"/>
      <c r="G1424" s="110"/>
      <c r="H1424" s="110"/>
      <c r="I1424" s="110"/>
      <c r="J1424" s="110"/>
      <c r="K1424" s="111"/>
      <c r="L1424" s="137" t="str">
        <f>IFERROR(INDEX([239]MATERIALES!D:D,MATCH(B1424,[239]MATERIALES!B:B,0)),"")</f>
        <v/>
      </c>
      <c r="M1424" s="138"/>
      <c r="N1424" s="139" t="str">
        <f>IFERROR(INDEX([239]MATERIALES!P:P,MATCH(B1424,[239]MATERIALES!B:B,0)),"")</f>
        <v/>
      </c>
      <c r="O1424" s="140"/>
      <c r="P1424" s="118" t="str">
        <f t="shared" si="50"/>
        <v/>
      </c>
      <c r="Q1424" s="119"/>
      <c r="R1424" s="4"/>
    </row>
    <row r="1425" spans="1:18">
      <c r="A1425" s="1">
        <f t="shared" si="49"/>
        <v>0</v>
      </c>
      <c r="B1425" s="2"/>
      <c r="C1425" s="8"/>
      <c r="D1425" s="109" t="str">
        <f>IFERROR(INDEX([239]MATERIALES!C:C,MATCH(B1425,[239]MATERIALES!B:B,0)),"")</f>
        <v/>
      </c>
      <c r="E1425" s="110"/>
      <c r="F1425" s="110"/>
      <c r="G1425" s="110"/>
      <c r="H1425" s="110"/>
      <c r="I1425" s="110"/>
      <c r="J1425" s="110"/>
      <c r="K1425" s="111"/>
      <c r="L1425" s="137" t="str">
        <f>IFERROR(INDEX([239]MATERIALES!D:D,MATCH(B1425,[239]MATERIALES!B:B,0)),"")</f>
        <v/>
      </c>
      <c r="M1425" s="138"/>
      <c r="N1425" s="139" t="str">
        <f>IFERROR(INDEX([239]MATERIALES!P:P,MATCH(B1425,[239]MATERIALES!B:B,0)),"")</f>
        <v/>
      </c>
      <c r="O1425" s="140"/>
      <c r="P1425" s="118" t="str">
        <f t="shared" si="50"/>
        <v/>
      </c>
      <c r="Q1425" s="119"/>
      <c r="R1425" s="4"/>
    </row>
    <row r="1426" spans="1:18">
      <c r="A1426" s="1">
        <f t="shared" si="49"/>
        <v>0</v>
      </c>
      <c r="B1426" s="2"/>
      <c r="C1426" s="8"/>
      <c r="D1426" s="109" t="str">
        <f>IFERROR(INDEX([239]MATERIALES!C:C,MATCH(B1426,[239]MATERIALES!B:B,0)),"")</f>
        <v/>
      </c>
      <c r="E1426" s="110"/>
      <c r="F1426" s="110"/>
      <c r="G1426" s="110"/>
      <c r="H1426" s="110"/>
      <c r="I1426" s="110"/>
      <c r="J1426" s="110"/>
      <c r="K1426" s="111"/>
      <c r="L1426" s="137" t="str">
        <f>IFERROR(INDEX([239]MATERIALES!D:D,MATCH(B1426,[239]MATERIALES!B:B,0)),"")</f>
        <v/>
      </c>
      <c r="M1426" s="138"/>
      <c r="N1426" s="139" t="str">
        <f>IFERROR(INDEX([239]MATERIALES!P:P,MATCH(B1426,[239]MATERIALES!B:B,0)),"")</f>
        <v/>
      </c>
      <c r="O1426" s="140"/>
      <c r="P1426" s="118" t="str">
        <f t="shared" si="50"/>
        <v/>
      </c>
      <c r="Q1426" s="119"/>
      <c r="R1426" s="4"/>
    </row>
    <row r="1427" spans="1:18">
      <c r="A1427" s="1">
        <f t="shared" si="49"/>
        <v>0</v>
      </c>
      <c r="B1427" s="2"/>
      <c r="C1427" s="8"/>
      <c r="D1427" s="109" t="str">
        <f>IFERROR(INDEX([239]MATERIALES!C:C,MATCH(B1427,[239]MATERIALES!B:B,0)),"")</f>
        <v/>
      </c>
      <c r="E1427" s="110"/>
      <c r="F1427" s="110"/>
      <c r="G1427" s="110"/>
      <c r="H1427" s="110"/>
      <c r="I1427" s="110"/>
      <c r="J1427" s="110"/>
      <c r="K1427" s="111"/>
      <c r="L1427" s="137" t="str">
        <f>IFERROR(INDEX([239]MATERIALES!D:D,MATCH(B1427,[239]MATERIALES!B:B,0)),"")</f>
        <v/>
      </c>
      <c r="M1427" s="138"/>
      <c r="N1427" s="139" t="str">
        <f>IFERROR(INDEX([239]MATERIALES!P:P,MATCH(B1427,[239]MATERIALES!B:B,0)),"")</f>
        <v/>
      </c>
      <c r="O1427" s="140"/>
      <c r="P1427" s="118" t="str">
        <f t="shared" si="50"/>
        <v/>
      </c>
      <c r="Q1427" s="119"/>
      <c r="R1427" s="4"/>
    </row>
    <row r="1428" spans="1:18">
      <c r="A1428" s="1">
        <f t="shared" si="49"/>
        <v>0</v>
      </c>
      <c r="B1428" s="2"/>
      <c r="C1428" s="8"/>
      <c r="D1428" s="109" t="str">
        <f>IFERROR(INDEX([239]MATERIALES!C:C,MATCH(B1428,[239]MATERIALES!B:B,0)),"")</f>
        <v/>
      </c>
      <c r="E1428" s="110"/>
      <c r="F1428" s="110"/>
      <c r="G1428" s="110"/>
      <c r="H1428" s="110"/>
      <c r="I1428" s="110"/>
      <c r="J1428" s="110"/>
      <c r="K1428" s="111"/>
      <c r="L1428" s="137" t="str">
        <f>IFERROR(INDEX([239]MATERIALES!D:D,MATCH(B1428,[239]MATERIALES!B:B,0)),"")</f>
        <v/>
      </c>
      <c r="M1428" s="138"/>
      <c r="N1428" s="139" t="str">
        <f>IFERROR(INDEX([239]MATERIALES!P:P,MATCH(B1428,[239]MATERIALES!B:B,0)),"")</f>
        <v/>
      </c>
      <c r="O1428" s="140"/>
      <c r="P1428" s="118" t="str">
        <f t="shared" si="50"/>
        <v/>
      </c>
      <c r="Q1428" s="119"/>
      <c r="R1428" s="4"/>
    </row>
    <row r="1429" spans="1:18" ht="15.75" thickBot="1">
      <c r="A1429" s="1">
        <f t="shared" si="49"/>
        <v>0</v>
      </c>
      <c r="B1429" s="2"/>
      <c r="C1429" s="8"/>
      <c r="D1429" s="109" t="s">
        <v>28</v>
      </c>
      <c r="E1429" s="110"/>
      <c r="F1429" s="110"/>
      <c r="G1429" s="110"/>
      <c r="H1429" s="110"/>
      <c r="I1429" s="110"/>
      <c r="J1429" s="110"/>
      <c r="K1429" s="111"/>
      <c r="L1429" s="137" t="s">
        <v>29</v>
      </c>
      <c r="M1429" s="138">
        <v>0.05</v>
      </c>
      <c r="N1429" s="139">
        <f>SUM(P1415:P1428)</f>
        <v>14970.279999999999</v>
      </c>
      <c r="O1429" s="140"/>
      <c r="P1429" s="118">
        <f>ROUND(N1429*M1429,2)</f>
        <v>748.51</v>
      </c>
      <c r="Q1429" s="119"/>
      <c r="R1429" s="4"/>
    </row>
    <row r="1430" spans="1:18" ht="15.75" thickBot="1">
      <c r="A1430" s="1">
        <f t="shared" si="49"/>
        <v>0</v>
      </c>
      <c r="B1430" s="2"/>
      <c r="C1430" s="8"/>
      <c r="D1430" s="128" t="s">
        <v>24</v>
      </c>
      <c r="E1430" s="129"/>
      <c r="F1430" s="129"/>
      <c r="G1430" s="129"/>
      <c r="H1430" s="129"/>
      <c r="I1430" s="129"/>
      <c r="J1430" s="129"/>
      <c r="K1430" s="129"/>
      <c r="L1430" s="129"/>
      <c r="M1430" s="129"/>
      <c r="N1430" s="129"/>
      <c r="O1430" s="130"/>
      <c r="P1430" s="131">
        <f>SUM(P1415:P1429)</f>
        <v>15718.789999999999</v>
      </c>
      <c r="Q1430" s="119"/>
      <c r="R1430" s="4"/>
    </row>
    <row r="1431" spans="1:18" ht="15.75" thickBot="1">
      <c r="A1431" s="1">
        <f t="shared" si="49"/>
        <v>0</v>
      </c>
      <c r="B1431" s="2"/>
      <c r="C1431" s="8"/>
      <c r="D1431" s="74" t="s">
        <v>30</v>
      </c>
      <c r="E1431" s="37"/>
      <c r="F1431" s="37"/>
      <c r="G1431" s="37"/>
      <c r="H1431" s="37"/>
      <c r="I1431" s="37"/>
      <c r="J1431" s="37"/>
      <c r="K1431" s="37"/>
      <c r="L1431" s="37"/>
      <c r="M1431" s="37"/>
      <c r="N1431" s="37"/>
      <c r="O1431" s="37"/>
      <c r="P1431" s="99"/>
      <c r="Q1431" s="100"/>
      <c r="R1431" s="4"/>
    </row>
    <row r="1432" spans="1:18">
      <c r="A1432" s="1">
        <f t="shared" si="49"/>
        <v>0</v>
      </c>
      <c r="B1432" s="2"/>
      <c r="C1432" s="8"/>
      <c r="D1432" s="101" t="s">
        <v>31</v>
      </c>
      <c r="E1432" s="133"/>
      <c r="F1432" s="133"/>
      <c r="G1432" s="133"/>
      <c r="H1432" s="133"/>
      <c r="I1432" s="133"/>
      <c r="J1432" s="133"/>
      <c r="K1432" s="106" t="s">
        <v>32</v>
      </c>
      <c r="L1432" s="141" t="s">
        <v>33</v>
      </c>
      <c r="M1432" s="106" t="s">
        <v>34</v>
      </c>
      <c r="N1432" s="104" t="s">
        <v>20</v>
      </c>
      <c r="O1432" s="105"/>
      <c r="P1432" s="107" t="s">
        <v>22</v>
      </c>
      <c r="Q1432" s="108"/>
      <c r="R1432" s="4"/>
    </row>
    <row r="1433" spans="1:18">
      <c r="A1433" s="1">
        <f t="shared" si="49"/>
        <v>0</v>
      </c>
      <c r="B1433" s="2"/>
      <c r="C1433" s="8"/>
      <c r="D1433" s="142" t="str">
        <f>IFERROR(INDEX([239]TRANSPORTES!B:B,MATCH(B1433,[239]TRANSPORTES!A:A,0)),"")</f>
        <v/>
      </c>
      <c r="E1433" s="143"/>
      <c r="F1433" s="143"/>
      <c r="G1433" s="143"/>
      <c r="H1433" s="143"/>
      <c r="I1433" s="143"/>
      <c r="J1433" s="143"/>
      <c r="K1433" s="220"/>
      <c r="L1433" s="145"/>
      <c r="M1433" s="146" t="str">
        <f>IFERROR(INDEX([239]TRANSPORTES!C:C,MATCH(B1433,[239]TRANSPORTES!A:A,0)),"")</f>
        <v/>
      </c>
      <c r="N1433" s="139" t="str">
        <f>IFERROR(INDEX([239]TRANSPORTES!D:D,MATCH(B1433,[239]TRANSPORTES!A:A,0)),"")</f>
        <v/>
      </c>
      <c r="O1433" s="147"/>
      <c r="P1433" s="148" t="str">
        <f>IFERROR(ROUND(K1433*N1433*L1433,2),"")</f>
        <v/>
      </c>
      <c r="Q1433" s="119"/>
      <c r="R1433" s="4"/>
    </row>
    <row r="1434" spans="1:18">
      <c r="A1434" s="1">
        <f t="shared" si="49"/>
        <v>0</v>
      </c>
      <c r="B1434" s="2"/>
      <c r="C1434" s="8"/>
      <c r="D1434" s="142" t="str">
        <f>IFERROR(INDEX([239]TRANSPORTES!B:B,MATCH(B1434,[239]TRANSPORTES!A:A,0)),"")</f>
        <v/>
      </c>
      <c r="E1434" s="143"/>
      <c r="F1434" s="143"/>
      <c r="G1434" s="143"/>
      <c r="H1434" s="143"/>
      <c r="I1434" s="143"/>
      <c r="J1434" s="143"/>
      <c r="K1434" s="144"/>
      <c r="L1434" s="145"/>
      <c r="M1434" s="146" t="str">
        <f>IFERROR(INDEX([239]TRANSPORTES!C:C,MATCH(B1434,[239]TRANSPORTES!A:A,0)),"")</f>
        <v/>
      </c>
      <c r="N1434" s="139" t="str">
        <f>IFERROR(INDEX([239]TRANSPORTES!D:D,MATCH(B1434,[239]TRANSPORTES!A:A,0)),"")</f>
        <v/>
      </c>
      <c r="O1434" s="147"/>
      <c r="P1434" s="148" t="str">
        <f>IFERROR(ROUND(K1434*N1434*L1434,2),"")</f>
        <v/>
      </c>
      <c r="Q1434" s="119"/>
      <c r="R1434" s="4"/>
    </row>
    <row r="1435" spans="1:18">
      <c r="A1435" s="1">
        <f t="shared" si="49"/>
        <v>0</v>
      </c>
      <c r="B1435" s="2"/>
      <c r="C1435" s="8"/>
      <c r="D1435" s="142" t="str">
        <f>IFERROR(INDEX([239]TRANSPORTES!B:B,MATCH(B1435,[239]TRANSPORTES!A:A,0)),"")</f>
        <v/>
      </c>
      <c r="E1435" s="143"/>
      <c r="F1435" s="143"/>
      <c r="G1435" s="143"/>
      <c r="H1435" s="143"/>
      <c r="I1435" s="143"/>
      <c r="J1435" s="143"/>
      <c r="K1435" s="144"/>
      <c r="L1435" s="145"/>
      <c r="M1435" s="146" t="str">
        <f>IFERROR(INDEX([239]TRANSPORTES!C:C,MATCH(B1435,[239]TRANSPORTES!A:A,0)),"")</f>
        <v/>
      </c>
      <c r="N1435" s="139" t="str">
        <f>IFERROR(INDEX([239]TRANSPORTES!D:D,MATCH(B1435,[239]TRANSPORTES!A:A,0)),"")</f>
        <v/>
      </c>
      <c r="O1435" s="147"/>
      <c r="P1435" s="148" t="str">
        <f>IFERROR(ROUND(K1435*N1435*L1435,2),"")</f>
        <v/>
      </c>
      <c r="Q1435" s="119"/>
      <c r="R1435" s="4"/>
    </row>
    <row r="1436" spans="1:18" ht="15.75" thickBot="1">
      <c r="A1436" s="1">
        <f t="shared" si="49"/>
        <v>0</v>
      </c>
      <c r="B1436" s="2"/>
      <c r="C1436" s="8"/>
      <c r="D1436" s="142" t="str">
        <f>IFERROR(INDEX([239]TRANSPORTES!B:B,MATCH(B1436,[239]TRANSPORTES!A:A,0)),"")</f>
        <v/>
      </c>
      <c r="E1436" s="143"/>
      <c r="F1436" s="143"/>
      <c r="G1436" s="143"/>
      <c r="H1436" s="143"/>
      <c r="I1436" s="143"/>
      <c r="J1436" s="143"/>
      <c r="K1436" s="149"/>
      <c r="L1436" s="150"/>
      <c r="M1436" s="146" t="str">
        <f>IFERROR(INDEX([239]TRANSPORTES!C:C,MATCH(B1436,[239]TRANSPORTES!A:A,0)),"")</f>
        <v/>
      </c>
      <c r="N1436" s="139" t="str">
        <f>IFERROR(INDEX([239]TRANSPORTES!D:D,MATCH(B1436,[239]TRANSPORTES!A:A,0)),"")</f>
        <v/>
      </c>
      <c r="O1436" s="147"/>
      <c r="P1436" s="148" t="str">
        <f>IFERROR(ROUND(K1436*N1436*L1436,2),"")</f>
        <v/>
      </c>
      <c r="Q1436" s="119"/>
      <c r="R1436" s="4"/>
    </row>
    <row r="1437" spans="1:18" ht="15.75" thickBot="1">
      <c r="A1437" s="1">
        <f t="shared" si="49"/>
        <v>0</v>
      </c>
      <c r="B1437" s="2"/>
      <c r="C1437" s="8"/>
      <c r="D1437" s="128" t="s">
        <v>24</v>
      </c>
      <c r="E1437" s="129"/>
      <c r="F1437" s="129"/>
      <c r="G1437" s="129"/>
      <c r="H1437" s="129"/>
      <c r="I1437" s="129"/>
      <c r="J1437" s="129"/>
      <c r="K1437" s="129"/>
      <c r="L1437" s="129"/>
      <c r="M1437" s="129"/>
      <c r="N1437" s="129"/>
      <c r="O1437" s="130"/>
      <c r="P1437" s="151">
        <f>SUM(P1433:P1436)</f>
        <v>0</v>
      </c>
      <c r="Q1437" s="132"/>
      <c r="R1437" s="4"/>
    </row>
    <row r="1438" spans="1:18" ht="15.75" thickBot="1">
      <c r="A1438" s="1">
        <f t="shared" si="49"/>
        <v>0</v>
      </c>
      <c r="B1438" s="2"/>
      <c r="C1438" s="8"/>
      <c r="D1438" s="74" t="s">
        <v>36</v>
      </c>
      <c r="E1438" s="37"/>
      <c r="F1438" s="37"/>
      <c r="G1438" s="37"/>
      <c r="H1438" s="37"/>
      <c r="I1438" s="37"/>
      <c r="J1438" s="37"/>
      <c r="K1438" s="37"/>
      <c r="L1438" s="37"/>
      <c r="M1438" s="37"/>
      <c r="N1438" s="37"/>
      <c r="O1438" s="37"/>
      <c r="P1438" s="99"/>
      <c r="Q1438" s="100"/>
      <c r="R1438" s="4"/>
    </row>
    <row r="1439" spans="1:18" ht="30">
      <c r="A1439" s="1">
        <f t="shared" si="49"/>
        <v>0</v>
      </c>
      <c r="B1439" s="2"/>
      <c r="C1439" s="8"/>
      <c r="D1439" s="101" t="s">
        <v>37</v>
      </c>
      <c r="E1439" s="133"/>
      <c r="F1439" s="133"/>
      <c r="G1439" s="133"/>
      <c r="H1439" s="133"/>
      <c r="I1439" s="133"/>
      <c r="J1439" s="133"/>
      <c r="K1439" s="106" t="s">
        <v>38</v>
      </c>
      <c r="L1439" s="152" t="s">
        <v>39</v>
      </c>
      <c r="M1439" s="153" t="s">
        <v>40</v>
      </c>
      <c r="N1439" s="104" t="s">
        <v>21</v>
      </c>
      <c r="O1439" s="105"/>
      <c r="P1439" s="154" t="s">
        <v>22</v>
      </c>
      <c r="Q1439" s="155"/>
      <c r="R1439" s="4"/>
    </row>
    <row r="1440" spans="1:18">
      <c r="A1440" s="1">
        <f t="shared" si="49"/>
        <v>0</v>
      </c>
      <c r="B1440" s="2" t="s">
        <v>41</v>
      </c>
      <c r="C1440" s="8"/>
      <c r="D1440" s="109" t="str">
        <f>IFERROR(INDEX('[239]MANO DE OBRA'!B:B,MATCH(B1440,'[239]MANO DE OBRA'!A:A,0)),"")</f>
        <v>OFICIAL</v>
      </c>
      <c r="E1440" s="110"/>
      <c r="F1440" s="110"/>
      <c r="G1440" s="110"/>
      <c r="H1440" s="110"/>
      <c r="I1440" s="110"/>
      <c r="J1440" s="111"/>
      <c r="K1440" s="156">
        <f>IFERROR(INDEX('[239]MANO DE OBRA'!D:D,MATCH(B1440,'[239]MANO DE OBRA'!A:A,0)),"")</f>
        <v>95930</v>
      </c>
      <c r="L1440" s="157">
        <f>+IF(D1440&lt;&gt;"",'[239]FACTOR PRESTACIONAL'!$E$21," ")</f>
        <v>1.95</v>
      </c>
      <c r="M1440" s="158">
        <f>IFERROR(K1440*L1440," ")</f>
        <v>187063.5</v>
      </c>
      <c r="N1440" s="159">
        <v>18</v>
      </c>
      <c r="O1440" s="160"/>
      <c r="P1440" s="161">
        <f>IFERROR(ROUND(M1440/N1440,2)," ")</f>
        <v>10392.42</v>
      </c>
      <c r="Q1440" s="162"/>
      <c r="R1440" s="4"/>
    </row>
    <row r="1441" spans="1:18">
      <c r="A1441" s="1">
        <f t="shared" si="49"/>
        <v>0</v>
      </c>
      <c r="B1441" s="2" t="s">
        <v>81</v>
      </c>
      <c r="C1441" s="8"/>
      <c r="D1441" s="109" t="str">
        <f>IFERROR(INDEX('[239]MANO DE OBRA'!B:B,MATCH(B1441,'[239]MANO DE OBRA'!A:A,0)),"")</f>
        <v>AYUDANTE (1)</v>
      </c>
      <c r="E1441" s="110"/>
      <c r="F1441" s="110"/>
      <c r="G1441" s="110"/>
      <c r="H1441" s="110"/>
      <c r="I1441" s="110"/>
      <c r="J1441" s="111"/>
      <c r="K1441" s="156">
        <f>IFERROR(INDEX('[239]MANO DE OBRA'!D:D,MATCH(B1441,'[239]MANO DE OBRA'!A:A,0)),"")</f>
        <v>71433</v>
      </c>
      <c r="L1441" s="157">
        <f>+IF(D1441&lt;&gt;"",'[239]FACTOR PRESTACIONAL'!$E$21," ")</f>
        <v>1.95</v>
      </c>
      <c r="M1441" s="158">
        <f>IFERROR(K1441*L1441," ")</f>
        <v>139294.35</v>
      </c>
      <c r="N1441" s="159">
        <v>18</v>
      </c>
      <c r="O1441" s="160"/>
      <c r="P1441" s="161">
        <f>IFERROR(ROUND(M1441/N1441,2)," ")</f>
        <v>7738.58</v>
      </c>
      <c r="Q1441" s="162"/>
      <c r="R1441" s="4"/>
    </row>
    <row r="1442" spans="1:18">
      <c r="A1442" s="1">
        <f t="shared" si="49"/>
        <v>0</v>
      </c>
      <c r="B1442" s="2"/>
      <c r="C1442" s="8"/>
      <c r="D1442" s="109" t="str">
        <f>IFERROR(INDEX('[239]MANO DE OBRA'!B:B,MATCH(B1442,'[239]MANO DE OBRA'!A:A,0)),"")</f>
        <v/>
      </c>
      <c r="E1442" s="110"/>
      <c r="F1442" s="110"/>
      <c r="G1442" s="110"/>
      <c r="H1442" s="110"/>
      <c r="I1442" s="110"/>
      <c r="J1442" s="111"/>
      <c r="K1442" s="156" t="str">
        <f>IFERROR(INDEX('[239]MANO DE OBRA'!D:D,MATCH(B1442,'[239]MANO DE OBRA'!A:A,0)),"")</f>
        <v/>
      </c>
      <c r="L1442" s="157" t="str">
        <f>+IF(D1442&lt;&gt;"",'[239]FACTOR PRESTACIONAL'!$E$21," ")</f>
        <v xml:space="preserve"> </v>
      </c>
      <c r="M1442" s="158" t="str">
        <f>IFERROR(K1442*L1442," ")</f>
        <v xml:space="preserve"> </v>
      </c>
      <c r="N1442" s="159"/>
      <c r="O1442" s="160"/>
      <c r="P1442" s="161" t="str">
        <f>IFERROR(ROUND(M1442/N1442,2)," ")</f>
        <v xml:space="preserve"> </v>
      </c>
      <c r="Q1442" s="162"/>
      <c r="R1442" s="4"/>
    </row>
    <row r="1443" spans="1:18">
      <c r="A1443" s="1">
        <f t="shared" si="49"/>
        <v>0</v>
      </c>
      <c r="B1443" s="2"/>
      <c r="C1443" s="8"/>
      <c r="D1443" s="109" t="str">
        <f>IFERROR(INDEX('[239]MANO DE OBRA'!B:B,MATCH(B1443,'[239]MANO DE OBRA'!A:A,0)),"")</f>
        <v/>
      </c>
      <c r="E1443" s="110"/>
      <c r="F1443" s="110"/>
      <c r="G1443" s="110"/>
      <c r="H1443" s="110"/>
      <c r="I1443" s="110"/>
      <c r="J1443" s="111"/>
      <c r="K1443" s="156" t="str">
        <f>IFERROR(INDEX('[239]MANO DE OBRA'!D:D,MATCH(B1443,'[239]MANO DE OBRA'!A:A,0)),"")</f>
        <v/>
      </c>
      <c r="L1443" s="157" t="str">
        <f>+IF(D1443&lt;&gt;"",'[239]FACTOR PRESTACIONAL'!$E$21," ")</f>
        <v xml:space="preserve"> </v>
      </c>
      <c r="M1443" s="158" t="str">
        <f>IFERROR(K1443*L1443," ")</f>
        <v xml:space="preserve"> </v>
      </c>
      <c r="N1443" s="159"/>
      <c r="O1443" s="160"/>
      <c r="P1443" s="161" t="str">
        <f>IFERROR(ROUND(M1443/N1443,2)," ")</f>
        <v xml:space="preserve"> </v>
      </c>
      <c r="Q1443" s="162"/>
      <c r="R1443" s="4"/>
    </row>
    <row r="1444" spans="1:18" ht="15.75" thickBot="1">
      <c r="A1444" s="1">
        <f t="shared" si="49"/>
        <v>0</v>
      </c>
      <c r="B1444" s="2"/>
      <c r="C1444" s="8"/>
      <c r="D1444" s="109" t="str">
        <f>IFERROR(INDEX('[239]MANO DE OBRA'!B:B,MATCH(B1444,'[239]MANO DE OBRA'!A:A,0)),"")</f>
        <v/>
      </c>
      <c r="E1444" s="110"/>
      <c r="F1444" s="110"/>
      <c r="G1444" s="110"/>
      <c r="H1444" s="110"/>
      <c r="I1444" s="110"/>
      <c r="J1444" s="111"/>
      <c r="K1444" s="156" t="str">
        <f>IFERROR(INDEX('[239]MANO DE OBRA'!D:D,MATCH(B1444,'[239]MANO DE OBRA'!A:A,0)),"")</f>
        <v/>
      </c>
      <c r="L1444" s="157" t="str">
        <f>+IF(D1444&lt;&gt;"",'[239]FACTOR PRESTACIONAL'!$E$21," ")</f>
        <v xml:space="preserve"> </v>
      </c>
      <c r="M1444" s="158" t="str">
        <f>IFERROR(K1444*L1444," ")</f>
        <v xml:space="preserve"> </v>
      </c>
      <c r="N1444" s="159"/>
      <c r="O1444" s="160"/>
      <c r="P1444" s="161" t="str">
        <f>IFERROR(ROUND(M1444/N1444,2)," ")</f>
        <v xml:space="preserve"> </v>
      </c>
      <c r="Q1444" s="119"/>
      <c r="R1444" s="4"/>
    </row>
    <row r="1445" spans="1:18" ht="15.75" thickBot="1">
      <c r="A1445" s="1">
        <f t="shared" si="49"/>
        <v>0</v>
      </c>
      <c r="B1445" s="2"/>
      <c r="C1445" s="8"/>
      <c r="D1445" s="128" t="s">
        <v>24</v>
      </c>
      <c r="E1445" s="129"/>
      <c r="F1445" s="129"/>
      <c r="G1445" s="129"/>
      <c r="H1445" s="129"/>
      <c r="I1445" s="129"/>
      <c r="J1445" s="129"/>
      <c r="K1445" s="129"/>
      <c r="L1445" s="129"/>
      <c r="M1445" s="129"/>
      <c r="N1445" s="129"/>
      <c r="O1445" s="130"/>
      <c r="P1445" s="131">
        <f>SUM(P1440:P1444)</f>
        <v>18131</v>
      </c>
      <c r="Q1445" s="119"/>
      <c r="R1445" s="4"/>
    </row>
    <row r="1446" spans="1:18" ht="15.75" thickBot="1">
      <c r="A1446" s="1">
        <f t="shared" si="49"/>
        <v>0</v>
      </c>
      <c r="B1446" s="2"/>
      <c r="C1446" s="8"/>
      <c r="D1446" s="87"/>
      <c r="E1446" s="20"/>
      <c r="F1446" s="20"/>
      <c r="G1446" s="20"/>
      <c r="H1446" s="20"/>
      <c r="I1446" s="20"/>
      <c r="J1446" s="20"/>
      <c r="K1446" s="20"/>
      <c r="L1446" s="20"/>
      <c r="M1446" s="20"/>
      <c r="N1446" s="20"/>
      <c r="O1446" s="20"/>
      <c r="P1446" s="88"/>
      <c r="Q1446" s="13"/>
      <c r="R1446" s="4"/>
    </row>
    <row r="1447" spans="1:18" ht="15.75" thickBot="1">
      <c r="A1447" s="1"/>
      <c r="B1447" s="2"/>
      <c r="C1447" s="8"/>
      <c r="D1447" s="163" t="s">
        <v>43</v>
      </c>
      <c r="E1447" s="164"/>
      <c r="F1447" s="164"/>
      <c r="G1447" s="164"/>
      <c r="H1447" s="164"/>
      <c r="I1447" s="164"/>
      <c r="J1447" s="164"/>
      <c r="K1447" s="164"/>
      <c r="L1447" s="164"/>
      <c r="M1447" s="164"/>
      <c r="N1447" s="164"/>
      <c r="O1447" s="165"/>
      <c r="P1447" s="166">
        <f>+P1445+P1437+P1430+P1412</f>
        <v>35662.89</v>
      </c>
      <c r="Q1447" s="167"/>
      <c r="R1447" s="168"/>
    </row>
    <row r="1448" spans="1:18" ht="15.75" thickBot="1">
      <c r="A1448" s="1"/>
      <c r="B1448" s="2"/>
      <c r="C1448" s="8"/>
      <c r="D1448" s="169"/>
      <c r="E1448" s="170"/>
      <c r="F1448" s="170"/>
      <c r="G1448" s="170"/>
      <c r="H1448" s="170"/>
      <c r="I1448" s="170"/>
      <c r="J1448" s="170"/>
      <c r="K1448" s="170"/>
      <c r="L1448" s="170"/>
      <c r="M1448" s="170"/>
      <c r="N1448" s="170"/>
      <c r="O1448" s="170"/>
      <c r="P1448" s="171"/>
      <c r="Q1448" s="100"/>
      <c r="R1448" s="4"/>
    </row>
    <row r="1449" spans="1:18">
      <c r="A1449" s="1"/>
      <c r="B1449" s="2"/>
      <c r="C1449" s="8"/>
      <c r="D1449" s="172" t="s">
        <v>73</v>
      </c>
      <c r="E1449" s="173"/>
      <c r="F1449" s="173"/>
      <c r="G1449" s="173"/>
      <c r="H1449" s="173"/>
      <c r="I1449" s="173"/>
      <c r="J1449" s="173"/>
      <c r="K1449" s="141"/>
      <c r="L1449" s="174"/>
      <c r="M1449" s="153" t="s">
        <v>44</v>
      </c>
      <c r="N1449" s="175" t="s">
        <v>45</v>
      </c>
      <c r="O1449" s="176"/>
      <c r="P1449" s="154"/>
      <c r="Q1449" s="155"/>
      <c r="R1449" s="4"/>
    </row>
    <row r="1450" spans="1:18">
      <c r="A1450" s="1"/>
      <c r="B1450" s="2"/>
      <c r="C1450" s="8"/>
      <c r="D1450" s="109" t="s">
        <v>65</v>
      </c>
      <c r="E1450" s="110"/>
      <c r="F1450" s="110"/>
      <c r="G1450" s="110"/>
      <c r="H1450" s="110"/>
      <c r="I1450" s="110"/>
      <c r="J1450" s="110"/>
      <c r="K1450" s="177"/>
      <c r="L1450" s="178"/>
      <c r="M1450" s="179">
        <f>+[239]INICIO!$F$10</f>
        <v>0.24</v>
      </c>
      <c r="N1450" s="180">
        <f>ROUND(M1450*P1447,2)</f>
        <v>8559.09</v>
      </c>
      <c r="O1450" s="181"/>
      <c r="P1450" s="182"/>
      <c r="Q1450" s="119"/>
      <c r="R1450" s="4"/>
    </row>
    <row r="1451" spans="1:18">
      <c r="A1451" s="1"/>
      <c r="B1451" s="2"/>
      <c r="C1451" s="8"/>
      <c r="D1451" s="183" t="s">
        <v>67</v>
      </c>
      <c r="E1451" s="61"/>
      <c r="F1451" s="61"/>
      <c r="G1451" s="61"/>
      <c r="H1451" s="61"/>
      <c r="I1451" s="61"/>
      <c r="J1451" s="61"/>
      <c r="K1451" s="177"/>
      <c r="L1451" s="178"/>
      <c r="M1451" s="179">
        <f>+[239]INICIO!$F$11</f>
        <v>0.02</v>
      </c>
      <c r="N1451" s="180">
        <f>ROUND(M1451*P1447,2)</f>
        <v>713.26</v>
      </c>
      <c r="O1451" s="181"/>
      <c r="P1451" s="182"/>
      <c r="Q1451" s="119"/>
      <c r="R1451" s="4"/>
    </row>
    <row r="1452" spans="1:18" ht="15.75" thickBot="1">
      <c r="A1452" s="1"/>
      <c r="B1452" s="2"/>
      <c r="C1452" s="8"/>
      <c r="D1452" s="77" t="s">
        <v>69</v>
      </c>
      <c r="E1452" s="78"/>
      <c r="F1452" s="78"/>
      <c r="G1452" s="78"/>
      <c r="H1452" s="78"/>
      <c r="I1452" s="78"/>
      <c r="J1452" s="78"/>
      <c r="K1452" s="184"/>
      <c r="L1452" s="185"/>
      <c r="M1452" s="179">
        <f>+[239]INICIO!$F$12</f>
        <v>7.0000000000000007E-2</v>
      </c>
      <c r="N1452" s="180">
        <f>ROUND(M1452*P1447,2)</f>
        <v>2496.4</v>
      </c>
      <c r="O1452" s="181"/>
      <c r="P1452" s="182"/>
      <c r="Q1452" s="119"/>
      <c r="R1452" s="4"/>
    </row>
    <row r="1453" spans="1:18" ht="15.75" thickBot="1">
      <c r="A1453" s="1"/>
      <c r="B1453" s="2"/>
      <c r="C1453" s="8"/>
      <c r="D1453" s="128"/>
      <c r="E1453" s="129"/>
      <c r="F1453" s="129"/>
      <c r="G1453" s="129"/>
      <c r="H1453" s="129"/>
      <c r="I1453" s="129"/>
      <c r="J1453" s="129"/>
      <c r="K1453" s="129"/>
      <c r="L1453" s="129"/>
      <c r="M1453" s="129"/>
      <c r="N1453" s="129"/>
      <c r="O1453" s="130"/>
      <c r="P1453" s="131">
        <f>SUM(N1450:N1452)</f>
        <v>11768.75</v>
      </c>
      <c r="Q1453" s="186"/>
      <c r="R1453" s="4"/>
    </row>
    <row r="1454" spans="1:18" ht="15.75" thickBot="1">
      <c r="A1454" s="1"/>
      <c r="B1454" s="2"/>
      <c r="C1454" s="8"/>
      <c r="D1454" s="87"/>
      <c r="E1454" s="20"/>
      <c r="F1454" s="20"/>
      <c r="G1454" s="20"/>
      <c r="H1454" s="20"/>
      <c r="I1454" s="20"/>
      <c r="J1454" s="20"/>
      <c r="K1454" s="20"/>
      <c r="L1454" s="20"/>
      <c r="M1454" s="20"/>
      <c r="N1454" s="20"/>
      <c r="O1454" s="20"/>
      <c r="P1454" s="88"/>
      <c r="Q1454" s="13"/>
      <c r="R1454" s="4"/>
    </row>
    <row r="1455" spans="1:18" ht="15.75" thickBot="1">
      <c r="A1455" s="1"/>
      <c r="B1455" s="2"/>
      <c r="C1455" s="8"/>
      <c r="D1455" s="187" t="s">
        <v>46</v>
      </c>
      <c r="E1455" s="188"/>
      <c r="F1455" s="188"/>
      <c r="G1455" s="188"/>
      <c r="H1455" s="188"/>
      <c r="I1455" s="188"/>
      <c r="J1455" s="188"/>
      <c r="K1455" s="188"/>
      <c r="L1455" s="188"/>
      <c r="M1455" s="188"/>
      <c r="N1455" s="188"/>
      <c r="O1455" s="189"/>
      <c r="P1455" s="166">
        <f>ROUND(P1453+P1447,0)</f>
        <v>47432</v>
      </c>
      <c r="Q1455" s="186"/>
      <c r="R1455" s="4"/>
    </row>
    <row r="1456" spans="1:18">
      <c r="A1456" s="1"/>
      <c r="B1456" s="2"/>
      <c r="C1456" s="8"/>
      <c r="D1456" s="80"/>
      <c r="E1456" s="81"/>
      <c r="F1456" s="81"/>
      <c r="G1456" s="81"/>
      <c r="H1456" s="81"/>
      <c r="I1456" s="81"/>
      <c r="J1456" s="81"/>
      <c r="K1456" s="81"/>
      <c r="L1456" s="81"/>
      <c r="M1456" s="81"/>
      <c r="N1456" s="81"/>
      <c r="O1456" s="81"/>
      <c r="P1456" s="82"/>
      <c r="Q1456" s="13"/>
      <c r="R1456" s="4"/>
    </row>
    <row r="1457" spans="1:18">
      <c r="A1457" s="1"/>
      <c r="B1457" s="2"/>
      <c r="C1457" s="8"/>
      <c r="D1457" s="87"/>
      <c r="E1457" s="20"/>
      <c r="F1457" s="20"/>
      <c r="G1457" s="20"/>
      <c r="H1457" s="20"/>
      <c r="I1457" s="20"/>
      <c r="J1457" s="20"/>
      <c r="K1457" s="20"/>
      <c r="L1457" s="20"/>
      <c r="M1457" s="20"/>
      <c r="N1457" s="20"/>
      <c r="O1457" s="20"/>
      <c r="P1457" s="88"/>
      <c r="Q1457" s="13"/>
      <c r="R1457" s="4"/>
    </row>
    <row r="1458" spans="1:18">
      <c r="A1458" s="1"/>
      <c r="B1458" s="2"/>
      <c r="C1458" s="8"/>
      <c r="D1458" s="87"/>
      <c r="E1458" s="20"/>
      <c r="F1458" s="20"/>
      <c r="G1458" s="20"/>
      <c r="H1458" s="20"/>
      <c r="I1458" s="20"/>
      <c r="J1458" s="20"/>
      <c r="K1458" s="20"/>
      <c r="L1458" s="20"/>
      <c r="M1458" s="20"/>
      <c r="N1458" s="20"/>
      <c r="O1458" s="20"/>
      <c r="P1458" s="88"/>
      <c r="Q1458" s="13"/>
      <c r="R1458" s="4"/>
    </row>
    <row r="1459" spans="1:18">
      <c r="A1459" s="1"/>
      <c r="B1459" s="2"/>
      <c r="C1459" s="8"/>
      <c r="D1459" s="87"/>
      <c r="E1459" s="20"/>
      <c r="F1459" s="20"/>
      <c r="G1459" s="20"/>
      <c r="H1459" s="20"/>
      <c r="I1459" s="20"/>
      <c r="J1459" s="20"/>
      <c r="K1459" s="20"/>
      <c r="L1459" s="20"/>
      <c r="M1459" s="20"/>
      <c r="N1459" s="20"/>
      <c r="O1459" s="20"/>
      <c r="P1459" s="88"/>
      <c r="Q1459" s="13"/>
      <c r="R1459" s="4"/>
    </row>
    <row r="1460" spans="1:18">
      <c r="A1460" s="1"/>
      <c r="B1460" s="2"/>
      <c r="C1460" s="8"/>
      <c r="D1460" s="219" t="str">
        <f>+[239]INICIO!$B$13</f>
        <v>Proyectó:</v>
      </c>
      <c r="E1460" s="49"/>
      <c r="F1460" s="49"/>
      <c r="G1460" s="49"/>
      <c r="H1460" s="49"/>
      <c r="I1460" s="49"/>
      <c r="J1460" s="49"/>
      <c r="K1460" s="20"/>
      <c r="L1460" s="69" t="str">
        <f>+[239]INICIO!$B$16</f>
        <v>Aprobó:</v>
      </c>
      <c r="M1460" s="49"/>
      <c r="N1460" s="49"/>
      <c r="O1460" s="49"/>
      <c r="P1460" s="88"/>
      <c r="Q1460" s="13"/>
      <c r="R1460" s="4"/>
    </row>
    <row r="1461" spans="1:18">
      <c r="A1461" s="1"/>
      <c r="B1461" s="2"/>
      <c r="C1461" s="8"/>
      <c r="D1461" s="87"/>
      <c r="E1461" s="20" t="str">
        <f>+Hoja2!C$13</f>
        <v>HELMER EDUARDO BECERRA SANTANDER</v>
      </c>
      <c r="F1461" s="20"/>
      <c r="G1461" s="20"/>
      <c r="H1461" s="20"/>
      <c r="I1461" s="20"/>
      <c r="J1461" s="20"/>
      <c r="K1461" s="20"/>
      <c r="L1461" s="20"/>
      <c r="M1461" s="20" t="str">
        <f>+Hoja2!$C$16</f>
        <v>JESÚS IVÁN QUIÑONES RUEDA</v>
      </c>
      <c r="N1461" s="20"/>
      <c r="O1461" s="20"/>
      <c r="P1461" s="88"/>
      <c r="Q1461" s="190"/>
      <c r="R1461" s="4"/>
    </row>
    <row r="1462" spans="1:18">
      <c r="A1462" s="1"/>
      <c r="B1462" s="2"/>
      <c r="C1462" s="8"/>
      <c r="D1462" s="87"/>
      <c r="E1462" s="20" t="str">
        <f>+Hoja2!C$14</f>
        <v>APOYO SEC. DE PLANEACIÓN Y OBRAS PÚBLICAS</v>
      </c>
      <c r="F1462" s="20"/>
      <c r="G1462" s="20"/>
      <c r="H1462" s="20"/>
      <c r="I1462" s="20"/>
      <c r="J1462" s="20"/>
      <c r="K1462" s="20"/>
      <c r="L1462" s="20"/>
      <c r="M1462" s="20" t="str">
        <f>+Hoja2!$C$17</f>
        <v>SECRETARIO DE PLANEACIÓN Y OBRAS PUBLICAS</v>
      </c>
      <c r="N1462" s="20"/>
      <c r="O1462" s="20"/>
      <c r="P1462" s="88"/>
      <c r="Q1462" s="190"/>
      <c r="R1462" s="4"/>
    </row>
    <row r="1463" spans="1:18">
      <c r="A1463" s="1"/>
      <c r="B1463" s="2"/>
      <c r="C1463" s="8"/>
      <c r="D1463" s="68"/>
      <c r="E1463" s="20" t="str">
        <f>+Hoja2!C$15</f>
        <v>123769-0701671 NTS</v>
      </c>
      <c r="F1463" s="191"/>
      <c r="G1463" s="191"/>
      <c r="H1463" s="191"/>
      <c r="I1463" s="20"/>
      <c r="J1463" s="191"/>
      <c r="K1463" s="191"/>
      <c r="L1463" s="191"/>
      <c r="M1463" s="192" t="str">
        <f>+Hoja2!C$18</f>
        <v>A21382020-1090480860</v>
      </c>
      <c r="N1463" s="191"/>
      <c r="O1463" s="191"/>
      <c r="P1463" s="193"/>
      <c r="Q1463" s="194"/>
      <c r="R1463" s="4"/>
    </row>
    <row r="1464" spans="1:18" ht="16.5" thickBot="1">
      <c r="A1464" s="1"/>
      <c r="B1464" s="2"/>
      <c r="C1464" s="8"/>
      <c r="D1464" s="195"/>
      <c r="E1464" s="150"/>
      <c r="F1464" s="150"/>
      <c r="G1464" s="150"/>
      <c r="H1464" s="150"/>
      <c r="I1464" s="150"/>
      <c r="J1464" s="150"/>
      <c r="K1464" s="150"/>
      <c r="L1464" s="150"/>
      <c r="M1464" s="150"/>
      <c r="N1464" s="150"/>
      <c r="O1464" s="150"/>
      <c r="P1464" s="196"/>
      <c r="Q1464" s="197"/>
      <c r="R1464" s="4"/>
    </row>
    <row r="1465" spans="1:18" ht="15.75" thickBot="1">
      <c r="A1465" s="1"/>
      <c r="B1465" s="2"/>
      <c r="C1465" s="198"/>
      <c r="D1465" s="199"/>
      <c r="E1465" s="199"/>
      <c r="F1465" s="199"/>
      <c r="G1465" s="199"/>
      <c r="H1465" s="199"/>
      <c r="I1465" s="199"/>
      <c r="J1465" s="199"/>
      <c r="K1465" s="199"/>
      <c r="L1465" s="199"/>
      <c r="M1465" s="199"/>
      <c r="N1465" s="199"/>
      <c r="O1465" s="199"/>
      <c r="P1465" s="199"/>
      <c r="Q1465" s="200"/>
      <c r="R1465" s="4"/>
    </row>
    <row r="1466" spans="1:18" ht="15.75" thickTop="1"/>
    <row r="1467" spans="1:18" ht="15.75" thickBot="1"/>
    <row r="1468" spans="1:18" ht="15.75" thickTop="1">
      <c r="A1468" s="1"/>
      <c r="B1468" s="2"/>
      <c r="C1468" s="5"/>
      <c r="D1468" s="6"/>
      <c r="E1468" s="6"/>
      <c r="F1468" s="6"/>
      <c r="G1468" s="6"/>
      <c r="H1468" s="6"/>
      <c r="I1468" s="6"/>
      <c r="J1468" s="6"/>
      <c r="K1468" s="6"/>
      <c r="L1468" s="6"/>
      <c r="M1468" s="6"/>
      <c r="N1468" s="6"/>
      <c r="O1468" s="6"/>
      <c r="P1468" s="6"/>
      <c r="Q1468" s="7"/>
      <c r="R1468" s="4"/>
    </row>
    <row r="1469" spans="1:18" ht="24">
      <c r="A1469" s="1"/>
      <c r="B1469" s="2"/>
      <c r="C1469" s="8"/>
      <c r="D1469" s="9" t="str">
        <f>+[239]INICIO!$C$8</f>
        <v>Análisis de Precios Unitarios- Secretaria de Planeación y Obras Publicas de Cubará, Boyacá.</v>
      </c>
      <c r="E1469" s="10"/>
      <c r="F1469" s="10"/>
      <c r="G1469" s="10"/>
      <c r="H1469" s="11"/>
      <c r="I1469" s="12"/>
      <c r="J1469" s="12"/>
      <c r="K1469" s="12"/>
      <c r="L1469" s="12"/>
      <c r="M1469" s="12"/>
      <c r="N1469" s="12"/>
      <c r="O1469" s="12"/>
      <c r="P1469" s="12"/>
      <c r="Q1469" s="13"/>
      <c r="R1469" s="4"/>
    </row>
    <row r="1470" spans="1:18">
      <c r="A1470" s="1"/>
      <c r="B1470" s="2"/>
      <c r="C1470" s="8"/>
      <c r="D1470" s="14" t="s">
        <v>0</v>
      </c>
      <c r="E1470" s="15" t="str">
        <f>+[239]INICIO!$C$7</f>
        <v>CCE-EICP-FM-14</v>
      </c>
      <c r="F1470" s="16"/>
      <c r="G1470" s="17" t="str">
        <f>+[239]INICIO!$B$6</f>
        <v>VERSIÓN</v>
      </c>
      <c r="H1470" s="14">
        <f>+[239]INICIO!$C$6</f>
        <v>1</v>
      </c>
      <c r="I1470" s="12"/>
      <c r="J1470" s="12"/>
      <c r="K1470" s="12"/>
      <c r="L1470" s="12"/>
      <c r="M1470" s="12"/>
      <c r="N1470" s="12"/>
      <c r="O1470" s="12"/>
      <c r="P1470" s="12"/>
      <c r="Q1470" s="13"/>
      <c r="R1470" s="4"/>
    </row>
    <row r="1471" spans="1:18">
      <c r="A1471" s="1"/>
      <c r="B1471" s="2"/>
      <c r="C1471" s="8"/>
      <c r="D1471" s="18"/>
      <c r="E1471" s="19"/>
      <c r="F1471" s="18"/>
      <c r="G1471" s="19"/>
      <c r="H1471" s="12"/>
      <c r="I1471" s="12"/>
      <c r="J1471" s="12"/>
      <c r="K1471" s="12"/>
      <c r="L1471" s="12"/>
      <c r="M1471" s="12"/>
      <c r="N1471" s="12"/>
      <c r="O1471" s="12"/>
      <c r="P1471" s="12"/>
      <c r="Q1471" s="13"/>
      <c r="R1471" s="4"/>
    </row>
    <row r="1472" spans="1:18" ht="15.75" thickBot="1">
      <c r="A1472" s="1"/>
      <c r="B1472" s="2"/>
      <c r="C1472" s="8"/>
      <c r="D1472" s="20"/>
      <c r="E1472" s="20"/>
      <c r="F1472" s="20"/>
      <c r="G1472" s="20"/>
      <c r="H1472" s="20"/>
      <c r="I1472" s="20"/>
      <c r="J1472" s="20"/>
      <c r="K1472" s="20"/>
      <c r="L1472" s="20"/>
      <c r="M1472" s="20"/>
      <c r="N1472" s="20"/>
      <c r="O1472" s="20"/>
      <c r="P1472" s="20"/>
      <c r="Q1472" s="13"/>
      <c r="R1472" s="4"/>
    </row>
    <row r="1473" spans="1:18">
      <c r="A1473" s="1"/>
      <c r="B1473" s="2"/>
      <c r="C1473" s="8"/>
      <c r="D1473" s="21"/>
      <c r="E1473" s="22"/>
      <c r="F1473" s="23"/>
      <c r="G1473" s="23"/>
      <c r="H1473" s="23"/>
      <c r="I1473" s="23"/>
      <c r="J1473" s="23"/>
      <c r="K1473" s="23"/>
      <c r="L1473" s="24"/>
      <c r="M1473" s="25"/>
      <c r="N1473" s="26"/>
      <c r="O1473" s="26"/>
      <c r="P1473" s="27"/>
      <c r="Q1473" s="28"/>
      <c r="R1473" s="4"/>
    </row>
    <row r="1474" spans="1:18">
      <c r="A1474" s="1"/>
      <c r="B1474" s="2"/>
      <c r="C1474" s="8"/>
      <c r="D1474" s="29"/>
      <c r="E1474" s="30" t="s">
        <v>1</v>
      </c>
      <c r="F1474" s="31"/>
      <c r="G1474" s="31"/>
      <c r="H1474" s="31"/>
      <c r="I1474" s="31"/>
      <c r="J1474" s="31"/>
      <c r="K1474" s="31"/>
      <c r="L1474" s="32"/>
      <c r="M1474" s="33"/>
      <c r="N1474" s="34"/>
      <c r="O1474" s="34"/>
      <c r="P1474" s="35"/>
      <c r="Q1474" s="28"/>
      <c r="R1474" s="4"/>
    </row>
    <row r="1475" spans="1:18">
      <c r="A1475" s="1"/>
      <c r="B1475" s="2"/>
      <c r="C1475" s="8"/>
      <c r="D1475" s="29"/>
      <c r="E1475" s="36"/>
      <c r="F1475" s="37"/>
      <c r="G1475" s="37"/>
      <c r="H1475" s="37"/>
      <c r="I1475" s="37"/>
      <c r="J1475" s="37"/>
      <c r="K1475" s="37"/>
      <c r="L1475" s="38"/>
      <c r="M1475" s="39"/>
      <c r="N1475" s="40"/>
      <c r="O1475" s="41"/>
      <c r="P1475" s="42"/>
      <c r="Q1475" s="28"/>
      <c r="R1475" s="4"/>
    </row>
    <row r="1476" spans="1:18">
      <c r="A1476" s="1"/>
      <c r="B1476" s="2"/>
      <c r="C1476" s="8"/>
      <c r="D1476" s="29"/>
      <c r="E1476" s="36"/>
      <c r="F1476" s="37"/>
      <c r="G1476" s="37"/>
      <c r="H1476" s="37"/>
      <c r="I1476" s="37"/>
      <c r="J1476" s="37"/>
      <c r="K1476" s="37"/>
      <c r="L1476" s="38"/>
      <c r="M1476" s="43" t="s">
        <v>2</v>
      </c>
      <c r="N1476" s="44"/>
      <c r="O1476" s="45">
        <f>+[239]INICIO!$C$6</f>
        <v>1</v>
      </c>
      <c r="P1476" s="46"/>
      <c r="Q1476" s="28"/>
      <c r="R1476" s="4"/>
    </row>
    <row r="1477" spans="1:18">
      <c r="A1477" s="1"/>
      <c r="B1477" s="2"/>
      <c r="C1477" s="8"/>
      <c r="D1477" s="29"/>
      <c r="E1477" s="36"/>
      <c r="F1477" s="37"/>
      <c r="G1477" s="37"/>
      <c r="H1477" s="37"/>
      <c r="I1477" s="37"/>
      <c r="J1477" s="37"/>
      <c r="K1477" s="37"/>
      <c r="L1477" s="38"/>
      <c r="M1477" s="47"/>
      <c r="N1477" s="48"/>
      <c r="O1477" s="49"/>
      <c r="P1477" s="50"/>
      <c r="Q1477" s="51"/>
      <c r="R1477" s="4"/>
    </row>
    <row r="1478" spans="1:18">
      <c r="A1478" s="1"/>
      <c r="B1478" s="2"/>
      <c r="C1478" s="8"/>
      <c r="D1478" s="29"/>
      <c r="E1478" s="52"/>
      <c r="F1478" s="53"/>
      <c r="G1478" s="53"/>
      <c r="H1478" s="53"/>
      <c r="I1478" s="53"/>
      <c r="J1478" s="53"/>
      <c r="K1478" s="53"/>
      <c r="L1478" s="54"/>
      <c r="M1478" s="39"/>
      <c r="N1478" s="55"/>
      <c r="O1478" s="55"/>
      <c r="P1478" s="56"/>
      <c r="Q1478" s="28"/>
      <c r="R1478" s="4"/>
    </row>
    <row r="1479" spans="1:18">
      <c r="A1479" s="1"/>
      <c r="B1479" s="2"/>
      <c r="C1479" s="8"/>
      <c r="D1479" s="29"/>
      <c r="E1479" s="52"/>
      <c r="F1479" s="53"/>
      <c r="G1479" s="53"/>
      <c r="H1479" s="53"/>
      <c r="I1479" s="53"/>
      <c r="J1479" s="53"/>
      <c r="K1479" s="53"/>
      <c r="L1479" s="54"/>
      <c r="M1479" s="43" t="s">
        <v>3</v>
      </c>
      <c r="N1479" s="43" t="str">
        <f>+VLOOKUP(D1490,'PRESUPUESTO OFICIAL '!C:Q,9,FALSE)</f>
        <v>33</v>
      </c>
      <c r="O1479" s="43" t="s">
        <v>4</v>
      </c>
      <c r="P1479" s="508" t="str">
        <f>+'PRESUPUESTO OFICIAL '!$M$122</f>
        <v>62</v>
      </c>
      <c r="Q1479" s="28"/>
      <c r="R1479" s="4"/>
    </row>
    <row r="1480" spans="1:18">
      <c r="A1480" s="1"/>
      <c r="B1480" s="2"/>
      <c r="C1480" s="8"/>
      <c r="D1480" s="29"/>
      <c r="E1480" s="30" t="s">
        <v>5</v>
      </c>
      <c r="F1480" s="31"/>
      <c r="G1480" s="31"/>
      <c r="H1480" s="31"/>
      <c r="I1480" s="31"/>
      <c r="J1480" s="31"/>
      <c r="K1480" s="31"/>
      <c r="L1480" s="32"/>
      <c r="M1480" s="43"/>
      <c r="N1480" s="57"/>
      <c r="O1480" s="57"/>
      <c r="P1480" s="58"/>
      <c r="Q1480" s="28"/>
      <c r="R1480" s="4"/>
    </row>
    <row r="1481" spans="1:18" ht="15.75" thickBot="1">
      <c r="A1481" s="1"/>
      <c r="B1481" s="2"/>
      <c r="C1481" s="8"/>
      <c r="D1481" s="59"/>
      <c r="E1481" s="60"/>
      <c r="F1481" s="60"/>
      <c r="G1481" s="60"/>
      <c r="H1481" s="60"/>
      <c r="I1481" s="60"/>
      <c r="J1481" s="60"/>
      <c r="K1481" s="60"/>
      <c r="L1481" s="60"/>
      <c r="M1481" s="60"/>
      <c r="N1481" s="61"/>
      <c r="O1481" s="61"/>
      <c r="P1481" s="62"/>
      <c r="Q1481" s="63"/>
      <c r="R1481" s="4"/>
    </row>
    <row r="1482" spans="1:18">
      <c r="A1482" s="1"/>
      <c r="B1482" s="2"/>
      <c r="C1482" s="8"/>
      <c r="D1482" s="64"/>
      <c r="E1482" s="65"/>
      <c r="F1482" s="65"/>
      <c r="G1482" s="65"/>
      <c r="H1482" s="65"/>
      <c r="I1482" s="65"/>
      <c r="J1482" s="65"/>
      <c r="K1482" s="65"/>
      <c r="L1482" s="65"/>
      <c r="M1482" s="66" t="s">
        <v>6</v>
      </c>
      <c r="N1482" s="66" t="s">
        <v>7</v>
      </c>
      <c r="O1482" s="66" t="s">
        <v>8</v>
      </c>
      <c r="P1482" s="67" t="s">
        <v>9</v>
      </c>
      <c r="Q1482" s="51"/>
      <c r="R1482" s="4"/>
    </row>
    <row r="1483" spans="1:18">
      <c r="A1483" s="1"/>
      <c r="B1483" s="2"/>
      <c r="C1483" s="8"/>
      <c r="D1483" s="68"/>
      <c r="E1483" s="69"/>
      <c r="F1483" s="69"/>
      <c r="G1483" s="69"/>
      <c r="H1483" s="69"/>
      <c r="I1483" s="69"/>
      <c r="J1483" s="69"/>
      <c r="K1483" s="69"/>
      <c r="L1483" s="69"/>
      <c r="M1483" s="70"/>
      <c r="N1483" s="71">
        <f>+Hoja2!B$5</f>
        <v>5</v>
      </c>
      <c r="O1483" s="71">
        <f>+Hoja2!C$5</f>
        <v>8</v>
      </c>
      <c r="P1483" s="72">
        <f>+Hoja2!D$5</f>
        <v>2026</v>
      </c>
      <c r="Q1483" s="73"/>
      <c r="R1483" s="4"/>
    </row>
    <row r="1484" spans="1:18">
      <c r="A1484" s="1"/>
      <c r="B1484" s="2"/>
      <c r="C1484" s="8"/>
      <c r="D1484" s="74"/>
      <c r="E1484" s="37"/>
      <c r="F1484" s="37"/>
      <c r="G1484" s="37"/>
      <c r="H1484" s="69"/>
      <c r="I1484" s="69"/>
      <c r="J1484" s="69"/>
      <c r="K1484" s="20"/>
      <c r="L1484" s="69"/>
      <c r="M1484" s="75"/>
      <c r="N1484" s="20"/>
      <c r="O1484" s="20"/>
      <c r="P1484" s="76"/>
      <c r="Q1484" s="73"/>
      <c r="R1484" s="4"/>
    </row>
    <row r="1485" spans="1:18" ht="15.75" thickBot="1">
      <c r="A1485" s="1"/>
      <c r="B1485" s="2"/>
      <c r="C1485" s="8"/>
      <c r="D1485" s="77"/>
      <c r="E1485" s="78"/>
      <c r="F1485" s="78"/>
      <c r="G1485" s="78"/>
      <c r="H1485" s="78"/>
      <c r="I1485" s="78"/>
      <c r="J1485" s="78"/>
      <c r="K1485" s="78"/>
      <c r="L1485" s="78"/>
      <c r="M1485" s="78"/>
      <c r="N1485" s="78"/>
      <c r="O1485" s="78"/>
      <c r="P1485" s="79"/>
      <c r="Q1485" s="13"/>
      <c r="R1485" s="4"/>
    </row>
    <row r="1486" spans="1:18" ht="15.75" thickBot="1">
      <c r="A1486" s="1"/>
      <c r="B1486" s="2"/>
      <c r="C1486" s="8"/>
      <c r="D1486" s="80"/>
      <c r="E1486" s="81"/>
      <c r="F1486" s="81"/>
      <c r="G1486" s="81"/>
      <c r="H1486" s="81"/>
      <c r="I1486" s="81"/>
      <c r="J1486" s="20"/>
      <c r="K1486" s="20"/>
      <c r="L1486" s="81"/>
      <c r="M1486" s="81"/>
      <c r="N1486" s="81"/>
      <c r="O1486" s="81"/>
      <c r="P1486" s="82"/>
      <c r="Q1486" s="13"/>
      <c r="R1486" s="4"/>
    </row>
    <row r="1487" spans="1:18">
      <c r="A1487" s="1"/>
      <c r="B1487" s="2"/>
      <c r="C1487" s="8"/>
      <c r="D1487" s="83" t="s">
        <v>10</v>
      </c>
      <c r="E1487" s="84"/>
      <c r="F1487" s="84"/>
      <c r="G1487" s="84"/>
      <c r="H1487" s="84"/>
      <c r="I1487" s="84"/>
      <c r="J1487" s="84"/>
      <c r="K1487" s="84"/>
      <c r="L1487" s="84"/>
      <c r="M1487" s="84"/>
      <c r="N1487" s="84"/>
      <c r="O1487" s="84"/>
      <c r="P1487" s="85"/>
      <c r="Q1487" s="86"/>
      <c r="R1487" s="4"/>
    </row>
    <row r="1488" spans="1:18" ht="15.75" thickBot="1">
      <c r="A1488" s="1"/>
      <c r="B1488" s="2"/>
      <c r="C1488" s="8"/>
      <c r="D1488" s="87"/>
      <c r="E1488" s="20"/>
      <c r="F1488" s="20"/>
      <c r="G1488" s="20"/>
      <c r="H1488" s="20"/>
      <c r="I1488" s="20"/>
      <c r="J1488" s="20"/>
      <c r="K1488" s="20"/>
      <c r="L1488" s="20"/>
      <c r="M1488" s="20"/>
      <c r="N1488" s="20"/>
      <c r="O1488" s="20"/>
      <c r="P1488" s="88"/>
      <c r="Q1488" s="13"/>
      <c r="R1488" s="4"/>
    </row>
    <row r="1489" spans="1:18">
      <c r="A1489" s="1" t="s">
        <v>11</v>
      </c>
      <c r="B1489" s="2" t="s">
        <v>12</v>
      </c>
      <c r="C1489" s="8"/>
      <c r="D1489" s="89" t="s">
        <v>13</v>
      </c>
      <c r="E1489" s="90" t="s">
        <v>14</v>
      </c>
      <c r="F1489" s="90"/>
      <c r="G1489" s="90"/>
      <c r="H1489" s="90"/>
      <c r="I1489" s="90"/>
      <c r="J1489" s="90"/>
      <c r="K1489" s="90"/>
      <c r="L1489" s="90"/>
      <c r="M1489" s="90"/>
      <c r="N1489" s="91" t="s">
        <v>15</v>
      </c>
      <c r="O1489" s="91"/>
      <c r="P1489" s="92" t="s">
        <v>16</v>
      </c>
      <c r="Q1489" s="93"/>
      <c r="R1489" s="4"/>
    </row>
    <row r="1490" spans="1:18" ht="38.25" customHeight="1" thickBot="1">
      <c r="A1490" s="1"/>
      <c r="B1490" s="2"/>
      <c r="C1490" s="8"/>
      <c r="D1490" s="349">
        <f>+'PRESUPUESTO OFICIAL '!C54</f>
        <v>4.05</v>
      </c>
      <c r="E1490" s="94" t="str">
        <f>+VLOOKUP(D1490,'PRESUPUESTO OFICIAL '!C:H,2,FALSE)</f>
        <v>SUMINISTRO E INSTALACIÓN DE TUBERÍA PVC SANITARIA D = 3"</v>
      </c>
      <c r="F1490" s="94"/>
      <c r="G1490" s="94"/>
      <c r="H1490" s="94"/>
      <c r="I1490" s="94"/>
      <c r="J1490" s="94"/>
      <c r="K1490" s="94"/>
      <c r="L1490" s="94"/>
      <c r="M1490" s="94"/>
      <c r="N1490" s="94" t="str">
        <f>+VLOOKUP(D1490,'PRESUPUESTO OFICIAL '!C:H,3,FALSE)</f>
        <v>M</v>
      </c>
      <c r="O1490" s="95"/>
      <c r="P1490" s="96">
        <f>+VLOOKUP(D1490,'PRESUPUESTO OFICIAL '!C:H,4,FALSE)</f>
        <v>38</v>
      </c>
      <c r="Q1490" s="97"/>
      <c r="R1490" s="98">
        <f>+P1542</f>
        <v>63984</v>
      </c>
    </row>
    <row r="1491" spans="1:18" ht="15.75" thickBot="1">
      <c r="A1491" s="1"/>
      <c r="B1491" s="2"/>
      <c r="C1491" s="8"/>
      <c r="D1491" s="74" t="s">
        <v>17</v>
      </c>
      <c r="E1491" s="37"/>
      <c r="F1491" s="37"/>
      <c r="G1491" s="37"/>
      <c r="H1491" s="37"/>
      <c r="I1491" s="37"/>
      <c r="J1491" s="37"/>
      <c r="K1491" s="37"/>
      <c r="L1491" s="37"/>
      <c r="M1491" s="37"/>
      <c r="N1491" s="37"/>
      <c r="O1491" s="37"/>
      <c r="P1491" s="99"/>
      <c r="Q1491" s="100"/>
      <c r="R1491" s="4"/>
    </row>
    <row r="1492" spans="1:18">
      <c r="A1492" s="1"/>
      <c r="B1492" s="2"/>
      <c r="C1492" s="8"/>
      <c r="D1492" s="101" t="s">
        <v>14</v>
      </c>
      <c r="E1492" s="102"/>
      <c r="F1492" s="102"/>
      <c r="G1492" s="102"/>
      <c r="H1492" s="103"/>
      <c r="I1492" s="104" t="s">
        <v>18</v>
      </c>
      <c r="J1492" s="102"/>
      <c r="K1492" s="104" t="s">
        <v>19</v>
      </c>
      <c r="L1492" s="105"/>
      <c r="M1492" s="106" t="s">
        <v>20</v>
      </c>
      <c r="N1492" s="104" t="s">
        <v>21</v>
      </c>
      <c r="O1492" s="105"/>
      <c r="P1492" s="107" t="s">
        <v>22</v>
      </c>
      <c r="Q1492" s="108"/>
      <c r="R1492" s="4"/>
    </row>
    <row r="1493" spans="1:18">
      <c r="A1493" s="1" t="e">
        <f>[239]INDICE!#REF!</f>
        <v>#REF!</v>
      </c>
      <c r="B1493" s="2" t="s">
        <v>23</v>
      </c>
      <c r="C1493" s="8"/>
      <c r="D1493" s="109" t="str">
        <f>IFERROR(INDEX([239]EQUIPOS!B:B,MATCH(B1493,[239]EQUIPOS!A:A,0)),"")</f>
        <v>HERRAMIENTA MENOR (% M.O)</v>
      </c>
      <c r="E1493" s="110"/>
      <c r="F1493" s="110"/>
      <c r="G1493" s="110"/>
      <c r="H1493" s="111"/>
      <c r="I1493" s="112"/>
      <c r="J1493" s="111"/>
      <c r="K1493" s="113" t="str">
        <f>IFERROR(INDEX([239]EQUIPOS!C:C,MATCH(B1493,[239]EQUIPOS!A:A,0)),"")</f>
        <v>%</v>
      </c>
      <c r="L1493" s="114"/>
      <c r="M1493" s="115">
        <f>IFERROR(IF(D1493="HERRAMIENTA MENOR (% M.O)",P1532,INDEX([239]EQUIPOS!D:D,MATCH(B1493,[239]EQUIPOS!A:A,0))),"")</f>
        <v>16317.900000000001</v>
      </c>
      <c r="N1493" s="116">
        <v>10</v>
      </c>
      <c r="O1493" s="117"/>
      <c r="P1493" s="118">
        <f t="shared" ref="P1493:P1498" si="51">IFERROR(ROUND(IF(D1493="HERRAMIENTA MENOR (% M.O)",N1493%*M1493,M1493/N1493),2)," ")</f>
        <v>1631.79</v>
      </c>
      <c r="Q1493" s="119"/>
      <c r="R1493" s="4"/>
    </row>
    <row r="1494" spans="1:18">
      <c r="A1494" s="1">
        <f>+$A$2858</f>
        <v>0</v>
      </c>
      <c r="B1494" s="2"/>
      <c r="C1494" s="8"/>
      <c r="D1494" s="109" t="str">
        <f>IFERROR(INDEX([239]EQUIPOS!B:B,MATCH(B1494,[239]EQUIPOS!A:A,0)),"")</f>
        <v/>
      </c>
      <c r="E1494" s="110"/>
      <c r="F1494" s="110"/>
      <c r="G1494" s="110"/>
      <c r="H1494" s="111"/>
      <c r="I1494" s="112"/>
      <c r="J1494" s="111"/>
      <c r="K1494" s="113" t="str">
        <f>IFERROR(INDEX([239]EQUIPOS!C:C,MATCH(B1494,[239]EQUIPOS!A:A,0)),"")</f>
        <v/>
      </c>
      <c r="L1494" s="114"/>
      <c r="M1494" s="115" t="str">
        <f>IFERROR(IF(D1494="HERRAMIENTA MENOR (% M.O)",P1533,INDEX([239]EQUIPOS!D:D,MATCH(B1494,[239]EQUIPOS!A:A,0))),"")</f>
        <v/>
      </c>
      <c r="N1494" s="116"/>
      <c r="O1494" s="117"/>
      <c r="P1494" s="118" t="str">
        <f t="shared" si="51"/>
        <v xml:space="preserve"> </v>
      </c>
      <c r="Q1494" s="119"/>
      <c r="R1494" s="4"/>
    </row>
    <row r="1495" spans="1:18">
      <c r="A1495" s="1">
        <f t="shared" ref="A1495:A1533" si="52">+A1494</f>
        <v>0</v>
      </c>
      <c r="B1495" s="2"/>
      <c r="C1495" s="8"/>
      <c r="D1495" s="109" t="str">
        <f>IFERROR(INDEX([239]EQUIPOS!B:B,MATCH(B1495,[239]EQUIPOS!A:A,0)),"")</f>
        <v/>
      </c>
      <c r="E1495" s="110"/>
      <c r="F1495" s="110"/>
      <c r="G1495" s="110"/>
      <c r="H1495" s="111"/>
      <c r="I1495" s="120"/>
      <c r="J1495" s="121"/>
      <c r="K1495" s="113" t="str">
        <f>IFERROR(INDEX([239]EQUIPOS!C:C,MATCH(B1495,[239]EQUIPOS!A:A,0)),"")</f>
        <v/>
      </c>
      <c r="L1495" s="114"/>
      <c r="M1495" s="115" t="str">
        <f>IFERROR(IF(D1495="HERRAMIENTA MENOR (% M.O)",P1534,INDEX([239]EQUIPOS!D:D,MATCH(B1495,[239]EQUIPOS!A:A,0))),"")</f>
        <v/>
      </c>
      <c r="N1495" s="116"/>
      <c r="O1495" s="117"/>
      <c r="P1495" s="118" t="str">
        <f t="shared" si="51"/>
        <v xml:space="preserve"> </v>
      </c>
      <c r="Q1495" s="119"/>
      <c r="R1495" s="4"/>
    </row>
    <row r="1496" spans="1:18">
      <c r="A1496" s="1">
        <f t="shared" si="52"/>
        <v>0</v>
      </c>
      <c r="B1496" s="2"/>
      <c r="C1496" s="8"/>
      <c r="D1496" s="109" t="str">
        <f>IFERROR(INDEX([239]EQUIPOS!B:B,MATCH(B1496,[239]EQUIPOS!A:A,0)),"")</f>
        <v/>
      </c>
      <c r="E1496" s="110"/>
      <c r="F1496" s="110"/>
      <c r="G1496" s="110"/>
      <c r="H1496" s="111"/>
      <c r="I1496" s="120"/>
      <c r="J1496" s="121"/>
      <c r="K1496" s="113" t="str">
        <f>IFERROR(INDEX([239]EQUIPOS!C:C,MATCH(B1496,[239]EQUIPOS!A:A,0)),"")</f>
        <v/>
      </c>
      <c r="L1496" s="114"/>
      <c r="M1496" s="115" t="str">
        <f>IFERROR(IF(D1496="HERRAMIENTA MENOR (% M.O)",P1535,INDEX([239]EQUIPOS!D:D,MATCH(B1496,[239]EQUIPOS!A:A,0))),"")</f>
        <v/>
      </c>
      <c r="N1496" s="116"/>
      <c r="O1496" s="117"/>
      <c r="P1496" s="118" t="str">
        <f t="shared" si="51"/>
        <v xml:space="preserve"> </v>
      </c>
      <c r="Q1496" s="119"/>
      <c r="R1496" s="4"/>
    </row>
    <row r="1497" spans="1:18">
      <c r="A1497" s="1">
        <f t="shared" si="52"/>
        <v>0</v>
      </c>
      <c r="B1497" s="2"/>
      <c r="C1497" s="8"/>
      <c r="D1497" s="109" t="str">
        <f>IFERROR(INDEX([239]EQUIPOS!B:B,MATCH(B1497,[239]EQUIPOS!A:A,0)),"")</f>
        <v/>
      </c>
      <c r="E1497" s="110"/>
      <c r="F1497" s="110"/>
      <c r="G1497" s="110"/>
      <c r="H1497" s="111"/>
      <c r="I1497" s="112"/>
      <c r="J1497" s="111"/>
      <c r="K1497" s="113" t="str">
        <f>IFERROR(INDEX([239]EQUIPOS!C:C,MATCH(B1497,[239]EQUIPOS!A:A,0)),"")</f>
        <v/>
      </c>
      <c r="L1497" s="114"/>
      <c r="M1497" s="115" t="str">
        <f>IFERROR(IF(D1497="HERRAMIENTA MENOR (% M.O)",P1536,INDEX([239]EQUIPOS!D:D,MATCH(B1497,[239]EQUIPOS!A:A,0))),"")</f>
        <v/>
      </c>
      <c r="N1497" s="116"/>
      <c r="O1497" s="117"/>
      <c r="P1497" s="118" t="str">
        <f t="shared" si="51"/>
        <v xml:space="preserve"> </v>
      </c>
      <c r="Q1497" s="119"/>
      <c r="R1497" s="4"/>
    </row>
    <row r="1498" spans="1:18" ht="15.75" thickBot="1">
      <c r="A1498" s="1">
        <f t="shared" si="52"/>
        <v>0</v>
      </c>
      <c r="B1498" s="2"/>
      <c r="C1498" s="8"/>
      <c r="D1498" s="109" t="str">
        <f>IFERROR(INDEX([239]EQUIPOS!B:B,MATCH(B1498,[239]EQUIPOS!A:A,0)),"")</f>
        <v/>
      </c>
      <c r="E1498" s="78"/>
      <c r="F1498" s="78"/>
      <c r="G1498" s="78"/>
      <c r="H1498" s="122"/>
      <c r="I1498" s="123"/>
      <c r="J1498" s="122"/>
      <c r="K1498" s="113" t="str">
        <f>IFERROR(INDEX([239]EQUIPOS!C:C,MATCH(B1498,[239]EQUIPOS!A:A,0)),"")</f>
        <v/>
      </c>
      <c r="L1498" s="124"/>
      <c r="M1498" s="115" t="str">
        <f>IFERROR(IF(D1498="HERRAMIENTA MENOR (% M.O)",P1537,INDEX([239]EQUIPOS!D:D,MATCH(B1498,[239]EQUIPOS!A:A,0))),"")</f>
        <v/>
      </c>
      <c r="N1498" s="125"/>
      <c r="O1498" s="126"/>
      <c r="P1498" s="127" t="str">
        <f t="shared" si="51"/>
        <v xml:space="preserve"> </v>
      </c>
      <c r="Q1498" s="119"/>
      <c r="R1498" s="4"/>
    </row>
    <row r="1499" spans="1:18" ht="15.75" thickBot="1">
      <c r="A1499" s="1">
        <f t="shared" si="52"/>
        <v>0</v>
      </c>
      <c r="B1499" s="2"/>
      <c r="C1499" s="8"/>
      <c r="D1499" s="128" t="s">
        <v>24</v>
      </c>
      <c r="E1499" s="129"/>
      <c r="F1499" s="129"/>
      <c r="G1499" s="129"/>
      <c r="H1499" s="129"/>
      <c r="I1499" s="129"/>
      <c r="J1499" s="129"/>
      <c r="K1499" s="129"/>
      <c r="L1499" s="129"/>
      <c r="M1499" s="129"/>
      <c r="N1499" s="129"/>
      <c r="O1499" s="130"/>
      <c r="P1499" s="131">
        <f>SUM(P1493:P1498)</f>
        <v>1631.79</v>
      </c>
      <c r="Q1499" s="132"/>
      <c r="R1499" s="4"/>
    </row>
    <row r="1500" spans="1:18" ht="15.75" thickBot="1">
      <c r="A1500" s="1">
        <f t="shared" si="52"/>
        <v>0</v>
      </c>
      <c r="B1500" s="2"/>
      <c r="C1500" s="8"/>
      <c r="D1500" s="74" t="s">
        <v>25</v>
      </c>
      <c r="E1500" s="37"/>
      <c r="F1500" s="37"/>
      <c r="G1500" s="37"/>
      <c r="H1500" s="37"/>
      <c r="I1500" s="37"/>
      <c r="J1500" s="37"/>
      <c r="K1500" s="37"/>
      <c r="L1500" s="37"/>
      <c r="M1500" s="37"/>
      <c r="N1500" s="37"/>
      <c r="O1500" s="37"/>
      <c r="P1500" s="99"/>
      <c r="Q1500" s="100"/>
      <c r="R1500" s="4"/>
    </row>
    <row r="1501" spans="1:18">
      <c r="A1501" s="1">
        <f t="shared" si="52"/>
        <v>0</v>
      </c>
      <c r="B1501" s="2"/>
      <c r="C1501" s="8"/>
      <c r="D1501" s="101" t="s">
        <v>14</v>
      </c>
      <c r="E1501" s="133"/>
      <c r="F1501" s="133"/>
      <c r="G1501" s="133"/>
      <c r="H1501" s="133"/>
      <c r="I1501" s="133"/>
      <c r="J1501" s="133"/>
      <c r="K1501" s="105"/>
      <c r="L1501" s="134" t="s">
        <v>15</v>
      </c>
      <c r="M1501" s="106" t="s">
        <v>16</v>
      </c>
      <c r="N1501" s="104" t="s">
        <v>26</v>
      </c>
      <c r="O1501" s="105"/>
      <c r="P1501" s="107" t="s">
        <v>22</v>
      </c>
      <c r="Q1501" s="108"/>
      <c r="R1501" s="4"/>
    </row>
    <row r="1502" spans="1:18">
      <c r="A1502" s="1">
        <f t="shared" si="52"/>
        <v>0</v>
      </c>
      <c r="B1502" s="2" t="s">
        <v>304</v>
      </c>
      <c r="C1502" s="8"/>
      <c r="D1502" s="109" t="str">
        <f>IFERROR(INDEX([239]MATERIALES!C:C,MATCH(B1502,[239]MATERIALES!B:B,0)),"")</f>
        <v>TUBERÍA SANITARIA DE 3" PVC T.P.</v>
      </c>
      <c r="E1502" s="135"/>
      <c r="F1502" s="135"/>
      <c r="G1502" s="135"/>
      <c r="H1502" s="135"/>
      <c r="I1502" s="135"/>
      <c r="J1502" s="135"/>
      <c r="K1502" s="136"/>
      <c r="L1502" s="137" t="str">
        <f>IFERROR(INDEX([239]MATERIALES!D:D,MATCH(B1502,[239]MATERIALES!B:B,0)),"")</f>
        <v>M</v>
      </c>
      <c r="M1502" s="138">
        <v>1</v>
      </c>
      <c r="N1502" s="139">
        <f>IFERROR(INDEX([239]MATERIALES!P:P,MATCH(B1502,[239]MATERIALES!B:B,0)),"")</f>
        <v>25832.560000000001</v>
      </c>
      <c r="O1502" s="140"/>
      <c r="P1502" s="118">
        <f>IFERROR(ROUND(N1502*M1502,2),"")</f>
        <v>25832.560000000001</v>
      </c>
      <c r="Q1502" s="119"/>
      <c r="R1502" s="4"/>
    </row>
    <row r="1503" spans="1:18">
      <c r="A1503" s="1">
        <f t="shared" si="52"/>
        <v>0</v>
      </c>
      <c r="B1503" s="2" t="s">
        <v>305</v>
      </c>
      <c r="C1503" s="8"/>
      <c r="D1503" s="109" t="str">
        <f>IFERROR(INDEX([239]MATERIALES!C:C,MATCH(B1503,[239]MATERIALES!B:B,0)),"")</f>
        <v>UNIÓN PVC SANITARIA DE 3"</v>
      </c>
      <c r="E1503" s="135"/>
      <c r="F1503" s="135"/>
      <c r="G1503" s="135"/>
      <c r="H1503" s="135"/>
      <c r="I1503" s="135"/>
      <c r="J1503" s="135"/>
      <c r="K1503" s="136"/>
      <c r="L1503" s="137" t="str">
        <f>IFERROR(INDEX([239]MATERIALES!D:D,MATCH(B1503,[239]MATERIALES!B:B,0)),"")</f>
        <v>UND</v>
      </c>
      <c r="M1503" s="138">
        <v>0.17</v>
      </c>
      <c r="N1503" s="139">
        <f>IFERROR(INDEX([239]MATERIALES!P:P,MATCH(B1503,[239]MATERIALES!B:B,0)),"")</f>
        <v>5706.82</v>
      </c>
      <c r="O1503" s="140"/>
      <c r="P1503" s="118">
        <f>IFERROR(ROUND(N1503*M1503,2),"")</f>
        <v>970.16</v>
      </c>
      <c r="Q1503" s="119"/>
      <c r="R1503" s="4"/>
    </row>
    <row r="1504" spans="1:18">
      <c r="A1504" s="1">
        <f t="shared" si="52"/>
        <v>0</v>
      </c>
      <c r="B1504" s="2" t="s">
        <v>306</v>
      </c>
      <c r="C1504" s="8"/>
      <c r="D1504" s="109" t="str">
        <f>IFERROR(INDEX([239]MATERIALES!C:C,MATCH(B1504,[239]MATERIALES!B:B,0)),"")</f>
        <v>CODO SANITARIO DE 3" PVC</v>
      </c>
      <c r="E1504" s="110"/>
      <c r="F1504" s="110"/>
      <c r="G1504" s="110"/>
      <c r="H1504" s="110"/>
      <c r="I1504" s="110"/>
      <c r="J1504" s="110"/>
      <c r="K1504" s="111"/>
      <c r="L1504" s="137" t="str">
        <f>IFERROR(INDEX([239]MATERIALES!D:D,MATCH(B1504,[239]MATERIALES!B:B,0)),"")</f>
        <v>UND</v>
      </c>
      <c r="M1504" s="138">
        <v>0.03</v>
      </c>
      <c r="N1504" s="139">
        <f>IFERROR(INDEX([239]MATERIALES!P:P,MATCH(B1504,[239]MATERIALES!B:B,0)),"")</f>
        <v>10696.4</v>
      </c>
      <c r="O1504" s="140"/>
      <c r="P1504" s="118">
        <f>IFERROR(ROUND(N1504*M1504,2),"")</f>
        <v>320.89</v>
      </c>
      <c r="Q1504" s="119"/>
      <c r="R1504" s="4"/>
    </row>
    <row r="1505" spans="1:18">
      <c r="A1505" s="1">
        <f t="shared" si="52"/>
        <v>0</v>
      </c>
      <c r="B1505" s="2" t="s">
        <v>307</v>
      </c>
      <c r="C1505" s="8"/>
      <c r="D1505" s="109" t="str">
        <f>IFERROR(INDEX([239]MATERIALES!C:C,MATCH(B1505,[239]MATERIALES!B:B,0)),"")</f>
        <v>TEE SENCILLA SANITARIA DE 3" PVC</v>
      </c>
      <c r="E1505" s="110"/>
      <c r="F1505" s="110"/>
      <c r="G1505" s="110"/>
      <c r="H1505" s="110"/>
      <c r="I1505" s="110"/>
      <c r="J1505" s="110"/>
      <c r="K1505" s="111"/>
      <c r="L1505" s="137" t="str">
        <f>IFERROR(INDEX([239]MATERIALES!D:D,MATCH(B1505,[239]MATERIALES!B:B,0)),"")</f>
        <v>UND</v>
      </c>
      <c r="M1505" s="138">
        <v>0.03</v>
      </c>
      <c r="N1505" s="139">
        <f>IFERROR(INDEX([239]MATERIALES!P:P,MATCH(B1505,[239]MATERIALES!B:B,0)),"")</f>
        <v>12577.76</v>
      </c>
      <c r="O1505" s="140"/>
      <c r="P1505" s="118">
        <f>IFERROR(ROUND(N1505*M1505,2),"")</f>
        <v>377.33</v>
      </c>
      <c r="Q1505" s="119"/>
      <c r="R1505" s="4"/>
    </row>
    <row r="1506" spans="1:18">
      <c r="A1506" s="1">
        <f t="shared" si="52"/>
        <v>0</v>
      </c>
      <c r="B1506" s="2" t="s">
        <v>295</v>
      </c>
      <c r="C1506" s="8"/>
      <c r="D1506" s="109" t="str">
        <f>IFERROR(INDEX([239]MATERIALES!C:C,MATCH(B1506,[239]MATERIALES!B:B,0)),"")</f>
        <v>REMOVEDOR PVC (LIMPIADOR 1/4 )</v>
      </c>
      <c r="E1506" s="110"/>
      <c r="F1506" s="110"/>
      <c r="G1506" s="110"/>
      <c r="H1506" s="110"/>
      <c r="I1506" s="110"/>
      <c r="J1506" s="110"/>
      <c r="K1506" s="111"/>
      <c r="L1506" s="137" t="str">
        <f>IFERROR(INDEX([239]MATERIALES!D:D,MATCH(B1506,[239]MATERIALES!B:B,0)),"")</f>
        <v>GAL</v>
      </c>
      <c r="M1506" s="138">
        <v>0.01</v>
      </c>
      <c r="N1506" s="139">
        <f>IFERROR(INDEX([239]MATERIALES!P:P,MATCH(B1506,[239]MATERIALES!B:B,0)),"")</f>
        <v>54704</v>
      </c>
      <c r="O1506" s="140"/>
      <c r="P1506" s="118">
        <f t="shared" ref="P1506:P1515" si="53">IFERROR(ROUND(N1506*M1506,2),"")</f>
        <v>547.04</v>
      </c>
      <c r="Q1506" s="119"/>
      <c r="R1506" s="4"/>
    </row>
    <row r="1507" spans="1:18">
      <c r="A1507" s="1">
        <f t="shared" si="52"/>
        <v>0</v>
      </c>
      <c r="B1507" s="2" t="s">
        <v>294</v>
      </c>
      <c r="C1507" s="8"/>
      <c r="D1507" s="109" t="str">
        <f>IFERROR(INDEX([239]MATERIALES!C:C,MATCH(B1507,[239]MATERIALES!B:B,0)),"")</f>
        <v>SOLDADURA LIQUIDA PVC 1/4"</v>
      </c>
      <c r="E1507" s="110"/>
      <c r="F1507" s="110"/>
      <c r="G1507" s="110"/>
      <c r="H1507" s="110"/>
      <c r="I1507" s="110"/>
      <c r="J1507" s="110"/>
      <c r="K1507" s="111"/>
      <c r="L1507" s="137" t="str">
        <f>IFERROR(INDEX([239]MATERIALES!D:D,MATCH(B1507,[239]MATERIALES!B:B,0)),"")</f>
        <v>GAL</v>
      </c>
      <c r="M1507" s="138">
        <v>0.01</v>
      </c>
      <c r="N1507" s="139">
        <f>IFERROR(INDEX([239]MATERIALES!P:P,MATCH(B1507,[239]MATERIALES!B:B,0)),"")</f>
        <v>67444</v>
      </c>
      <c r="O1507" s="140"/>
      <c r="P1507" s="118">
        <f t="shared" si="53"/>
        <v>674.44</v>
      </c>
      <c r="Q1507" s="119"/>
      <c r="R1507" s="4"/>
    </row>
    <row r="1508" spans="1:18">
      <c r="A1508" s="1">
        <f t="shared" si="52"/>
        <v>0</v>
      </c>
      <c r="B1508" s="2"/>
      <c r="C1508" s="8"/>
      <c r="D1508" s="109" t="str">
        <f>IFERROR(INDEX([239]MATERIALES!C:C,MATCH(B1508,[239]MATERIALES!B:B,0)),"")</f>
        <v/>
      </c>
      <c r="E1508" s="110"/>
      <c r="F1508" s="110"/>
      <c r="G1508" s="110"/>
      <c r="H1508" s="110"/>
      <c r="I1508" s="110"/>
      <c r="J1508" s="110"/>
      <c r="K1508" s="111"/>
      <c r="L1508" s="137" t="str">
        <f>IFERROR(INDEX([239]MATERIALES!D:D,MATCH(B1508,[239]MATERIALES!B:B,0)),"")</f>
        <v/>
      </c>
      <c r="M1508" s="138"/>
      <c r="N1508" s="139" t="str">
        <f>IFERROR(INDEX([239]MATERIALES!P:P,MATCH(B1508,[239]MATERIALES!B:B,0)),"")</f>
        <v/>
      </c>
      <c r="O1508" s="140"/>
      <c r="P1508" s="118" t="str">
        <f t="shared" si="53"/>
        <v/>
      </c>
      <c r="Q1508" s="119"/>
      <c r="R1508" s="4"/>
    </row>
    <row r="1509" spans="1:18">
      <c r="A1509" s="1">
        <f t="shared" si="52"/>
        <v>0</v>
      </c>
      <c r="B1509" s="2"/>
      <c r="C1509" s="8"/>
      <c r="D1509" s="109" t="str">
        <f>IFERROR(INDEX([239]MATERIALES!C:C,MATCH(B1509,[239]MATERIALES!B:B,0)),"")</f>
        <v/>
      </c>
      <c r="E1509" s="110"/>
      <c r="F1509" s="110"/>
      <c r="G1509" s="110"/>
      <c r="H1509" s="110"/>
      <c r="I1509" s="110"/>
      <c r="J1509" s="110"/>
      <c r="K1509" s="111"/>
      <c r="L1509" s="137" t="str">
        <f>IFERROR(INDEX([239]MATERIALES!D:D,MATCH(B1509,[239]MATERIALES!B:B,0)),"")</f>
        <v/>
      </c>
      <c r="M1509" s="138"/>
      <c r="N1509" s="139" t="str">
        <f>IFERROR(INDEX([239]MATERIALES!P:P,MATCH(B1509,[239]MATERIALES!B:B,0)),"")</f>
        <v/>
      </c>
      <c r="O1509" s="140"/>
      <c r="P1509" s="118" t="str">
        <f t="shared" si="53"/>
        <v/>
      </c>
      <c r="Q1509" s="119"/>
      <c r="R1509" s="4"/>
    </row>
    <row r="1510" spans="1:18">
      <c r="A1510" s="1">
        <f t="shared" si="52"/>
        <v>0</v>
      </c>
      <c r="B1510" s="2"/>
      <c r="C1510" s="8"/>
      <c r="D1510" s="109" t="str">
        <f>IFERROR(INDEX([239]MATERIALES!C:C,MATCH(B1510,[239]MATERIALES!B:B,0)),"")</f>
        <v/>
      </c>
      <c r="E1510" s="110"/>
      <c r="F1510" s="110"/>
      <c r="G1510" s="110"/>
      <c r="H1510" s="110"/>
      <c r="I1510" s="110"/>
      <c r="J1510" s="110"/>
      <c r="K1510" s="111"/>
      <c r="L1510" s="137" t="str">
        <f>IFERROR(INDEX([239]MATERIALES!D:D,MATCH(B1510,[239]MATERIALES!B:B,0)),"")</f>
        <v/>
      </c>
      <c r="M1510" s="138"/>
      <c r="N1510" s="139" t="str">
        <f>IFERROR(INDEX([239]MATERIALES!P:P,MATCH(B1510,[239]MATERIALES!B:B,0)),"")</f>
        <v/>
      </c>
      <c r="O1510" s="140"/>
      <c r="P1510" s="118" t="str">
        <f t="shared" si="53"/>
        <v/>
      </c>
      <c r="Q1510" s="119"/>
      <c r="R1510" s="4"/>
    </row>
    <row r="1511" spans="1:18">
      <c r="A1511" s="1">
        <f t="shared" si="52"/>
        <v>0</v>
      </c>
      <c r="B1511" s="2"/>
      <c r="C1511" s="8"/>
      <c r="D1511" s="109" t="str">
        <f>IFERROR(INDEX([239]MATERIALES!C:C,MATCH(B1511,[239]MATERIALES!B:B,0)),"")</f>
        <v/>
      </c>
      <c r="E1511" s="110"/>
      <c r="F1511" s="110"/>
      <c r="G1511" s="110"/>
      <c r="H1511" s="110"/>
      <c r="I1511" s="110"/>
      <c r="J1511" s="110"/>
      <c r="K1511" s="111"/>
      <c r="L1511" s="137" t="str">
        <f>IFERROR(INDEX([239]MATERIALES!D:D,MATCH(B1511,[239]MATERIALES!B:B,0)),"")</f>
        <v/>
      </c>
      <c r="M1511" s="138"/>
      <c r="N1511" s="139" t="str">
        <f>IFERROR(INDEX([239]MATERIALES!P:P,MATCH(B1511,[239]MATERIALES!B:B,0)),"")</f>
        <v/>
      </c>
      <c r="O1511" s="140"/>
      <c r="P1511" s="118" t="str">
        <f t="shared" si="53"/>
        <v/>
      </c>
      <c r="Q1511" s="119"/>
      <c r="R1511" s="4"/>
    </row>
    <row r="1512" spans="1:18">
      <c r="A1512" s="1">
        <f t="shared" si="52"/>
        <v>0</v>
      </c>
      <c r="B1512" s="2"/>
      <c r="C1512" s="8"/>
      <c r="D1512" s="109" t="str">
        <f>IFERROR(INDEX([239]MATERIALES!C:C,MATCH(B1512,[239]MATERIALES!B:B,0)),"")</f>
        <v/>
      </c>
      <c r="E1512" s="110"/>
      <c r="F1512" s="110"/>
      <c r="G1512" s="110"/>
      <c r="H1512" s="110"/>
      <c r="I1512" s="110"/>
      <c r="J1512" s="110"/>
      <c r="K1512" s="111"/>
      <c r="L1512" s="137" t="str">
        <f>IFERROR(INDEX([239]MATERIALES!D:D,MATCH(B1512,[239]MATERIALES!B:B,0)),"")</f>
        <v/>
      </c>
      <c r="M1512" s="138"/>
      <c r="N1512" s="139" t="str">
        <f>IFERROR(INDEX([239]MATERIALES!P:P,MATCH(B1512,[239]MATERIALES!B:B,0)),"")</f>
        <v/>
      </c>
      <c r="O1512" s="140"/>
      <c r="P1512" s="118" t="str">
        <f t="shared" si="53"/>
        <v/>
      </c>
      <c r="Q1512" s="119"/>
      <c r="R1512" s="4"/>
    </row>
    <row r="1513" spans="1:18">
      <c r="A1513" s="1">
        <f t="shared" si="52"/>
        <v>0</v>
      </c>
      <c r="B1513" s="2"/>
      <c r="C1513" s="8"/>
      <c r="D1513" s="109" t="str">
        <f>IFERROR(INDEX([239]MATERIALES!C:C,MATCH(B1513,[239]MATERIALES!B:B,0)),"")</f>
        <v/>
      </c>
      <c r="E1513" s="110"/>
      <c r="F1513" s="110"/>
      <c r="G1513" s="110"/>
      <c r="H1513" s="110"/>
      <c r="I1513" s="110"/>
      <c r="J1513" s="110"/>
      <c r="K1513" s="111"/>
      <c r="L1513" s="137" t="str">
        <f>IFERROR(INDEX([239]MATERIALES!D:D,MATCH(B1513,[239]MATERIALES!B:B,0)),"")</f>
        <v/>
      </c>
      <c r="M1513" s="138"/>
      <c r="N1513" s="139" t="str">
        <f>IFERROR(INDEX([239]MATERIALES!P:P,MATCH(B1513,[239]MATERIALES!B:B,0)),"")</f>
        <v/>
      </c>
      <c r="O1513" s="140"/>
      <c r="P1513" s="118" t="str">
        <f t="shared" si="53"/>
        <v/>
      </c>
      <c r="Q1513" s="119"/>
      <c r="R1513" s="4"/>
    </row>
    <row r="1514" spans="1:18">
      <c r="A1514" s="1">
        <f t="shared" si="52"/>
        <v>0</v>
      </c>
      <c r="B1514" s="2"/>
      <c r="C1514" s="8"/>
      <c r="D1514" s="109" t="str">
        <f>IFERROR(INDEX([239]MATERIALES!C:C,MATCH(B1514,[239]MATERIALES!B:B,0)),"")</f>
        <v/>
      </c>
      <c r="E1514" s="110"/>
      <c r="F1514" s="110"/>
      <c r="G1514" s="110"/>
      <c r="H1514" s="110"/>
      <c r="I1514" s="110"/>
      <c r="J1514" s="110"/>
      <c r="K1514" s="111"/>
      <c r="L1514" s="137" t="str">
        <f>IFERROR(INDEX([239]MATERIALES!D:D,MATCH(B1514,[239]MATERIALES!B:B,0)),"")</f>
        <v/>
      </c>
      <c r="M1514" s="138"/>
      <c r="N1514" s="139" t="str">
        <f>IFERROR(INDEX([239]MATERIALES!P:P,MATCH(B1514,[239]MATERIALES!B:B,0)),"")</f>
        <v/>
      </c>
      <c r="O1514" s="140"/>
      <c r="P1514" s="118" t="str">
        <f t="shared" si="53"/>
        <v/>
      </c>
      <c r="Q1514" s="119"/>
      <c r="R1514" s="4"/>
    </row>
    <row r="1515" spans="1:18">
      <c r="A1515" s="1">
        <f t="shared" si="52"/>
        <v>0</v>
      </c>
      <c r="B1515" s="2"/>
      <c r="C1515" s="8"/>
      <c r="D1515" s="109" t="str">
        <f>IFERROR(INDEX([239]MATERIALES!C:C,MATCH(B1515,[239]MATERIALES!B:B,0)),"")</f>
        <v/>
      </c>
      <c r="E1515" s="110"/>
      <c r="F1515" s="110"/>
      <c r="G1515" s="110"/>
      <c r="H1515" s="110"/>
      <c r="I1515" s="110"/>
      <c r="J1515" s="110"/>
      <c r="K1515" s="111"/>
      <c r="L1515" s="137" t="str">
        <f>IFERROR(INDEX([239]MATERIALES!D:D,MATCH(B1515,[239]MATERIALES!B:B,0)),"")</f>
        <v/>
      </c>
      <c r="M1515" s="138"/>
      <c r="N1515" s="139" t="str">
        <f>IFERROR(INDEX([239]MATERIALES!P:P,MATCH(B1515,[239]MATERIALES!B:B,0)),"")</f>
        <v/>
      </c>
      <c r="O1515" s="140"/>
      <c r="P1515" s="118" t="str">
        <f t="shared" si="53"/>
        <v/>
      </c>
      <c r="Q1515" s="119"/>
      <c r="R1515" s="4"/>
    </row>
    <row r="1516" spans="1:18" ht="15.75" thickBot="1">
      <c r="A1516" s="1">
        <f t="shared" si="52"/>
        <v>0</v>
      </c>
      <c r="B1516" s="2"/>
      <c r="C1516" s="8"/>
      <c r="D1516" s="109" t="s">
        <v>28</v>
      </c>
      <c r="E1516" s="110"/>
      <c r="F1516" s="110"/>
      <c r="G1516" s="110"/>
      <c r="H1516" s="110"/>
      <c r="I1516" s="110"/>
      <c r="J1516" s="110"/>
      <c r="K1516" s="111"/>
      <c r="L1516" s="137" t="s">
        <v>29</v>
      </c>
      <c r="M1516" s="138">
        <v>0.05</v>
      </c>
      <c r="N1516" s="139">
        <f>SUM(P1502:P1515)</f>
        <v>28722.420000000002</v>
      </c>
      <c r="O1516" s="140"/>
      <c r="P1516" s="118">
        <f>ROUND(N1516*M1516,2)</f>
        <v>1436.12</v>
      </c>
      <c r="Q1516" s="119"/>
      <c r="R1516" s="4"/>
    </row>
    <row r="1517" spans="1:18" ht="15.75" thickBot="1">
      <c r="A1517" s="1">
        <f t="shared" si="52"/>
        <v>0</v>
      </c>
      <c r="B1517" s="2"/>
      <c r="C1517" s="8"/>
      <c r="D1517" s="128" t="s">
        <v>24</v>
      </c>
      <c r="E1517" s="129"/>
      <c r="F1517" s="129"/>
      <c r="G1517" s="129"/>
      <c r="H1517" s="129"/>
      <c r="I1517" s="129"/>
      <c r="J1517" s="129"/>
      <c r="K1517" s="129"/>
      <c r="L1517" s="129"/>
      <c r="M1517" s="129"/>
      <c r="N1517" s="129"/>
      <c r="O1517" s="130"/>
      <c r="P1517" s="131">
        <f>SUM(P1502:P1516)</f>
        <v>30158.54</v>
      </c>
      <c r="Q1517" s="119"/>
      <c r="R1517" s="4"/>
    </row>
    <row r="1518" spans="1:18" ht="15.75" thickBot="1">
      <c r="A1518" s="1">
        <f t="shared" si="52"/>
        <v>0</v>
      </c>
      <c r="B1518" s="2"/>
      <c r="C1518" s="8"/>
      <c r="D1518" s="74" t="s">
        <v>30</v>
      </c>
      <c r="E1518" s="37"/>
      <c r="F1518" s="37"/>
      <c r="G1518" s="37"/>
      <c r="H1518" s="37"/>
      <c r="I1518" s="37"/>
      <c r="J1518" s="37"/>
      <c r="K1518" s="37"/>
      <c r="L1518" s="37"/>
      <c r="M1518" s="37"/>
      <c r="N1518" s="37"/>
      <c r="O1518" s="37"/>
      <c r="P1518" s="99"/>
      <c r="Q1518" s="100"/>
      <c r="R1518" s="4"/>
    </row>
    <row r="1519" spans="1:18">
      <c r="A1519" s="1">
        <f t="shared" si="52"/>
        <v>0</v>
      </c>
      <c r="B1519" s="2"/>
      <c r="C1519" s="8"/>
      <c r="D1519" s="101" t="s">
        <v>31</v>
      </c>
      <c r="E1519" s="133"/>
      <c r="F1519" s="133"/>
      <c r="G1519" s="133"/>
      <c r="H1519" s="133"/>
      <c r="I1519" s="133"/>
      <c r="J1519" s="133"/>
      <c r="K1519" s="106" t="s">
        <v>32</v>
      </c>
      <c r="L1519" s="141" t="s">
        <v>33</v>
      </c>
      <c r="M1519" s="106" t="s">
        <v>34</v>
      </c>
      <c r="N1519" s="104" t="s">
        <v>20</v>
      </c>
      <c r="O1519" s="105"/>
      <c r="P1519" s="107" t="s">
        <v>22</v>
      </c>
      <c r="Q1519" s="108"/>
      <c r="R1519" s="4"/>
    </row>
    <row r="1520" spans="1:18">
      <c r="A1520" s="1">
        <f t="shared" si="52"/>
        <v>0</v>
      </c>
      <c r="B1520" s="2"/>
      <c r="C1520" s="8"/>
      <c r="D1520" s="142" t="str">
        <f>IFERROR(INDEX([239]TRANSPORTES!B:B,MATCH(B1520,[239]TRANSPORTES!A:A,0)),"")</f>
        <v/>
      </c>
      <c r="E1520" s="143"/>
      <c r="F1520" s="143"/>
      <c r="G1520" s="143"/>
      <c r="H1520" s="143"/>
      <c r="I1520" s="143"/>
      <c r="J1520" s="143"/>
      <c r="K1520" s="220"/>
      <c r="L1520" s="145"/>
      <c r="M1520" s="146" t="str">
        <f>IFERROR(INDEX([239]TRANSPORTES!C:C,MATCH(B1520,[239]TRANSPORTES!A:A,0)),"")</f>
        <v/>
      </c>
      <c r="N1520" s="139" t="str">
        <f>IFERROR(INDEX([239]TRANSPORTES!D:D,MATCH(B1520,[239]TRANSPORTES!A:A,0)),"")</f>
        <v/>
      </c>
      <c r="O1520" s="147"/>
      <c r="P1520" s="148" t="str">
        <f>IFERROR(ROUND(K1520*N1520*L1520,2),"")</f>
        <v/>
      </c>
      <c r="Q1520" s="119"/>
      <c r="R1520" s="4"/>
    </row>
    <row r="1521" spans="1:18">
      <c r="A1521" s="1">
        <f t="shared" si="52"/>
        <v>0</v>
      </c>
      <c r="B1521" s="2"/>
      <c r="C1521" s="8"/>
      <c r="D1521" s="142" t="str">
        <f>IFERROR(INDEX([239]TRANSPORTES!B:B,MATCH(B1521,[239]TRANSPORTES!A:A,0)),"")</f>
        <v/>
      </c>
      <c r="E1521" s="143"/>
      <c r="F1521" s="143"/>
      <c r="G1521" s="143"/>
      <c r="H1521" s="143"/>
      <c r="I1521" s="143"/>
      <c r="J1521" s="143"/>
      <c r="K1521" s="144"/>
      <c r="L1521" s="145"/>
      <c r="M1521" s="146" t="str">
        <f>IFERROR(INDEX([239]TRANSPORTES!C:C,MATCH(B1521,[239]TRANSPORTES!A:A,0)),"")</f>
        <v/>
      </c>
      <c r="N1521" s="139" t="str">
        <f>IFERROR(INDEX([239]TRANSPORTES!D:D,MATCH(B1521,[239]TRANSPORTES!A:A,0)),"")</f>
        <v/>
      </c>
      <c r="O1521" s="147"/>
      <c r="P1521" s="148" t="str">
        <f>IFERROR(ROUND(K1521*N1521*L1521,2),"")</f>
        <v/>
      </c>
      <c r="Q1521" s="119"/>
      <c r="R1521" s="4"/>
    </row>
    <row r="1522" spans="1:18">
      <c r="A1522" s="1">
        <f t="shared" si="52"/>
        <v>0</v>
      </c>
      <c r="B1522" s="2"/>
      <c r="C1522" s="8"/>
      <c r="D1522" s="142" t="str">
        <f>IFERROR(INDEX([239]TRANSPORTES!B:B,MATCH(B1522,[239]TRANSPORTES!A:A,0)),"")</f>
        <v/>
      </c>
      <c r="E1522" s="143"/>
      <c r="F1522" s="143"/>
      <c r="G1522" s="143"/>
      <c r="H1522" s="143"/>
      <c r="I1522" s="143"/>
      <c r="J1522" s="143"/>
      <c r="K1522" s="144"/>
      <c r="L1522" s="145"/>
      <c r="M1522" s="146" t="str">
        <f>IFERROR(INDEX([239]TRANSPORTES!C:C,MATCH(B1522,[239]TRANSPORTES!A:A,0)),"")</f>
        <v/>
      </c>
      <c r="N1522" s="139" t="str">
        <f>IFERROR(INDEX([239]TRANSPORTES!D:D,MATCH(B1522,[239]TRANSPORTES!A:A,0)),"")</f>
        <v/>
      </c>
      <c r="O1522" s="147"/>
      <c r="P1522" s="148" t="str">
        <f>IFERROR(ROUND(K1522*N1522*L1522,2),"")</f>
        <v/>
      </c>
      <c r="Q1522" s="119"/>
      <c r="R1522" s="4"/>
    </row>
    <row r="1523" spans="1:18" ht="15.75" thickBot="1">
      <c r="A1523" s="1">
        <f t="shared" si="52"/>
        <v>0</v>
      </c>
      <c r="B1523" s="2"/>
      <c r="C1523" s="8"/>
      <c r="D1523" s="142" t="str">
        <f>IFERROR(INDEX([239]TRANSPORTES!B:B,MATCH(B1523,[239]TRANSPORTES!A:A,0)),"")</f>
        <v/>
      </c>
      <c r="E1523" s="143"/>
      <c r="F1523" s="143"/>
      <c r="G1523" s="143"/>
      <c r="H1523" s="143"/>
      <c r="I1523" s="143"/>
      <c r="J1523" s="143"/>
      <c r="K1523" s="149"/>
      <c r="L1523" s="150"/>
      <c r="M1523" s="146" t="str">
        <f>IFERROR(INDEX([239]TRANSPORTES!C:C,MATCH(B1523,[239]TRANSPORTES!A:A,0)),"")</f>
        <v/>
      </c>
      <c r="N1523" s="139" t="str">
        <f>IFERROR(INDEX([239]TRANSPORTES!D:D,MATCH(B1523,[239]TRANSPORTES!A:A,0)),"")</f>
        <v/>
      </c>
      <c r="O1523" s="147"/>
      <c r="P1523" s="148" t="str">
        <f>IFERROR(ROUND(K1523*N1523*L1523,2),"")</f>
        <v/>
      </c>
      <c r="Q1523" s="119"/>
      <c r="R1523" s="4"/>
    </row>
    <row r="1524" spans="1:18" ht="15.75" thickBot="1">
      <c r="A1524" s="1">
        <f t="shared" si="52"/>
        <v>0</v>
      </c>
      <c r="B1524" s="2"/>
      <c r="C1524" s="8"/>
      <c r="D1524" s="128" t="s">
        <v>24</v>
      </c>
      <c r="E1524" s="129"/>
      <c r="F1524" s="129"/>
      <c r="G1524" s="129"/>
      <c r="H1524" s="129"/>
      <c r="I1524" s="129"/>
      <c r="J1524" s="129"/>
      <c r="K1524" s="129"/>
      <c r="L1524" s="129"/>
      <c r="M1524" s="129"/>
      <c r="N1524" s="129"/>
      <c r="O1524" s="130"/>
      <c r="P1524" s="151">
        <f>SUM(P1520:P1523)</f>
        <v>0</v>
      </c>
      <c r="Q1524" s="132"/>
      <c r="R1524" s="4"/>
    </row>
    <row r="1525" spans="1:18" ht="15.75" thickBot="1">
      <c r="A1525" s="1">
        <f t="shared" si="52"/>
        <v>0</v>
      </c>
      <c r="B1525" s="2"/>
      <c r="C1525" s="8"/>
      <c r="D1525" s="74" t="s">
        <v>36</v>
      </c>
      <c r="E1525" s="37"/>
      <c r="F1525" s="37"/>
      <c r="G1525" s="37"/>
      <c r="H1525" s="37"/>
      <c r="I1525" s="37"/>
      <c r="J1525" s="37"/>
      <c r="K1525" s="37"/>
      <c r="L1525" s="37"/>
      <c r="M1525" s="37"/>
      <c r="N1525" s="37"/>
      <c r="O1525" s="37"/>
      <c r="P1525" s="99"/>
      <c r="Q1525" s="100"/>
      <c r="R1525" s="4"/>
    </row>
    <row r="1526" spans="1:18" ht="30">
      <c r="A1526" s="1">
        <f t="shared" si="52"/>
        <v>0</v>
      </c>
      <c r="B1526" s="2"/>
      <c r="C1526" s="8"/>
      <c r="D1526" s="101" t="s">
        <v>37</v>
      </c>
      <c r="E1526" s="133"/>
      <c r="F1526" s="133"/>
      <c r="G1526" s="133"/>
      <c r="H1526" s="133"/>
      <c r="I1526" s="133"/>
      <c r="J1526" s="133"/>
      <c r="K1526" s="106" t="s">
        <v>38</v>
      </c>
      <c r="L1526" s="152" t="s">
        <v>39</v>
      </c>
      <c r="M1526" s="153" t="s">
        <v>40</v>
      </c>
      <c r="N1526" s="104" t="s">
        <v>21</v>
      </c>
      <c r="O1526" s="105"/>
      <c r="P1526" s="154" t="s">
        <v>22</v>
      </c>
      <c r="Q1526" s="155"/>
      <c r="R1526" s="4"/>
    </row>
    <row r="1527" spans="1:18">
      <c r="A1527" s="1">
        <f t="shared" si="52"/>
        <v>0</v>
      </c>
      <c r="B1527" s="2" t="s">
        <v>41</v>
      </c>
      <c r="C1527" s="8"/>
      <c r="D1527" s="109" t="str">
        <f>IFERROR(INDEX('[239]MANO DE OBRA'!B:B,MATCH(B1527,'[239]MANO DE OBRA'!A:A,0)),"")</f>
        <v>OFICIAL</v>
      </c>
      <c r="E1527" s="110"/>
      <c r="F1527" s="110"/>
      <c r="G1527" s="110"/>
      <c r="H1527" s="110"/>
      <c r="I1527" s="110"/>
      <c r="J1527" s="111"/>
      <c r="K1527" s="156">
        <f>IFERROR(INDEX('[239]MANO DE OBRA'!D:D,MATCH(B1527,'[239]MANO DE OBRA'!A:A,0)),"")</f>
        <v>95930</v>
      </c>
      <c r="L1527" s="157">
        <f>+IF(D1527&lt;&gt;"",'[239]FACTOR PRESTACIONAL'!$E$21," ")</f>
        <v>1.95</v>
      </c>
      <c r="M1527" s="158">
        <f>IFERROR(K1527*L1527," ")</f>
        <v>187063.5</v>
      </c>
      <c r="N1527" s="159">
        <v>20</v>
      </c>
      <c r="O1527" s="160"/>
      <c r="P1527" s="161">
        <f>IFERROR(ROUND(M1527/N1527,2)," ")</f>
        <v>9353.18</v>
      </c>
      <c r="Q1527" s="162"/>
      <c r="R1527" s="4"/>
    </row>
    <row r="1528" spans="1:18">
      <c r="A1528" s="1">
        <f t="shared" si="52"/>
        <v>0</v>
      </c>
      <c r="B1528" s="2" t="s">
        <v>81</v>
      </c>
      <c r="C1528" s="8"/>
      <c r="D1528" s="109" t="str">
        <f>IFERROR(INDEX('[239]MANO DE OBRA'!B:B,MATCH(B1528,'[239]MANO DE OBRA'!A:A,0)),"")</f>
        <v>AYUDANTE (1)</v>
      </c>
      <c r="E1528" s="110"/>
      <c r="F1528" s="110"/>
      <c r="G1528" s="110"/>
      <c r="H1528" s="110"/>
      <c r="I1528" s="110"/>
      <c r="J1528" s="111"/>
      <c r="K1528" s="156">
        <f>IFERROR(INDEX('[239]MANO DE OBRA'!D:D,MATCH(B1528,'[239]MANO DE OBRA'!A:A,0)),"")</f>
        <v>71433</v>
      </c>
      <c r="L1528" s="157">
        <f>+IF(D1528&lt;&gt;"",'[239]FACTOR PRESTACIONAL'!$E$21," ")</f>
        <v>1.95</v>
      </c>
      <c r="M1528" s="158">
        <f>IFERROR(K1528*L1528," ")</f>
        <v>139294.35</v>
      </c>
      <c r="N1528" s="159">
        <v>20</v>
      </c>
      <c r="O1528" s="160"/>
      <c r="P1528" s="161">
        <f>IFERROR(ROUND(M1528/N1528,2)," ")</f>
        <v>6964.72</v>
      </c>
      <c r="Q1528" s="162"/>
      <c r="R1528" s="4"/>
    </row>
    <row r="1529" spans="1:18">
      <c r="A1529" s="1">
        <f t="shared" si="52"/>
        <v>0</v>
      </c>
      <c r="B1529" s="2"/>
      <c r="C1529" s="8"/>
      <c r="D1529" s="109" t="str">
        <f>IFERROR(INDEX('[239]MANO DE OBRA'!B:B,MATCH(B1529,'[239]MANO DE OBRA'!A:A,0)),"")</f>
        <v/>
      </c>
      <c r="E1529" s="110"/>
      <c r="F1529" s="110"/>
      <c r="G1529" s="110"/>
      <c r="H1529" s="110"/>
      <c r="I1529" s="110"/>
      <c r="J1529" s="111"/>
      <c r="K1529" s="156" t="str">
        <f>IFERROR(INDEX('[239]MANO DE OBRA'!D:D,MATCH(B1529,'[239]MANO DE OBRA'!A:A,0)),"")</f>
        <v/>
      </c>
      <c r="L1529" s="157" t="str">
        <f>+IF(D1529&lt;&gt;"",'[239]FACTOR PRESTACIONAL'!$E$21," ")</f>
        <v xml:space="preserve"> </v>
      </c>
      <c r="M1529" s="158" t="str">
        <f>IFERROR(K1529*L1529," ")</f>
        <v xml:space="preserve"> </v>
      </c>
      <c r="N1529" s="159"/>
      <c r="O1529" s="160"/>
      <c r="P1529" s="161" t="str">
        <f>IFERROR(ROUND(M1529/N1529,2)," ")</f>
        <v xml:space="preserve"> </v>
      </c>
      <c r="Q1529" s="162"/>
      <c r="R1529" s="4"/>
    </row>
    <row r="1530" spans="1:18">
      <c r="A1530" s="1">
        <f t="shared" si="52"/>
        <v>0</v>
      </c>
      <c r="B1530" s="2"/>
      <c r="C1530" s="8"/>
      <c r="D1530" s="109" t="str">
        <f>IFERROR(INDEX('[239]MANO DE OBRA'!B:B,MATCH(B1530,'[239]MANO DE OBRA'!A:A,0)),"")</f>
        <v/>
      </c>
      <c r="E1530" s="110"/>
      <c r="F1530" s="110"/>
      <c r="G1530" s="110"/>
      <c r="H1530" s="110"/>
      <c r="I1530" s="110"/>
      <c r="J1530" s="111"/>
      <c r="K1530" s="156" t="str">
        <f>IFERROR(INDEX('[239]MANO DE OBRA'!D:D,MATCH(B1530,'[239]MANO DE OBRA'!A:A,0)),"")</f>
        <v/>
      </c>
      <c r="L1530" s="157" t="str">
        <f>+IF(D1530&lt;&gt;"",'[239]FACTOR PRESTACIONAL'!$E$21," ")</f>
        <v xml:space="preserve"> </v>
      </c>
      <c r="M1530" s="158" t="str">
        <f>IFERROR(K1530*L1530," ")</f>
        <v xml:space="preserve"> </v>
      </c>
      <c r="N1530" s="159"/>
      <c r="O1530" s="160"/>
      <c r="P1530" s="161" t="str">
        <f>IFERROR(ROUND(M1530/N1530,2)," ")</f>
        <v xml:space="preserve"> </v>
      </c>
      <c r="Q1530" s="162"/>
      <c r="R1530" s="4"/>
    </row>
    <row r="1531" spans="1:18" ht="15.75" thickBot="1">
      <c r="A1531" s="1">
        <f t="shared" si="52"/>
        <v>0</v>
      </c>
      <c r="B1531" s="2"/>
      <c r="C1531" s="8"/>
      <c r="D1531" s="109" t="str">
        <f>IFERROR(INDEX('[239]MANO DE OBRA'!B:B,MATCH(B1531,'[239]MANO DE OBRA'!A:A,0)),"")</f>
        <v/>
      </c>
      <c r="E1531" s="110"/>
      <c r="F1531" s="110"/>
      <c r="G1531" s="110"/>
      <c r="H1531" s="110"/>
      <c r="I1531" s="110"/>
      <c r="J1531" s="111"/>
      <c r="K1531" s="156" t="str">
        <f>IFERROR(INDEX('[239]MANO DE OBRA'!D:D,MATCH(B1531,'[239]MANO DE OBRA'!A:A,0)),"")</f>
        <v/>
      </c>
      <c r="L1531" s="157" t="str">
        <f>+IF(D1531&lt;&gt;"",'[239]FACTOR PRESTACIONAL'!$E$21," ")</f>
        <v xml:space="preserve"> </v>
      </c>
      <c r="M1531" s="158" t="str">
        <f>IFERROR(K1531*L1531," ")</f>
        <v xml:space="preserve"> </v>
      </c>
      <c r="N1531" s="159"/>
      <c r="O1531" s="160"/>
      <c r="P1531" s="161" t="str">
        <f>IFERROR(ROUND(M1531/N1531,2)," ")</f>
        <v xml:space="preserve"> </v>
      </c>
      <c r="Q1531" s="119"/>
      <c r="R1531" s="4"/>
    </row>
    <row r="1532" spans="1:18" ht="15.75" thickBot="1">
      <c r="A1532" s="1">
        <f t="shared" si="52"/>
        <v>0</v>
      </c>
      <c r="B1532" s="2"/>
      <c r="C1532" s="8"/>
      <c r="D1532" s="128" t="s">
        <v>24</v>
      </c>
      <c r="E1532" s="129"/>
      <c r="F1532" s="129"/>
      <c r="G1532" s="129"/>
      <c r="H1532" s="129"/>
      <c r="I1532" s="129"/>
      <c r="J1532" s="129"/>
      <c r="K1532" s="129"/>
      <c r="L1532" s="129"/>
      <c r="M1532" s="129"/>
      <c r="N1532" s="129"/>
      <c r="O1532" s="130"/>
      <c r="P1532" s="131">
        <f>SUM(P1527:P1531)</f>
        <v>16317.900000000001</v>
      </c>
      <c r="Q1532" s="119"/>
      <c r="R1532" s="4"/>
    </row>
    <row r="1533" spans="1:18" ht="15.75" thickBot="1">
      <c r="A1533" s="1">
        <f t="shared" si="52"/>
        <v>0</v>
      </c>
      <c r="B1533" s="2"/>
      <c r="C1533" s="8"/>
      <c r="D1533" s="87"/>
      <c r="E1533" s="20"/>
      <c r="F1533" s="20"/>
      <c r="G1533" s="20"/>
      <c r="H1533" s="20"/>
      <c r="I1533" s="20"/>
      <c r="J1533" s="20"/>
      <c r="K1533" s="20"/>
      <c r="L1533" s="20"/>
      <c r="M1533" s="20"/>
      <c r="N1533" s="20"/>
      <c r="O1533" s="20"/>
      <c r="P1533" s="88"/>
      <c r="Q1533" s="13"/>
      <c r="R1533" s="4"/>
    </row>
    <row r="1534" spans="1:18" ht="15.75" thickBot="1">
      <c r="A1534" s="1"/>
      <c r="B1534" s="2"/>
      <c r="C1534" s="8"/>
      <c r="D1534" s="163" t="s">
        <v>43</v>
      </c>
      <c r="E1534" s="164"/>
      <c r="F1534" s="164"/>
      <c r="G1534" s="164"/>
      <c r="H1534" s="164"/>
      <c r="I1534" s="164"/>
      <c r="J1534" s="164"/>
      <c r="K1534" s="164"/>
      <c r="L1534" s="164"/>
      <c r="M1534" s="164"/>
      <c r="N1534" s="164"/>
      <c r="O1534" s="165"/>
      <c r="P1534" s="166">
        <f>+P1532+P1524+P1517+P1499</f>
        <v>48108.23</v>
      </c>
      <c r="Q1534" s="167"/>
      <c r="R1534" s="168"/>
    </row>
    <row r="1535" spans="1:18" ht="15.75" thickBot="1">
      <c r="A1535" s="1"/>
      <c r="B1535" s="2"/>
      <c r="C1535" s="8"/>
      <c r="D1535" s="169"/>
      <c r="E1535" s="170"/>
      <c r="F1535" s="170"/>
      <c r="G1535" s="170"/>
      <c r="H1535" s="170"/>
      <c r="I1535" s="170"/>
      <c r="J1535" s="170"/>
      <c r="K1535" s="170"/>
      <c r="L1535" s="170"/>
      <c r="M1535" s="170"/>
      <c r="N1535" s="170"/>
      <c r="O1535" s="170"/>
      <c r="P1535" s="171"/>
      <c r="Q1535" s="100"/>
      <c r="R1535" s="4"/>
    </row>
    <row r="1536" spans="1:18">
      <c r="A1536" s="1"/>
      <c r="B1536" s="2"/>
      <c r="C1536" s="8"/>
      <c r="D1536" s="172" t="s">
        <v>73</v>
      </c>
      <c r="E1536" s="173"/>
      <c r="F1536" s="173"/>
      <c r="G1536" s="173"/>
      <c r="H1536" s="173"/>
      <c r="I1536" s="173"/>
      <c r="J1536" s="173"/>
      <c r="K1536" s="141"/>
      <c r="L1536" s="174"/>
      <c r="M1536" s="153" t="s">
        <v>44</v>
      </c>
      <c r="N1536" s="175" t="s">
        <v>45</v>
      </c>
      <c r="O1536" s="176"/>
      <c r="P1536" s="154"/>
      <c r="Q1536" s="155"/>
      <c r="R1536" s="4"/>
    </row>
    <row r="1537" spans="1:18">
      <c r="A1537" s="1"/>
      <c r="B1537" s="2"/>
      <c r="C1537" s="8"/>
      <c r="D1537" s="109" t="s">
        <v>65</v>
      </c>
      <c r="E1537" s="110"/>
      <c r="F1537" s="110"/>
      <c r="G1537" s="110"/>
      <c r="H1537" s="110"/>
      <c r="I1537" s="110"/>
      <c r="J1537" s="110"/>
      <c r="K1537" s="177"/>
      <c r="L1537" s="178"/>
      <c r="M1537" s="179">
        <f>+[239]INICIO!$F$10</f>
        <v>0.24</v>
      </c>
      <c r="N1537" s="180">
        <f>ROUND(M1537*P1534,2)</f>
        <v>11545.98</v>
      </c>
      <c r="O1537" s="181"/>
      <c r="P1537" s="182"/>
      <c r="Q1537" s="119"/>
      <c r="R1537" s="4"/>
    </row>
    <row r="1538" spans="1:18">
      <c r="A1538" s="1"/>
      <c r="B1538" s="2"/>
      <c r="C1538" s="8"/>
      <c r="D1538" s="183" t="s">
        <v>67</v>
      </c>
      <c r="E1538" s="61"/>
      <c r="F1538" s="61"/>
      <c r="G1538" s="61"/>
      <c r="H1538" s="61"/>
      <c r="I1538" s="61"/>
      <c r="J1538" s="61"/>
      <c r="K1538" s="177"/>
      <c r="L1538" s="178"/>
      <c r="M1538" s="179">
        <f>+[239]INICIO!$F$11</f>
        <v>0.02</v>
      </c>
      <c r="N1538" s="180">
        <f>ROUND(M1538*P1534,2)</f>
        <v>962.16</v>
      </c>
      <c r="O1538" s="181"/>
      <c r="P1538" s="182"/>
      <c r="Q1538" s="119"/>
      <c r="R1538" s="4"/>
    </row>
    <row r="1539" spans="1:18" ht="15.75" thickBot="1">
      <c r="A1539" s="1"/>
      <c r="B1539" s="2"/>
      <c r="C1539" s="8"/>
      <c r="D1539" s="77" t="s">
        <v>69</v>
      </c>
      <c r="E1539" s="78"/>
      <c r="F1539" s="78"/>
      <c r="G1539" s="78"/>
      <c r="H1539" s="78"/>
      <c r="I1539" s="78"/>
      <c r="J1539" s="78"/>
      <c r="K1539" s="184"/>
      <c r="L1539" s="185"/>
      <c r="M1539" s="179">
        <f>+[239]INICIO!$F$12</f>
        <v>7.0000000000000007E-2</v>
      </c>
      <c r="N1539" s="180">
        <f>ROUND(M1539*P1534,2)</f>
        <v>3367.58</v>
      </c>
      <c r="O1539" s="181"/>
      <c r="P1539" s="182"/>
      <c r="Q1539" s="119"/>
      <c r="R1539" s="4"/>
    </row>
    <row r="1540" spans="1:18" ht="15.75" thickBot="1">
      <c r="A1540" s="1"/>
      <c r="B1540" s="2"/>
      <c r="C1540" s="8"/>
      <c r="D1540" s="128"/>
      <c r="E1540" s="129"/>
      <c r="F1540" s="129"/>
      <c r="G1540" s="129"/>
      <c r="H1540" s="129"/>
      <c r="I1540" s="129"/>
      <c r="J1540" s="129"/>
      <c r="K1540" s="129"/>
      <c r="L1540" s="129"/>
      <c r="M1540" s="129"/>
      <c r="N1540" s="129"/>
      <c r="O1540" s="130"/>
      <c r="P1540" s="131">
        <f>SUM(N1537:N1539)</f>
        <v>15875.72</v>
      </c>
      <c r="Q1540" s="186"/>
      <c r="R1540" s="4"/>
    </row>
    <row r="1541" spans="1:18" ht="15.75" thickBot="1">
      <c r="A1541" s="1"/>
      <c r="B1541" s="2"/>
      <c r="C1541" s="8"/>
      <c r="D1541" s="87"/>
      <c r="E1541" s="20"/>
      <c r="F1541" s="20"/>
      <c r="G1541" s="20"/>
      <c r="H1541" s="20"/>
      <c r="I1541" s="20"/>
      <c r="J1541" s="20"/>
      <c r="K1541" s="20"/>
      <c r="L1541" s="20"/>
      <c r="M1541" s="20"/>
      <c r="N1541" s="20"/>
      <c r="O1541" s="20"/>
      <c r="P1541" s="88"/>
      <c r="Q1541" s="13"/>
      <c r="R1541" s="4"/>
    </row>
    <row r="1542" spans="1:18" ht="15.75" thickBot="1">
      <c r="A1542" s="1"/>
      <c r="B1542" s="2"/>
      <c r="C1542" s="8"/>
      <c r="D1542" s="187" t="s">
        <v>46</v>
      </c>
      <c r="E1542" s="188"/>
      <c r="F1542" s="188"/>
      <c r="G1542" s="188"/>
      <c r="H1542" s="188"/>
      <c r="I1542" s="188"/>
      <c r="J1542" s="188"/>
      <c r="K1542" s="188"/>
      <c r="L1542" s="188"/>
      <c r="M1542" s="188"/>
      <c r="N1542" s="188"/>
      <c r="O1542" s="189"/>
      <c r="P1542" s="166">
        <f>ROUND(P1540+P1534,0)</f>
        <v>63984</v>
      </c>
      <c r="Q1542" s="186"/>
      <c r="R1542" s="4"/>
    </row>
    <row r="1543" spans="1:18">
      <c r="A1543" s="1"/>
      <c r="B1543" s="2"/>
      <c r="C1543" s="8"/>
      <c r="D1543" s="80"/>
      <c r="E1543" s="81"/>
      <c r="F1543" s="81"/>
      <c r="G1543" s="81"/>
      <c r="H1543" s="81"/>
      <c r="I1543" s="81"/>
      <c r="J1543" s="81"/>
      <c r="K1543" s="81"/>
      <c r="L1543" s="81"/>
      <c r="M1543" s="81"/>
      <c r="N1543" s="81"/>
      <c r="O1543" s="81"/>
      <c r="P1543" s="82"/>
      <c r="Q1543" s="13"/>
      <c r="R1543" s="4"/>
    </row>
    <row r="1544" spans="1:18">
      <c r="A1544" s="1"/>
      <c r="B1544" s="2"/>
      <c r="C1544" s="8"/>
      <c r="D1544" s="87"/>
      <c r="E1544" s="20"/>
      <c r="F1544" s="20"/>
      <c r="G1544" s="20"/>
      <c r="H1544" s="20"/>
      <c r="I1544" s="20"/>
      <c r="J1544" s="20"/>
      <c r="K1544" s="20"/>
      <c r="L1544" s="20"/>
      <c r="M1544" s="20"/>
      <c r="N1544" s="20"/>
      <c r="O1544" s="20"/>
      <c r="P1544" s="88"/>
      <c r="Q1544" s="13"/>
      <c r="R1544" s="4"/>
    </row>
    <row r="1545" spans="1:18">
      <c r="A1545" s="1"/>
      <c r="B1545" s="2"/>
      <c r="C1545" s="8"/>
      <c r="D1545" s="87"/>
      <c r="E1545" s="20"/>
      <c r="F1545" s="20"/>
      <c r="G1545" s="20"/>
      <c r="H1545" s="20"/>
      <c r="I1545" s="20"/>
      <c r="J1545" s="20"/>
      <c r="K1545" s="20"/>
      <c r="L1545" s="20"/>
      <c r="M1545" s="20"/>
      <c r="N1545" s="20"/>
      <c r="O1545" s="20"/>
      <c r="P1545" s="88"/>
      <c r="Q1545" s="13"/>
      <c r="R1545" s="4"/>
    </row>
    <row r="1546" spans="1:18">
      <c r="A1546" s="1"/>
      <c r="B1546" s="2"/>
      <c r="C1546" s="8"/>
      <c r="D1546" s="87"/>
      <c r="E1546" s="20"/>
      <c r="F1546" s="20"/>
      <c r="G1546" s="20"/>
      <c r="H1546" s="20"/>
      <c r="I1546" s="20"/>
      <c r="J1546" s="20"/>
      <c r="K1546" s="20"/>
      <c r="L1546" s="20"/>
      <c r="M1546" s="20"/>
      <c r="N1546" s="20"/>
      <c r="O1546" s="20"/>
      <c r="P1546" s="88"/>
      <c r="Q1546" s="13"/>
      <c r="R1546" s="4"/>
    </row>
    <row r="1547" spans="1:18">
      <c r="A1547" s="1"/>
      <c r="B1547" s="2"/>
      <c r="C1547" s="8"/>
      <c r="D1547" s="219" t="str">
        <f>+[239]INICIO!$B$13</f>
        <v>Proyectó:</v>
      </c>
      <c r="E1547" s="49"/>
      <c r="F1547" s="49"/>
      <c r="G1547" s="49"/>
      <c r="H1547" s="49"/>
      <c r="I1547" s="49"/>
      <c r="J1547" s="49"/>
      <c r="K1547" s="20"/>
      <c r="L1547" s="69" t="str">
        <f>+[239]INICIO!$B$16</f>
        <v>Aprobó:</v>
      </c>
      <c r="M1547" s="49"/>
      <c r="N1547" s="49"/>
      <c r="O1547" s="49"/>
      <c r="P1547" s="88"/>
      <c r="Q1547" s="13"/>
      <c r="R1547" s="4"/>
    </row>
    <row r="1548" spans="1:18">
      <c r="A1548" s="1"/>
      <c r="B1548" s="2"/>
      <c r="C1548" s="8"/>
      <c r="D1548" s="87"/>
      <c r="E1548" s="20" t="str">
        <f>+Hoja2!C$13</f>
        <v>HELMER EDUARDO BECERRA SANTANDER</v>
      </c>
      <c r="F1548" s="20"/>
      <c r="G1548" s="20"/>
      <c r="H1548" s="20"/>
      <c r="I1548" s="20"/>
      <c r="J1548" s="20"/>
      <c r="K1548" s="20"/>
      <c r="L1548" s="20"/>
      <c r="M1548" s="20" t="str">
        <f>+Hoja2!$C$16</f>
        <v>JESÚS IVÁN QUIÑONES RUEDA</v>
      </c>
      <c r="N1548" s="20"/>
      <c r="O1548" s="20"/>
      <c r="P1548" s="88"/>
      <c r="Q1548" s="190"/>
      <c r="R1548" s="4"/>
    </row>
    <row r="1549" spans="1:18">
      <c r="A1549" s="1"/>
      <c r="B1549" s="2"/>
      <c r="C1549" s="8"/>
      <c r="D1549" s="87"/>
      <c r="E1549" s="20" t="str">
        <f>+Hoja2!C$14</f>
        <v>APOYO SEC. DE PLANEACIÓN Y OBRAS PÚBLICAS</v>
      </c>
      <c r="F1549" s="20"/>
      <c r="G1549" s="20"/>
      <c r="H1549" s="20"/>
      <c r="I1549" s="20"/>
      <c r="J1549" s="20"/>
      <c r="K1549" s="20"/>
      <c r="L1549" s="20"/>
      <c r="M1549" s="20" t="str">
        <f>+Hoja2!$C$17</f>
        <v>SECRETARIO DE PLANEACIÓN Y OBRAS PUBLICAS</v>
      </c>
      <c r="N1549" s="20"/>
      <c r="O1549" s="20"/>
      <c r="P1549" s="88"/>
      <c r="Q1549" s="190"/>
      <c r="R1549" s="4"/>
    </row>
    <row r="1550" spans="1:18">
      <c r="A1550" s="1"/>
      <c r="B1550" s="2"/>
      <c r="C1550" s="8"/>
      <c r="D1550" s="68"/>
      <c r="E1550" s="20" t="str">
        <f>+Hoja2!C$15</f>
        <v>123769-0701671 NTS</v>
      </c>
      <c r="F1550" s="191"/>
      <c r="G1550" s="191"/>
      <c r="H1550" s="191"/>
      <c r="I1550" s="20"/>
      <c r="J1550" s="191"/>
      <c r="K1550" s="191"/>
      <c r="L1550" s="191"/>
      <c r="M1550" s="192" t="str">
        <f>+Hoja2!C$18</f>
        <v>A21382020-1090480860</v>
      </c>
      <c r="N1550" s="191"/>
      <c r="O1550" s="191"/>
      <c r="P1550" s="193"/>
      <c r="Q1550" s="194"/>
      <c r="R1550" s="4"/>
    </row>
    <row r="1551" spans="1:18" ht="16.5" thickBot="1">
      <c r="A1551" s="1"/>
      <c r="B1551" s="2"/>
      <c r="C1551" s="8"/>
      <c r="D1551" s="195"/>
      <c r="E1551" s="150"/>
      <c r="F1551" s="150"/>
      <c r="G1551" s="150"/>
      <c r="H1551" s="150"/>
      <c r="I1551" s="150"/>
      <c r="J1551" s="150"/>
      <c r="K1551" s="150"/>
      <c r="L1551" s="150"/>
      <c r="M1551" s="150"/>
      <c r="N1551" s="150"/>
      <c r="O1551" s="150"/>
      <c r="P1551" s="196"/>
      <c r="Q1551" s="197"/>
      <c r="R1551" s="4"/>
    </row>
    <row r="1552" spans="1:18" ht="15.75" thickBot="1">
      <c r="A1552" s="1"/>
      <c r="B1552" s="2"/>
      <c r="C1552" s="198"/>
      <c r="D1552" s="199"/>
      <c r="E1552" s="199"/>
      <c r="F1552" s="199"/>
      <c r="G1552" s="199"/>
      <c r="H1552" s="199"/>
      <c r="I1552" s="199"/>
      <c r="J1552" s="199"/>
      <c r="K1552" s="199"/>
      <c r="L1552" s="199"/>
      <c r="M1552" s="199"/>
      <c r="N1552" s="199"/>
      <c r="O1552" s="199"/>
      <c r="P1552" s="199"/>
      <c r="Q1552" s="200"/>
      <c r="R1552" s="4"/>
    </row>
    <row r="1553" spans="1:18" ht="15.75" thickTop="1"/>
    <row r="1555" spans="1:18" ht="15.75" thickBot="1"/>
    <row r="1556" spans="1:18" ht="15.75" thickTop="1">
      <c r="A1556" s="1"/>
      <c r="B1556" s="2"/>
      <c r="C1556" s="5"/>
      <c r="D1556" s="6"/>
      <c r="E1556" s="6"/>
      <c r="F1556" s="6"/>
      <c r="G1556" s="6"/>
      <c r="H1556" s="6"/>
      <c r="I1556" s="6"/>
      <c r="J1556" s="6"/>
      <c r="K1556" s="6"/>
      <c r="L1556" s="6"/>
      <c r="M1556" s="6"/>
      <c r="N1556" s="6"/>
      <c r="O1556" s="6"/>
      <c r="P1556" s="6"/>
      <c r="Q1556" s="7"/>
      <c r="R1556" s="4"/>
    </row>
    <row r="1557" spans="1:18" ht="24">
      <c r="A1557" s="1"/>
      <c r="B1557" s="2"/>
      <c r="C1557" s="8"/>
      <c r="D1557" s="9" t="str">
        <f>+[239]INICIO!$C$8</f>
        <v>Análisis de Precios Unitarios- Secretaria de Planeación y Obras Publicas de Cubará, Boyacá.</v>
      </c>
      <c r="E1557" s="10"/>
      <c r="F1557" s="10"/>
      <c r="G1557" s="10"/>
      <c r="H1557" s="11"/>
      <c r="I1557" s="12"/>
      <c r="J1557" s="12"/>
      <c r="K1557" s="12"/>
      <c r="L1557" s="12"/>
      <c r="M1557" s="12"/>
      <c r="N1557" s="12"/>
      <c r="O1557" s="12"/>
      <c r="P1557" s="12"/>
      <c r="Q1557" s="13"/>
      <c r="R1557" s="4"/>
    </row>
    <row r="1558" spans="1:18">
      <c r="A1558" s="1"/>
      <c r="B1558" s="2"/>
      <c r="C1558" s="8"/>
      <c r="D1558" s="14" t="s">
        <v>0</v>
      </c>
      <c r="E1558" s="15" t="str">
        <f>+[239]INICIO!$C$7</f>
        <v>CCE-EICP-FM-14</v>
      </c>
      <c r="F1558" s="16"/>
      <c r="G1558" s="17" t="str">
        <f>+[239]INICIO!$B$6</f>
        <v>VERSIÓN</v>
      </c>
      <c r="H1558" s="14">
        <f>+[239]INICIO!$C$6</f>
        <v>1</v>
      </c>
      <c r="I1558" s="12"/>
      <c r="J1558" s="12"/>
      <c r="K1558" s="12"/>
      <c r="L1558" s="12"/>
      <c r="M1558" s="12"/>
      <c r="N1558" s="12"/>
      <c r="O1558" s="12"/>
      <c r="P1558" s="12"/>
      <c r="Q1558" s="13"/>
      <c r="R1558" s="4"/>
    </row>
    <row r="1559" spans="1:18">
      <c r="A1559" s="1"/>
      <c r="B1559" s="2"/>
      <c r="C1559" s="8"/>
      <c r="D1559" s="18"/>
      <c r="E1559" s="19"/>
      <c r="F1559" s="18"/>
      <c r="G1559" s="19"/>
      <c r="H1559" s="12"/>
      <c r="I1559" s="12"/>
      <c r="J1559" s="12"/>
      <c r="K1559" s="12"/>
      <c r="L1559" s="12"/>
      <c r="M1559" s="12"/>
      <c r="N1559" s="12"/>
      <c r="O1559" s="12"/>
      <c r="P1559" s="12"/>
      <c r="Q1559" s="13"/>
      <c r="R1559" s="4"/>
    </row>
    <row r="1560" spans="1:18" ht="15.75" thickBot="1">
      <c r="A1560" s="1"/>
      <c r="B1560" s="2"/>
      <c r="C1560" s="8"/>
      <c r="D1560" s="20"/>
      <c r="E1560" s="20"/>
      <c r="F1560" s="20"/>
      <c r="G1560" s="20"/>
      <c r="H1560" s="20"/>
      <c r="I1560" s="20"/>
      <c r="J1560" s="20"/>
      <c r="K1560" s="20"/>
      <c r="L1560" s="20"/>
      <c r="M1560" s="20"/>
      <c r="N1560" s="20"/>
      <c r="O1560" s="20"/>
      <c r="P1560" s="20"/>
      <c r="Q1560" s="13"/>
      <c r="R1560" s="4"/>
    </row>
    <row r="1561" spans="1:18">
      <c r="A1561" s="1"/>
      <c r="B1561" s="2"/>
      <c r="C1561" s="8"/>
      <c r="D1561" s="21"/>
      <c r="E1561" s="22"/>
      <c r="F1561" s="23"/>
      <c r="G1561" s="23"/>
      <c r="H1561" s="23"/>
      <c r="I1561" s="23"/>
      <c r="J1561" s="23"/>
      <c r="K1561" s="23"/>
      <c r="L1561" s="24"/>
      <c r="M1561" s="25"/>
      <c r="N1561" s="26"/>
      <c r="O1561" s="26"/>
      <c r="P1561" s="27"/>
      <c r="Q1561" s="28"/>
      <c r="R1561" s="4"/>
    </row>
    <row r="1562" spans="1:18">
      <c r="A1562" s="1"/>
      <c r="B1562" s="2"/>
      <c r="C1562" s="8"/>
      <c r="D1562" s="29"/>
      <c r="E1562" s="30" t="s">
        <v>1</v>
      </c>
      <c r="F1562" s="31"/>
      <c r="G1562" s="31"/>
      <c r="H1562" s="31"/>
      <c r="I1562" s="31"/>
      <c r="J1562" s="31"/>
      <c r="K1562" s="31"/>
      <c r="L1562" s="32"/>
      <c r="M1562" s="33"/>
      <c r="N1562" s="34"/>
      <c r="O1562" s="34"/>
      <c r="P1562" s="35"/>
      <c r="Q1562" s="28"/>
      <c r="R1562" s="4"/>
    </row>
    <row r="1563" spans="1:18">
      <c r="A1563" s="1"/>
      <c r="B1563" s="2"/>
      <c r="C1563" s="8"/>
      <c r="D1563" s="29"/>
      <c r="E1563" s="36"/>
      <c r="F1563" s="37"/>
      <c r="G1563" s="37"/>
      <c r="H1563" s="37"/>
      <c r="I1563" s="37"/>
      <c r="J1563" s="37"/>
      <c r="K1563" s="37"/>
      <c r="L1563" s="38"/>
      <c r="M1563" s="39"/>
      <c r="N1563" s="40"/>
      <c r="O1563" s="41"/>
      <c r="P1563" s="42"/>
      <c r="Q1563" s="28"/>
      <c r="R1563" s="4"/>
    </row>
    <row r="1564" spans="1:18">
      <c r="A1564" s="1"/>
      <c r="B1564" s="2"/>
      <c r="C1564" s="8"/>
      <c r="D1564" s="29"/>
      <c r="E1564" s="36"/>
      <c r="F1564" s="37"/>
      <c r="G1564" s="37"/>
      <c r="H1564" s="37"/>
      <c r="I1564" s="37"/>
      <c r="J1564" s="37"/>
      <c r="K1564" s="37"/>
      <c r="L1564" s="38"/>
      <c r="M1564" s="43" t="s">
        <v>2</v>
      </c>
      <c r="N1564" s="44"/>
      <c r="O1564" s="45">
        <f>+[239]INICIO!$C$6</f>
        <v>1</v>
      </c>
      <c r="P1564" s="46"/>
      <c r="Q1564" s="28"/>
      <c r="R1564" s="4"/>
    </row>
    <row r="1565" spans="1:18">
      <c r="A1565" s="1"/>
      <c r="B1565" s="2"/>
      <c r="C1565" s="8"/>
      <c r="D1565" s="29"/>
      <c r="E1565" s="36"/>
      <c r="F1565" s="37"/>
      <c r="G1565" s="37"/>
      <c r="H1565" s="37"/>
      <c r="I1565" s="37"/>
      <c r="J1565" s="37"/>
      <c r="K1565" s="37"/>
      <c r="L1565" s="38"/>
      <c r="M1565" s="47"/>
      <c r="N1565" s="48"/>
      <c r="O1565" s="49"/>
      <c r="P1565" s="50"/>
      <c r="Q1565" s="51"/>
      <c r="R1565" s="4"/>
    </row>
    <row r="1566" spans="1:18">
      <c r="A1566" s="1"/>
      <c r="B1566" s="2"/>
      <c r="C1566" s="8"/>
      <c r="D1566" s="29"/>
      <c r="E1566" s="52"/>
      <c r="F1566" s="53"/>
      <c r="G1566" s="53"/>
      <c r="H1566" s="53"/>
      <c r="I1566" s="53"/>
      <c r="J1566" s="53"/>
      <c r="K1566" s="53"/>
      <c r="L1566" s="54"/>
      <c r="M1566" s="39"/>
      <c r="N1566" s="55"/>
      <c r="O1566" s="55"/>
      <c r="P1566" s="56"/>
      <c r="Q1566" s="28"/>
      <c r="R1566" s="4"/>
    </row>
    <row r="1567" spans="1:18">
      <c r="A1567" s="1"/>
      <c r="B1567" s="2"/>
      <c r="C1567" s="8"/>
      <c r="D1567" s="29"/>
      <c r="E1567" s="52"/>
      <c r="F1567" s="53"/>
      <c r="G1567" s="53"/>
      <c r="H1567" s="53"/>
      <c r="I1567" s="53"/>
      <c r="J1567" s="53"/>
      <c r="K1567" s="53"/>
      <c r="L1567" s="54"/>
      <c r="M1567" s="43" t="s">
        <v>3</v>
      </c>
      <c r="N1567" s="43" t="str">
        <f>+VLOOKUP(D1578,'PRESUPUESTO OFICIAL '!C:Q,9,FALSE)</f>
        <v>34</v>
      </c>
      <c r="O1567" s="43" t="s">
        <v>4</v>
      </c>
      <c r="P1567" s="508" t="str">
        <f>+'PRESUPUESTO OFICIAL '!$M$122</f>
        <v>62</v>
      </c>
      <c r="Q1567" s="28"/>
      <c r="R1567" s="4"/>
    </row>
    <row r="1568" spans="1:18">
      <c r="A1568" s="1"/>
      <c r="B1568" s="2"/>
      <c r="C1568" s="8"/>
      <c r="D1568" s="29"/>
      <c r="E1568" s="30" t="s">
        <v>5</v>
      </c>
      <c r="F1568" s="31"/>
      <c r="G1568" s="31"/>
      <c r="H1568" s="31"/>
      <c r="I1568" s="31"/>
      <c r="J1568" s="31"/>
      <c r="K1568" s="31"/>
      <c r="L1568" s="32"/>
      <c r="M1568" s="43"/>
      <c r="N1568" s="57"/>
      <c r="O1568" s="57"/>
      <c r="P1568" s="58"/>
      <c r="Q1568" s="28"/>
      <c r="R1568" s="4"/>
    </row>
    <row r="1569" spans="1:18" ht="15.75" thickBot="1">
      <c r="A1569" s="1"/>
      <c r="B1569" s="2"/>
      <c r="C1569" s="8"/>
      <c r="D1569" s="59"/>
      <c r="E1569" s="60"/>
      <c r="F1569" s="60"/>
      <c r="G1569" s="60"/>
      <c r="H1569" s="60"/>
      <c r="I1569" s="60"/>
      <c r="J1569" s="60"/>
      <c r="K1569" s="60"/>
      <c r="L1569" s="60"/>
      <c r="M1569" s="60"/>
      <c r="N1569" s="61"/>
      <c r="O1569" s="61"/>
      <c r="P1569" s="62"/>
      <c r="Q1569" s="63"/>
      <c r="R1569" s="4"/>
    </row>
    <row r="1570" spans="1:18">
      <c r="A1570" s="1"/>
      <c r="B1570" s="2"/>
      <c r="C1570" s="8"/>
      <c r="D1570" s="64"/>
      <c r="E1570" s="65"/>
      <c r="F1570" s="65"/>
      <c r="G1570" s="65"/>
      <c r="H1570" s="65"/>
      <c r="I1570" s="65"/>
      <c r="J1570" s="65"/>
      <c r="K1570" s="65"/>
      <c r="L1570" s="65"/>
      <c r="M1570" s="66" t="s">
        <v>6</v>
      </c>
      <c r="N1570" s="66" t="s">
        <v>7</v>
      </c>
      <c r="O1570" s="66" t="s">
        <v>8</v>
      </c>
      <c r="P1570" s="67" t="s">
        <v>9</v>
      </c>
      <c r="Q1570" s="51"/>
      <c r="R1570" s="4"/>
    </row>
    <row r="1571" spans="1:18">
      <c r="A1571" s="1"/>
      <c r="B1571" s="2"/>
      <c r="C1571" s="8"/>
      <c r="D1571" s="68"/>
      <c r="E1571" s="69"/>
      <c r="F1571" s="69"/>
      <c r="G1571" s="69"/>
      <c r="H1571" s="69"/>
      <c r="I1571" s="69"/>
      <c r="J1571" s="69"/>
      <c r="K1571" s="69"/>
      <c r="L1571" s="69"/>
      <c r="M1571" s="70"/>
      <c r="N1571" s="71">
        <f>+Hoja2!B$5</f>
        <v>5</v>
      </c>
      <c r="O1571" s="71">
        <f>+Hoja2!C$5</f>
        <v>8</v>
      </c>
      <c r="P1571" s="72">
        <f>+Hoja2!D$5</f>
        <v>2026</v>
      </c>
      <c r="Q1571" s="73"/>
      <c r="R1571" s="4"/>
    </row>
    <row r="1572" spans="1:18">
      <c r="A1572" s="1"/>
      <c r="B1572" s="2"/>
      <c r="C1572" s="8"/>
      <c r="D1572" s="74"/>
      <c r="E1572" s="37"/>
      <c r="F1572" s="37"/>
      <c r="G1572" s="37"/>
      <c r="H1572" s="69"/>
      <c r="I1572" s="69"/>
      <c r="J1572" s="69"/>
      <c r="K1572" s="20"/>
      <c r="L1572" s="69"/>
      <c r="M1572" s="75"/>
      <c r="N1572" s="20"/>
      <c r="O1572" s="20"/>
      <c r="P1572" s="76"/>
      <c r="Q1572" s="73"/>
      <c r="R1572" s="4"/>
    </row>
    <row r="1573" spans="1:18" ht="15.75" thickBot="1">
      <c r="A1573" s="1"/>
      <c r="B1573" s="2"/>
      <c r="C1573" s="8"/>
      <c r="D1573" s="77"/>
      <c r="E1573" s="78"/>
      <c r="F1573" s="78"/>
      <c r="G1573" s="78"/>
      <c r="H1573" s="78"/>
      <c r="I1573" s="78"/>
      <c r="J1573" s="78"/>
      <c r="K1573" s="78"/>
      <c r="L1573" s="78"/>
      <c r="M1573" s="78"/>
      <c r="N1573" s="78"/>
      <c r="O1573" s="78"/>
      <c r="P1573" s="79"/>
      <c r="Q1573" s="13"/>
      <c r="R1573" s="4"/>
    </row>
    <row r="1574" spans="1:18" ht="15.75" thickBot="1">
      <c r="A1574" s="1"/>
      <c r="B1574" s="2"/>
      <c r="C1574" s="8"/>
      <c r="D1574" s="80"/>
      <c r="E1574" s="81"/>
      <c r="F1574" s="81"/>
      <c r="G1574" s="81"/>
      <c r="H1574" s="81"/>
      <c r="I1574" s="81"/>
      <c r="J1574" s="20"/>
      <c r="K1574" s="20"/>
      <c r="L1574" s="81"/>
      <c r="M1574" s="81"/>
      <c r="N1574" s="81"/>
      <c r="O1574" s="81"/>
      <c r="P1574" s="82"/>
      <c r="Q1574" s="13"/>
      <c r="R1574" s="4"/>
    </row>
    <row r="1575" spans="1:18">
      <c r="A1575" s="1"/>
      <c r="B1575" s="2"/>
      <c r="C1575" s="8"/>
      <c r="D1575" s="83" t="s">
        <v>10</v>
      </c>
      <c r="E1575" s="84"/>
      <c r="F1575" s="84"/>
      <c r="G1575" s="84"/>
      <c r="H1575" s="84"/>
      <c r="I1575" s="84"/>
      <c r="J1575" s="84"/>
      <c r="K1575" s="84"/>
      <c r="L1575" s="84"/>
      <c r="M1575" s="84"/>
      <c r="N1575" s="84"/>
      <c r="O1575" s="84"/>
      <c r="P1575" s="85"/>
      <c r="Q1575" s="86"/>
      <c r="R1575" s="4"/>
    </row>
    <row r="1576" spans="1:18" ht="15.75" thickBot="1">
      <c r="A1576" s="1"/>
      <c r="B1576" s="2"/>
      <c r="C1576" s="8"/>
      <c r="D1576" s="87"/>
      <c r="E1576" s="20"/>
      <c r="F1576" s="20"/>
      <c r="G1576" s="20"/>
      <c r="H1576" s="20"/>
      <c r="I1576" s="20"/>
      <c r="J1576" s="20"/>
      <c r="K1576" s="20"/>
      <c r="L1576" s="20"/>
      <c r="M1576" s="20"/>
      <c r="N1576" s="20"/>
      <c r="O1576" s="20"/>
      <c r="P1576" s="88"/>
      <c r="Q1576" s="13"/>
      <c r="R1576" s="4"/>
    </row>
    <row r="1577" spans="1:18">
      <c r="A1577" s="1" t="s">
        <v>11</v>
      </c>
      <c r="B1577" s="2" t="s">
        <v>12</v>
      </c>
      <c r="C1577" s="8"/>
      <c r="D1577" s="89" t="s">
        <v>13</v>
      </c>
      <c r="E1577" s="90" t="s">
        <v>14</v>
      </c>
      <c r="F1577" s="90"/>
      <c r="G1577" s="90"/>
      <c r="H1577" s="90"/>
      <c r="I1577" s="90"/>
      <c r="J1577" s="90"/>
      <c r="K1577" s="90"/>
      <c r="L1577" s="90"/>
      <c r="M1577" s="90"/>
      <c r="N1577" s="91" t="s">
        <v>15</v>
      </c>
      <c r="O1577" s="91"/>
      <c r="P1577" s="92" t="s">
        <v>16</v>
      </c>
      <c r="Q1577" s="93"/>
      <c r="R1577" s="4"/>
    </row>
    <row r="1578" spans="1:18" ht="15.75" thickBot="1">
      <c r="A1578" s="1"/>
      <c r="B1578" s="2"/>
      <c r="C1578" s="8"/>
      <c r="D1578" s="349">
        <f>+'PRESUPUESTO OFICIAL '!C55</f>
        <v>4.0599999999999996</v>
      </c>
      <c r="E1578" s="94" t="str">
        <f>+VLOOKUP(D1578,'PRESUPUESTO OFICIAL '!C:H,2,FALSE)</f>
        <v>SUMINISTRO E INSTALACIÓN DE SIFÓN SANITARIO DE 3" PVC</v>
      </c>
      <c r="F1578" s="94"/>
      <c r="G1578" s="94"/>
      <c r="H1578" s="94"/>
      <c r="I1578" s="94"/>
      <c r="J1578" s="94"/>
      <c r="K1578" s="94"/>
      <c r="L1578" s="94"/>
      <c r="M1578" s="94"/>
      <c r="N1578" s="94" t="str">
        <f>+VLOOKUP(D1578,'PRESUPUESTO OFICIAL '!C:H,3,FALSE)</f>
        <v>UND</v>
      </c>
      <c r="O1578" s="95"/>
      <c r="P1578" s="96">
        <f>+VLOOKUP(D1578,'PRESUPUESTO OFICIAL '!C:H,4,FALSE)</f>
        <v>7</v>
      </c>
      <c r="Q1578" s="97"/>
      <c r="R1578" s="98">
        <f>+P1630</f>
        <v>51944</v>
      </c>
    </row>
    <row r="1579" spans="1:18" ht="15.75" thickBot="1">
      <c r="A1579" s="1"/>
      <c r="B1579" s="2"/>
      <c r="C1579" s="8"/>
      <c r="D1579" s="74" t="s">
        <v>17</v>
      </c>
      <c r="E1579" s="37"/>
      <c r="F1579" s="37"/>
      <c r="G1579" s="37"/>
      <c r="H1579" s="37"/>
      <c r="I1579" s="37"/>
      <c r="J1579" s="37"/>
      <c r="K1579" s="37"/>
      <c r="L1579" s="37"/>
      <c r="M1579" s="37"/>
      <c r="N1579" s="37"/>
      <c r="O1579" s="37"/>
      <c r="P1579" s="99"/>
      <c r="Q1579" s="100"/>
      <c r="R1579" s="4"/>
    </row>
    <row r="1580" spans="1:18">
      <c r="A1580" s="1"/>
      <c r="B1580" s="2"/>
      <c r="C1580" s="8"/>
      <c r="D1580" s="101" t="s">
        <v>14</v>
      </c>
      <c r="E1580" s="102"/>
      <c r="F1580" s="102"/>
      <c r="G1580" s="102"/>
      <c r="H1580" s="103"/>
      <c r="I1580" s="104" t="s">
        <v>18</v>
      </c>
      <c r="J1580" s="102"/>
      <c r="K1580" s="104" t="s">
        <v>19</v>
      </c>
      <c r="L1580" s="105"/>
      <c r="M1580" s="106" t="s">
        <v>20</v>
      </c>
      <c r="N1580" s="104" t="s">
        <v>21</v>
      </c>
      <c r="O1580" s="105"/>
      <c r="P1580" s="107" t="s">
        <v>22</v>
      </c>
      <c r="Q1580" s="108"/>
      <c r="R1580" s="4"/>
    </row>
    <row r="1581" spans="1:18">
      <c r="A1581" s="1" t="e">
        <f>[239]INDICE!#REF!</f>
        <v>#REF!</v>
      </c>
      <c r="B1581" s="2" t="s">
        <v>23</v>
      </c>
      <c r="C1581" s="8"/>
      <c r="D1581" s="109" t="str">
        <f>IFERROR(INDEX([239]EQUIPOS!B:B,MATCH(B1581,[239]EQUIPOS!A:A,0)),"")</f>
        <v>HERRAMIENTA MENOR (% M.O)</v>
      </c>
      <c r="E1581" s="110"/>
      <c r="F1581" s="110"/>
      <c r="G1581" s="110"/>
      <c r="H1581" s="111"/>
      <c r="I1581" s="112"/>
      <c r="J1581" s="111"/>
      <c r="K1581" s="113" t="str">
        <f>IFERROR(INDEX([239]EQUIPOS!C:C,MATCH(B1581,[239]EQUIPOS!A:A,0)),"")</f>
        <v>%</v>
      </c>
      <c r="L1581" s="114"/>
      <c r="M1581" s="115">
        <f>IFERROR(IF(D1581="HERRAMIENTA MENOR (% M.O)",P1620,INDEX([239]EQUIPOS!D:D,MATCH(B1581,[239]EQUIPOS!A:A,0))),"")</f>
        <v>18131</v>
      </c>
      <c r="N1581" s="116">
        <v>10</v>
      </c>
      <c r="O1581" s="117"/>
      <c r="P1581" s="118">
        <f t="shared" ref="P1581:P1586" si="54">IFERROR(ROUND(IF(D1581="HERRAMIENTA MENOR (% M.O)",N1581%*M1581,M1581/N1581),2)," ")</f>
        <v>1813.1</v>
      </c>
      <c r="Q1581" s="119"/>
      <c r="R1581" s="4"/>
    </row>
    <row r="1582" spans="1:18">
      <c r="A1582" s="1">
        <f>+$A$2858</f>
        <v>0</v>
      </c>
      <c r="B1582" s="2"/>
      <c r="C1582" s="8"/>
      <c r="D1582" s="109" t="str">
        <f>IFERROR(INDEX([239]EQUIPOS!B:B,MATCH(B1582,[239]EQUIPOS!A:A,0)),"")</f>
        <v/>
      </c>
      <c r="E1582" s="110"/>
      <c r="F1582" s="110"/>
      <c r="G1582" s="110"/>
      <c r="H1582" s="111"/>
      <c r="I1582" s="112"/>
      <c r="J1582" s="111"/>
      <c r="K1582" s="113" t="str">
        <f>IFERROR(INDEX([239]EQUIPOS!C:C,MATCH(B1582,[239]EQUIPOS!A:A,0)),"")</f>
        <v/>
      </c>
      <c r="L1582" s="114"/>
      <c r="M1582" s="115" t="str">
        <f>IFERROR(IF(D1582="HERRAMIENTA MENOR (% M.O)",P1621,INDEX([239]EQUIPOS!D:D,MATCH(B1582,[239]EQUIPOS!A:A,0))),"")</f>
        <v/>
      </c>
      <c r="N1582" s="116"/>
      <c r="O1582" s="117"/>
      <c r="P1582" s="118" t="str">
        <f t="shared" si="54"/>
        <v xml:space="preserve"> </v>
      </c>
      <c r="Q1582" s="119"/>
      <c r="R1582" s="4"/>
    </row>
    <row r="1583" spans="1:18">
      <c r="A1583" s="1">
        <f t="shared" ref="A1583:A1621" si="55">+A1582</f>
        <v>0</v>
      </c>
      <c r="B1583" s="2"/>
      <c r="C1583" s="8"/>
      <c r="D1583" s="109" t="str">
        <f>IFERROR(INDEX([239]EQUIPOS!B:B,MATCH(B1583,[239]EQUIPOS!A:A,0)),"")</f>
        <v/>
      </c>
      <c r="E1583" s="110"/>
      <c r="F1583" s="110"/>
      <c r="G1583" s="110"/>
      <c r="H1583" s="111"/>
      <c r="I1583" s="120"/>
      <c r="J1583" s="121"/>
      <c r="K1583" s="113" t="str">
        <f>IFERROR(INDEX([239]EQUIPOS!C:C,MATCH(B1583,[239]EQUIPOS!A:A,0)),"")</f>
        <v/>
      </c>
      <c r="L1583" s="114"/>
      <c r="M1583" s="115" t="str">
        <f>IFERROR(IF(D1583="HERRAMIENTA MENOR (% M.O)",P1622,INDEX([239]EQUIPOS!D:D,MATCH(B1583,[239]EQUIPOS!A:A,0))),"")</f>
        <v/>
      </c>
      <c r="N1583" s="116"/>
      <c r="O1583" s="117"/>
      <c r="P1583" s="118" t="str">
        <f t="shared" si="54"/>
        <v xml:space="preserve"> </v>
      </c>
      <c r="Q1583" s="119"/>
      <c r="R1583" s="4"/>
    </row>
    <row r="1584" spans="1:18">
      <c r="A1584" s="1">
        <f t="shared" si="55"/>
        <v>0</v>
      </c>
      <c r="B1584" s="2"/>
      <c r="C1584" s="8"/>
      <c r="D1584" s="109" t="str">
        <f>IFERROR(INDEX([239]EQUIPOS!B:B,MATCH(B1584,[239]EQUIPOS!A:A,0)),"")</f>
        <v/>
      </c>
      <c r="E1584" s="110"/>
      <c r="F1584" s="110"/>
      <c r="G1584" s="110"/>
      <c r="H1584" s="111"/>
      <c r="I1584" s="120"/>
      <c r="J1584" s="121"/>
      <c r="K1584" s="113" t="str">
        <f>IFERROR(INDEX([239]EQUIPOS!C:C,MATCH(B1584,[239]EQUIPOS!A:A,0)),"")</f>
        <v/>
      </c>
      <c r="L1584" s="114"/>
      <c r="M1584" s="115" t="str">
        <f>IFERROR(IF(D1584="HERRAMIENTA MENOR (% M.O)",P1623,INDEX([239]EQUIPOS!D:D,MATCH(B1584,[239]EQUIPOS!A:A,0))),"")</f>
        <v/>
      </c>
      <c r="N1584" s="116"/>
      <c r="O1584" s="117"/>
      <c r="P1584" s="118" t="str">
        <f t="shared" si="54"/>
        <v xml:space="preserve"> </v>
      </c>
      <c r="Q1584" s="119"/>
      <c r="R1584" s="4"/>
    </row>
    <row r="1585" spans="1:18">
      <c r="A1585" s="1">
        <f t="shared" si="55"/>
        <v>0</v>
      </c>
      <c r="B1585" s="2"/>
      <c r="C1585" s="8"/>
      <c r="D1585" s="109" t="str">
        <f>IFERROR(INDEX([239]EQUIPOS!B:B,MATCH(B1585,[239]EQUIPOS!A:A,0)),"")</f>
        <v/>
      </c>
      <c r="E1585" s="110"/>
      <c r="F1585" s="110"/>
      <c r="G1585" s="110"/>
      <c r="H1585" s="111"/>
      <c r="I1585" s="112"/>
      <c r="J1585" s="111"/>
      <c r="K1585" s="113" t="str">
        <f>IFERROR(INDEX([239]EQUIPOS!C:C,MATCH(B1585,[239]EQUIPOS!A:A,0)),"")</f>
        <v/>
      </c>
      <c r="L1585" s="114"/>
      <c r="M1585" s="115" t="str">
        <f>IFERROR(IF(D1585="HERRAMIENTA MENOR (% M.O)",P1624,INDEX([239]EQUIPOS!D:D,MATCH(B1585,[239]EQUIPOS!A:A,0))),"")</f>
        <v/>
      </c>
      <c r="N1585" s="116"/>
      <c r="O1585" s="117"/>
      <c r="P1585" s="118" t="str">
        <f t="shared" si="54"/>
        <v xml:space="preserve"> </v>
      </c>
      <c r="Q1585" s="119"/>
      <c r="R1585" s="4"/>
    </row>
    <row r="1586" spans="1:18" ht="15.75" thickBot="1">
      <c r="A1586" s="1">
        <f t="shared" si="55"/>
        <v>0</v>
      </c>
      <c r="B1586" s="2"/>
      <c r="C1586" s="8"/>
      <c r="D1586" s="109" t="str">
        <f>IFERROR(INDEX([239]EQUIPOS!B:B,MATCH(B1586,[239]EQUIPOS!A:A,0)),"")</f>
        <v/>
      </c>
      <c r="E1586" s="78"/>
      <c r="F1586" s="78"/>
      <c r="G1586" s="78"/>
      <c r="H1586" s="122"/>
      <c r="I1586" s="123"/>
      <c r="J1586" s="122"/>
      <c r="K1586" s="113" t="str">
        <f>IFERROR(INDEX([239]EQUIPOS!C:C,MATCH(B1586,[239]EQUIPOS!A:A,0)),"")</f>
        <v/>
      </c>
      <c r="L1586" s="124"/>
      <c r="M1586" s="115" t="str">
        <f>IFERROR(IF(D1586="HERRAMIENTA MENOR (% M.O)",P1625,INDEX([239]EQUIPOS!D:D,MATCH(B1586,[239]EQUIPOS!A:A,0))),"")</f>
        <v/>
      </c>
      <c r="N1586" s="125"/>
      <c r="O1586" s="126"/>
      <c r="P1586" s="127" t="str">
        <f t="shared" si="54"/>
        <v xml:space="preserve"> </v>
      </c>
      <c r="Q1586" s="119"/>
      <c r="R1586" s="4"/>
    </row>
    <row r="1587" spans="1:18" ht="15.75" thickBot="1">
      <c r="A1587" s="1">
        <f t="shared" si="55"/>
        <v>0</v>
      </c>
      <c r="B1587" s="2"/>
      <c r="C1587" s="8"/>
      <c r="D1587" s="128" t="s">
        <v>24</v>
      </c>
      <c r="E1587" s="129"/>
      <c r="F1587" s="129"/>
      <c r="G1587" s="129"/>
      <c r="H1587" s="129"/>
      <c r="I1587" s="129"/>
      <c r="J1587" s="129"/>
      <c r="K1587" s="129"/>
      <c r="L1587" s="129"/>
      <c r="M1587" s="129"/>
      <c r="N1587" s="129"/>
      <c r="O1587" s="130"/>
      <c r="P1587" s="131">
        <f>SUM(P1581:P1586)</f>
        <v>1813.1</v>
      </c>
      <c r="Q1587" s="132"/>
      <c r="R1587" s="4"/>
    </row>
    <row r="1588" spans="1:18" ht="15.75" thickBot="1">
      <c r="A1588" s="1">
        <f t="shared" si="55"/>
        <v>0</v>
      </c>
      <c r="B1588" s="2"/>
      <c r="C1588" s="8"/>
      <c r="D1588" s="74" t="s">
        <v>25</v>
      </c>
      <c r="E1588" s="37"/>
      <c r="F1588" s="37"/>
      <c r="G1588" s="37"/>
      <c r="H1588" s="37"/>
      <c r="I1588" s="37"/>
      <c r="J1588" s="37"/>
      <c r="K1588" s="37"/>
      <c r="L1588" s="37"/>
      <c r="M1588" s="37"/>
      <c r="N1588" s="37"/>
      <c r="O1588" s="37"/>
      <c r="P1588" s="99"/>
      <c r="Q1588" s="100"/>
      <c r="R1588" s="4"/>
    </row>
    <row r="1589" spans="1:18">
      <c r="A1589" s="1">
        <f t="shared" si="55"/>
        <v>0</v>
      </c>
      <c r="B1589" s="2"/>
      <c r="C1589" s="8"/>
      <c r="D1589" s="101" t="s">
        <v>14</v>
      </c>
      <c r="E1589" s="133"/>
      <c r="F1589" s="133"/>
      <c r="G1589" s="133"/>
      <c r="H1589" s="133"/>
      <c r="I1589" s="133"/>
      <c r="J1589" s="133"/>
      <c r="K1589" s="105"/>
      <c r="L1589" s="134" t="s">
        <v>15</v>
      </c>
      <c r="M1589" s="106" t="s">
        <v>16</v>
      </c>
      <c r="N1589" s="104" t="s">
        <v>26</v>
      </c>
      <c r="O1589" s="105"/>
      <c r="P1589" s="107" t="s">
        <v>22</v>
      </c>
      <c r="Q1589" s="108"/>
      <c r="R1589" s="4"/>
    </row>
    <row r="1590" spans="1:18">
      <c r="A1590" s="1">
        <f t="shared" si="55"/>
        <v>0</v>
      </c>
      <c r="B1590" s="2" t="s">
        <v>308</v>
      </c>
      <c r="C1590" s="8"/>
      <c r="D1590" s="109" t="str">
        <f>IFERROR(INDEX([239]MATERIALES!C:C,MATCH(B1590,[239]MATERIALES!B:B,0)),"")</f>
        <v>SIFÓN SANITARIO DE 3" PVC</v>
      </c>
      <c r="E1590" s="135"/>
      <c r="F1590" s="135"/>
      <c r="G1590" s="135"/>
      <c r="H1590" s="135"/>
      <c r="I1590" s="135"/>
      <c r="J1590" s="135"/>
      <c r="K1590" s="136"/>
      <c r="L1590" s="137" t="str">
        <f>IFERROR(INDEX([239]MATERIALES!D:D,MATCH(B1590,[239]MATERIALES!B:B,0)),"")</f>
        <v>UND</v>
      </c>
      <c r="M1590" s="138">
        <v>1</v>
      </c>
      <c r="N1590" s="139">
        <f>IFERROR(INDEX([239]MATERIALES!P:P,MATCH(B1590,[239]MATERIALES!B:B,0)),"")</f>
        <v>15758.6</v>
      </c>
      <c r="O1590" s="140"/>
      <c r="P1590" s="118">
        <f>IFERROR(ROUND(N1590*M1590,2),"")</f>
        <v>15758.6</v>
      </c>
      <c r="Q1590" s="119"/>
      <c r="R1590" s="4"/>
    </row>
    <row r="1591" spans="1:18">
      <c r="A1591" s="1">
        <f t="shared" si="55"/>
        <v>0</v>
      </c>
      <c r="B1591" s="2" t="s">
        <v>295</v>
      </c>
      <c r="C1591" s="8"/>
      <c r="D1591" s="109" t="str">
        <f>IFERROR(INDEX([239]MATERIALES!C:C,MATCH(B1591,[239]MATERIALES!B:B,0)),"")</f>
        <v>REMOVEDOR PVC (LIMPIADOR 1/4 )</v>
      </c>
      <c r="E1591" s="135"/>
      <c r="F1591" s="135"/>
      <c r="G1591" s="135"/>
      <c r="H1591" s="135"/>
      <c r="I1591" s="135"/>
      <c r="J1591" s="135"/>
      <c r="K1591" s="136"/>
      <c r="L1591" s="137" t="str">
        <f>IFERROR(INDEX([239]MATERIALES!D:D,MATCH(B1591,[239]MATERIALES!B:B,0)),"")</f>
        <v>GAL</v>
      </c>
      <c r="M1591" s="138">
        <v>0.02</v>
      </c>
      <c r="N1591" s="139">
        <f>IFERROR(INDEX([239]MATERIALES!P:P,MATCH(B1591,[239]MATERIALES!B:B,0)),"")</f>
        <v>54704</v>
      </c>
      <c r="O1591" s="140"/>
      <c r="P1591" s="118">
        <f>IFERROR(ROUND(N1591*M1591,2),"")</f>
        <v>1094.08</v>
      </c>
      <c r="Q1591" s="119"/>
      <c r="R1591" s="4"/>
    </row>
    <row r="1592" spans="1:18">
      <c r="A1592" s="1">
        <f t="shared" si="55"/>
        <v>0</v>
      </c>
      <c r="B1592" s="2" t="s">
        <v>294</v>
      </c>
      <c r="C1592" s="8"/>
      <c r="D1592" s="109" t="str">
        <f>IFERROR(INDEX([239]MATERIALES!C:C,MATCH(B1592,[239]MATERIALES!B:B,0)),"")</f>
        <v>SOLDADURA LIQUIDA PVC 1/4"</v>
      </c>
      <c r="E1592" s="110"/>
      <c r="F1592" s="110"/>
      <c r="G1592" s="110"/>
      <c r="H1592" s="110"/>
      <c r="I1592" s="110"/>
      <c r="J1592" s="110"/>
      <c r="K1592" s="111"/>
      <c r="L1592" s="137" t="str">
        <f>IFERROR(INDEX([239]MATERIALES!D:D,MATCH(B1592,[239]MATERIALES!B:B,0)),"")</f>
        <v>GAL</v>
      </c>
      <c r="M1592" s="138">
        <v>0.02</v>
      </c>
      <c r="N1592" s="139">
        <f>IFERROR(INDEX([239]MATERIALES!P:P,MATCH(B1592,[239]MATERIALES!B:B,0)),"")</f>
        <v>67444</v>
      </c>
      <c r="O1592" s="140"/>
      <c r="P1592" s="118">
        <f>IFERROR(ROUND(N1592*M1592,2),"")</f>
        <v>1348.88</v>
      </c>
      <c r="Q1592" s="119"/>
      <c r="R1592" s="4"/>
    </row>
    <row r="1593" spans="1:18">
      <c r="A1593" s="1">
        <f t="shared" si="55"/>
        <v>0</v>
      </c>
      <c r="B1593" s="2"/>
      <c r="C1593" s="8"/>
      <c r="D1593" s="109" t="str">
        <f>IFERROR(INDEX([239]MATERIALES!C:C,MATCH(B1593,[239]MATERIALES!B:B,0)),"")</f>
        <v/>
      </c>
      <c r="E1593" s="110"/>
      <c r="F1593" s="110"/>
      <c r="G1593" s="110"/>
      <c r="H1593" s="110"/>
      <c r="I1593" s="110"/>
      <c r="J1593" s="110"/>
      <c r="K1593" s="111"/>
      <c r="L1593" s="137" t="str">
        <f>IFERROR(INDEX([239]MATERIALES!D:D,MATCH(B1593,[239]MATERIALES!B:B,0)),"")</f>
        <v/>
      </c>
      <c r="M1593" s="138"/>
      <c r="N1593" s="139" t="str">
        <f>IFERROR(INDEX([239]MATERIALES!P:P,MATCH(B1593,[239]MATERIALES!B:B,0)),"")</f>
        <v/>
      </c>
      <c r="O1593" s="140"/>
      <c r="P1593" s="118" t="str">
        <f>IFERROR(ROUND(N1593*M1593,2),"")</f>
        <v/>
      </c>
      <c r="Q1593" s="119"/>
      <c r="R1593" s="4"/>
    </row>
    <row r="1594" spans="1:18">
      <c r="A1594" s="1">
        <f t="shared" si="55"/>
        <v>0</v>
      </c>
      <c r="B1594" s="2"/>
      <c r="C1594" s="8"/>
      <c r="D1594" s="109" t="str">
        <f>IFERROR(INDEX([239]MATERIALES!C:C,MATCH(B1594,[239]MATERIALES!B:B,0)),"")</f>
        <v/>
      </c>
      <c r="E1594" s="110"/>
      <c r="F1594" s="110"/>
      <c r="G1594" s="110"/>
      <c r="H1594" s="110"/>
      <c r="I1594" s="110"/>
      <c r="J1594" s="110"/>
      <c r="K1594" s="111"/>
      <c r="L1594" s="137" t="str">
        <f>IFERROR(INDEX([239]MATERIALES!D:D,MATCH(B1594,[239]MATERIALES!B:B,0)),"")</f>
        <v/>
      </c>
      <c r="M1594" s="138"/>
      <c r="N1594" s="139" t="str">
        <f>IFERROR(INDEX([239]MATERIALES!P:P,MATCH(B1594,[239]MATERIALES!B:B,0)),"")</f>
        <v/>
      </c>
      <c r="O1594" s="140"/>
      <c r="P1594" s="118" t="str">
        <f t="shared" ref="P1594:P1603" si="56">IFERROR(ROUND(N1594*M1594,2),"")</f>
        <v/>
      </c>
      <c r="Q1594" s="119"/>
      <c r="R1594" s="4"/>
    </row>
    <row r="1595" spans="1:18">
      <c r="A1595" s="1">
        <f t="shared" si="55"/>
        <v>0</v>
      </c>
      <c r="B1595" s="2"/>
      <c r="C1595" s="8"/>
      <c r="D1595" s="109" t="str">
        <f>IFERROR(INDEX([239]MATERIALES!C:C,MATCH(B1595,[239]MATERIALES!B:B,0)),"")</f>
        <v/>
      </c>
      <c r="E1595" s="110"/>
      <c r="F1595" s="110"/>
      <c r="G1595" s="110"/>
      <c r="H1595" s="110"/>
      <c r="I1595" s="110"/>
      <c r="J1595" s="110"/>
      <c r="K1595" s="111"/>
      <c r="L1595" s="137" t="str">
        <f>IFERROR(INDEX([239]MATERIALES!D:D,MATCH(B1595,[239]MATERIALES!B:B,0)),"")</f>
        <v/>
      </c>
      <c r="M1595" s="138"/>
      <c r="N1595" s="139" t="str">
        <f>IFERROR(INDEX([239]MATERIALES!P:P,MATCH(B1595,[239]MATERIALES!B:B,0)),"")</f>
        <v/>
      </c>
      <c r="O1595" s="140"/>
      <c r="P1595" s="118" t="str">
        <f t="shared" si="56"/>
        <v/>
      </c>
      <c r="Q1595" s="119"/>
      <c r="R1595" s="4"/>
    </row>
    <row r="1596" spans="1:18">
      <c r="A1596" s="1">
        <f t="shared" si="55"/>
        <v>0</v>
      </c>
      <c r="B1596" s="2"/>
      <c r="C1596" s="8"/>
      <c r="D1596" s="109" t="str">
        <f>IFERROR(INDEX([239]MATERIALES!C:C,MATCH(B1596,[239]MATERIALES!B:B,0)),"")</f>
        <v/>
      </c>
      <c r="E1596" s="110"/>
      <c r="F1596" s="110"/>
      <c r="G1596" s="110"/>
      <c r="H1596" s="110"/>
      <c r="I1596" s="110"/>
      <c r="J1596" s="110"/>
      <c r="K1596" s="111"/>
      <c r="L1596" s="137" t="str">
        <f>IFERROR(INDEX([239]MATERIALES!D:D,MATCH(B1596,[239]MATERIALES!B:B,0)),"")</f>
        <v/>
      </c>
      <c r="M1596" s="138"/>
      <c r="N1596" s="139" t="str">
        <f>IFERROR(INDEX([239]MATERIALES!P:P,MATCH(B1596,[239]MATERIALES!B:B,0)),"")</f>
        <v/>
      </c>
      <c r="O1596" s="140"/>
      <c r="P1596" s="118" t="str">
        <f t="shared" si="56"/>
        <v/>
      </c>
      <c r="Q1596" s="119"/>
      <c r="R1596" s="4"/>
    </row>
    <row r="1597" spans="1:18">
      <c r="A1597" s="1">
        <f t="shared" si="55"/>
        <v>0</v>
      </c>
      <c r="B1597" s="2"/>
      <c r="C1597" s="8"/>
      <c r="D1597" s="109" t="str">
        <f>IFERROR(INDEX([239]MATERIALES!C:C,MATCH(B1597,[239]MATERIALES!B:B,0)),"")</f>
        <v/>
      </c>
      <c r="E1597" s="110"/>
      <c r="F1597" s="110"/>
      <c r="G1597" s="110"/>
      <c r="H1597" s="110"/>
      <c r="I1597" s="110"/>
      <c r="J1597" s="110"/>
      <c r="K1597" s="111"/>
      <c r="L1597" s="137" t="str">
        <f>IFERROR(INDEX([239]MATERIALES!D:D,MATCH(B1597,[239]MATERIALES!B:B,0)),"")</f>
        <v/>
      </c>
      <c r="M1597" s="138"/>
      <c r="N1597" s="139" t="str">
        <f>IFERROR(INDEX([239]MATERIALES!P:P,MATCH(B1597,[239]MATERIALES!B:B,0)),"")</f>
        <v/>
      </c>
      <c r="O1597" s="140"/>
      <c r="P1597" s="118" t="str">
        <f t="shared" si="56"/>
        <v/>
      </c>
      <c r="Q1597" s="119"/>
      <c r="R1597" s="4"/>
    </row>
    <row r="1598" spans="1:18">
      <c r="A1598" s="1">
        <f t="shared" si="55"/>
        <v>0</v>
      </c>
      <c r="B1598" s="2"/>
      <c r="C1598" s="8"/>
      <c r="D1598" s="109" t="str">
        <f>IFERROR(INDEX([239]MATERIALES!C:C,MATCH(B1598,[239]MATERIALES!B:B,0)),"")</f>
        <v/>
      </c>
      <c r="E1598" s="110"/>
      <c r="F1598" s="110"/>
      <c r="G1598" s="110"/>
      <c r="H1598" s="110"/>
      <c r="I1598" s="110"/>
      <c r="J1598" s="110"/>
      <c r="K1598" s="111"/>
      <c r="L1598" s="137" t="str">
        <f>IFERROR(INDEX([239]MATERIALES!D:D,MATCH(B1598,[239]MATERIALES!B:B,0)),"")</f>
        <v/>
      </c>
      <c r="M1598" s="138"/>
      <c r="N1598" s="139" t="str">
        <f>IFERROR(INDEX([239]MATERIALES!P:P,MATCH(B1598,[239]MATERIALES!B:B,0)),"")</f>
        <v/>
      </c>
      <c r="O1598" s="140"/>
      <c r="P1598" s="118" t="str">
        <f t="shared" si="56"/>
        <v/>
      </c>
      <c r="Q1598" s="119"/>
      <c r="R1598" s="4"/>
    </row>
    <row r="1599" spans="1:18">
      <c r="A1599" s="1">
        <f t="shared" si="55"/>
        <v>0</v>
      </c>
      <c r="B1599" s="2"/>
      <c r="C1599" s="8"/>
      <c r="D1599" s="109" t="str">
        <f>IFERROR(INDEX([239]MATERIALES!C:C,MATCH(B1599,[239]MATERIALES!B:B,0)),"")</f>
        <v/>
      </c>
      <c r="E1599" s="110"/>
      <c r="F1599" s="110"/>
      <c r="G1599" s="110"/>
      <c r="H1599" s="110"/>
      <c r="I1599" s="110"/>
      <c r="J1599" s="110"/>
      <c r="K1599" s="111"/>
      <c r="L1599" s="137" t="str">
        <f>IFERROR(INDEX([239]MATERIALES!D:D,MATCH(B1599,[239]MATERIALES!B:B,0)),"")</f>
        <v/>
      </c>
      <c r="M1599" s="138"/>
      <c r="N1599" s="139" t="str">
        <f>IFERROR(INDEX([239]MATERIALES!P:P,MATCH(B1599,[239]MATERIALES!B:B,0)),"")</f>
        <v/>
      </c>
      <c r="O1599" s="140"/>
      <c r="P1599" s="118" t="str">
        <f t="shared" si="56"/>
        <v/>
      </c>
      <c r="Q1599" s="119"/>
      <c r="R1599" s="4"/>
    </row>
    <row r="1600" spans="1:18">
      <c r="A1600" s="1">
        <f t="shared" si="55"/>
        <v>0</v>
      </c>
      <c r="B1600" s="2"/>
      <c r="C1600" s="8"/>
      <c r="D1600" s="109" t="str">
        <f>IFERROR(INDEX([239]MATERIALES!C:C,MATCH(B1600,[239]MATERIALES!B:B,0)),"")</f>
        <v/>
      </c>
      <c r="E1600" s="110"/>
      <c r="F1600" s="110"/>
      <c r="G1600" s="110"/>
      <c r="H1600" s="110"/>
      <c r="I1600" s="110"/>
      <c r="J1600" s="110"/>
      <c r="K1600" s="111"/>
      <c r="L1600" s="137" t="str">
        <f>IFERROR(INDEX([239]MATERIALES!D:D,MATCH(B1600,[239]MATERIALES!B:B,0)),"")</f>
        <v/>
      </c>
      <c r="M1600" s="138"/>
      <c r="N1600" s="139" t="str">
        <f>IFERROR(INDEX([239]MATERIALES!P:P,MATCH(B1600,[239]MATERIALES!B:B,0)),"")</f>
        <v/>
      </c>
      <c r="O1600" s="140"/>
      <c r="P1600" s="118" t="str">
        <f t="shared" si="56"/>
        <v/>
      </c>
      <c r="Q1600" s="119"/>
      <c r="R1600" s="4"/>
    </row>
    <row r="1601" spans="1:18">
      <c r="A1601" s="1">
        <f t="shared" si="55"/>
        <v>0</v>
      </c>
      <c r="B1601" s="2"/>
      <c r="C1601" s="8"/>
      <c r="D1601" s="109" t="str">
        <f>IFERROR(INDEX([239]MATERIALES!C:C,MATCH(B1601,[239]MATERIALES!B:B,0)),"")</f>
        <v/>
      </c>
      <c r="E1601" s="110"/>
      <c r="F1601" s="110"/>
      <c r="G1601" s="110"/>
      <c r="H1601" s="110"/>
      <c r="I1601" s="110"/>
      <c r="J1601" s="110"/>
      <c r="K1601" s="111"/>
      <c r="L1601" s="137" t="str">
        <f>IFERROR(INDEX([239]MATERIALES!D:D,MATCH(B1601,[239]MATERIALES!B:B,0)),"")</f>
        <v/>
      </c>
      <c r="M1601" s="138"/>
      <c r="N1601" s="139" t="str">
        <f>IFERROR(INDEX([239]MATERIALES!P:P,MATCH(B1601,[239]MATERIALES!B:B,0)),"")</f>
        <v/>
      </c>
      <c r="O1601" s="140"/>
      <c r="P1601" s="118" t="str">
        <f t="shared" si="56"/>
        <v/>
      </c>
      <c r="Q1601" s="119"/>
      <c r="R1601" s="4"/>
    </row>
    <row r="1602" spans="1:18">
      <c r="A1602" s="1">
        <f t="shared" si="55"/>
        <v>0</v>
      </c>
      <c r="B1602" s="2"/>
      <c r="C1602" s="8"/>
      <c r="D1602" s="109" t="str">
        <f>IFERROR(INDEX([239]MATERIALES!C:C,MATCH(B1602,[239]MATERIALES!B:B,0)),"")</f>
        <v/>
      </c>
      <c r="E1602" s="110"/>
      <c r="F1602" s="110"/>
      <c r="G1602" s="110"/>
      <c r="H1602" s="110"/>
      <c r="I1602" s="110"/>
      <c r="J1602" s="110"/>
      <c r="K1602" s="111"/>
      <c r="L1602" s="137" t="str">
        <f>IFERROR(INDEX([239]MATERIALES!D:D,MATCH(B1602,[239]MATERIALES!B:B,0)),"")</f>
        <v/>
      </c>
      <c r="M1602" s="138"/>
      <c r="N1602" s="139" t="str">
        <f>IFERROR(INDEX([239]MATERIALES!P:P,MATCH(B1602,[239]MATERIALES!B:B,0)),"")</f>
        <v/>
      </c>
      <c r="O1602" s="140"/>
      <c r="P1602" s="118" t="str">
        <f t="shared" si="56"/>
        <v/>
      </c>
      <c r="Q1602" s="119"/>
      <c r="R1602" s="4"/>
    </row>
    <row r="1603" spans="1:18">
      <c r="A1603" s="1">
        <f t="shared" si="55"/>
        <v>0</v>
      </c>
      <c r="B1603" s="2"/>
      <c r="C1603" s="8"/>
      <c r="D1603" s="109" t="str">
        <f>IFERROR(INDEX([239]MATERIALES!C:C,MATCH(B1603,[239]MATERIALES!B:B,0)),"")</f>
        <v/>
      </c>
      <c r="E1603" s="110"/>
      <c r="F1603" s="110"/>
      <c r="G1603" s="110"/>
      <c r="H1603" s="110"/>
      <c r="I1603" s="110"/>
      <c r="J1603" s="110"/>
      <c r="K1603" s="111"/>
      <c r="L1603" s="137" t="str">
        <f>IFERROR(INDEX([239]MATERIALES!D:D,MATCH(B1603,[239]MATERIALES!B:B,0)),"")</f>
        <v/>
      </c>
      <c r="M1603" s="138"/>
      <c r="N1603" s="139" t="str">
        <f>IFERROR(INDEX([239]MATERIALES!P:P,MATCH(B1603,[239]MATERIALES!B:B,0)),"")</f>
        <v/>
      </c>
      <c r="O1603" s="140"/>
      <c r="P1603" s="118" t="str">
        <f t="shared" si="56"/>
        <v/>
      </c>
      <c r="Q1603" s="119"/>
      <c r="R1603" s="4"/>
    </row>
    <row r="1604" spans="1:18" ht="15.75" thickBot="1">
      <c r="A1604" s="1">
        <f t="shared" si="55"/>
        <v>0</v>
      </c>
      <c r="B1604" s="2"/>
      <c r="C1604" s="8"/>
      <c r="D1604" s="109" t="s">
        <v>28</v>
      </c>
      <c r="E1604" s="110"/>
      <c r="F1604" s="110"/>
      <c r="G1604" s="110"/>
      <c r="H1604" s="110"/>
      <c r="I1604" s="110"/>
      <c r="J1604" s="110"/>
      <c r="K1604" s="111"/>
      <c r="L1604" s="137" t="s">
        <v>29</v>
      </c>
      <c r="M1604" s="138">
        <v>0.05</v>
      </c>
      <c r="N1604" s="139">
        <f>SUM(P1590:P1603)</f>
        <v>18201.560000000001</v>
      </c>
      <c r="O1604" s="140"/>
      <c r="P1604" s="118">
        <f>ROUND(N1604*M1604,2)</f>
        <v>910.08</v>
      </c>
      <c r="Q1604" s="119"/>
      <c r="R1604" s="4"/>
    </row>
    <row r="1605" spans="1:18" ht="15.75" thickBot="1">
      <c r="A1605" s="1">
        <f t="shared" si="55"/>
        <v>0</v>
      </c>
      <c r="B1605" s="2"/>
      <c r="C1605" s="8"/>
      <c r="D1605" s="128" t="s">
        <v>24</v>
      </c>
      <c r="E1605" s="129"/>
      <c r="F1605" s="129"/>
      <c r="G1605" s="129"/>
      <c r="H1605" s="129"/>
      <c r="I1605" s="129"/>
      <c r="J1605" s="129"/>
      <c r="K1605" s="129"/>
      <c r="L1605" s="129"/>
      <c r="M1605" s="129"/>
      <c r="N1605" s="129"/>
      <c r="O1605" s="130"/>
      <c r="P1605" s="131">
        <f>SUM(P1590:P1604)</f>
        <v>19111.640000000003</v>
      </c>
      <c r="Q1605" s="119"/>
      <c r="R1605" s="4"/>
    </row>
    <row r="1606" spans="1:18" ht="15.75" thickBot="1">
      <c r="A1606" s="1">
        <f t="shared" si="55"/>
        <v>0</v>
      </c>
      <c r="B1606" s="2"/>
      <c r="C1606" s="8"/>
      <c r="D1606" s="74" t="s">
        <v>30</v>
      </c>
      <c r="E1606" s="37"/>
      <c r="F1606" s="37"/>
      <c r="G1606" s="37"/>
      <c r="H1606" s="37"/>
      <c r="I1606" s="37"/>
      <c r="J1606" s="37"/>
      <c r="K1606" s="37"/>
      <c r="L1606" s="37"/>
      <c r="M1606" s="37"/>
      <c r="N1606" s="37"/>
      <c r="O1606" s="37"/>
      <c r="P1606" s="99"/>
      <c r="Q1606" s="100"/>
      <c r="R1606" s="4"/>
    </row>
    <row r="1607" spans="1:18">
      <c r="A1607" s="1">
        <f t="shared" si="55"/>
        <v>0</v>
      </c>
      <c r="B1607" s="2"/>
      <c r="C1607" s="8"/>
      <c r="D1607" s="101" t="s">
        <v>31</v>
      </c>
      <c r="E1607" s="133"/>
      <c r="F1607" s="133"/>
      <c r="G1607" s="133"/>
      <c r="H1607" s="133"/>
      <c r="I1607" s="133"/>
      <c r="J1607" s="133"/>
      <c r="K1607" s="106" t="s">
        <v>32</v>
      </c>
      <c r="L1607" s="141" t="s">
        <v>33</v>
      </c>
      <c r="M1607" s="106" t="s">
        <v>34</v>
      </c>
      <c r="N1607" s="104" t="s">
        <v>20</v>
      </c>
      <c r="O1607" s="105"/>
      <c r="P1607" s="107" t="s">
        <v>22</v>
      </c>
      <c r="Q1607" s="108"/>
      <c r="R1607" s="4"/>
    </row>
    <row r="1608" spans="1:18">
      <c r="A1608" s="1">
        <f t="shared" si="55"/>
        <v>0</v>
      </c>
      <c r="B1608" s="2"/>
      <c r="C1608" s="8"/>
      <c r="D1608" s="142" t="str">
        <f>IFERROR(INDEX([239]TRANSPORTES!B:B,MATCH(B1608,[239]TRANSPORTES!A:A,0)),"")</f>
        <v/>
      </c>
      <c r="E1608" s="143"/>
      <c r="F1608" s="143"/>
      <c r="G1608" s="143"/>
      <c r="H1608" s="143"/>
      <c r="I1608" s="143"/>
      <c r="J1608" s="143"/>
      <c r="K1608" s="220"/>
      <c r="L1608" s="145"/>
      <c r="M1608" s="146" t="str">
        <f>IFERROR(INDEX([239]TRANSPORTES!C:C,MATCH(B1608,[239]TRANSPORTES!A:A,0)),"")</f>
        <v/>
      </c>
      <c r="N1608" s="139" t="str">
        <f>IFERROR(INDEX([239]TRANSPORTES!D:D,MATCH(B1608,[239]TRANSPORTES!A:A,0)),"")</f>
        <v/>
      </c>
      <c r="O1608" s="147"/>
      <c r="P1608" s="148" t="str">
        <f>IFERROR(ROUND(K1608*N1608*L1608,2),"")</f>
        <v/>
      </c>
      <c r="Q1608" s="119"/>
      <c r="R1608" s="4"/>
    </row>
    <row r="1609" spans="1:18">
      <c r="A1609" s="1">
        <f t="shared" si="55"/>
        <v>0</v>
      </c>
      <c r="B1609" s="2"/>
      <c r="C1609" s="8"/>
      <c r="D1609" s="142" t="str">
        <f>IFERROR(INDEX([239]TRANSPORTES!B:B,MATCH(B1609,[239]TRANSPORTES!A:A,0)),"")</f>
        <v/>
      </c>
      <c r="E1609" s="143"/>
      <c r="F1609" s="143"/>
      <c r="G1609" s="143"/>
      <c r="H1609" s="143"/>
      <c r="I1609" s="143"/>
      <c r="J1609" s="143"/>
      <c r="K1609" s="144"/>
      <c r="L1609" s="145"/>
      <c r="M1609" s="146" t="str">
        <f>IFERROR(INDEX([239]TRANSPORTES!C:C,MATCH(B1609,[239]TRANSPORTES!A:A,0)),"")</f>
        <v/>
      </c>
      <c r="N1609" s="139" t="str">
        <f>IFERROR(INDEX([239]TRANSPORTES!D:D,MATCH(B1609,[239]TRANSPORTES!A:A,0)),"")</f>
        <v/>
      </c>
      <c r="O1609" s="147"/>
      <c r="P1609" s="148" t="str">
        <f>IFERROR(ROUND(K1609*N1609*L1609,2),"")</f>
        <v/>
      </c>
      <c r="Q1609" s="119"/>
      <c r="R1609" s="4"/>
    </row>
    <row r="1610" spans="1:18">
      <c r="A1610" s="1">
        <f t="shared" si="55"/>
        <v>0</v>
      </c>
      <c r="B1610" s="2"/>
      <c r="C1610" s="8"/>
      <c r="D1610" s="142" t="str">
        <f>IFERROR(INDEX([239]TRANSPORTES!B:B,MATCH(B1610,[239]TRANSPORTES!A:A,0)),"")</f>
        <v/>
      </c>
      <c r="E1610" s="143"/>
      <c r="F1610" s="143"/>
      <c r="G1610" s="143"/>
      <c r="H1610" s="143"/>
      <c r="I1610" s="143"/>
      <c r="J1610" s="143"/>
      <c r="K1610" s="144"/>
      <c r="L1610" s="145"/>
      <c r="M1610" s="146" t="str">
        <f>IFERROR(INDEX([239]TRANSPORTES!C:C,MATCH(B1610,[239]TRANSPORTES!A:A,0)),"")</f>
        <v/>
      </c>
      <c r="N1610" s="139" t="str">
        <f>IFERROR(INDEX([239]TRANSPORTES!D:D,MATCH(B1610,[239]TRANSPORTES!A:A,0)),"")</f>
        <v/>
      </c>
      <c r="O1610" s="147"/>
      <c r="P1610" s="148" t="str">
        <f>IFERROR(ROUND(K1610*N1610*L1610,2),"")</f>
        <v/>
      </c>
      <c r="Q1610" s="119"/>
      <c r="R1610" s="4"/>
    </row>
    <row r="1611" spans="1:18" ht="15.75" thickBot="1">
      <c r="A1611" s="1">
        <f t="shared" si="55"/>
        <v>0</v>
      </c>
      <c r="B1611" s="2"/>
      <c r="C1611" s="8"/>
      <c r="D1611" s="142" t="str">
        <f>IFERROR(INDEX([239]TRANSPORTES!B:B,MATCH(B1611,[239]TRANSPORTES!A:A,0)),"")</f>
        <v/>
      </c>
      <c r="E1611" s="143"/>
      <c r="F1611" s="143"/>
      <c r="G1611" s="143"/>
      <c r="H1611" s="143"/>
      <c r="I1611" s="143"/>
      <c r="J1611" s="143"/>
      <c r="K1611" s="149"/>
      <c r="L1611" s="150"/>
      <c r="M1611" s="146" t="str">
        <f>IFERROR(INDEX([239]TRANSPORTES!C:C,MATCH(B1611,[239]TRANSPORTES!A:A,0)),"")</f>
        <v/>
      </c>
      <c r="N1611" s="139" t="str">
        <f>IFERROR(INDEX([239]TRANSPORTES!D:D,MATCH(B1611,[239]TRANSPORTES!A:A,0)),"")</f>
        <v/>
      </c>
      <c r="O1611" s="147"/>
      <c r="P1611" s="148" t="str">
        <f>IFERROR(ROUND(K1611*N1611*L1611,2),"")</f>
        <v/>
      </c>
      <c r="Q1611" s="119"/>
      <c r="R1611" s="4"/>
    </row>
    <row r="1612" spans="1:18" ht="15.75" thickBot="1">
      <c r="A1612" s="1">
        <f t="shared" si="55"/>
        <v>0</v>
      </c>
      <c r="B1612" s="2"/>
      <c r="C1612" s="8"/>
      <c r="D1612" s="128" t="s">
        <v>24</v>
      </c>
      <c r="E1612" s="129"/>
      <c r="F1612" s="129"/>
      <c r="G1612" s="129"/>
      <c r="H1612" s="129"/>
      <c r="I1612" s="129"/>
      <c r="J1612" s="129"/>
      <c r="K1612" s="129"/>
      <c r="L1612" s="129"/>
      <c r="M1612" s="129"/>
      <c r="N1612" s="129"/>
      <c r="O1612" s="130"/>
      <c r="P1612" s="151">
        <f>SUM(P1608:P1611)</f>
        <v>0</v>
      </c>
      <c r="Q1612" s="132"/>
      <c r="R1612" s="4"/>
    </row>
    <row r="1613" spans="1:18" ht="15.75" thickBot="1">
      <c r="A1613" s="1">
        <f t="shared" si="55"/>
        <v>0</v>
      </c>
      <c r="B1613" s="2"/>
      <c r="C1613" s="8"/>
      <c r="D1613" s="74" t="s">
        <v>36</v>
      </c>
      <c r="E1613" s="37"/>
      <c r="F1613" s="37"/>
      <c r="G1613" s="37"/>
      <c r="H1613" s="37"/>
      <c r="I1613" s="37"/>
      <c r="J1613" s="37"/>
      <c r="K1613" s="37"/>
      <c r="L1613" s="37"/>
      <c r="M1613" s="37"/>
      <c r="N1613" s="37"/>
      <c r="O1613" s="37"/>
      <c r="P1613" s="99"/>
      <c r="Q1613" s="100"/>
      <c r="R1613" s="4"/>
    </row>
    <row r="1614" spans="1:18" ht="30">
      <c r="A1614" s="1">
        <f t="shared" si="55"/>
        <v>0</v>
      </c>
      <c r="B1614" s="2"/>
      <c r="C1614" s="8"/>
      <c r="D1614" s="101" t="s">
        <v>37</v>
      </c>
      <c r="E1614" s="133"/>
      <c r="F1614" s="133"/>
      <c r="G1614" s="133"/>
      <c r="H1614" s="133"/>
      <c r="I1614" s="133"/>
      <c r="J1614" s="133"/>
      <c r="K1614" s="106" t="s">
        <v>38</v>
      </c>
      <c r="L1614" s="152" t="s">
        <v>39</v>
      </c>
      <c r="M1614" s="153" t="s">
        <v>40</v>
      </c>
      <c r="N1614" s="104" t="s">
        <v>21</v>
      </c>
      <c r="O1614" s="105"/>
      <c r="P1614" s="154" t="s">
        <v>22</v>
      </c>
      <c r="Q1614" s="155"/>
      <c r="R1614" s="4"/>
    </row>
    <row r="1615" spans="1:18">
      <c r="A1615" s="1">
        <f t="shared" si="55"/>
        <v>0</v>
      </c>
      <c r="B1615" s="2" t="s">
        <v>41</v>
      </c>
      <c r="C1615" s="8"/>
      <c r="D1615" s="109" t="str">
        <f>IFERROR(INDEX('[239]MANO DE OBRA'!B:B,MATCH(B1615,'[239]MANO DE OBRA'!A:A,0)),"")</f>
        <v>OFICIAL</v>
      </c>
      <c r="E1615" s="110"/>
      <c r="F1615" s="110"/>
      <c r="G1615" s="110"/>
      <c r="H1615" s="110"/>
      <c r="I1615" s="110"/>
      <c r="J1615" s="111"/>
      <c r="K1615" s="156">
        <f>IFERROR(INDEX('[239]MANO DE OBRA'!D:D,MATCH(B1615,'[239]MANO DE OBRA'!A:A,0)),"")</f>
        <v>95930</v>
      </c>
      <c r="L1615" s="157">
        <f>+IF(D1615&lt;&gt;"",'[239]FACTOR PRESTACIONAL'!$E$21," ")</f>
        <v>1.95</v>
      </c>
      <c r="M1615" s="158">
        <f>IFERROR(K1615*L1615," ")</f>
        <v>187063.5</v>
      </c>
      <c r="N1615" s="159">
        <v>18</v>
      </c>
      <c r="O1615" s="160"/>
      <c r="P1615" s="161">
        <f>IFERROR(ROUND(M1615/N1615,2)," ")</f>
        <v>10392.42</v>
      </c>
      <c r="Q1615" s="162"/>
      <c r="R1615" s="4"/>
    </row>
    <row r="1616" spans="1:18">
      <c r="A1616" s="1">
        <f t="shared" si="55"/>
        <v>0</v>
      </c>
      <c r="B1616" s="2" t="s">
        <v>81</v>
      </c>
      <c r="C1616" s="8"/>
      <c r="D1616" s="109" t="str">
        <f>IFERROR(INDEX('[239]MANO DE OBRA'!B:B,MATCH(B1616,'[239]MANO DE OBRA'!A:A,0)),"")</f>
        <v>AYUDANTE (1)</v>
      </c>
      <c r="E1616" s="110"/>
      <c r="F1616" s="110"/>
      <c r="G1616" s="110"/>
      <c r="H1616" s="110"/>
      <c r="I1616" s="110"/>
      <c r="J1616" s="111"/>
      <c r="K1616" s="156">
        <f>IFERROR(INDEX('[239]MANO DE OBRA'!D:D,MATCH(B1616,'[239]MANO DE OBRA'!A:A,0)),"")</f>
        <v>71433</v>
      </c>
      <c r="L1616" s="157">
        <f>+IF(D1616&lt;&gt;"",'[239]FACTOR PRESTACIONAL'!$E$21," ")</f>
        <v>1.95</v>
      </c>
      <c r="M1616" s="158">
        <f>IFERROR(K1616*L1616," ")</f>
        <v>139294.35</v>
      </c>
      <c r="N1616" s="159">
        <v>18</v>
      </c>
      <c r="O1616" s="160"/>
      <c r="P1616" s="161">
        <f>IFERROR(ROUND(M1616/N1616,2)," ")</f>
        <v>7738.58</v>
      </c>
      <c r="Q1616" s="162"/>
      <c r="R1616" s="4"/>
    </row>
    <row r="1617" spans="1:18">
      <c r="A1617" s="1">
        <f t="shared" si="55"/>
        <v>0</v>
      </c>
      <c r="B1617" s="2"/>
      <c r="C1617" s="8"/>
      <c r="D1617" s="109" t="str">
        <f>IFERROR(INDEX('[239]MANO DE OBRA'!B:B,MATCH(B1617,'[239]MANO DE OBRA'!A:A,0)),"")</f>
        <v/>
      </c>
      <c r="E1617" s="110"/>
      <c r="F1617" s="110"/>
      <c r="G1617" s="110"/>
      <c r="H1617" s="110"/>
      <c r="I1617" s="110"/>
      <c r="J1617" s="111"/>
      <c r="K1617" s="156" t="str">
        <f>IFERROR(INDEX('[239]MANO DE OBRA'!D:D,MATCH(B1617,'[239]MANO DE OBRA'!A:A,0)),"")</f>
        <v/>
      </c>
      <c r="L1617" s="157" t="str">
        <f>+IF(D1617&lt;&gt;"",'[239]FACTOR PRESTACIONAL'!$E$21," ")</f>
        <v xml:space="preserve"> </v>
      </c>
      <c r="M1617" s="158" t="str">
        <f>IFERROR(K1617*L1617," ")</f>
        <v xml:space="preserve"> </v>
      </c>
      <c r="N1617" s="159"/>
      <c r="O1617" s="160"/>
      <c r="P1617" s="161" t="str">
        <f>IFERROR(ROUND(M1617/N1617,2)," ")</f>
        <v xml:space="preserve"> </v>
      </c>
      <c r="Q1617" s="162"/>
      <c r="R1617" s="4"/>
    </row>
    <row r="1618" spans="1:18">
      <c r="A1618" s="1">
        <f t="shared" si="55"/>
        <v>0</v>
      </c>
      <c r="B1618" s="2"/>
      <c r="C1618" s="8"/>
      <c r="D1618" s="109" t="str">
        <f>IFERROR(INDEX('[239]MANO DE OBRA'!B:B,MATCH(B1618,'[239]MANO DE OBRA'!A:A,0)),"")</f>
        <v/>
      </c>
      <c r="E1618" s="110"/>
      <c r="F1618" s="110"/>
      <c r="G1618" s="110"/>
      <c r="H1618" s="110"/>
      <c r="I1618" s="110"/>
      <c r="J1618" s="111"/>
      <c r="K1618" s="156" t="str">
        <f>IFERROR(INDEX('[239]MANO DE OBRA'!D:D,MATCH(B1618,'[239]MANO DE OBRA'!A:A,0)),"")</f>
        <v/>
      </c>
      <c r="L1618" s="157" t="str">
        <f>+IF(D1618&lt;&gt;"",'[239]FACTOR PRESTACIONAL'!$E$21," ")</f>
        <v xml:space="preserve"> </v>
      </c>
      <c r="M1618" s="158" t="str">
        <f>IFERROR(K1618*L1618," ")</f>
        <v xml:space="preserve"> </v>
      </c>
      <c r="N1618" s="159"/>
      <c r="O1618" s="160"/>
      <c r="P1618" s="161" t="str">
        <f>IFERROR(ROUND(M1618/N1618,2)," ")</f>
        <v xml:space="preserve"> </v>
      </c>
      <c r="Q1618" s="162"/>
      <c r="R1618" s="4"/>
    </row>
    <row r="1619" spans="1:18" ht="15.75" thickBot="1">
      <c r="A1619" s="1">
        <f t="shared" si="55"/>
        <v>0</v>
      </c>
      <c r="B1619" s="2"/>
      <c r="C1619" s="8"/>
      <c r="D1619" s="109" t="str">
        <f>IFERROR(INDEX('[239]MANO DE OBRA'!B:B,MATCH(B1619,'[239]MANO DE OBRA'!A:A,0)),"")</f>
        <v/>
      </c>
      <c r="E1619" s="110"/>
      <c r="F1619" s="110"/>
      <c r="G1619" s="110"/>
      <c r="H1619" s="110"/>
      <c r="I1619" s="110"/>
      <c r="J1619" s="111"/>
      <c r="K1619" s="156" t="str">
        <f>IFERROR(INDEX('[239]MANO DE OBRA'!D:D,MATCH(B1619,'[239]MANO DE OBRA'!A:A,0)),"")</f>
        <v/>
      </c>
      <c r="L1619" s="157" t="str">
        <f>+IF(D1619&lt;&gt;"",'[239]FACTOR PRESTACIONAL'!$E$21," ")</f>
        <v xml:space="preserve"> </v>
      </c>
      <c r="M1619" s="158" t="str">
        <f>IFERROR(K1619*L1619," ")</f>
        <v xml:space="preserve"> </v>
      </c>
      <c r="N1619" s="159"/>
      <c r="O1619" s="160"/>
      <c r="P1619" s="161" t="str">
        <f>IFERROR(ROUND(M1619/N1619,2)," ")</f>
        <v xml:space="preserve"> </v>
      </c>
      <c r="Q1619" s="119"/>
      <c r="R1619" s="4"/>
    </row>
    <row r="1620" spans="1:18" ht="15.75" thickBot="1">
      <c r="A1620" s="1">
        <f t="shared" si="55"/>
        <v>0</v>
      </c>
      <c r="B1620" s="2"/>
      <c r="C1620" s="8"/>
      <c r="D1620" s="128" t="s">
        <v>24</v>
      </c>
      <c r="E1620" s="129"/>
      <c r="F1620" s="129"/>
      <c r="G1620" s="129"/>
      <c r="H1620" s="129"/>
      <c r="I1620" s="129"/>
      <c r="J1620" s="129"/>
      <c r="K1620" s="129"/>
      <c r="L1620" s="129"/>
      <c r="M1620" s="129"/>
      <c r="N1620" s="129"/>
      <c r="O1620" s="130"/>
      <c r="P1620" s="131">
        <f>SUM(P1615:P1619)</f>
        <v>18131</v>
      </c>
      <c r="Q1620" s="119"/>
      <c r="R1620" s="4"/>
    </row>
    <row r="1621" spans="1:18" ht="15.75" thickBot="1">
      <c r="A1621" s="1">
        <f t="shared" si="55"/>
        <v>0</v>
      </c>
      <c r="B1621" s="2"/>
      <c r="C1621" s="8"/>
      <c r="D1621" s="87"/>
      <c r="E1621" s="20"/>
      <c r="F1621" s="20"/>
      <c r="G1621" s="20"/>
      <c r="H1621" s="20"/>
      <c r="I1621" s="20"/>
      <c r="J1621" s="20"/>
      <c r="K1621" s="20"/>
      <c r="L1621" s="20"/>
      <c r="M1621" s="20"/>
      <c r="N1621" s="20"/>
      <c r="O1621" s="20"/>
      <c r="P1621" s="88"/>
      <c r="Q1621" s="13"/>
      <c r="R1621" s="4"/>
    </row>
    <row r="1622" spans="1:18" ht="15.75" thickBot="1">
      <c r="A1622" s="1"/>
      <c r="B1622" s="2"/>
      <c r="C1622" s="8"/>
      <c r="D1622" s="163" t="s">
        <v>43</v>
      </c>
      <c r="E1622" s="164"/>
      <c r="F1622" s="164"/>
      <c r="G1622" s="164"/>
      <c r="H1622" s="164"/>
      <c r="I1622" s="164"/>
      <c r="J1622" s="164"/>
      <c r="K1622" s="164"/>
      <c r="L1622" s="164"/>
      <c r="M1622" s="164"/>
      <c r="N1622" s="164"/>
      <c r="O1622" s="165"/>
      <c r="P1622" s="166">
        <f>+P1620+P1612+P1605+P1587</f>
        <v>39055.74</v>
      </c>
      <c r="Q1622" s="167"/>
      <c r="R1622" s="168"/>
    </row>
    <row r="1623" spans="1:18" ht="15.75" thickBot="1">
      <c r="A1623" s="1"/>
      <c r="B1623" s="2"/>
      <c r="C1623" s="8"/>
      <c r="D1623" s="169"/>
      <c r="E1623" s="170"/>
      <c r="F1623" s="170"/>
      <c r="G1623" s="170"/>
      <c r="H1623" s="170"/>
      <c r="I1623" s="170"/>
      <c r="J1623" s="170"/>
      <c r="K1623" s="170"/>
      <c r="L1623" s="170"/>
      <c r="M1623" s="170"/>
      <c r="N1623" s="170"/>
      <c r="O1623" s="170"/>
      <c r="P1623" s="171"/>
      <c r="Q1623" s="100"/>
      <c r="R1623" s="4"/>
    </row>
    <row r="1624" spans="1:18">
      <c r="A1624" s="1"/>
      <c r="B1624" s="2"/>
      <c r="C1624" s="8"/>
      <c r="D1624" s="172" t="s">
        <v>73</v>
      </c>
      <c r="E1624" s="173"/>
      <c r="F1624" s="173"/>
      <c r="G1624" s="173"/>
      <c r="H1624" s="173"/>
      <c r="I1624" s="173"/>
      <c r="J1624" s="173"/>
      <c r="K1624" s="141"/>
      <c r="L1624" s="174"/>
      <c r="M1624" s="153" t="s">
        <v>44</v>
      </c>
      <c r="N1624" s="175" t="s">
        <v>45</v>
      </c>
      <c r="O1624" s="176"/>
      <c r="P1624" s="154"/>
      <c r="Q1624" s="155"/>
      <c r="R1624" s="4"/>
    </row>
    <row r="1625" spans="1:18">
      <c r="A1625" s="1"/>
      <c r="B1625" s="2"/>
      <c r="C1625" s="8"/>
      <c r="D1625" s="109" t="s">
        <v>65</v>
      </c>
      <c r="E1625" s="110"/>
      <c r="F1625" s="110"/>
      <c r="G1625" s="110"/>
      <c r="H1625" s="110"/>
      <c r="I1625" s="110"/>
      <c r="J1625" s="110"/>
      <c r="K1625" s="177"/>
      <c r="L1625" s="178"/>
      <c r="M1625" s="179">
        <f>+[239]INICIO!$F$10</f>
        <v>0.24</v>
      </c>
      <c r="N1625" s="180">
        <f>ROUND(M1625*P1622,2)</f>
        <v>9373.3799999999992</v>
      </c>
      <c r="O1625" s="181"/>
      <c r="P1625" s="182"/>
      <c r="Q1625" s="119"/>
      <c r="R1625" s="4"/>
    </row>
    <row r="1626" spans="1:18">
      <c r="A1626" s="1"/>
      <c r="B1626" s="2"/>
      <c r="C1626" s="8"/>
      <c r="D1626" s="183" t="s">
        <v>67</v>
      </c>
      <c r="E1626" s="61"/>
      <c r="F1626" s="61"/>
      <c r="G1626" s="61"/>
      <c r="H1626" s="61"/>
      <c r="I1626" s="61"/>
      <c r="J1626" s="61"/>
      <c r="K1626" s="177"/>
      <c r="L1626" s="178"/>
      <c r="M1626" s="179">
        <f>+[239]INICIO!$F$11</f>
        <v>0.02</v>
      </c>
      <c r="N1626" s="180">
        <f>ROUND(M1626*P1622,2)</f>
        <v>781.11</v>
      </c>
      <c r="O1626" s="181"/>
      <c r="P1626" s="182"/>
      <c r="Q1626" s="119"/>
      <c r="R1626" s="4"/>
    </row>
    <row r="1627" spans="1:18" ht="15.75" thickBot="1">
      <c r="A1627" s="1"/>
      <c r="B1627" s="2"/>
      <c r="C1627" s="8"/>
      <c r="D1627" s="77" t="s">
        <v>69</v>
      </c>
      <c r="E1627" s="78"/>
      <c r="F1627" s="78"/>
      <c r="G1627" s="78"/>
      <c r="H1627" s="78"/>
      <c r="I1627" s="78"/>
      <c r="J1627" s="78"/>
      <c r="K1627" s="184"/>
      <c r="L1627" s="185"/>
      <c r="M1627" s="179">
        <f>+[239]INICIO!$F$12</f>
        <v>7.0000000000000007E-2</v>
      </c>
      <c r="N1627" s="180">
        <f>ROUND(M1627*P1622,2)</f>
        <v>2733.9</v>
      </c>
      <c r="O1627" s="181"/>
      <c r="P1627" s="182"/>
      <c r="Q1627" s="119"/>
      <c r="R1627" s="4"/>
    </row>
    <row r="1628" spans="1:18" ht="15.75" thickBot="1">
      <c r="A1628" s="1"/>
      <c r="B1628" s="2"/>
      <c r="C1628" s="8"/>
      <c r="D1628" s="128"/>
      <c r="E1628" s="129"/>
      <c r="F1628" s="129"/>
      <c r="G1628" s="129"/>
      <c r="H1628" s="129"/>
      <c r="I1628" s="129"/>
      <c r="J1628" s="129"/>
      <c r="K1628" s="129"/>
      <c r="L1628" s="129"/>
      <c r="M1628" s="129"/>
      <c r="N1628" s="129"/>
      <c r="O1628" s="130"/>
      <c r="P1628" s="131">
        <f>SUM(N1625:N1627)</f>
        <v>12888.39</v>
      </c>
      <c r="Q1628" s="186"/>
      <c r="R1628" s="4"/>
    </row>
    <row r="1629" spans="1:18" ht="15.75" thickBot="1">
      <c r="A1629" s="1"/>
      <c r="B1629" s="2"/>
      <c r="C1629" s="8"/>
      <c r="D1629" s="87"/>
      <c r="E1629" s="20"/>
      <c r="F1629" s="20"/>
      <c r="G1629" s="20"/>
      <c r="H1629" s="20"/>
      <c r="I1629" s="20"/>
      <c r="J1629" s="20"/>
      <c r="K1629" s="20"/>
      <c r="L1629" s="20"/>
      <c r="M1629" s="20"/>
      <c r="N1629" s="20"/>
      <c r="O1629" s="20"/>
      <c r="P1629" s="88"/>
      <c r="Q1629" s="13"/>
      <c r="R1629" s="4"/>
    </row>
    <row r="1630" spans="1:18" ht="15.75" thickBot="1">
      <c r="A1630" s="1"/>
      <c r="B1630" s="2"/>
      <c r="C1630" s="8"/>
      <c r="D1630" s="187" t="s">
        <v>46</v>
      </c>
      <c r="E1630" s="188"/>
      <c r="F1630" s="188"/>
      <c r="G1630" s="188"/>
      <c r="H1630" s="188"/>
      <c r="I1630" s="188"/>
      <c r="J1630" s="188"/>
      <c r="K1630" s="188"/>
      <c r="L1630" s="188"/>
      <c r="M1630" s="188"/>
      <c r="N1630" s="188"/>
      <c r="O1630" s="189"/>
      <c r="P1630" s="166">
        <f>ROUND(P1628+P1622,0)</f>
        <v>51944</v>
      </c>
      <c r="Q1630" s="186"/>
      <c r="R1630" s="4"/>
    </row>
    <row r="1631" spans="1:18">
      <c r="A1631" s="1"/>
      <c r="B1631" s="2"/>
      <c r="C1631" s="8"/>
      <c r="D1631" s="80"/>
      <c r="E1631" s="81"/>
      <c r="F1631" s="81"/>
      <c r="G1631" s="81"/>
      <c r="H1631" s="81"/>
      <c r="I1631" s="81"/>
      <c r="J1631" s="81"/>
      <c r="K1631" s="81"/>
      <c r="L1631" s="81"/>
      <c r="M1631" s="81"/>
      <c r="N1631" s="81"/>
      <c r="O1631" s="81"/>
      <c r="P1631" s="82"/>
      <c r="Q1631" s="13"/>
      <c r="R1631" s="4"/>
    </row>
    <row r="1632" spans="1:18">
      <c r="A1632" s="1"/>
      <c r="B1632" s="2"/>
      <c r="C1632" s="8"/>
      <c r="D1632" s="87"/>
      <c r="E1632" s="20"/>
      <c r="F1632" s="20"/>
      <c r="G1632" s="20"/>
      <c r="H1632" s="20"/>
      <c r="I1632" s="20"/>
      <c r="J1632" s="20"/>
      <c r="K1632" s="20"/>
      <c r="L1632" s="20"/>
      <c r="M1632" s="20"/>
      <c r="N1632" s="20"/>
      <c r="O1632" s="20"/>
      <c r="P1632" s="88"/>
      <c r="Q1632" s="13"/>
      <c r="R1632" s="4"/>
    </row>
    <row r="1633" spans="1:18">
      <c r="A1633" s="1"/>
      <c r="B1633" s="2"/>
      <c r="C1633" s="8"/>
      <c r="D1633" s="87"/>
      <c r="E1633" s="20"/>
      <c r="F1633" s="20"/>
      <c r="G1633" s="20"/>
      <c r="H1633" s="20"/>
      <c r="I1633" s="20"/>
      <c r="J1633" s="20"/>
      <c r="K1633" s="20"/>
      <c r="L1633" s="20"/>
      <c r="M1633" s="20"/>
      <c r="N1633" s="20"/>
      <c r="O1633" s="20"/>
      <c r="P1633" s="88"/>
      <c r="Q1633" s="13"/>
      <c r="R1633" s="4"/>
    </row>
    <row r="1634" spans="1:18">
      <c r="A1634" s="1"/>
      <c r="B1634" s="2"/>
      <c r="C1634" s="8"/>
      <c r="D1634" s="87"/>
      <c r="E1634" s="20"/>
      <c r="F1634" s="20"/>
      <c r="G1634" s="20"/>
      <c r="H1634" s="20"/>
      <c r="I1634" s="20"/>
      <c r="J1634" s="20"/>
      <c r="K1634" s="20"/>
      <c r="L1634" s="20"/>
      <c r="M1634" s="20"/>
      <c r="N1634" s="20"/>
      <c r="O1634" s="20"/>
      <c r="P1634" s="88"/>
      <c r="Q1634" s="13"/>
      <c r="R1634" s="4"/>
    </row>
    <row r="1635" spans="1:18">
      <c r="A1635" s="1"/>
      <c r="B1635" s="2"/>
      <c r="C1635" s="8"/>
      <c r="D1635" s="219" t="str">
        <f>+[239]INICIO!$B$13</f>
        <v>Proyectó:</v>
      </c>
      <c r="E1635" s="49"/>
      <c r="F1635" s="49"/>
      <c r="G1635" s="49"/>
      <c r="H1635" s="49"/>
      <c r="I1635" s="49"/>
      <c r="J1635" s="49"/>
      <c r="K1635" s="20"/>
      <c r="L1635" s="69" t="str">
        <f>+[239]INICIO!$B$16</f>
        <v>Aprobó:</v>
      </c>
      <c r="M1635" s="49"/>
      <c r="N1635" s="49"/>
      <c r="O1635" s="49"/>
      <c r="P1635" s="88"/>
      <c r="Q1635" s="13"/>
      <c r="R1635" s="4"/>
    </row>
    <row r="1636" spans="1:18">
      <c r="A1636" s="1"/>
      <c r="B1636" s="2"/>
      <c r="C1636" s="8"/>
      <c r="D1636" s="87"/>
      <c r="E1636" s="20" t="str">
        <f>+Hoja2!C$13</f>
        <v>HELMER EDUARDO BECERRA SANTANDER</v>
      </c>
      <c r="F1636" s="20"/>
      <c r="G1636" s="20"/>
      <c r="H1636" s="20"/>
      <c r="I1636" s="20"/>
      <c r="J1636" s="20"/>
      <c r="K1636" s="20"/>
      <c r="L1636" s="20"/>
      <c r="M1636" s="20" t="str">
        <f>+Hoja2!$C$16</f>
        <v>JESÚS IVÁN QUIÑONES RUEDA</v>
      </c>
      <c r="N1636" s="20"/>
      <c r="O1636" s="20"/>
      <c r="P1636" s="88"/>
      <c r="Q1636" s="190"/>
      <c r="R1636" s="4"/>
    </row>
    <row r="1637" spans="1:18">
      <c r="A1637" s="1"/>
      <c r="B1637" s="2"/>
      <c r="C1637" s="8"/>
      <c r="D1637" s="87"/>
      <c r="E1637" s="20" t="str">
        <f>+Hoja2!C$14</f>
        <v>APOYO SEC. DE PLANEACIÓN Y OBRAS PÚBLICAS</v>
      </c>
      <c r="F1637" s="20"/>
      <c r="G1637" s="20"/>
      <c r="H1637" s="20"/>
      <c r="I1637" s="20"/>
      <c r="J1637" s="20"/>
      <c r="K1637" s="20"/>
      <c r="L1637" s="20"/>
      <c r="M1637" s="20" t="str">
        <f>+Hoja2!$C$17</f>
        <v>SECRETARIO DE PLANEACIÓN Y OBRAS PUBLICAS</v>
      </c>
      <c r="N1637" s="20"/>
      <c r="O1637" s="20"/>
      <c r="P1637" s="88"/>
      <c r="Q1637" s="190"/>
      <c r="R1637" s="4"/>
    </row>
    <row r="1638" spans="1:18">
      <c r="A1638" s="1"/>
      <c r="B1638" s="2"/>
      <c r="C1638" s="8"/>
      <c r="D1638" s="68"/>
      <c r="E1638" s="20" t="str">
        <f>+Hoja2!C$15</f>
        <v>123769-0701671 NTS</v>
      </c>
      <c r="F1638" s="191"/>
      <c r="G1638" s="191"/>
      <c r="H1638" s="191"/>
      <c r="I1638" s="20"/>
      <c r="J1638" s="191"/>
      <c r="K1638" s="191"/>
      <c r="L1638" s="191"/>
      <c r="M1638" s="192" t="str">
        <f>+Hoja2!C$18</f>
        <v>A21382020-1090480860</v>
      </c>
      <c r="N1638" s="191"/>
      <c r="O1638" s="191"/>
      <c r="P1638" s="193"/>
      <c r="Q1638" s="194"/>
      <c r="R1638" s="4"/>
    </row>
    <row r="1639" spans="1:18" ht="16.5" thickBot="1">
      <c r="A1639" s="1"/>
      <c r="B1639" s="2"/>
      <c r="C1639" s="8"/>
      <c r="D1639" s="195"/>
      <c r="E1639" s="150"/>
      <c r="F1639" s="150"/>
      <c r="G1639" s="150"/>
      <c r="H1639" s="150"/>
      <c r="I1639" s="150"/>
      <c r="J1639" s="150"/>
      <c r="K1639" s="150"/>
      <c r="L1639" s="150"/>
      <c r="M1639" s="150"/>
      <c r="N1639" s="150"/>
      <c r="O1639" s="150"/>
      <c r="P1639" s="196"/>
      <c r="Q1639" s="197"/>
      <c r="R1639" s="4"/>
    </row>
    <row r="1640" spans="1:18" ht="15.75" thickBot="1">
      <c r="A1640" s="1"/>
      <c r="B1640" s="2"/>
      <c r="C1640" s="198"/>
      <c r="D1640" s="199"/>
      <c r="E1640" s="199"/>
      <c r="F1640" s="199"/>
      <c r="G1640" s="199"/>
      <c r="H1640" s="199"/>
      <c r="I1640" s="199"/>
      <c r="J1640" s="199"/>
      <c r="K1640" s="199"/>
      <c r="L1640" s="199"/>
      <c r="M1640" s="199"/>
      <c r="N1640" s="199"/>
      <c r="O1640" s="199"/>
      <c r="P1640" s="199"/>
      <c r="Q1640" s="200"/>
      <c r="R1640" s="4"/>
    </row>
    <row r="1641" spans="1:18" ht="15.75" thickTop="1"/>
    <row r="1642" spans="1:18" ht="15.75" thickBot="1"/>
    <row r="1643" spans="1:18" ht="15.75" thickTop="1">
      <c r="A1643" s="1"/>
      <c r="B1643" s="2"/>
      <c r="C1643" s="5"/>
      <c r="D1643" s="6"/>
      <c r="E1643" s="6"/>
      <c r="F1643" s="6"/>
      <c r="G1643" s="6"/>
      <c r="H1643" s="6"/>
      <c r="I1643" s="6"/>
      <c r="J1643" s="6"/>
      <c r="K1643" s="6"/>
      <c r="L1643" s="6"/>
      <c r="M1643" s="6"/>
      <c r="N1643" s="6"/>
      <c r="O1643" s="6"/>
      <c r="P1643" s="6"/>
      <c r="Q1643" s="7"/>
      <c r="R1643" s="4"/>
    </row>
    <row r="1644" spans="1:18" ht="24">
      <c r="A1644" s="1"/>
      <c r="B1644" s="2"/>
      <c r="C1644" s="8"/>
      <c r="D1644" s="9" t="str">
        <f>+[239]INICIO!$C$8</f>
        <v>Análisis de Precios Unitarios- Secretaria de Planeación y Obras Publicas de Cubará, Boyacá.</v>
      </c>
      <c r="E1644" s="10"/>
      <c r="F1644" s="10"/>
      <c r="G1644" s="10"/>
      <c r="H1644" s="11"/>
      <c r="I1644" s="12"/>
      <c r="J1644" s="12"/>
      <c r="K1644" s="12"/>
      <c r="L1644" s="12"/>
      <c r="M1644" s="12"/>
      <c r="N1644" s="12"/>
      <c r="O1644" s="12"/>
      <c r="P1644" s="12"/>
      <c r="Q1644" s="13"/>
      <c r="R1644" s="4"/>
    </row>
    <row r="1645" spans="1:18">
      <c r="A1645" s="1"/>
      <c r="B1645" s="2"/>
      <c r="C1645" s="8"/>
      <c r="D1645" s="14" t="s">
        <v>0</v>
      </c>
      <c r="E1645" s="15" t="str">
        <f>+[239]INICIO!$C$7</f>
        <v>CCE-EICP-FM-14</v>
      </c>
      <c r="F1645" s="16"/>
      <c r="G1645" s="17" t="str">
        <f>+[239]INICIO!$B$6</f>
        <v>VERSIÓN</v>
      </c>
      <c r="H1645" s="14">
        <f>+[239]INICIO!$C$6</f>
        <v>1</v>
      </c>
      <c r="I1645" s="12"/>
      <c r="J1645" s="12"/>
      <c r="K1645" s="12"/>
      <c r="L1645" s="12"/>
      <c r="M1645" s="12"/>
      <c r="N1645" s="12"/>
      <c r="O1645" s="12"/>
      <c r="P1645" s="12"/>
      <c r="Q1645" s="13"/>
      <c r="R1645" s="4"/>
    </row>
    <row r="1646" spans="1:18">
      <c r="A1646" s="1"/>
      <c r="B1646" s="2"/>
      <c r="C1646" s="8"/>
      <c r="D1646" s="18"/>
      <c r="E1646" s="19"/>
      <c r="F1646" s="18"/>
      <c r="G1646" s="19"/>
      <c r="H1646" s="12"/>
      <c r="I1646" s="12"/>
      <c r="J1646" s="12"/>
      <c r="K1646" s="12"/>
      <c r="L1646" s="12"/>
      <c r="M1646" s="12"/>
      <c r="N1646" s="12"/>
      <c r="O1646" s="12"/>
      <c r="P1646" s="12"/>
      <c r="Q1646" s="13"/>
      <c r="R1646" s="4"/>
    </row>
    <row r="1647" spans="1:18" ht="15.75" thickBot="1">
      <c r="A1647" s="1"/>
      <c r="B1647" s="2"/>
      <c r="C1647" s="8"/>
      <c r="D1647" s="20"/>
      <c r="E1647" s="20"/>
      <c r="F1647" s="20"/>
      <c r="G1647" s="20"/>
      <c r="H1647" s="20"/>
      <c r="I1647" s="20"/>
      <c r="J1647" s="20"/>
      <c r="K1647" s="20"/>
      <c r="L1647" s="20"/>
      <c r="M1647" s="20"/>
      <c r="N1647" s="20"/>
      <c r="O1647" s="20"/>
      <c r="P1647" s="20"/>
      <c r="Q1647" s="13"/>
      <c r="R1647" s="4"/>
    </row>
    <row r="1648" spans="1:18">
      <c r="A1648" s="1"/>
      <c r="B1648" s="2"/>
      <c r="C1648" s="8"/>
      <c r="D1648" s="21"/>
      <c r="E1648" s="22"/>
      <c r="F1648" s="23"/>
      <c r="G1648" s="23"/>
      <c r="H1648" s="23"/>
      <c r="I1648" s="23"/>
      <c r="J1648" s="23"/>
      <c r="K1648" s="23"/>
      <c r="L1648" s="24"/>
      <c r="M1648" s="25"/>
      <c r="N1648" s="26"/>
      <c r="O1648" s="26"/>
      <c r="P1648" s="27"/>
      <c r="Q1648" s="28"/>
      <c r="R1648" s="4"/>
    </row>
    <row r="1649" spans="1:18">
      <c r="A1649" s="1"/>
      <c r="B1649" s="2"/>
      <c r="C1649" s="8"/>
      <c r="D1649" s="29"/>
      <c r="E1649" s="30" t="s">
        <v>1</v>
      </c>
      <c r="F1649" s="31"/>
      <c r="G1649" s="31"/>
      <c r="H1649" s="31"/>
      <c r="I1649" s="31"/>
      <c r="J1649" s="31"/>
      <c r="K1649" s="31"/>
      <c r="L1649" s="32"/>
      <c r="M1649" s="33"/>
      <c r="N1649" s="34"/>
      <c r="O1649" s="34"/>
      <c r="P1649" s="35"/>
      <c r="Q1649" s="28"/>
      <c r="R1649" s="4"/>
    </row>
    <row r="1650" spans="1:18">
      <c r="A1650" s="1"/>
      <c r="B1650" s="2"/>
      <c r="C1650" s="8"/>
      <c r="D1650" s="29"/>
      <c r="E1650" s="36"/>
      <c r="F1650" s="37"/>
      <c r="G1650" s="37"/>
      <c r="H1650" s="37"/>
      <c r="I1650" s="37"/>
      <c r="J1650" s="37"/>
      <c r="K1650" s="37"/>
      <c r="L1650" s="38"/>
      <c r="M1650" s="39"/>
      <c r="N1650" s="40"/>
      <c r="O1650" s="41"/>
      <c r="P1650" s="42"/>
      <c r="Q1650" s="28"/>
      <c r="R1650" s="4"/>
    </row>
    <row r="1651" spans="1:18">
      <c r="A1651" s="1"/>
      <c r="B1651" s="2"/>
      <c r="C1651" s="8"/>
      <c r="D1651" s="29"/>
      <c r="E1651" s="36"/>
      <c r="F1651" s="37"/>
      <c r="G1651" s="37"/>
      <c r="H1651" s="37"/>
      <c r="I1651" s="37"/>
      <c r="J1651" s="37"/>
      <c r="K1651" s="37"/>
      <c r="L1651" s="38"/>
      <c r="M1651" s="43" t="s">
        <v>2</v>
      </c>
      <c r="N1651" s="44"/>
      <c r="O1651" s="45">
        <f>+[239]INICIO!$C$6</f>
        <v>1</v>
      </c>
      <c r="P1651" s="46"/>
      <c r="Q1651" s="28"/>
      <c r="R1651" s="4"/>
    </row>
    <row r="1652" spans="1:18">
      <c r="A1652" s="1"/>
      <c r="B1652" s="2"/>
      <c r="C1652" s="8"/>
      <c r="D1652" s="29"/>
      <c r="E1652" s="36"/>
      <c r="F1652" s="37"/>
      <c r="G1652" s="37"/>
      <c r="H1652" s="37"/>
      <c r="I1652" s="37"/>
      <c r="J1652" s="37"/>
      <c r="K1652" s="37"/>
      <c r="L1652" s="38"/>
      <c r="M1652" s="47"/>
      <c r="N1652" s="48"/>
      <c r="O1652" s="49"/>
      <c r="P1652" s="50"/>
      <c r="Q1652" s="51"/>
      <c r="R1652" s="4"/>
    </row>
    <row r="1653" spans="1:18">
      <c r="A1653" s="1"/>
      <c r="B1653" s="2"/>
      <c r="C1653" s="8"/>
      <c r="D1653" s="29"/>
      <c r="E1653" s="52"/>
      <c r="F1653" s="53"/>
      <c r="G1653" s="53"/>
      <c r="H1653" s="53"/>
      <c r="I1653" s="53"/>
      <c r="J1653" s="53"/>
      <c r="K1653" s="53"/>
      <c r="L1653" s="54"/>
      <c r="M1653" s="39"/>
      <c r="N1653" s="55"/>
      <c r="O1653" s="55"/>
      <c r="P1653" s="56"/>
      <c r="Q1653" s="28"/>
      <c r="R1653" s="4"/>
    </row>
    <row r="1654" spans="1:18">
      <c r="A1654" s="1"/>
      <c r="B1654" s="2"/>
      <c r="C1654" s="8"/>
      <c r="D1654" s="29"/>
      <c r="E1654" s="52"/>
      <c r="F1654" s="53"/>
      <c r="G1654" s="53"/>
      <c r="H1654" s="53"/>
      <c r="I1654" s="53"/>
      <c r="J1654" s="53"/>
      <c r="K1654" s="53"/>
      <c r="L1654" s="54"/>
      <c r="M1654" s="43" t="s">
        <v>3</v>
      </c>
      <c r="N1654" s="43" t="str">
        <f>+VLOOKUP(D1665,'PRESUPUESTO OFICIAL '!C:Q,9,FALSE)</f>
        <v>35</v>
      </c>
      <c r="O1654" s="43" t="s">
        <v>4</v>
      </c>
      <c r="P1654" s="508" t="str">
        <f>+'PRESUPUESTO OFICIAL '!$M$122</f>
        <v>62</v>
      </c>
      <c r="Q1654" s="28"/>
      <c r="R1654" s="4"/>
    </row>
    <row r="1655" spans="1:18">
      <c r="A1655" s="1"/>
      <c r="B1655" s="2"/>
      <c r="C1655" s="8"/>
      <c r="D1655" s="29"/>
      <c r="E1655" s="30" t="s">
        <v>5</v>
      </c>
      <c r="F1655" s="31"/>
      <c r="G1655" s="31"/>
      <c r="H1655" s="31"/>
      <c r="I1655" s="31"/>
      <c r="J1655" s="31"/>
      <c r="K1655" s="31"/>
      <c r="L1655" s="32"/>
      <c r="M1655" s="43"/>
      <c r="N1655" s="57"/>
      <c r="O1655" s="57"/>
      <c r="P1655" s="58"/>
      <c r="Q1655" s="28"/>
      <c r="R1655" s="4"/>
    </row>
    <row r="1656" spans="1:18" ht="15.75" thickBot="1">
      <c r="A1656" s="1"/>
      <c r="B1656" s="2"/>
      <c r="C1656" s="8"/>
      <c r="D1656" s="59"/>
      <c r="E1656" s="60"/>
      <c r="F1656" s="60"/>
      <c r="G1656" s="60"/>
      <c r="H1656" s="60"/>
      <c r="I1656" s="60"/>
      <c r="J1656" s="60"/>
      <c r="K1656" s="60"/>
      <c r="L1656" s="60"/>
      <c r="M1656" s="60"/>
      <c r="N1656" s="61"/>
      <c r="O1656" s="61"/>
      <c r="P1656" s="62"/>
      <c r="Q1656" s="63"/>
      <c r="R1656" s="4"/>
    </row>
    <row r="1657" spans="1:18">
      <c r="A1657" s="1"/>
      <c r="B1657" s="2"/>
      <c r="C1657" s="8"/>
      <c r="D1657" s="64"/>
      <c r="E1657" s="65"/>
      <c r="F1657" s="65"/>
      <c r="G1657" s="65"/>
      <c r="H1657" s="65"/>
      <c r="I1657" s="65"/>
      <c r="J1657" s="65"/>
      <c r="K1657" s="65"/>
      <c r="L1657" s="65"/>
      <c r="M1657" s="66" t="s">
        <v>6</v>
      </c>
      <c r="N1657" s="66" t="s">
        <v>7</v>
      </c>
      <c r="O1657" s="66" t="s">
        <v>8</v>
      </c>
      <c r="P1657" s="67" t="s">
        <v>9</v>
      </c>
      <c r="Q1657" s="51"/>
      <c r="R1657" s="4"/>
    </row>
    <row r="1658" spans="1:18">
      <c r="A1658" s="1"/>
      <c r="B1658" s="2"/>
      <c r="C1658" s="8"/>
      <c r="D1658" s="68"/>
      <c r="E1658" s="69"/>
      <c r="F1658" s="69"/>
      <c r="G1658" s="69"/>
      <c r="H1658" s="69"/>
      <c r="I1658" s="69"/>
      <c r="J1658" s="69"/>
      <c r="K1658" s="69"/>
      <c r="L1658" s="69"/>
      <c r="M1658" s="70"/>
      <c r="N1658" s="71">
        <f>+Hoja2!B$5</f>
        <v>5</v>
      </c>
      <c r="O1658" s="71">
        <f>+Hoja2!C$5</f>
        <v>8</v>
      </c>
      <c r="P1658" s="72">
        <f>+Hoja2!D$5</f>
        <v>2026</v>
      </c>
      <c r="Q1658" s="73"/>
      <c r="R1658" s="4"/>
    </row>
    <row r="1659" spans="1:18">
      <c r="A1659" s="1"/>
      <c r="B1659" s="2"/>
      <c r="C1659" s="8"/>
      <c r="D1659" s="74"/>
      <c r="E1659" s="37"/>
      <c r="F1659" s="37"/>
      <c r="G1659" s="37"/>
      <c r="H1659" s="69"/>
      <c r="I1659" s="69"/>
      <c r="J1659" s="69"/>
      <c r="K1659" s="20"/>
      <c r="L1659" s="69"/>
      <c r="M1659" s="75"/>
      <c r="N1659" s="20"/>
      <c r="O1659" s="20"/>
      <c r="P1659" s="76"/>
      <c r="Q1659" s="73"/>
      <c r="R1659" s="4"/>
    </row>
    <row r="1660" spans="1:18" ht="15.75" thickBot="1">
      <c r="A1660" s="1"/>
      <c r="B1660" s="2"/>
      <c r="C1660" s="8"/>
      <c r="D1660" s="77"/>
      <c r="E1660" s="78"/>
      <c r="F1660" s="78"/>
      <c r="G1660" s="78"/>
      <c r="H1660" s="78"/>
      <c r="I1660" s="78"/>
      <c r="J1660" s="78"/>
      <c r="K1660" s="78"/>
      <c r="L1660" s="78"/>
      <c r="M1660" s="78"/>
      <c r="N1660" s="78"/>
      <c r="O1660" s="78"/>
      <c r="P1660" s="79"/>
      <c r="Q1660" s="13"/>
      <c r="R1660" s="4"/>
    </row>
    <row r="1661" spans="1:18" ht="15.75" thickBot="1">
      <c r="A1661" s="1"/>
      <c r="B1661" s="2"/>
      <c r="C1661" s="8"/>
      <c r="D1661" s="80"/>
      <c r="E1661" s="81"/>
      <c r="F1661" s="81"/>
      <c r="G1661" s="81"/>
      <c r="H1661" s="81"/>
      <c r="I1661" s="81"/>
      <c r="J1661" s="20"/>
      <c r="K1661" s="20"/>
      <c r="L1661" s="81"/>
      <c r="M1661" s="81"/>
      <c r="N1661" s="81"/>
      <c r="O1661" s="81"/>
      <c r="P1661" s="82"/>
      <c r="Q1661" s="13"/>
      <c r="R1661" s="4"/>
    </row>
    <row r="1662" spans="1:18">
      <c r="A1662" s="1"/>
      <c r="B1662" s="2"/>
      <c r="C1662" s="8"/>
      <c r="D1662" s="83" t="s">
        <v>10</v>
      </c>
      <c r="E1662" s="84"/>
      <c r="F1662" s="84"/>
      <c r="G1662" s="84"/>
      <c r="H1662" s="84"/>
      <c r="I1662" s="84"/>
      <c r="J1662" s="84"/>
      <c r="K1662" s="84"/>
      <c r="L1662" s="84"/>
      <c r="M1662" s="84"/>
      <c r="N1662" s="84"/>
      <c r="O1662" s="84"/>
      <c r="P1662" s="85"/>
      <c r="Q1662" s="86"/>
      <c r="R1662" s="4"/>
    </row>
    <row r="1663" spans="1:18" ht="15.75" thickBot="1">
      <c r="A1663" s="1"/>
      <c r="B1663" s="2"/>
      <c r="C1663" s="8"/>
      <c r="D1663" s="87"/>
      <c r="E1663" s="20"/>
      <c r="F1663" s="20"/>
      <c r="G1663" s="20"/>
      <c r="H1663" s="20"/>
      <c r="I1663" s="20"/>
      <c r="J1663" s="20"/>
      <c r="K1663" s="20"/>
      <c r="L1663" s="20"/>
      <c r="M1663" s="20"/>
      <c r="N1663" s="20"/>
      <c r="O1663" s="20"/>
      <c r="P1663" s="88"/>
      <c r="Q1663" s="13"/>
      <c r="R1663" s="4"/>
    </row>
    <row r="1664" spans="1:18">
      <c r="A1664" s="1" t="s">
        <v>11</v>
      </c>
      <c r="B1664" s="2" t="s">
        <v>12</v>
      </c>
      <c r="C1664" s="8"/>
      <c r="D1664" s="89" t="s">
        <v>13</v>
      </c>
      <c r="E1664" s="90" t="s">
        <v>14</v>
      </c>
      <c r="F1664" s="90"/>
      <c r="G1664" s="90"/>
      <c r="H1664" s="90"/>
      <c r="I1664" s="90"/>
      <c r="J1664" s="90"/>
      <c r="K1664" s="90"/>
      <c r="L1664" s="90"/>
      <c r="M1664" s="90"/>
      <c r="N1664" s="91" t="s">
        <v>15</v>
      </c>
      <c r="O1664" s="91"/>
      <c r="P1664" s="92" t="s">
        <v>16</v>
      </c>
      <c r="Q1664" s="93"/>
      <c r="R1664" s="4"/>
    </row>
    <row r="1665" spans="1:18" ht="38.25" customHeight="1" thickBot="1">
      <c r="A1665" s="1"/>
      <c r="B1665" s="2"/>
      <c r="C1665" s="8"/>
      <c r="D1665" s="349">
        <f>+'PRESUPUESTO OFICIAL '!C56</f>
        <v>4.07</v>
      </c>
      <c r="E1665" s="94" t="str">
        <f>+VLOOKUP(D1665,'PRESUPUESTO OFICIAL '!C:H,2,FALSE)</f>
        <v>SUMINISTRO E INSTALACIÓN DE TUBERÍA PVC SANITARIA DE Ø=4"</v>
      </c>
      <c r="F1665" s="94"/>
      <c r="G1665" s="94"/>
      <c r="H1665" s="94"/>
      <c r="I1665" s="94"/>
      <c r="J1665" s="94"/>
      <c r="K1665" s="94"/>
      <c r="L1665" s="94"/>
      <c r="M1665" s="94"/>
      <c r="N1665" s="94" t="str">
        <f>+VLOOKUP(D1665,'PRESUPUESTO OFICIAL '!C:H,3,FALSE)</f>
        <v>M</v>
      </c>
      <c r="O1665" s="95"/>
      <c r="P1665" s="96">
        <f>+VLOOKUP(D1665,'PRESUPUESTO OFICIAL '!C:H,4,FALSE)</f>
        <v>96</v>
      </c>
      <c r="Q1665" s="97"/>
      <c r="R1665" s="98">
        <f>+P1717</f>
        <v>83609</v>
      </c>
    </row>
    <row r="1666" spans="1:18" ht="15.75" thickBot="1">
      <c r="A1666" s="1"/>
      <c r="B1666" s="2"/>
      <c r="C1666" s="8"/>
      <c r="D1666" s="74" t="s">
        <v>17</v>
      </c>
      <c r="E1666" s="37"/>
      <c r="F1666" s="37"/>
      <c r="G1666" s="37"/>
      <c r="H1666" s="37"/>
      <c r="I1666" s="37"/>
      <c r="J1666" s="37"/>
      <c r="K1666" s="37"/>
      <c r="L1666" s="37"/>
      <c r="M1666" s="37"/>
      <c r="N1666" s="37"/>
      <c r="O1666" s="37"/>
      <c r="P1666" s="99"/>
      <c r="Q1666" s="100"/>
      <c r="R1666" s="4"/>
    </row>
    <row r="1667" spans="1:18">
      <c r="A1667" s="1"/>
      <c r="B1667" s="2"/>
      <c r="C1667" s="8"/>
      <c r="D1667" s="101" t="s">
        <v>14</v>
      </c>
      <c r="E1667" s="102"/>
      <c r="F1667" s="102"/>
      <c r="G1667" s="102"/>
      <c r="H1667" s="103"/>
      <c r="I1667" s="104" t="s">
        <v>18</v>
      </c>
      <c r="J1667" s="102"/>
      <c r="K1667" s="104" t="s">
        <v>19</v>
      </c>
      <c r="L1667" s="105"/>
      <c r="M1667" s="106" t="s">
        <v>20</v>
      </c>
      <c r="N1667" s="104" t="s">
        <v>21</v>
      </c>
      <c r="O1667" s="105"/>
      <c r="P1667" s="107" t="s">
        <v>22</v>
      </c>
      <c r="Q1667" s="108"/>
      <c r="R1667" s="4"/>
    </row>
    <row r="1668" spans="1:18">
      <c r="A1668" s="1" t="e">
        <f>[239]INDICE!#REF!</f>
        <v>#REF!</v>
      </c>
      <c r="B1668" s="2" t="s">
        <v>23</v>
      </c>
      <c r="C1668" s="8"/>
      <c r="D1668" s="109" t="str">
        <f>IFERROR(INDEX([239]EQUIPOS!B:B,MATCH(B1668,[239]EQUIPOS!A:A,0)),"")</f>
        <v>HERRAMIENTA MENOR (% M.O)</v>
      </c>
      <c r="E1668" s="110"/>
      <c r="F1668" s="110"/>
      <c r="G1668" s="110"/>
      <c r="H1668" s="111"/>
      <c r="I1668" s="112"/>
      <c r="J1668" s="111"/>
      <c r="K1668" s="113" t="str">
        <f>IFERROR(INDEX([239]EQUIPOS!C:C,MATCH(B1668,[239]EQUIPOS!A:A,0)),"")</f>
        <v>%</v>
      </c>
      <c r="L1668" s="114"/>
      <c r="M1668" s="115">
        <f>IFERROR(IF(D1668="HERRAMIENTA MENOR (% M.O)",P1707,INDEX([239]EQUIPOS!D:D,MATCH(B1668,[239]EQUIPOS!A:A,0))),"")</f>
        <v>18131</v>
      </c>
      <c r="N1668" s="116">
        <v>10</v>
      </c>
      <c r="O1668" s="117"/>
      <c r="P1668" s="118">
        <f t="shared" ref="P1668:P1673" si="57">IFERROR(ROUND(IF(D1668="HERRAMIENTA MENOR (% M.O)",N1668%*M1668,M1668/N1668),2)," ")</f>
        <v>1813.1</v>
      </c>
      <c r="Q1668" s="119"/>
      <c r="R1668" s="4"/>
    </row>
    <row r="1669" spans="1:18">
      <c r="A1669" s="1">
        <f>+$A$2858</f>
        <v>0</v>
      </c>
      <c r="B1669" s="2"/>
      <c r="C1669" s="8"/>
      <c r="D1669" s="109" t="str">
        <f>IFERROR(INDEX([239]EQUIPOS!B:B,MATCH(B1669,[239]EQUIPOS!A:A,0)),"")</f>
        <v/>
      </c>
      <c r="E1669" s="110"/>
      <c r="F1669" s="110"/>
      <c r="G1669" s="110"/>
      <c r="H1669" s="111"/>
      <c r="I1669" s="112"/>
      <c r="J1669" s="111"/>
      <c r="K1669" s="113" t="str">
        <f>IFERROR(INDEX([239]EQUIPOS!C:C,MATCH(B1669,[239]EQUIPOS!A:A,0)),"")</f>
        <v/>
      </c>
      <c r="L1669" s="114"/>
      <c r="M1669" s="115" t="str">
        <f>IFERROR(IF(D1669="HERRAMIENTA MENOR (% M.O)",P1708,INDEX([239]EQUIPOS!D:D,MATCH(B1669,[239]EQUIPOS!A:A,0))),"")</f>
        <v/>
      </c>
      <c r="N1669" s="116"/>
      <c r="O1669" s="117"/>
      <c r="P1669" s="118" t="str">
        <f t="shared" si="57"/>
        <v xml:space="preserve"> </v>
      </c>
      <c r="Q1669" s="119"/>
      <c r="R1669" s="4"/>
    </row>
    <row r="1670" spans="1:18">
      <c r="A1670" s="1">
        <f t="shared" ref="A1670:A1708" si="58">+A1669</f>
        <v>0</v>
      </c>
      <c r="B1670" s="2"/>
      <c r="C1670" s="8"/>
      <c r="D1670" s="109" t="str">
        <f>IFERROR(INDEX([239]EQUIPOS!B:B,MATCH(B1670,[239]EQUIPOS!A:A,0)),"")</f>
        <v/>
      </c>
      <c r="E1670" s="110"/>
      <c r="F1670" s="110"/>
      <c r="G1670" s="110"/>
      <c r="H1670" s="111"/>
      <c r="I1670" s="120"/>
      <c r="J1670" s="121"/>
      <c r="K1670" s="113" t="str">
        <f>IFERROR(INDEX([239]EQUIPOS!C:C,MATCH(B1670,[239]EQUIPOS!A:A,0)),"")</f>
        <v/>
      </c>
      <c r="L1670" s="114"/>
      <c r="M1670" s="115" t="str">
        <f>IFERROR(IF(D1670="HERRAMIENTA MENOR (% M.O)",P1709,INDEX([239]EQUIPOS!D:D,MATCH(B1670,[239]EQUIPOS!A:A,0))),"")</f>
        <v/>
      </c>
      <c r="N1670" s="116"/>
      <c r="O1670" s="117"/>
      <c r="P1670" s="118" t="str">
        <f t="shared" si="57"/>
        <v xml:space="preserve"> </v>
      </c>
      <c r="Q1670" s="119"/>
      <c r="R1670" s="4"/>
    </row>
    <row r="1671" spans="1:18">
      <c r="A1671" s="1">
        <f t="shared" si="58"/>
        <v>0</v>
      </c>
      <c r="B1671" s="2"/>
      <c r="C1671" s="8"/>
      <c r="D1671" s="109" t="str">
        <f>IFERROR(INDEX([239]EQUIPOS!B:B,MATCH(B1671,[239]EQUIPOS!A:A,0)),"")</f>
        <v/>
      </c>
      <c r="E1671" s="110"/>
      <c r="F1671" s="110"/>
      <c r="G1671" s="110"/>
      <c r="H1671" s="111"/>
      <c r="I1671" s="120"/>
      <c r="J1671" s="121"/>
      <c r="K1671" s="113" t="str">
        <f>IFERROR(INDEX([239]EQUIPOS!C:C,MATCH(B1671,[239]EQUIPOS!A:A,0)),"")</f>
        <v/>
      </c>
      <c r="L1671" s="114"/>
      <c r="M1671" s="115" t="str">
        <f>IFERROR(IF(D1671="HERRAMIENTA MENOR (% M.O)",P1710,INDEX([239]EQUIPOS!D:D,MATCH(B1671,[239]EQUIPOS!A:A,0))),"")</f>
        <v/>
      </c>
      <c r="N1671" s="116"/>
      <c r="O1671" s="117"/>
      <c r="P1671" s="118" t="str">
        <f t="shared" si="57"/>
        <v xml:space="preserve"> </v>
      </c>
      <c r="Q1671" s="119"/>
      <c r="R1671" s="4"/>
    </row>
    <row r="1672" spans="1:18">
      <c r="A1672" s="1">
        <f t="shared" si="58"/>
        <v>0</v>
      </c>
      <c r="B1672" s="2"/>
      <c r="C1672" s="8"/>
      <c r="D1672" s="109" t="str">
        <f>IFERROR(INDEX([239]EQUIPOS!B:B,MATCH(B1672,[239]EQUIPOS!A:A,0)),"")</f>
        <v/>
      </c>
      <c r="E1672" s="110"/>
      <c r="F1672" s="110"/>
      <c r="G1672" s="110"/>
      <c r="H1672" s="111"/>
      <c r="I1672" s="112"/>
      <c r="J1672" s="111"/>
      <c r="K1672" s="113" t="str">
        <f>IFERROR(INDEX([239]EQUIPOS!C:C,MATCH(B1672,[239]EQUIPOS!A:A,0)),"")</f>
        <v/>
      </c>
      <c r="L1672" s="114"/>
      <c r="M1672" s="115" t="str">
        <f>IFERROR(IF(D1672="HERRAMIENTA MENOR (% M.O)",P1711,INDEX([239]EQUIPOS!D:D,MATCH(B1672,[239]EQUIPOS!A:A,0))),"")</f>
        <v/>
      </c>
      <c r="N1672" s="116"/>
      <c r="O1672" s="117"/>
      <c r="P1672" s="118" t="str">
        <f t="shared" si="57"/>
        <v xml:space="preserve"> </v>
      </c>
      <c r="Q1672" s="119"/>
      <c r="R1672" s="4"/>
    </row>
    <row r="1673" spans="1:18" ht="15.75" thickBot="1">
      <c r="A1673" s="1">
        <f t="shared" si="58"/>
        <v>0</v>
      </c>
      <c r="B1673" s="2"/>
      <c r="C1673" s="8"/>
      <c r="D1673" s="109" t="str">
        <f>IFERROR(INDEX([239]EQUIPOS!B:B,MATCH(B1673,[239]EQUIPOS!A:A,0)),"")</f>
        <v/>
      </c>
      <c r="E1673" s="78"/>
      <c r="F1673" s="78"/>
      <c r="G1673" s="78"/>
      <c r="H1673" s="122"/>
      <c r="I1673" s="123"/>
      <c r="J1673" s="122"/>
      <c r="K1673" s="113" t="str">
        <f>IFERROR(INDEX([239]EQUIPOS!C:C,MATCH(B1673,[239]EQUIPOS!A:A,0)),"")</f>
        <v/>
      </c>
      <c r="L1673" s="124"/>
      <c r="M1673" s="115" t="str">
        <f>IFERROR(IF(D1673="HERRAMIENTA MENOR (% M.O)",P1712,INDEX([239]EQUIPOS!D:D,MATCH(B1673,[239]EQUIPOS!A:A,0))),"")</f>
        <v/>
      </c>
      <c r="N1673" s="125"/>
      <c r="O1673" s="126"/>
      <c r="P1673" s="127" t="str">
        <f t="shared" si="57"/>
        <v xml:space="preserve"> </v>
      </c>
      <c r="Q1673" s="119"/>
      <c r="R1673" s="4"/>
    </row>
    <row r="1674" spans="1:18" ht="15.75" thickBot="1">
      <c r="A1674" s="1">
        <f t="shared" si="58"/>
        <v>0</v>
      </c>
      <c r="B1674" s="2"/>
      <c r="C1674" s="8"/>
      <c r="D1674" s="128" t="s">
        <v>24</v>
      </c>
      <c r="E1674" s="129"/>
      <c r="F1674" s="129"/>
      <c r="G1674" s="129"/>
      <c r="H1674" s="129"/>
      <c r="I1674" s="129"/>
      <c r="J1674" s="129"/>
      <c r="K1674" s="129"/>
      <c r="L1674" s="129"/>
      <c r="M1674" s="129"/>
      <c r="N1674" s="129"/>
      <c r="O1674" s="130"/>
      <c r="P1674" s="131">
        <f>SUM(P1668:P1673)</f>
        <v>1813.1</v>
      </c>
      <c r="Q1674" s="132"/>
      <c r="R1674" s="4"/>
    </row>
    <row r="1675" spans="1:18" ht="15.75" thickBot="1">
      <c r="A1675" s="1">
        <f t="shared" si="58"/>
        <v>0</v>
      </c>
      <c r="B1675" s="2"/>
      <c r="C1675" s="8"/>
      <c r="D1675" s="74" t="s">
        <v>25</v>
      </c>
      <c r="E1675" s="37"/>
      <c r="F1675" s="37"/>
      <c r="G1675" s="37"/>
      <c r="H1675" s="37"/>
      <c r="I1675" s="37"/>
      <c r="J1675" s="37"/>
      <c r="K1675" s="37"/>
      <c r="L1675" s="37"/>
      <c r="M1675" s="37"/>
      <c r="N1675" s="37"/>
      <c r="O1675" s="37"/>
      <c r="P1675" s="99"/>
      <c r="Q1675" s="100"/>
      <c r="R1675" s="4"/>
    </row>
    <row r="1676" spans="1:18">
      <c r="A1676" s="1">
        <f t="shared" si="58"/>
        <v>0</v>
      </c>
      <c r="B1676" s="2"/>
      <c r="C1676" s="8"/>
      <c r="D1676" s="101" t="s">
        <v>14</v>
      </c>
      <c r="E1676" s="133"/>
      <c r="F1676" s="133"/>
      <c r="G1676" s="133"/>
      <c r="H1676" s="133"/>
      <c r="I1676" s="133"/>
      <c r="J1676" s="133"/>
      <c r="K1676" s="105"/>
      <c r="L1676" s="134" t="s">
        <v>15</v>
      </c>
      <c r="M1676" s="106" t="s">
        <v>16</v>
      </c>
      <c r="N1676" s="104" t="s">
        <v>26</v>
      </c>
      <c r="O1676" s="105"/>
      <c r="P1676" s="107" t="s">
        <v>22</v>
      </c>
      <c r="Q1676" s="108"/>
      <c r="R1676" s="4"/>
    </row>
    <row r="1677" spans="1:18">
      <c r="A1677" s="1">
        <f t="shared" si="58"/>
        <v>0</v>
      </c>
      <c r="B1677" s="2" t="s">
        <v>309</v>
      </c>
      <c r="C1677" s="8"/>
      <c r="D1677" s="109" t="str">
        <f>IFERROR(INDEX([239]MATERIALES!C:C,MATCH(B1677,[239]MATERIALES!B:B,0)),"")</f>
        <v>TUBERÍA SANITARIA DE 4" PVC T.P.</v>
      </c>
      <c r="E1677" s="135"/>
      <c r="F1677" s="135"/>
      <c r="G1677" s="135"/>
      <c r="H1677" s="135"/>
      <c r="I1677" s="135"/>
      <c r="J1677" s="135"/>
      <c r="K1677" s="136"/>
      <c r="L1677" s="137" t="str">
        <f>IFERROR(INDEX([239]MATERIALES!D:D,MATCH(B1677,[239]MATERIALES!B:B,0)),"")</f>
        <v>M</v>
      </c>
      <c r="M1677" s="138">
        <v>1</v>
      </c>
      <c r="N1677" s="139">
        <f>IFERROR(INDEX([239]MATERIALES!P:P,MATCH(B1677,[239]MATERIALES!B:B,0)),"")</f>
        <v>36360.82</v>
      </c>
      <c r="O1677" s="140"/>
      <c r="P1677" s="118">
        <f>IFERROR(ROUND(N1677*M1677,2),"")</f>
        <v>36360.82</v>
      </c>
      <c r="Q1677" s="119"/>
      <c r="R1677" s="4"/>
    </row>
    <row r="1678" spans="1:18">
      <c r="A1678" s="1">
        <f t="shared" si="58"/>
        <v>0</v>
      </c>
      <c r="B1678" s="2" t="s">
        <v>310</v>
      </c>
      <c r="C1678" s="8"/>
      <c r="D1678" s="109" t="str">
        <f>IFERROR(INDEX([239]MATERIALES!C:C,MATCH(B1678,[239]MATERIALES!B:B,0)),"")</f>
        <v>UNIÓN PVC SANITARIA DE 4"</v>
      </c>
      <c r="E1678" s="135"/>
      <c r="F1678" s="135"/>
      <c r="G1678" s="135"/>
      <c r="H1678" s="135"/>
      <c r="I1678" s="135"/>
      <c r="J1678" s="135"/>
      <c r="K1678" s="136"/>
      <c r="L1678" s="137" t="str">
        <f>IFERROR(INDEX([239]MATERIALES!D:D,MATCH(B1678,[239]MATERIALES!B:B,0)),"")</f>
        <v>UND</v>
      </c>
      <c r="M1678" s="138">
        <v>0.17</v>
      </c>
      <c r="N1678" s="139">
        <f>IFERROR(INDEX([239]MATERIALES!P:P,MATCH(B1678,[239]MATERIALES!B:B,0)),"")</f>
        <v>11471.54</v>
      </c>
      <c r="O1678" s="140"/>
      <c r="P1678" s="118">
        <f>IFERROR(ROUND(N1678*M1678,2),"")</f>
        <v>1950.16</v>
      </c>
      <c r="Q1678" s="119"/>
      <c r="R1678" s="4"/>
    </row>
    <row r="1679" spans="1:18">
      <c r="A1679" s="1">
        <f t="shared" si="58"/>
        <v>0</v>
      </c>
      <c r="B1679" s="2" t="s">
        <v>311</v>
      </c>
      <c r="C1679" s="8"/>
      <c r="D1679" s="109" t="str">
        <f>IFERROR(INDEX([239]MATERIALES!C:C,MATCH(B1679,[239]MATERIALES!B:B,0)),"")</f>
        <v>CODO SANITARIO DE 4" PVC</v>
      </c>
      <c r="E1679" s="110"/>
      <c r="F1679" s="110"/>
      <c r="G1679" s="110"/>
      <c r="H1679" s="110"/>
      <c r="I1679" s="110"/>
      <c r="J1679" s="110"/>
      <c r="K1679" s="111"/>
      <c r="L1679" s="137" t="str">
        <f>IFERROR(INDEX([239]MATERIALES!D:D,MATCH(B1679,[239]MATERIALES!B:B,0)),"")</f>
        <v>UND</v>
      </c>
      <c r="M1679" s="138">
        <v>0.03</v>
      </c>
      <c r="N1679" s="139">
        <f>IFERROR(INDEX([239]MATERIALES!P:P,MATCH(B1679,[239]MATERIALES!B:B,0)),"")</f>
        <v>18542.68</v>
      </c>
      <c r="O1679" s="140"/>
      <c r="P1679" s="118">
        <f>IFERROR(ROUND(N1679*M1679,2),"")</f>
        <v>556.28</v>
      </c>
      <c r="Q1679" s="119"/>
      <c r="R1679" s="4"/>
    </row>
    <row r="1680" spans="1:18">
      <c r="A1680" s="1">
        <f t="shared" si="58"/>
        <v>0</v>
      </c>
      <c r="B1680" s="2" t="s">
        <v>312</v>
      </c>
      <c r="C1680" s="8"/>
      <c r="D1680" s="109" t="str">
        <f>IFERROR(INDEX([239]MATERIALES!C:C,MATCH(B1680,[239]MATERIALES!B:B,0)),"")</f>
        <v>TEE SENCILLA SANITARIA DE 4" PVC</v>
      </c>
      <c r="E1680" s="110"/>
      <c r="F1680" s="110"/>
      <c r="G1680" s="110"/>
      <c r="H1680" s="110"/>
      <c r="I1680" s="110"/>
      <c r="J1680" s="110"/>
      <c r="K1680" s="111"/>
      <c r="L1680" s="137" t="str">
        <f>IFERROR(INDEX([239]MATERIALES!D:D,MATCH(B1680,[239]MATERIALES!B:B,0)),"")</f>
        <v>UND</v>
      </c>
      <c r="M1680" s="138">
        <v>0.03</v>
      </c>
      <c r="N1680" s="139">
        <f>IFERROR(INDEX([239]MATERIALES!P:P,MATCH(B1680,[239]MATERIALES!B:B,0)),"")</f>
        <v>26235.74</v>
      </c>
      <c r="O1680" s="140"/>
      <c r="P1680" s="118">
        <f>IFERROR(ROUND(N1680*M1680,2),"")</f>
        <v>787.07</v>
      </c>
      <c r="Q1680" s="119"/>
      <c r="R1680" s="4"/>
    </row>
    <row r="1681" spans="1:18">
      <c r="A1681" s="1">
        <f t="shared" si="58"/>
        <v>0</v>
      </c>
      <c r="B1681" s="2" t="s">
        <v>295</v>
      </c>
      <c r="C1681" s="8"/>
      <c r="D1681" s="109" t="str">
        <f>IFERROR(INDEX([239]MATERIALES!C:C,MATCH(B1681,[239]MATERIALES!B:B,0)),"")</f>
        <v>REMOVEDOR PVC (LIMPIADOR 1/4 )</v>
      </c>
      <c r="E1681" s="110"/>
      <c r="F1681" s="110"/>
      <c r="G1681" s="110"/>
      <c r="H1681" s="110"/>
      <c r="I1681" s="110"/>
      <c r="J1681" s="110"/>
      <c r="K1681" s="111"/>
      <c r="L1681" s="137" t="str">
        <f>IFERROR(INDEX([239]MATERIALES!D:D,MATCH(B1681,[239]MATERIALES!B:B,0)),"")</f>
        <v>GAL</v>
      </c>
      <c r="M1681" s="138">
        <v>0.01</v>
      </c>
      <c r="N1681" s="139">
        <f>IFERROR(INDEX([239]MATERIALES!P:P,MATCH(B1681,[239]MATERIALES!B:B,0)),"")</f>
        <v>54704</v>
      </c>
      <c r="O1681" s="140"/>
      <c r="P1681" s="118">
        <f t="shared" ref="P1681:P1690" si="59">IFERROR(ROUND(N1681*M1681,2),"")</f>
        <v>547.04</v>
      </c>
      <c r="Q1681" s="119"/>
      <c r="R1681" s="4"/>
    </row>
    <row r="1682" spans="1:18">
      <c r="A1682" s="1">
        <f t="shared" si="58"/>
        <v>0</v>
      </c>
      <c r="B1682" s="2" t="s">
        <v>294</v>
      </c>
      <c r="C1682" s="8"/>
      <c r="D1682" s="109" t="str">
        <f>IFERROR(INDEX([239]MATERIALES!C:C,MATCH(B1682,[239]MATERIALES!B:B,0)),"")</f>
        <v>SOLDADURA LIQUIDA PVC 1/4"</v>
      </c>
      <c r="E1682" s="110"/>
      <c r="F1682" s="110"/>
      <c r="G1682" s="110"/>
      <c r="H1682" s="110"/>
      <c r="I1682" s="110"/>
      <c r="J1682" s="110"/>
      <c r="K1682" s="111"/>
      <c r="L1682" s="137" t="str">
        <f>IFERROR(INDEX([239]MATERIALES!D:D,MATCH(B1682,[239]MATERIALES!B:B,0)),"")</f>
        <v>GAL</v>
      </c>
      <c r="M1682" s="138">
        <v>0.01</v>
      </c>
      <c r="N1682" s="139">
        <f>IFERROR(INDEX([239]MATERIALES!P:P,MATCH(B1682,[239]MATERIALES!B:B,0)),"")</f>
        <v>67444</v>
      </c>
      <c r="O1682" s="140"/>
      <c r="P1682" s="118">
        <f t="shared" si="59"/>
        <v>674.44</v>
      </c>
      <c r="Q1682" s="119"/>
      <c r="R1682" s="4"/>
    </row>
    <row r="1683" spans="1:18">
      <c r="A1683" s="1">
        <f t="shared" si="58"/>
        <v>0</v>
      </c>
      <c r="B1683" s="2"/>
      <c r="C1683" s="8"/>
      <c r="D1683" s="109" t="str">
        <f>IFERROR(INDEX([239]MATERIALES!C:C,MATCH(B1683,[239]MATERIALES!B:B,0)),"")</f>
        <v/>
      </c>
      <c r="E1683" s="110"/>
      <c r="F1683" s="110"/>
      <c r="G1683" s="110"/>
      <c r="H1683" s="110"/>
      <c r="I1683" s="110"/>
      <c r="J1683" s="110"/>
      <c r="K1683" s="111"/>
      <c r="L1683" s="137" t="str">
        <f>IFERROR(INDEX([239]MATERIALES!D:D,MATCH(B1683,[239]MATERIALES!B:B,0)),"")</f>
        <v/>
      </c>
      <c r="M1683" s="138"/>
      <c r="N1683" s="139" t="str">
        <f>IFERROR(INDEX([239]MATERIALES!P:P,MATCH(B1683,[239]MATERIALES!B:B,0)),"")</f>
        <v/>
      </c>
      <c r="O1683" s="140"/>
      <c r="P1683" s="118" t="str">
        <f t="shared" si="59"/>
        <v/>
      </c>
      <c r="Q1683" s="119"/>
      <c r="R1683" s="4"/>
    </row>
    <row r="1684" spans="1:18">
      <c r="A1684" s="1">
        <f t="shared" si="58"/>
        <v>0</v>
      </c>
      <c r="B1684" s="2"/>
      <c r="C1684" s="8"/>
      <c r="D1684" s="109" t="str">
        <f>IFERROR(INDEX([239]MATERIALES!C:C,MATCH(B1684,[239]MATERIALES!B:B,0)),"")</f>
        <v/>
      </c>
      <c r="E1684" s="110"/>
      <c r="F1684" s="110"/>
      <c r="G1684" s="110"/>
      <c r="H1684" s="110"/>
      <c r="I1684" s="110"/>
      <c r="J1684" s="110"/>
      <c r="K1684" s="111"/>
      <c r="L1684" s="137" t="str">
        <f>IFERROR(INDEX([239]MATERIALES!D:D,MATCH(B1684,[239]MATERIALES!B:B,0)),"")</f>
        <v/>
      </c>
      <c r="M1684" s="138"/>
      <c r="N1684" s="139" t="str">
        <f>IFERROR(INDEX([239]MATERIALES!P:P,MATCH(B1684,[239]MATERIALES!B:B,0)),"")</f>
        <v/>
      </c>
      <c r="O1684" s="140"/>
      <c r="P1684" s="118" t="str">
        <f t="shared" si="59"/>
        <v/>
      </c>
      <c r="Q1684" s="119"/>
      <c r="R1684" s="4"/>
    </row>
    <row r="1685" spans="1:18">
      <c r="A1685" s="1">
        <f t="shared" si="58"/>
        <v>0</v>
      </c>
      <c r="B1685" s="2"/>
      <c r="C1685" s="8"/>
      <c r="D1685" s="109" t="str">
        <f>IFERROR(INDEX([239]MATERIALES!C:C,MATCH(B1685,[239]MATERIALES!B:B,0)),"")</f>
        <v/>
      </c>
      <c r="E1685" s="110"/>
      <c r="F1685" s="110"/>
      <c r="G1685" s="110"/>
      <c r="H1685" s="110"/>
      <c r="I1685" s="110"/>
      <c r="J1685" s="110"/>
      <c r="K1685" s="111"/>
      <c r="L1685" s="137" t="str">
        <f>IFERROR(INDEX([239]MATERIALES!D:D,MATCH(B1685,[239]MATERIALES!B:B,0)),"")</f>
        <v/>
      </c>
      <c r="M1685" s="138"/>
      <c r="N1685" s="139" t="str">
        <f>IFERROR(INDEX([239]MATERIALES!P:P,MATCH(B1685,[239]MATERIALES!B:B,0)),"")</f>
        <v/>
      </c>
      <c r="O1685" s="140"/>
      <c r="P1685" s="118" t="str">
        <f t="shared" si="59"/>
        <v/>
      </c>
      <c r="Q1685" s="119"/>
      <c r="R1685" s="4"/>
    </row>
    <row r="1686" spans="1:18">
      <c r="A1686" s="1">
        <f t="shared" si="58"/>
        <v>0</v>
      </c>
      <c r="B1686" s="2"/>
      <c r="C1686" s="8"/>
      <c r="D1686" s="109" t="str">
        <f>IFERROR(INDEX([239]MATERIALES!C:C,MATCH(B1686,[239]MATERIALES!B:B,0)),"")</f>
        <v/>
      </c>
      <c r="E1686" s="110"/>
      <c r="F1686" s="110"/>
      <c r="G1686" s="110"/>
      <c r="H1686" s="110"/>
      <c r="I1686" s="110"/>
      <c r="J1686" s="110"/>
      <c r="K1686" s="111"/>
      <c r="L1686" s="137" t="str">
        <f>IFERROR(INDEX([239]MATERIALES!D:D,MATCH(B1686,[239]MATERIALES!B:B,0)),"")</f>
        <v/>
      </c>
      <c r="M1686" s="138"/>
      <c r="N1686" s="139" t="str">
        <f>IFERROR(INDEX([239]MATERIALES!P:P,MATCH(B1686,[239]MATERIALES!B:B,0)),"")</f>
        <v/>
      </c>
      <c r="O1686" s="140"/>
      <c r="P1686" s="118" t="str">
        <f t="shared" si="59"/>
        <v/>
      </c>
      <c r="Q1686" s="119"/>
      <c r="R1686" s="4"/>
    </row>
    <row r="1687" spans="1:18">
      <c r="A1687" s="1">
        <f t="shared" si="58"/>
        <v>0</v>
      </c>
      <c r="B1687" s="2"/>
      <c r="C1687" s="8"/>
      <c r="D1687" s="109" t="str">
        <f>IFERROR(INDEX([239]MATERIALES!C:C,MATCH(B1687,[239]MATERIALES!B:B,0)),"")</f>
        <v/>
      </c>
      <c r="E1687" s="110"/>
      <c r="F1687" s="110"/>
      <c r="G1687" s="110"/>
      <c r="H1687" s="110"/>
      <c r="I1687" s="110"/>
      <c r="J1687" s="110"/>
      <c r="K1687" s="111"/>
      <c r="L1687" s="137" t="str">
        <f>IFERROR(INDEX([239]MATERIALES!D:D,MATCH(B1687,[239]MATERIALES!B:B,0)),"")</f>
        <v/>
      </c>
      <c r="M1687" s="138"/>
      <c r="N1687" s="139" t="str">
        <f>IFERROR(INDEX([239]MATERIALES!P:P,MATCH(B1687,[239]MATERIALES!B:B,0)),"")</f>
        <v/>
      </c>
      <c r="O1687" s="140"/>
      <c r="P1687" s="118" t="str">
        <f t="shared" si="59"/>
        <v/>
      </c>
      <c r="Q1687" s="119"/>
      <c r="R1687" s="4"/>
    </row>
    <row r="1688" spans="1:18">
      <c r="A1688" s="1">
        <f t="shared" si="58"/>
        <v>0</v>
      </c>
      <c r="B1688" s="2"/>
      <c r="C1688" s="8"/>
      <c r="D1688" s="109" t="str">
        <f>IFERROR(INDEX([239]MATERIALES!C:C,MATCH(B1688,[239]MATERIALES!B:B,0)),"")</f>
        <v/>
      </c>
      <c r="E1688" s="110"/>
      <c r="F1688" s="110"/>
      <c r="G1688" s="110"/>
      <c r="H1688" s="110"/>
      <c r="I1688" s="110"/>
      <c r="J1688" s="110"/>
      <c r="K1688" s="111"/>
      <c r="L1688" s="137" t="str">
        <f>IFERROR(INDEX([239]MATERIALES!D:D,MATCH(B1688,[239]MATERIALES!B:B,0)),"")</f>
        <v/>
      </c>
      <c r="M1688" s="138"/>
      <c r="N1688" s="139" t="str">
        <f>IFERROR(INDEX([239]MATERIALES!P:P,MATCH(B1688,[239]MATERIALES!B:B,0)),"")</f>
        <v/>
      </c>
      <c r="O1688" s="140"/>
      <c r="P1688" s="118" t="str">
        <f t="shared" si="59"/>
        <v/>
      </c>
      <c r="Q1688" s="119"/>
      <c r="R1688" s="4"/>
    </row>
    <row r="1689" spans="1:18">
      <c r="A1689" s="1">
        <f t="shared" si="58"/>
        <v>0</v>
      </c>
      <c r="B1689" s="2"/>
      <c r="C1689" s="8"/>
      <c r="D1689" s="109" t="str">
        <f>IFERROR(INDEX([239]MATERIALES!C:C,MATCH(B1689,[239]MATERIALES!B:B,0)),"")</f>
        <v/>
      </c>
      <c r="E1689" s="110"/>
      <c r="F1689" s="110"/>
      <c r="G1689" s="110"/>
      <c r="H1689" s="110"/>
      <c r="I1689" s="110"/>
      <c r="J1689" s="110"/>
      <c r="K1689" s="111"/>
      <c r="L1689" s="137" t="str">
        <f>IFERROR(INDEX([239]MATERIALES!D:D,MATCH(B1689,[239]MATERIALES!B:B,0)),"")</f>
        <v/>
      </c>
      <c r="M1689" s="138"/>
      <c r="N1689" s="139" t="str">
        <f>IFERROR(INDEX([239]MATERIALES!P:P,MATCH(B1689,[239]MATERIALES!B:B,0)),"")</f>
        <v/>
      </c>
      <c r="O1689" s="140"/>
      <c r="P1689" s="118" t="str">
        <f t="shared" si="59"/>
        <v/>
      </c>
      <c r="Q1689" s="119"/>
      <c r="R1689" s="4"/>
    </row>
    <row r="1690" spans="1:18">
      <c r="A1690" s="1">
        <f t="shared" si="58"/>
        <v>0</v>
      </c>
      <c r="B1690" s="2"/>
      <c r="C1690" s="8"/>
      <c r="D1690" s="109" t="str">
        <f>IFERROR(INDEX([239]MATERIALES!C:C,MATCH(B1690,[239]MATERIALES!B:B,0)),"")</f>
        <v/>
      </c>
      <c r="E1690" s="110"/>
      <c r="F1690" s="110"/>
      <c r="G1690" s="110"/>
      <c r="H1690" s="110"/>
      <c r="I1690" s="110"/>
      <c r="J1690" s="110"/>
      <c r="K1690" s="111"/>
      <c r="L1690" s="137" t="str">
        <f>IFERROR(INDEX([239]MATERIALES!D:D,MATCH(B1690,[239]MATERIALES!B:B,0)),"")</f>
        <v/>
      </c>
      <c r="M1690" s="138"/>
      <c r="N1690" s="139" t="str">
        <f>IFERROR(INDEX([239]MATERIALES!P:P,MATCH(B1690,[239]MATERIALES!B:B,0)),"")</f>
        <v/>
      </c>
      <c r="O1690" s="140"/>
      <c r="P1690" s="118" t="str">
        <f t="shared" si="59"/>
        <v/>
      </c>
      <c r="Q1690" s="119"/>
      <c r="R1690" s="4"/>
    </row>
    <row r="1691" spans="1:18" ht="15.75" thickBot="1">
      <c r="A1691" s="1">
        <f t="shared" si="58"/>
        <v>0</v>
      </c>
      <c r="B1691" s="2"/>
      <c r="C1691" s="8"/>
      <c r="D1691" s="109" t="s">
        <v>28</v>
      </c>
      <c r="E1691" s="110"/>
      <c r="F1691" s="110"/>
      <c r="G1691" s="110"/>
      <c r="H1691" s="110"/>
      <c r="I1691" s="110"/>
      <c r="J1691" s="110"/>
      <c r="K1691" s="111"/>
      <c r="L1691" s="137" t="s">
        <v>29</v>
      </c>
      <c r="M1691" s="138">
        <v>0.05</v>
      </c>
      <c r="N1691" s="139">
        <f>SUM(P1677:P1690)</f>
        <v>40875.810000000005</v>
      </c>
      <c r="O1691" s="140"/>
      <c r="P1691" s="118">
        <f>ROUND(N1691*M1691,2)</f>
        <v>2043.79</v>
      </c>
      <c r="Q1691" s="119"/>
      <c r="R1691" s="4"/>
    </row>
    <row r="1692" spans="1:18" ht="15.75" thickBot="1">
      <c r="A1692" s="1">
        <f t="shared" si="58"/>
        <v>0</v>
      </c>
      <c r="B1692" s="2"/>
      <c r="C1692" s="8"/>
      <c r="D1692" s="128" t="s">
        <v>24</v>
      </c>
      <c r="E1692" s="129"/>
      <c r="F1692" s="129"/>
      <c r="G1692" s="129"/>
      <c r="H1692" s="129"/>
      <c r="I1692" s="129"/>
      <c r="J1692" s="129"/>
      <c r="K1692" s="129"/>
      <c r="L1692" s="129"/>
      <c r="M1692" s="129"/>
      <c r="N1692" s="129"/>
      <c r="O1692" s="130"/>
      <c r="P1692" s="131">
        <f>SUM(P1677:P1691)</f>
        <v>42919.600000000006</v>
      </c>
      <c r="Q1692" s="119"/>
      <c r="R1692" s="4"/>
    </row>
    <row r="1693" spans="1:18" ht="15.75" thickBot="1">
      <c r="A1693" s="1">
        <f t="shared" si="58"/>
        <v>0</v>
      </c>
      <c r="B1693" s="2"/>
      <c r="C1693" s="8"/>
      <c r="D1693" s="74" t="s">
        <v>30</v>
      </c>
      <c r="E1693" s="37"/>
      <c r="F1693" s="37"/>
      <c r="G1693" s="37"/>
      <c r="H1693" s="37"/>
      <c r="I1693" s="37"/>
      <c r="J1693" s="37"/>
      <c r="K1693" s="37"/>
      <c r="L1693" s="37"/>
      <c r="M1693" s="37"/>
      <c r="N1693" s="37"/>
      <c r="O1693" s="37"/>
      <c r="P1693" s="99"/>
      <c r="Q1693" s="100"/>
      <c r="R1693" s="4"/>
    </row>
    <row r="1694" spans="1:18">
      <c r="A1694" s="1">
        <f t="shared" si="58"/>
        <v>0</v>
      </c>
      <c r="B1694" s="2"/>
      <c r="C1694" s="8"/>
      <c r="D1694" s="101" t="s">
        <v>31</v>
      </c>
      <c r="E1694" s="133"/>
      <c r="F1694" s="133"/>
      <c r="G1694" s="133"/>
      <c r="H1694" s="133"/>
      <c r="I1694" s="133"/>
      <c r="J1694" s="133"/>
      <c r="K1694" s="106" t="s">
        <v>32</v>
      </c>
      <c r="L1694" s="141" t="s">
        <v>33</v>
      </c>
      <c r="M1694" s="106" t="s">
        <v>34</v>
      </c>
      <c r="N1694" s="104" t="s">
        <v>20</v>
      </c>
      <c r="O1694" s="105"/>
      <c r="P1694" s="107" t="s">
        <v>22</v>
      </c>
      <c r="Q1694" s="108"/>
      <c r="R1694" s="4"/>
    </row>
    <row r="1695" spans="1:18">
      <c r="A1695" s="1">
        <f t="shared" si="58"/>
        <v>0</v>
      </c>
      <c r="B1695" s="2"/>
      <c r="C1695" s="8"/>
      <c r="D1695" s="142" t="str">
        <f>IFERROR(INDEX([239]TRANSPORTES!B:B,MATCH(B1695,[239]TRANSPORTES!A:A,0)),"")</f>
        <v/>
      </c>
      <c r="E1695" s="143"/>
      <c r="F1695" s="143"/>
      <c r="G1695" s="143"/>
      <c r="H1695" s="143"/>
      <c r="I1695" s="143"/>
      <c r="J1695" s="143"/>
      <c r="K1695" s="220"/>
      <c r="L1695" s="145"/>
      <c r="M1695" s="146" t="str">
        <f>IFERROR(INDEX([239]TRANSPORTES!C:C,MATCH(B1695,[239]TRANSPORTES!A:A,0)),"")</f>
        <v/>
      </c>
      <c r="N1695" s="139" t="str">
        <f>IFERROR(INDEX([239]TRANSPORTES!D:D,MATCH(B1695,[239]TRANSPORTES!A:A,0)),"")</f>
        <v/>
      </c>
      <c r="O1695" s="147"/>
      <c r="P1695" s="148" t="str">
        <f>IFERROR(ROUND(K1695*N1695*L1695,2),"")</f>
        <v/>
      </c>
      <c r="Q1695" s="119"/>
      <c r="R1695" s="4"/>
    </row>
    <row r="1696" spans="1:18">
      <c r="A1696" s="1">
        <f t="shared" si="58"/>
        <v>0</v>
      </c>
      <c r="B1696" s="2"/>
      <c r="C1696" s="8"/>
      <c r="D1696" s="142" t="str">
        <f>IFERROR(INDEX([239]TRANSPORTES!B:B,MATCH(B1696,[239]TRANSPORTES!A:A,0)),"")</f>
        <v/>
      </c>
      <c r="E1696" s="143"/>
      <c r="F1696" s="143"/>
      <c r="G1696" s="143"/>
      <c r="H1696" s="143"/>
      <c r="I1696" s="143"/>
      <c r="J1696" s="143"/>
      <c r="K1696" s="144"/>
      <c r="L1696" s="145"/>
      <c r="M1696" s="146" t="str">
        <f>IFERROR(INDEX([239]TRANSPORTES!C:C,MATCH(B1696,[239]TRANSPORTES!A:A,0)),"")</f>
        <v/>
      </c>
      <c r="N1696" s="139" t="str">
        <f>IFERROR(INDEX([239]TRANSPORTES!D:D,MATCH(B1696,[239]TRANSPORTES!A:A,0)),"")</f>
        <v/>
      </c>
      <c r="O1696" s="147"/>
      <c r="P1696" s="148" t="str">
        <f>IFERROR(ROUND(K1696*N1696*L1696,2),"")</f>
        <v/>
      </c>
      <c r="Q1696" s="119"/>
      <c r="R1696" s="4"/>
    </row>
    <row r="1697" spans="1:18">
      <c r="A1697" s="1">
        <f t="shared" si="58"/>
        <v>0</v>
      </c>
      <c r="B1697" s="2"/>
      <c r="C1697" s="8"/>
      <c r="D1697" s="142" t="str">
        <f>IFERROR(INDEX([239]TRANSPORTES!B:B,MATCH(B1697,[239]TRANSPORTES!A:A,0)),"")</f>
        <v/>
      </c>
      <c r="E1697" s="143"/>
      <c r="F1697" s="143"/>
      <c r="G1697" s="143"/>
      <c r="H1697" s="143"/>
      <c r="I1697" s="143"/>
      <c r="J1697" s="143"/>
      <c r="K1697" s="144"/>
      <c r="L1697" s="145"/>
      <c r="M1697" s="146" t="str">
        <f>IFERROR(INDEX([239]TRANSPORTES!C:C,MATCH(B1697,[239]TRANSPORTES!A:A,0)),"")</f>
        <v/>
      </c>
      <c r="N1697" s="139" t="str">
        <f>IFERROR(INDEX([239]TRANSPORTES!D:D,MATCH(B1697,[239]TRANSPORTES!A:A,0)),"")</f>
        <v/>
      </c>
      <c r="O1697" s="147"/>
      <c r="P1697" s="148" t="str">
        <f>IFERROR(ROUND(K1697*N1697*L1697,2),"")</f>
        <v/>
      </c>
      <c r="Q1697" s="119"/>
      <c r="R1697" s="4"/>
    </row>
    <row r="1698" spans="1:18" ht="15.75" thickBot="1">
      <c r="A1698" s="1">
        <f t="shared" si="58"/>
        <v>0</v>
      </c>
      <c r="B1698" s="2"/>
      <c r="C1698" s="8"/>
      <c r="D1698" s="142" t="str">
        <f>IFERROR(INDEX([239]TRANSPORTES!B:B,MATCH(B1698,[239]TRANSPORTES!A:A,0)),"")</f>
        <v/>
      </c>
      <c r="E1698" s="143"/>
      <c r="F1698" s="143"/>
      <c r="G1698" s="143"/>
      <c r="H1698" s="143"/>
      <c r="I1698" s="143"/>
      <c r="J1698" s="143"/>
      <c r="K1698" s="149"/>
      <c r="L1698" s="150"/>
      <c r="M1698" s="146" t="str">
        <f>IFERROR(INDEX([239]TRANSPORTES!C:C,MATCH(B1698,[239]TRANSPORTES!A:A,0)),"")</f>
        <v/>
      </c>
      <c r="N1698" s="139" t="str">
        <f>IFERROR(INDEX([239]TRANSPORTES!D:D,MATCH(B1698,[239]TRANSPORTES!A:A,0)),"")</f>
        <v/>
      </c>
      <c r="O1698" s="147"/>
      <c r="P1698" s="148" t="str">
        <f>IFERROR(ROUND(K1698*N1698*L1698,2),"")</f>
        <v/>
      </c>
      <c r="Q1698" s="119"/>
      <c r="R1698" s="4"/>
    </row>
    <row r="1699" spans="1:18" ht="15.75" thickBot="1">
      <c r="A1699" s="1">
        <f t="shared" si="58"/>
        <v>0</v>
      </c>
      <c r="B1699" s="2"/>
      <c r="C1699" s="8"/>
      <c r="D1699" s="128" t="s">
        <v>24</v>
      </c>
      <c r="E1699" s="129"/>
      <c r="F1699" s="129"/>
      <c r="G1699" s="129"/>
      <c r="H1699" s="129"/>
      <c r="I1699" s="129"/>
      <c r="J1699" s="129"/>
      <c r="K1699" s="129"/>
      <c r="L1699" s="129"/>
      <c r="M1699" s="129"/>
      <c r="N1699" s="129"/>
      <c r="O1699" s="130"/>
      <c r="P1699" s="151">
        <f>SUM(P1695:P1698)</f>
        <v>0</v>
      </c>
      <c r="Q1699" s="132"/>
      <c r="R1699" s="4"/>
    </row>
    <row r="1700" spans="1:18" ht="15.75" thickBot="1">
      <c r="A1700" s="1">
        <f t="shared" si="58"/>
        <v>0</v>
      </c>
      <c r="B1700" s="2"/>
      <c r="C1700" s="8"/>
      <c r="D1700" s="74" t="s">
        <v>36</v>
      </c>
      <c r="E1700" s="37"/>
      <c r="F1700" s="37"/>
      <c r="G1700" s="37"/>
      <c r="H1700" s="37"/>
      <c r="I1700" s="37"/>
      <c r="J1700" s="37"/>
      <c r="K1700" s="37"/>
      <c r="L1700" s="37"/>
      <c r="M1700" s="37"/>
      <c r="N1700" s="37"/>
      <c r="O1700" s="37"/>
      <c r="P1700" s="99"/>
      <c r="Q1700" s="100"/>
      <c r="R1700" s="4"/>
    </row>
    <row r="1701" spans="1:18" ht="30">
      <c r="A1701" s="1">
        <f t="shared" si="58"/>
        <v>0</v>
      </c>
      <c r="B1701" s="2"/>
      <c r="C1701" s="8"/>
      <c r="D1701" s="101" t="s">
        <v>37</v>
      </c>
      <c r="E1701" s="133"/>
      <c r="F1701" s="133"/>
      <c r="G1701" s="133"/>
      <c r="H1701" s="133"/>
      <c r="I1701" s="133"/>
      <c r="J1701" s="133"/>
      <c r="K1701" s="106" t="s">
        <v>38</v>
      </c>
      <c r="L1701" s="152" t="s">
        <v>39</v>
      </c>
      <c r="M1701" s="153" t="s">
        <v>40</v>
      </c>
      <c r="N1701" s="104" t="s">
        <v>21</v>
      </c>
      <c r="O1701" s="105"/>
      <c r="P1701" s="154" t="s">
        <v>22</v>
      </c>
      <c r="Q1701" s="155"/>
      <c r="R1701" s="4"/>
    </row>
    <row r="1702" spans="1:18">
      <c r="A1702" s="1">
        <f t="shared" si="58"/>
        <v>0</v>
      </c>
      <c r="B1702" s="2" t="s">
        <v>41</v>
      </c>
      <c r="C1702" s="8"/>
      <c r="D1702" s="109" t="str">
        <f>IFERROR(INDEX('[239]MANO DE OBRA'!B:B,MATCH(B1702,'[239]MANO DE OBRA'!A:A,0)),"")</f>
        <v>OFICIAL</v>
      </c>
      <c r="E1702" s="110"/>
      <c r="F1702" s="110"/>
      <c r="G1702" s="110"/>
      <c r="H1702" s="110"/>
      <c r="I1702" s="110"/>
      <c r="J1702" s="111"/>
      <c r="K1702" s="156">
        <f>IFERROR(INDEX('[239]MANO DE OBRA'!D:D,MATCH(B1702,'[239]MANO DE OBRA'!A:A,0)),"")</f>
        <v>95930</v>
      </c>
      <c r="L1702" s="157">
        <f>+IF(D1702&lt;&gt;"",'[239]FACTOR PRESTACIONAL'!$E$21," ")</f>
        <v>1.95</v>
      </c>
      <c r="M1702" s="158">
        <f>IFERROR(K1702*L1702," ")</f>
        <v>187063.5</v>
      </c>
      <c r="N1702" s="159">
        <v>18</v>
      </c>
      <c r="O1702" s="160"/>
      <c r="P1702" s="161">
        <f>IFERROR(ROUND(M1702/N1702,2)," ")</f>
        <v>10392.42</v>
      </c>
      <c r="Q1702" s="162"/>
      <c r="R1702" s="4"/>
    </row>
    <row r="1703" spans="1:18">
      <c r="A1703" s="1">
        <f t="shared" si="58"/>
        <v>0</v>
      </c>
      <c r="B1703" s="2" t="s">
        <v>81</v>
      </c>
      <c r="C1703" s="8"/>
      <c r="D1703" s="109" t="str">
        <f>IFERROR(INDEX('[239]MANO DE OBRA'!B:B,MATCH(B1703,'[239]MANO DE OBRA'!A:A,0)),"")</f>
        <v>AYUDANTE (1)</v>
      </c>
      <c r="E1703" s="110"/>
      <c r="F1703" s="110"/>
      <c r="G1703" s="110"/>
      <c r="H1703" s="110"/>
      <c r="I1703" s="110"/>
      <c r="J1703" s="111"/>
      <c r="K1703" s="156">
        <f>IFERROR(INDEX('[239]MANO DE OBRA'!D:D,MATCH(B1703,'[239]MANO DE OBRA'!A:A,0)),"")</f>
        <v>71433</v>
      </c>
      <c r="L1703" s="157">
        <f>+IF(D1703&lt;&gt;"",'[239]FACTOR PRESTACIONAL'!$E$21," ")</f>
        <v>1.95</v>
      </c>
      <c r="M1703" s="158">
        <f>IFERROR(K1703*L1703," ")</f>
        <v>139294.35</v>
      </c>
      <c r="N1703" s="159">
        <v>18</v>
      </c>
      <c r="O1703" s="160"/>
      <c r="P1703" s="161">
        <f>IFERROR(ROUND(M1703/N1703,2)," ")</f>
        <v>7738.58</v>
      </c>
      <c r="Q1703" s="162"/>
      <c r="R1703" s="4"/>
    </row>
    <row r="1704" spans="1:18">
      <c r="A1704" s="1">
        <f t="shared" si="58"/>
        <v>0</v>
      </c>
      <c r="B1704" s="2"/>
      <c r="C1704" s="8"/>
      <c r="D1704" s="109" t="str">
        <f>IFERROR(INDEX('[239]MANO DE OBRA'!B:B,MATCH(B1704,'[239]MANO DE OBRA'!A:A,0)),"")</f>
        <v/>
      </c>
      <c r="E1704" s="110"/>
      <c r="F1704" s="110"/>
      <c r="G1704" s="110"/>
      <c r="H1704" s="110"/>
      <c r="I1704" s="110"/>
      <c r="J1704" s="111"/>
      <c r="K1704" s="156" t="str">
        <f>IFERROR(INDEX('[239]MANO DE OBRA'!D:D,MATCH(B1704,'[239]MANO DE OBRA'!A:A,0)),"")</f>
        <v/>
      </c>
      <c r="L1704" s="157" t="str">
        <f>+IF(D1704&lt;&gt;"",'[239]FACTOR PRESTACIONAL'!$E$21," ")</f>
        <v xml:space="preserve"> </v>
      </c>
      <c r="M1704" s="158" t="str">
        <f>IFERROR(K1704*L1704," ")</f>
        <v xml:space="preserve"> </v>
      </c>
      <c r="N1704" s="159"/>
      <c r="O1704" s="160"/>
      <c r="P1704" s="161" t="str">
        <f>IFERROR(ROUND(M1704/N1704,2)," ")</f>
        <v xml:space="preserve"> </v>
      </c>
      <c r="Q1704" s="162"/>
      <c r="R1704" s="4"/>
    </row>
    <row r="1705" spans="1:18">
      <c r="A1705" s="1">
        <f t="shared" si="58"/>
        <v>0</v>
      </c>
      <c r="B1705" s="2"/>
      <c r="C1705" s="8"/>
      <c r="D1705" s="109" t="str">
        <f>IFERROR(INDEX('[239]MANO DE OBRA'!B:B,MATCH(B1705,'[239]MANO DE OBRA'!A:A,0)),"")</f>
        <v/>
      </c>
      <c r="E1705" s="110"/>
      <c r="F1705" s="110"/>
      <c r="G1705" s="110"/>
      <c r="H1705" s="110"/>
      <c r="I1705" s="110"/>
      <c r="J1705" s="111"/>
      <c r="K1705" s="156" t="str">
        <f>IFERROR(INDEX('[239]MANO DE OBRA'!D:D,MATCH(B1705,'[239]MANO DE OBRA'!A:A,0)),"")</f>
        <v/>
      </c>
      <c r="L1705" s="157" t="str">
        <f>+IF(D1705&lt;&gt;"",'[239]FACTOR PRESTACIONAL'!$E$21," ")</f>
        <v xml:space="preserve"> </v>
      </c>
      <c r="M1705" s="158" t="str">
        <f>IFERROR(K1705*L1705," ")</f>
        <v xml:space="preserve"> </v>
      </c>
      <c r="N1705" s="159"/>
      <c r="O1705" s="160"/>
      <c r="P1705" s="161" t="str">
        <f>IFERROR(ROUND(M1705/N1705,2)," ")</f>
        <v xml:space="preserve"> </v>
      </c>
      <c r="Q1705" s="162"/>
      <c r="R1705" s="4"/>
    </row>
    <row r="1706" spans="1:18" ht="15.75" thickBot="1">
      <c r="A1706" s="1">
        <f t="shared" si="58"/>
        <v>0</v>
      </c>
      <c r="B1706" s="2"/>
      <c r="C1706" s="8"/>
      <c r="D1706" s="109" t="str">
        <f>IFERROR(INDEX('[239]MANO DE OBRA'!B:B,MATCH(B1706,'[239]MANO DE OBRA'!A:A,0)),"")</f>
        <v/>
      </c>
      <c r="E1706" s="110"/>
      <c r="F1706" s="110"/>
      <c r="G1706" s="110"/>
      <c r="H1706" s="110"/>
      <c r="I1706" s="110"/>
      <c r="J1706" s="111"/>
      <c r="K1706" s="156" t="str">
        <f>IFERROR(INDEX('[239]MANO DE OBRA'!D:D,MATCH(B1706,'[239]MANO DE OBRA'!A:A,0)),"")</f>
        <v/>
      </c>
      <c r="L1706" s="157" t="str">
        <f>+IF(D1706&lt;&gt;"",'[239]FACTOR PRESTACIONAL'!$E$21," ")</f>
        <v xml:space="preserve"> </v>
      </c>
      <c r="M1706" s="158" t="str">
        <f>IFERROR(K1706*L1706," ")</f>
        <v xml:space="preserve"> </v>
      </c>
      <c r="N1706" s="159"/>
      <c r="O1706" s="160"/>
      <c r="P1706" s="161" t="str">
        <f>IFERROR(ROUND(M1706/N1706,2)," ")</f>
        <v xml:space="preserve"> </v>
      </c>
      <c r="Q1706" s="119"/>
      <c r="R1706" s="4"/>
    </row>
    <row r="1707" spans="1:18" ht="15.75" thickBot="1">
      <c r="A1707" s="1">
        <f t="shared" si="58"/>
        <v>0</v>
      </c>
      <c r="B1707" s="2"/>
      <c r="C1707" s="8"/>
      <c r="D1707" s="128" t="s">
        <v>24</v>
      </c>
      <c r="E1707" s="129"/>
      <c r="F1707" s="129"/>
      <c r="G1707" s="129"/>
      <c r="H1707" s="129"/>
      <c r="I1707" s="129"/>
      <c r="J1707" s="129"/>
      <c r="K1707" s="129"/>
      <c r="L1707" s="129"/>
      <c r="M1707" s="129"/>
      <c r="N1707" s="129"/>
      <c r="O1707" s="130"/>
      <c r="P1707" s="131">
        <f>SUM(P1702:P1706)</f>
        <v>18131</v>
      </c>
      <c r="Q1707" s="119"/>
      <c r="R1707" s="4"/>
    </row>
    <row r="1708" spans="1:18" ht="15.75" thickBot="1">
      <c r="A1708" s="1">
        <f t="shared" si="58"/>
        <v>0</v>
      </c>
      <c r="B1708" s="2"/>
      <c r="C1708" s="8"/>
      <c r="D1708" s="87"/>
      <c r="E1708" s="20"/>
      <c r="F1708" s="20"/>
      <c r="G1708" s="20"/>
      <c r="H1708" s="20"/>
      <c r="I1708" s="20"/>
      <c r="J1708" s="20"/>
      <c r="K1708" s="20"/>
      <c r="L1708" s="20"/>
      <c r="M1708" s="20"/>
      <c r="N1708" s="20"/>
      <c r="O1708" s="20"/>
      <c r="P1708" s="88"/>
      <c r="Q1708" s="13"/>
      <c r="R1708" s="4"/>
    </row>
    <row r="1709" spans="1:18" ht="15.75" thickBot="1">
      <c r="A1709" s="1"/>
      <c r="B1709" s="2"/>
      <c r="C1709" s="8"/>
      <c r="D1709" s="163" t="s">
        <v>43</v>
      </c>
      <c r="E1709" s="164"/>
      <c r="F1709" s="164"/>
      <c r="G1709" s="164"/>
      <c r="H1709" s="164"/>
      <c r="I1709" s="164"/>
      <c r="J1709" s="164"/>
      <c r="K1709" s="164"/>
      <c r="L1709" s="164"/>
      <c r="M1709" s="164"/>
      <c r="N1709" s="164"/>
      <c r="O1709" s="165"/>
      <c r="P1709" s="166">
        <f>+P1707+P1699+P1692+P1674</f>
        <v>62863.700000000004</v>
      </c>
      <c r="Q1709" s="167"/>
      <c r="R1709" s="168"/>
    </row>
    <row r="1710" spans="1:18" ht="15.75" thickBot="1">
      <c r="A1710" s="1"/>
      <c r="B1710" s="2"/>
      <c r="C1710" s="8"/>
      <c r="D1710" s="169"/>
      <c r="E1710" s="170"/>
      <c r="F1710" s="170"/>
      <c r="G1710" s="170"/>
      <c r="H1710" s="170"/>
      <c r="I1710" s="170"/>
      <c r="J1710" s="170"/>
      <c r="K1710" s="170"/>
      <c r="L1710" s="170"/>
      <c r="M1710" s="170"/>
      <c r="N1710" s="170"/>
      <c r="O1710" s="170"/>
      <c r="P1710" s="171"/>
      <c r="Q1710" s="100"/>
      <c r="R1710" s="4"/>
    </row>
    <row r="1711" spans="1:18">
      <c r="A1711" s="1"/>
      <c r="B1711" s="2"/>
      <c r="C1711" s="8"/>
      <c r="D1711" s="172" t="s">
        <v>73</v>
      </c>
      <c r="E1711" s="173"/>
      <c r="F1711" s="173"/>
      <c r="G1711" s="173"/>
      <c r="H1711" s="173"/>
      <c r="I1711" s="173"/>
      <c r="J1711" s="173"/>
      <c r="K1711" s="141"/>
      <c r="L1711" s="174"/>
      <c r="M1711" s="153" t="s">
        <v>44</v>
      </c>
      <c r="N1711" s="175" t="s">
        <v>45</v>
      </c>
      <c r="O1711" s="176"/>
      <c r="P1711" s="154"/>
      <c r="Q1711" s="155"/>
      <c r="R1711" s="4"/>
    </row>
    <row r="1712" spans="1:18">
      <c r="A1712" s="1"/>
      <c r="B1712" s="2"/>
      <c r="C1712" s="8"/>
      <c r="D1712" s="109" t="s">
        <v>65</v>
      </c>
      <c r="E1712" s="110"/>
      <c r="F1712" s="110"/>
      <c r="G1712" s="110"/>
      <c r="H1712" s="110"/>
      <c r="I1712" s="110"/>
      <c r="J1712" s="110"/>
      <c r="K1712" s="177"/>
      <c r="L1712" s="178"/>
      <c r="M1712" s="179">
        <f>+[239]INICIO!$F$10</f>
        <v>0.24</v>
      </c>
      <c r="N1712" s="180">
        <f>ROUND(M1712*P1709,2)</f>
        <v>15087.29</v>
      </c>
      <c r="O1712" s="181"/>
      <c r="P1712" s="182"/>
      <c r="Q1712" s="119"/>
      <c r="R1712" s="4"/>
    </row>
    <row r="1713" spans="1:18">
      <c r="A1713" s="1"/>
      <c r="B1713" s="2"/>
      <c r="C1713" s="8"/>
      <c r="D1713" s="183" t="s">
        <v>67</v>
      </c>
      <c r="E1713" s="61"/>
      <c r="F1713" s="61"/>
      <c r="G1713" s="61"/>
      <c r="H1713" s="61"/>
      <c r="I1713" s="61"/>
      <c r="J1713" s="61"/>
      <c r="K1713" s="177"/>
      <c r="L1713" s="178"/>
      <c r="M1713" s="179">
        <f>+[239]INICIO!$F$11</f>
        <v>0.02</v>
      </c>
      <c r="N1713" s="180">
        <f>ROUND(M1713*P1709,2)</f>
        <v>1257.27</v>
      </c>
      <c r="O1713" s="181"/>
      <c r="P1713" s="182"/>
      <c r="Q1713" s="119"/>
      <c r="R1713" s="4"/>
    </row>
    <row r="1714" spans="1:18" ht="15.75" thickBot="1">
      <c r="A1714" s="1"/>
      <c r="B1714" s="2"/>
      <c r="C1714" s="8"/>
      <c r="D1714" s="77" t="s">
        <v>69</v>
      </c>
      <c r="E1714" s="78"/>
      <c r="F1714" s="78"/>
      <c r="G1714" s="78"/>
      <c r="H1714" s="78"/>
      <c r="I1714" s="78"/>
      <c r="J1714" s="78"/>
      <c r="K1714" s="184"/>
      <c r="L1714" s="185"/>
      <c r="M1714" s="179">
        <f>+[239]INICIO!$F$12</f>
        <v>7.0000000000000007E-2</v>
      </c>
      <c r="N1714" s="180">
        <f>ROUND(M1714*P1709,2)</f>
        <v>4400.46</v>
      </c>
      <c r="O1714" s="181"/>
      <c r="P1714" s="182"/>
      <c r="Q1714" s="119"/>
      <c r="R1714" s="4"/>
    </row>
    <row r="1715" spans="1:18" ht="15.75" thickBot="1">
      <c r="A1715" s="1"/>
      <c r="B1715" s="2"/>
      <c r="C1715" s="8"/>
      <c r="D1715" s="128"/>
      <c r="E1715" s="129"/>
      <c r="F1715" s="129"/>
      <c r="G1715" s="129"/>
      <c r="H1715" s="129"/>
      <c r="I1715" s="129"/>
      <c r="J1715" s="129"/>
      <c r="K1715" s="129"/>
      <c r="L1715" s="129"/>
      <c r="M1715" s="129"/>
      <c r="N1715" s="129"/>
      <c r="O1715" s="130"/>
      <c r="P1715" s="131">
        <f>SUM(N1712:N1714)</f>
        <v>20745.02</v>
      </c>
      <c r="Q1715" s="186"/>
      <c r="R1715" s="4"/>
    </row>
    <row r="1716" spans="1:18" ht="15.75" thickBot="1">
      <c r="A1716" s="1"/>
      <c r="B1716" s="2"/>
      <c r="C1716" s="8"/>
      <c r="D1716" s="87"/>
      <c r="E1716" s="20"/>
      <c r="F1716" s="20"/>
      <c r="G1716" s="20"/>
      <c r="H1716" s="20"/>
      <c r="I1716" s="20"/>
      <c r="J1716" s="20"/>
      <c r="K1716" s="20"/>
      <c r="L1716" s="20"/>
      <c r="M1716" s="20"/>
      <c r="N1716" s="20"/>
      <c r="O1716" s="20"/>
      <c r="P1716" s="88"/>
      <c r="Q1716" s="13"/>
      <c r="R1716" s="4"/>
    </row>
    <row r="1717" spans="1:18" ht="15.75" thickBot="1">
      <c r="A1717" s="1"/>
      <c r="B1717" s="2"/>
      <c r="C1717" s="8"/>
      <c r="D1717" s="187" t="s">
        <v>46</v>
      </c>
      <c r="E1717" s="188"/>
      <c r="F1717" s="188"/>
      <c r="G1717" s="188"/>
      <c r="H1717" s="188"/>
      <c r="I1717" s="188"/>
      <c r="J1717" s="188"/>
      <c r="K1717" s="188"/>
      <c r="L1717" s="188"/>
      <c r="M1717" s="188"/>
      <c r="N1717" s="188"/>
      <c r="O1717" s="189"/>
      <c r="P1717" s="166">
        <f>ROUND(P1715+P1709,0)</f>
        <v>83609</v>
      </c>
      <c r="Q1717" s="186"/>
      <c r="R1717" s="4"/>
    </row>
    <row r="1718" spans="1:18">
      <c r="A1718" s="1"/>
      <c r="B1718" s="2"/>
      <c r="C1718" s="8"/>
      <c r="D1718" s="80"/>
      <c r="E1718" s="81"/>
      <c r="F1718" s="81"/>
      <c r="G1718" s="81"/>
      <c r="H1718" s="81"/>
      <c r="I1718" s="81"/>
      <c r="J1718" s="81"/>
      <c r="K1718" s="81"/>
      <c r="L1718" s="81"/>
      <c r="M1718" s="81"/>
      <c r="N1718" s="81"/>
      <c r="O1718" s="81"/>
      <c r="P1718" s="82"/>
      <c r="Q1718" s="13"/>
      <c r="R1718" s="4"/>
    </row>
    <row r="1719" spans="1:18">
      <c r="A1719" s="1"/>
      <c r="B1719" s="2"/>
      <c r="C1719" s="8"/>
      <c r="D1719" s="87"/>
      <c r="E1719" s="20"/>
      <c r="F1719" s="20"/>
      <c r="G1719" s="20"/>
      <c r="H1719" s="20"/>
      <c r="I1719" s="20"/>
      <c r="J1719" s="20"/>
      <c r="K1719" s="20"/>
      <c r="L1719" s="20"/>
      <c r="M1719" s="20"/>
      <c r="N1719" s="20"/>
      <c r="O1719" s="20"/>
      <c r="P1719" s="88"/>
      <c r="Q1719" s="13"/>
      <c r="R1719" s="4"/>
    </row>
    <row r="1720" spans="1:18">
      <c r="A1720" s="1"/>
      <c r="B1720" s="2"/>
      <c r="C1720" s="8"/>
      <c r="D1720" s="87"/>
      <c r="E1720" s="20"/>
      <c r="F1720" s="20"/>
      <c r="G1720" s="20"/>
      <c r="H1720" s="20"/>
      <c r="I1720" s="20"/>
      <c r="J1720" s="20"/>
      <c r="K1720" s="20"/>
      <c r="L1720" s="20"/>
      <c r="M1720" s="20"/>
      <c r="N1720" s="20"/>
      <c r="O1720" s="20"/>
      <c r="P1720" s="88"/>
      <c r="Q1720" s="13"/>
      <c r="R1720" s="4"/>
    </row>
    <row r="1721" spans="1:18">
      <c r="A1721" s="1"/>
      <c r="B1721" s="2"/>
      <c r="C1721" s="8"/>
      <c r="D1721" s="87"/>
      <c r="E1721" s="20"/>
      <c r="F1721" s="20"/>
      <c r="G1721" s="20"/>
      <c r="H1721" s="20"/>
      <c r="I1721" s="20"/>
      <c r="J1721" s="20"/>
      <c r="K1721" s="20"/>
      <c r="L1721" s="20"/>
      <c r="M1721" s="20"/>
      <c r="N1721" s="20"/>
      <c r="O1721" s="20"/>
      <c r="P1721" s="88"/>
      <c r="Q1721" s="13"/>
      <c r="R1721" s="4"/>
    </row>
    <row r="1722" spans="1:18">
      <c r="A1722" s="1"/>
      <c r="B1722" s="2"/>
      <c r="C1722" s="8"/>
      <c r="D1722" s="219" t="str">
        <f>+[239]INICIO!$B$13</f>
        <v>Proyectó:</v>
      </c>
      <c r="E1722" s="49"/>
      <c r="F1722" s="49"/>
      <c r="G1722" s="49"/>
      <c r="H1722" s="49"/>
      <c r="I1722" s="49"/>
      <c r="J1722" s="49"/>
      <c r="K1722" s="20"/>
      <c r="L1722" s="69" t="str">
        <f>+[239]INICIO!$B$16</f>
        <v>Aprobó:</v>
      </c>
      <c r="M1722" s="49"/>
      <c r="N1722" s="49"/>
      <c r="O1722" s="49"/>
      <c r="P1722" s="88"/>
      <c r="Q1722" s="13"/>
      <c r="R1722" s="4"/>
    </row>
    <row r="1723" spans="1:18">
      <c r="A1723" s="1"/>
      <c r="B1723" s="2"/>
      <c r="C1723" s="8"/>
      <c r="D1723" s="87"/>
      <c r="E1723" s="20" t="str">
        <f>+Hoja2!C$13</f>
        <v>HELMER EDUARDO BECERRA SANTANDER</v>
      </c>
      <c r="F1723" s="20"/>
      <c r="G1723" s="20"/>
      <c r="H1723" s="20"/>
      <c r="I1723" s="20"/>
      <c r="J1723" s="20"/>
      <c r="K1723" s="20"/>
      <c r="L1723" s="20"/>
      <c r="M1723" s="20" t="str">
        <f>+Hoja2!$C$16</f>
        <v>JESÚS IVÁN QUIÑONES RUEDA</v>
      </c>
      <c r="N1723" s="20"/>
      <c r="O1723" s="20"/>
      <c r="P1723" s="88"/>
      <c r="Q1723" s="190"/>
      <c r="R1723" s="4"/>
    </row>
    <row r="1724" spans="1:18">
      <c r="A1724" s="1"/>
      <c r="B1724" s="2"/>
      <c r="C1724" s="8"/>
      <c r="D1724" s="87"/>
      <c r="E1724" s="20" t="str">
        <f>+Hoja2!C$14</f>
        <v>APOYO SEC. DE PLANEACIÓN Y OBRAS PÚBLICAS</v>
      </c>
      <c r="F1724" s="20"/>
      <c r="G1724" s="20"/>
      <c r="H1724" s="20"/>
      <c r="I1724" s="20"/>
      <c r="J1724" s="20"/>
      <c r="K1724" s="20"/>
      <c r="L1724" s="20"/>
      <c r="M1724" s="20" t="str">
        <f>+Hoja2!$C$17</f>
        <v>SECRETARIO DE PLANEACIÓN Y OBRAS PUBLICAS</v>
      </c>
      <c r="N1724" s="20"/>
      <c r="O1724" s="20"/>
      <c r="P1724" s="88"/>
      <c r="Q1724" s="190"/>
      <c r="R1724" s="4"/>
    </row>
    <row r="1725" spans="1:18">
      <c r="A1725" s="1"/>
      <c r="B1725" s="2"/>
      <c r="C1725" s="8"/>
      <c r="D1725" s="68"/>
      <c r="E1725" s="20" t="str">
        <f>+Hoja2!C$15</f>
        <v>123769-0701671 NTS</v>
      </c>
      <c r="F1725" s="191"/>
      <c r="G1725" s="191"/>
      <c r="H1725" s="191"/>
      <c r="I1725" s="20"/>
      <c r="J1725" s="191"/>
      <c r="K1725" s="191"/>
      <c r="L1725" s="191"/>
      <c r="M1725" s="192" t="str">
        <f>+Hoja2!C$18</f>
        <v>A21382020-1090480860</v>
      </c>
      <c r="N1725" s="191"/>
      <c r="O1725" s="191"/>
      <c r="P1725" s="193"/>
      <c r="Q1725" s="194"/>
      <c r="R1725" s="4"/>
    </row>
    <row r="1726" spans="1:18" ht="16.5" thickBot="1">
      <c r="A1726" s="1"/>
      <c r="B1726" s="2"/>
      <c r="C1726" s="8"/>
      <c r="D1726" s="195"/>
      <c r="E1726" s="150"/>
      <c r="F1726" s="150"/>
      <c r="G1726" s="150"/>
      <c r="H1726" s="150"/>
      <c r="I1726" s="150"/>
      <c r="J1726" s="150"/>
      <c r="K1726" s="150"/>
      <c r="L1726" s="150"/>
      <c r="M1726" s="150"/>
      <c r="N1726" s="150"/>
      <c r="O1726" s="150"/>
      <c r="P1726" s="196"/>
      <c r="Q1726" s="197"/>
      <c r="R1726" s="4"/>
    </row>
    <row r="1727" spans="1:18" ht="15.75" thickBot="1">
      <c r="A1727" s="1"/>
      <c r="B1727" s="2"/>
      <c r="C1727" s="198"/>
      <c r="D1727" s="199"/>
      <c r="E1727" s="199"/>
      <c r="F1727" s="199"/>
      <c r="G1727" s="199"/>
      <c r="H1727" s="199"/>
      <c r="I1727" s="199"/>
      <c r="J1727" s="199"/>
      <c r="K1727" s="199"/>
      <c r="L1727" s="199"/>
      <c r="M1727" s="199"/>
      <c r="N1727" s="199"/>
      <c r="O1727" s="199"/>
      <c r="P1727" s="199"/>
      <c r="Q1727" s="200"/>
      <c r="R1727" s="4"/>
    </row>
    <row r="1728" spans="1:18" ht="15.75" thickTop="1"/>
    <row r="1729" spans="1:18" ht="15.75" thickBot="1"/>
    <row r="1730" spans="1:18" ht="15.75" thickTop="1">
      <c r="A1730" s="1"/>
      <c r="B1730" s="2"/>
      <c r="C1730" s="5"/>
      <c r="D1730" s="6"/>
      <c r="E1730" s="6"/>
      <c r="F1730" s="6"/>
      <c r="G1730" s="6"/>
      <c r="H1730" s="6"/>
      <c r="I1730" s="6"/>
      <c r="J1730" s="6"/>
      <c r="K1730" s="6"/>
      <c r="L1730" s="6"/>
      <c r="M1730" s="6"/>
      <c r="N1730" s="6"/>
      <c r="O1730" s="6"/>
      <c r="P1730" s="6"/>
      <c r="Q1730" s="7"/>
      <c r="R1730" s="4"/>
    </row>
    <row r="1731" spans="1:18" ht="24">
      <c r="A1731" s="1"/>
      <c r="B1731" s="2"/>
      <c r="C1731" s="8"/>
      <c r="D1731" s="9" t="str">
        <f>+[239]INICIO!$C$8</f>
        <v>Análisis de Precios Unitarios- Secretaria de Planeación y Obras Publicas de Cubará, Boyacá.</v>
      </c>
      <c r="E1731" s="10"/>
      <c r="F1731" s="10"/>
      <c r="G1731" s="10"/>
      <c r="H1731" s="11"/>
      <c r="I1731" s="12"/>
      <c r="J1731" s="12"/>
      <c r="K1731" s="12"/>
      <c r="L1731" s="12"/>
      <c r="M1731" s="12"/>
      <c r="N1731" s="12"/>
      <c r="O1731" s="12"/>
      <c r="P1731" s="12"/>
      <c r="Q1731" s="13"/>
      <c r="R1731" s="4"/>
    </row>
    <row r="1732" spans="1:18">
      <c r="A1732" s="1"/>
      <c r="B1732" s="2"/>
      <c r="C1732" s="8"/>
      <c r="D1732" s="14" t="s">
        <v>0</v>
      </c>
      <c r="E1732" s="15" t="str">
        <f>+[239]INICIO!$C$7</f>
        <v>CCE-EICP-FM-14</v>
      </c>
      <c r="F1732" s="16"/>
      <c r="G1732" s="17" t="str">
        <f>+[239]INICIO!$B$6</f>
        <v>VERSIÓN</v>
      </c>
      <c r="H1732" s="14">
        <f>+[239]INICIO!$C$6</f>
        <v>1</v>
      </c>
      <c r="I1732" s="12"/>
      <c r="J1732" s="12"/>
      <c r="K1732" s="12"/>
      <c r="L1732" s="12"/>
      <c r="M1732" s="12"/>
      <c r="N1732" s="12"/>
      <c r="O1732" s="12"/>
      <c r="P1732" s="12"/>
      <c r="Q1732" s="13"/>
      <c r="R1732" s="4"/>
    </row>
    <row r="1733" spans="1:18">
      <c r="A1733" s="1"/>
      <c r="B1733" s="2"/>
      <c r="C1733" s="8"/>
      <c r="D1733" s="18"/>
      <c r="E1733" s="19"/>
      <c r="F1733" s="18"/>
      <c r="G1733" s="19"/>
      <c r="H1733" s="12"/>
      <c r="I1733" s="12"/>
      <c r="J1733" s="12"/>
      <c r="K1733" s="12"/>
      <c r="L1733" s="12"/>
      <c r="M1733" s="12"/>
      <c r="N1733" s="12"/>
      <c r="O1733" s="12"/>
      <c r="P1733" s="12"/>
      <c r="Q1733" s="13"/>
      <c r="R1733" s="4"/>
    </row>
    <row r="1734" spans="1:18" ht="15.75" thickBot="1">
      <c r="A1734" s="1"/>
      <c r="B1734" s="2"/>
      <c r="C1734" s="8"/>
      <c r="D1734" s="20"/>
      <c r="E1734" s="20"/>
      <c r="F1734" s="20"/>
      <c r="G1734" s="20"/>
      <c r="H1734" s="20"/>
      <c r="I1734" s="20"/>
      <c r="J1734" s="20"/>
      <c r="K1734" s="20"/>
      <c r="L1734" s="20"/>
      <c r="M1734" s="20"/>
      <c r="N1734" s="20"/>
      <c r="O1734" s="20"/>
      <c r="P1734" s="20"/>
      <c r="Q1734" s="13"/>
      <c r="R1734" s="4"/>
    </row>
    <row r="1735" spans="1:18">
      <c r="A1735" s="1"/>
      <c r="B1735" s="2"/>
      <c r="C1735" s="8"/>
      <c r="D1735" s="21"/>
      <c r="E1735" s="22"/>
      <c r="F1735" s="23"/>
      <c r="G1735" s="23"/>
      <c r="H1735" s="23"/>
      <c r="I1735" s="23"/>
      <c r="J1735" s="23"/>
      <c r="K1735" s="23"/>
      <c r="L1735" s="24"/>
      <c r="M1735" s="25"/>
      <c r="N1735" s="26"/>
      <c r="O1735" s="26"/>
      <c r="P1735" s="27"/>
      <c r="Q1735" s="28"/>
      <c r="R1735" s="4"/>
    </row>
    <row r="1736" spans="1:18">
      <c r="A1736" s="1"/>
      <c r="B1736" s="2"/>
      <c r="C1736" s="8"/>
      <c r="D1736" s="29"/>
      <c r="E1736" s="30" t="s">
        <v>1</v>
      </c>
      <c r="F1736" s="31"/>
      <c r="G1736" s="31"/>
      <c r="H1736" s="31"/>
      <c r="I1736" s="31"/>
      <c r="J1736" s="31"/>
      <c r="K1736" s="31"/>
      <c r="L1736" s="32"/>
      <c r="M1736" s="33"/>
      <c r="N1736" s="34"/>
      <c r="O1736" s="34"/>
      <c r="P1736" s="35"/>
      <c r="Q1736" s="28"/>
      <c r="R1736" s="4"/>
    </row>
    <row r="1737" spans="1:18">
      <c r="A1737" s="1"/>
      <c r="B1737" s="2"/>
      <c r="C1737" s="8"/>
      <c r="D1737" s="29"/>
      <c r="E1737" s="36"/>
      <c r="F1737" s="37"/>
      <c r="G1737" s="37"/>
      <c r="H1737" s="37"/>
      <c r="I1737" s="37"/>
      <c r="J1737" s="37"/>
      <c r="K1737" s="37"/>
      <c r="L1737" s="38"/>
      <c r="M1737" s="39"/>
      <c r="N1737" s="40"/>
      <c r="O1737" s="41"/>
      <c r="P1737" s="42"/>
      <c r="Q1737" s="28"/>
      <c r="R1737" s="4"/>
    </row>
    <row r="1738" spans="1:18">
      <c r="A1738" s="1"/>
      <c r="B1738" s="2"/>
      <c r="C1738" s="8"/>
      <c r="D1738" s="29"/>
      <c r="E1738" s="36"/>
      <c r="F1738" s="37"/>
      <c r="G1738" s="37"/>
      <c r="H1738" s="37"/>
      <c r="I1738" s="37"/>
      <c r="J1738" s="37"/>
      <c r="K1738" s="37"/>
      <c r="L1738" s="38"/>
      <c r="M1738" s="43" t="s">
        <v>2</v>
      </c>
      <c r="N1738" s="44"/>
      <c r="O1738" s="45">
        <f>+[239]INICIO!$C$6</f>
        <v>1</v>
      </c>
      <c r="P1738" s="46"/>
      <c r="Q1738" s="28"/>
      <c r="R1738" s="4"/>
    </row>
    <row r="1739" spans="1:18">
      <c r="A1739" s="1"/>
      <c r="B1739" s="2"/>
      <c r="C1739" s="8"/>
      <c r="D1739" s="29"/>
      <c r="E1739" s="36"/>
      <c r="F1739" s="37"/>
      <c r="G1739" s="37"/>
      <c r="H1739" s="37"/>
      <c r="I1739" s="37"/>
      <c r="J1739" s="37"/>
      <c r="K1739" s="37"/>
      <c r="L1739" s="38"/>
      <c r="M1739" s="47"/>
      <c r="N1739" s="48"/>
      <c r="O1739" s="49"/>
      <c r="P1739" s="50"/>
      <c r="Q1739" s="51"/>
      <c r="R1739" s="4"/>
    </row>
    <row r="1740" spans="1:18">
      <c r="A1740" s="1"/>
      <c r="B1740" s="2"/>
      <c r="C1740" s="8"/>
      <c r="D1740" s="29"/>
      <c r="E1740" s="52"/>
      <c r="F1740" s="53"/>
      <c r="G1740" s="53"/>
      <c r="H1740" s="53"/>
      <c r="I1740" s="53"/>
      <c r="J1740" s="53"/>
      <c r="K1740" s="53"/>
      <c r="L1740" s="54"/>
      <c r="M1740" s="39"/>
      <c r="N1740" s="55"/>
      <c r="O1740" s="55"/>
      <c r="P1740" s="56"/>
      <c r="Q1740" s="28"/>
      <c r="R1740" s="4"/>
    </row>
    <row r="1741" spans="1:18">
      <c r="A1741" s="1"/>
      <c r="B1741" s="2"/>
      <c r="C1741" s="8"/>
      <c r="D1741" s="29"/>
      <c r="E1741" s="52"/>
      <c r="F1741" s="53"/>
      <c r="G1741" s="53"/>
      <c r="H1741" s="53"/>
      <c r="I1741" s="53"/>
      <c r="J1741" s="53"/>
      <c r="K1741" s="53"/>
      <c r="L1741" s="54"/>
      <c r="M1741" s="43" t="s">
        <v>3</v>
      </c>
      <c r="N1741" s="43" t="str">
        <f>+VLOOKUP(D1752,'PRESUPUESTO OFICIAL '!C:Q,9,FALSE)</f>
        <v>36</v>
      </c>
      <c r="O1741" s="43" t="s">
        <v>4</v>
      </c>
      <c r="P1741" s="508" t="str">
        <f>+'PRESUPUESTO OFICIAL '!$M$122</f>
        <v>62</v>
      </c>
      <c r="Q1741" s="28"/>
      <c r="R1741" s="4"/>
    </row>
    <row r="1742" spans="1:18">
      <c r="A1742" s="1"/>
      <c r="B1742" s="2"/>
      <c r="C1742" s="8"/>
      <c r="D1742" s="29"/>
      <c r="E1742" s="30" t="s">
        <v>5</v>
      </c>
      <c r="F1742" s="31"/>
      <c r="G1742" s="31"/>
      <c r="H1742" s="31"/>
      <c r="I1742" s="31"/>
      <c r="J1742" s="31"/>
      <c r="K1742" s="31"/>
      <c r="L1742" s="32"/>
      <c r="M1742" s="43"/>
      <c r="N1742" s="57"/>
      <c r="O1742" s="57"/>
      <c r="P1742" s="58"/>
      <c r="Q1742" s="28"/>
      <c r="R1742" s="4"/>
    </row>
    <row r="1743" spans="1:18" ht="15.75" thickBot="1">
      <c r="A1743" s="1"/>
      <c r="B1743" s="2"/>
      <c r="C1743" s="8"/>
      <c r="D1743" s="59"/>
      <c r="E1743" s="60"/>
      <c r="F1743" s="60"/>
      <c r="G1743" s="60"/>
      <c r="H1743" s="60"/>
      <c r="I1743" s="60"/>
      <c r="J1743" s="60"/>
      <c r="K1743" s="60"/>
      <c r="L1743" s="60"/>
      <c r="M1743" s="60"/>
      <c r="N1743" s="61"/>
      <c r="O1743" s="61"/>
      <c r="P1743" s="62"/>
      <c r="Q1743" s="63"/>
      <c r="R1743" s="4"/>
    </row>
    <row r="1744" spans="1:18">
      <c r="A1744" s="1"/>
      <c r="B1744" s="2"/>
      <c r="C1744" s="8"/>
      <c r="D1744" s="64"/>
      <c r="E1744" s="65"/>
      <c r="F1744" s="65"/>
      <c r="G1744" s="65"/>
      <c r="H1744" s="65"/>
      <c r="I1744" s="65"/>
      <c r="J1744" s="65"/>
      <c r="K1744" s="65"/>
      <c r="L1744" s="65"/>
      <c r="M1744" s="66" t="s">
        <v>6</v>
      </c>
      <c r="N1744" s="66" t="s">
        <v>7</v>
      </c>
      <c r="O1744" s="66" t="s">
        <v>8</v>
      </c>
      <c r="P1744" s="67" t="s">
        <v>9</v>
      </c>
      <c r="Q1744" s="51"/>
      <c r="R1744" s="4"/>
    </row>
    <row r="1745" spans="1:18">
      <c r="A1745" s="1"/>
      <c r="B1745" s="2"/>
      <c r="C1745" s="8"/>
      <c r="D1745" s="68"/>
      <c r="E1745" s="69"/>
      <c r="F1745" s="69"/>
      <c r="G1745" s="69"/>
      <c r="H1745" s="69"/>
      <c r="I1745" s="69"/>
      <c r="J1745" s="69"/>
      <c r="K1745" s="69"/>
      <c r="L1745" s="69"/>
      <c r="M1745" s="70"/>
      <c r="N1745" s="71">
        <f>+Hoja2!B$5</f>
        <v>5</v>
      </c>
      <c r="O1745" s="71">
        <f>+Hoja2!C$5</f>
        <v>8</v>
      </c>
      <c r="P1745" s="72">
        <f>+Hoja2!D$5</f>
        <v>2026</v>
      </c>
      <c r="Q1745" s="73"/>
      <c r="R1745" s="4"/>
    </row>
    <row r="1746" spans="1:18">
      <c r="A1746" s="1"/>
      <c r="B1746" s="2"/>
      <c r="C1746" s="8"/>
      <c r="D1746" s="74"/>
      <c r="E1746" s="37"/>
      <c r="F1746" s="37"/>
      <c r="G1746" s="37"/>
      <c r="H1746" s="69"/>
      <c r="I1746" s="69"/>
      <c r="J1746" s="69"/>
      <c r="K1746" s="20"/>
      <c r="L1746" s="69"/>
      <c r="M1746" s="75"/>
      <c r="N1746" s="20"/>
      <c r="O1746" s="20"/>
      <c r="P1746" s="76"/>
      <c r="Q1746" s="73"/>
      <c r="R1746" s="4"/>
    </row>
    <row r="1747" spans="1:18" ht="15.75" thickBot="1">
      <c r="A1747" s="1"/>
      <c r="B1747" s="2"/>
      <c r="C1747" s="8"/>
      <c r="D1747" s="77"/>
      <c r="E1747" s="78"/>
      <c r="F1747" s="78"/>
      <c r="G1747" s="78"/>
      <c r="H1747" s="78"/>
      <c r="I1747" s="78"/>
      <c r="J1747" s="78"/>
      <c r="K1747" s="78"/>
      <c r="L1747" s="78"/>
      <c r="M1747" s="78"/>
      <c r="N1747" s="78"/>
      <c r="O1747" s="78"/>
      <c r="P1747" s="79"/>
      <c r="Q1747" s="13"/>
      <c r="R1747" s="4"/>
    </row>
    <row r="1748" spans="1:18" ht="15.75" thickBot="1">
      <c r="A1748" s="1"/>
      <c r="B1748" s="2"/>
      <c r="C1748" s="8"/>
      <c r="D1748" s="80"/>
      <c r="E1748" s="81"/>
      <c r="F1748" s="81"/>
      <c r="G1748" s="81"/>
      <c r="H1748" s="81"/>
      <c r="I1748" s="81"/>
      <c r="J1748" s="20"/>
      <c r="K1748" s="20"/>
      <c r="L1748" s="81"/>
      <c r="M1748" s="81"/>
      <c r="N1748" s="81"/>
      <c r="O1748" s="81"/>
      <c r="P1748" s="82"/>
      <c r="Q1748" s="13"/>
      <c r="R1748" s="4"/>
    </row>
    <row r="1749" spans="1:18">
      <c r="A1749" s="1"/>
      <c r="B1749" s="2"/>
      <c r="C1749" s="8"/>
      <c r="D1749" s="83" t="s">
        <v>10</v>
      </c>
      <c r="E1749" s="84"/>
      <c r="F1749" s="84"/>
      <c r="G1749" s="84"/>
      <c r="H1749" s="84"/>
      <c r="I1749" s="84"/>
      <c r="J1749" s="84"/>
      <c r="K1749" s="84"/>
      <c r="L1749" s="84"/>
      <c r="M1749" s="84"/>
      <c r="N1749" s="84"/>
      <c r="O1749" s="84"/>
      <c r="P1749" s="85"/>
      <c r="Q1749" s="86"/>
      <c r="R1749" s="4"/>
    </row>
    <row r="1750" spans="1:18" ht="15.75" thickBot="1">
      <c r="A1750" s="1"/>
      <c r="B1750" s="2"/>
      <c r="C1750" s="8"/>
      <c r="D1750" s="87"/>
      <c r="E1750" s="20"/>
      <c r="F1750" s="20"/>
      <c r="G1750" s="20"/>
      <c r="H1750" s="20"/>
      <c r="I1750" s="20"/>
      <c r="J1750" s="20"/>
      <c r="K1750" s="20"/>
      <c r="L1750" s="20"/>
      <c r="M1750" s="20"/>
      <c r="N1750" s="20"/>
      <c r="O1750" s="20"/>
      <c r="P1750" s="88"/>
      <c r="Q1750" s="13"/>
      <c r="R1750" s="4"/>
    </row>
    <row r="1751" spans="1:18">
      <c r="A1751" s="1" t="s">
        <v>11</v>
      </c>
      <c r="B1751" s="2" t="s">
        <v>12</v>
      </c>
      <c r="C1751" s="8"/>
      <c r="D1751" s="89" t="s">
        <v>13</v>
      </c>
      <c r="E1751" s="90" t="s">
        <v>14</v>
      </c>
      <c r="F1751" s="90"/>
      <c r="G1751" s="90"/>
      <c r="H1751" s="90"/>
      <c r="I1751" s="90"/>
      <c r="J1751" s="90"/>
      <c r="K1751" s="90"/>
      <c r="L1751" s="90"/>
      <c r="M1751" s="90"/>
      <c r="N1751" s="91" t="s">
        <v>15</v>
      </c>
      <c r="O1751" s="91"/>
      <c r="P1751" s="92" t="s">
        <v>16</v>
      </c>
      <c r="Q1751" s="93"/>
      <c r="R1751" s="4"/>
    </row>
    <row r="1752" spans="1:18" ht="38.25" customHeight="1" thickBot="1">
      <c r="A1752" s="1"/>
      <c r="B1752" s="2"/>
      <c r="C1752" s="8"/>
      <c r="D1752" s="349">
        <f>+'PRESUPUESTO OFICIAL '!C57</f>
        <v>4.08</v>
      </c>
      <c r="E1752" s="94" t="str">
        <f>+VLOOKUP(D1752,'PRESUPUESTO OFICIAL '!C:H,2,FALSE)</f>
        <v>SUMINISTRO E INSTALACIÓN DE SIFÓN SANITARIO DE 4" PVC</v>
      </c>
      <c r="F1752" s="94"/>
      <c r="G1752" s="94"/>
      <c r="H1752" s="94"/>
      <c r="I1752" s="94"/>
      <c r="J1752" s="94"/>
      <c r="K1752" s="94"/>
      <c r="L1752" s="94"/>
      <c r="M1752" s="94"/>
      <c r="N1752" s="94" t="str">
        <f>+VLOOKUP(D1752,'PRESUPUESTO OFICIAL '!C:H,3,FALSE)</f>
        <v>UND</v>
      </c>
      <c r="O1752" s="95"/>
      <c r="P1752" s="96">
        <f>+VLOOKUP(D1752,'PRESUPUESTO OFICIAL '!C:H,4,FALSE)</f>
        <v>10</v>
      </c>
      <c r="Q1752" s="97"/>
      <c r="R1752" s="98">
        <f>+P1804</f>
        <v>80199</v>
      </c>
    </row>
    <row r="1753" spans="1:18" ht="15.75" thickBot="1">
      <c r="A1753" s="1"/>
      <c r="B1753" s="2"/>
      <c r="C1753" s="8"/>
      <c r="D1753" s="74" t="s">
        <v>17</v>
      </c>
      <c r="E1753" s="37"/>
      <c r="F1753" s="37"/>
      <c r="G1753" s="37"/>
      <c r="H1753" s="37"/>
      <c r="I1753" s="37"/>
      <c r="J1753" s="37"/>
      <c r="K1753" s="37"/>
      <c r="L1753" s="37"/>
      <c r="M1753" s="37"/>
      <c r="N1753" s="37"/>
      <c r="O1753" s="37"/>
      <c r="P1753" s="99"/>
      <c r="Q1753" s="100"/>
      <c r="R1753" s="4"/>
    </row>
    <row r="1754" spans="1:18">
      <c r="A1754" s="1"/>
      <c r="B1754" s="2"/>
      <c r="C1754" s="8"/>
      <c r="D1754" s="101" t="s">
        <v>14</v>
      </c>
      <c r="E1754" s="102"/>
      <c r="F1754" s="102"/>
      <c r="G1754" s="102"/>
      <c r="H1754" s="103"/>
      <c r="I1754" s="104" t="s">
        <v>18</v>
      </c>
      <c r="J1754" s="102"/>
      <c r="K1754" s="104" t="s">
        <v>19</v>
      </c>
      <c r="L1754" s="105"/>
      <c r="M1754" s="106" t="s">
        <v>20</v>
      </c>
      <c r="N1754" s="104" t="s">
        <v>21</v>
      </c>
      <c r="O1754" s="105"/>
      <c r="P1754" s="107" t="s">
        <v>22</v>
      </c>
      <c r="Q1754" s="108"/>
      <c r="R1754" s="4"/>
    </row>
    <row r="1755" spans="1:18">
      <c r="A1755" s="1" t="e">
        <f>[239]INDICE!#REF!</f>
        <v>#REF!</v>
      </c>
      <c r="B1755" s="2" t="s">
        <v>23</v>
      </c>
      <c r="C1755" s="8"/>
      <c r="D1755" s="109" t="str">
        <f>IFERROR(INDEX([239]EQUIPOS!B:B,MATCH(B1755,[239]EQUIPOS!A:A,0)),"")</f>
        <v>HERRAMIENTA MENOR (% M.O)</v>
      </c>
      <c r="E1755" s="110"/>
      <c r="F1755" s="110"/>
      <c r="G1755" s="110"/>
      <c r="H1755" s="111"/>
      <c r="I1755" s="112"/>
      <c r="J1755" s="111"/>
      <c r="K1755" s="113" t="str">
        <f>IFERROR(INDEX([239]EQUIPOS!C:C,MATCH(B1755,[239]EQUIPOS!A:A,0)),"")</f>
        <v>%</v>
      </c>
      <c r="L1755" s="114"/>
      <c r="M1755" s="115">
        <f>IFERROR(IF(D1755="HERRAMIENTA MENOR (% M.O)",P1794,INDEX([239]EQUIPOS!D:D,MATCH(B1755,[239]EQUIPOS!A:A,0))),"")</f>
        <v>20397.37</v>
      </c>
      <c r="N1755" s="116">
        <v>10</v>
      </c>
      <c r="O1755" s="117"/>
      <c r="P1755" s="118">
        <f t="shared" ref="P1755:P1760" si="60">IFERROR(ROUND(IF(D1755="HERRAMIENTA MENOR (% M.O)",N1755%*M1755,M1755/N1755),2)," ")</f>
        <v>2039.74</v>
      </c>
      <c r="Q1755" s="119"/>
      <c r="R1755" s="4"/>
    </row>
    <row r="1756" spans="1:18">
      <c r="A1756" s="1">
        <f>+$A$2858</f>
        <v>0</v>
      </c>
      <c r="B1756" s="2"/>
      <c r="C1756" s="8"/>
      <c r="D1756" s="109" t="str">
        <f>IFERROR(INDEX([239]EQUIPOS!B:B,MATCH(B1756,[239]EQUIPOS!A:A,0)),"")</f>
        <v/>
      </c>
      <c r="E1756" s="110"/>
      <c r="F1756" s="110"/>
      <c r="G1756" s="110"/>
      <c r="H1756" s="111"/>
      <c r="I1756" s="112"/>
      <c r="J1756" s="111"/>
      <c r="K1756" s="113" t="str">
        <f>IFERROR(INDEX([239]EQUIPOS!C:C,MATCH(B1756,[239]EQUIPOS!A:A,0)),"")</f>
        <v/>
      </c>
      <c r="L1756" s="114"/>
      <c r="M1756" s="115" t="str">
        <f>IFERROR(IF(D1756="HERRAMIENTA MENOR (% M.O)",P1795,INDEX([239]EQUIPOS!D:D,MATCH(B1756,[239]EQUIPOS!A:A,0))),"")</f>
        <v/>
      </c>
      <c r="N1756" s="116"/>
      <c r="O1756" s="117"/>
      <c r="P1756" s="118" t="str">
        <f t="shared" si="60"/>
        <v xml:space="preserve"> </v>
      </c>
      <c r="Q1756" s="119"/>
      <c r="R1756" s="4"/>
    </row>
    <row r="1757" spans="1:18">
      <c r="A1757" s="1">
        <f t="shared" ref="A1757:A1795" si="61">+A1756</f>
        <v>0</v>
      </c>
      <c r="B1757" s="2"/>
      <c r="C1757" s="8"/>
      <c r="D1757" s="109" t="str">
        <f>IFERROR(INDEX([239]EQUIPOS!B:B,MATCH(B1757,[239]EQUIPOS!A:A,0)),"")</f>
        <v/>
      </c>
      <c r="E1757" s="110"/>
      <c r="F1757" s="110"/>
      <c r="G1757" s="110"/>
      <c r="H1757" s="111"/>
      <c r="I1757" s="120"/>
      <c r="J1757" s="121"/>
      <c r="K1757" s="113" t="str">
        <f>IFERROR(INDEX([239]EQUIPOS!C:C,MATCH(B1757,[239]EQUIPOS!A:A,0)),"")</f>
        <v/>
      </c>
      <c r="L1757" s="114"/>
      <c r="M1757" s="115" t="str">
        <f>IFERROR(IF(D1757="HERRAMIENTA MENOR (% M.O)",P1796,INDEX([239]EQUIPOS!D:D,MATCH(B1757,[239]EQUIPOS!A:A,0))),"")</f>
        <v/>
      </c>
      <c r="N1757" s="116"/>
      <c r="O1757" s="117"/>
      <c r="P1757" s="118" t="str">
        <f t="shared" si="60"/>
        <v xml:space="preserve"> </v>
      </c>
      <c r="Q1757" s="119"/>
      <c r="R1757" s="4"/>
    </row>
    <row r="1758" spans="1:18">
      <c r="A1758" s="1">
        <f t="shared" si="61"/>
        <v>0</v>
      </c>
      <c r="B1758" s="2"/>
      <c r="C1758" s="8"/>
      <c r="D1758" s="109" t="str">
        <f>IFERROR(INDEX([239]EQUIPOS!B:B,MATCH(B1758,[239]EQUIPOS!A:A,0)),"")</f>
        <v/>
      </c>
      <c r="E1758" s="110"/>
      <c r="F1758" s="110"/>
      <c r="G1758" s="110"/>
      <c r="H1758" s="111"/>
      <c r="I1758" s="120"/>
      <c r="J1758" s="121"/>
      <c r="K1758" s="113" t="str">
        <f>IFERROR(INDEX([239]EQUIPOS!C:C,MATCH(B1758,[239]EQUIPOS!A:A,0)),"")</f>
        <v/>
      </c>
      <c r="L1758" s="114"/>
      <c r="M1758" s="115" t="str">
        <f>IFERROR(IF(D1758="HERRAMIENTA MENOR (% M.O)",P1797,INDEX([239]EQUIPOS!D:D,MATCH(B1758,[239]EQUIPOS!A:A,0))),"")</f>
        <v/>
      </c>
      <c r="N1758" s="116"/>
      <c r="O1758" s="117"/>
      <c r="P1758" s="118" t="str">
        <f t="shared" si="60"/>
        <v xml:space="preserve"> </v>
      </c>
      <c r="Q1758" s="119"/>
      <c r="R1758" s="4"/>
    </row>
    <row r="1759" spans="1:18">
      <c r="A1759" s="1">
        <f t="shared" si="61"/>
        <v>0</v>
      </c>
      <c r="B1759" s="2"/>
      <c r="C1759" s="8"/>
      <c r="D1759" s="109" t="str">
        <f>IFERROR(INDEX([239]EQUIPOS!B:B,MATCH(B1759,[239]EQUIPOS!A:A,0)),"")</f>
        <v/>
      </c>
      <c r="E1759" s="110"/>
      <c r="F1759" s="110"/>
      <c r="G1759" s="110"/>
      <c r="H1759" s="111"/>
      <c r="I1759" s="112"/>
      <c r="J1759" s="111"/>
      <c r="K1759" s="113" t="str">
        <f>IFERROR(INDEX([239]EQUIPOS!C:C,MATCH(B1759,[239]EQUIPOS!A:A,0)),"")</f>
        <v/>
      </c>
      <c r="L1759" s="114"/>
      <c r="M1759" s="115" t="str">
        <f>IFERROR(IF(D1759="HERRAMIENTA MENOR (% M.O)",P1798,INDEX([239]EQUIPOS!D:D,MATCH(B1759,[239]EQUIPOS!A:A,0))),"")</f>
        <v/>
      </c>
      <c r="N1759" s="116"/>
      <c r="O1759" s="117"/>
      <c r="P1759" s="118" t="str">
        <f t="shared" si="60"/>
        <v xml:space="preserve"> </v>
      </c>
      <c r="Q1759" s="119"/>
      <c r="R1759" s="4"/>
    </row>
    <row r="1760" spans="1:18" ht="15.75" thickBot="1">
      <c r="A1760" s="1">
        <f t="shared" si="61"/>
        <v>0</v>
      </c>
      <c r="B1760" s="2"/>
      <c r="C1760" s="8"/>
      <c r="D1760" s="109" t="str">
        <f>IFERROR(INDEX([239]EQUIPOS!B:B,MATCH(B1760,[239]EQUIPOS!A:A,0)),"")</f>
        <v/>
      </c>
      <c r="E1760" s="78"/>
      <c r="F1760" s="78"/>
      <c r="G1760" s="78"/>
      <c r="H1760" s="122"/>
      <c r="I1760" s="123"/>
      <c r="J1760" s="122"/>
      <c r="K1760" s="113" t="str">
        <f>IFERROR(INDEX([239]EQUIPOS!C:C,MATCH(B1760,[239]EQUIPOS!A:A,0)),"")</f>
        <v/>
      </c>
      <c r="L1760" s="124"/>
      <c r="M1760" s="115" t="str">
        <f>IFERROR(IF(D1760="HERRAMIENTA MENOR (% M.O)",P1799,INDEX([239]EQUIPOS!D:D,MATCH(B1760,[239]EQUIPOS!A:A,0))),"")</f>
        <v/>
      </c>
      <c r="N1760" s="125"/>
      <c r="O1760" s="126"/>
      <c r="P1760" s="127" t="str">
        <f t="shared" si="60"/>
        <v xml:space="preserve"> </v>
      </c>
      <c r="Q1760" s="119"/>
      <c r="R1760" s="4"/>
    </row>
    <row r="1761" spans="1:18" ht="15.75" thickBot="1">
      <c r="A1761" s="1">
        <f t="shared" si="61"/>
        <v>0</v>
      </c>
      <c r="B1761" s="2"/>
      <c r="C1761" s="8"/>
      <c r="D1761" s="128" t="s">
        <v>24</v>
      </c>
      <c r="E1761" s="129"/>
      <c r="F1761" s="129"/>
      <c r="G1761" s="129"/>
      <c r="H1761" s="129"/>
      <c r="I1761" s="129"/>
      <c r="J1761" s="129"/>
      <c r="K1761" s="129"/>
      <c r="L1761" s="129"/>
      <c r="M1761" s="129"/>
      <c r="N1761" s="129"/>
      <c r="O1761" s="130"/>
      <c r="P1761" s="131">
        <f>SUM(P1755:P1760)</f>
        <v>2039.74</v>
      </c>
      <c r="Q1761" s="132"/>
      <c r="R1761" s="4"/>
    </row>
    <row r="1762" spans="1:18" ht="15.75" thickBot="1">
      <c r="A1762" s="1">
        <f t="shared" si="61"/>
        <v>0</v>
      </c>
      <c r="B1762" s="2"/>
      <c r="C1762" s="8"/>
      <c r="D1762" s="74" t="s">
        <v>25</v>
      </c>
      <c r="E1762" s="37"/>
      <c r="F1762" s="37"/>
      <c r="G1762" s="37"/>
      <c r="H1762" s="37"/>
      <c r="I1762" s="37"/>
      <c r="J1762" s="37"/>
      <c r="K1762" s="37"/>
      <c r="L1762" s="37"/>
      <c r="M1762" s="37"/>
      <c r="N1762" s="37"/>
      <c r="O1762" s="37"/>
      <c r="P1762" s="99"/>
      <c r="Q1762" s="100"/>
      <c r="R1762" s="4"/>
    </row>
    <row r="1763" spans="1:18">
      <c r="A1763" s="1">
        <f t="shared" si="61"/>
        <v>0</v>
      </c>
      <c r="B1763" s="2"/>
      <c r="C1763" s="8"/>
      <c r="D1763" s="101" t="s">
        <v>14</v>
      </c>
      <c r="E1763" s="133"/>
      <c r="F1763" s="133"/>
      <c r="G1763" s="133"/>
      <c r="H1763" s="133"/>
      <c r="I1763" s="133"/>
      <c r="J1763" s="133"/>
      <c r="K1763" s="105"/>
      <c r="L1763" s="134" t="s">
        <v>15</v>
      </c>
      <c r="M1763" s="106" t="s">
        <v>16</v>
      </c>
      <c r="N1763" s="104" t="s">
        <v>26</v>
      </c>
      <c r="O1763" s="105"/>
      <c r="P1763" s="107" t="s">
        <v>22</v>
      </c>
      <c r="Q1763" s="108"/>
      <c r="R1763" s="4"/>
    </row>
    <row r="1764" spans="1:18">
      <c r="A1764" s="1">
        <f t="shared" si="61"/>
        <v>0</v>
      </c>
      <c r="B1764" s="2" t="s">
        <v>313</v>
      </c>
      <c r="C1764" s="8"/>
      <c r="D1764" s="109" t="str">
        <f>IFERROR(INDEX([239]MATERIALES!C:C,MATCH(B1764,[239]MATERIALES!B:B,0)),"")</f>
        <v>SIFÓN SANITARIO DE 4" PVC</v>
      </c>
      <c r="E1764" s="135"/>
      <c r="F1764" s="135"/>
      <c r="G1764" s="135"/>
      <c r="H1764" s="135"/>
      <c r="I1764" s="135"/>
      <c r="J1764" s="135"/>
      <c r="K1764" s="136"/>
      <c r="L1764" s="137" t="str">
        <f>IFERROR(INDEX([239]MATERIALES!D:D,MATCH(B1764,[239]MATERIALES!B:B,0)),"")</f>
        <v>UND</v>
      </c>
      <c r="M1764" s="138">
        <v>1</v>
      </c>
      <c r="N1764" s="139">
        <f>IFERROR(INDEX([239]MATERIALES!P:P,MATCH(B1764,[239]MATERIALES!B:B,0)),"")</f>
        <v>33616.959999999999</v>
      </c>
      <c r="O1764" s="140"/>
      <c r="P1764" s="118">
        <f>IFERROR(ROUND(N1764*M1764,2),"")</f>
        <v>33616.959999999999</v>
      </c>
      <c r="Q1764" s="119"/>
      <c r="R1764" s="4"/>
    </row>
    <row r="1765" spans="1:18">
      <c r="A1765" s="1">
        <f t="shared" si="61"/>
        <v>0</v>
      </c>
      <c r="B1765" s="2" t="s">
        <v>295</v>
      </c>
      <c r="C1765" s="8"/>
      <c r="D1765" s="109" t="str">
        <f>IFERROR(INDEX([239]MATERIALES!C:C,MATCH(B1765,[239]MATERIALES!B:B,0)),"")</f>
        <v>REMOVEDOR PVC (LIMPIADOR 1/4 )</v>
      </c>
      <c r="E1765" s="135"/>
      <c r="F1765" s="135"/>
      <c r="G1765" s="135"/>
      <c r="H1765" s="135"/>
      <c r="I1765" s="135"/>
      <c r="J1765" s="135"/>
      <c r="K1765" s="136"/>
      <c r="L1765" s="137" t="str">
        <f>IFERROR(INDEX([239]MATERIALES!D:D,MATCH(B1765,[239]MATERIALES!B:B,0)),"")</f>
        <v>GAL</v>
      </c>
      <c r="M1765" s="138">
        <v>0.02</v>
      </c>
      <c r="N1765" s="139">
        <f>IFERROR(INDEX([239]MATERIALES!P:P,MATCH(B1765,[239]MATERIALES!B:B,0)),"")</f>
        <v>54704</v>
      </c>
      <c r="O1765" s="140"/>
      <c r="P1765" s="118">
        <f>IFERROR(ROUND(N1765*M1765,2),"")</f>
        <v>1094.08</v>
      </c>
      <c r="Q1765" s="119"/>
      <c r="R1765" s="4"/>
    </row>
    <row r="1766" spans="1:18">
      <c r="A1766" s="1">
        <f t="shared" si="61"/>
        <v>0</v>
      </c>
      <c r="B1766" s="2" t="s">
        <v>294</v>
      </c>
      <c r="C1766" s="8"/>
      <c r="D1766" s="109" t="str">
        <f>IFERROR(INDEX([239]MATERIALES!C:C,MATCH(B1766,[239]MATERIALES!B:B,0)),"")</f>
        <v>SOLDADURA LIQUIDA PVC 1/4"</v>
      </c>
      <c r="E1766" s="110"/>
      <c r="F1766" s="110"/>
      <c r="G1766" s="110"/>
      <c r="H1766" s="110"/>
      <c r="I1766" s="110"/>
      <c r="J1766" s="110"/>
      <c r="K1766" s="111"/>
      <c r="L1766" s="137" t="str">
        <f>IFERROR(INDEX([239]MATERIALES!D:D,MATCH(B1766,[239]MATERIALES!B:B,0)),"")</f>
        <v>GAL</v>
      </c>
      <c r="M1766" s="138">
        <v>0.02</v>
      </c>
      <c r="N1766" s="139">
        <f>IFERROR(INDEX([239]MATERIALES!P:P,MATCH(B1766,[239]MATERIALES!B:B,0)),"")</f>
        <v>67444</v>
      </c>
      <c r="O1766" s="140"/>
      <c r="P1766" s="118">
        <f>IFERROR(ROUND(N1766*M1766,2),"")</f>
        <v>1348.88</v>
      </c>
      <c r="Q1766" s="119"/>
      <c r="R1766" s="4"/>
    </row>
    <row r="1767" spans="1:18">
      <c r="A1767" s="1">
        <f t="shared" si="61"/>
        <v>0</v>
      </c>
      <c r="B1767" s="2"/>
      <c r="C1767" s="8"/>
      <c r="D1767" s="109" t="str">
        <f>IFERROR(INDEX([239]MATERIALES!C:C,MATCH(B1767,[239]MATERIALES!B:B,0)),"")</f>
        <v/>
      </c>
      <c r="E1767" s="110"/>
      <c r="F1767" s="110"/>
      <c r="G1767" s="110"/>
      <c r="H1767" s="110"/>
      <c r="I1767" s="110"/>
      <c r="J1767" s="110"/>
      <c r="K1767" s="111"/>
      <c r="L1767" s="137" t="str">
        <f>IFERROR(INDEX([239]MATERIALES!D:D,MATCH(B1767,[239]MATERIALES!B:B,0)),"")</f>
        <v/>
      </c>
      <c r="M1767" s="138"/>
      <c r="N1767" s="139" t="str">
        <f>IFERROR(INDEX([239]MATERIALES!P:P,MATCH(B1767,[239]MATERIALES!B:B,0)),"")</f>
        <v/>
      </c>
      <c r="O1767" s="140"/>
      <c r="P1767" s="118" t="str">
        <f>IFERROR(ROUND(N1767*M1767,2),"")</f>
        <v/>
      </c>
      <c r="Q1767" s="119"/>
      <c r="R1767" s="4"/>
    </row>
    <row r="1768" spans="1:18">
      <c r="A1768" s="1">
        <f t="shared" si="61"/>
        <v>0</v>
      </c>
      <c r="B1768" s="2"/>
      <c r="C1768" s="8"/>
      <c r="D1768" s="109" t="str">
        <f>IFERROR(INDEX([239]MATERIALES!C:C,MATCH(B1768,[239]MATERIALES!B:B,0)),"")</f>
        <v/>
      </c>
      <c r="E1768" s="110"/>
      <c r="F1768" s="110"/>
      <c r="G1768" s="110"/>
      <c r="H1768" s="110"/>
      <c r="I1768" s="110"/>
      <c r="J1768" s="110"/>
      <c r="K1768" s="111"/>
      <c r="L1768" s="137" t="str">
        <f>IFERROR(INDEX([239]MATERIALES!D:D,MATCH(B1768,[239]MATERIALES!B:B,0)),"")</f>
        <v/>
      </c>
      <c r="M1768" s="138"/>
      <c r="N1768" s="139" t="str">
        <f>IFERROR(INDEX([239]MATERIALES!P:P,MATCH(B1768,[239]MATERIALES!B:B,0)),"")</f>
        <v/>
      </c>
      <c r="O1768" s="140"/>
      <c r="P1768" s="118" t="str">
        <f t="shared" ref="P1768:P1777" si="62">IFERROR(ROUND(N1768*M1768,2),"")</f>
        <v/>
      </c>
      <c r="Q1768" s="119"/>
      <c r="R1768" s="4"/>
    </row>
    <row r="1769" spans="1:18">
      <c r="A1769" s="1">
        <f t="shared" si="61"/>
        <v>0</v>
      </c>
      <c r="B1769" s="2"/>
      <c r="C1769" s="8"/>
      <c r="D1769" s="109" t="str">
        <f>IFERROR(INDEX([239]MATERIALES!C:C,MATCH(B1769,[239]MATERIALES!B:B,0)),"")</f>
        <v/>
      </c>
      <c r="E1769" s="110"/>
      <c r="F1769" s="110"/>
      <c r="G1769" s="110"/>
      <c r="H1769" s="110"/>
      <c r="I1769" s="110"/>
      <c r="J1769" s="110"/>
      <c r="K1769" s="111"/>
      <c r="L1769" s="137" t="str">
        <f>IFERROR(INDEX([239]MATERIALES!D:D,MATCH(B1769,[239]MATERIALES!B:B,0)),"")</f>
        <v/>
      </c>
      <c r="M1769" s="138"/>
      <c r="N1769" s="139" t="str">
        <f>IFERROR(INDEX([239]MATERIALES!P:P,MATCH(B1769,[239]MATERIALES!B:B,0)),"")</f>
        <v/>
      </c>
      <c r="O1769" s="140"/>
      <c r="P1769" s="118" t="str">
        <f t="shared" si="62"/>
        <v/>
      </c>
      <c r="Q1769" s="119"/>
      <c r="R1769" s="4"/>
    </row>
    <row r="1770" spans="1:18">
      <c r="A1770" s="1">
        <f t="shared" si="61"/>
        <v>0</v>
      </c>
      <c r="B1770" s="2"/>
      <c r="C1770" s="8"/>
      <c r="D1770" s="109" t="str">
        <f>IFERROR(INDEX([239]MATERIALES!C:C,MATCH(B1770,[239]MATERIALES!B:B,0)),"")</f>
        <v/>
      </c>
      <c r="E1770" s="110"/>
      <c r="F1770" s="110"/>
      <c r="G1770" s="110"/>
      <c r="H1770" s="110"/>
      <c r="I1770" s="110"/>
      <c r="J1770" s="110"/>
      <c r="K1770" s="111"/>
      <c r="L1770" s="137" t="str">
        <f>IFERROR(INDEX([239]MATERIALES!D:D,MATCH(B1770,[239]MATERIALES!B:B,0)),"")</f>
        <v/>
      </c>
      <c r="M1770" s="138"/>
      <c r="N1770" s="139" t="str">
        <f>IFERROR(INDEX([239]MATERIALES!P:P,MATCH(B1770,[239]MATERIALES!B:B,0)),"")</f>
        <v/>
      </c>
      <c r="O1770" s="140"/>
      <c r="P1770" s="118" t="str">
        <f t="shared" si="62"/>
        <v/>
      </c>
      <c r="Q1770" s="119"/>
      <c r="R1770" s="4"/>
    </row>
    <row r="1771" spans="1:18">
      <c r="A1771" s="1">
        <f t="shared" si="61"/>
        <v>0</v>
      </c>
      <c r="B1771" s="2"/>
      <c r="C1771" s="8"/>
      <c r="D1771" s="109" t="str">
        <f>IFERROR(INDEX([239]MATERIALES!C:C,MATCH(B1771,[239]MATERIALES!B:B,0)),"")</f>
        <v/>
      </c>
      <c r="E1771" s="110"/>
      <c r="F1771" s="110"/>
      <c r="G1771" s="110"/>
      <c r="H1771" s="110"/>
      <c r="I1771" s="110"/>
      <c r="J1771" s="110"/>
      <c r="K1771" s="111"/>
      <c r="L1771" s="137" t="str">
        <f>IFERROR(INDEX([239]MATERIALES!D:D,MATCH(B1771,[239]MATERIALES!B:B,0)),"")</f>
        <v/>
      </c>
      <c r="M1771" s="138"/>
      <c r="N1771" s="139" t="str">
        <f>IFERROR(INDEX([239]MATERIALES!P:P,MATCH(B1771,[239]MATERIALES!B:B,0)),"")</f>
        <v/>
      </c>
      <c r="O1771" s="140"/>
      <c r="P1771" s="118" t="str">
        <f t="shared" si="62"/>
        <v/>
      </c>
      <c r="Q1771" s="119"/>
      <c r="R1771" s="4"/>
    </row>
    <row r="1772" spans="1:18">
      <c r="A1772" s="1">
        <f t="shared" si="61"/>
        <v>0</v>
      </c>
      <c r="B1772" s="2"/>
      <c r="C1772" s="8"/>
      <c r="D1772" s="109" t="str">
        <f>IFERROR(INDEX([239]MATERIALES!C:C,MATCH(B1772,[239]MATERIALES!B:B,0)),"")</f>
        <v/>
      </c>
      <c r="E1772" s="110"/>
      <c r="F1772" s="110"/>
      <c r="G1772" s="110"/>
      <c r="H1772" s="110"/>
      <c r="I1772" s="110"/>
      <c r="J1772" s="110"/>
      <c r="K1772" s="111"/>
      <c r="L1772" s="137" t="str">
        <f>IFERROR(INDEX([239]MATERIALES!D:D,MATCH(B1772,[239]MATERIALES!B:B,0)),"")</f>
        <v/>
      </c>
      <c r="M1772" s="138"/>
      <c r="N1772" s="139" t="str">
        <f>IFERROR(INDEX([239]MATERIALES!P:P,MATCH(B1772,[239]MATERIALES!B:B,0)),"")</f>
        <v/>
      </c>
      <c r="O1772" s="140"/>
      <c r="P1772" s="118" t="str">
        <f t="shared" si="62"/>
        <v/>
      </c>
      <c r="Q1772" s="119"/>
      <c r="R1772" s="4"/>
    </row>
    <row r="1773" spans="1:18">
      <c r="A1773" s="1">
        <f t="shared" si="61"/>
        <v>0</v>
      </c>
      <c r="B1773" s="2"/>
      <c r="C1773" s="8"/>
      <c r="D1773" s="109" t="str">
        <f>IFERROR(INDEX([239]MATERIALES!C:C,MATCH(B1773,[239]MATERIALES!B:B,0)),"")</f>
        <v/>
      </c>
      <c r="E1773" s="110"/>
      <c r="F1773" s="110"/>
      <c r="G1773" s="110"/>
      <c r="H1773" s="110"/>
      <c r="I1773" s="110"/>
      <c r="J1773" s="110"/>
      <c r="K1773" s="111"/>
      <c r="L1773" s="137" t="str">
        <f>IFERROR(INDEX([239]MATERIALES!D:D,MATCH(B1773,[239]MATERIALES!B:B,0)),"")</f>
        <v/>
      </c>
      <c r="M1773" s="138"/>
      <c r="N1773" s="139" t="str">
        <f>IFERROR(INDEX([239]MATERIALES!P:P,MATCH(B1773,[239]MATERIALES!B:B,0)),"")</f>
        <v/>
      </c>
      <c r="O1773" s="140"/>
      <c r="P1773" s="118" t="str">
        <f t="shared" si="62"/>
        <v/>
      </c>
      <c r="Q1773" s="119"/>
      <c r="R1773" s="4"/>
    </row>
    <row r="1774" spans="1:18">
      <c r="A1774" s="1">
        <f t="shared" si="61"/>
        <v>0</v>
      </c>
      <c r="B1774" s="2"/>
      <c r="C1774" s="8"/>
      <c r="D1774" s="109" t="str">
        <f>IFERROR(INDEX([239]MATERIALES!C:C,MATCH(B1774,[239]MATERIALES!B:B,0)),"")</f>
        <v/>
      </c>
      <c r="E1774" s="110"/>
      <c r="F1774" s="110"/>
      <c r="G1774" s="110"/>
      <c r="H1774" s="110"/>
      <c r="I1774" s="110"/>
      <c r="J1774" s="110"/>
      <c r="K1774" s="111"/>
      <c r="L1774" s="137" t="str">
        <f>IFERROR(INDEX([239]MATERIALES!D:D,MATCH(B1774,[239]MATERIALES!B:B,0)),"")</f>
        <v/>
      </c>
      <c r="M1774" s="138"/>
      <c r="N1774" s="139" t="str">
        <f>IFERROR(INDEX([239]MATERIALES!P:P,MATCH(B1774,[239]MATERIALES!B:B,0)),"")</f>
        <v/>
      </c>
      <c r="O1774" s="140"/>
      <c r="P1774" s="118" t="str">
        <f t="shared" si="62"/>
        <v/>
      </c>
      <c r="Q1774" s="119"/>
      <c r="R1774" s="4"/>
    </row>
    <row r="1775" spans="1:18">
      <c r="A1775" s="1">
        <f t="shared" si="61"/>
        <v>0</v>
      </c>
      <c r="B1775" s="2"/>
      <c r="C1775" s="8"/>
      <c r="D1775" s="109" t="str">
        <f>IFERROR(INDEX([239]MATERIALES!C:C,MATCH(B1775,[239]MATERIALES!B:B,0)),"")</f>
        <v/>
      </c>
      <c r="E1775" s="110"/>
      <c r="F1775" s="110"/>
      <c r="G1775" s="110"/>
      <c r="H1775" s="110"/>
      <c r="I1775" s="110"/>
      <c r="J1775" s="110"/>
      <c r="K1775" s="111"/>
      <c r="L1775" s="137" t="str">
        <f>IFERROR(INDEX([239]MATERIALES!D:D,MATCH(B1775,[239]MATERIALES!B:B,0)),"")</f>
        <v/>
      </c>
      <c r="M1775" s="138"/>
      <c r="N1775" s="139" t="str">
        <f>IFERROR(INDEX([239]MATERIALES!P:P,MATCH(B1775,[239]MATERIALES!B:B,0)),"")</f>
        <v/>
      </c>
      <c r="O1775" s="140"/>
      <c r="P1775" s="118" t="str">
        <f t="shared" si="62"/>
        <v/>
      </c>
      <c r="Q1775" s="119"/>
      <c r="R1775" s="4"/>
    </row>
    <row r="1776" spans="1:18">
      <c r="A1776" s="1">
        <f t="shared" si="61"/>
        <v>0</v>
      </c>
      <c r="B1776" s="2"/>
      <c r="C1776" s="8"/>
      <c r="D1776" s="109" t="str">
        <f>IFERROR(INDEX([239]MATERIALES!C:C,MATCH(B1776,[239]MATERIALES!B:B,0)),"")</f>
        <v/>
      </c>
      <c r="E1776" s="110"/>
      <c r="F1776" s="110"/>
      <c r="G1776" s="110"/>
      <c r="H1776" s="110"/>
      <c r="I1776" s="110"/>
      <c r="J1776" s="110"/>
      <c r="K1776" s="111"/>
      <c r="L1776" s="137" t="str">
        <f>IFERROR(INDEX([239]MATERIALES!D:D,MATCH(B1776,[239]MATERIALES!B:B,0)),"")</f>
        <v/>
      </c>
      <c r="M1776" s="138"/>
      <c r="N1776" s="139" t="str">
        <f>IFERROR(INDEX([239]MATERIALES!P:P,MATCH(B1776,[239]MATERIALES!B:B,0)),"")</f>
        <v/>
      </c>
      <c r="O1776" s="140"/>
      <c r="P1776" s="118" t="str">
        <f t="shared" si="62"/>
        <v/>
      </c>
      <c r="Q1776" s="119"/>
      <c r="R1776" s="4"/>
    </row>
    <row r="1777" spans="1:18">
      <c r="A1777" s="1">
        <f t="shared" si="61"/>
        <v>0</v>
      </c>
      <c r="B1777" s="2"/>
      <c r="C1777" s="8"/>
      <c r="D1777" s="109" t="str">
        <f>IFERROR(INDEX([239]MATERIALES!C:C,MATCH(B1777,[239]MATERIALES!B:B,0)),"")</f>
        <v/>
      </c>
      <c r="E1777" s="110"/>
      <c r="F1777" s="110"/>
      <c r="G1777" s="110"/>
      <c r="H1777" s="110"/>
      <c r="I1777" s="110"/>
      <c r="J1777" s="110"/>
      <c r="K1777" s="111"/>
      <c r="L1777" s="137" t="str">
        <f>IFERROR(INDEX([239]MATERIALES!D:D,MATCH(B1777,[239]MATERIALES!B:B,0)),"")</f>
        <v/>
      </c>
      <c r="M1777" s="138"/>
      <c r="N1777" s="139" t="str">
        <f>IFERROR(INDEX([239]MATERIALES!P:P,MATCH(B1777,[239]MATERIALES!B:B,0)),"")</f>
        <v/>
      </c>
      <c r="O1777" s="140"/>
      <c r="P1777" s="118" t="str">
        <f t="shared" si="62"/>
        <v/>
      </c>
      <c r="Q1777" s="119"/>
      <c r="R1777" s="4"/>
    </row>
    <row r="1778" spans="1:18" ht="15.75" thickBot="1">
      <c r="A1778" s="1">
        <f t="shared" si="61"/>
        <v>0</v>
      </c>
      <c r="B1778" s="2"/>
      <c r="C1778" s="8"/>
      <c r="D1778" s="109" t="s">
        <v>28</v>
      </c>
      <c r="E1778" s="110"/>
      <c r="F1778" s="110"/>
      <c r="G1778" s="110"/>
      <c r="H1778" s="110"/>
      <c r="I1778" s="110"/>
      <c r="J1778" s="110"/>
      <c r="K1778" s="111"/>
      <c r="L1778" s="137" t="s">
        <v>29</v>
      </c>
      <c r="M1778" s="138">
        <v>0.05</v>
      </c>
      <c r="N1778" s="139">
        <f>SUM(P1764:P1777)</f>
        <v>36059.919999999998</v>
      </c>
      <c r="O1778" s="140"/>
      <c r="P1778" s="118">
        <f>ROUND(N1778*M1778,2)</f>
        <v>1803</v>
      </c>
      <c r="Q1778" s="119"/>
      <c r="R1778" s="4"/>
    </row>
    <row r="1779" spans="1:18" ht="15.75" thickBot="1">
      <c r="A1779" s="1">
        <f t="shared" si="61"/>
        <v>0</v>
      </c>
      <c r="B1779" s="2"/>
      <c r="C1779" s="8"/>
      <c r="D1779" s="128" t="s">
        <v>24</v>
      </c>
      <c r="E1779" s="129"/>
      <c r="F1779" s="129"/>
      <c r="G1779" s="129"/>
      <c r="H1779" s="129"/>
      <c r="I1779" s="129"/>
      <c r="J1779" s="129"/>
      <c r="K1779" s="129"/>
      <c r="L1779" s="129"/>
      <c r="M1779" s="129"/>
      <c r="N1779" s="129"/>
      <c r="O1779" s="130"/>
      <c r="P1779" s="131">
        <f>SUM(P1764:P1778)</f>
        <v>37862.92</v>
      </c>
      <c r="Q1779" s="119"/>
      <c r="R1779" s="4"/>
    </row>
    <row r="1780" spans="1:18" ht="15.75" thickBot="1">
      <c r="A1780" s="1">
        <f t="shared" si="61"/>
        <v>0</v>
      </c>
      <c r="B1780" s="2"/>
      <c r="C1780" s="8"/>
      <c r="D1780" s="74" t="s">
        <v>30</v>
      </c>
      <c r="E1780" s="37"/>
      <c r="F1780" s="37"/>
      <c r="G1780" s="37"/>
      <c r="H1780" s="37"/>
      <c r="I1780" s="37"/>
      <c r="J1780" s="37"/>
      <c r="K1780" s="37"/>
      <c r="L1780" s="37"/>
      <c r="M1780" s="37"/>
      <c r="N1780" s="37"/>
      <c r="O1780" s="37"/>
      <c r="P1780" s="99"/>
      <c r="Q1780" s="100"/>
      <c r="R1780" s="4"/>
    </row>
    <row r="1781" spans="1:18">
      <c r="A1781" s="1">
        <f t="shared" si="61"/>
        <v>0</v>
      </c>
      <c r="B1781" s="2"/>
      <c r="C1781" s="8"/>
      <c r="D1781" s="101" t="s">
        <v>31</v>
      </c>
      <c r="E1781" s="133"/>
      <c r="F1781" s="133"/>
      <c r="G1781" s="133"/>
      <c r="H1781" s="133"/>
      <c r="I1781" s="133"/>
      <c r="J1781" s="133"/>
      <c r="K1781" s="106" t="s">
        <v>32</v>
      </c>
      <c r="L1781" s="141" t="s">
        <v>33</v>
      </c>
      <c r="M1781" s="106" t="s">
        <v>34</v>
      </c>
      <c r="N1781" s="104" t="s">
        <v>20</v>
      </c>
      <c r="O1781" s="105"/>
      <c r="P1781" s="107" t="s">
        <v>22</v>
      </c>
      <c r="Q1781" s="108"/>
      <c r="R1781" s="4"/>
    </row>
    <row r="1782" spans="1:18">
      <c r="A1782" s="1">
        <f t="shared" si="61"/>
        <v>0</v>
      </c>
      <c r="B1782" s="2"/>
      <c r="C1782" s="8"/>
      <c r="D1782" s="142" t="str">
        <f>IFERROR(INDEX([239]TRANSPORTES!B:B,MATCH(B1782,[239]TRANSPORTES!A:A,0)),"")</f>
        <v/>
      </c>
      <c r="E1782" s="143"/>
      <c r="F1782" s="143"/>
      <c r="G1782" s="143"/>
      <c r="H1782" s="143"/>
      <c r="I1782" s="143"/>
      <c r="J1782" s="143"/>
      <c r="K1782" s="220"/>
      <c r="L1782" s="145"/>
      <c r="M1782" s="146" t="str">
        <f>IFERROR(INDEX([239]TRANSPORTES!C:C,MATCH(B1782,[239]TRANSPORTES!A:A,0)),"")</f>
        <v/>
      </c>
      <c r="N1782" s="139" t="str">
        <f>IFERROR(INDEX([239]TRANSPORTES!D:D,MATCH(B1782,[239]TRANSPORTES!A:A,0)),"")</f>
        <v/>
      </c>
      <c r="O1782" s="147"/>
      <c r="P1782" s="148" t="str">
        <f>IFERROR(ROUND(K1782*N1782*L1782,2),"")</f>
        <v/>
      </c>
      <c r="Q1782" s="119"/>
      <c r="R1782" s="4"/>
    </row>
    <row r="1783" spans="1:18">
      <c r="A1783" s="1">
        <f t="shared" si="61"/>
        <v>0</v>
      </c>
      <c r="B1783" s="2"/>
      <c r="C1783" s="8"/>
      <c r="D1783" s="142" t="str">
        <f>IFERROR(INDEX([239]TRANSPORTES!B:B,MATCH(B1783,[239]TRANSPORTES!A:A,0)),"")</f>
        <v/>
      </c>
      <c r="E1783" s="143"/>
      <c r="F1783" s="143"/>
      <c r="G1783" s="143"/>
      <c r="H1783" s="143"/>
      <c r="I1783" s="143"/>
      <c r="J1783" s="143"/>
      <c r="K1783" s="144"/>
      <c r="L1783" s="145"/>
      <c r="M1783" s="146" t="str">
        <f>IFERROR(INDEX([239]TRANSPORTES!C:C,MATCH(B1783,[239]TRANSPORTES!A:A,0)),"")</f>
        <v/>
      </c>
      <c r="N1783" s="139" t="str">
        <f>IFERROR(INDEX([239]TRANSPORTES!D:D,MATCH(B1783,[239]TRANSPORTES!A:A,0)),"")</f>
        <v/>
      </c>
      <c r="O1783" s="147"/>
      <c r="P1783" s="148" t="str">
        <f>IFERROR(ROUND(K1783*N1783*L1783,2),"")</f>
        <v/>
      </c>
      <c r="Q1783" s="119"/>
      <c r="R1783" s="4"/>
    </row>
    <row r="1784" spans="1:18">
      <c r="A1784" s="1">
        <f t="shared" si="61"/>
        <v>0</v>
      </c>
      <c r="B1784" s="2"/>
      <c r="C1784" s="8"/>
      <c r="D1784" s="142" t="str">
        <f>IFERROR(INDEX([239]TRANSPORTES!B:B,MATCH(B1784,[239]TRANSPORTES!A:A,0)),"")</f>
        <v/>
      </c>
      <c r="E1784" s="143"/>
      <c r="F1784" s="143"/>
      <c r="G1784" s="143"/>
      <c r="H1784" s="143"/>
      <c r="I1784" s="143"/>
      <c r="J1784" s="143"/>
      <c r="K1784" s="144"/>
      <c r="L1784" s="145"/>
      <c r="M1784" s="146" t="str">
        <f>IFERROR(INDEX([239]TRANSPORTES!C:C,MATCH(B1784,[239]TRANSPORTES!A:A,0)),"")</f>
        <v/>
      </c>
      <c r="N1784" s="139" t="str">
        <f>IFERROR(INDEX([239]TRANSPORTES!D:D,MATCH(B1784,[239]TRANSPORTES!A:A,0)),"")</f>
        <v/>
      </c>
      <c r="O1784" s="147"/>
      <c r="P1784" s="148" t="str">
        <f>IFERROR(ROUND(K1784*N1784*L1784,2),"")</f>
        <v/>
      </c>
      <c r="Q1784" s="119"/>
      <c r="R1784" s="4"/>
    </row>
    <row r="1785" spans="1:18" ht="15.75" thickBot="1">
      <c r="A1785" s="1">
        <f t="shared" si="61"/>
        <v>0</v>
      </c>
      <c r="B1785" s="2"/>
      <c r="C1785" s="8"/>
      <c r="D1785" s="142" t="str">
        <f>IFERROR(INDEX([239]TRANSPORTES!B:B,MATCH(B1785,[239]TRANSPORTES!A:A,0)),"")</f>
        <v/>
      </c>
      <c r="E1785" s="143"/>
      <c r="F1785" s="143"/>
      <c r="G1785" s="143"/>
      <c r="H1785" s="143"/>
      <c r="I1785" s="143"/>
      <c r="J1785" s="143"/>
      <c r="K1785" s="149"/>
      <c r="L1785" s="150"/>
      <c r="M1785" s="146" t="str">
        <f>IFERROR(INDEX([239]TRANSPORTES!C:C,MATCH(B1785,[239]TRANSPORTES!A:A,0)),"")</f>
        <v/>
      </c>
      <c r="N1785" s="139" t="str">
        <f>IFERROR(INDEX([239]TRANSPORTES!D:D,MATCH(B1785,[239]TRANSPORTES!A:A,0)),"")</f>
        <v/>
      </c>
      <c r="O1785" s="147"/>
      <c r="P1785" s="148" t="str">
        <f>IFERROR(ROUND(K1785*N1785*L1785,2),"")</f>
        <v/>
      </c>
      <c r="Q1785" s="119"/>
      <c r="R1785" s="4"/>
    </row>
    <row r="1786" spans="1:18" ht="15.75" thickBot="1">
      <c r="A1786" s="1">
        <f t="shared" si="61"/>
        <v>0</v>
      </c>
      <c r="B1786" s="2"/>
      <c r="C1786" s="8"/>
      <c r="D1786" s="128" t="s">
        <v>24</v>
      </c>
      <c r="E1786" s="129"/>
      <c r="F1786" s="129"/>
      <c r="G1786" s="129"/>
      <c r="H1786" s="129"/>
      <c r="I1786" s="129"/>
      <c r="J1786" s="129"/>
      <c r="K1786" s="129"/>
      <c r="L1786" s="129"/>
      <c r="M1786" s="129"/>
      <c r="N1786" s="129"/>
      <c r="O1786" s="130"/>
      <c r="P1786" s="151">
        <f>SUM(P1782:P1785)</f>
        <v>0</v>
      </c>
      <c r="Q1786" s="132"/>
      <c r="R1786" s="4"/>
    </row>
    <row r="1787" spans="1:18" ht="15.75" thickBot="1">
      <c r="A1787" s="1">
        <f t="shared" si="61"/>
        <v>0</v>
      </c>
      <c r="B1787" s="2"/>
      <c r="C1787" s="8"/>
      <c r="D1787" s="74" t="s">
        <v>36</v>
      </c>
      <c r="E1787" s="37"/>
      <c r="F1787" s="37"/>
      <c r="G1787" s="37"/>
      <c r="H1787" s="37"/>
      <c r="I1787" s="37"/>
      <c r="J1787" s="37"/>
      <c r="K1787" s="37"/>
      <c r="L1787" s="37"/>
      <c r="M1787" s="37"/>
      <c r="N1787" s="37"/>
      <c r="O1787" s="37"/>
      <c r="P1787" s="99"/>
      <c r="Q1787" s="100"/>
      <c r="R1787" s="4"/>
    </row>
    <row r="1788" spans="1:18" ht="30">
      <c r="A1788" s="1">
        <f t="shared" si="61"/>
        <v>0</v>
      </c>
      <c r="B1788" s="2"/>
      <c r="C1788" s="8"/>
      <c r="D1788" s="101" t="s">
        <v>37</v>
      </c>
      <c r="E1788" s="133"/>
      <c r="F1788" s="133"/>
      <c r="G1788" s="133"/>
      <c r="H1788" s="133"/>
      <c r="I1788" s="133"/>
      <c r="J1788" s="133"/>
      <c r="K1788" s="106" t="s">
        <v>38</v>
      </c>
      <c r="L1788" s="152" t="s">
        <v>39</v>
      </c>
      <c r="M1788" s="153" t="s">
        <v>40</v>
      </c>
      <c r="N1788" s="104" t="s">
        <v>21</v>
      </c>
      <c r="O1788" s="105"/>
      <c r="P1788" s="154" t="s">
        <v>22</v>
      </c>
      <c r="Q1788" s="155"/>
      <c r="R1788" s="4"/>
    </row>
    <row r="1789" spans="1:18">
      <c r="A1789" s="1">
        <f t="shared" si="61"/>
        <v>0</v>
      </c>
      <c r="B1789" s="2" t="s">
        <v>41</v>
      </c>
      <c r="C1789" s="8"/>
      <c r="D1789" s="109" t="str">
        <f>IFERROR(INDEX('[239]MANO DE OBRA'!B:B,MATCH(B1789,'[239]MANO DE OBRA'!A:A,0)),"")</f>
        <v>OFICIAL</v>
      </c>
      <c r="E1789" s="110"/>
      <c r="F1789" s="110"/>
      <c r="G1789" s="110"/>
      <c r="H1789" s="110"/>
      <c r="I1789" s="110"/>
      <c r="J1789" s="111"/>
      <c r="K1789" s="156">
        <f>IFERROR(INDEX('[239]MANO DE OBRA'!D:D,MATCH(B1789,'[239]MANO DE OBRA'!A:A,0)),"")</f>
        <v>95930</v>
      </c>
      <c r="L1789" s="157">
        <f>+IF(D1789&lt;&gt;"",'[239]FACTOR PRESTACIONAL'!$E$21," ")</f>
        <v>1.95</v>
      </c>
      <c r="M1789" s="158">
        <f>IFERROR(K1789*L1789," ")</f>
        <v>187063.5</v>
      </c>
      <c r="N1789" s="159">
        <v>16</v>
      </c>
      <c r="O1789" s="160"/>
      <c r="P1789" s="161">
        <f>IFERROR(ROUND(M1789/N1789,2)," ")</f>
        <v>11691.47</v>
      </c>
      <c r="Q1789" s="162"/>
      <c r="R1789" s="4"/>
    </row>
    <row r="1790" spans="1:18">
      <c r="A1790" s="1">
        <f t="shared" si="61"/>
        <v>0</v>
      </c>
      <c r="B1790" s="2" t="s">
        <v>81</v>
      </c>
      <c r="C1790" s="8"/>
      <c r="D1790" s="109" t="str">
        <f>IFERROR(INDEX('[239]MANO DE OBRA'!B:B,MATCH(B1790,'[239]MANO DE OBRA'!A:A,0)),"")</f>
        <v>AYUDANTE (1)</v>
      </c>
      <c r="E1790" s="110"/>
      <c r="F1790" s="110"/>
      <c r="G1790" s="110"/>
      <c r="H1790" s="110"/>
      <c r="I1790" s="110"/>
      <c r="J1790" s="111"/>
      <c r="K1790" s="156">
        <f>IFERROR(INDEX('[239]MANO DE OBRA'!D:D,MATCH(B1790,'[239]MANO DE OBRA'!A:A,0)),"")</f>
        <v>71433</v>
      </c>
      <c r="L1790" s="157">
        <f>+IF(D1790&lt;&gt;"",'[239]FACTOR PRESTACIONAL'!$E$21," ")</f>
        <v>1.95</v>
      </c>
      <c r="M1790" s="158">
        <f>IFERROR(K1790*L1790," ")</f>
        <v>139294.35</v>
      </c>
      <c r="N1790" s="159">
        <v>16</v>
      </c>
      <c r="O1790" s="160"/>
      <c r="P1790" s="161">
        <f>IFERROR(ROUND(M1790/N1790,2)," ")</f>
        <v>8705.9</v>
      </c>
      <c r="Q1790" s="162"/>
      <c r="R1790" s="4"/>
    </row>
    <row r="1791" spans="1:18">
      <c r="A1791" s="1">
        <f t="shared" si="61"/>
        <v>0</v>
      </c>
      <c r="B1791" s="2"/>
      <c r="C1791" s="8"/>
      <c r="D1791" s="109" t="str">
        <f>IFERROR(INDEX('[239]MANO DE OBRA'!B:B,MATCH(B1791,'[239]MANO DE OBRA'!A:A,0)),"")</f>
        <v/>
      </c>
      <c r="E1791" s="110"/>
      <c r="F1791" s="110"/>
      <c r="G1791" s="110"/>
      <c r="H1791" s="110"/>
      <c r="I1791" s="110"/>
      <c r="J1791" s="111"/>
      <c r="K1791" s="156" t="str">
        <f>IFERROR(INDEX('[239]MANO DE OBRA'!D:D,MATCH(B1791,'[239]MANO DE OBRA'!A:A,0)),"")</f>
        <v/>
      </c>
      <c r="L1791" s="157" t="str">
        <f>+IF(D1791&lt;&gt;"",'[239]FACTOR PRESTACIONAL'!$E$21," ")</f>
        <v xml:space="preserve"> </v>
      </c>
      <c r="M1791" s="158" t="str">
        <f>IFERROR(K1791*L1791," ")</f>
        <v xml:space="preserve"> </v>
      </c>
      <c r="N1791" s="159"/>
      <c r="O1791" s="160"/>
      <c r="P1791" s="161" t="str">
        <f>IFERROR(ROUND(M1791/N1791,2)," ")</f>
        <v xml:space="preserve"> </v>
      </c>
      <c r="Q1791" s="162"/>
      <c r="R1791" s="4"/>
    </row>
    <row r="1792" spans="1:18">
      <c r="A1792" s="1">
        <f t="shared" si="61"/>
        <v>0</v>
      </c>
      <c r="B1792" s="2"/>
      <c r="C1792" s="8"/>
      <c r="D1792" s="109" t="str">
        <f>IFERROR(INDEX('[239]MANO DE OBRA'!B:B,MATCH(B1792,'[239]MANO DE OBRA'!A:A,0)),"")</f>
        <v/>
      </c>
      <c r="E1792" s="110"/>
      <c r="F1792" s="110"/>
      <c r="G1792" s="110"/>
      <c r="H1792" s="110"/>
      <c r="I1792" s="110"/>
      <c r="J1792" s="111"/>
      <c r="K1792" s="156" t="str">
        <f>IFERROR(INDEX('[239]MANO DE OBRA'!D:D,MATCH(B1792,'[239]MANO DE OBRA'!A:A,0)),"")</f>
        <v/>
      </c>
      <c r="L1792" s="157" t="str">
        <f>+IF(D1792&lt;&gt;"",'[239]FACTOR PRESTACIONAL'!$E$21," ")</f>
        <v xml:space="preserve"> </v>
      </c>
      <c r="M1792" s="158" t="str">
        <f>IFERROR(K1792*L1792," ")</f>
        <v xml:space="preserve"> </v>
      </c>
      <c r="N1792" s="159"/>
      <c r="O1792" s="160"/>
      <c r="P1792" s="161" t="str">
        <f>IFERROR(ROUND(M1792/N1792,2)," ")</f>
        <v xml:space="preserve"> </v>
      </c>
      <c r="Q1792" s="162"/>
      <c r="R1792" s="4"/>
    </row>
    <row r="1793" spans="1:18" ht="15.75" thickBot="1">
      <c r="A1793" s="1">
        <f t="shared" si="61"/>
        <v>0</v>
      </c>
      <c r="B1793" s="2"/>
      <c r="C1793" s="8"/>
      <c r="D1793" s="109" t="str">
        <f>IFERROR(INDEX('[239]MANO DE OBRA'!B:B,MATCH(B1793,'[239]MANO DE OBRA'!A:A,0)),"")</f>
        <v/>
      </c>
      <c r="E1793" s="110"/>
      <c r="F1793" s="110"/>
      <c r="G1793" s="110"/>
      <c r="H1793" s="110"/>
      <c r="I1793" s="110"/>
      <c r="J1793" s="111"/>
      <c r="K1793" s="156" t="str">
        <f>IFERROR(INDEX('[239]MANO DE OBRA'!D:D,MATCH(B1793,'[239]MANO DE OBRA'!A:A,0)),"")</f>
        <v/>
      </c>
      <c r="L1793" s="157" t="str">
        <f>+IF(D1793&lt;&gt;"",'[239]FACTOR PRESTACIONAL'!$E$21," ")</f>
        <v xml:space="preserve"> </v>
      </c>
      <c r="M1793" s="158" t="str">
        <f>IFERROR(K1793*L1793," ")</f>
        <v xml:space="preserve"> </v>
      </c>
      <c r="N1793" s="159"/>
      <c r="O1793" s="160"/>
      <c r="P1793" s="161" t="str">
        <f>IFERROR(ROUND(M1793/N1793,2)," ")</f>
        <v xml:space="preserve"> </v>
      </c>
      <c r="Q1793" s="119"/>
      <c r="R1793" s="4"/>
    </row>
    <row r="1794" spans="1:18" ht="15.75" thickBot="1">
      <c r="A1794" s="1">
        <f t="shared" si="61"/>
        <v>0</v>
      </c>
      <c r="B1794" s="2"/>
      <c r="C1794" s="8"/>
      <c r="D1794" s="128" t="s">
        <v>24</v>
      </c>
      <c r="E1794" s="129"/>
      <c r="F1794" s="129"/>
      <c r="G1794" s="129"/>
      <c r="H1794" s="129"/>
      <c r="I1794" s="129"/>
      <c r="J1794" s="129"/>
      <c r="K1794" s="129"/>
      <c r="L1794" s="129"/>
      <c r="M1794" s="129"/>
      <c r="N1794" s="129"/>
      <c r="O1794" s="130"/>
      <c r="P1794" s="131">
        <f>SUM(P1789:P1793)</f>
        <v>20397.37</v>
      </c>
      <c r="Q1794" s="119"/>
      <c r="R1794" s="4"/>
    </row>
    <row r="1795" spans="1:18" ht="15.75" thickBot="1">
      <c r="A1795" s="1">
        <f t="shared" si="61"/>
        <v>0</v>
      </c>
      <c r="B1795" s="2"/>
      <c r="C1795" s="8"/>
      <c r="D1795" s="87"/>
      <c r="E1795" s="20"/>
      <c r="F1795" s="20"/>
      <c r="G1795" s="20"/>
      <c r="H1795" s="20"/>
      <c r="I1795" s="20"/>
      <c r="J1795" s="20"/>
      <c r="K1795" s="20"/>
      <c r="L1795" s="20"/>
      <c r="M1795" s="20"/>
      <c r="N1795" s="20"/>
      <c r="O1795" s="20"/>
      <c r="P1795" s="88"/>
      <c r="Q1795" s="13"/>
      <c r="R1795" s="4"/>
    </row>
    <row r="1796" spans="1:18" ht="15.75" thickBot="1">
      <c r="A1796" s="1"/>
      <c r="B1796" s="2"/>
      <c r="C1796" s="8"/>
      <c r="D1796" s="163" t="s">
        <v>43</v>
      </c>
      <c r="E1796" s="164"/>
      <c r="F1796" s="164"/>
      <c r="G1796" s="164"/>
      <c r="H1796" s="164"/>
      <c r="I1796" s="164"/>
      <c r="J1796" s="164"/>
      <c r="K1796" s="164"/>
      <c r="L1796" s="164"/>
      <c r="M1796" s="164"/>
      <c r="N1796" s="164"/>
      <c r="O1796" s="165"/>
      <c r="P1796" s="166">
        <f>+P1794+P1786+P1779+P1761</f>
        <v>60300.029999999992</v>
      </c>
      <c r="Q1796" s="167"/>
      <c r="R1796" s="168"/>
    </row>
    <row r="1797" spans="1:18" ht="15.75" thickBot="1">
      <c r="A1797" s="1"/>
      <c r="B1797" s="2"/>
      <c r="C1797" s="8"/>
      <c r="D1797" s="169"/>
      <c r="E1797" s="170"/>
      <c r="F1797" s="170"/>
      <c r="G1797" s="170"/>
      <c r="H1797" s="170"/>
      <c r="I1797" s="170"/>
      <c r="J1797" s="170"/>
      <c r="K1797" s="170"/>
      <c r="L1797" s="170"/>
      <c r="M1797" s="170"/>
      <c r="N1797" s="170"/>
      <c r="O1797" s="170"/>
      <c r="P1797" s="171"/>
      <c r="Q1797" s="100"/>
      <c r="R1797" s="4"/>
    </row>
    <row r="1798" spans="1:18">
      <c r="A1798" s="1"/>
      <c r="B1798" s="2"/>
      <c r="C1798" s="8"/>
      <c r="D1798" s="172" t="s">
        <v>73</v>
      </c>
      <c r="E1798" s="173"/>
      <c r="F1798" s="173"/>
      <c r="G1798" s="173"/>
      <c r="H1798" s="173"/>
      <c r="I1798" s="173"/>
      <c r="J1798" s="173"/>
      <c r="K1798" s="141"/>
      <c r="L1798" s="174"/>
      <c r="M1798" s="153" t="s">
        <v>44</v>
      </c>
      <c r="N1798" s="175" t="s">
        <v>45</v>
      </c>
      <c r="O1798" s="176"/>
      <c r="P1798" s="154"/>
      <c r="Q1798" s="155"/>
      <c r="R1798" s="4"/>
    </row>
    <row r="1799" spans="1:18">
      <c r="A1799" s="1"/>
      <c r="B1799" s="2"/>
      <c r="C1799" s="8"/>
      <c r="D1799" s="109" t="s">
        <v>65</v>
      </c>
      <c r="E1799" s="110"/>
      <c r="F1799" s="110"/>
      <c r="G1799" s="110"/>
      <c r="H1799" s="110"/>
      <c r="I1799" s="110"/>
      <c r="J1799" s="110"/>
      <c r="K1799" s="177"/>
      <c r="L1799" s="178"/>
      <c r="M1799" s="179">
        <f>+[239]INICIO!$F$10</f>
        <v>0.24</v>
      </c>
      <c r="N1799" s="180">
        <f>ROUND(M1799*P1796,2)</f>
        <v>14472.01</v>
      </c>
      <c r="O1799" s="181"/>
      <c r="P1799" s="182"/>
      <c r="Q1799" s="119"/>
      <c r="R1799" s="4"/>
    </row>
    <row r="1800" spans="1:18">
      <c r="A1800" s="1"/>
      <c r="B1800" s="2"/>
      <c r="C1800" s="8"/>
      <c r="D1800" s="183" t="s">
        <v>67</v>
      </c>
      <c r="E1800" s="61"/>
      <c r="F1800" s="61"/>
      <c r="G1800" s="61"/>
      <c r="H1800" s="61"/>
      <c r="I1800" s="61"/>
      <c r="J1800" s="61"/>
      <c r="K1800" s="177"/>
      <c r="L1800" s="178"/>
      <c r="M1800" s="179">
        <f>+[239]INICIO!$F$11</f>
        <v>0.02</v>
      </c>
      <c r="N1800" s="180">
        <f>ROUND(M1800*P1796,2)</f>
        <v>1206</v>
      </c>
      <c r="O1800" s="181"/>
      <c r="P1800" s="182"/>
      <c r="Q1800" s="119"/>
      <c r="R1800" s="4"/>
    </row>
    <row r="1801" spans="1:18" ht="15.75" thickBot="1">
      <c r="A1801" s="1"/>
      <c r="B1801" s="2"/>
      <c r="C1801" s="8"/>
      <c r="D1801" s="77" t="s">
        <v>69</v>
      </c>
      <c r="E1801" s="78"/>
      <c r="F1801" s="78"/>
      <c r="G1801" s="78"/>
      <c r="H1801" s="78"/>
      <c r="I1801" s="78"/>
      <c r="J1801" s="78"/>
      <c r="K1801" s="184"/>
      <c r="L1801" s="185"/>
      <c r="M1801" s="179">
        <f>+[239]INICIO!$F$12</f>
        <v>7.0000000000000007E-2</v>
      </c>
      <c r="N1801" s="180">
        <f>ROUND(M1801*P1796,2)</f>
        <v>4221</v>
      </c>
      <c r="O1801" s="181"/>
      <c r="P1801" s="182"/>
      <c r="Q1801" s="119"/>
      <c r="R1801" s="4"/>
    </row>
    <row r="1802" spans="1:18" ht="15.75" thickBot="1">
      <c r="A1802" s="1"/>
      <c r="B1802" s="2"/>
      <c r="C1802" s="8"/>
      <c r="D1802" s="128"/>
      <c r="E1802" s="129"/>
      <c r="F1802" s="129"/>
      <c r="G1802" s="129"/>
      <c r="H1802" s="129"/>
      <c r="I1802" s="129"/>
      <c r="J1802" s="129"/>
      <c r="K1802" s="129"/>
      <c r="L1802" s="129"/>
      <c r="M1802" s="129"/>
      <c r="N1802" s="129"/>
      <c r="O1802" s="130"/>
      <c r="P1802" s="131">
        <f>SUM(N1799:N1801)</f>
        <v>19899.010000000002</v>
      </c>
      <c r="Q1802" s="186"/>
      <c r="R1802" s="4"/>
    </row>
    <row r="1803" spans="1:18" ht="15.75" thickBot="1">
      <c r="A1803" s="1"/>
      <c r="B1803" s="2"/>
      <c r="C1803" s="8"/>
      <c r="D1803" s="87"/>
      <c r="E1803" s="20"/>
      <c r="F1803" s="20"/>
      <c r="G1803" s="20"/>
      <c r="H1803" s="20"/>
      <c r="I1803" s="20"/>
      <c r="J1803" s="20"/>
      <c r="K1803" s="20"/>
      <c r="L1803" s="20"/>
      <c r="M1803" s="20"/>
      <c r="N1803" s="20"/>
      <c r="O1803" s="20"/>
      <c r="P1803" s="88"/>
      <c r="Q1803" s="13"/>
      <c r="R1803" s="4"/>
    </row>
    <row r="1804" spans="1:18" ht="15.75" thickBot="1">
      <c r="A1804" s="1"/>
      <c r="B1804" s="2"/>
      <c r="C1804" s="8"/>
      <c r="D1804" s="187" t="s">
        <v>46</v>
      </c>
      <c r="E1804" s="188"/>
      <c r="F1804" s="188"/>
      <c r="G1804" s="188"/>
      <c r="H1804" s="188"/>
      <c r="I1804" s="188"/>
      <c r="J1804" s="188"/>
      <c r="K1804" s="188"/>
      <c r="L1804" s="188"/>
      <c r="M1804" s="188"/>
      <c r="N1804" s="188"/>
      <c r="O1804" s="189"/>
      <c r="P1804" s="166">
        <f>ROUND(P1802+P1796,0)</f>
        <v>80199</v>
      </c>
      <c r="Q1804" s="186"/>
      <c r="R1804" s="4"/>
    </row>
    <row r="1805" spans="1:18">
      <c r="A1805" s="1"/>
      <c r="B1805" s="2"/>
      <c r="C1805" s="8"/>
      <c r="D1805" s="80"/>
      <c r="E1805" s="81"/>
      <c r="F1805" s="81"/>
      <c r="G1805" s="81"/>
      <c r="H1805" s="81"/>
      <c r="I1805" s="81"/>
      <c r="J1805" s="81"/>
      <c r="K1805" s="81"/>
      <c r="L1805" s="81"/>
      <c r="M1805" s="81"/>
      <c r="N1805" s="81"/>
      <c r="O1805" s="81"/>
      <c r="P1805" s="82"/>
      <c r="Q1805" s="13"/>
      <c r="R1805" s="4"/>
    </row>
    <row r="1806" spans="1:18">
      <c r="A1806" s="1"/>
      <c r="B1806" s="2"/>
      <c r="C1806" s="8"/>
      <c r="D1806" s="87"/>
      <c r="E1806" s="20"/>
      <c r="F1806" s="20"/>
      <c r="G1806" s="20"/>
      <c r="H1806" s="20"/>
      <c r="I1806" s="20"/>
      <c r="J1806" s="20"/>
      <c r="K1806" s="20"/>
      <c r="L1806" s="20"/>
      <c r="M1806" s="20"/>
      <c r="N1806" s="20"/>
      <c r="O1806" s="20"/>
      <c r="P1806" s="88"/>
      <c r="Q1806" s="13"/>
      <c r="R1806" s="4"/>
    </row>
    <row r="1807" spans="1:18">
      <c r="A1807" s="1"/>
      <c r="B1807" s="2"/>
      <c r="C1807" s="8"/>
      <c r="D1807" s="87"/>
      <c r="E1807" s="20"/>
      <c r="F1807" s="20"/>
      <c r="G1807" s="20"/>
      <c r="H1807" s="20"/>
      <c r="I1807" s="20"/>
      <c r="J1807" s="20"/>
      <c r="K1807" s="20"/>
      <c r="L1807" s="20"/>
      <c r="M1807" s="20"/>
      <c r="N1807" s="20"/>
      <c r="O1807" s="20"/>
      <c r="P1807" s="88"/>
      <c r="Q1807" s="13"/>
      <c r="R1807" s="4"/>
    </row>
    <row r="1808" spans="1:18">
      <c r="A1808" s="1"/>
      <c r="B1808" s="2"/>
      <c r="C1808" s="8"/>
      <c r="D1808" s="87"/>
      <c r="E1808" s="20"/>
      <c r="F1808" s="20"/>
      <c r="G1808" s="20"/>
      <c r="H1808" s="20"/>
      <c r="I1808" s="20"/>
      <c r="J1808" s="20"/>
      <c r="K1808" s="20"/>
      <c r="L1808" s="20"/>
      <c r="M1808" s="20"/>
      <c r="N1808" s="20"/>
      <c r="O1808" s="20"/>
      <c r="P1808" s="88"/>
      <c r="Q1808" s="13"/>
      <c r="R1808" s="4"/>
    </row>
    <row r="1809" spans="1:18">
      <c r="A1809" s="1"/>
      <c r="B1809" s="2"/>
      <c r="C1809" s="8"/>
      <c r="D1809" s="219" t="str">
        <f>+[239]INICIO!$B$13</f>
        <v>Proyectó:</v>
      </c>
      <c r="E1809" s="49"/>
      <c r="F1809" s="49"/>
      <c r="G1809" s="49"/>
      <c r="H1809" s="49"/>
      <c r="I1809" s="49"/>
      <c r="J1809" s="49"/>
      <c r="K1809" s="20"/>
      <c r="L1809" s="69" t="str">
        <f>+[239]INICIO!$B$16</f>
        <v>Aprobó:</v>
      </c>
      <c r="M1809" s="49"/>
      <c r="N1809" s="49"/>
      <c r="O1809" s="49"/>
      <c r="P1809" s="88"/>
      <c r="Q1809" s="13"/>
      <c r="R1809" s="4"/>
    </row>
    <row r="1810" spans="1:18">
      <c r="A1810" s="1"/>
      <c r="B1810" s="2"/>
      <c r="C1810" s="8"/>
      <c r="D1810" s="87"/>
      <c r="E1810" s="20" t="str">
        <f>+Hoja2!C$13</f>
        <v>HELMER EDUARDO BECERRA SANTANDER</v>
      </c>
      <c r="F1810" s="20"/>
      <c r="G1810" s="20"/>
      <c r="H1810" s="20"/>
      <c r="I1810" s="20"/>
      <c r="J1810" s="20"/>
      <c r="K1810" s="20"/>
      <c r="L1810" s="20"/>
      <c r="M1810" s="20" t="str">
        <f>+Hoja2!$C$16</f>
        <v>JESÚS IVÁN QUIÑONES RUEDA</v>
      </c>
      <c r="N1810" s="20"/>
      <c r="O1810" s="20"/>
      <c r="P1810" s="88"/>
      <c r="Q1810" s="190"/>
      <c r="R1810" s="4"/>
    </row>
    <row r="1811" spans="1:18">
      <c r="A1811" s="1"/>
      <c r="B1811" s="2"/>
      <c r="C1811" s="8"/>
      <c r="D1811" s="87"/>
      <c r="E1811" s="20" t="str">
        <f>+Hoja2!C$14</f>
        <v>APOYO SEC. DE PLANEACIÓN Y OBRAS PÚBLICAS</v>
      </c>
      <c r="F1811" s="20"/>
      <c r="G1811" s="20"/>
      <c r="H1811" s="20"/>
      <c r="I1811" s="20"/>
      <c r="J1811" s="20"/>
      <c r="K1811" s="20"/>
      <c r="L1811" s="20"/>
      <c r="M1811" s="20" t="str">
        <f>+Hoja2!$C$17</f>
        <v>SECRETARIO DE PLANEACIÓN Y OBRAS PUBLICAS</v>
      </c>
      <c r="N1811" s="20"/>
      <c r="O1811" s="20"/>
      <c r="P1811" s="88"/>
      <c r="Q1811" s="190"/>
      <c r="R1811" s="4"/>
    </row>
    <row r="1812" spans="1:18">
      <c r="A1812" s="1"/>
      <c r="B1812" s="2"/>
      <c r="C1812" s="8"/>
      <c r="D1812" s="68"/>
      <c r="E1812" s="20" t="str">
        <f>+Hoja2!C$15</f>
        <v>123769-0701671 NTS</v>
      </c>
      <c r="F1812" s="191"/>
      <c r="G1812" s="191"/>
      <c r="H1812" s="191"/>
      <c r="I1812" s="20"/>
      <c r="J1812" s="191"/>
      <c r="K1812" s="191"/>
      <c r="L1812" s="191"/>
      <c r="M1812" s="192" t="str">
        <f>+Hoja2!C$18</f>
        <v>A21382020-1090480860</v>
      </c>
      <c r="N1812" s="191"/>
      <c r="O1812" s="191"/>
      <c r="P1812" s="193"/>
      <c r="Q1812" s="194"/>
      <c r="R1812" s="4"/>
    </row>
    <row r="1813" spans="1:18" ht="16.5" thickBot="1">
      <c r="A1813" s="1"/>
      <c r="B1813" s="2"/>
      <c r="C1813" s="8"/>
      <c r="D1813" s="195"/>
      <c r="E1813" s="150"/>
      <c r="F1813" s="150"/>
      <c r="G1813" s="150"/>
      <c r="H1813" s="150"/>
      <c r="I1813" s="150"/>
      <c r="J1813" s="150"/>
      <c r="K1813" s="150"/>
      <c r="L1813" s="150"/>
      <c r="M1813" s="150"/>
      <c r="N1813" s="150"/>
      <c r="O1813" s="150"/>
      <c r="P1813" s="196"/>
      <c r="Q1813" s="197"/>
      <c r="R1813" s="4"/>
    </row>
    <row r="1814" spans="1:18" ht="15.75" thickBot="1">
      <c r="A1814" s="1"/>
      <c r="B1814" s="2"/>
      <c r="C1814" s="198"/>
      <c r="D1814" s="199"/>
      <c r="E1814" s="199"/>
      <c r="F1814" s="199"/>
      <c r="G1814" s="199"/>
      <c r="H1814" s="199"/>
      <c r="I1814" s="199"/>
      <c r="J1814" s="199"/>
      <c r="K1814" s="199"/>
      <c r="L1814" s="199"/>
      <c r="M1814" s="199"/>
      <c r="N1814" s="199"/>
      <c r="O1814" s="199"/>
      <c r="P1814" s="199"/>
      <c r="Q1814" s="200"/>
      <c r="R1814" s="4"/>
    </row>
    <row r="1815" spans="1:18" ht="15.75" thickTop="1"/>
  </sheetData>
  <pageMargins left="0.7" right="0.7" top="0.75" bottom="0.75" header="0.3" footer="0.3"/>
  <pageSetup scale="49" orientation="portrait" r:id="rId1"/>
  <rowBreaks count="20" manualBreakCount="20">
    <brk id="86" min="2" max="16" man="1"/>
    <brk id="172" min="2" max="16" man="1"/>
    <brk id="257" min="2" max="16" man="1"/>
    <brk id="344" min="2" max="16" man="1"/>
    <brk id="430" min="2" max="16" man="1"/>
    <brk id="517" min="2" max="16" man="1"/>
    <brk id="603" min="2" max="16" man="1"/>
    <brk id="688" min="2" max="16" man="1"/>
    <brk id="774" min="2" max="16" man="1"/>
    <brk id="862" min="2" max="16" man="1"/>
    <brk id="949" min="2" max="16" man="1"/>
    <brk id="1035" min="2" max="16" man="1"/>
    <brk id="1121" min="2" max="16" man="1"/>
    <brk id="1207" min="2" max="16" man="1"/>
    <brk id="1292" min="2" max="16" man="1"/>
    <brk id="1379" min="2" max="16" man="1"/>
    <brk id="1466" min="2" max="16" man="1"/>
    <brk id="1553" min="2" max="16" man="1"/>
    <brk id="1641" min="2" max="16" man="1"/>
    <brk id="1728" min="2" max="16" man="1"/>
  </rowBreaks>
  <colBreaks count="1" manualBreakCount="1">
    <brk id="17" max="85" man="1"/>
  </col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064B1C-408A-457C-89AF-D1457DF5016A}">
  <dimension ref="B2:F101"/>
  <sheetViews>
    <sheetView topLeftCell="A76" zoomScale="130" zoomScaleNormal="130" workbookViewId="0">
      <pane xSplit="2" topLeftCell="C1" activePane="topRight" state="frozen"/>
      <selection pane="topRight" activeCell="B87" sqref="B87:E90"/>
    </sheetView>
  </sheetViews>
  <sheetFormatPr baseColWidth="10" defaultRowHeight="15"/>
  <cols>
    <col min="2" max="2" width="110.5703125" customWidth="1"/>
    <col min="3" max="3" width="7.42578125" customWidth="1"/>
    <col min="5" max="5" width="15.5703125" customWidth="1"/>
    <col min="6" max="6" width="20.85546875" customWidth="1"/>
  </cols>
  <sheetData>
    <row r="2" spans="2:6" ht="15.75" thickBot="1">
      <c r="B2" s="646"/>
      <c r="C2" s="646"/>
      <c r="D2" s="646"/>
      <c r="E2" s="646"/>
      <c r="F2" s="647"/>
    </row>
    <row r="3" spans="2:6" ht="15.75">
      <c r="B3" s="648"/>
      <c r="C3" s="648"/>
      <c r="D3" s="648"/>
      <c r="E3" s="648"/>
      <c r="F3" s="649"/>
    </row>
    <row r="4" spans="2:6" ht="15.75">
      <c r="B4" s="221" t="s">
        <v>14</v>
      </c>
      <c r="C4" s="221" t="s">
        <v>15</v>
      </c>
      <c r="D4" s="221" t="s">
        <v>16</v>
      </c>
      <c r="E4" s="221" t="s">
        <v>82</v>
      </c>
      <c r="F4" s="222" t="s">
        <v>83</v>
      </c>
    </row>
    <row r="5" spans="2:6" ht="15.75">
      <c r="B5" s="223" t="s">
        <v>84</v>
      </c>
      <c r="C5" s="224"/>
      <c r="D5" s="224"/>
      <c r="E5" s="224"/>
      <c r="F5" s="225">
        <v>35659327.641500004</v>
      </c>
    </row>
    <row r="6" spans="2:6" ht="15.75">
      <c r="B6" s="226" t="s">
        <v>85</v>
      </c>
      <c r="C6" s="227" t="str">
        <f>+VLOOKUP(B6,[238]Hoja4!B$3:F$221,2,FALSE)</f>
        <v>M2</v>
      </c>
      <c r="D6" s="228">
        <v>681.25800000000015</v>
      </c>
      <c r="E6" s="229">
        <v>5949</v>
      </c>
      <c r="F6" s="230">
        <v>4052803.8420000011</v>
      </c>
    </row>
    <row r="7" spans="2:6" ht="15.75">
      <c r="B7" s="231" t="s">
        <v>86</v>
      </c>
      <c r="C7" s="227" t="str">
        <f>+VLOOKUP(B7,[238]Hoja4!B$3:F$221,2,FALSE)</f>
        <v>M2</v>
      </c>
      <c r="D7" s="228">
        <v>424.21379999999999</v>
      </c>
      <c r="E7" s="232">
        <v>30639</v>
      </c>
      <c r="F7" s="230">
        <v>12997486.6182</v>
      </c>
    </row>
    <row r="8" spans="2:6" ht="15.75">
      <c r="B8" s="233" t="s">
        <v>87</v>
      </c>
      <c r="C8" s="227" t="str">
        <f>+VLOOKUP(B8,[238]Hoja4!B$3:F$221,2,FALSE)</f>
        <v>M2</v>
      </c>
      <c r="D8" s="228">
        <v>0</v>
      </c>
      <c r="E8" s="229">
        <v>23819</v>
      </c>
      <c r="F8" s="230">
        <v>0</v>
      </c>
    </row>
    <row r="9" spans="2:6" ht="15.75">
      <c r="B9" s="233" t="s">
        <v>88</v>
      </c>
      <c r="C9" s="227" t="str">
        <f>+VLOOKUP(B9,[238]Hoja4!B$3:F$221,2,FALSE)</f>
        <v>M</v>
      </c>
      <c r="D9" s="228">
        <v>0</v>
      </c>
      <c r="E9" s="229">
        <v>10530</v>
      </c>
      <c r="F9" s="230">
        <v>0</v>
      </c>
    </row>
    <row r="10" spans="2:6" ht="15.75">
      <c r="B10" s="233" t="s">
        <v>89</v>
      </c>
      <c r="C10" s="227" t="str">
        <f>+VLOOKUP(B10,[238]Hoja4!B$3:F$221,2,FALSE)</f>
        <v>KG</v>
      </c>
      <c r="D10" s="228">
        <v>0</v>
      </c>
      <c r="E10" s="229">
        <v>4785</v>
      </c>
      <c r="F10" s="230">
        <v>0</v>
      </c>
    </row>
    <row r="11" spans="2:6" ht="15.75">
      <c r="B11" s="233" t="s">
        <v>90</v>
      </c>
      <c r="C11" s="227" t="str">
        <f>+VLOOKUP(B11,[238]Hoja4!B$3:F$221,2,FALSE)</f>
        <v>M2</v>
      </c>
      <c r="D11" s="228">
        <v>0</v>
      </c>
      <c r="E11" s="229">
        <v>60213</v>
      </c>
      <c r="F11" s="230">
        <v>0</v>
      </c>
    </row>
    <row r="12" spans="2:6" ht="15.75">
      <c r="B12" s="233" t="s">
        <v>91</v>
      </c>
      <c r="C12" s="227" t="str">
        <f>+VLOOKUP(B12,[238]Hoja4!B$3:F$221,2,FALSE)</f>
        <v>M2</v>
      </c>
      <c r="D12" s="228">
        <v>0</v>
      </c>
      <c r="E12" s="229">
        <v>37885</v>
      </c>
      <c r="F12" s="230">
        <v>0</v>
      </c>
    </row>
    <row r="13" spans="2:6" ht="15.75">
      <c r="B13" s="233" t="s">
        <v>92</v>
      </c>
      <c r="C13" s="227" t="str">
        <f>+VLOOKUP(B13,[238]Hoja4!B$3:F$221,2,FALSE)</f>
        <v>M2</v>
      </c>
      <c r="D13" s="228">
        <v>0</v>
      </c>
      <c r="E13" s="229">
        <v>20170</v>
      </c>
      <c r="F13" s="230">
        <v>0</v>
      </c>
    </row>
    <row r="14" spans="2:6" ht="15.75">
      <c r="B14" s="233" t="s">
        <v>93</v>
      </c>
      <c r="C14" s="227" t="str">
        <f>+VLOOKUP(B14,[238]Hoja4!B$3:F$221,2,FALSE)</f>
        <v>M2</v>
      </c>
      <c r="D14" s="228">
        <v>13.7475</v>
      </c>
      <c r="E14" s="229">
        <v>25602</v>
      </c>
      <c r="F14" s="230">
        <v>351963.495</v>
      </c>
    </row>
    <row r="15" spans="2:6" ht="15.75">
      <c r="B15" s="233" t="s">
        <v>94</v>
      </c>
      <c r="C15" s="227" t="str">
        <f>+VLOOKUP(B15,[238]Hoja4!B$3:F$221,2,FALSE)</f>
        <v>M2</v>
      </c>
      <c r="D15" s="228">
        <v>0</v>
      </c>
      <c r="E15" s="229">
        <v>14512</v>
      </c>
      <c r="F15" s="230">
        <v>0</v>
      </c>
    </row>
    <row r="16" spans="2:6" ht="15.75">
      <c r="B16" s="233" t="s">
        <v>95</v>
      </c>
      <c r="C16" s="227" t="str">
        <f>+VLOOKUP(B16,[238]Hoja4!B$3:F$221,2,FALSE)</f>
        <v>M2</v>
      </c>
      <c r="D16" s="228">
        <v>0</v>
      </c>
      <c r="E16" s="229">
        <v>7143</v>
      </c>
      <c r="F16" s="230">
        <v>0</v>
      </c>
    </row>
    <row r="17" spans="2:6" ht="15.75">
      <c r="B17" s="233" t="s">
        <v>96</v>
      </c>
      <c r="C17" s="227" t="str">
        <f>+VLOOKUP(B17,[238]Hoja4!B$3:F$221,2,FALSE)</f>
        <v>M</v>
      </c>
      <c r="D17" s="228">
        <v>0</v>
      </c>
      <c r="E17" s="229">
        <v>4962</v>
      </c>
      <c r="F17" s="230">
        <v>0</v>
      </c>
    </row>
    <row r="18" spans="2:6" ht="15.75">
      <c r="B18" s="233" t="s">
        <v>97</v>
      </c>
      <c r="C18" s="227" t="str">
        <f>+VLOOKUP(B18,[238]Hoja4!B$3:F$221,2,FALSE)</f>
        <v>M2</v>
      </c>
      <c r="D18" s="228">
        <v>0</v>
      </c>
      <c r="E18" s="229">
        <v>396451</v>
      </c>
      <c r="F18" s="230">
        <v>0</v>
      </c>
    </row>
    <row r="19" spans="2:6" ht="15.75">
      <c r="B19" s="233" t="s">
        <v>98</v>
      </c>
      <c r="C19" s="227" t="str">
        <f>+VLOOKUP(B19,[238]Hoja4!B$3:F$221,2,FALSE)</f>
        <v>M2</v>
      </c>
      <c r="D19" s="228">
        <v>0</v>
      </c>
      <c r="E19" s="229">
        <v>31112</v>
      </c>
      <c r="F19" s="230">
        <v>0</v>
      </c>
    </row>
    <row r="20" spans="2:6" ht="15.75">
      <c r="B20" s="233" t="s">
        <v>99</v>
      </c>
      <c r="C20" s="227" t="str">
        <f>+VLOOKUP(B20,[238]Hoja4!B$3:F$221,2,FALSE)</f>
        <v>M2</v>
      </c>
      <c r="D20" s="228">
        <v>0</v>
      </c>
      <c r="E20" s="229">
        <v>14618</v>
      </c>
      <c r="F20" s="230">
        <v>0</v>
      </c>
    </row>
    <row r="21" spans="2:6" ht="15.75">
      <c r="B21" s="233" t="s">
        <v>100</v>
      </c>
      <c r="C21" s="227" t="str">
        <f>+VLOOKUP(B21,[238]Hoja4!B$3:F$221,2,FALSE)</f>
        <v>M2</v>
      </c>
      <c r="D21" s="228">
        <v>27.1</v>
      </c>
      <c r="E21" s="229">
        <v>63675</v>
      </c>
      <c r="F21" s="230">
        <v>1725592.5</v>
      </c>
    </row>
    <row r="22" spans="2:6" ht="15.75">
      <c r="B22" s="233" t="s">
        <v>101</v>
      </c>
      <c r="C22" s="227" t="str">
        <f>+VLOOKUP(B22,[238]Hoja4!B$3:F$300,2,FALSE)</f>
        <v>M2</v>
      </c>
      <c r="D22" s="228">
        <v>12.66</v>
      </c>
      <c r="E22" s="229">
        <v>20684</v>
      </c>
      <c r="F22" s="230">
        <v>261859.44</v>
      </c>
    </row>
    <row r="23" spans="2:6" ht="15.75">
      <c r="B23" s="233" t="str">
        <f>+[238]Hoja4!B262</f>
        <v>DEMOLICIÓN DE ESTRUCTURAS DE CONCRETO CICLOPEO, (INCLUYE RETIRO Y ACARREO LIBRE
HASTA 5 KM.)</v>
      </c>
      <c r="C23" s="227" t="str">
        <f>+VLOOKUP(B23,[238]Hoja4!B$3:F$300,2,FALSE)</f>
        <v>M3</v>
      </c>
      <c r="D23" s="228">
        <v>1.6711999999999998</v>
      </c>
      <c r="E23" s="229">
        <v>536147</v>
      </c>
      <c r="F23" s="230">
        <v>896008.86639999994</v>
      </c>
    </row>
    <row r="24" spans="2:6" ht="15.75">
      <c r="B24" s="233" t="str">
        <f>+[238]Hoja4!B263</f>
        <v xml:space="preserve">DEMOLICIÓN OBRAS EN CONCRETO REFORZADO, INCLUYE CARGUE Y RETIRO DE SOBRANTES CON ACARREO LIBRE HASTA 5 KM.). </v>
      </c>
      <c r="C24" s="227" t="str">
        <f>+VLOOKUP(B24,[238]Hoja4!B$3:F$300,2,FALSE)</f>
        <v>M3</v>
      </c>
      <c r="D24" s="228">
        <v>0.85400000000000009</v>
      </c>
      <c r="E24" s="229">
        <v>512427</v>
      </c>
      <c r="F24" s="230">
        <v>437612.65800000005</v>
      </c>
    </row>
    <row r="25" spans="2:6" ht="15.75">
      <c r="B25" s="233" t="s">
        <v>102</v>
      </c>
      <c r="C25" s="227" t="str">
        <f>+VLOOKUP(B25,[238]Hoja4!B$3:F$221,2,FALSE)</f>
        <v>M2</v>
      </c>
      <c r="D25" s="228">
        <v>4.6099999999999994</v>
      </c>
      <c r="E25" s="229">
        <v>60447</v>
      </c>
      <c r="F25" s="230">
        <v>278660.67</v>
      </c>
    </row>
    <row r="26" spans="2:6" ht="15.75">
      <c r="B26" s="233" t="s">
        <v>103</v>
      </c>
      <c r="C26" s="227" t="str">
        <f>+VLOOKUP(B26,[238]Hoja4!B$3:F$221,2,FALSE)</f>
        <v>M2</v>
      </c>
      <c r="D26" s="228">
        <v>0</v>
      </c>
      <c r="E26" s="229">
        <v>19409</v>
      </c>
      <c r="F26" s="230">
        <v>0</v>
      </c>
    </row>
    <row r="27" spans="2:6" ht="15.75">
      <c r="B27" s="233" t="s">
        <v>104</v>
      </c>
      <c r="C27" s="227" t="str">
        <f>+VLOOKUP(B27,[238]Hoja4!B$3:F$221,2,FALSE)</f>
        <v>M3</v>
      </c>
      <c r="D27" s="228">
        <v>16.481800000000003</v>
      </c>
      <c r="E27" s="229">
        <v>68288</v>
      </c>
      <c r="F27" s="230">
        <v>1125509.1584000003</v>
      </c>
    </row>
    <row r="28" spans="2:6" ht="15.75">
      <c r="B28" s="233" t="s">
        <v>105</v>
      </c>
      <c r="C28" s="227" t="str">
        <f>+VLOOKUP(B28,[238]Hoja4!B$3:F$221,2,FALSE)</f>
        <v>M2</v>
      </c>
      <c r="D28" s="228">
        <v>33.840000000000003</v>
      </c>
      <c r="E28" s="229">
        <v>18897</v>
      </c>
      <c r="F28" s="230">
        <v>639474.4800000001</v>
      </c>
    </row>
    <row r="29" spans="2:6" ht="15.75">
      <c r="B29" s="233" t="s">
        <v>106</v>
      </c>
      <c r="C29" s="227" t="str">
        <f>+VLOOKUP(B29,[238]Hoja4!B$3:F$221,2,FALSE)</f>
        <v>M3</v>
      </c>
      <c r="D29" s="228">
        <v>35.81410000000001</v>
      </c>
      <c r="E29" s="229">
        <v>116450</v>
      </c>
      <c r="F29" s="230">
        <v>4170551.9450000012</v>
      </c>
    </row>
    <row r="30" spans="2:6" ht="15.75">
      <c r="B30" s="233" t="s">
        <v>107</v>
      </c>
      <c r="C30" s="227" t="str">
        <f>+VLOOKUP(B30,[238]Hoja4!B$3:F$221,2,FALSE)</f>
        <v>M3</v>
      </c>
      <c r="D30" s="228">
        <v>0.60000000000000009</v>
      </c>
      <c r="E30" s="229">
        <v>163030</v>
      </c>
      <c r="F30" s="230">
        <v>97818.000000000015</v>
      </c>
    </row>
    <row r="31" spans="2:6" ht="15.75">
      <c r="B31" s="233" t="s">
        <v>108</v>
      </c>
      <c r="C31" s="227" t="str">
        <f>+VLOOKUP(B31,[238]Hoja4!B$3:F$221,2,FALSE)</f>
        <v>M3</v>
      </c>
      <c r="D31" s="228">
        <v>30.051500000000004</v>
      </c>
      <c r="E31" s="229">
        <v>256959</v>
      </c>
      <c r="F31" s="230">
        <v>7722003.3885000013</v>
      </c>
    </row>
    <row r="32" spans="2:6" ht="15.75">
      <c r="B32" s="233" t="s">
        <v>109</v>
      </c>
      <c r="C32" s="227" t="str">
        <f>+VLOOKUP(B32,[238]Hoja4!B$3:F$300,2,FALSE)</f>
        <v>M2</v>
      </c>
      <c r="D32" s="228">
        <v>58.93</v>
      </c>
      <c r="E32" s="229">
        <v>15306</v>
      </c>
      <c r="F32" s="230">
        <v>901982.58</v>
      </c>
    </row>
    <row r="33" spans="2:6" ht="15.75">
      <c r="B33" s="233"/>
      <c r="C33" s="227" t="e">
        <f>+VLOOKUP(B33,[238]Hoja4!B$3:F$221,2,FALSE)</f>
        <v>#N/A</v>
      </c>
      <c r="D33" s="228">
        <v>0</v>
      </c>
      <c r="E33" s="229"/>
      <c r="F33" s="230"/>
    </row>
    <row r="34" spans="2:6" ht="15.75">
      <c r="B34" s="234"/>
      <c r="C34" s="227"/>
      <c r="D34" s="228"/>
      <c r="E34" s="229"/>
      <c r="F34" s="230"/>
    </row>
    <row r="35" spans="2:6" ht="15.75">
      <c r="B35" s="235" t="s">
        <v>110</v>
      </c>
      <c r="C35" s="236"/>
      <c r="D35" s="237"/>
      <c r="E35" s="238"/>
      <c r="F35" s="239">
        <v>41552480.973399997</v>
      </c>
    </row>
    <row r="36" spans="2:6" ht="15.75">
      <c r="B36" s="233" t="s">
        <v>111</v>
      </c>
      <c r="C36" s="227" t="str">
        <f>+VLOOKUP(B36,[238]Hoja4!B$3:F$221,2,FALSE)</f>
        <v>M2</v>
      </c>
      <c r="D36" s="228">
        <v>3.75</v>
      </c>
      <c r="E36" s="229">
        <v>65698</v>
      </c>
      <c r="F36" s="230">
        <v>246367.5</v>
      </c>
    </row>
    <row r="37" spans="2:6" ht="15.75">
      <c r="B37" s="240" t="s">
        <v>112</v>
      </c>
      <c r="C37" s="227" t="str">
        <f>+VLOOKUP(B37,[238]Hoja4!B$3:F$221,2,FALSE)</f>
        <v>M3</v>
      </c>
      <c r="D37" s="228">
        <v>1.1000000000000001</v>
      </c>
      <c r="E37" s="229">
        <v>1763453</v>
      </c>
      <c r="F37" s="230">
        <v>1939798.3</v>
      </c>
    </row>
    <row r="38" spans="2:6" ht="15.75">
      <c r="B38" s="233" t="s">
        <v>113</v>
      </c>
      <c r="C38" s="227" t="str">
        <f>+VLOOKUP(B38,[238]Hoja4!B$3:F$221,2,FALSE)</f>
        <v>M3</v>
      </c>
      <c r="D38" s="228">
        <v>0.50800000000000001</v>
      </c>
      <c r="E38" s="229">
        <v>1852166</v>
      </c>
      <c r="F38" s="230">
        <v>940900.32799999998</v>
      </c>
    </row>
    <row r="39" spans="2:6" ht="15.75">
      <c r="B39" s="233" t="s">
        <v>114</v>
      </c>
      <c r="C39" s="227" t="str">
        <f>+VLOOKUP(B39,[238]Hoja4!B$3:F$221,2,FALSE)</f>
        <v>M3</v>
      </c>
      <c r="D39" s="228">
        <v>16.222799999999999</v>
      </c>
      <c r="E39" s="229">
        <v>1810313</v>
      </c>
      <c r="F39" s="230">
        <v>29368345.736400001</v>
      </c>
    </row>
    <row r="40" spans="2:6" ht="15.75">
      <c r="B40" s="241" t="s">
        <v>115</v>
      </c>
      <c r="C40" s="227" t="str">
        <f>+VLOOKUP(B40,[238]Hoja4!B$3:F$221,2,FALSE)</f>
        <v>M3</v>
      </c>
      <c r="D40" s="228">
        <v>7.9966000000000008</v>
      </c>
      <c r="E40" s="229">
        <v>1132615</v>
      </c>
      <c r="F40" s="230">
        <v>9057069.1090000011</v>
      </c>
    </row>
    <row r="41" spans="2:6" ht="15.75">
      <c r="B41" s="242" t="s">
        <v>116</v>
      </c>
      <c r="C41" s="243"/>
      <c r="D41" s="244"/>
      <c r="E41" s="245"/>
      <c r="F41" s="239">
        <v>136030504.09250957</v>
      </c>
    </row>
    <row r="42" spans="2:6" ht="15.75">
      <c r="B42" s="241" t="s">
        <v>117</v>
      </c>
      <c r="C42" s="227" t="str">
        <f>+VLOOKUP(B42,[238]Hoja4!B$3:F$221,2,FALSE)</f>
        <v>M3</v>
      </c>
      <c r="D42" s="228">
        <v>3.8340000000000005</v>
      </c>
      <c r="E42" s="229">
        <v>2184805</v>
      </c>
      <c r="F42" s="246">
        <v>8376542.370000001</v>
      </c>
    </row>
    <row r="43" spans="2:6" ht="15.75">
      <c r="B43" s="240" t="s">
        <v>118</v>
      </c>
      <c r="C43" s="227" t="str">
        <f>+VLOOKUP(B43,[238]Hoja4!B$3:F$221,2,FALSE)</f>
        <v>M3</v>
      </c>
      <c r="D43" s="228">
        <v>2.2904</v>
      </c>
      <c r="E43" s="229">
        <v>2111861</v>
      </c>
      <c r="F43" s="246">
        <v>4837006.4343999997</v>
      </c>
    </row>
    <row r="44" spans="2:6" ht="15.75">
      <c r="B44" s="240" t="s">
        <v>119</v>
      </c>
      <c r="C44" s="227" t="str">
        <f>+VLOOKUP(B44,[238]Hoja4!B$3:F$221,2,FALSE)</f>
        <v>M3</v>
      </c>
      <c r="D44" s="228">
        <v>5.1264000000000003</v>
      </c>
      <c r="E44" s="229">
        <v>2159835</v>
      </c>
      <c r="F44" s="246">
        <v>11072178.144000001</v>
      </c>
    </row>
    <row r="45" spans="2:6" ht="15.75">
      <c r="B45" s="247" t="s">
        <v>120</v>
      </c>
      <c r="C45" s="227" t="str">
        <f>+VLOOKUP(B45,[238]Hoja4!B$3:F$221,2,FALSE)</f>
        <v>M</v>
      </c>
      <c r="D45" s="228">
        <v>46.400000000000006</v>
      </c>
      <c r="E45" s="229">
        <v>183956</v>
      </c>
      <c r="F45" s="246">
        <v>8535558.4000000004</v>
      </c>
    </row>
    <row r="46" spans="2:6" ht="15.75">
      <c r="B46" s="240" t="s">
        <v>121</v>
      </c>
      <c r="C46" s="227" t="str">
        <f>+VLOOKUP(B46,[238]Hoja4!B$3:F$221,2,FALSE)</f>
        <v>M2</v>
      </c>
      <c r="D46" s="228">
        <v>181.63120000000004</v>
      </c>
      <c r="E46" s="229">
        <v>167995</v>
      </c>
      <c r="F46" s="246">
        <v>30513133.444000006</v>
      </c>
    </row>
    <row r="47" spans="2:6" ht="15.75">
      <c r="B47" s="240" t="s">
        <v>122</v>
      </c>
      <c r="C47" s="227" t="str">
        <f>+VLOOKUP(B47,[238]Hoja4!B$3:F$221,2,FALSE)</f>
        <v>M2</v>
      </c>
      <c r="D47" s="228">
        <v>5.0299999999999994</v>
      </c>
      <c r="E47" s="229">
        <v>116881</v>
      </c>
      <c r="F47" s="246">
        <v>587911.42999999993</v>
      </c>
    </row>
    <row r="48" spans="2:6" ht="15.75">
      <c r="B48" s="240" t="s">
        <v>123</v>
      </c>
      <c r="C48" s="227" t="str">
        <f>+VLOOKUP(B48,[238]Hoja4!B$3:F$221,2,FALSE)</f>
        <v>M2</v>
      </c>
      <c r="D48" s="228">
        <v>13.299999999999999</v>
      </c>
      <c r="E48" s="229">
        <v>318473</v>
      </c>
      <c r="F48" s="246">
        <v>4235690.8999999994</v>
      </c>
    </row>
    <row r="49" spans="2:6" ht="15.75">
      <c r="B49" s="240" t="str">
        <f>+[238]Hoja4!B15</f>
        <v>SUMINISTRO, FIGURADA Y AMARRE DE ACERO 60,000 PSI (420 Mpa)</v>
      </c>
      <c r="C49" s="227" t="str">
        <f>+VLOOKUP(B49,[238]Hoja4!B$3:F$221,2,FALSE)</f>
        <v>KG</v>
      </c>
      <c r="D49" s="228">
        <v>4888.1874663384633</v>
      </c>
      <c r="E49" s="229">
        <v>13885</v>
      </c>
      <c r="F49" s="246">
        <v>67872482.970109567</v>
      </c>
    </row>
    <row r="51" spans="2:6" ht="15.75">
      <c r="B51" s="248" t="s">
        <v>124</v>
      </c>
      <c r="C51" s="243"/>
      <c r="D51" s="244"/>
      <c r="E51" s="245"/>
      <c r="F51" s="239">
        <v>16119603.100000001</v>
      </c>
    </row>
    <row r="52" spans="2:6" ht="15.75">
      <c r="B52" s="240" t="s">
        <v>125</v>
      </c>
      <c r="C52" s="227" t="str">
        <f>+VLOOKUP(B52,[238]Hoja4!B$3:F$221,2,FALSE)</f>
        <v>M</v>
      </c>
      <c r="D52" s="228">
        <v>97.9</v>
      </c>
      <c r="E52" s="229">
        <v>24471</v>
      </c>
      <c r="F52" s="230">
        <v>2395710.9</v>
      </c>
    </row>
    <row r="53" spans="2:6" ht="15.75">
      <c r="B53" s="240" t="s">
        <v>126</v>
      </c>
      <c r="C53" s="227" t="str">
        <f>+VLOOKUP(B53,[238]Hoja4!B$3:F$221,2,FALSE)</f>
        <v>UND</v>
      </c>
      <c r="D53" s="228">
        <v>30</v>
      </c>
      <c r="E53" s="229">
        <v>77838</v>
      </c>
      <c r="F53" s="230">
        <v>2335140</v>
      </c>
    </row>
    <row r="54" spans="2:6" ht="15.75">
      <c r="B54" s="240" t="s">
        <v>127</v>
      </c>
      <c r="C54" s="227" t="str">
        <f>+VLOOKUP(B54,[238]Hoja4!B$3:F$221,2,FALSE)</f>
        <v>M</v>
      </c>
      <c r="D54" s="228">
        <v>21.599999999999998</v>
      </c>
      <c r="E54" s="229">
        <v>60892</v>
      </c>
      <c r="F54" s="230">
        <v>1315267.2</v>
      </c>
    </row>
    <row r="55" spans="2:6" ht="15.75">
      <c r="B55" s="240" t="s">
        <v>128</v>
      </c>
      <c r="C55" s="227" t="str">
        <f>+VLOOKUP(B55,[238]Hoja4!B$3:F$221,2,FALSE)</f>
        <v>UND</v>
      </c>
      <c r="D55" s="228">
        <v>18</v>
      </c>
      <c r="E55" s="229">
        <v>47432</v>
      </c>
      <c r="F55" s="230">
        <v>853776</v>
      </c>
    </row>
    <row r="56" spans="2:6" ht="15.75">
      <c r="B56" s="240" t="s">
        <v>129</v>
      </c>
      <c r="C56" s="227" t="str">
        <f>+VLOOKUP(B56,[238]Hoja4!B$3:F$221,2,FALSE)</f>
        <v>M</v>
      </c>
      <c r="D56" s="228">
        <v>18</v>
      </c>
      <c r="E56" s="229">
        <v>63984</v>
      </c>
      <c r="F56" s="230">
        <v>1151712</v>
      </c>
    </row>
    <row r="57" spans="2:6" ht="15.75">
      <c r="B57" s="240" t="s">
        <v>130</v>
      </c>
      <c r="C57" s="227" t="str">
        <f>+VLOOKUP(B57,[238]Hoja4!B$3:F$221,2,FALSE)</f>
        <v>UND</v>
      </c>
      <c r="D57" s="228">
        <v>3</v>
      </c>
      <c r="E57" s="229">
        <v>51944</v>
      </c>
      <c r="F57" s="230">
        <v>155832</v>
      </c>
    </row>
    <row r="58" spans="2:6" ht="15.75">
      <c r="B58" s="240" t="s">
        <v>131</v>
      </c>
      <c r="C58" s="227" t="str">
        <f>+VLOOKUP(B58,[238]Hoja4!B$3:F$221,2,FALSE)</f>
        <v>M</v>
      </c>
      <c r="D58" s="228">
        <v>86</v>
      </c>
      <c r="E58" s="229">
        <v>83609</v>
      </c>
      <c r="F58" s="230">
        <v>7190374</v>
      </c>
    </row>
    <row r="59" spans="2:6" ht="15.75">
      <c r="B59" s="240" t="s">
        <v>132</v>
      </c>
      <c r="C59" s="227" t="str">
        <f>+VLOOKUP(B59,[238]Hoja4!B$3:F$221,2,FALSE)</f>
        <v>UND</v>
      </c>
      <c r="D59" s="228">
        <v>9</v>
      </c>
      <c r="E59" s="229">
        <v>80199</v>
      </c>
      <c r="F59" s="230">
        <v>721791</v>
      </c>
    </row>
    <row r="60" spans="2:6" ht="15.75">
      <c r="B60" s="248" t="s">
        <v>133</v>
      </c>
      <c r="C60" s="243"/>
      <c r="D60" s="244"/>
      <c r="E60" s="245"/>
      <c r="F60" s="239">
        <v>17371288.32</v>
      </c>
    </row>
    <row r="61" spans="2:6" ht="15.75">
      <c r="B61" s="240" t="s">
        <v>134</v>
      </c>
      <c r="C61" s="227" t="str">
        <f>+VLOOKUP(B61,[238]Hoja4!B$3:F$221,2,FALSE)</f>
        <v>M</v>
      </c>
      <c r="D61" s="228">
        <v>267.62</v>
      </c>
      <c r="E61" s="229">
        <v>50836</v>
      </c>
      <c r="F61" s="230">
        <v>13604730.32</v>
      </c>
    </row>
    <row r="62" spans="2:6" ht="15.75">
      <c r="B62" s="240" t="s">
        <v>135</v>
      </c>
      <c r="C62" s="227" t="str">
        <f>+VLOOKUP(B62,[238]Hoja4!B$3:F$221,2,FALSE)</f>
        <v>UND</v>
      </c>
      <c r="D62" s="228">
        <v>14</v>
      </c>
      <c r="E62" s="229">
        <v>29906</v>
      </c>
      <c r="F62" s="230">
        <v>418684</v>
      </c>
    </row>
    <row r="63" spans="2:6" ht="15.75">
      <c r="B63" s="240" t="s">
        <v>136</v>
      </c>
      <c r="C63" s="227" t="str">
        <f>+VLOOKUP(B63,[238]Hoja4!B$3:F$221,2,FALSE)</f>
        <v>UND</v>
      </c>
      <c r="D63" s="228">
        <v>10</v>
      </c>
      <c r="E63" s="229">
        <v>36693</v>
      </c>
      <c r="F63" s="230">
        <v>366930</v>
      </c>
    </row>
    <row r="64" spans="2:6" ht="15.75">
      <c r="B64" s="240" t="s">
        <v>137</v>
      </c>
      <c r="C64" s="227" t="str">
        <f>+VLOOKUP(B64,[238]Hoja4!B$3:F$221,2,FALSE)</f>
        <v>UND</v>
      </c>
      <c r="D64" s="228">
        <v>34</v>
      </c>
      <c r="E64" s="229">
        <v>61619</v>
      </c>
      <c r="F64" s="230">
        <v>2095046</v>
      </c>
    </row>
    <row r="65" spans="2:6" ht="15.75">
      <c r="B65" s="240" t="s">
        <v>138</v>
      </c>
      <c r="C65" s="227" t="str">
        <f>+VLOOKUP(B65,[238]Hoja4!B$3:F$221,2,FALSE)</f>
        <v>UND</v>
      </c>
      <c r="D65" s="228">
        <v>26</v>
      </c>
      <c r="E65" s="229">
        <v>34073</v>
      </c>
      <c r="F65" s="230">
        <v>885898</v>
      </c>
    </row>
    <row r="66" spans="2:6" ht="15.75">
      <c r="B66" s="248" t="s">
        <v>139</v>
      </c>
      <c r="C66" s="243"/>
      <c r="D66" s="244"/>
      <c r="E66" s="245"/>
      <c r="F66" s="239">
        <v>185968351.58239999</v>
      </c>
    </row>
    <row r="67" spans="2:6" ht="15.75">
      <c r="B67" s="240" t="s">
        <v>140</v>
      </c>
      <c r="C67" s="227" t="str">
        <f>+VLOOKUP(B67,[238]Hoja4!B$3:F$221,2,FALSE)</f>
        <v>M2</v>
      </c>
      <c r="D67" s="228">
        <v>351.16829999999999</v>
      </c>
      <c r="E67" s="229">
        <v>110998</v>
      </c>
      <c r="F67" s="230">
        <v>38978978.963399999</v>
      </c>
    </row>
    <row r="68" spans="2:6" ht="15.75">
      <c r="B68" s="247" t="s">
        <v>141</v>
      </c>
      <c r="C68" s="227" t="str">
        <f>+VLOOKUP(B68,[238]Hoja4!B$3:F$221,2,FALSE)</f>
        <v>M2</v>
      </c>
      <c r="D68" s="228">
        <v>1246.3647000000001</v>
      </c>
      <c r="E68" s="229">
        <v>55661</v>
      </c>
      <c r="F68" s="230">
        <v>69373905.566700011</v>
      </c>
    </row>
    <row r="69" spans="2:6" ht="15.75">
      <c r="B69" s="240" t="s">
        <v>142</v>
      </c>
      <c r="C69" s="227" t="str">
        <f>+VLOOKUP(B69,[238]Hoja4!B$3:F$221,2,FALSE)</f>
        <v>M2</v>
      </c>
      <c r="D69" s="228">
        <v>173.71499999999997</v>
      </c>
      <c r="E69" s="229">
        <v>166700</v>
      </c>
      <c r="F69" s="230">
        <v>28958290.499999996</v>
      </c>
    </row>
    <row r="70" spans="2:6" ht="15.75">
      <c r="B70" s="240" t="s">
        <v>143</v>
      </c>
      <c r="C70" s="227" t="str">
        <f>+VLOOKUP(B70,[238]Hoja4!B$3:F$221,2,FALSE)</f>
        <v>M2</v>
      </c>
      <c r="D70" s="228">
        <v>552.22430000000008</v>
      </c>
      <c r="E70" s="229">
        <v>23963</v>
      </c>
      <c r="F70" s="230">
        <v>13232950.900900003</v>
      </c>
    </row>
    <row r="71" spans="2:6" ht="15.75">
      <c r="B71" s="240" t="s">
        <v>144</v>
      </c>
      <c r="C71" s="227" t="str">
        <f>+VLOOKUP(B71,[238]Hoja4!B$3:F$221,2,FALSE)</f>
        <v>M2</v>
      </c>
      <c r="D71" s="228">
        <v>354.87940000000009</v>
      </c>
      <c r="E71" s="229">
        <v>29121</v>
      </c>
      <c r="F71" s="230">
        <v>10334443.007400002</v>
      </c>
    </row>
    <row r="72" spans="2:6" ht="15.75">
      <c r="B72" s="240" t="s">
        <v>145</v>
      </c>
      <c r="C72" s="227" t="str">
        <f>+VLOOKUP(B72,[238]Hoja4!B$3:F$221,2,FALSE)</f>
        <v>M2</v>
      </c>
      <c r="D72" s="228">
        <v>134.94899999999998</v>
      </c>
      <c r="E72" s="229">
        <v>147896</v>
      </c>
      <c r="F72" s="230">
        <v>19958417.303999998</v>
      </c>
    </row>
    <row r="73" spans="2:6" ht="15.75">
      <c r="B73" s="240" t="s">
        <v>146</v>
      </c>
      <c r="C73" s="227" t="str">
        <f>+VLOOKUP(B73,[238]Hoja4!B$3:F$221,2,FALSE)</f>
        <v>M2</v>
      </c>
      <c r="D73" s="228">
        <v>16.05</v>
      </c>
      <c r="E73" s="229">
        <v>142204</v>
      </c>
      <c r="F73" s="230">
        <v>2282374.2000000002</v>
      </c>
    </row>
    <row r="74" spans="2:6" ht="15.75">
      <c r="B74" s="240" t="s">
        <v>147</v>
      </c>
      <c r="C74" s="227" t="str">
        <f>+VLOOKUP(B74,[238]Hoja4!B$3:F$221,2,FALSE)</f>
        <v>M</v>
      </c>
      <c r="D74" s="228">
        <v>110.86000000000001</v>
      </c>
      <c r="E74" s="229">
        <v>25699</v>
      </c>
      <c r="F74" s="230">
        <v>2848991.14</v>
      </c>
    </row>
    <row r="75" spans="2:6" ht="15.75">
      <c r="B75" s="248" t="s">
        <v>148</v>
      </c>
      <c r="C75" s="243"/>
      <c r="D75" s="244"/>
      <c r="E75" s="245"/>
      <c r="F75" s="239">
        <v>220111963.69999999</v>
      </c>
    </row>
    <row r="76" spans="2:6" ht="15.75">
      <c r="B76" s="240" t="s">
        <v>149</v>
      </c>
      <c r="C76" s="227" t="str">
        <f>+VLOOKUP(B76,[238]Hoja4!B$3:F$221,2,FALSE)</f>
        <v>M</v>
      </c>
      <c r="D76" s="228">
        <v>1232.27</v>
      </c>
      <c r="E76" s="229">
        <v>67740</v>
      </c>
      <c r="F76" s="230">
        <v>83473969.799999997</v>
      </c>
    </row>
    <row r="77" spans="2:6" ht="15.75">
      <c r="B77" s="240" t="s">
        <v>150</v>
      </c>
      <c r="C77" s="227" t="str">
        <f>+VLOOKUP(B77,[238]Hoja4!B$3:F$221,2,FALSE)</f>
        <v>M</v>
      </c>
      <c r="D77" s="228">
        <v>109.30999999999999</v>
      </c>
      <c r="E77" s="229">
        <v>79453</v>
      </c>
      <c r="F77" s="230">
        <v>8685007.4299999997</v>
      </c>
    </row>
    <row r="78" spans="2:6" ht="15.75">
      <c r="B78" s="247" t="s">
        <v>151</v>
      </c>
      <c r="C78" s="249"/>
      <c r="D78" s="228">
        <v>63</v>
      </c>
      <c r="E78" s="250">
        <v>42000</v>
      </c>
      <c r="F78" s="230">
        <v>2646000</v>
      </c>
    </row>
    <row r="79" spans="2:6" ht="15.75">
      <c r="B79" s="240" t="s">
        <v>152</v>
      </c>
      <c r="C79" s="227" t="str">
        <f>+VLOOKUP(B79,[238]Hoja4!B$3:F$221,2,FALSE)</f>
        <v>M2</v>
      </c>
      <c r="D79" s="228">
        <v>1318.47</v>
      </c>
      <c r="E79" s="229">
        <v>90128</v>
      </c>
      <c r="F79" s="230">
        <v>118831064.16</v>
      </c>
    </row>
    <row r="80" spans="2:6" ht="15.75">
      <c r="B80" s="240" t="s">
        <v>153</v>
      </c>
      <c r="C80" s="227" t="str">
        <f>+VLOOKUP(B80,[238]Hoja4!B$3:F$221,2,FALSE)</f>
        <v>M</v>
      </c>
      <c r="D80" s="228">
        <v>87.49</v>
      </c>
      <c r="E80" s="229">
        <v>74019</v>
      </c>
      <c r="F80" s="230">
        <v>6475922.3099999996</v>
      </c>
    </row>
    <row r="81" spans="2:6" ht="15.75">
      <c r="B81" s="248" t="s">
        <v>154</v>
      </c>
      <c r="C81" s="243"/>
      <c r="D81" s="244"/>
      <c r="E81" s="245"/>
      <c r="F81" s="239">
        <v>11730918</v>
      </c>
    </row>
    <row r="82" spans="2:6" ht="15.75">
      <c r="B82" s="241" t="s">
        <v>155</v>
      </c>
      <c r="C82" s="251" t="s">
        <v>156</v>
      </c>
      <c r="D82" s="228">
        <v>10</v>
      </c>
      <c r="E82" s="229">
        <v>626441</v>
      </c>
      <c r="F82" s="230">
        <v>6264410</v>
      </c>
    </row>
    <row r="83" spans="2:6" ht="15.75">
      <c r="B83" s="240" t="s">
        <v>157</v>
      </c>
      <c r="C83" s="251" t="s">
        <v>156</v>
      </c>
      <c r="D83" s="228">
        <v>10</v>
      </c>
      <c r="E83" s="229">
        <v>241930</v>
      </c>
      <c r="F83" s="230">
        <v>2419300</v>
      </c>
    </row>
    <row r="84" spans="2:6" ht="15.75">
      <c r="B84" s="240" t="s">
        <v>158</v>
      </c>
      <c r="C84" s="251" t="s">
        <v>156</v>
      </c>
      <c r="D84" s="228">
        <v>10</v>
      </c>
      <c r="E84" s="229">
        <v>199044</v>
      </c>
      <c r="F84" s="230">
        <v>1990440</v>
      </c>
    </row>
    <row r="85" spans="2:6" ht="15.75">
      <c r="B85" s="240" t="s">
        <v>159</v>
      </c>
      <c r="C85" s="251" t="s">
        <v>156</v>
      </c>
      <c r="D85" s="228">
        <v>4</v>
      </c>
      <c r="E85" s="229">
        <v>264192</v>
      </c>
      <c r="F85" s="230">
        <v>1056768</v>
      </c>
    </row>
    <row r="86" spans="2:6" ht="15.75">
      <c r="B86" s="248" t="s">
        <v>160</v>
      </c>
      <c r="C86" s="243"/>
      <c r="D86" s="244"/>
      <c r="E86" s="245"/>
      <c r="F86" s="239">
        <v>17950921.903999999</v>
      </c>
    </row>
    <row r="87" spans="2:6" ht="15.75">
      <c r="B87" s="241" t="s">
        <v>161</v>
      </c>
      <c r="C87" s="251" t="s">
        <v>162</v>
      </c>
      <c r="D87" s="228">
        <v>26.710000000000004</v>
      </c>
      <c r="E87" s="229">
        <v>427691</v>
      </c>
      <c r="F87" s="230">
        <v>11423626.610000001</v>
      </c>
    </row>
    <row r="88" spans="2:6" ht="15.75">
      <c r="B88" s="240" t="s">
        <v>163</v>
      </c>
      <c r="C88" s="251" t="s">
        <v>162</v>
      </c>
      <c r="D88" s="228">
        <v>12.558</v>
      </c>
      <c r="E88" s="229">
        <v>461393</v>
      </c>
      <c r="F88" s="230">
        <v>5794173.2939999998</v>
      </c>
    </row>
    <row r="89" spans="2:6" ht="15.75">
      <c r="B89" s="240" t="s">
        <v>164</v>
      </c>
      <c r="C89" s="251" t="s">
        <v>162</v>
      </c>
      <c r="D89" s="228">
        <v>0</v>
      </c>
      <c r="E89" s="250">
        <v>490368</v>
      </c>
      <c r="F89" s="230">
        <v>0</v>
      </c>
    </row>
    <row r="90" spans="2:6" ht="15.75">
      <c r="B90" s="240" t="s">
        <v>165</v>
      </c>
      <c r="C90" s="251" t="s">
        <v>166</v>
      </c>
      <c r="D90" s="228">
        <v>11.7</v>
      </c>
      <c r="E90" s="250">
        <v>62660</v>
      </c>
      <c r="F90" s="230">
        <v>733122</v>
      </c>
    </row>
    <row r="91" spans="2:6" ht="15.75">
      <c r="B91" s="643"/>
      <c r="C91" s="643"/>
      <c r="D91" s="643"/>
      <c r="E91" s="644"/>
      <c r="F91" s="252">
        <v>513154405.5</v>
      </c>
    </row>
    <row r="92" spans="2:6" ht="15.75">
      <c r="B92" s="643"/>
      <c r="C92" s="643"/>
      <c r="D92" s="643"/>
      <c r="E92" s="644"/>
      <c r="F92" s="246">
        <v>123157057.31999999</v>
      </c>
    </row>
    <row r="93" spans="2:6" ht="15.75">
      <c r="B93" s="643"/>
      <c r="C93" s="643"/>
      <c r="D93" s="643"/>
      <c r="E93" s="644"/>
      <c r="F93" s="246">
        <v>10263088.109999999</v>
      </c>
    </row>
    <row r="94" spans="2:6" ht="15.75">
      <c r="B94" s="643"/>
      <c r="C94" s="643"/>
      <c r="D94" s="643"/>
      <c r="E94" s="644"/>
      <c r="F94" s="246">
        <v>35920808.390000001</v>
      </c>
    </row>
    <row r="95" spans="2:6" ht="16.5" thickBot="1">
      <c r="B95" s="645"/>
      <c r="C95" s="645"/>
      <c r="D95" s="645"/>
      <c r="E95" s="645"/>
      <c r="F95" s="253">
        <v>682495359.31380951</v>
      </c>
    </row>
    <row r="96" spans="2:6" ht="15.75" thickBot="1"/>
    <row r="97" spans="5:6" ht="15.75" thickBot="1">
      <c r="E97" s="254" t="s">
        <v>167</v>
      </c>
      <c r="F97" s="255">
        <v>838660836.00000012</v>
      </c>
    </row>
    <row r="99" spans="5:6" ht="15.75" thickBot="1"/>
    <row r="100" spans="5:6" ht="15.75" thickBot="1">
      <c r="F100" s="256" t="s">
        <v>168</v>
      </c>
    </row>
    <row r="101" spans="5:6" ht="15.75" thickBot="1">
      <c r="F101" s="257">
        <v>20966520.900000002</v>
      </c>
    </row>
  </sheetData>
  <mergeCells count="7">
    <mergeCell ref="B94:E94"/>
    <mergeCell ref="B95:E95"/>
    <mergeCell ref="B2:F2"/>
    <mergeCell ref="B3:F3"/>
    <mergeCell ref="B91:E91"/>
    <mergeCell ref="B92:E92"/>
    <mergeCell ref="B93:E93"/>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E32707-A1B5-4F64-8537-559878531AE5}">
  <dimension ref="A1:E18"/>
  <sheetViews>
    <sheetView workbookViewId="0">
      <selection activeCell="D23" sqref="D23"/>
    </sheetView>
  </sheetViews>
  <sheetFormatPr baseColWidth="10" defaultRowHeight="15"/>
  <cols>
    <col min="1" max="1" width="27.140625" bestFit="1" customWidth="1"/>
    <col min="2" max="4" width="17" customWidth="1"/>
    <col min="5" max="5" width="20.140625" customWidth="1"/>
  </cols>
  <sheetData>
    <row r="1" spans="1:5" ht="15.75" thickBot="1"/>
    <row r="2" spans="1:5" ht="18.75" thickBot="1">
      <c r="A2" s="678" t="s">
        <v>56</v>
      </c>
      <c r="B2" s="679"/>
      <c r="C2" s="679"/>
      <c r="D2" s="679"/>
      <c r="E2" s="680"/>
    </row>
    <row r="3" spans="1:5" ht="16.5" thickBot="1">
      <c r="A3" s="201" t="s">
        <v>57</v>
      </c>
      <c r="B3" s="681" t="s">
        <v>1</v>
      </c>
      <c r="C3" s="681"/>
      <c r="D3" s="681"/>
      <c r="E3" s="682"/>
    </row>
    <row r="4" spans="1:5">
      <c r="A4" s="671" t="s">
        <v>6</v>
      </c>
      <c r="B4" s="203" t="s">
        <v>58</v>
      </c>
      <c r="C4" s="204" t="s">
        <v>59</v>
      </c>
      <c r="D4" s="204" t="s">
        <v>60</v>
      </c>
      <c r="E4" s="683">
        <v>46239</v>
      </c>
    </row>
    <row r="5" spans="1:5" ht="15.75" thickBot="1">
      <c r="A5" s="652"/>
      <c r="B5" s="206">
        <v>5</v>
      </c>
      <c r="C5" s="207">
        <v>8</v>
      </c>
      <c r="D5" s="207">
        <v>2026</v>
      </c>
      <c r="E5" s="684"/>
    </row>
    <row r="6" spans="1:5" ht="16.5" thickBot="1">
      <c r="A6" s="208" t="s">
        <v>2</v>
      </c>
      <c r="B6" s="685">
        <v>1</v>
      </c>
      <c r="C6" s="686"/>
      <c r="D6" s="686"/>
      <c r="E6" s="687"/>
    </row>
    <row r="7" spans="1:5" ht="16.5" thickBot="1">
      <c r="A7" s="208" t="s">
        <v>61</v>
      </c>
      <c r="B7" s="659" t="s">
        <v>48</v>
      </c>
      <c r="C7" s="660"/>
      <c r="D7" s="660"/>
      <c r="E7" s="661"/>
    </row>
    <row r="8" spans="1:5" ht="33.75" customHeight="1" thickBot="1">
      <c r="A8" s="208" t="s">
        <v>62</v>
      </c>
      <c r="B8" s="659" t="s">
        <v>47</v>
      </c>
      <c r="C8" s="660"/>
      <c r="D8" s="660"/>
      <c r="E8" s="661"/>
    </row>
    <row r="9" spans="1:5" ht="30" customHeight="1" thickBot="1">
      <c r="A9" s="208" t="s">
        <v>63</v>
      </c>
      <c r="B9" s="662" t="s">
        <v>471</v>
      </c>
      <c r="C9" s="663"/>
      <c r="D9" s="663"/>
      <c r="E9" s="664"/>
    </row>
    <row r="10" spans="1:5" ht="15.75">
      <c r="A10" s="202" t="s">
        <v>64</v>
      </c>
      <c r="B10" s="665" t="s">
        <v>65</v>
      </c>
      <c r="C10" s="666"/>
      <c r="D10" s="666"/>
      <c r="E10" s="209">
        <v>0.24</v>
      </c>
    </row>
    <row r="11" spans="1:5" ht="15.75">
      <c r="A11" s="210" t="s">
        <v>66</v>
      </c>
      <c r="B11" s="667" t="s">
        <v>67</v>
      </c>
      <c r="C11" s="668"/>
      <c r="D11" s="668"/>
      <c r="E11" s="211">
        <v>0.02</v>
      </c>
    </row>
    <row r="12" spans="1:5" ht="16.5" thickBot="1">
      <c r="A12" s="205" t="s">
        <v>68</v>
      </c>
      <c r="B12" s="669" t="s">
        <v>69</v>
      </c>
      <c r="C12" s="670"/>
      <c r="D12" s="670"/>
      <c r="E12" s="212">
        <v>7.0000000000000007E-2</v>
      </c>
    </row>
    <row r="13" spans="1:5" ht="15.75">
      <c r="A13" s="671" t="s">
        <v>51</v>
      </c>
      <c r="B13" s="216" t="s">
        <v>70</v>
      </c>
      <c r="C13" s="672" t="s">
        <v>74</v>
      </c>
      <c r="D13" s="672"/>
      <c r="E13" s="673"/>
    </row>
    <row r="14" spans="1:5" ht="15.75">
      <c r="A14" s="651"/>
      <c r="B14" s="217" t="s">
        <v>71</v>
      </c>
      <c r="C14" s="674" t="s">
        <v>54</v>
      </c>
      <c r="D14" s="674"/>
      <c r="E14" s="675"/>
    </row>
    <row r="15" spans="1:5" ht="16.5" thickBot="1">
      <c r="A15" s="652"/>
      <c r="B15" s="218" t="s">
        <v>72</v>
      </c>
      <c r="C15" s="676" t="s">
        <v>75</v>
      </c>
      <c r="D15" s="676"/>
      <c r="E15" s="677"/>
    </row>
    <row r="16" spans="1:5" ht="15.75">
      <c r="A16" s="650" t="s">
        <v>52</v>
      </c>
      <c r="B16" s="215" t="s">
        <v>70</v>
      </c>
      <c r="C16" s="653" t="s">
        <v>53</v>
      </c>
      <c r="D16" s="653"/>
      <c r="E16" s="654"/>
    </row>
    <row r="17" spans="1:5" ht="15.75">
      <c r="A17" s="651"/>
      <c r="B17" s="213" t="s">
        <v>71</v>
      </c>
      <c r="C17" s="655" t="s">
        <v>55</v>
      </c>
      <c r="D17" s="655"/>
      <c r="E17" s="656"/>
    </row>
    <row r="18" spans="1:5" ht="16.5" thickBot="1">
      <c r="A18" s="652"/>
      <c r="B18" s="214" t="s">
        <v>72</v>
      </c>
      <c r="C18" s="657" t="s">
        <v>76</v>
      </c>
      <c r="D18" s="657"/>
      <c r="E18" s="658"/>
    </row>
  </sheetData>
  <mergeCells count="19">
    <mergeCell ref="B7:E7"/>
    <mergeCell ref="A2:E2"/>
    <mergeCell ref="B3:E3"/>
    <mergeCell ref="A4:A5"/>
    <mergeCell ref="E4:E5"/>
    <mergeCell ref="B6:E6"/>
    <mergeCell ref="A16:A18"/>
    <mergeCell ref="C16:E16"/>
    <mergeCell ref="C17:E17"/>
    <mergeCell ref="C18:E18"/>
    <mergeCell ref="B8:E8"/>
    <mergeCell ref="B9:E9"/>
    <mergeCell ref="B10:D10"/>
    <mergeCell ref="B11:D11"/>
    <mergeCell ref="B12:D12"/>
    <mergeCell ref="A13:A15"/>
    <mergeCell ref="C13:E13"/>
    <mergeCell ref="C14:E14"/>
    <mergeCell ref="C15:E15"/>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5B20E0-4918-4376-9A86-B50F602A39E8}">
  <dimension ref="A1"/>
  <sheetViews>
    <sheetView workbookViewId="0">
      <selection activeCell="M24" sqref="M24"/>
    </sheetView>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9</vt:i4>
      </vt:variant>
    </vt:vector>
  </HeadingPairs>
  <TitlesOfParts>
    <vt:vector size="21" baseType="lpstr">
      <vt:lpstr>MC 5</vt:lpstr>
      <vt:lpstr>MC 2-3-4</vt:lpstr>
      <vt:lpstr>MC 1</vt:lpstr>
      <vt:lpstr>Hoja3</vt:lpstr>
      <vt:lpstr>PRESUPUESTO OFICIAL </vt:lpstr>
      <vt:lpstr>CAP 8-9</vt:lpstr>
      <vt:lpstr>CAP 1,00</vt:lpstr>
      <vt:lpstr>CAP 5-6-7</vt:lpstr>
      <vt:lpstr>CAP 2-3-4</vt:lpstr>
      <vt:lpstr>Hoja1</vt:lpstr>
      <vt:lpstr>Hoja2</vt:lpstr>
      <vt:lpstr>PRESUPUESTO GENERAL</vt:lpstr>
      <vt:lpstr>'CAP 1,00'!Área_de_impresión</vt:lpstr>
      <vt:lpstr>'CAP 2-3-4'!Área_de_impresión</vt:lpstr>
      <vt:lpstr>'CAP 5-6-7'!Área_de_impresión</vt:lpstr>
      <vt:lpstr>'CAP 8-9'!Área_de_impresión</vt:lpstr>
      <vt:lpstr>'MC 1'!Área_de_impresión</vt:lpstr>
      <vt:lpstr>'MC 2-3-4'!Área_de_impresión</vt:lpstr>
      <vt:lpstr>'MC 5'!Área_de_impresión</vt:lpstr>
      <vt:lpstr>'PRESUPUESTO OFICIAL '!Área_de_impresión</vt:lpstr>
      <vt:lpstr>'PRESUPUESTO OFICIAL '!Títulos_a_imprimir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GERALDINE ROBAYO CAICEDO</dc:creator>
  <cp:lastModifiedBy>HELMER BECERRA</cp:lastModifiedBy>
  <cp:lastPrinted>2026-08-05T15:20:09Z</cp:lastPrinted>
  <dcterms:created xsi:type="dcterms:W3CDTF">2026-05-05T15:06:39Z</dcterms:created>
  <dcterms:modified xsi:type="dcterms:W3CDTF">2026-09-14T14:08:14Z</dcterms:modified>
</cp:coreProperties>
</file>